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omments1.xml" ContentType="application/vnd.openxmlformats-officedocument.spreadsheetml.comments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pivotTables/pivotTable4.xml" ContentType="application/vnd.openxmlformats-officedocument.spreadsheetml.pivotTable+xml"/>
  <Override PartName="/xl/tables/table14.xml" ContentType="application/vnd.openxmlformats-officedocument.spreadsheetml.table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drawings/drawing30.xml" ContentType="application/vnd.openxmlformats-officedocument.drawing+xml"/>
  <Override PartName="/xl/comments54.xml" ContentType="application/vnd.openxmlformats-officedocument.spreadsheetml.comments+xml"/>
  <Override PartName="/xl/drawings/drawing31.xml" ContentType="application/vnd.openxmlformats-officedocument.drawing+xml"/>
  <Override PartName="/xl/comments55.xml" ContentType="application/vnd.openxmlformats-officedocument.spreadsheetml.comments+xml"/>
  <Override PartName="/xl/drawings/drawing32.xml" ContentType="application/vnd.openxmlformats-officedocument.drawing+xml"/>
  <Override PartName="/xl/comments56.xml" ContentType="application/vnd.openxmlformats-officedocument.spreadsheetml.comments+xml"/>
  <Override PartName="/xl/drawings/drawing33.xml" ContentType="application/vnd.openxmlformats-officedocument.drawing+xml"/>
  <Override PartName="/xl/comments57.xml" ContentType="application/vnd.openxmlformats-officedocument.spreadsheetml.comments+xml"/>
  <Override PartName="/xl/drawings/drawing34.xml" ContentType="application/vnd.openxmlformats-officedocument.drawing+xml"/>
  <Override PartName="/xl/comments58.xml" ContentType="application/vnd.openxmlformats-officedocument.spreadsheetml.comments+xml"/>
  <Override PartName="/xl/drawings/drawing35.xml" ContentType="application/vnd.openxmlformats-officedocument.drawing+xml"/>
  <Override PartName="/xl/comments59.xml" ContentType="application/vnd.openxmlformats-officedocument.spreadsheetml.comments+xml"/>
  <Override PartName="/xl/drawings/drawing36.xml" ContentType="application/vnd.openxmlformats-officedocument.drawing+xml"/>
  <Override PartName="/xl/comments60.xml" ContentType="application/vnd.openxmlformats-officedocument.spreadsheetml.comments+xml"/>
  <Override PartName="/xl/drawings/drawing37.xml" ContentType="application/vnd.openxmlformats-officedocument.drawing+xml"/>
  <Override PartName="/xl/comments61.xml" ContentType="application/vnd.openxmlformats-officedocument.spreadsheetml.comments+xml"/>
  <Override PartName="/xl/drawings/drawing38.xml" ContentType="application/vnd.openxmlformats-officedocument.drawing+xml"/>
  <Override PartName="/xl/comments62.xml" ContentType="application/vnd.openxmlformats-officedocument.spreadsheetml.comments+xml"/>
  <Override PartName="/xl/drawings/drawing39.xml" ContentType="application/vnd.openxmlformats-officedocument.drawing+xml"/>
  <Override PartName="/xl/comments63.xml" ContentType="application/vnd.openxmlformats-officedocument.spreadsheetml.comments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0.xml" ContentType="application/vnd.openxmlformats-officedocument.drawing+xml"/>
  <Override PartName="/xl/comments64.xml" ContentType="application/vnd.openxmlformats-officedocument.spreadsheetml.comments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1.xml" ContentType="application/vnd.openxmlformats-officedocument.drawing+xml"/>
  <Override PartName="/xl/comments65.xml" ContentType="application/vnd.openxmlformats-officedocument.spreadsheetml.comments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2.xml" ContentType="application/vnd.openxmlformats-officedocument.drawing+xml"/>
  <Override PartName="/xl/comments66.xml" ContentType="application/vnd.openxmlformats-officedocument.spreadsheetml.comments+xml"/>
  <Override PartName="/xl/drawings/drawing43.xml" ContentType="application/vnd.openxmlformats-officedocument.drawing+xml"/>
  <Override PartName="/xl/comments67.xml" ContentType="application/vnd.openxmlformats-officedocument.spreadsheetml.comments+xml"/>
  <Override PartName="/xl/drawings/drawing44.xml" ContentType="application/vnd.openxmlformats-officedocument.drawing+xml"/>
  <Override PartName="/xl/comments68.xml" ContentType="application/vnd.openxmlformats-officedocument.spreadsheetml.comments+xml"/>
  <Override PartName="/xl/drawings/drawing45.xml" ContentType="application/vnd.openxmlformats-officedocument.drawing+xml"/>
  <Override PartName="/xl/comments69.xml" ContentType="application/vnd.openxmlformats-officedocument.spreadsheetml.comments+xml"/>
  <Override PartName="/xl/drawings/drawing46.xml" ContentType="application/vnd.openxmlformats-officedocument.drawing+xml"/>
  <Override PartName="/xl/comments70.xml" ContentType="application/vnd.openxmlformats-officedocument.spreadsheetml.comments+xml"/>
  <Override PartName="/xl/drawings/drawing47.xml" ContentType="application/vnd.openxmlformats-officedocument.drawing+xml"/>
  <Override PartName="/xl/comments71.xml" ContentType="application/vnd.openxmlformats-officedocument.spreadsheetml.comments+xml"/>
  <Override PartName="/xl/drawings/drawing48.xml" ContentType="application/vnd.openxmlformats-officedocument.drawing+xml"/>
  <Override PartName="/xl/comments72.xml" ContentType="application/vnd.openxmlformats-officedocument.spreadsheetml.comments+xml"/>
  <Override PartName="/xl/drawings/drawing49.xml" ContentType="application/vnd.openxmlformats-officedocument.drawing+xml"/>
  <Override PartName="/xl/comments73.xml" ContentType="application/vnd.openxmlformats-officedocument.spreadsheetml.comments+xml"/>
  <Override PartName="/xl/drawings/drawing50.xml" ContentType="application/vnd.openxmlformats-officedocument.drawing+xml"/>
  <Override PartName="/xl/comments74.xml" ContentType="application/vnd.openxmlformats-officedocument.spreadsheetml.comments+xml"/>
  <Override PartName="/xl/drawings/drawing51.xml" ContentType="application/vnd.openxmlformats-officedocument.drawing+xml"/>
  <Override PartName="/xl/comments75.xml" ContentType="application/vnd.openxmlformats-officedocument.spreadsheetml.comments+xml"/>
  <Override PartName="/xl/drawings/drawing52.xml" ContentType="application/vnd.openxmlformats-officedocument.drawing+xml"/>
  <Override PartName="/xl/comments76.xml" ContentType="application/vnd.openxmlformats-officedocument.spreadsheetml.comments+xml"/>
  <Override PartName="/xl/drawings/drawing53.xml" ContentType="application/vnd.openxmlformats-officedocument.drawing+xml"/>
  <Override PartName="/xl/comments77.xml" ContentType="application/vnd.openxmlformats-officedocument.spreadsheetml.comments+xml"/>
  <Override PartName="/xl/drawings/drawing5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C:\Users\g640d\Google Drive\01. Gasoducto Corredor Chihuahua - TPL\"/>
    </mc:Choice>
  </mc:AlternateContent>
  <bookViews>
    <workbookView xWindow="-38400" yWindow="0" windowWidth="38400" windowHeight="24000" firstSheet="3" activeTab="104"/>
  </bookViews>
  <sheets>
    <sheet name="Tablas (2)" sheetId="156" r:id="rId1"/>
    <sheet name="Tarifas" sheetId="1" r:id="rId2"/>
    <sheet name="Diario_Documentos" sheetId="157" r:id="rId3"/>
    <sheet name="Hoja1" sheetId="162" r:id="rId4"/>
    <sheet name="Hoja3" sheetId="163" r:id="rId5"/>
    <sheet name="ANALISIS" sheetId="158" r:id="rId6"/>
    <sheet name="Resumen" sheetId="47" r:id="rId7"/>
    <sheet name="REPORTE OPERATIVO" sheetId="161" r:id="rId8"/>
    <sheet name="DESBALANCE" sheetId="154" state="hidden" r:id="rId9"/>
    <sheet name="Desbalance - Diario" sheetId="48" state="hidden" r:id="rId10"/>
    <sheet name="Desbalance - Mensual" sheetId="49" state="hidden" r:id="rId11"/>
    <sheet name="Conceptos" sheetId="121" state="hidden" r:id="rId12"/>
    <sheet name="Agosto - 20131" sheetId="2" state="hidden" r:id="rId13"/>
    <sheet name="Septiembre - 20131" sheetId="9" state="hidden" r:id="rId14"/>
    <sheet name="Octubre - 20131" sheetId="10" state="hidden" r:id="rId15"/>
    <sheet name="Noviembre - 20131" sheetId="11" state="hidden" r:id="rId16"/>
    <sheet name="Diciembre - 20131" sheetId="12" state="hidden" r:id="rId17"/>
    <sheet name="Enero - 20141" sheetId="13" state="hidden" r:id="rId18"/>
    <sheet name="Febrero - 20141" sheetId="15" state="hidden" r:id="rId19"/>
    <sheet name="Marzo - 20141" sheetId="14" state="hidden" r:id="rId20"/>
    <sheet name="Abril - 20141" sheetId="16" state="hidden" r:id="rId21"/>
    <sheet name="Mayo - 20141" sheetId="17" state="hidden" r:id="rId22"/>
    <sheet name="Junio - 20141" sheetId="18" state="hidden" r:id="rId23"/>
    <sheet name="Julio - 20141" sheetId="19" state="hidden" r:id="rId24"/>
    <sheet name="Agosto - 20141" sheetId="20" state="hidden" r:id="rId25"/>
    <sheet name="Septiembre - 20141" sheetId="21" state="hidden" r:id="rId26"/>
    <sheet name="Octubre - 20141" sheetId="22" state="hidden" r:id="rId27"/>
    <sheet name="Noviembre - 20141" sheetId="23" state="hidden" r:id="rId28"/>
    <sheet name="Diciembre - 20141" sheetId="24" state="hidden" r:id="rId29"/>
    <sheet name="Enero - 201512" sheetId="25" state="hidden" r:id="rId30"/>
    <sheet name="Febrero - 20151" sheetId="26" state="hidden" r:id="rId31"/>
    <sheet name="Marzo - 20151" sheetId="27" state="hidden" r:id="rId32"/>
    <sheet name="Abril - 20151" sheetId="28" state="hidden" r:id="rId33"/>
    <sheet name="Mayo - 20151" sheetId="29" state="hidden" r:id="rId34"/>
    <sheet name="Junio - 20151" sheetId="30" state="hidden" r:id="rId35"/>
    <sheet name="Julio - 20151" sheetId="31" state="hidden" r:id="rId36"/>
    <sheet name="Agosto - 20151" sheetId="32" state="hidden" r:id="rId37"/>
    <sheet name="Agosto - 2013" sheetId="62" state="hidden" r:id="rId38"/>
    <sheet name="Septiembre - 2013" sheetId="58" state="hidden" r:id="rId39"/>
    <sheet name="Noviembre - 2013" sheetId="63" state="hidden" r:id="rId40"/>
    <sheet name="Diciembre - 2013" sheetId="64" state="hidden" r:id="rId41"/>
    <sheet name="Enero - 2014" sheetId="65" state="hidden" r:id="rId42"/>
    <sheet name="Febrero - 2014" sheetId="66" state="hidden" r:id="rId43"/>
    <sheet name="Marzo - 2014" sheetId="67" state="hidden" r:id="rId44"/>
    <sheet name="Abril - 2014" sheetId="68" state="hidden" r:id="rId45"/>
    <sheet name="Mayo - 2014" sheetId="69" state="hidden" r:id="rId46"/>
    <sheet name="Junio - 2014" sheetId="70" state="hidden" r:id="rId47"/>
    <sheet name="Hoja2" sheetId="79" state="hidden" r:id="rId48"/>
    <sheet name="Julio - 2014" sheetId="71" state="hidden" r:id="rId49"/>
    <sheet name="Agosto - 2014" sheetId="72" state="hidden" r:id="rId50"/>
    <sheet name="Octubre - 2014" sheetId="73" state="hidden" r:id="rId51"/>
    <sheet name="Noviembre - 2014" sheetId="74" state="hidden" r:id="rId52"/>
    <sheet name="Diciembre - 2014" sheetId="75" state="hidden" r:id="rId53"/>
    <sheet name="Enero - 2015" sheetId="50" state="hidden" r:id="rId54"/>
    <sheet name="Febrero - 2015" sheetId="51" state="hidden" r:id="rId55"/>
    <sheet name="Marzo - 2015" sheetId="52" state="hidden" r:id="rId56"/>
    <sheet name="Abril - 2015" sheetId="53" state="hidden" r:id="rId57"/>
    <sheet name="Mayo - 2015" sheetId="54" state="hidden" r:id="rId58"/>
    <sheet name="Junio - 2015" sheetId="55" state="hidden" r:id="rId59"/>
    <sheet name="Julio - 2015" sheetId="56" state="hidden" r:id="rId60"/>
    <sheet name="Agosto - 2015" sheetId="57" state="hidden" r:id="rId61"/>
    <sheet name="Octubre - 2015" sheetId="59" state="hidden" r:id="rId62"/>
    <sheet name="Noviembre - 2015" sheetId="60" state="hidden" r:id="rId63"/>
    <sheet name="Diciembre - 2015" sheetId="61" state="hidden" r:id="rId64"/>
    <sheet name="Enero - 2016" sheetId="34" state="hidden" r:id="rId65"/>
    <sheet name="Febrero - 2016" sheetId="35" state="hidden" r:id="rId66"/>
    <sheet name="Marzo - 2016" sheetId="36" state="hidden" r:id="rId67"/>
    <sheet name="Abril - 2016" sheetId="37" state="hidden" r:id="rId68"/>
    <sheet name="Mayo - 2016" sheetId="38" state="hidden" r:id="rId69"/>
    <sheet name="Septiembre -2014" sheetId="155" state="hidden" r:id="rId70"/>
    <sheet name="Junio - 2016" sheetId="39" state="hidden" r:id="rId71"/>
    <sheet name="Julio - 2016" sheetId="40" state="hidden" r:id="rId72"/>
    <sheet name="Agosto - 2016" sheetId="41" state="hidden" r:id="rId73"/>
    <sheet name="Septiembre - 2016" sheetId="42" state="hidden" r:id="rId74"/>
    <sheet name="Octubre - 2016" sheetId="43" state="hidden" r:id="rId75"/>
    <sheet name="Noviembre - 2016" sheetId="44" state="hidden" r:id="rId76"/>
    <sheet name="Diciembre - 2016" sheetId="45" state="hidden" r:id="rId77"/>
    <sheet name="Enero - 2017" sheetId="76" state="hidden" r:id="rId78"/>
    <sheet name="Febrero - 2017" sheetId="77" state="hidden" r:id="rId79"/>
    <sheet name="Marzo - 2017" sheetId="80" state="hidden" r:id="rId80"/>
    <sheet name="Abril - 2017" sheetId="81" state="hidden" r:id="rId81"/>
    <sheet name="Mayo - 2017" sheetId="83" state="hidden" r:id="rId82"/>
    <sheet name="Junio - 2017" sheetId="82" state="hidden" r:id="rId83"/>
    <sheet name="Julio - 2017" sheetId="84" state="hidden" r:id="rId84"/>
    <sheet name="Agosto - 2017" sheetId="104" state="hidden" r:id="rId85"/>
    <sheet name="Septiembre - 2017" sheetId="105" state="hidden" r:id="rId86"/>
    <sheet name="Octubre - 2017" sheetId="106" state="hidden" r:id="rId87"/>
    <sheet name="Noviembre - 2017" sheetId="107" state="hidden" r:id="rId88"/>
    <sheet name="Diciembre - 2017" sheetId="109" state="hidden" r:id="rId89"/>
    <sheet name="Enero - 2018" sheetId="91" state="hidden" r:id="rId90"/>
    <sheet name="Febrero - 2018" sheetId="110" state="hidden" r:id="rId91"/>
    <sheet name="Marzo - 2018" sheetId="111" state="hidden" r:id="rId92"/>
    <sheet name="Abril - 2018" sheetId="112" state="hidden" r:id="rId93"/>
    <sheet name="Mayo - 2018" sheetId="123" state="hidden" r:id="rId94"/>
    <sheet name="Junio - 2018" sheetId="124" state="hidden" r:id="rId95"/>
    <sheet name="Julio - 2018 " sheetId="132" state="hidden" r:id="rId96"/>
    <sheet name="Agosto - 2018" sheetId="133" state="hidden" r:id="rId97"/>
    <sheet name="Septiembre - 2018 " sheetId="134" state="hidden" r:id="rId98"/>
    <sheet name="Octubre - 2018  " sheetId="138" state="hidden" r:id="rId99"/>
    <sheet name="Noviembre - 2018  " sheetId="139" state="hidden" r:id="rId100"/>
    <sheet name="Diciembre - 2018 " sheetId="143" state="hidden" r:id="rId101"/>
    <sheet name="Enero - 2019" sheetId="142" r:id="rId102"/>
    <sheet name="Febrero - 2019" sheetId="144" r:id="rId103"/>
    <sheet name="Marzo - 2019" sheetId="145" r:id="rId104"/>
    <sheet name="Abril- 2019" sheetId="146" r:id="rId105"/>
    <sheet name="Mayo - 2019" sheetId="147" r:id="rId106"/>
    <sheet name="Junio - 2019" sheetId="148" r:id="rId107"/>
    <sheet name="Julio - 2019 " sheetId="149" r:id="rId108"/>
    <sheet name="Agosto - 2019" sheetId="150" r:id="rId109"/>
    <sheet name="Septiembre - 2019 " sheetId="151" r:id="rId110"/>
    <sheet name="Octubre - 2019" sheetId="152" r:id="rId111"/>
    <sheet name="Noviembre - 2019 " sheetId="153" r:id="rId112"/>
    <sheet name="Diciembre - 2019  " sheetId="140" r:id="rId113"/>
    <sheet name="USSPI - Ejemplo" sheetId="3" r:id="rId114"/>
  </sheets>
  <externalReferences>
    <externalReference r:id="rId115"/>
    <externalReference r:id="rId116"/>
    <externalReference r:id="rId117"/>
  </externalReferences>
  <definedNames>
    <definedName name="_xlnm._FilterDatabase" localSheetId="9" hidden="1">'Desbalance - Diario'!$B$10:$M$1074</definedName>
    <definedName name="_xlnm._FilterDatabase" localSheetId="2" hidden="1">Diario_Documentos!#REF!</definedName>
    <definedName name="_xlnm.Print_Area" localSheetId="44">'Abril - 2014'!$B$2:$M$46</definedName>
    <definedName name="_xlnm.Print_Area" localSheetId="20">'Abril - 20141'!$B$2:$N$45</definedName>
    <definedName name="_xlnm.Print_Area" localSheetId="56">'Abril - 2015'!$B$2:$M$46</definedName>
    <definedName name="_xlnm.Print_Area" localSheetId="32">'Abril - 20151'!$B$2:$N$45</definedName>
    <definedName name="_xlnm.Print_Area" localSheetId="67">'Abril - 2016'!$B$2:$M$46</definedName>
    <definedName name="_xlnm.Print_Area" localSheetId="80">'Abril - 2017'!$B$2:$M$46</definedName>
    <definedName name="_xlnm.Print_Area" localSheetId="92">'Abril - 2018'!$B$1:$M$51</definedName>
    <definedName name="_xlnm.Print_Area" localSheetId="104">'Abril- 2019'!$B$1:$M$68</definedName>
    <definedName name="_xlnm.Print_Area" localSheetId="12">'Agosto - 20131'!$B$2:$N$45</definedName>
    <definedName name="_xlnm.Print_Area" localSheetId="24">'Agosto - 20141'!$B$2:$N$45</definedName>
    <definedName name="_xlnm.Print_Area" localSheetId="36">'Agosto - 20151'!$B$2:$N$45</definedName>
    <definedName name="_xlnm.Print_Area" localSheetId="72">'Agosto - 2016'!$B$2:$M$45</definedName>
    <definedName name="_xlnm.Print_Area" localSheetId="84">'Agosto - 2017'!$B$2:$M$46</definedName>
    <definedName name="_xlnm.Print_Area" localSheetId="96">'Agosto - 2018'!$B$1:$O$68</definedName>
    <definedName name="_xlnm.Print_Area" localSheetId="108">'Agosto - 2019'!$B$1:$M$68</definedName>
    <definedName name="_xlnm.Print_Area" localSheetId="11">Conceptos!$B$2:$K$17</definedName>
    <definedName name="_xlnm.Print_Area" localSheetId="16">'Diciembre - 20131'!$B$2:$N$45</definedName>
    <definedName name="_xlnm.Print_Area" localSheetId="28">'Diciembre - 20141'!$B$2:$N$45</definedName>
    <definedName name="_xlnm.Print_Area" localSheetId="76">'Diciembre - 2016'!$B$3:$M$46</definedName>
    <definedName name="_xlnm.Print_Area" localSheetId="88">'Diciembre - 2017'!$B$2:$M$46</definedName>
    <definedName name="_xlnm.Print_Area" localSheetId="100">'Diciembre - 2018 '!$B$1:$M$68</definedName>
    <definedName name="_xlnm.Print_Area" localSheetId="112">'Diciembre - 2019  '!$B$1:$M$68</definedName>
    <definedName name="_xlnm.Print_Area" localSheetId="17">'Enero - 20141'!$B$2:$N$45</definedName>
    <definedName name="_xlnm.Print_Area" localSheetId="29">'Enero - 201512'!$B$2:$N$45</definedName>
    <definedName name="_xlnm.Print_Area" localSheetId="77">'Enero - 2017'!$B$2:$M$46</definedName>
    <definedName name="_xlnm.Print_Area" localSheetId="89">'Enero - 2018'!$B$1:$M$51</definedName>
    <definedName name="_xlnm.Print_Area" localSheetId="101">'Enero - 2019'!$B$1:$M$68</definedName>
    <definedName name="_xlnm.Print_Area" localSheetId="42">'Febrero - 2014'!$B$27:$N$46</definedName>
    <definedName name="_xlnm.Print_Area" localSheetId="18">'Febrero - 20141'!$B$2:$N$45</definedName>
    <definedName name="_xlnm.Print_Area" localSheetId="54">'Febrero - 2015'!$B$27:$N$46</definedName>
    <definedName name="_xlnm.Print_Area" localSheetId="30">'Febrero - 20151'!$B$2:$N$45</definedName>
    <definedName name="_xlnm.Print_Area" localSheetId="65">'Febrero - 2016'!$B$27:$N$46</definedName>
    <definedName name="_xlnm.Print_Area" localSheetId="78">'Febrero - 2017'!$B$2:$M$46</definedName>
    <definedName name="_xlnm.Print_Area" localSheetId="90">'Febrero - 2018'!$B$1:$M$51</definedName>
    <definedName name="_xlnm.Print_Area" localSheetId="102">'Febrero - 2019'!$B$1:$M$68</definedName>
    <definedName name="_xlnm.Print_Area" localSheetId="23">'Julio - 20141'!$B$2:$N$45</definedName>
    <definedName name="_xlnm.Print_Area" localSheetId="35">'Julio - 20151'!$B$2:$N$45</definedName>
    <definedName name="_xlnm.Print_Area" localSheetId="71">'Julio - 2016'!$B$2:$M$46</definedName>
    <definedName name="_xlnm.Print_Area" localSheetId="83">'Julio - 2017'!$B$2:$M$46</definedName>
    <definedName name="_xlnm.Print_Area" localSheetId="95">'Julio - 2018 '!$B$1:$O$68</definedName>
    <definedName name="_xlnm.Print_Area" localSheetId="107">'Julio - 2019 '!$B$1:$M$68</definedName>
    <definedName name="_xlnm.Print_Area" localSheetId="46">'Junio - 2014'!$B$3:$M$46</definedName>
    <definedName name="_xlnm.Print_Area" localSheetId="22">'Junio - 20141'!$B$2:$N$45</definedName>
    <definedName name="_xlnm.Print_Area" localSheetId="34">'Junio - 20151'!$B$2:$N$45</definedName>
    <definedName name="_xlnm.Print_Area" localSheetId="70">'Junio - 2016'!$B$2:$M$46</definedName>
    <definedName name="_xlnm.Print_Area" localSheetId="82">'Junio - 2017'!$B$2:$M$46</definedName>
    <definedName name="_xlnm.Print_Area" localSheetId="94">'Junio - 2018'!$B$1:$O$68</definedName>
    <definedName name="_xlnm.Print_Area" localSheetId="106">'Junio - 2019'!$B$1:$M$68</definedName>
    <definedName name="_xlnm.Print_Area" localSheetId="43">'Marzo - 2014'!$B$2:$M$46</definedName>
    <definedName name="_xlnm.Print_Area" localSheetId="19">'Marzo - 20141'!$B$2:$N$45</definedName>
    <definedName name="_xlnm.Print_Area" localSheetId="55">'Marzo - 2015'!$B$2:$M$46</definedName>
    <definedName name="_xlnm.Print_Area" localSheetId="31">'Marzo - 20151'!$B$2:$N$45</definedName>
    <definedName name="_xlnm.Print_Area" localSheetId="66">'Marzo - 2016'!$B$2:$M$46</definedName>
    <definedName name="_xlnm.Print_Area" localSheetId="79">'Marzo - 2017'!$B$2:$M$46</definedName>
    <definedName name="_xlnm.Print_Area" localSheetId="91">'Marzo - 2018'!$B$1:$M$51</definedName>
    <definedName name="_xlnm.Print_Area" localSheetId="103">'Marzo - 2019'!$B$1:$M$68</definedName>
    <definedName name="_xlnm.Print_Area" localSheetId="45">'Mayo - 2014'!$B$2:$M$46</definedName>
    <definedName name="_xlnm.Print_Area" localSheetId="21">'Mayo - 20141'!$B$2:$N$45</definedName>
    <definedName name="_xlnm.Print_Area" localSheetId="57">'Mayo - 2015'!$B$2:$M$46</definedName>
    <definedName name="_xlnm.Print_Area" localSheetId="33">'Mayo - 20151'!$B$2:$N$45</definedName>
    <definedName name="_xlnm.Print_Area" localSheetId="68">'Mayo - 2016'!$B$2:$M$46</definedName>
    <definedName name="_xlnm.Print_Area" localSheetId="81">'Mayo - 2017'!$B$2:$M$46</definedName>
    <definedName name="_xlnm.Print_Area" localSheetId="93">'Mayo - 2018'!$B$1:$N$65</definedName>
    <definedName name="_xlnm.Print_Area" localSheetId="105">'Mayo - 2019'!$B$1:$M$68</definedName>
    <definedName name="_xlnm.Print_Area" localSheetId="15">'Noviembre - 20131'!$B$2:$N$45</definedName>
    <definedName name="_xlnm.Print_Area" localSheetId="27">'Noviembre - 20141'!$B$2:$N$45</definedName>
    <definedName name="_xlnm.Print_Area" localSheetId="75">'Noviembre - 2016'!$B$2:$M$46</definedName>
    <definedName name="_xlnm.Print_Area" localSheetId="87">'Noviembre - 2017'!$B$2:$M$46</definedName>
    <definedName name="_xlnm.Print_Area" localSheetId="99">'Noviembre - 2018  '!$B$1:$M$69</definedName>
    <definedName name="_xlnm.Print_Area" localSheetId="111">'Noviembre - 2019 '!$B$1:$M$68</definedName>
    <definedName name="_xlnm.Print_Area" localSheetId="14">'Octubre - 20131'!$B$2:$N$45</definedName>
    <definedName name="_xlnm.Print_Area" localSheetId="26">'Octubre - 20141'!$B$2:$N$45</definedName>
    <definedName name="_xlnm.Print_Area" localSheetId="74">'Octubre - 2016'!$B$2:$M$46</definedName>
    <definedName name="_xlnm.Print_Area" localSheetId="86">'Octubre - 2017'!$B$2:$M$46</definedName>
    <definedName name="_xlnm.Print_Area" localSheetId="98">'Octubre - 2018  '!$B$1:$M$69</definedName>
    <definedName name="_xlnm.Print_Area" localSheetId="110">'Octubre - 2019'!$B$1:$M$68</definedName>
    <definedName name="_xlnm.Print_Area" localSheetId="13">'Septiembre - 20131'!$B$2:$N$45</definedName>
    <definedName name="_xlnm.Print_Area" localSheetId="25">'Septiembre - 20141'!$B$2:$N$45</definedName>
    <definedName name="_xlnm.Print_Area" localSheetId="73">'Septiembre - 2016'!$B$2:$M$46</definedName>
    <definedName name="_xlnm.Print_Area" localSheetId="85">'Septiembre - 2017'!$B$2:$M$46</definedName>
    <definedName name="_xlnm.Print_Area" localSheetId="97">'Septiembre - 2018 '!$B$1:$N$68</definedName>
    <definedName name="_xlnm.Print_Area" localSheetId="109">'Septiembre - 2019 '!$B$1:$M$68</definedName>
    <definedName name="dat">[1]beneficiarios!$C:$M</definedName>
    <definedName name="DIAS">'REPORTE OPERATIVO'!$F$2</definedName>
    <definedName name="fac">#REF!</definedName>
    <definedName name="FACONVAB">#REF!</definedName>
    <definedName name="FACTOR">'REPORTE OPERATIVO'!$G$2</definedName>
    <definedName name="GG" hidden="1">{"'tti-u3'!$A$1:$J$31","'PJZ'!$A$22:$A$24"}</definedName>
    <definedName name="HTML_CodePage" hidden="1">1252</definedName>
    <definedName name="HTML_Control" localSheetId="2" hidden="1">{"'tti-u3'!$A$1:$J$31","'PJZ'!$A$22:$A$24"}</definedName>
    <definedName name="HTML_Control" localSheetId="6" hidden="1">{"'tti-u3'!$A$1:$J$31","'PJZ'!$A$22:$A$24"}</definedName>
    <definedName name="HTML_Control" hidden="1">{"'tti-u3'!$A$1:$J$31","'PJZ'!$A$22:$A$24"}</definedName>
    <definedName name="HTML_Control_1" localSheetId="2" hidden="1">{"'tti-u3'!$A$1:$J$31","'PJZ'!$A$22:$A$24"}</definedName>
    <definedName name="HTML_Control_1" localSheetId="6" hidden="1">{"'tti-u3'!$A$1:$J$31","'PJZ'!$A$22:$A$24"}</definedName>
    <definedName name="HTML_Control_1" hidden="1">{"'tti-u3'!$A$1:$J$31","'PJZ'!$A$22:$A$24"}</definedName>
    <definedName name="HTML_Control_2" localSheetId="2" hidden="1">{"'tti-u3'!$A$1:$J$31","'PJZ'!$A$22:$A$24"}</definedName>
    <definedName name="HTML_Control_2" localSheetId="6" hidden="1">{"'tti-u3'!$A$1:$J$31","'PJZ'!$A$22:$A$24"}</definedName>
    <definedName name="HTML_Control_2" hidden="1">{"'tti-u3'!$A$1:$J$31","'PJZ'!$A$22:$A$24"}</definedName>
    <definedName name="HTML_Control_3" localSheetId="2" hidden="1">{"'tti-u3'!$A$1:$J$31","'PJZ'!$A$22:$A$24"}</definedName>
    <definedName name="HTML_Control_3" localSheetId="6" hidden="1">{"'tti-u3'!$A$1:$J$31","'PJZ'!$A$22:$A$24"}</definedName>
    <definedName name="HTML_Control_3" hidden="1">{"'tti-u3'!$A$1:$J$31","'PJZ'!$A$22:$A$24"}</definedName>
    <definedName name="HTML_Control_4" localSheetId="2" hidden="1">{"'tti-u3'!$A$1:$J$31","'PJZ'!$A$22:$A$24"}</definedName>
    <definedName name="HTML_Control_4" localSheetId="6" hidden="1">{"'tti-u3'!$A$1:$J$31","'PJZ'!$A$22:$A$24"}</definedName>
    <definedName name="HTML_Control_4" hidden="1">{"'tti-u3'!$A$1:$J$31","'PJZ'!$A$22:$A$24"}</definedName>
    <definedName name="HTML_Description" hidden="1">""</definedName>
    <definedName name="HTML_Email" hidden="1">""</definedName>
    <definedName name="HTML_Header" hidden="1">"Operativo"</definedName>
    <definedName name="HTML_LastUpdate" hidden="1">"13/02/01"</definedName>
    <definedName name="HTML_LineAfter" hidden="1">TRUE</definedName>
    <definedName name="HTML_LineBefore" hidden="1">TRUE</definedName>
    <definedName name="HTML_Name" hidden="1">"Administrador"</definedName>
    <definedName name="HTML_OBDlg2" hidden="1">TRUE</definedName>
    <definedName name="HTML_OBDlg3" hidden="1">TRUE</definedName>
    <definedName name="HTML_OBDlg4" hidden="1">TRUE</definedName>
    <definedName name="HTML_OS" hidden="1">0</definedName>
    <definedName name="HTML_PathFile" hidden="1">"C:\HTML.htm"</definedName>
    <definedName name="HTML_PathTemplate" hidden="1">"C:\HTML.htm"</definedName>
    <definedName name="HTML_Title" hidden="1">"20010214"</definedName>
    <definedName name="ID_Package_mes_act">'[2]Bza mes act'!$D$8:$D$1500</definedName>
    <definedName name="Nombre_Proveedor">'Tablas (2)'!$F$3:$F$31</definedName>
    <definedName name="Sdo_mes_act">'[2]Bza mes act'!$O$8:$O$1500</definedName>
    <definedName name="SegmentaciónDeDatos_Año_del_Pago">#N/A</definedName>
    <definedName name="SegmentaciónDeDatos_Año_del_Servicio">#N/A</definedName>
    <definedName name="tc">[3]TC!$A:$D</definedName>
  </definedNames>
  <calcPr calcId="152511"/>
  <pivotCaches>
    <pivotCache cacheId="17" r:id="rId118"/>
    <pivotCache cacheId="32" r:id="rId119"/>
  </pivotCaches>
  <extLst>
    <ext xmlns:x14="http://schemas.microsoft.com/office/spreadsheetml/2009/9/main" uri="{BBE1A952-AA13-448e-AADC-164F8A28A991}">
      <x14:slicerCaches>
        <x14:slicerCache r:id="rId120"/>
        <x14:slicerCache r:id="rId121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X121" i="157" l="1"/>
  <c r="AA177" i="157"/>
  <c r="X178" i="157"/>
  <c r="Y178" i="157" s="1"/>
  <c r="AA178" i="157"/>
  <c r="AB178" i="157" s="1"/>
  <c r="AD178" i="157"/>
  <c r="X179" i="157"/>
  <c r="Y179" i="157" s="1"/>
  <c r="AA179" i="157"/>
  <c r="AB179" i="157" s="1"/>
  <c r="AD179" i="157"/>
  <c r="AD175" i="157"/>
  <c r="AD176" i="157"/>
  <c r="AD177" i="157"/>
  <c r="AI174" i="157"/>
  <c r="AG174" i="157" s="1"/>
  <c r="AH174" i="157" s="1"/>
  <c r="AD174" i="157"/>
  <c r="AA174" i="157"/>
  <c r="AB174" i="157" s="1"/>
  <c r="X174" i="157"/>
  <c r="Y174" i="157" s="1"/>
  <c r="N174" i="157"/>
  <c r="L174" i="157"/>
  <c r="J174" i="157"/>
  <c r="H174" i="157"/>
  <c r="AI173" i="157"/>
  <c r="AL173" i="157" s="1"/>
  <c r="AR173" i="157" s="1"/>
  <c r="AD173" i="157"/>
  <c r="AA173" i="157"/>
  <c r="AB173" i="157" s="1"/>
  <c r="X173" i="157"/>
  <c r="Y173" i="157" s="1"/>
  <c r="N173" i="157"/>
  <c r="L173" i="157"/>
  <c r="J173" i="157"/>
  <c r="H173" i="157"/>
  <c r="AI172" i="157"/>
  <c r="AG172" i="157" s="1"/>
  <c r="AH172" i="157" s="1"/>
  <c r="AD172" i="157"/>
  <c r="AA172" i="157"/>
  <c r="AB172" i="157" s="1"/>
  <c r="X172" i="157"/>
  <c r="Y172" i="157" s="1"/>
  <c r="N172" i="157"/>
  <c r="L172" i="157"/>
  <c r="J172" i="157"/>
  <c r="H172" i="157"/>
  <c r="AI171" i="157"/>
  <c r="AL171" i="157" s="1"/>
  <c r="AR171" i="157" s="1"/>
  <c r="AD171" i="157"/>
  <c r="AA171" i="157"/>
  <c r="AB171" i="157" s="1"/>
  <c r="X171" i="157"/>
  <c r="Y171" i="157" s="1"/>
  <c r="N171" i="157"/>
  <c r="L171" i="157"/>
  <c r="J171" i="157"/>
  <c r="H171" i="157"/>
  <c r="AI170" i="157"/>
  <c r="AG170" i="157" s="1"/>
  <c r="AH170" i="157" s="1"/>
  <c r="AD170" i="157"/>
  <c r="AA170" i="157"/>
  <c r="AB170" i="157" s="1"/>
  <c r="X170" i="157"/>
  <c r="Y170" i="157" s="1"/>
  <c r="N170" i="157"/>
  <c r="L170" i="157"/>
  <c r="J170" i="157"/>
  <c r="H170" i="157"/>
  <c r="AG171" i="157" l="1"/>
  <c r="AH171" i="157" s="1"/>
  <c r="AG173" i="157"/>
  <c r="AH173" i="157" s="1"/>
  <c r="AL170" i="157"/>
  <c r="AJ171" i="157"/>
  <c r="AL172" i="157"/>
  <c r="AJ173" i="157"/>
  <c r="AL174" i="157"/>
  <c r="L34" i="143"/>
  <c r="L32" i="143"/>
  <c r="L33" i="143"/>
  <c r="L31" i="143"/>
  <c r="L30" i="143"/>
  <c r="L29" i="143"/>
  <c r="L28" i="143"/>
  <c r="L32" i="139"/>
  <c r="L31" i="139"/>
  <c r="L30" i="139"/>
  <c r="L29" i="139"/>
  <c r="L28" i="139"/>
  <c r="L32" i="138"/>
  <c r="L31" i="138"/>
  <c r="L30" i="138"/>
  <c r="L29" i="138"/>
  <c r="L28" i="138"/>
  <c r="L32" i="134"/>
  <c r="L31" i="134"/>
  <c r="L30" i="134"/>
  <c r="L29" i="134"/>
  <c r="L28" i="134"/>
  <c r="L32" i="133"/>
  <c r="L31" i="133"/>
  <c r="L30" i="133"/>
  <c r="L29" i="133"/>
  <c r="L28" i="133"/>
  <c r="L32" i="132"/>
  <c r="L31" i="132"/>
  <c r="L30" i="132"/>
  <c r="L29" i="132"/>
  <c r="L28" i="132"/>
  <c r="L32" i="124"/>
  <c r="L31" i="124"/>
  <c r="L30" i="124"/>
  <c r="L29" i="124"/>
  <c r="L28" i="124"/>
  <c r="L32" i="123"/>
  <c r="L31" i="123"/>
  <c r="L30" i="123"/>
  <c r="L29" i="123"/>
  <c r="L28" i="123"/>
  <c r="M39" i="123"/>
  <c r="M38" i="123"/>
  <c r="M40" i="124"/>
  <c r="M39" i="124"/>
  <c r="K40" i="124"/>
  <c r="K39" i="124"/>
  <c r="K39" i="123"/>
  <c r="K38" i="123"/>
  <c r="K54" i="139"/>
  <c r="K53" i="139"/>
  <c r="L52" i="134"/>
  <c r="L51" i="134"/>
  <c r="M51" i="134" s="1"/>
  <c r="L50" i="134"/>
  <c r="M53" i="134"/>
  <c r="M52" i="134"/>
  <c r="M50" i="134"/>
  <c r="K53" i="134"/>
  <c r="K52" i="134"/>
  <c r="K51" i="134"/>
  <c r="K50" i="134"/>
  <c r="AP171" i="157" l="1"/>
  <c r="AQ171" i="157" s="1"/>
  <c r="AK171" i="157"/>
  <c r="AR174" i="157"/>
  <c r="AJ174" i="157"/>
  <c r="AR170" i="157"/>
  <c r="AJ170" i="157"/>
  <c r="AP173" i="157"/>
  <c r="AQ173" i="157" s="1"/>
  <c r="AK173" i="157"/>
  <c r="AR172" i="157"/>
  <c r="AJ172" i="157"/>
  <c r="O102" i="143"/>
  <c r="D107" i="143"/>
  <c r="F72" i="143"/>
  <c r="F73" i="143"/>
  <c r="F74" i="143"/>
  <c r="F75" i="143"/>
  <c r="F76" i="143"/>
  <c r="F77" i="143"/>
  <c r="F78" i="143"/>
  <c r="F79" i="143"/>
  <c r="F80" i="143"/>
  <c r="F81" i="143"/>
  <c r="F82" i="143"/>
  <c r="F83" i="143"/>
  <c r="F84" i="143"/>
  <c r="F85" i="143"/>
  <c r="F86" i="143"/>
  <c r="F87" i="143"/>
  <c r="F88" i="143"/>
  <c r="F89" i="143"/>
  <c r="F90" i="143"/>
  <c r="F91" i="143"/>
  <c r="F92" i="143"/>
  <c r="F93" i="143"/>
  <c r="F94" i="143"/>
  <c r="F95" i="143"/>
  <c r="F96" i="143"/>
  <c r="F97" i="143"/>
  <c r="F98" i="143"/>
  <c r="F99" i="143"/>
  <c r="F100" i="143"/>
  <c r="F101" i="143"/>
  <c r="F71" i="143"/>
  <c r="AK174" i="157" l="1"/>
  <c r="AP174" i="157"/>
  <c r="AQ174" i="157" s="1"/>
  <c r="AK172" i="157"/>
  <c r="AP172" i="157"/>
  <c r="AQ172" i="157" s="1"/>
  <c r="AK170" i="157"/>
  <c r="AP170" i="157"/>
  <c r="AQ170" i="157" s="1"/>
  <c r="AI156" i="157"/>
  <c r="AG156" i="157" s="1"/>
  <c r="AH156" i="157" s="1"/>
  <c r="AF156" i="157"/>
  <c r="L156" i="157" s="1"/>
  <c r="AE156" i="157"/>
  <c r="AB156" i="157"/>
  <c r="AC156" i="157" s="1"/>
  <c r="X156" i="157"/>
  <c r="Y156" i="157" s="1"/>
  <c r="N156" i="157"/>
  <c r="H156" i="157"/>
  <c r="AI155" i="157"/>
  <c r="AG155" i="157" s="1"/>
  <c r="AH155" i="157" s="1"/>
  <c r="AF155" i="157"/>
  <c r="J155" i="157" s="1"/>
  <c r="AE155" i="157"/>
  <c r="AB155" i="157"/>
  <c r="AC155" i="157" s="1"/>
  <c r="X155" i="157"/>
  <c r="Y155" i="157" s="1"/>
  <c r="N155" i="157"/>
  <c r="H155" i="157"/>
  <c r="AI154" i="157"/>
  <c r="AG154" i="157" s="1"/>
  <c r="AH154" i="157" s="1"/>
  <c r="AF154" i="157"/>
  <c r="L154" i="157" s="1"/>
  <c r="AE154" i="157"/>
  <c r="AB154" i="157"/>
  <c r="AC154" i="157" s="1"/>
  <c r="X154" i="157"/>
  <c r="Y154" i="157" s="1"/>
  <c r="N154" i="157"/>
  <c r="H154" i="157"/>
  <c r="AI153" i="157"/>
  <c r="AG153" i="157" s="1"/>
  <c r="AH153" i="157" s="1"/>
  <c r="AF153" i="157"/>
  <c r="L153" i="157" s="1"/>
  <c r="AE153" i="157"/>
  <c r="AB153" i="157"/>
  <c r="AC153" i="157" s="1"/>
  <c r="X153" i="157"/>
  <c r="Y153" i="157" s="1"/>
  <c r="N153" i="157"/>
  <c r="H153" i="157"/>
  <c r="AI152" i="157"/>
  <c r="AG152" i="157" s="1"/>
  <c r="AH152" i="157" s="1"/>
  <c r="AF152" i="157"/>
  <c r="J152" i="157" s="1"/>
  <c r="AE152" i="157"/>
  <c r="AB152" i="157"/>
  <c r="AC152" i="157" s="1"/>
  <c r="X152" i="157"/>
  <c r="Y152" i="157" s="1"/>
  <c r="N152" i="157"/>
  <c r="H152" i="157"/>
  <c r="AI160" i="157"/>
  <c r="AG160" i="157" s="1"/>
  <c r="AH160" i="157" s="1"/>
  <c r="AF160" i="157"/>
  <c r="L160" i="157" s="1"/>
  <c r="AE160" i="157"/>
  <c r="AB160" i="157"/>
  <c r="AC160" i="157" s="1"/>
  <c r="X160" i="157"/>
  <c r="Y160" i="157" s="1"/>
  <c r="N160" i="157"/>
  <c r="H160" i="157"/>
  <c r="AI161" i="157"/>
  <c r="AG161" i="157" s="1"/>
  <c r="AH161" i="157" s="1"/>
  <c r="AF161" i="157"/>
  <c r="J161" i="157" s="1"/>
  <c r="AE161" i="157"/>
  <c r="AB161" i="157"/>
  <c r="AC161" i="157" s="1"/>
  <c r="X161" i="157"/>
  <c r="Y161" i="157" s="1"/>
  <c r="N161" i="157"/>
  <c r="H161" i="157"/>
  <c r="AI158" i="157"/>
  <c r="AG158" i="157" s="1"/>
  <c r="AH158" i="157" s="1"/>
  <c r="AF158" i="157"/>
  <c r="J158" i="157" s="1"/>
  <c r="AE158" i="157"/>
  <c r="AB158" i="157"/>
  <c r="AC158" i="157" s="1"/>
  <c r="X158" i="157"/>
  <c r="Y158" i="157" s="1"/>
  <c r="N158" i="157"/>
  <c r="H158" i="157"/>
  <c r="AI159" i="157"/>
  <c r="AG159" i="157" s="1"/>
  <c r="AH159" i="157" s="1"/>
  <c r="AF159" i="157"/>
  <c r="L159" i="157" s="1"/>
  <c r="AE159" i="157"/>
  <c r="AB159" i="157"/>
  <c r="AC159" i="157" s="1"/>
  <c r="X159" i="157"/>
  <c r="Y159" i="157" s="1"/>
  <c r="N159" i="157"/>
  <c r="H159" i="157"/>
  <c r="L152" i="157" l="1"/>
  <c r="J153" i="157"/>
  <c r="L155" i="157"/>
  <c r="J156" i="157"/>
  <c r="L161" i="157"/>
  <c r="J154" i="157"/>
  <c r="AL153" i="157"/>
  <c r="AD153" i="157"/>
  <c r="AL156" i="157"/>
  <c r="AD156" i="157"/>
  <c r="AL154" i="157"/>
  <c r="AD154" i="157"/>
  <c r="AL152" i="157"/>
  <c r="AD152" i="157"/>
  <c r="AL155" i="157"/>
  <c r="AD155" i="157"/>
  <c r="J160" i="157"/>
  <c r="L158" i="157"/>
  <c r="AL160" i="157"/>
  <c r="AD160" i="157"/>
  <c r="AL161" i="157"/>
  <c r="AD161" i="157"/>
  <c r="AL158" i="157"/>
  <c r="AD158" i="157"/>
  <c r="J159" i="157"/>
  <c r="AL159" i="157"/>
  <c r="AD159" i="157"/>
  <c r="J102" i="142"/>
  <c r="AR152" i="157" l="1"/>
  <c r="AJ152" i="157"/>
  <c r="AR156" i="157"/>
  <c r="AJ156" i="157"/>
  <c r="AR155" i="157"/>
  <c r="AJ155" i="157"/>
  <c r="AR154" i="157"/>
  <c r="AJ154" i="157"/>
  <c r="AR153" i="157"/>
  <c r="AJ153" i="157"/>
  <c r="AR160" i="157"/>
  <c r="AJ160" i="157"/>
  <c r="AR161" i="157"/>
  <c r="AJ161" i="157"/>
  <c r="AR158" i="157"/>
  <c r="AJ158" i="157"/>
  <c r="AR159" i="157"/>
  <c r="AJ159" i="157"/>
  <c r="J102" i="140"/>
  <c r="N102" i="140"/>
  <c r="K51" i="140" s="1"/>
  <c r="Z101" i="140"/>
  <c r="Z100" i="140"/>
  <c r="Z99" i="140"/>
  <c r="Z98" i="140"/>
  <c r="Z97" i="140"/>
  <c r="Z96" i="140"/>
  <c r="Z95" i="140"/>
  <c r="Z94" i="140"/>
  <c r="Z93" i="140"/>
  <c r="Z92" i="140"/>
  <c r="Z91" i="140"/>
  <c r="Z90" i="140"/>
  <c r="Z89" i="140"/>
  <c r="Z88" i="140"/>
  <c r="Z87" i="140"/>
  <c r="Z86" i="140"/>
  <c r="Z85" i="140"/>
  <c r="Z84" i="140"/>
  <c r="Z83" i="140"/>
  <c r="Z82" i="140"/>
  <c r="Z81" i="140"/>
  <c r="Z80" i="140"/>
  <c r="Z79" i="140"/>
  <c r="Z78" i="140"/>
  <c r="Z77" i="140"/>
  <c r="Z76" i="140"/>
  <c r="Z75" i="140"/>
  <c r="Z74" i="140"/>
  <c r="Z73" i="140"/>
  <c r="Z72" i="140"/>
  <c r="Z71" i="140"/>
  <c r="AE71" i="140" s="1"/>
  <c r="X101" i="140"/>
  <c r="X100" i="140"/>
  <c r="X99" i="140"/>
  <c r="X98" i="140"/>
  <c r="X97" i="140"/>
  <c r="X96" i="140"/>
  <c r="X95" i="140"/>
  <c r="X94" i="140"/>
  <c r="X93" i="140"/>
  <c r="X92" i="140"/>
  <c r="X91" i="140"/>
  <c r="X90" i="140"/>
  <c r="X89" i="140"/>
  <c r="X88" i="140"/>
  <c r="X87" i="140"/>
  <c r="X86" i="140"/>
  <c r="X85" i="140"/>
  <c r="X84" i="140"/>
  <c r="X83" i="140"/>
  <c r="X82" i="140"/>
  <c r="X81" i="140"/>
  <c r="X80" i="140"/>
  <c r="X79" i="140"/>
  <c r="X78" i="140"/>
  <c r="X77" i="140"/>
  <c r="X76" i="140"/>
  <c r="X75" i="140"/>
  <c r="X74" i="140"/>
  <c r="X73" i="140"/>
  <c r="X72" i="140"/>
  <c r="X71" i="140"/>
  <c r="U101" i="140"/>
  <c r="U100" i="140"/>
  <c r="U99" i="140"/>
  <c r="U98" i="140"/>
  <c r="U97" i="140"/>
  <c r="U96" i="140"/>
  <c r="U95" i="140"/>
  <c r="U94" i="140"/>
  <c r="U93" i="140"/>
  <c r="U92" i="140"/>
  <c r="U91" i="140"/>
  <c r="U90" i="140"/>
  <c r="U89" i="140"/>
  <c r="U88" i="140"/>
  <c r="U87" i="140"/>
  <c r="U86" i="140"/>
  <c r="U85" i="140"/>
  <c r="U84" i="140"/>
  <c r="U83" i="140"/>
  <c r="U82" i="140"/>
  <c r="U81" i="140"/>
  <c r="U80" i="140"/>
  <c r="U79" i="140"/>
  <c r="U78" i="140"/>
  <c r="U77" i="140"/>
  <c r="U76" i="140"/>
  <c r="U75" i="140"/>
  <c r="U74" i="140"/>
  <c r="U73" i="140"/>
  <c r="U72" i="140"/>
  <c r="U71" i="140"/>
  <c r="S101" i="140"/>
  <c r="S100" i="140"/>
  <c r="S99" i="140"/>
  <c r="S98" i="140"/>
  <c r="S97" i="140"/>
  <c r="S96" i="140"/>
  <c r="S95" i="140"/>
  <c r="S94" i="140"/>
  <c r="S93" i="140"/>
  <c r="S92" i="140"/>
  <c r="S91" i="140"/>
  <c r="S90" i="140"/>
  <c r="S89" i="140"/>
  <c r="S88" i="140"/>
  <c r="S87" i="140"/>
  <c r="S86" i="140"/>
  <c r="S85" i="140"/>
  <c r="S84" i="140"/>
  <c r="S83" i="140"/>
  <c r="S82" i="140"/>
  <c r="S81" i="140"/>
  <c r="S80" i="140"/>
  <c r="S79" i="140"/>
  <c r="S78" i="140"/>
  <c r="S77" i="140"/>
  <c r="S76" i="140"/>
  <c r="S75" i="140"/>
  <c r="S74" i="140"/>
  <c r="S73" i="140"/>
  <c r="S72" i="140"/>
  <c r="S71" i="140"/>
  <c r="AD71" i="140"/>
  <c r="AC71" i="140" s="1"/>
  <c r="N102" i="153"/>
  <c r="K51" i="153"/>
  <c r="Z100" i="153"/>
  <c r="AE100" i="153" s="1"/>
  <c r="Z99" i="153"/>
  <c r="Z98" i="153"/>
  <c r="Z97" i="153"/>
  <c r="Z96" i="153"/>
  <c r="AE96" i="153" s="1"/>
  <c r="Z95" i="153"/>
  <c r="Z94" i="153"/>
  <c r="Z93" i="153"/>
  <c r="Z92" i="153"/>
  <c r="AE92" i="153" s="1"/>
  <c r="Z91" i="153"/>
  <c r="Z90" i="153"/>
  <c r="Z89" i="153"/>
  <c r="Z88" i="153"/>
  <c r="Z87" i="153"/>
  <c r="Z86" i="153"/>
  <c r="Z85" i="153"/>
  <c r="Z84" i="153"/>
  <c r="AE84" i="153" s="1"/>
  <c r="Z83" i="153"/>
  <c r="Z82" i="153"/>
  <c r="Z81" i="153"/>
  <c r="Z80" i="153"/>
  <c r="Z79" i="153"/>
  <c r="Z78" i="153"/>
  <c r="Z77" i="153"/>
  <c r="Z76" i="153"/>
  <c r="Z75" i="153"/>
  <c r="Z74" i="153"/>
  <c r="Z73" i="153"/>
  <c r="Z72" i="153"/>
  <c r="AE72" i="153" s="1"/>
  <c r="Z71" i="153"/>
  <c r="X100" i="153"/>
  <c r="X99" i="153"/>
  <c r="X98" i="153"/>
  <c r="X97" i="153"/>
  <c r="X96" i="153"/>
  <c r="X95" i="153"/>
  <c r="X94" i="153"/>
  <c r="AE94" i="153" s="1"/>
  <c r="AF94" i="153" s="1"/>
  <c r="X93" i="153"/>
  <c r="X92" i="153"/>
  <c r="X91" i="153"/>
  <c r="X90" i="153"/>
  <c r="X89" i="153"/>
  <c r="X88" i="153"/>
  <c r="X87" i="153"/>
  <c r="X86" i="153"/>
  <c r="X85" i="153"/>
  <c r="X84" i="153"/>
  <c r="X83" i="153"/>
  <c r="X82" i="153"/>
  <c r="X81" i="153"/>
  <c r="X80" i="153"/>
  <c r="X79" i="153"/>
  <c r="AE79" i="153" s="1"/>
  <c r="AF79" i="153" s="1"/>
  <c r="X78" i="153"/>
  <c r="AE78" i="153" s="1"/>
  <c r="X77" i="153"/>
  <c r="X76" i="153"/>
  <c r="X75" i="153"/>
  <c r="X74" i="153"/>
  <c r="X73" i="153"/>
  <c r="X72" i="153"/>
  <c r="X71" i="153"/>
  <c r="U100" i="153"/>
  <c r="U99" i="153"/>
  <c r="U98" i="153"/>
  <c r="U97" i="153"/>
  <c r="U96" i="153"/>
  <c r="U95" i="153"/>
  <c r="U94" i="153"/>
  <c r="U93" i="153"/>
  <c r="U92" i="153"/>
  <c r="U91" i="153"/>
  <c r="U90" i="153"/>
  <c r="U89" i="153"/>
  <c r="U88" i="153"/>
  <c r="U87" i="153"/>
  <c r="U86" i="153"/>
  <c r="U85" i="153"/>
  <c r="U84" i="153"/>
  <c r="U83" i="153"/>
  <c r="U82" i="153"/>
  <c r="U81" i="153"/>
  <c r="U80" i="153"/>
  <c r="U79" i="153"/>
  <c r="U78" i="153"/>
  <c r="U77" i="153"/>
  <c r="U76" i="153"/>
  <c r="U75" i="153"/>
  <c r="U74" i="153"/>
  <c r="U73" i="153"/>
  <c r="U72" i="153"/>
  <c r="U71" i="153"/>
  <c r="S100" i="153"/>
  <c r="S99" i="153"/>
  <c r="S98" i="153"/>
  <c r="S97" i="153"/>
  <c r="S96" i="153"/>
  <c r="S95" i="153"/>
  <c r="S94" i="153"/>
  <c r="S93" i="153"/>
  <c r="S92" i="153"/>
  <c r="S91" i="153"/>
  <c r="S90" i="153"/>
  <c r="S89" i="153"/>
  <c r="S88" i="153"/>
  <c r="S87" i="153"/>
  <c r="S86" i="153"/>
  <c r="S85" i="153"/>
  <c r="S84" i="153"/>
  <c r="S83" i="153"/>
  <c r="S82" i="153"/>
  <c r="S81" i="153"/>
  <c r="S80" i="153"/>
  <c r="S79" i="153"/>
  <c r="S78" i="153"/>
  <c r="S77" i="153"/>
  <c r="S76" i="153"/>
  <c r="S75" i="153"/>
  <c r="S74" i="153"/>
  <c r="S73" i="153"/>
  <c r="S72" i="153"/>
  <c r="S71" i="153"/>
  <c r="J102" i="153"/>
  <c r="AD71" i="153"/>
  <c r="AC71" i="153" s="1"/>
  <c r="AD72" i="153"/>
  <c r="AD73" i="153"/>
  <c r="AC73" i="153" s="1"/>
  <c r="AD74" i="153"/>
  <c r="AC74" i="153" s="1"/>
  <c r="AD75" i="153"/>
  <c r="AC75" i="153" s="1"/>
  <c r="AD76" i="153"/>
  <c r="AE76" i="153"/>
  <c r="AD77" i="153"/>
  <c r="AC77" i="153" s="1"/>
  <c r="AD78" i="153"/>
  <c r="AC78" i="153" s="1"/>
  <c r="AC79" i="153"/>
  <c r="AD79" i="153"/>
  <c r="AD80" i="153"/>
  <c r="AE80" i="153"/>
  <c r="AD81" i="153"/>
  <c r="AC81" i="153" s="1"/>
  <c r="AD82" i="153"/>
  <c r="AC82" i="153" s="1"/>
  <c r="AD83" i="153"/>
  <c r="AC83" i="153" s="1"/>
  <c r="AD84" i="153"/>
  <c r="AD85" i="153"/>
  <c r="AC85" i="153" s="1"/>
  <c r="AD86" i="153"/>
  <c r="AC86" i="153" s="1"/>
  <c r="AD87" i="153"/>
  <c r="AC87" i="153" s="1"/>
  <c r="AD88" i="153"/>
  <c r="AE88" i="153"/>
  <c r="AD89" i="153"/>
  <c r="AC89" i="153" s="1"/>
  <c r="AD90" i="153"/>
  <c r="AC90" i="153" s="1"/>
  <c r="AC91" i="153"/>
  <c r="AD91" i="153"/>
  <c r="AD92" i="153"/>
  <c r="AC93" i="153"/>
  <c r="AD93" i="153"/>
  <c r="AD94" i="153"/>
  <c r="AC94" i="153" s="1"/>
  <c r="AD95" i="153"/>
  <c r="AC95" i="153" s="1"/>
  <c r="AD96" i="153"/>
  <c r="AD97" i="153"/>
  <c r="AC97" i="153" s="1"/>
  <c r="AD98" i="153"/>
  <c r="AC98" i="153" s="1"/>
  <c r="AD99" i="153"/>
  <c r="AC99" i="153" s="1"/>
  <c r="AD100" i="153"/>
  <c r="K102" i="153"/>
  <c r="L102" i="153"/>
  <c r="M102" i="153"/>
  <c r="O102" i="153"/>
  <c r="K53" i="153" s="1"/>
  <c r="P102" i="153"/>
  <c r="K49" i="153" s="1"/>
  <c r="Q102" i="153"/>
  <c r="T102" i="153"/>
  <c r="V102" i="153"/>
  <c r="W102" i="153"/>
  <c r="Y102" i="153"/>
  <c r="AA102" i="153"/>
  <c r="AG102" i="153"/>
  <c r="N102" i="151"/>
  <c r="K51" i="151" s="1"/>
  <c r="T102" i="152"/>
  <c r="V102" i="152"/>
  <c r="W102" i="152"/>
  <c r="X100" i="152"/>
  <c r="Z100" i="152" s="1"/>
  <c r="X99" i="152"/>
  <c r="Z99" i="152" s="1"/>
  <c r="X96" i="152"/>
  <c r="Z96" i="152" s="1"/>
  <c r="X95" i="152"/>
  <c r="X92" i="152"/>
  <c r="Z92" i="152" s="1"/>
  <c r="X91" i="152"/>
  <c r="X88" i="152"/>
  <c r="Z88" i="152" s="1"/>
  <c r="X87" i="152"/>
  <c r="X84" i="152"/>
  <c r="Z84" i="152" s="1"/>
  <c r="X83" i="152"/>
  <c r="Z83" i="152" s="1"/>
  <c r="X80" i="152"/>
  <c r="Z80" i="152" s="1"/>
  <c r="X79" i="152"/>
  <c r="X76" i="152"/>
  <c r="Z76" i="152" s="1"/>
  <c r="X75" i="152"/>
  <c r="X72" i="152"/>
  <c r="Z72" i="152" s="1"/>
  <c r="X71" i="152"/>
  <c r="Z71" i="152" s="1"/>
  <c r="U101" i="152"/>
  <c r="U100" i="152"/>
  <c r="U99" i="152"/>
  <c r="U98" i="152"/>
  <c r="U97" i="152"/>
  <c r="U96" i="152"/>
  <c r="U95" i="152"/>
  <c r="U94" i="152"/>
  <c r="U93" i="152"/>
  <c r="U92" i="152"/>
  <c r="U91" i="152"/>
  <c r="U90" i="152"/>
  <c r="U89" i="152"/>
  <c r="U88" i="152"/>
  <c r="U87" i="152"/>
  <c r="U86" i="152"/>
  <c r="U85" i="152"/>
  <c r="U84" i="152"/>
  <c r="U83" i="152"/>
  <c r="U82" i="152"/>
  <c r="U81" i="152"/>
  <c r="U80" i="152"/>
  <c r="U79" i="152"/>
  <c r="U78" i="152"/>
  <c r="U77" i="152"/>
  <c r="U76" i="152"/>
  <c r="U75" i="152"/>
  <c r="U74" i="152"/>
  <c r="U73" i="152"/>
  <c r="U72" i="152"/>
  <c r="U71" i="152"/>
  <c r="S101" i="152"/>
  <c r="S100" i="152"/>
  <c r="S99" i="152"/>
  <c r="S98" i="152"/>
  <c r="S97" i="152"/>
  <c r="S96" i="152"/>
  <c r="S95" i="152"/>
  <c r="S94" i="152"/>
  <c r="S93" i="152"/>
  <c r="S92" i="152"/>
  <c r="S91" i="152"/>
  <c r="S90" i="152"/>
  <c r="S89" i="152"/>
  <c r="S88" i="152"/>
  <c r="S87" i="152"/>
  <c r="S86" i="152"/>
  <c r="S85" i="152"/>
  <c r="S84" i="152"/>
  <c r="S83" i="152"/>
  <c r="S82" i="152"/>
  <c r="S81" i="152"/>
  <c r="S80" i="152"/>
  <c r="S79" i="152"/>
  <c r="S78" i="152"/>
  <c r="S77" i="152"/>
  <c r="S76" i="152"/>
  <c r="S75" i="152"/>
  <c r="S74" i="152"/>
  <c r="S73" i="152"/>
  <c r="S72" i="152"/>
  <c r="S71" i="152"/>
  <c r="J102" i="152"/>
  <c r="K102" i="152"/>
  <c r="L102" i="152"/>
  <c r="M102" i="152"/>
  <c r="N102" i="152"/>
  <c r="K51" i="152" s="1"/>
  <c r="O102" i="152"/>
  <c r="K53" i="152" s="1"/>
  <c r="P102" i="152"/>
  <c r="K49" i="152" s="1"/>
  <c r="AH71" i="152"/>
  <c r="AG71" i="152" s="1"/>
  <c r="AI71" i="152"/>
  <c r="Z95" i="152"/>
  <c r="Z91" i="152"/>
  <c r="Z87" i="152"/>
  <c r="Z79" i="152"/>
  <c r="Z75" i="152"/>
  <c r="AI78" i="152"/>
  <c r="AI86" i="152"/>
  <c r="AI94" i="152"/>
  <c r="AI97" i="152"/>
  <c r="AI98" i="152"/>
  <c r="AI99" i="152"/>
  <c r="AI92" i="152"/>
  <c r="AI90" i="152"/>
  <c r="AI88" i="152"/>
  <c r="AI84" i="152"/>
  <c r="AI82" i="152"/>
  <c r="AI80" i="152"/>
  <c r="AI76" i="152"/>
  <c r="AI74" i="152"/>
  <c r="AI72" i="152"/>
  <c r="AH72" i="152"/>
  <c r="AG72" i="152" s="1"/>
  <c r="AH73" i="152"/>
  <c r="AG73" i="152" s="1"/>
  <c r="AI73" i="152"/>
  <c r="AH74" i="152"/>
  <c r="AH75" i="152"/>
  <c r="AG75" i="152" s="1"/>
  <c r="AI75" i="152"/>
  <c r="AH76" i="152"/>
  <c r="AG76" i="152" s="1"/>
  <c r="AH77" i="152"/>
  <c r="AG77" i="152" s="1"/>
  <c r="AI77" i="152"/>
  <c r="AH78" i="152"/>
  <c r="AH79" i="152"/>
  <c r="AG79" i="152" s="1"/>
  <c r="AI79" i="152"/>
  <c r="AH80" i="152"/>
  <c r="AG80" i="152" s="1"/>
  <c r="AH81" i="152"/>
  <c r="AG81" i="152" s="1"/>
  <c r="AI81" i="152"/>
  <c r="AH82" i="152"/>
  <c r="AH83" i="152"/>
  <c r="AG83" i="152" s="1"/>
  <c r="AI83" i="152"/>
  <c r="AH84" i="152"/>
  <c r="AG84" i="152" s="1"/>
  <c r="AH85" i="152"/>
  <c r="AG85" i="152" s="1"/>
  <c r="AI85" i="152"/>
  <c r="AH86" i="152"/>
  <c r="AH87" i="152"/>
  <c r="AG87" i="152" s="1"/>
  <c r="AI87" i="152"/>
  <c r="AH88" i="152"/>
  <c r="AG88" i="152" s="1"/>
  <c r="AH89" i="152"/>
  <c r="AG89" i="152" s="1"/>
  <c r="AI89" i="152"/>
  <c r="AH90" i="152"/>
  <c r="AH91" i="152"/>
  <c r="AG91" i="152" s="1"/>
  <c r="AI91" i="152"/>
  <c r="AH92" i="152"/>
  <c r="AG92" i="152" s="1"/>
  <c r="AH93" i="152"/>
  <c r="AG93" i="152" s="1"/>
  <c r="AI93" i="152"/>
  <c r="AH94" i="152"/>
  <c r="AH95" i="152"/>
  <c r="AG95" i="152" s="1"/>
  <c r="AI95" i="152"/>
  <c r="AH96" i="152"/>
  <c r="AG96" i="152" s="1"/>
  <c r="AI96" i="152"/>
  <c r="AH97" i="152"/>
  <c r="AG97" i="152" s="1"/>
  <c r="AH98" i="152"/>
  <c r="AH99" i="152"/>
  <c r="AG99" i="152" s="1"/>
  <c r="AH100" i="152"/>
  <c r="AG100" i="152" s="1"/>
  <c r="AI100" i="152"/>
  <c r="AH101" i="152"/>
  <c r="AG101" i="152" s="1"/>
  <c r="AI101" i="152"/>
  <c r="X101" i="152"/>
  <c r="Z101" i="152" s="1"/>
  <c r="X98" i="152"/>
  <c r="Z98" i="152" s="1"/>
  <c r="X97" i="152"/>
  <c r="Z97" i="152" s="1"/>
  <c r="X94" i="152"/>
  <c r="Z94" i="152" s="1"/>
  <c r="X93" i="152"/>
  <c r="Z93" i="152" s="1"/>
  <c r="X90" i="152"/>
  <c r="Z90" i="152" s="1"/>
  <c r="X89" i="152"/>
  <c r="Z89" i="152" s="1"/>
  <c r="X86" i="152"/>
  <c r="Z86" i="152" s="1"/>
  <c r="X85" i="152"/>
  <c r="Z85" i="152" s="1"/>
  <c r="X82" i="152"/>
  <c r="Z82" i="152" s="1"/>
  <c r="X81" i="152"/>
  <c r="Z81" i="152" s="1"/>
  <c r="X78" i="152"/>
  <c r="Z78" i="152" s="1"/>
  <c r="X77" i="152"/>
  <c r="Z77" i="152" s="1"/>
  <c r="X74" i="152"/>
  <c r="Z74" i="152" s="1"/>
  <c r="X73" i="152"/>
  <c r="Z73" i="152" s="1"/>
  <c r="Q102" i="152"/>
  <c r="R102" i="152"/>
  <c r="AA102" i="152"/>
  <c r="AC102" i="152"/>
  <c r="AD102" i="152"/>
  <c r="AE102" i="152"/>
  <c r="AK102" i="152"/>
  <c r="J102" i="151"/>
  <c r="Z100" i="151"/>
  <c r="Z99" i="151"/>
  <c r="Z98" i="151"/>
  <c r="Z97" i="151"/>
  <c r="Z96" i="151"/>
  <c r="Z95" i="151"/>
  <c r="Z94" i="151"/>
  <c r="Z93" i="151"/>
  <c r="Z92" i="151"/>
  <c r="Z91" i="151"/>
  <c r="Z90" i="151"/>
  <c r="Z89" i="151"/>
  <c r="Z88" i="151"/>
  <c r="Z87" i="151"/>
  <c r="Z86" i="151"/>
  <c r="Z85" i="151"/>
  <c r="Z84" i="151"/>
  <c r="Z83" i="151"/>
  <c r="Z82" i="151"/>
  <c r="Z81" i="151"/>
  <c r="Z80" i="151"/>
  <c r="Z79" i="151"/>
  <c r="Z78" i="151"/>
  <c r="Z77" i="151"/>
  <c r="Z76" i="151"/>
  <c r="AE76" i="151" s="1"/>
  <c r="AF76" i="151" s="1"/>
  <c r="Z75" i="151"/>
  <c r="Z74" i="151"/>
  <c r="Z73" i="151"/>
  <c r="Z72" i="151"/>
  <c r="Z71" i="151"/>
  <c r="X100" i="151"/>
  <c r="X99" i="151"/>
  <c r="X98" i="151"/>
  <c r="X97" i="151"/>
  <c r="X96" i="151"/>
  <c r="X95" i="151"/>
  <c r="X94" i="151"/>
  <c r="X93" i="151"/>
  <c r="X92" i="151"/>
  <c r="X91" i="151"/>
  <c r="X90" i="151"/>
  <c r="X89" i="151"/>
  <c r="X88" i="151"/>
  <c r="X87" i="151"/>
  <c r="X86" i="151"/>
  <c r="X85" i="151"/>
  <c r="X84" i="151"/>
  <c r="X83" i="151"/>
  <c r="X82" i="151"/>
  <c r="AE82" i="151" s="1"/>
  <c r="X81" i="151"/>
  <c r="X80" i="151"/>
  <c r="X79" i="151"/>
  <c r="X78" i="151"/>
  <c r="X77" i="151"/>
  <c r="X76" i="151"/>
  <c r="X75" i="151"/>
  <c r="X74" i="151"/>
  <c r="AE74" i="151" s="1"/>
  <c r="X73" i="151"/>
  <c r="X72" i="151"/>
  <c r="X71" i="151"/>
  <c r="AD71" i="151"/>
  <c r="U100" i="151"/>
  <c r="U99" i="151"/>
  <c r="U98" i="151"/>
  <c r="U97" i="151"/>
  <c r="U96" i="151"/>
  <c r="U95" i="151"/>
  <c r="U94" i="151"/>
  <c r="U93" i="151"/>
  <c r="U92" i="151"/>
  <c r="U91" i="151"/>
  <c r="U90" i="151"/>
  <c r="U89" i="151"/>
  <c r="U88" i="151"/>
  <c r="U87" i="151"/>
  <c r="U86" i="151"/>
  <c r="U85" i="151"/>
  <c r="U84" i="151"/>
  <c r="U83" i="151"/>
  <c r="U82" i="151"/>
  <c r="U81" i="151"/>
  <c r="U80" i="151"/>
  <c r="U79" i="151"/>
  <c r="U78" i="151"/>
  <c r="U77" i="151"/>
  <c r="U76" i="151"/>
  <c r="U75" i="151"/>
  <c r="U74" i="151"/>
  <c r="U73" i="151"/>
  <c r="U72" i="151"/>
  <c r="U71" i="151"/>
  <c r="S100" i="151"/>
  <c r="S99" i="151"/>
  <c r="S98" i="151"/>
  <c r="S97" i="151"/>
  <c r="S96" i="151"/>
  <c r="S95" i="151"/>
  <c r="S94" i="151"/>
  <c r="S93" i="151"/>
  <c r="S92" i="151"/>
  <c r="S91" i="151"/>
  <c r="S90" i="151"/>
  <c r="S89" i="151"/>
  <c r="S88" i="151"/>
  <c r="S87" i="151"/>
  <c r="S86" i="151"/>
  <c r="S85" i="151"/>
  <c r="S84" i="151"/>
  <c r="S83" i="151"/>
  <c r="S82" i="151"/>
  <c r="S81" i="151"/>
  <c r="S80" i="151"/>
  <c r="S79" i="151"/>
  <c r="S78" i="151"/>
  <c r="S77" i="151"/>
  <c r="S76" i="151"/>
  <c r="S75" i="151"/>
  <c r="S74" i="151"/>
  <c r="S73" i="151"/>
  <c r="S72" i="151"/>
  <c r="S71" i="151"/>
  <c r="J102" i="150"/>
  <c r="J102" i="149"/>
  <c r="J102" i="148"/>
  <c r="AD72" i="151"/>
  <c r="AC72" i="151" s="1"/>
  <c r="AD73" i="151"/>
  <c r="AC73" i="151" s="1"/>
  <c r="AD74" i="151"/>
  <c r="AC74" i="151" s="1"/>
  <c r="AD75" i="151"/>
  <c r="AD76" i="151"/>
  <c r="AC76" i="151" s="1"/>
  <c r="AD77" i="151"/>
  <c r="AC77" i="151" s="1"/>
  <c r="AD78" i="151"/>
  <c r="AC78" i="151" s="1"/>
  <c r="AE78" i="151"/>
  <c r="AD79" i="151"/>
  <c r="AD80" i="151"/>
  <c r="AC80" i="151" s="1"/>
  <c r="AE80" i="151"/>
  <c r="AF80" i="151" s="1"/>
  <c r="AD81" i="151"/>
  <c r="AC81" i="151" s="1"/>
  <c r="AD82" i="151"/>
  <c r="AC82" i="151" s="1"/>
  <c r="AD83" i="151"/>
  <c r="AD84" i="151"/>
  <c r="AC84" i="151" s="1"/>
  <c r="AD85" i="151"/>
  <c r="AC85" i="151" s="1"/>
  <c r="AD86" i="151"/>
  <c r="AC86" i="151" s="1"/>
  <c r="AE86" i="151"/>
  <c r="AD87" i="151"/>
  <c r="AC88" i="151"/>
  <c r="AD88" i="151"/>
  <c r="AD89" i="151"/>
  <c r="AC89" i="151" s="1"/>
  <c r="AD90" i="151"/>
  <c r="AC90" i="151" s="1"/>
  <c r="AD91" i="151"/>
  <c r="AD92" i="151"/>
  <c r="AC92" i="151" s="1"/>
  <c r="AE92" i="151"/>
  <c r="AF92" i="151" s="1"/>
  <c r="AD93" i="151"/>
  <c r="AC93" i="151" s="1"/>
  <c r="AD94" i="151"/>
  <c r="AC94" i="151" s="1"/>
  <c r="AD95" i="151"/>
  <c r="AD96" i="151"/>
  <c r="AC96" i="151" s="1"/>
  <c r="AE96" i="151"/>
  <c r="AF96" i="151" s="1"/>
  <c r="AD97" i="151"/>
  <c r="AC97" i="151" s="1"/>
  <c r="AD98" i="151"/>
  <c r="AC98" i="151" s="1"/>
  <c r="AD99" i="151"/>
  <c r="AE99" i="151"/>
  <c r="AD100" i="151"/>
  <c r="AC100" i="151" s="1"/>
  <c r="K102" i="151"/>
  <c r="L102" i="151"/>
  <c r="M102" i="151"/>
  <c r="O102" i="151"/>
  <c r="K53" i="151" s="1"/>
  <c r="P102" i="151"/>
  <c r="K49" i="151" s="1"/>
  <c r="Q102" i="151"/>
  <c r="T102" i="151"/>
  <c r="V102" i="151"/>
  <c r="V103" i="151" s="1"/>
  <c r="W102" i="151"/>
  <c r="Y102" i="151"/>
  <c r="AA102" i="151"/>
  <c r="AG102" i="151"/>
  <c r="W103" i="151"/>
  <c r="K51" i="148"/>
  <c r="K51" i="147"/>
  <c r="Z101" i="150"/>
  <c r="Z100" i="150"/>
  <c r="Z99" i="150"/>
  <c r="Z98" i="150"/>
  <c r="Z97" i="150"/>
  <c r="Z96" i="150"/>
  <c r="Z95" i="150"/>
  <c r="Z94" i="150"/>
  <c r="Z93" i="150"/>
  <c r="Z92" i="150"/>
  <c r="Z91" i="150"/>
  <c r="Z90" i="150"/>
  <c r="Z89" i="150"/>
  <c r="Z88" i="150"/>
  <c r="Z87" i="150"/>
  <c r="Z86" i="150"/>
  <c r="Z85" i="150"/>
  <c r="Z84" i="150"/>
  <c r="Z83" i="150"/>
  <c r="Z82" i="150"/>
  <c r="Z81" i="150"/>
  <c r="Z80" i="150"/>
  <c r="Z79" i="150"/>
  <c r="Z78" i="150"/>
  <c r="Z77" i="150"/>
  <c r="Z76" i="150"/>
  <c r="Z75" i="150"/>
  <c r="Z74" i="150"/>
  <c r="Z73" i="150"/>
  <c r="Z72" i="150"/>
  <c r="Z71" i="150"/>
  <c r="X101" i="150"/>
  <c r="X100" i="150"/>
  <c r="X99" i="150"/>
  <c r="X98" i="150"/>
  <c r="X97" i="150"/>
  <c r="X96" i="150"/>
  <c r="X95" i="150"/>
  <c r="X94" i="150"/>
  <c r="X93" i="150"/>
  <c r="X92" i="150"/>
  <c r="X91" i="150"/>
  <c r="X90" i="150"/>
  <c r="X89" i="150"/>
  <c r="X88" i="150"/>
  <c r="X87" i="150"/>
  <c r="X86" i="150"/>
  <c r="X85" i="150"/>
  <c r="X84" i="150"/>
  <c r="X83" i="150"/>
  <c r="X82" i="150"/>
  <c r="X81" i="150"/>
  <c r="X80" i="150"/>
  <c r="X79" i="150"/>
  <c r="X78" i="150"/>
  <c r="X77" i="150"/>
  <c r="X76" i="150"/>
  <c r="X75" i="150"/>
  <c r="X74" i="150"/>
  <c r="X73" i="150"/>
  <c r="X72" i="150"/>
  <c r="X71" i="150"/>
  <c r="U101" i="150"/>
  <c r="U100" i="150"/>
  <c r="U99" i="150"/>
  <c r="U98" i="150"/>
  <c r="U97" i="150"/>
  <c r="U96" i="150"/>
  <c r="U95" i="150"/>
  <c r="U94" i="150"/>
  <c r="U93" i="150"/>
  <c r="U92" i="150"/>
  <c r="U91" i="150"/>
  <c r="U90" i="150"/>
  <c r="U89" i="150"/>
  <c r="U88" i="150"/>
  <c r="U87" i="150"/>
  <c r="U86" i="150"/>
  <c r="U85" i="150"/>
  <c r="U84" i="150"/>
  <c r="U83" i="150"/>
  <c r="U82" i="150"/>
  <c r="U81" i="150"/>
  <c r="U80" i="150"/>
  <c r="U79" i="150"/>
  <c r="U78" i="150"/>
  <c r="U77" i="150"/>
  <c r="U76" i="150"/>
  <c r="U75" i="150"/>
  <c r="U74" i="150"/>
  <c r="U73" i="150"/>
  <c r="U72" i="150"/>
  <c r="U71" i="150"/>
  <c r="S101" i="150"/>
  <c r="S100" i="150"/>
  <c r="S99" i="150"/>
  <c r="S98" i="150"/>
  <c r="S97" i="150"/>
  <c r="S96" i="150"/>
  <c r="S95" i="150"/>
  <c r="S94" i="150"/>
  <c r="S93" i="150"/>
  <c r="S92" i="150"/>
  <c r="S91" i="150"/>
  <c r="S90" i="150"/>
  <c r="S89" i="150"/>
  <c r="S88" i="150"/>
  <c r="S87" i="150"/>
  <c r="S86" i="150"/>
  <c r="S85" i="150"/>
  <c r="S84" i="150"/>
  <c r="S83" i="150"/>
  <c r="S82" i="150"/>
  <c r="S81" i="150"/>
  <c r="S80" i="150"/>
  <c r="S79" i="150"/>
  <c r="S78" i="150"/>
  <c r="S77" i="150"/>
  <c r="S76" i="150"/>
  <c r="S75" i="150"/>
  <c r="S74" i="150"/>
  <c r="S73" i="150"/>
  <c r="S72" i="150"/>
  <c r="S71" i="150"/>
  <c r="N102" i="150"/>
  <c r="K51" i="150" s="1"/>
  <c r="Z101" i="149"/>
  <c r="Z100" i="149"/>
  <c r="Z99" i="149"/>
  <c r="Z98" i="149"/>
  <c r="Z97" i="149"/>
  <c r="Z96" i="149"/>
  <c r="Z95" i="149"/>
  <c r="Z94" i="149"/>
  <c r="Z93" i="149"/>
  <c r="Z92" i="149"/>
  <c r="Z91" i="149"/>
  <c r="Z90" i="149"/>
  <c r="Z89" i="149"/>
  <c r="Z88" i="149"/>
  <c r="Z87" i="149"/>
  <c r="Z86" i="149"/>
  <c r="Z85" i="149"/>
  <c r="Z84" i="149"/>
  <c r="Z83" i="149"/>
  <c r="Z82" i="149"/>
  <c r="Z81" i="149"/>
  <c r="Z80" i="149"/>
  <c r="Z79" i="149"/>
  <c r="Z78" i="149"/>
  <c r="Z77" i="149"/>
  <c r="Z76" i="149"/>
  <c r="Z75" i="149"/>
  <c r="Z74" i="149"/>
  <c r="Z73" i="149"/>
  <c r="Z72" i="149"/>
  <c r="Z71" i="149"/>
  <c r="X101" i="149"/>
  <c r="X100" i="149"/>
  <c r="X99" i="149"/>
  <c r="X98" i="149"/>
  <c r="X97" i="149"/>
  <c r="X96" i="149"/>
  <c r="X95" i="149"/>
  <c r="X94" i="149"/>
  <c r="X93" i="149"/>
  <c r="X92" i="149"/>
  <c r="X91" i="149"/>
  <c r="X90" i="149"/>
  <c r="X89" i="149"/>
  <c r="X88" i="149"/>
  <c r="X87" i="149"/>
  <c r="X86" i="149"/>
  <c r="X85" i="149"/>
  <c r="X84" i="149"/>
  <c r="X83" i="149"/>
  <c r="X82" i="149"/>
  <c r="X81" i="149"/>
  <c r="X80" i="149"/>
  <c r="X79" i="149"/>
  <c r="X78" i="149"/>
  <c r="X77" i="149"/>
  <c r="X76" i="149"/>
  <c r="X75" i="149"/>
  <c r="X74" i="149"/>
  <c r="X73" i="149"/>
  <c r="X72" i="149"/>
  <c r="X71" i="149"/>
  <c r="U101" i="149"/>
  <c r="U100" i="149"/>
  <c r="U99" i="149"/>
  <c r="U98" i="149"/>
  <c r="U97" i="149"/>
  <c r="U96" i="149"/>
  <c r="U95" i="149"/>
  <c r="U94" i="149"/>
  <c r="U93" i="149"/>
  <c r="U92" i="149"/>
  <c r="U91" i="149"/>
  <c r="U90" i="149"/>
  <c r="U89" i="149"/>
  <c r="U88" i="149"/>
  <c r="U87" i="149"/>
  <c r="U86" i="149"/>
  <c r="U85" i="149"/>
  <c r="U84" i="149"/>
  <c r="U83" i="149"/>
  <c r="U82" i="149"/>
  <c r="U81" i="149"/>
  <c r="U80" i="149"/>
  <c r="U79" i="149"/>
  <c r="U78" i="149"/>
  <c r="U77" i="149"/>
  <c r="U76" i="149"/>
  <c r="U75" i="149"/>
  <c r="U74" i="149"/>
  <c r="U73" i="149"/>
  <c r="U72" i="149"/>
  <c r="U71" i="149"/>
  <c r="S101" i="149"/>
  <c r="S100" i="149"/>
  <c r="S99" i="149"/>
  <c r="S98" i="149"/>
  <c r="S97" i="149"/>
  <c r="S96" i="149"/>
  <c r="S95" i="149"/>
  <c r="S94" i="149"/>
  <c r="S93" i="149"/>
  <c r="S92" i="149"/>
  <c r="S91" i="149"/>
  <c r="S90" i="149"/>
  <c r="S89" i="149"/>
  <c r="S88" i="149"/>
  <c r="S87" i="149"/>
  <c r="S86" i="149"/>
  <c r="S85" i="149"/>
  <c r="S84" i="149"/>
  <c r="S83" i="149"/>
  <c r="S82" i="149"/>
  <c r="S81" i="149"/>
  <c r="S80" i="149"/>
  <c r="S79" i="149"/>
  <c r="S78" i="149"/>
  <c r="S77" i="149"/>
  <c r="S76" i="149"/>
  <c r="S75" i="149"/>
  <c r="S74" i="149"/>
  <c r="S73" i="149"/>
  <c r="S72" i="149"/>
  <c r="S71" i="149"/>
  <c r="Z101" i="147"/>
  <c r="AE101" i="147" s="1"/>
  <c r="Z100" i="147"/>
  <c r="AE100" i="147" s="1"/>
  <c r="Z99" i="147"/>
  <c r="Z98" i="147"/>
  <c r="Z97" i="147"/>
  <c r="Z96" i="147"/>
  <c r="Z95" i="147"/>
  <c r="Z94" i="147"/>
  <c r="Z93" i="147"/>
  <c r="Z92" i="147"/>
  <c r="AE92" i="147" s="1"/>
  <c r="Z91" i="147"/>
  <c r="Z90" i="147"/>
  <c r="Z89" i="147"/>
  <c r="AE89" i="147" s="1"/>
  <c r="Z88" i="147"/>
  <c r="Z87" i="147"/>
  <c r="Z86" i="147"/>
  <c r="Z85" i="147"/>
  <c r="Z84" i="147"/>
  <c r="AE84" i="147" s="1"/>
  <c r="Z83" i="147"/>
  <c r="Z82" i="147"/>
  <c r="Z81" i="147"/>
  <c r="Z80" i="147"/>
  <c r="AE80" i="147" s="1"/>
  <c r="Z79" i="147"/>
  <c r="Z78" i="147"/>
  <c r="Z77" i="147"/>
  <c r="Z76" i="147"/>
  <c r="AE76" i="147" s="1"/>
  <c r="Z75" i="147"/>
  <c r="Z74" i="147"/>
  <c r="Z73" i="147"/>
  <c r="Z72" i="147"/>
  <c r="AE72" i="147" s="1"/>
  <c r="Z71" i="147"/>
  <c r="X101" i="147"/>
  <c r="X100" i="147"/>
  <c r="X99" i="147"/>
  <c r="AE99" i="147" s="1"/>
  <c r="X98" i="147"/>
  <c r="X97" i="147"/>
  <c r="X96" i="147"/>
  <c r="AE96" i="147" s="1"/>
  <c r="X95" i="147"/>
  <c r="AE95" i="147" s="1"/>
  <c r="X94" i="147"/>
  <c r="X93" i="147"/>
  <c r="X92" i="147"/>
  <c r="X91" i="147"/>
  <c r="X90" i="147"/>
  <c r="X89" i="147"/>
  <c r="X88" i="147"/>
  <c r="X87" i="147"/>
  <c r="AE87" i="147" s="1"/>
  <c r="X86" i="147"/>
  <c r="X85" i="147"/>
  <c r="X84" i="147"/>
  <c r="X83" i="147"/>
  <c r="X82" i="147"/>
  <c r="X81" i="147"/>
  <c r="X80" i="147"/>
  <c r="X79" i="147"/>
  <c r="AE79" i="147" s="1"/>
  <c r="X78" i="147"/>
  <c r="X77" i="147"/>
  <c r="X76" i="147"/>
  <c r="X75" i="147"/>
  <c r="X74" i="147"/>
  <c r="X73" i="147"/>
  <c r="X72" i="147"/>
  <c r="X71" i="147"/>
  <c r="X102" i="147" s="1"/>
  <c r="U101" i="147"/>
  <c r="U100" i="147"/>
  <c r="U99" i="147"/>
  <c r="U98" i="147"/>
  <c r="U97" i="147"/>
  <c r="U96" i="147"/>
  <c r="U95" i="147"/>
  <c r="U94" i="147"/>
  <c r="U93" i="147"/>
  <c r="U92" i="147"/>
  <c r="U91" i="147"/>
  <c r="U90" i="147"/>
  <c r="U89" i="147"/>
  <c r="U88" i="147"/>
  <c r="U87" i="147"/>
  <c r="U86" i="147"/>
  <c r="U85" i="147"/>
  <c r="U84" i="147"/>
  <c r="U83" i="147"/>
  <c r="U82" i="147"/>
  <c r="U81" i="147"/>
  <c r="U80" i="147"/>
  <c r="U79" i="147"/>
  <c r="U78" i="147"/>
  <c r="U77" i="147"/>
  <c r="U76" i="147"/>
  <c r="U75" i="147"/>
  <c r="U74" i="147"/>
  <c r="U102" i="147" s="1"/>
  <c r="U73" i="147"/>
  <c r="U72" i="147"/>
  <c r="U71" i="147"/>
  <c r="S101" i="147"/>
  <c r="S100" i="147"/>
  <c r="S99" i="147"/>
  <c r="S98" i="147"/>
  <c r="S97" i="147"/>
  <c r="S96" i="147"/>
  <c r="S95" i="147"/>
  <c r="S94" i="147"/>
  <c r="S93" i="147"/>
  <c r="S92" i="147"/>
  <c r="S91" i="147"/>
  <c r="S90" i="147"/>
  <c r="S89" i="147"/>
  <c r="S88" i="147"/>
  <c r="S87" i="147"/>
  <c r="S86" i="147"/>
  <c r="S85" i="147"/>
  <c r="S84" i="147"/>
  <c r="S83" i="147"/>
  <c r="S82" i="147"/>
  <c r="S81" i="147"/>
  <c r="S80" i="147"/>
  <c r="S79" i="147"/>
  <c r="S78" i="147"/>
  <c r="S77" i="147"/>
  <c r="S76" i="147"/>
  <c r="S75" i="147"/>
  <c r="S74" i="147"/>
  <c r="S73" i="147"/>
  <c r="S72" i="147"/>
  <c r="S71" i="147"/>
  <c r="N102" i="149"/>
  <c r="K51" i="149" s="1"/>
  <c r="Z100" i="148"/>
  <c r="Z99" i="148"/>
  <c r="Z98" i="148"/>
  <c r="Z97" i="148"/>
  <c r="Z96" i="148"/>
  <c r="Z95" i="148"/>
  <c r="Z94" i="148"/>
  <c r="Z93" i="148"/>
  <c r="Z92" i="148"/>
  <c r="Z91" i="148"/>
  <c r="Z90" i="148"/>
  <c r="Z89" i="148"/>
  <c r="Z88" i="148"/>
  <c r="Z87" i="148"/>
  <c r="Z86" i="148"/>
  <c r="Z85" i="148"/>
  <c r="Z84" i="148"/>
  <c r="Z83" i="148"/>
  <c r="Z82" i="148"/>
  <c r="Z81" i="148"/>
  <c r="Z80" i="148"/>
  <c r="Z79" i="148"/>
  <c r="Z78" i="148"/>
  <c r="Z77" i="148"/>
  <c r="Z76" i="148"/>
  <c r="Z75" i="148"/>
  <c r="Z74" i="148"/>
  <c r="Z73" i="148"/>
  <c r="Z72" i="148"/>
  <c r="Z71" i="148"/>
  <c r="X100" i="148"/>
  <c r="X99" i="148"/>
  <c r="X98" i="148"/>
  <c r="X97" i="148"/>
  <c r="X96" i="148"/>
  <c r="X95" i="148"/>
  <c r="X94" i="148"/>
  <c r="X93" i="148"/>
  <c r="X92" i="148"/>
  <c r="X91" i="148"/>
  <c r="X90" i="148"/>
  <c r="X89" i="148"/>
  <c r="X88" i="148"/>
  <c r="X87" i="148"/>
  <c r="X86" i="148"/>
  <c r="X85" i="148"/>
  <c r="X84" i="148"/>
  <c r="X83" i="148"/>
  <c r="X82" i="148"/>
  <c r="X81" i="148"/>
  <c r="X80" i="148"/>
  <c r="X79" i="148"/>
  <c r="X78" i="148"/>
  <c r="X77" i="148"/>
  <c r="X76" i="148"/>
  <c r="X75" i="148"/>
  <c r="X74" i="148"/>
  <c r="X73" i="148"/>
  <c r="X72" i="148"/>
  <c r="X71" i="148"/>
  <c r="AE71" i="148" s="1"/>
  <c r="AF71" i="148" s="1"/>
  <c r="AC71" i="148"/>
  <c r="AD71" i="148"/>
  <c r="U100" i="148"/>
  <c r="U99" i="148"/>
  <c r="U98" i="148"/>
  <c r="U97" i="148"/>
  <c r="U96" i="148"/>
  <c r="U95" i="148"/>
  <c r="U94" i="148"/>
  <c r="U93" i="148"/>
  <c r="U92" i="148"/>
  <c r="U91" i="148"/>
  <c r="U90" i="148"/>
  <c r="U89" i="148"/>
  <c r="U88" i="148"/>
  <c r="U87" i="148"/>
  <c r="U86" i="148"/>
  <c r="U85" i="148"/>
  <c r="U84" i="148"/>
  <c r="U83" i="148"/>
  <c r="U82" i="148"/>
  <c r="U81" i="148"/>
  <c r="U80" i="148"/>
  <c r="U79" i="148"/>
  <c r="U78" i="148"/>
  <c r="U77" i="148"/>
  <c r="U76" i="148"/>
  <c r="U75" i="148"/>
  <c r="U74" i="148"/>
  <c r="U73" i="148"/>
  <c r="U72" i="148"/>
  <c r="U71" i="148"/>
  <c r="S100" i="148"/>
  <c r="S99" i="148"/>
  <c r="S98" i="148"/>
  <c r="S97" i="148"/>
  <c r="S96" i="148"/>
  <c r="S95" i="148"/>
  <c r="S94" i="148"/>
  <c r="S93" i="148"/>
  <c r="S92" i="148"/>
  <c r="S91" i="148"/>
  <c r="S90" i="148"/>
  <c r="S89" i="148"/>
  <c r="S88" i="148"/>
  <c r="S87" i="148"/>
  <c r="S86" i="148"/>
  <c r="S85" i="148"/>
  <c r="S84" i="148"/>
  <c r="S83" i="148"/>
  <c r="S82" i="148"/>
  <c r="S81" i="148"/>
  <c r="S80" i="148"/>
  <c r="S79" i="148"/>
  <c r="S78" i="148"/>
  <c r="S77" i="148"/>
  <c r="S76" i="148"/>
  <c r="S75" i="148"/>
  <c r="S74" i="148"/>
  <c r="S73" i="148"/>
  <c r="S72" i="148"/>
  <c r="S71" i="148"/>
  <c r="R102" i="148"/>
  <c r="R102" i="147"/>
  <c r="V52" i="140"/>
  <c r="V50" i="140"/>
  <c r="V52" i="153"/>
  <c r="V50" i="153"/>
  <c r="V52" i="152"/>
  <c r="V50" i="152"/>
  <c r="V52" i="151"/>
  <c r="V50" i="151"/>
  <c r="V52" i="150"/>
  <c r="V50" i="150"/>
  <c r="V52" i="149"/>
  <c r="V50" i="149"/>
  <c r="V52" i="148"/>
  <c r="V50" i="148"/>
  <c r="V52" i="147"/>
  <c r="V51" i="147"/>
  <c r="V50" i="147"/>
  <c r="V52" i="146"/>
  <c r="V50" i="146"/>
  <c r="AE98" i="147"/>
  <c r="AE93" i="147"/>
  <c r="AE86" i="147"/>
  <c r="AE82" i="147"/>
  <c r="AE78" i="147"/>
  <c r="AE74" i="147"/>
  <c r="Z100" i="146"/>
  <c r="Z99" i="146"/>
  <c r="Z98" i="146"/>
  <c r="Z97" i="146"/>
  <c r="Z96" i="146"/>
  <c r="Z95" i="146"/>
  <c r="Z94" i="146"/>
  <c r="Z93" i="146"/>
  <c r="Z92" i="146"/>
  <c r="Z91" i="146"/>
  <c r="Z90" i="146"/>
  <c r="Z89" i="146"/>
  <c r="Z88" i="146"/>
  <c r="Z87" i="146"/>
  <c r="Z86" i="146"/>
  <c r="Z85" i="146"/>
  <c r="Z84" i="146"/>
  <c r="Z83" i="146"/>
  <c r="Z82" i="146"/>
  <c r="Z81" i="146"/>
  <c r="Z80" i="146"/>
  <c r="Z79" i="146"/>
  <c r="Z78" i="146"/>
  <c r="Z77" i="146"/>
  <c r="Z76" i="146"/>
  <c r="Z75" i="146"/>
  <c r="Z74" i="146"/>
  <c r="Z73" i="146"/>
  <c r="Z72" i="146"/>
  <c r="Z71" i="146"/>
  <c r="X100" i="146"/>
  <c r="AC100" i="146" s="1"/>
  <c r="X99" i="146"/>
  <c r="X98" i="146"/>
  <c r="AC98" i="146" s="1"/>
  <c r="X97" i="146"/>
  <c r="AC97" i="146" s="1"/>
  <c r="X96" i="146"/>
  <c r="AC96" i="146" s="1"/>
  <c r="X95" i="146"/>
  <c r="AC95" i="146" s="1"/>
  <c r="X94" i="146"/>
  <c r="AC94" i="146" s="1"/>
  <c r="X93" i="146"/>
  <c r="AC93" i="146" s="1"/>
  <c r="X92" i="146"/>
  <c r="AC92" i="146" s="1"/>
  <c r="X91" i="146"/>
  <c r="AC91" i="146" s="1"/>
  <c r="X90" i="146"/>
  <c r="AC90" i="146" s="1"/>
  <c r="X89" i="146"/>
  <c r="AC89" i="146" s="1"/>
  <c r="X88" i="146"/>
  <c r="AC88" i="146" s="1"/>
  <c r="X87" i="146"/>
  <c r="AC87" i="146" s="1"/>
  <c r="X86" i="146"/>
  <c r="AC86" i="146" s="1"/>
  <c r="X85" i="146"/>
  <c r="AC85" i="146" s="1"/>
  <c r="X84" i="146"/>
  <c r="X83" i="146"/>
  <c r="AC83" i="146" s="1"/>
  <c r="X82" i="146"/>
  <c r="AC82" i="146" s="1"/>
  <c r="X81" i="146"/>
  <c r="AC81" i="146" s="1"/>
  <c r="AD81" i="146" s="1"/>
  <c r="X80" i="146"/>
  <c r="AC80" i="146" s="1"/>
  <c r="AD80" i="146" s="1"/>
  <c r="X79" i="146"/>
  <c r="AC79" i="146" s="1"/>
  <c r="X78" i="146"/>
  <c r="AC78" i="146" s="1"/>
  <c r="X77" i="146"/>
  <c r="X76" i="146"/>
  <c r="AC76" i="146" s="1"/>
  <c r="X75" i="146"/>
  <c r="AC75" i="146" s="1"/>
  <c r="X74" i="146"/>
  <c r="AC74" i="146" s="1"/>
  <c r="X73" i="146"/>
  <c r="AC73" i="146" s="1"/>
  <c r="X72" i="146"/>
  <c r="AC72" i="146" s="1"/>
  <c r="X71" i="146"/>
  <c r="U100" i="146"/>
  <c r="U99" i="146"/>
  <c r="U98" i="146"/>
  <c r="U97" i="146"/>
  <c r="U96" i="146"/>
  <c r="U95" i="146"/>
  <c r="U94" i="146"/>
  <c r="U93" i="146"/>
  <c r="U92" i="146"/>
  <c r="U91" i="146"/>
  <c r="U90" i="146"/>
  <c r="U89" i="146"/>
  <c r="U88" i="146"/>
  <c r="U87" i="146"/>
  <c r="U86" i="146"/>
  <c r="U85" i="146"/>
  <c r="U84" i="146"/>
  <c r="U83" i="146"/>
  <c r="U82" i="146"/>
  <c r="U81" i="146"/>
  <c r="U80" i="146"/>
  <c r="U79" i="146"/>
  <c r="U78" i="146"/>
  <c r="U77" i="146"/>
  <c r="U76" i="146"/>
  <c r="U75" i="146"/>
  <c r="U74" i="146"/>
  <c r="U73" i="146"/>
  <c r="U72" i="146"/>
  <c r="U71" i="146"/>
  <c r="S100" i="146"/>
  <c r="S99" i="146"/>
  <c r="S98" i="146"/>
  <c r="S97" i="146"/>
  <c r="S96" i="146"/>
  <c r="S95" i="146"/>
  <c r="S94" i="146"/>
  <c r="S93" i="146"/>
  <c r="S92" i="146"/>
  <c r="S91" i="146"/>
  <c r="S90" i="146"/>
  <c r="S89" i="146"/>
  <c r="S88" i="146"/>
  <c r="S87" i="146"/>
  <c r="S86" i="146"/>
  <c r="S85" i="146"/>
  <c r="S84" i="146"/>
  <c r="S83" i="146"/>
  <c r="S82" i="146"/>
  <c r="S81" i="146"/>
  <c r="S80" i="146"/>
  <c r="S79" i="146"/>
  <c r="S78" i="146"/>
  <c r="S77" i="146"/>
  <c r="S76" i="146"/>
  <c r="S75" i="146"/>
  <c r="S74" i="146"/>
  <c r="S73" i="146"/>
  <c r="S72" i="146"/>
  <c r="S71" i="146"/>
  <c r="AD71" i="147"/>
  <c r="AC71" i="147" s="1"/>
  <c r="AD72" i="147"/>
  <c r="AD73" i="147"/>
  <c r="AD74" i="147"/>
  <c r="AC74" i="147" s="1"/>
  <c r="AD75" i="147"/>
  <c r="AC75" i="147" s="1"/>
  <c r="AD76" i="147"/>
  <c r="AD77" i="147"/>
  <c r="AC77" i="147" s="1"/>
  <c r="AD78" i="147"/>
  <c r="AC78" i="147" s="1"/>
  <c r="AD79" i="147"/>
  <c r="AC79" i="147" s="1"/>
  <c r="AD80" i="147"/>
  <c r="AD81" i="147"/>
  <c r="AC81" i="147" s="1"/>
  <c r="AD82" i="147"/>
  <c r="AC82" i="147" s="1"/>
  <c r="AD83" i="147"/>
  <c r="AC83" i="147" s="1"/>
  <c r="AD84" i="147"/>
  <c r="AD85" i="147"/>
  <c r="AC85" i="147" s="1"/>
  <c r="AE85" i="147"/>
  <c r="AD86" i="147"/>
  <c r="AC86" i="147" s="1"/>
  <c r="AD87" i="147"/>
  <c r="AC87" i="147" s="1"/>
  <c r="AD88" i="147"/>
  <c r="AE88" i="147"/>
  <c r="AD89" i="147"/>
  <c r="AC89" i="147" s="1"/>
  <c r="AD90" i="147"/>
  <c r="AC90" i="147" s="1"/>
  <c r="AE90" i="147"/>
  <c r="AD91" i="147"/>
  <c r="AC91" i="147" s="1"/>
  <c r="AD92" i="147"/>
  <c r="AD93" i="147"/>
  <c r="AC93" i="147" s="1"/>
  <c r="AD94" i="147"/>
  <c r="AC94" i="147" s="1"/>
  <c r="AD95" i="147"/>
  <c r="AC95" i="147" s="1"/>
  <c r="AD96" i="147"/>
  <c r="AD97" i="147"/>
  <c r="AC97" i="147" s="1"/>
  <c r="AE97" i="147"/>
  <c r="AD98" i="147"/>
  <c r="AC98" i="147" s="1"/>
  <c r="AD99" i="147"/>
  <c r="AC99" i="147" s="1"/>
  <c r="AD100" i="147"/>
  <c r="AC101" i="147"/>
  <c r="AD101" i="147"/>
  <c r="J102" i="147"/>
  <c r="K102" i="147"/>
  <c r="L102" i="147"/>
  <c r="M102" i="147"/>
  <c r="O102" i="147"/>
  <c r="K53" i="147" s="1"/>
  <c r="V53" i="147" s="1"/>
  <c r="P102" i="147"/>
  <c r="K49" i="147" s="1"/>
  <c r="V49" i="147" s="1"/>
  <c r="Q102" i="147"/>
  <c r="T102" i="147"/>
  <c r="V102" i="147"/>
  <c r="W102" i="147"/>
  <c r="Y102" i="147"/>
  <c r="AA102" i="147"/>
  <c r="AG102" i="147"/>
  <c r="J102" i="146"/>
  <c r="AB71" i="146"/>
  <c r="AB72" i="146"/>
  <c r="AB73" i="146"/>
  <c r="AA73" i="146" s="1"/>
  <c r="AB74" i="146"/>
  <c r="AB75" i="146"/>
  <c r="AB76" i="146"/>
  <c r="AB77" i="146"/>
  <c r="AC77" i="146"/>
  <c r="AD77" i="146" s="1"/>
  <c r="AB78" i="146"/>
  <c r="AB79" i="146"/>
  <c r="AB80" i="146"/>
  <c r="AB81" i="146"/>
  <c r="AB82" i="146"/>
  <c r="AB83" i="146"/>
  <c r="AA83" i="146" s="1"/>
  <c r="AB84" i="146"/>
  <c r="AC84" i="146"/>
  <c r="AB85" i="146"/>
  <c r="AA85" i="146" s="1"/>
  <c r="AB86" i="146"/>
  <c r="AB87" i="146"/>
  <c r="AB88" i="146"/>
  <c r="AA88" i="146" s="1"/>
  <c r="AB89" i="146"/>
  <c r="AA89" i="146" s="1"/>
  <c r="AB90" i="146"/>
  <c r="AB91" i="146"/>
  <c r="N102" i="146"/>
  <c r="K51" i="146" s="1"/>
  <c r="V51" i="146" s="1"/>
  <c r="AB92" i="146"/>
  <c r="AB93" i="146"/>
  <c r="AB94" i="146"/>
  <c r="AB95" i="146"/>
  <c r="AB96" i="146"/>
  <c r="AA96" i="146" s="1"/>
  <c r="AB97" i="146"/>
  <c r="AB98" i="146"/>
  <c r="AB99" i="146"/>
  <c r="AC99" i="146"/>
  <c r="AB100" i="146"/>
  <c r="K102" i="146"/>
  <c r="L102" i="146"/>
  <c r="M102" i="146"/>
  <c r="O102" i="146"/>
  <c r="K53" i="146" s="1"/>
  <c r="V53" i="146" s="1"/>
  <c r="P102" i="146"/>
  <c r="K49" i="146" s="1"/>
  <c r="V49" i="146" s="1"/>
  <c r="Q102" i="146"/>
  <c r="R102" i="146"/>
  <c r="T102" i="146"/>
  <c r="V102" i="146"/>
  <c r="W102" i="146"/>
  <c r="Y102" i="146"/>
  <c r="AE102" i="146"/>
  <c r="AD84" i="146" l="1"/>
  <c r="AA79" i="146"/>
  <c r="AA76" i="146"/>
  <c r="AE71" i="151"/>
  <c r="AE75" i="151"/>
  <c r="AE79" i="151"/>
  <c r="AE83" i="151"/>
  <c r="AE87" i="151"/>
  <c r="AE91" i="151"/>
  <c r="AE95" i="151"/>
  <c r="Z102" i="151"/>
  <c r="AE77" i="151"/>
  <c r="AF77" i="151" s="1"/>
  <c r="AE93" i="151"/>
  <c r="AF93" i="151" s="1"/>
  <c r="AF84" i="153"/>
  <c r="U102" i="146"/>
  <c r="U103" i="146" s="1"/>
  <c r="AE72" i="151"/>
  <c r="AE84" i="151"/>
  <c r="AE88" i="151"/>
  <c r="AF88" i="151" s="1"/>
  <c r="AE100" i="151"/>
  <c r="AF100" i="151" s="1"/>
  <c r="AE90" i="151"/>
  <c r="AE94" i="151"/>
  <c r="AE98" i="151"/>
  <c r="V103" i="153"/>
  <c r="AF96" i="153"/>
  <c r="U102" i="153"/>
  <c r="AE73" i="153"/>
  <c r="AE77" i="153"/>
  <c r="AF77" i="153" s="1"/>
  <c r="AE81" i="153"/>
  <c r="AE85" i="153"/>
  <c r="AE89" i="153"/>
  <c r="AE93" i="153"/>
  <c r="AF93" i="153" s="1"/>
  <c r="AE97" i="153"/>
  <c r="AE71" i="153"/>
  <c r="AF71" i="153" s="1"/>
  <c r="AE75" i="153"/>
  <c r="AF75" i="153" s="1"/>
  <c r="AE83" i="153"/>
  <c r="AE87" i="153"/>
  <c r="AE91" i="153"/>
  <c r="AE95" i="153"/>
  <c r="AE99" i="153"/>
  <c r="AF99" i="153" s="1"/>
  <c r="AK154" i="157"/>
  <c r="AP154" i="157"/>
  <c r="AQ154" i="157" s="1"/>
  <c r="AK156" i="157"/>
  <c r="AP156" i="157"/>
  <c r="AQ156" i="157" s="1"/>
  <c r="AK153" i="157"/>
  <c r="AP153" i="157"/>
  <c r="AQ153" i="157" s="1"/>
  <c r="AK155" i="157"/>
  <c r="AP155" i="157"/>
  <c r="AQ155" i="157" s="1"/>
  <c r="AK152" i="157"/>
  <c r="AP152" i="157"/>
  <c r="AQ152" i="157" s="1"/>
  <c r="AK160" i="157"/>
  <c r="AP160" i="157"/>
  <c r="AQ160" i="157" s="1"/>
  <c r="AK161" i="157"/>
  <c r="AP161" i="157"/>
  <c r="AQ161" i="157" s="1"/>
  <c r="AK158" i="157"/>
  <c r="AP158" i="157"/>
  <c r="AQ158" i="157" s="1"/>
  <c r="AK159" i="157"/>
  <c r="AP159" i="157"/>
  <c r="AQ159" i="157" s="1"/>
  <c r="AF79" i="151"/>
  <c r="S102" i="146"/>
  <c r="X102" i="146"/>
  <c r="AF82" i="147"/>
  <c r="W105" i="151"/>
  <c r="AF72" i="151"/>
  <c r="AF84" i="151"/>
  <c r="U102" i="152"/>
  <c r="AD86" i="146"/>
  <c r="AD72" i="146"/>
  <c r="AD76" i="146"/>
  <c r="AD88" i="146"/>
  <c r="AD92" i="146"/>
  <c r="AD96" i="146"/>
  <c r="AA72" i="146"/>
  <c r="AA80" i="146"/>
  <c r="AA84" i="146"/>
  <c r="AF98" i="147"/>
  <c r="U102" i="151"/>
  <c r="AJ84" i="152"/>
  <c r="S102" i="152"/>
  <c r="AD102" i="147"/>
  <c r="AF75" i="151"/>
  <c r="X102" i="153"/>
  <c r="AA94" i="146"/>
  <c r="AD85" i="146"/>
  <c r="AD73" i="146"/>
  <c r="AD89" i="146"/>
  <c r="AE94" i="147"/>
  <c r="AF94" i="147" s="1"/>
  <c r="Z102" i="147"/>
  <c r="AE75" i="147"/>
  <c r="AF75" i="147" s="1"/>
  <c r="AE83" i="147"/>
  <c r="AE91" i="147"/>
  <c r="AF91" i="147" s="1"/>
  <c r="AF78" i="153"/>
  <c r="AE74" i="153"/>
  <c r="AF74" i="153" s="1"/>
  <c r="AE82" i="153"/>
  <c r="AF82" i="153" s="1"/>
  <c r="AE86" i="153"/>
  <c r="AF86" i="153" s="1"/>
  <c r="AE90" i="153"/>
  <c r="AF90" i="153" s="1"/>
  <c r="AE98" i="153"/>
  <c r="AF98" i="153" s="1"/>
  <c r="AF71" i="140"/>
  <c r="Z102" i="153"/>
  <c r="AF91" i="153"/>
  <c r="AF95" i="153"/>
  <c r="AF88" i="153"/>
  <c r="AF85" i="153"/>
  <c r="AF72" i="153"/>
  <c r="AF92" i="153"/>
  <c r="AF89" i="153"/>
  <c r="AF83" i="153"/>
  <c r="AF76" i="153"/>
  <c r="AF73" i="153"/>
  <c r="AF87" i="153"/>
  <c r="AF80" i="153"/>
  <c r="AF100" i="153"/>
  <c r="AF97" i="153"/>
  <c r="AF81" i="153"/>
  <c r="W103" i="153"/>
  <c r="AC100" i="153"/>
  <c r="AC96" i="153"/>
  <c r="AC92" i="153"/>
  <c r="AC88" i="153"/>
  <c r="AC84" i="153"/>
  <c r="AC80" i="153"/>
  <c r="AC76" i="153"/>
  <c r="AC72" i="153"/>
  <c r="AD102" i="153"/>
  <c r="X102" i="152"/>
  <c r="Z102" i="152"/>
  <c r="Z103" i="152" s="1"/>
  <c r="AJ96" i="152"/>
  <c r="AJ93" i="152"/>
  <c r="AJ89" i="152"/>
  <c r="AJ85" i="152"/>
  <c r="AJ81" i="152"/>
  <c r="AJ77" i="152"/>
  <c r="AJ73" i="152"/>
  <c r="Y102" i="152"/>
  <c r="AJ72" i="152"/>
  <c r="AJ80" i="152"/>
  <c r="AJ92" i="152"/>
  <c r="AJ100" i="152"/>
  <c r="AJ76" i="152"/>
  <c r="AJ88" i="152"/>
  <c r="AJ71" i="152"/>
  <c r="AJ101" i="152"/>
  <c r="AJ97" i="152"/>
  <c r="AF71" i="151"/>
  <c r="AJ98" i="152"/>
  <c r="AJ95" i="152"/>
  <c r="AJ91" i="152"/>
  <c r="AJ87" i="152"/>
  <c r="AJ83" i="152"/>
  <c r="AJ79" i="152"/>
  <c r="AJ75" i="152"/>
  <c r="AJ99" i="152"/>
  <c r="AJ94" i="152"/>
  <c r="AJ90" i="152"/>
  <c r="AJ86" i="152"/>
  <c r="AJ82" i="152"/>
  <c r="AJ78" i="152"/>
  <c r="AJ74" i="152"/>
  <c r="AG98" i="152"/>
  <c r="AG94" i="152"/>
  <c r="AG90" i="152"/>
  <c r="AG86" i="152"/>
  <c r="AG82" i="152"/>
  <c r="AG78" i="152"/>
  <c r="AG74" i="152"/>
  <c r="AB102" i="152"/>
  <c r="AI102" i="152"/>
  <c r="AH102" i="152"/>
  <c r="AF91" i="151"/>
  <c r="AE73" i="151"/>
  <c r="AF73" i="151" s="1"/>
  <c r="AE81" i="151"/>
  <c r="AF81" i="151" s="1"/>
  <c r="AE85" i="151"/>
  <c r="AF85" i="151" s="1"/>
  <c r="AE89" i="151"/>
  <c r="AF89" i="151" s="1"/>
  <c r="AE97" i="151"/>
  <c r="AF97" i="151" s="1"/>
  <c r="AF95" i="151"/>
  <c r="AF99" i="151"/>
  <c r="AF83" i="151"/>
  <c r="AC71" i="151"/>
  <c r="X102" i="151"/>
  <c r="AF87" i="151"/>
  <c r="AD102" i="151"/>
  <c r="AC99" i="151"/>
  <c r="AC95" i="151"/>
  <c r="AC83" i="151"/>
  <c r="AC75" i="151"/>
  <c r="AF98" i="151"/>
  <c r="AF94" i="151"/>
  <c r="AF90" i="151"/>
  <c r="AF86" i="151"/>
  <c r="AF82" i="151"/>
  <c r="AF78" i="151"/>
  <c r="AF74" i="151"/>
  <c r="AC91" i="151"/>
  <c r="AC87" i="151"/>
  <c r="AC79" i="151"/>
  <c r="AE73" i="147"/>
  <c r="AF73" i="147" s="1"/>
  <c r="AE77" i="147"/>
  <c r="AF77" i="147" s="1"/>
  <c r="AE81" i="147"/>
  <c r="AF81" i="147" s="1"/>
  <c r="AE71" i="147"/>
  <c r="AF71" i="147" s="1"/>
  <c r="AA78" i="146"/>
  <c r="AA100" i="146"/>
  <c r="AA98" i="146"/>
  <c r="AA74" i="146"/>
  <c r="AA93" i="146"/>
  <c r="AA97" i="146"/>
  <c r="AA92" i="146"/>
  <c r="AA81" i="146"/>
  <c r="AA77" i="146"/>
  <c r="AD90" i="146"/>
  <c r="AC71" i="146"/>
  <c r="AD71" i="146" s="1"/>
  <c r="AE71" i="146" s="1"/>
  <c r="AD87" i="146"/>
  <c r="AD91" i="146"/>
  <c r="AD82" i="146"/>
  <c r="AD75" i="146"/>
  <c r="AF86" i="147"/>
  <c r="AF74" i="147"/>
  <c r="AC73" i="147"/>
  <c r="AF78" i="147"/>
  <c r="V103" i="147"/>
  <c r="AF90" i="147"/>
  <c r="AF79" i="147"/>
  <c r="AF87" i="147"/>
  <c r="AF80" i="147"/>
  <c r="AF96" i="147"/>
  <c r="AF93" i="147"/>
  <c r="AF100" i="147"/>
  <c r="AF97" i="147"/>
  <c r="AF84" i="147"/>
  <c r="AF101" i="147"/>
  <c r="AF95" i="147"/>
  <c r="AF88" i="147"/>
  <c r="AF85" i="147"/>
  <c r="AF72" i="147"/>
  <c r="W103" i="147"/>
  <c r="AF99" i="147"/>
  <c r="AF92" i="147"/>
  <c r="AF89" i="147"/>
  <c r="AF83" i="147"/>
  <c r="AF76" i="147"/>
  <c r="AC100" i="147"/>
  <c r="AC96" i="147"/>
  <c r="AC92" i="147"/>
  <c r="AC88" i="147"/>
  <c r="AC84" i="147"/>
  <c r="AC80" i="147"/>
  <c r="AC76" i="147"/>
  <c r="AC72" i="147"/>
  <c r="AA91" i="146"/>
  <c r="AA87" i="146"/>
  <c r="AA90" i="146"/>
  <c r="AA86" i="146"/>
  <c r="AD83" i="146"/>
  <c r="AA82" i="146"/>
  <c r="AD79" i="146"/>
  <c r="AD93" i="146"/>
  <c r="AD78" i="146"/>
  <c r="AD74" i="146"/>
  <c r="AA75" i="146"/>
  <c r="AA71" i="146"/>
  <c r="AD95" i="146"/>
  <c r="AD100" i="146"/>
  <c r="AD97" i="146"/>
  <c r="AD99" i="146"/>
  <c r="AD98" i="146"/>
  <c r="AD94" i="146"/>
  <c r="AC102" i="146"/>
  <c r="AA99" i="146"/>
  <c r="AA95" i="146"/>
  <c r="AB102" i="146"/>
  <c r="S71" i="145"/>
  <c r="U71" i="145"/>
  <c r="X71" i="145"/>
  <c r="Z71" i="145"/>
  <c r="AD71" i="145"/>
  <c r="AC71" i="145" s="1"/>
  <c r="AE71" i="145" l="1"/>
  <c r="AF71" i="145" s="1"/>
  <c r="AG71" i="145" s="1"/>
  <c r="T103" i="146"/>
  <c r="U105" i="146" s="1"/>
  <c r="W105" i="153"/>
  <c r="AE72" i="146"/>
  <c r="AE73" i="146" s="1"/>
  <c r="AE74" i="146" s="1"/>
  <c r="AE75" i="146" s="1"/>
  <c r="AE76" i="146" s="1"/>
  <c r="AE77" i="146" s="1"/>
  <c r="AE78" i="146" s="1"/>
  <c r="AE79" i="146" s="1"/>
  <c r="AE80" i="146" s="1"/>
  <c r="AE81" i="146" s="1"/>
  <c r="AE82" i="146" s="1"/>
  <c r="AE83" i="146" s="1"/>
  <c r="AE84" i="146" s="1"/>
  <c r="AE85" i="146" s="1"/>
  <c r="AE86" i="146" s="1"/>
  <c r="AE87" i="146" s="1"/>
  <c r="AE88" i="146" s="1"/>
  <c r="AE89" i="146" s="1"/>
  <c r="AE90" i="146" s="1"/>
  <c r="AE91" i="146" s="1"/>
  <c r="AE92" i="146" s="1"/>
  <c r="AE93" i="146" s="1"/>
  <c r="AE94" i="146" s="1"/>
  <c r="AE95" i="146" s="1"/>
  <c r="AE96" i="146" s="1"/>
  <c r="AE97" i="146" s="1"/>
  <c r="AE98" i="146" s="1"/>
  <c r="AE99" i="146" s="1"/>
  <c r="AE100" i="146" s="1"/>
  <c r="AE102" i="153"/>
  <c r="AF102" i="153"/>
  <c r="AA103" i="152"/>
  <c r="AA105" i="152" s="1"/>
  <c r="AJ102" i="152"/>
  <c r="AE102" i="151"/>
  <c r="AF102" i="151"/>
  <c r="AE102" i="147"/>
  <c r="AF102" i="147"/>
  <c r="AD102" i="146"/>
  <c r="C69" i="145" l="1"/>
  <c r="J22" i="145" s="1"/>
  <c r="AD101" i="145"/>
  <c r="AC101" i="145" s="1"/>
  <c r="Z101" i="145"/>
  <c r="X101" i="145"/>
  <c r="U101" i="145"/>
  <c r="S101" i="145"/>
  <c r="G101" i="145"/>
  <c r="F101" i="145"/>
  <c r="E101" i="145"/>
  <c r="AD100" i="145"/>
  <c r="AC100" i="145" s="1"/>
  <c r="Z100" i="145"/>
  <c r="X100" i="145"/>
  <c r="U100" i="145"/>
  <c r="S100" i="145"/>
  <c r="G100" i="145"/>
  <c r="F100" i="145"/>
  <c r="E100" i="145"/>
  <c r="AD99" i="145"/>
  <c r="AC99" i="145" s="1"/>
  <c r="Z99" i="145"/>
  <c r="X99" i="145"/>
  <c r="U99" i="145"/>
  <c r="S99" i="145"/>
  <c r="G99" i="145"/>
  <c r="F99" i="145"/>
  <c r="E99" i="145"/>
  <c r="D107" i="145"/>
  <c r="AP102" i="145"/>
  <c r="AG102" i="145"/>
  <c r="AA102" i="145"/>
  <c r="Y102" i="145"/>
  <c r="W102" i="145"/>
  <c r="V102" i="145"/>
  <c r="T102" i="145"/>
  <c r="R102" i="145"/>
  <c r="Q102" i="145"/>
  <c r="P102" i="145"/>
  <c r="K49" i="145" s="1"/>
  <c r="O102" i="145"/>
  <c r="K53" i="145" s="1"/>
  <c r="N102" i="145"/>
  <c r="K51" i="145" s="1"/>
  <c r="V51" i="145" s="1"/>
  <c r="M102" i="145"/>
  <c r="L102" i="145"/>
  <c r="K102" i="145"/>
  <c r="J102" i="145"/>
  <c r="AD98" i="145"/>
  <c r="AC98" i="145" s="1"/>
  <c r="Z98" i="145"/>
  <c r="X98" i="145"/>
  <c r="U98" i="145"/>
  <c r="S98" i="145"/>
  <c r="G98" i="145"/>
  <c r="F98" i="145"/>
  <c r="E98" i="145"/>
  <c r="AD97" i="145"/>
  <c r="Z97" i="145"/>
  <c r="X97" i="145"/>
  <c r="U97" i="145"/>
  <c r="S97" i="145"/>
  <c r="G97" i="145"/>
  <c r="F97" i="145"/>
  <c r="E97" i="145"/>
  <c r="AD96" i="145"/>
  <c r="Z96" i="145"/>
  <c r="X96" i="145"/>
  <c r="U96" i="145"/>
  <c r="S96" i="145"/>
  <c r="G96" i="145"/>
  <c r="F96" i="145"/>
  <c r="E96" i="145"/>
  <c r="AD95" i="145"/>
  <c r="Z95" i="145"/>
  <c r="X95" i="145"/>
  <c r="U95" i="145"/>
  <c r="S95" i="145"/>
  <c r="G95" i="145"/>
  <c r="F95" i="145"/>
  <c r="E95" i="145"/>
  <c r="AD94" i="145"/>
  <c r="Z94" i="145"/>
  <c r="X94" i="145"/>
  <c r="U94" i="145"/>
  <c r="S94" i="145"/>
  <c r="G94" i="145"/>
  <c r="F94" i="145"/>
  <c r="E94" i="145"/>
  <c r="AD93" i="145"/>
  <c r="Z93" i="145"/>
  <c r="X93" i="145"/>
  <c r="U93" i="145"/>
  <c r="S93" i="145"/>
  <c r="G93" i="145"/>
  <c r="F93" i="145"/>
  <c r="E93" i="145"/>
  <c r="AD92" i="145"/>
  <c r="Z92" i="145"/>
  <c r="X92" i="145"/>
  <c r="U92" i="145"/>
  <c r="S92" i="145"/>
  <c r="G92" i="145"/>
  <c r="F92" i="145"/>
  <c r="E92" i="145"/>
  <c r="AD91" i="145"/>
  <c r="Z91" i="145"/>
  <c r="X91" i="145"/>
  <c r="U91" i="145"/>
  <c r="S91" i="145"/>
  <c r="G91" i="145"/>
  <c r="F91" i="145"/>
  <c r="E91" i="145"/>
  <c r="AD90" i="145"/>
  <c r="Z90" i="145"/>
  <c r="X90" i="145"/>
  <c r="U90" i="145"/>
  <c r="S90" i="145"/>
  <c r="G90" i="145"/>
  <c r="F90" i="145"/>
  <c r="E90" i="145"/>
  <c r="AD89" i="145"/>
  <c r="Z89" i="145"/>
  <c r="X89" i="145"/>
  <c r="U89" i="145"/>
  <c r="S89" i="145"/>
  <c r="G89" i="145"/>
  <c r="F89" i="145"/>
  <c r="E89" i="145"/>
  <c r="AD88" i="145"/>
  <c r="Z88" i="145"/>
  <c r="X88" i="145"/>
  <c r="U88" i="145"/>
  <c r="S88" i="145"/>
  <c r="G88" i="145"/>
  <c r="F88" i="145"/>
  <c r="E88" i="145"/>
  <c r="AD87" i="145"/>
  <c r="Z87" i="145"/>
  <c r="X87" i="145"/>
  <c r="U87" i="145"/>
  <c r="S87" i="145"/>
  <c r="G87" i="145"/>
  <c r="F87" i="145"/>
  <c r="E87" i="145"/>
  <c r="AD86" i="145"/>
  <c r="Z86" i="145"/>
  <c r="X86" i="145"/>
  <c r="U86" i="145"/>
  <c r="S86" i="145"/>
  <c r="G86" i="145"/>
  <c r="F86" i="145"/>
  <c r="E86" i="145"/>
  <c r="AD85" i="145"/>
  <c r="Z85" i="145"/>
  <c r="X85" i="145"/>
  <c r="U85" i="145"/>
  <c r="S85" i="145"/>
  <c r="G85" i="145"/>
  <c r="F85" i="145"/>
  <c r="E85" i="145"/>
  <c r="AD84" i="145"/>
  <c r="Z84" i="145"/>
  <c r="X84" i="145"/>
  <c r="U84" i="145"/>
  <c r="S84" i="145"/>
  <c r="G84" i="145"/>
  <c r="F84" i="145"/>
  <c r="E84" i="145"/>
  <c r="AD83" i="145"/>
  <c r="Z83" i="145"/>
  <c r="X83" i="145"/>
  <c r="U83" i="145"/>
  <c r="S83" i="145"/>
  <c r="G83" i="145"/>
  <c r="F83" i="145"/>
  <c r="E83" i="145"/>
  <c r="AD82" i="145"/>
  <c r="Z82" i="145"/>
  <c r="X82" i="145"/>
  <c r="U82" i="145"/>
  <c r="S82" i="145"/>
  <c r="G82" i="145"/>
  <c r="F82" i="145"/>
  <c r="E82" i="145"/>
  <c r="AD81" i="145"/>
  <c r="Z81" i="145"/>
  <c r="X81" i="145"/>
  <c r="U81" i="145"/>
  <c r="S81" i="145"/>
  <c r="G81" i="145"/>
  <c r="F81" i="145"/>
  <c r="E81" i="145"/>
  <c r="AD80" i="145"/>
  <c r="AC80" i="145" s="1"/>
  <c r="Z80" i="145"/>
  <c r="X80" i="145"/>
  <c r="U80" i="145"/>
  <c r="S80" i="145"/>
  <c r="G80" i="145"/>
  <c r="F80" i="145"/>
  <c r="E80" i="145"/>
  <c r="AD79" i="145"/>
  <c r="Z79" i="145"/>
  <c r="X79" i="145"/>
  <c r="U79" i="145"/>
  <c r="S79" i="145"/>
  <c r="G79" i="145"/>
  <c r="F79" i="145"/>
  <c r="E79" i="145"/>
  <c r="AD78" i="145"/>
  <c r="AC78" i="145"/>
  <c r="Z78" i="145"/>
  <c r="X78" i="145"/>
  <c r="U78" i="145"/>
  <c r="S78" i="145"/>
  <c r="G78" i="145"/>
  <c r="F78" i="145"/>
  <c r="E78" i="145"/>
  <c r="AD77" i="145"/>
  <c r="Z77" i="145"/>
  <c r="X77" i="145"/>
  <c r="U77" i="145"/>
  <c r="S77" i="145"/>
  <c r="G77" i="145"/>
  <c r="F77" i="145"/>
  <c r="E77" i="145"/>
  <c r="AD76" i="145"/>
  <c r="AC76" i="145" s="1"/>
  <c r="Z76" i="145"/>
  <c r="X76" i="145"/>
  <c r="U76" i="145"/>
  <c r="S76" i="145"/>
  <c r="G76" i="145"/>
  <c r="F76" i="145"/>
  <c r="E76" i="145"/>
  <c r="AD75" i="145"/>
  <c r="Z75" i="145"/>
  <c r="X75" i="145"/>
  <c r="U75" i="145"/>
  <c r="S75" i="145"/>
  <c r="G75" i="145"/>
  <c r="F75" i="145"/>
  <c r="E75" i="145"/>
  <c r="AD74" i="145"/>
  <c r="AC74" i="145" s="1"/>
  <c r="Z74" i="145"/>
  <c r="X74" i="145"/>
  <c r="U74" i="145"/>
  <c r="S74" i="145"/>
  <c r="G74" i="145"/>
  <c r="F74" i="145"/>
  <c r="E74" i="145"/>
  <c r="AD73" i="145"/>
  <c r="Z73" i="145"/>
  <c r="X73" i="145"/>
  <c r="U73" i="145"/>
  <c r="S73" i="145"/>
  <c r="G73" i="145"/>
  <c r="F73" i="145"/>
  <c r="E73" i="145"/>
  <c r="AD72" i="145"/>
  <c r="AC72" i="145" s="1"/>
  <c r="Z72" i="145"/>
  <c r="X72" i="145"/>
  <c r="U72" i="145"/>
  <c r="S72" i="145"/>
  <c r="G72" i="145"/>
  <c r="F72" i="145"/>
  <c r="E72" i="145"/>
  <c r="C72" i="145"/>
  <c r="C73" i="145" s="1"/>
  <c r="C74" i="145" s="1"/>
  <c r="C75" i="145" s="1"/>
  <c r="C76" i="145" s="1"/>
  <c r="C77" i="145" s="1"/>
  <c r="C78" i="145" s="1"/>
  <c r="C79" i="145" s="1"/>
  <c r="C80" i="145" s="1"/>
  <c r="C81" i="145" s="1"/>
  <c r="C82" i="145" s="1"/>
  <c r="C83" i="145" s="1"/>
  <c r="C84" i="145" s="1"/>
  <c r="C85" i="145" s="1"/>
  <c r="C86" i="145" s="1"/>
  <c r="C87" i="145" s="1"/>
  <c r="C88" i="145" s="1"/>
  <c r="C89" i="145" s="1"/>
  <c r="C90" i="145" s="1"/>
  <c r="C91" i="145" s="1"/>
  <c r="C92" i="145" s="1"/>
  <c r="C93" i="145" s="1"/>
  <c r="C94" i="145" s="1"/>
  <c r="C95" i="145" s="1"/>
  <c r="C96" i="145" s="1"/>
  <c r="C97" i="145" s="1"/>
  <c r="C98" i="145" s="1"/>
  <c r="C99" i="145" s="1"/>
  <c r="C100" i="145" s="1"/>
  <c r="C101" i="145" s="1"/>
  <c r="G71" i="145"/>
  <c r="F71" i="145"/>
  <c r="E71" i="145"/>
  <c r="V52" i="145"/>
  <c r="V50" i="145"/>
  <c r="V49" i="145"/>
  <c r="V43" i="145"/>
  <c r="W42" i="145" s="1"/>
  <c r="L43" i="145"/>
  <c r="K43" i="145"/>
  <c r="W41" i="145"/>
  <c r="W40" i="145"/>
  <c r="M34" i="145"/>
  <c r="L34" i="145"/>
  <c r="V33" i="145"/>
  <c r="V34" i="145" s="1"/>
  <c r="N33" i="145"/>
  <c r="N34" i="145" s="1"/>
  <c r="K33" i="145"/>
  <c r="K34" i="145" s="1"/>
  <c r="I17" i="145"/>
  <c r="J17" i="145" s="1"/>
  <c r="I16" i="145"/>
  <c r="I15" i="145"/>
  <c r="J15" i="145" s="1"/>
  <c r="K15" i="145" s="1"/>
  <c r="W29" i="145" l="1"/>
  <c r="W32" i="145"/>
  <c r="AE73" i="145"/>
  <c r="AF73" i="145" s="1"/>
  <c r="AE74" i="145"/>
  <c r="AF74" i="145" s="1"/>
  <c r="AE75" i="145"/>
  <c r="AE76" i="145"/>
  <c r="X105" i="145"/>
  <c r="AE81" i="145"/>
  <c r="AF81" i="145" s="1"/>
  <c r="AE82" i="145"/>
  <c r="AF82" i="145" s="1"/>
  <c r="AE83" i="145"/>
  <c r="AF83" i="145" s="1"/>
  <c r="AE84" i="145"/>
  <c r="AF84" i="145" s="1"/>
  <c r="AE85" i="145"/>
  <c r="AF85" i="145" s="1"/>
  <c r="AE86" i="145"/>
  <c r="AE87" i="145"/>
  <c r="AF87" i="145" s="1"/>
  <c r="AE88" i="145"/>
  <c r="AE89" i="145"/>
  <c r="AF89" i="145" s="1"/>
  <c r="AE90" i="145"/>
  <c r="AF90" i="145" s="1"/>
  <c r="AE91" i="145"/>
  <c r="AF91" i="145" s="1"/>
  <c r="AE92" i="145"/>
  <c r="AF92" i="145" s="1"/>
  <c r="AE93" i="145"/>
  <c r="AF93" i="145" s="1"/>
  <c r="AE94" i="145"/>
  <c r="AE95" i="145"/>
  <c r="AF95" i="145" s="1"/>
  <c r="AE96" i="145"/>
  <c r="AE97" i="145"/>
  <c r="AF97" i="145" s="1"/>
  <c r="AE98" i="145"/>
  <c r="AF98" i="145" s="1"/>
  <c r="AE99" i="145"/>
  <c r="AF99" i="145" s="1"/>
  <c r="AE101" i="145"/>
  <c r="AF101" i="145" s="1"/>
  <c r="E102" i="145"/>
  <c r="E106" i="145" s="1"/>
  <c r="F106" i="145" s="1"/>
  <c r="H100" i="145"/>
  <c r="H99" i="145"/>
  <c r="AE100" i="145"/>
  <c r="AF100" i="145" s="1"/>
  <c r="Z102" i="145"/>
  <c r="H101" i="145"/>
  <c r="U102" i="145"/>
  <c r="X102" i="145"/>
  <c r="W28" i="145"/>
  <c r="X28" i="145" s="1"/>
  <c r="AE72" i="145"/>
  <c r="AF72" i="145" s="1"/>
  <c r="AE77" i="145"/>
  <c r="AF77" i="145" s="1"/>
  <c r="AE78" i="145"/>
  <c r="AF78" i="145" s="1"/>
  <c r="W30" i="145"/>
  <c r="X30" i="145" s="1"/>
  <c r="Y30" i="145" s="1"/>
  <c r="W33" i="145"/>
  <c r="H90" i="145"/>
  <c r="AE79" i="145"/>
  <c r="AF79" i="145" s="1"/>
  <c r="AE80" i="145"/>
  <c r="AF80" i="145" s="1"/>
  <c r="V103" i="145"/>
  <c r="X40" i="145"/>
  <c r="Y40" i="145" s="1"/>
  <c r="X32" i="145"/>
  <c r="Y32" i="145" s="1"/>
  <c r="X29" i="145"/>
  <c r="Y29" i="145" s="1"/>
  <c r="X33" i="145"/>
  <c r="Y33" i="145" s="1"/>
  <c r="X42" i="145"/>
  <c r="Y42" i="145" s="1"/>
  <c r="X41" i="145"/>
  <c r="Y41" i="145" s="1"/>
  <c r="AC83" i="145"/>
  <c r="H86" i="145"/>
  <c r="AC91" i="145"/>
  <c r="W43" i="145"/>
  <c r="F102" i="145"/>
  <c r="M22" i="145" s="1"/>
  <c r="H72" i="145"/>
  <c r="AC73" i="145"/>
  <c r="AF75" i="145"/>
  <c r="AC75" i="145"/>
  <c r="AC77" i="145"/>
  <c r="AC79" i="145"/>
  <c r="AC81" i="145"/>
  <c r="H84" i="145"/>
  <c r="AC89" i="145"/>
  <c r="H92" i="145"/>
  <c r="V53" i="145"/>
  <c r="V54" i="145" s="1"/>
  <c r="W49" i="145" s="1"/>
  <c r="H74" i="145"/>
  <c r="H76" i="145"/>
  <c r="H78" i="145"/>
  <c r="H80" i="145"/>
  <c r="H82" i="145"/>
  <c r="AC87" i="145"/>
  <c r="H71" i="145"/>
  <c r="H97" i="145"/>
  <c r="H95" i="145"/>
  <c r="H93" i="145"/>
  <c r="H91" i="145"/>
  <c r="H89" i="145"/>
  <c r="H87" i="145"/>
  <c r="H85" i="145"/>
  <c r="H83" i="145"/>
  <c r="H81" i="145"/>
  <c r="H79" i="145"/>
  <c r="H77" i="145"/>
  <c r="H75" i="145"/>
  <c r="H73" i="145"/>
  <c r="H98" i="145"/>
  <c r="H96" i="145"/>
  <c r="H94" i="145"/>
  <c r="AD102" i="145"/>
  <c r="AC85" i="145"/>
  <c r="H88" i="145"/>
  <c r="M42" i="145"/>
  <c r="J16" i="145"/>
  <c r="K16" i="145" s="1"/>
  <c r="H22" i="145"/>
  <c r="K54" i="145"/>
  <c r="L51" i="145" s="1"/>
  <c r="M51" i="145" s="1"/>
  <c r="N51" i="145" s="1"/>
  <c r="AF76" i="145"/>
  <c r="AF86" i="145"/>
  <c r="AF88" i="145"/>
  <c r="AF94" i="145"/>
  <c r="AF96" i="145"/>
  <c r="K17" i="145"/>
  <c r="L19" i="145" s="1"/>
  <c r="W31" i="145"/>
  <c r="X31" i="145" s="1"/>
  <c r="Y31" i="145" s="1"/>
  <c r="S102" i="145"/>
  <c r="AC93" i="145"/>
  <c r="AC95" i="145"/>
  <c r="AC97" i="145"/>
  <c r="W103" i="145"/>
  <c r="AC82" i="145"/>
  <c r="AC84" i="145"/>
  <c r="AC86" i="145"/>
  <c r="AC88" i="145"/>
  <c r="AC90" i="145"/>
  <c r="AC92" i="145"/>
  <c r="AC94" i="145"/>
  <c r="AC96" i="145"/>
  <c r="V105" i="145" l="1"/>
  <c r="D101" i="145"/>
  <c r="I101" i="145" s="1"/>
  <c r="D100" i="145"/>
  <c r="I100" i="145" s="1"/>
  <c r="D99" i="145"/>
  <c r="I99" i="145" s="1"/>
  <c r="AE102" i="145"/>
  <c r="X43" i="145"/>
  <c r="L53" i="145"/>
  <c r="M53" i="145" s="1"/>
  <c r="N53" i="145" s="1"/>
  <c r="Y43" i="145"/>
  <c r="X49" i="145"/>
  <c r="L49" i="145"/>
  <c r="X34" i="145"/>
  <c r="Y28" i="145"/>
  <c r="Y34" i="145" s="1"/>
  <c r="W50" i="145"/>
  <c r="X50" i="145" s="1"/>
  <c r="Y50" i="145" s="1"/>
  <c r="D97" i="145"/>
  <c r="I97" i="145" s="1"/>
  <c r="D95" i="145"/>
  <c r="I95" i="145" s="1"/>
  <c r="D93" i="145"/>
  <c r="I93" i="145" s="1"/>
  <c r="D91" i="145"/>
  <c r="I91" i="145" s="1"/>
  <c r="D89" i="145"/>
  <c r="I89" i="145" s="1"/>
  <c r="D87" i="145"/>
  <c r="I87" i="145" s="1"/>
  <c r="D85" i="145"/>
  <c r="I85" i="145" s="1"/>
  <c r="D83" i="145"/>
  <c r="I83" i="145" s="1"/>
  <c r="D81" i="145"/>
  <c r="I81" i="145" s="1"/>
  <c r="D79" i="145"/>
  <c r="I79" i="145" s="1"/>
  <c r="D77" i="145"/>
  <c r="I77" i="145" s="1"/>
  <c r="D75" i="145"/>
  <c r="I75" i="145" s="1"/>
  <c r="D73" i="145"/>
  <c r="I73" i="145" s="1"/>
  <c r="D71" i="145"/>
  <c r="D98" i="145"/>
  <c r="I98" i="145" s="1"/>
  <c r="D96" i="145"/>
  <c r="I96" i="145" s="1"/>
  <c r="D94" i="145"/>
  <c r="I94" i="145" s="1"/>
  <c r="D88" i="145"/>
  <c r="I88" i="145" s="1"/>
  <c r="D90" i="145"/>
  <c r="I90" i="145" s="1"/>
  <c r="D82" i="145"/>
  <c r="I82" i="145" s="1"/>
  <c r="D80" i="145"/>
  <c r="I80" i="145" s="1"/>
  <c r="D78" i="145"/>
  <c r="I78" i="145" s="1"/>
  <c r="D76" i="145"/>
  <c r="I76" i="145" s="1"/>
  <c r="D74" i="145"/>
  <c r="I74" i="145" s="1"/>
  <c r="D92" i="145"/>
  <c r="I92" i="145" s="1"/>
  <c r="D84" i="145"/>
  <c r="I84" i="145" s="1"/>
  <c r="D72" i="145"/>
  <c r="I72" i="145" s="1"/>
  <c r="D86" i="145"/>
  <c r="I86" i="145" s="1"/>
  <c r="M43" i="145"/>
  <c r="N42" i="145"/>
  <c r="N43" i="145" s="1"/>
  <c r="W34" i="145"/>
  <c r="H102" i="145"/>
  <c r="E107" i="145" s="1"/>
  <c r="F107" i="145" s="1"/>
  <c r="W52" i="145"/>
  <c r="X52" i="145" s="1"/>
  <c r="Y52" i="145" s="1"/>
  <c r="W51" i="145"/>
  <c r="X51" i="145" s="1"/>
  <c r="Y51" i="145" s="1"/>
  <c r="W53" i="145"/>
  <c r="X53" i="145" s="1"/>
  <c r="Y53" i="145" s="1"/>
  <c r="AG72" i="145" l="1"/>
  <c r="AG73" i="145" s="1"/>
  <c r="AG74" i="145" s="1"/>
  <c r="AG75" i="145" s="1"/>
  <c r="AG76" i="145" s="1"/>
  <c r="AG77" i="145" s="1"/>
  <c r="AG78" i="145" s="1"/>
  <c r="AG79" i="145" s="1"/>
  <c r="AG80" i="145" s="1"/>
  <c r="AG81" i="145" s="1"/>
  <c r="AG82" i="145" s="1"/>
  <c r="AG83" i="145" s="1"/>
  <c r="AG84" i="145" s="1"/>
  <c r="AG85" i="145" s="1"/>
  <c r="AG86" i="145" s="1"/>
  <c r="AG87" i="145" s="1"/>
  <c r="AG88" i="145" s="1"/>
  <c r="AG89" i="145" s="1"/>
  <c r="AG90" i="145" s="1"/>
  <c r="AG91" i="145" s="1"/>
  <c r="AG92" i="145" s="1"/>
  <c r="AG93" i="145" s="1"/>
  <c r="AG94" i="145" s="1"/>
  <c r="AG95" i="145" s="1"/>
  <c r="AG96" i="145" s="1"/>
  <c r="AG97" i="145" s="1"/>
  <c r="AG98" i="145" s="1"/>
  <c r="AG99" i="145" s="1"/>
  <c r="AG100" i="145" s="1"/>
  <c r="AG101" i="145" s="1"/>
  <c r="AF102" i="145"/>
  <c r="L54" i="145"/>
  <c r="M49" i="145"/>
  <c r="W54" i="145"/>
  <c r="I71" i="145"/>
  <c r="I102" i="145" s="1"/>
  <c r="D102" i="145"/>
  <c r="E105" i="145" s="1"/>
  <c r="F105" i="145" s="1"/>
  <c r="Y49" i="145"/>
  <c r="Y54" i="145" s="1"/>
  <c r="X54" i="145"/>
  <c r="V50" i="144"/>
  <c r="V52" i="144"/>
  <c r="D107" i="144"/>
  <c r="K33" i="140"/>
  <c r="N33" i="140"/>
  <c r="N34" i="140" s="1"/>
  <c r="V33" i="140"/>
  <c r="K34" i="140"/>
  <c r="L34" i="140"/>
  <c r="M34" i="140"/>
  <c r="K43" i="140"/>
  <c r="L43" i="140"/>
  <c r="V43" i="140"/>
  <c r="W41" i="140" s="1"/>
  <c r="K33" i="152"/>
  <c r="K34" i="152" s="1"/>
  <c r="N33" i="152"/>
  <c r="N34" i="152" s="1"/>
  <c r="V33" i="152"/>
  <c r="V34" i="152" s="1"/>
  <c r="W28" i="152" s="1"/>
  <c r="L34" i="152"/>
  <c r="M34" i="152"/>
  <c r="K43" i="152"/>
  <c r="L43" i="152"/>
  <c r="V43" i="152"/>
  <c r="W41" i="152" s="1"/>
  <c r="K33" i="151"/>
  <c r="K34" i="151" s="1"/>
  <c r="N33" i="151"/>
  <c r="N34" i="151" s="1"/>
  <c r="V33" i="151"/>
  <c r="L34" i="151"/>
  <c r="M34" i="151"/>
  <c r="K43" i="151"/>
  <c r="L43" i="151"/>
  <c r="V43" i="151"/>
  <c r="W41" i="151" s="1"/>
  <c r="V43" i="153"/>
  <c r="W41" i="153" s="1"/>
  <c r="L43" i="153"/>
  <c r="K43" i="153"/>
  <c r="M34" i="153"/>
  <c r="L34" i="153"/>
  <c r="V33" i="153"/>
  <c r="N33" i="153"/>
  <c r="N34" i="153" s="1"/>
  <c r="K33" i="153"/>
  <c r="K34" i="153" s="1"/>
  <c r="V43" i="150"/>
  <c r="W42" i="150" s="1"/>
  <c r="L43" i="150"/>
  <c r="K43" i="150"/>
  <c r="W41" i="150"/>
  <c r="W40" i="150"/>
  <c r="M34" i="150"/>
  <c r="L34" i="150"/>
  <c r="V33" i="150"/>
  <c r="N33" i="150"/>
  <c r="N34" i="150" s="1"/>
  <c r="K33" i="150"/>
  <c r="K34" i="150" s="1"/>
  <c r="V43" i="149"/>
  <c r="W42" i="149" s="1"/>
  <c r="L43" i="149"/>
  <c r="K43" i="149"/>
  <c r="W40" i="149"/>
  <c r="M34" i="149"/>
  <c r="L34" i="149"/>
  <c r="V33" i="149"/>
  <c r="N33" i="149"/>
  <c r="N34" i="149" s="1"/>
  <c r="K33" i="149"/>
  <c r="K34" i="149" s="1"/>
  <c r="V43" i="148"/>
  <c r="W42" i="148" s="1"/>
  <c r="L43" i="148"/>
  <c r="K43" i="148"/>
  <c r="M34" i="148"/>
  <c r="L34" i="148"/>
  <c r="V33" i="148"/>
  <c r="N33" i="148"/>
  <c r="N34" i="148" s="1"/>
  <c r="K33" i="148"/>
  <c r="K34" i="148" s="1"/>
  <c r="V43" i="147"/>
  <c r="W42" i="147" s="1"/>
  <c r="L43" i="147"/>
  <c r="K43" i="147"/>
  <c r="M34" i="147"/>
  <c r="L34" i="147"/>
  <c r="V33" i="147"/>
  <c r="N33" i="147"/>
  <c r="N34" i="147" s="1"/>
  <c r="K33" i="147"/>
  <c r="K34" i="147" s="1"/>
  <c r="V43" i="146"/>
  <c r="W40" i="146" s="1"/>
  <c r="L43" i="146"/>
  <c r="K43" i="146"/>
  <c r="W41" i="146"/>
  <c r="M34" i="146"/>
  <c r="L34" i="146"/>
  <c r="V33" i="146"/>
  <c r="N33" i="146"/>
  <c r="N34" i="146" s="1"/>
  <c r="K33" i="146"/>
  <c r="K34" i="146" s="1"/>
  <c r="W40" i="153" l="1"/>
  <c r="W41" i="149"/>
  <c r="W43" i="149" s="1"/>
  <c r="W42" i="151"/>
  <c r="W42" i="153"/>
  <c r="W43" i="153" s="1"/>
  <c r="N49" i="145"/>
  <c r="N54" i="145" s="1"/>
  <c r="M54" i="145"/>
  <c r="W42" i="146"/>
  <c r="W41" i="147"/>
  <c r="W41" i="148"/>
  <c r="W40" i="151"/>
  <c r="W43" i="151" s="1"/>
  <c r="W40" i="140"/>
  <c r="V34" i="151"/>
  <c r="W33" i="152"/>
  <c r="W42" i="140"/>
  <c r="V34" i="140"/>
  <c r="W40" i="152"/>
  <c r="W42" i="152"/>
  <c r="W32" i="140"/>
  <c r="W31" i="140"/>
  <c r="W29" i="140"/>
  <c r="W31" i="152"/>
  <c r="W32" i="152"/>
  <c r="W30" i="152"/>
  <c r="W29" i="152"/>
  <c r="W31" i="151"/>
  <c r="W32" i="151"/>
  <c r="W29" i="151"/>
  <c r="V34" i="153"/>
  <c r="V34" i="150"/>
  <c r="W33" i="150" s="1"/>
  <c r="W43" i="150"/>
  <c r="V34" i="149"/>
  <c r="W33" i="149" s="1"/>
  <c r="V34" i="148"/>
  <c r="W40" i="148"/>
  <c r="V34" i="147"/>
  <c r="W33" i="147" s="1"/>
  <c r="W40" i="147"/>
  <c r="V34" i="146"/>
  <c r="W33" i="146" s="1"/>
  <c r="W43" i="146"/>
  <c r="N175" i="157"/>
  <c r="N176" i="157"/>
  <c r="N177" i="157"/>
  <c r="N178" i="157"/>
  <c r="N179" i="157"/>
  <c r="N169" i="157"/>
  <c r="W43" i="152" l="1"/>
  <c r="W28" i="151"/>
  <c r="W30" i="151"/>
  <c r="W33" i="151"/>
  <c r="W43" i="140"/>
  <c r="W28" i="140"/>
  <c r="W30" i="140"/>
  <c r="W33" i="140"/>
  <c r="W34" i="152"/>
  <c r="W34" i="151"/>
  <c r="W29" i="153"/>
  <c r="W32" i="153"/>
  <c r="W28" i="153"/>
  <c r="W30" i="153"/>
  <c r="W31" i="153"/>
  <c r="W33" i="153"/>
  <c r="W29" i="150"/>
  <c r="W30" i="150"/>
  <c r="W32" i="150"/>
  <c r="W28" i="150"/>
  <c r="W31" i="150"/>
  <c r="W30" i="149"/>
  <c r="W32" i="149"/>
  <c r="W28" i="149"/>
  <c r="W29" i="149"/>
  <c r="W31" i="149"/>
  <c r="W43" i="148"/>
  <c r="W30" i="148"/>
  <c r="W31" i="148"/>
  <c r="W32" i="148"/>
  <c r="W28" i="148"/>
  <c r="W29" i="148"/>
  <c r="W33" i="148"/>
  <c r="W43" i="147"/>
  <c r="W29" i="147"/>
  <c r="W32" i="147"/>
  <c r="W28" i="147"/>
  <c r="W30" i="147"/>
  <c r="W31" i="147"/>
  <c r="W32" i="146"/>
  <c r="W28" i="146"/>
  <c r="W29" i="146"/>
  <c r="W30" i="146"/>
  <c r="W31" i="146"/>
  <c r="AA176" i="157"/>
  <c r="AB176" i="157" s="1"/>
  <c r="X176" i="157"/>
  <c r="Y176" i="157" s="1"/>
  <c r="AI179" i="157"/>
  <c r="AG179" i="157" s="1"/>
  <c r="AH179" i="157" s="1"/>
  <c r="L179" i="157"/>
  <c r="J179" i="157"/>
  <c r="H179" i="157"/>
  <c r="AI178" i="157"/>
  <c r="AL178" i="157" s="1"/>
  <c r="AJ178" i="157" s="1"/>
  <c r="L178" i="157"/>
  <c r="J178" i="157"/>
  <c r="H178" i="157"/>
  <c r="AI177" i="157"/>
  <c r="AG177" i="157" s="1"/>
  <c r="AH177" i="157" s="1"/>
  <c r="AB177" i="157"/>
  <c r="X177" i="157"/>
  <c r="Y177" i="157" s="1"/>
  <c r="L177" i="157"/>
  <c r="J177" i="157"/>
  <c r="H177" i="157"/>
  <c r="AI176" i="157"/>
  <c r="AL176" i="157" s="1"/>
  <c r="L176" i="157"/>
  <c r="J176" i="157"/>
  <c r="H176" i="157"/>
  <c r="AI175" i="157"/>
  <c r="AG175" i="157" s="1"/>
  <c r="AH175" i="157" s="1"/>
  <c r="AA175" i="157"/>
  <c r="AB175" i="157" s="1"/>
  <c r="X175" i="157"/>
  <c r="Y175" i="157" s="1"/>
  <c r="L175" i="157"/>
  <c r="J175" i="157"/>
  <c r="H175" i="157"/>
  <c r="H92" i="157"/>
  <c r="J92" i="157"/>
  <c r="L92" i="157"/>
  <c r="N92" i="157"/>
  <c r="X92" i="157"/>
  <c r="Y92" i="157" s="1"/>
  <c r="AA92" i="157"/>
  <c r="AB92" i="157" s="1"/>
  <c r="AD92" i="157"/>
  <c r="AI92" i="157"/>
  <c r="AG92" i="157" s="1"/>
  <c r="AH92" i="157" s="1"/>
  <c r="W34" i="140" l="1"/>
  <c r="AG178" i="157"/>
  <c r="AH178" i="157" s="1"/>
  <c r="W34" i="153"/>
  <c r="W34" i="150"/>
  <c r="W34" i="149"/>
  <c r="W34" i="148"/>
  <c r="W34" i="147"/>
  <c r="W34" i="146"/>
  <c r="AG176" i="157"/>
  <c r="AH176" i="157" s="1"/>
  <c r="AJ176" i="157"/>
  <c r="AP176" i="157" s="1"/>
  <c r="AR176" i="157"/>
  <c r="AR178" i="157"/>
  <c r="AP178" i="157"/>
  <c r="AK178" i="157"/>
  <c r="AL175" i="157"/>
  <c r="AL177" i="157"/>
  <c r="AL179" i="157"/>
  <c r="AL92" i="157"/>
  <c r="S71" i="144"/>
  <c r="U71" i="144"/>
  <c r="X71" i="144"/>
  <c r="Z71" i="144"/>
  <c r="AD71" i="144"/>
  <c r="AC71" i="144" s="1"/>
  <c r="M102" i="144"/>
  <c r="AQ176" i="157" l="1"/>
  <c r="AQ178" i="157"/>
  <c r="AK176" i="157"/>
  <c r="AR175" i="157"/>
  <c r="AJ175" i="157"/>
  <c r="AR179" i="157"/>
  <c r="AJ179" i="157"/>
  <c r="AR177" i="157"/>
  <c r="AJ177" i="157"/>
  <c r="AR92" i="157"/>
  <c r="AJ92" i="157"/>
  <c r="AE71" i="144"/>
  <c r="AF71" i="144" s="1"/>
  <c r="AG71" i="144" s="1"/>
  <c r="R102" i="144"/>
  <c r="S72" i="144"/>
  <c r="S73" i="144"/>
  <c r="S74" i="144"/>
  <c r="S75" i="144"/>
  <c r="S76" i="144"/>
  <c r="S77" i="144"/>
  <c r="S78" i="144"/>
  <c r="S79" i="144"/>
  <c r="S80" i="144"/>
  <c r="S81" i="144"/>
  <c r="S82" i="144"/>
  <c r="S83" i="144"/>
  <c r="S84" i="144"/>
  <c r="S85" i="144"/>
  <c r="S86" i="144"/>
  <c r="S87" i="144"/>
  <c r="S88" i="144"/>
  <c r="S89" i="144"/>
  <c r="S90" i="144"/>
  <c r="S91" i="144"/>
  <c r="S92" i="144"/>
  <c r="S93" i="144"/>
  <c r="S94" i="144"/>
  <c r="S95" i="144"/>
  <c r="S96" i="144"/>
  <c r="S97" i="144"/>
  <c r="S98" i="144"/>
  <c r="AK179" i="157" l="1"/>
  <c r="AP179" i="157"/>
  <c r="AQ179" i="157" s="1"/>
  <c r="AK177" i="157"/>
  <c r="AP177" i="157"/>
  <c r="AQ177" i="157" s="1"/>
  <c r="AK175" i="157"/>
  <c r="AP175" i="157"/>
  <c r="AQ175" i="157" s="1"/>
  <c r="AK92" i="157"/>
  <c r="AP92" i="157"/>
  <c r="AQ92" i="157" s="1"/>
  <c r="S102" i="144"/>
  <c r="G71" i="144"/>
  <c r="G72" i="144"/>
  <c r="G73" i="144"/>
  <c r="G74" i="144"/>
  <c r="G75" i="144"/>
  <c r="G76" i="144"/>
  <c r="G77" i="144"/>
  <c r="G78" i="144"/>
  <c r="G79" i="144"/>
  <c r="G80" i="144"/>
  <c r="G81" i="144"/>
  <c r="G82" i="144"/>
  <c r="G83" i="144"/>
  <c r="G84" i="144"/>
  <c r="G85" i="144"/>
  <c r="G86" i="144"/>
  <c r="G87" i="144"/>
  <c r="G88" i="144"/>
  <c r="G89" i="144"/>
  <c r="G90" i="144"/>
  <c r="G91" i="144"/>
  <c r="G92" i="144"/>
  <c r="G93" i="144"/>
  <c r="G94" i="144"/>
  <c r="G95" i="144"/>
  <c r="G96" i="144"/>
  <c r="G97" i="144"/>
  <c r="G98" i="144"/>
  <c r="V43" i="144" l="1"/>
  <c r="W42" i="144" s="1"/>
  <c r="L43" i="144"/>
  <c r="K43" i="144"/>
  <c r="W41" i="144"/>
  <c r="M34" i="144"/>
  <c r="L34" i="144"/>
  <c r="V33" i="144"/>
  <c r="N33" i="144"/>
  <c r="N34" i="144" s="1"/>
  <c r="K33" i="144"/>
  <c r="K34" i="144" s="1"/>
  <c r="V34" i="144" l="1"/>
  <c r="W33" i="144" s="1"/>
  <c r="W40" i="144"/>
  <c r="F98" i="142"/>
  <c r="G71" i="142"/>
  <c r="N102" i="144"/>
  <c r="F72" i="144"/>
  <c r="F73" i="144"/>
  <c r="F74" i="144"/>
  <c r="F75" i="144"/>
  <c r="F76" i="144"/>
  <c r="F77" i="144"/>
  <c r="F78" i="144"/>
  <c r="F79" i="144"/>
  <c r="F80" i="144"/>
  <c r="F81" i="144"/>
  <c r="F82" i="144"/>
  <c r="F83" i="144"/>
  <c r="F84" i="144"/>
  <c r="F85" i="144"/>
  <c r="F86" i="144"/>
  <c r="F87" i="144"/>
  <c r="F88" i="144"/>
  <c r="F89" i="144"/>
  <c r="F90" i="144"/>
  <c r="F91" i="144"/>
  <c r="F92" i="144"/>
  <c r="F93" i="144"/>
  <c r="F94" i="144"/>
  <c r="F95" i="144"/>
  <c r="F96" i="144"/>
  <c r="F97" i="144"/>
  <c r="F98" i="144"/>
  <c r="F71" i="144"/>
  <c r="K51" i="144" l="1"/>
  <c r="V51" i="144" s="1"/>
  <c r="W43" i="144"/>
  <c r="W29" i="144"/>
  <c r="W30" i="144"/>
  <c r="W31" i="144"/>
  <c r="W32" i="144"/>
  <c r="W28" i="144"/>
  <c r="W34" i="144" l="1"/>
  <c r="Z98" i="144"/>
  <c r="Z97" i="144"/>
  <c r="Z96" i="144"/>
  <c r="Z95" i="144"/>
  <c r="Z94" i="144"/>
  <c r="Z93" i="144"/>
  <c r="Z92" i="144"/>
  <c r="Z91" i="144"/>
  <c r="Z90" i="144"/>
  <c r="Z89" i="144"/>
  <c r="Z88" i="144"/>
  <c r="Z87" i="144"/>
  <c r="Z86" i="144"/>
  <c r="Z85" i="144"/>
  <c r="Z84" i="144"/>
  <c r="Z83" i="144"/>
  <c r="Z82" i="144"/>
  <c r="Z81" i="144"/>
  <c r="Z80" i="144"/>
  <c r="Z79" i="144"/>
  <c r="Z78" i="144"/>
  <c r="Z77" i="144"/>
  <c r="Z76" i="144"/>
  <c r="Z75" i="144"/>
  <c r="Z74" i="144"/>
  <c r="Z73" i="144"/>
  <c r="Z72" i="144"/>
  <c r="X72" i="144"/>
  <c r="X73" i="144"/>
  <c r="X74" i="144"/>
  <c r="X75" i="144"/>
  <c r="X76" i="144"/>
  <c r="X77" i="144"/>
  <c r="X78" i="144"/>
  <c r="X79" i="144"/>
  <c r="X80" i="144"/>
  <c r="X81" i="144"/>
  <c r="X82" i="144"/>
  <c r="X83" i="144"/>
  <c r="X84" i="144"/>
  <c r="X85" i="144"/>
  <c r="X86" i="144"/>
  <c r="X87" i="144"/>
  <c r="X88" i="144"/>
  <c r="X89" i="144"/>
  <c r="X90" i="144"/>
  <c r="X91" i="144"/>
  <c r="X92" i="144"/>
  <c r="X93" i="144"/>
  <c r="X94" i="144"/>
  <c r="X95" i="144"/>
  <c r="X96" i="144"/>
  <c r="X97" i="144"/>
  <c r="X98" i="144"/>
  <c r="U98" i="144" l="1"/>
  <c r="U97" i="144"/>
  <c r="U96" i="144"/>
  <c r="U95" i="144"/>
  <c r="U94" i="144"/>
  <c r="U93" i="144"/>
  <c r="U92" i="144"/>
  <c r="U91" i="144"/>
  <c r="U90" i="144"/>
  <c r="U89" i="144"/>
  <c r="U88" i="144"/>
  <c r="U87" i="144"/>
  <c r="U86" i="144"/>
  <c r="U85" i="144"/>
  <c r="U84" i="144"/>
  <c r="U83" i="144"/>
  <c r="U82" i="144"/>
  <c r="U81" i="144"/>
  <c r="U80" i="144"/>
  <c r="U79" i="144"/>
  <c r="U78" i="144"/>
  <c r="U77" i="144"/>
  <c r="U76" i="144"/>
  <c r="U75" i="144"/>
  <c r="U74" i="144"/>
  <c r="U73" i="144"/>
  <c r="U72" i="144"/>
  <c r="AD169" i="157" l="1"/>
  <c r="AD168" i="157"/>
  <c r="AD167" i="157"/>
  <c r="AD166" i="157"/>
  <c r="AI168" i="157"/>
  <c r="AG168" i="157" s="1"/>
  <c r="AH168" i="157" s="1"/>
  <c r="AA168" i="157"/>
  <c r="AB168" i="157" s="1"/>
  <c r="X168" i="157"/>
  <c r="Y168" i="157" s="1"/>
  <c r="N168" i="157"/>
  <c r="L168" i="157"/>
  <c r="J168" i="157"/>
  <c r="H168" i="157"/>
  <c r="AI167" i="157"/>
  <c r="AG167" i="157" s="1"/>
  <c r="AH167" i="157" s="1"/>
  <c r="AA167" i="157"/>
  <c r="AB167" i="157" s="1"/>
  <c r="X167" i="157"/>
  <c r="Y167" i="157" s="1"/>
  <c r="N167" i="157"/>
  <c r="L167" i="157"/>
  <c r="J167" i="157"/>
  <c r="H167" i="157"/>
  <c r="AL167" i="157" l="1"/>
  <c r="AJ167" i="157" s="1"/>
  <c r="AK167" i="157" s="1"/>
  <c r="AL168" i="157"/>
  <c r="B8" i="161"/>
  <c r="C8" i="161" s="1"/>
  <c r="D8" i="161" s="1"/>
  <c r="B7" i="161"/>
  <c r="C7" i="161" s="1"/>
  <c r="D7" i="161" s="1"/>
  <c r="C6" i="161"/>
  <c r="D6" i="161" s="1"/>
  <c r="B5" i="161"/>
  <c r="C5" i="161" s="1"/>
  <c r="D5" i="161" s="1"/>
  <c r="B4" i="161"/>
  <c r="J169" i="157"/>
  <c r="L26" i="157"/>
  <c r="L27" i="157"/>
  <c r="L28" i="157"/>
  <c r="L29" i="157"/>
  <c r="L30" i="157"/>
  <c r="L31" i="157"/>
  <c r="L32" i="157"/>
  <c r="L33" i="157"/>
  <c r="L34" i="157"/>
  <c r="L35" i="157"/>
  <c r="L36" i="157"/>
  <c r="L37" i="157"/>
  <c r="L38" i="157"/>
  <c r="L39" i="157"/>
  <c r="L41" i="157"/>
  <c r="L61" i="157"/>
  <c r="L63" i="157"/>
  <c r="L67" i="157"/>
  <c r="L44" i="157"/>
  <c r="L45" i="157"/>
  <c r="L46" i="157"/>
  <c r="L47" i="157"/>
  <c r="L48" i="157"/>
  <c r="L49" i="157"/>
  <c r="L50" i="157"/>
  <c r="L51" i="157"/>
  <c r="L52" i="157"/>
  <c r="L53" i="157"/>
  <c r="L54" i="157"/>
  <c r="L40" i="157"/>
  <c r="L42" i="157"/>
  <c r="L57" i="157"/>
  <c r="L59" i="157"/>
  <c r="L62" i="157"/>
  <c r="L64" i="157"/>
  <c r="L65" i="157"/>
  <c r="L68" i="157"/>
  <c r="L58" i="157"/>
  <c r="L60" i="157"/>
  <c r="L66" i="157"/>
  <c r="L69" i="157"/>
  <c r="L70" i="157"/>
  <c r="L72" i="157"/>
  <c r="L73" i="157"/>
  <c r="L75" i="157"/>
  <c r="L43" i="157"/>
  <c r="L55" i="157"/>
  <c r="L165" i="157"/>
  <c r="L166" i="157"/>
  <c r="L71" i="157"/>
  <c r="L74" i="157"/>
  <c r="L76" i="157"/>
  <c r="L56" i="157"/>
  <c r="L169" i="157"/>
  <c r="L90" i="157"/>
  <c r="L91" i="157"/>
  <c r="L93" i="157"/>
  <c r="L94" i="157"/>
  <c r="L95" i="157"/>
  <c r="L108" i="157"/>
  <c r="L109" i="157"/>
  <c r="L77" i="157"/>
  <c r="L78" i="157"/>
  <c r="L111" i="157"/>
  <c r="L112" i="157"/>
  <c r="L102" i="157"/>
  <c r="L103" i="157"/>
  <c r="L96" i="157"/>
  <c r="L97" i="157"/>
  <c r="L80" i="157"/>
  <c r="L81" i="157"/>
  <c r="L127" i="157"/>
  <c r="L110" i="157"/>
  <c r="L79" i="157"/>
  <c r="L113" i="157"/>
  <c r="L114" i="157"/>
  <c r="L115" i="157"/>
  <c r="L104" i="157"/>
  <c r="L105" i="157"/>
  <c r="L106" i="157"/>
  <c r="L98" i="157"/>
  <c r="L99" i="157"/>
  <c r="L100" i="157"/>
  <c r="L82" i="157"/>
  <c r="L83" i="157"/>
  <c r="L84" i="157"/>
  <c r="L162" i="157"/>
  <c r="L163" i="157"/>
  <c r="L117" i="157"/>
  <c r="L86" i="157"/>
  <c r="L121" i="157"/>
  <c r="L122" i="157"/>
  <c r="L118" i="157"/>
  <c r="L87" i="157"/>
  <c r="L123" i="157"/>
  <c r="L124" i="157"/>
  <c r="L125" i="157"/>
  <c r="L88" i="157"/>
  <c r="L119" i="157"/>
  <c r="L116" i="157"/>
  <c r="L107" i="157"/>
  <c r="L101" i="157"/>
  <c r="L85" i="157"/>
  <c r="L164" i="157"/>
  <c r="L126" i="157"/>
  <c r="L89" i="157"/>
  <c r="L120" i="157"/>
  <c r="L11" i="157"/>
  <c r="L12" i="157"/>
  <c r="L13" i="157"/>
  <c r="L14" i="157"/>
  <c r="L15" i="157"/>
  <c r="L16" i="157"/>
  <c r="L17" i="157"/>
  <c r="L18" i="157"/>
  <c r="L19" i="157"/>
  <c r="L20" i="157"/>
  <c r="L21" i="157"/>
  <c r="L22" i="157"/>
  <c r="L23" i="157"/>
  <c r="L24" i="157"/>
  <c r="L25" i="157"/>
  <c r="L3" i="157"/>
  <c r="L4" i="157"/>
  <c r="L5" i="157"/>
  <c r="L6" i="157"/>
  <c r="L7" i="157"/>
  <c r="L8" i="157"/>
  <c r="L9" i="157"/>
  <c r="L10" i="157"/>
  <c r="L2" i="157"/>
  <c r="B2" i="161" l="1"/>
  <c r="B3" i="161"/>
  <c r="C3" i="161" s="1"/>
  <c r="AR167" i="157"/>
  <c r="AP167" i="157"/>
  <c r="AR168" i="157"/>
  <c r="AJ168" i="157"/>
  <c r="C2" i="161"/>
  <c r="D2" i="161" s="1"/>
  <c r="D3" i="161"/>
  <c r="C4" i="161"/>
  <c r="D4" i="161" s="1"/>
  <c r="AC9" i="157"/>
  <c r="H2" i="157"/>
  <c r="J2" i="157"/>
  <c r="N2" i="157"/>
  <c r="X2" i="157"/>
  <c r="Y2" i="157" s="1"/>
  <c r="AA2" i="157"/>
  <c r="AB2" i="157" s="1"/>
  <c r="AD2" i="157"/>
  <c r="AI2" i="157"/>
  <c r="AL2" i="157" s="1"/>
  <c r="H3" i="157"/>
  <c r="J3" i="157"/>
  <c r="N3" i="157"/>
  <c r="X3" i="157"/>
  <c r="Y3" i="157" s="1"/>
  <c r="AA3" i="157"/>
  <c r="AB3" i="157" s="1"/>
  <c r="AD3" i="157"/>
  <c r="AI3" i="157"/>
  <c r="AG3" i="157" s="1"/>
  <c r="AH3" i="157" s="1"/>
  <c r="H4" i="157"/>
  <c r="J4" i="157"/>
  <c r="N4" i="157"/>
  <c r="X4" i="157"/>
  <c r="Y4" i="157" s="1"/>
  <c r="AA4" i="157"/>
  <c r="AB4" i="157" s="1"/>
  <c r="AD4" i="157"/>
  <c r="AI4" i="157"/>
  <c r="AG4" i="157" s="1"/>
  <c r="AH4" i="157" s="1"/>
  <c r="H5" i="157"/>
  <c r="J5" i="157"/>
  <c r="N5" i="157"/>
  <c r="X5" i="157"/>
  <c r="Y5" i="157" s="1"/>
  <c r="AA5" i="157"/>
  <c r="AB5" i="157" s="1"/>
  <c r="AD5" i="157"/>
  <c r="AI5" i="157"/>
  <c r="AG5" i="157" s="1"/>
  <c r="AH5" i="157" s="1"/>
  <c r="H6" i="157"/>
  <c r="J6" i="157"/>
  <c r="N6" i="157"/>
  <c r="X6" i="157"/>
  <c r="Y6" i="157" s="1"/>
  <c r="AA6" i="157"/>
  <c r="AB6" i="157" s="1"/>
  <c r="AD6" i="157"/>
  <c r="AI6" i="157"/>
  <c r="AG6" i="157" s="1"/>
  <c r="AH6" i="157" s="1"/>
  <c r="H7" i="157"/>
  <c r="J7" i="157"/>
  <c r="N7" i="157"/>
  <c r="X7" i="157"/>
  <c r="Y7" i="157" s="1"/>
  <c r="AA7" i="157"/>
  <c r="AB7" i="157" s="1"/>
  <c r="AD7" i="157"/>
  <c r="AI7" i="157"/>
  <c r="AL7" i="157" s="1"/>
  <c r="AR7" i="157" s="1"/>
  <c r="H8" i="157"/>
  <c r="J8" i="157"/>
  <c r="N8" i="157"/>
  <c r="X8" i="157"/>
  <c r="Y8" i="157" s="1"/>
  <c r="AA8" i="157"/>
  <c r="AB8" i="157" s="1"/>
  <c r="AD8" i="157"/>
  <c r="AI8" i="157"/>
  <c r="AG8" i="157" s="1"/>
  <c r="AH8" i="157" s="1"/>
  <c r="H9" i="157"/>
  <c r="J9" i="157"/>
  <c r="N9" i="157"/>
  <c r="Z9" i="157"/>
  <c r="AI9" i="157" s="1"/>
  <c r="AA9" i="157"/>
  <c r="AB9" i="157" s="1"/>
  <c r="H10" i="157"/>
  <c r="J10" i="157"/>
  <c r="N10" i="157"/>
  <c r="Z10" i="157"/>
  <c r="AI10" i="157" s="1"/>
  <c r="AC10" i="157"/>
  <c r="AA10" i="157" s="1"/>
  <c r="AB10" i="157" s="1"/>
  <c r="H11" i="157"/>
  <c r="J11" i="157"/>
  <c r="N11" i="157"/>
  <c r="X11" i="157"/>
  <c r="Y11" i="157" s="1"/>
  <c r="AA11" i="157"/>
  <c r="AB11" i="157" s="1"/>
  <c r="AD11" i="157"/>
  <c r="AI11" i="157"/>
  <c r="AG11" i="157" s="1"/>
  <c r="AH11" i="157" s="1"/>
  <c r="H12" i="157"/>
  <c r="J12" i="157"/>
  <c r="N12" i="157"/>
  <c r="X12" i="157"/>
  <c r="Y12" i="157" s="1"/>
  <c r="AA12" i="157"/>
  <c r="AB12" i="157" s="1"/>
  <c r="AD12" i="157"/>
  <c r="AI12" i="157"/>
  <c r="AG12" i="157" s="1"/>
  <c r="AH12" i="157" s="1"/>
  <c r="H13" i="157"/>
  <c r="J13" i="157"/>
  <c r="N13" i="157"/>
  <c r="Z13" i="157"/>
  <c r="AC13" i="157"/>
  <c r="AA13" i="157" s="1"/>
  <c r="AB13" i="157" s="1"/>
  <c r="H14" i="157"/>
  <c r="J14" i="157"/>
  <c r="N14" i="157"/>
  <c r="Z14" i="157"/>
  <c r="AI14" i="157" s="1"/>
  <c r="AC14" i="157"/>
  <c r="AA14" i="157" s="1"/>
  <c r="AB14" i="157" s="1"/>
  <c r="H15" i="157"/>
  <c r="J15" i="157"/>
  <c r="N15" i="157"/>
  <c r="AC15" i="157"/>
  <c r="AA15" i="157" s="1"/>
  <c r="AB15" i="157" s="1"/>
  <c r="H16" i="157"/>
  <c r="J16" i="157"/>
  <c r="N16" i="157"/>
  <c r="Z16" i="157"/>
  <c r="AI16" i="157" s="1"/>
  <c r="AC16" i="157"/>
  <c r="AA16" i="157" s="1"/>
  <c r="AB16" i="157" s="1"/>
  <c r="H17" i="157"/>
  <c r="J17" i="157"/>
  <c r="N17" i="157"/>
  <c r="X17" i="157"/>
  <c r="Y17" i="157" s="1"/>
  <c r="AA17" i="157"/>
  <c r="AB17" i="157" s="1"/>
  <c r="AD17" i="157"/>
  <c r="AI17" i="157"/>
  <c r="AG17" i="157" s="1"/>
  <c r="AH17" i="157" s="1"/>
  <c r="H18" i="157"/>
  <c r="J18" i="157"/>
  <c r="N18" i="157"/>
  <c r="X18" i="157"/>
  <c r="Y18" i="157" s="1"/>
  <c r="AA18" i="157"/>
  <c r="AB18" i="157" s="1"/>
  <c r="AD18" i="157"/>
  <c r="AI18" i="157"/>
  <c r="AG18" i="157" s="1"/>
  <c r="AH18" i="157" s="1"/>
  <c r="H19" i="157"/>
  <c r="J19" i="157"/>
  <c r="N19" i="157"/>
  <c r="Z19" i="157"/>
  <c r="AI19" i="157" s="1"/>
  <c r="AC19" i="157"/>
  <c r="AA19" i="157" s="1"/>
  <c r="AB19" i="157" s="1"/>
  <c r="H20" i="157"/>
  <c r="J20" i="157"/>
  <c r="N20" i="157"/>
  <c r="Z20" i="157"/>
  <c r="AI20" i="157" s="1"/>
  <c r="AC20" i="157"/>
  <c r="H21" i="157"/>
  <c r="J21" i="157"/>
  <c r="N21" i="157"/>
  <c r="Z21" i="157"/>
  <c r="AI21" i="157" s="1"/>
  <c r="AC21" i="157"/>
  <c r="AA21" i="157" s="1"/>
  <c r="AB21" i="157" s="1"/>
  <c r="H22" i="157"/>
  <c r="J22" i="157"/>
  <c r="N22" i="157"/>
  <c r="Z22" i="157"/>
  <c r="AI22" i="157" s="1"/>
  <c r="AC22" i="157"/>
  <c r="AA22" i="157" s="1"/>
  <c r="AB22" i="157" s="1"/>
  <c r="H23" i="157"/>
  <c r="J23" i="157"/>
  <c r="N23" i="157"/>
  <c r="Z23" i="157"/>
  <c r="AI23" i="157" s="1"/>
  <c r="AC23" i="157"/>
  <c r="AA23" i="157" s="1"/>
  <c r="AB23" i="157" s="1"/>
  <c r="H24" i="157"/>
  <c r="J24" i="157"/>
  <c r="N24" i="157"/>
  <c r="Z24" i="157"/>
  <c r="AI24" i="157" s="1"/>
  <c r="AC24" i="157"/>
  <c r="AA24" i="157" s="1"/>
  <c r="AB24" i="157" s="1"/>
  <c r="H25" i="157"/>
  <c r="J25" i="157"/>
  <c r="N25" i="157"/>
  <c r="Z25" i="157"/>
  <c r="AI25" i="157" s="1"/>
  <c r="AC25" i="157"/>
  <c r="AA25" i="157" s="1"/>
  <c r="AB25" i="157" s="1"/>
  <c r="H26" i="157"/>
  <c r="J26" i="157"/>
  <c r="N26" i="157"/>
  <c r="Z26" i="157"/>
  <c r="AI26" i="157" s="1"/>
  <c r="AC26" i="157"/>
  <c r="AA26" i="157" s="1"/>
  <c r="AB26" i="157" s="1"/>
  <c r="H27" i="157"/>
  <c r="J27" i="157"/>
  <c r="N27" i="157"/>
  <c r="X27" i="157"/>
  <c r="Y27" i="157" s="1"/>
  <c r="AA27" i="157"/>
  <c r="AB27" i="157" s="1"/>
  <c r="AD27" i="157"/>
  <c r="AI27" i="157"/>
  <c r="AG27" i="157" s="1"/>
  <c r="AH27" i="157" s="1"/>
  <c r="H28" i="157"/>
  <c r="J28" i="157"/>
  <c r="N28" i="157"/>
  <c r="X28" i="157"/>
  <c r="Y28" i="157" s="1"/>
  <c r="AA28" i="157"/>
  <c r="AB28" i="157" s="1"/>
  <c r="AD28" i="157"/>
  <c r="AI28" i="157"/>
  <c r="AG28" i="157" s="1"/>
  <c r="AH28" i="157" s="1"/>
  <c r="H29" i="157"/>
  <c r="J29" i="157"/>
  <c r="N29" i="157"/>
  <c r="X29" i="157"/>
  <c r="Y29" i="157" s="1"/>
  <c r="AA29" i="157"/>
  <c r="AB29" i="157" s="1"/>
  <c r="AD29" i="157"/>
  <c r="AI29" i="157"/>
  <c r="AG29" i="157" s="1"/>
  <c r="AH29" i="157" s="1"/>
  <c r="H30" i="157"/>
  <c r="J30" i="157"/>
  <c r="N30" i="157"/>
  <c r="X30" i="157"/>
  <c r="Y30" i="157" s="1"/>
  <c r="AA30" i="157"/>
  <c r="AB30" i="157" s="1"/>
  <c r="AD30" i="157"/>
  <c r="AI30" i="157"/>
  <c r="AG30" i="157" s="1"/>
  <c r="AH30" i="157" s="1"/>
  <c r="H31" i="157"/>
  <c r="J31" i="157"/>
  <c r="N31" i="157"/>
  <c r="X31" i="157"/>
  <c r="Y31" i="157" s="1"/>
  <c r="AA31" i="157"/>
  <c r="AB31" i="157" s="1"/>
  <c r="AD31" i="157"/>
  <c r="AI31" i="157"/>
  <c r="AG31" i="157" s="1"/>
  <c r="AH31" i="157" s="1"/>
  <c r="H32" i="157"/>
  <c r="J32" i="157"/>
  <c r="N32" i="157"/>
  <c r="X32" i="157"/>
  <c r="Y32" i="157" s="1"/>
  <c r="AA32" i="157"/>
  <c r="AB32" i="157" s="1"/>
  <c r="AD32" i="157"/>
  <c r="AI32" i="157"/>
  <c r="AG32" i="157" s="1"/>
  <c r="AH32" i="157" s="1"/>
  <c r="H33" i="157"/>
  <c r="J33" i="157"/>
  <c r="N33" i="157"/>
  <c r="X33" i="157"/>
  <c r="Y33" i="157" s="1"/>
  <c r="AA33" i="157"/>
  <c r="AB33" i="157" s="1"/>
  <c r="AD33" i="157"/>
  <c r="AI33" i="157"/>
  <c r="AL33" i="157" s="1"/>
  <c r="H34" i="157"/>
  <c r="J34" i="157"/>
  <c r="N34" i="157"/>
  <c r="X34" i="157"/>
  <c r="Y34" i="157" s="1"/>
  <c r="AA34" i="157"/>
  <c r="AB34" i="157" s="1"/>
  <c r="AD34" i="157"/>
  <c r="AI34" i="157"/>
  <c r="AG34" i="157" s="1"/>
  <c r="AH34" i="157" s="1"/>
  <c r="H35" i="157"/>
  <c r="J35" i="157"/>
  <c r="N35" i="157"/>
  <c r="X35" i="157"/>
  <c r="Y35" i="157" s="1"/>
  <c r="AA35" i="157"/>
  <c r="AB35" i="157" s="1"/>
  <c r="AD35" i="157"/>
  <c r="AI35" i="157"/>
  <c r="AG35" i="157" s="1"/>
  <c r="AH35" i="157" s="1"/>
  <c r="H36" i="157"/>
  <c r="J36" i="157"/>
  <c r="N36" i="157"/>
  <c r="X36" i="157"/>
  <c r="Y36" i="157" s="1"/>
  <c r="AA36" i="157"/>
  <c r="AB36" i="157" s="1"/>
  <c r="AD36" i="157"/>
  <c r="AI36" i="157"/>
  <c r="AL36" i="157" s="1"/>
  <c r="H37" i="157"/>
  <c r="J37" i="157"/>
  <c r="N37" i="157"/>
  <c r="X37" i="157"/>
  <c r="Y37" i="157" s="1"/>
  <c r="AA37" i="157"/>
  <c r="AB37" i="157" s="1"/>
  <c r="AD37" i="157"/>
  <c r="AI37" i="157"/>
  <c r="AG37" i="157" s="1"/>
  <c r="AH37" i="157" s="1"/>
  <c r="H38" i="157"/>
  <c r="J38" i="157"/>
  <c r="N38" i="157"/>
  <c r="X38" i="157"/>
  <c r="Y38" i="157" s="1"/>
  <c r="AA38" i="157"/>
  <c r="AB38" i="157" s="1"/>
  <c r="AD38" i="157"/>
  <c r="AI38" i="157"/>
  <c r="AG38" i="157" s="1"/>
  <c r="AH38" i="157" s="1"/>
  <c r="H39" i="157"/>
  <c r="J39" i="157"/>
  <c r="N39" i="157"/>
  <c r="X39" i="157"/>
  <c r="Y39" i="157" s="1"/>
  <c r="AA39" i="157"/>
  <c r="AB39" i="157" s="1"/>
  <c r="AD39" i="157"/>
  <c r="AI39" i="157"/>
  <c r="AG39" i="157" s="1"/>
  <c r="AH39" i="157" s="1"/>
  <c r="H41" i="157"/>
  <c r="J41" i="157"/>
  <c r="N41" i="157"/>
  <c r="X41" i="157"/>
  <c r="Y41" i="157" s="1"/>
  <c r="AA41" i="157"/>
  <c r="AB41" i="157" s="1"/>
  <c r="AD41" i="157"/>
  <c r="AI41" i="157"/>
  <c r="AG41" i="157" s="1"/>
  <c r="AH41" i="157" s="1"/>
  <c r="H61" i="157"/>
  <c r="J61" i="157"/>
  <c r="N61" i="157"/>
  <c r="X61" i="157"/>
  <c r="Y61" i="157" s="1"/>
  <c r="AA61" i="157"/>
  <c r="AB61" i="157" s="1"/>
  <c r="AD61" i="157"/>
  <c r="AI61" i="157"/>
  <c r="AG61" i="157" s="1"/>
  <c r="AH61" i="157" s="1"/>
  <c r="H63" i="157"/>
  <c r="J63" i="157"/>
  <c r="N63" i="157"/>
  <c r="X63" i="157"/>
  <c r="Y63" i="157" s="1"/>
  <c r="AA63" i="157"/>
  <c r="AB63" i="157" s="1"/>
  <c r="AD63" i="157"/>
  <c r="AI63" i="157"/>
  <c r="AG63" i="157" s="1"/>
  <c r="AH63" i="157" s="1"/>
  <c r="H67" i="157"/>
  <c r="J67" i="157"/>
  <c r="N67" i="157"/>
  <c r="X67" i="157"/>
  <c r="Y67" i="157" s="1"/>
  <c r="AA67" i="157"/>
  <c r="AB67" i="157" s="1"/>
  <c r="AD67" i="157"/>
  <c r="AI67" i="157"/>
  <c r="AG67" i="157" s="1"/>
  <c r="AH67" i="157" s="1"/>
  <c r="H44" i="157"/>
  <c r="J44" i="157"/>
  <c r="N44" i="157"/>
  <c r="X44" i="157"/>
  <c r="Y44" i="157" s="1"/>
  <c r="AA44" i="157"/>
  <c r="AB44" i="157" s="1"/>
  <c r="AD44" i="157"/>
  <c r="AI44" i="157"/>
  <c r="AL44" i="157" s="1"/>
  <c r="AR44" i="157" s="1"/>
  <c r="H45" i="157"/>
  <c r="J45" i="157"/>
  <c r="N45" i="157"/>
  <c r="X45" i="157"/>
  <c r="Y45" i="157" s="1"/>
  <c r="AA45" i="157"/>
  <c r="AB45" i="157" s="1"/>
  <c r="AD45" i="157"/>
  <c r="AI45" i="157"/>
  <c r="AG45" i="157" s="1"/>
  <c r="AH45" i="157" s="1"/>
  <c r="H46" i="157"/>
  <c r="J46" i="157"/>
  <c r="N46" i="157"/>
  <c r="X46" i="157"/>
  <c r="Y46" i="157" s="1"/>
  <c r="AA46" i="157"/>
  <c r="AB46" i="157" s="1"/>
  <c r="AD46" i="157"/>
  <c r="AI46" i="157"/>
  <c r="AG46" i="157" s="1"/>
  <c r="AH46" i="157" s="1"/>
  <c r="H47" i="157"/>
  <c r="J47" i="157"/>
  <c r="N47" i="157"/>
  <c r="X47" i="157"/>
  <c r="Y47" i="157" s="1"/>
  <c r="AA47" i="157"/>
  <c r="AB47" i="157" s="1"/>
  <c r="AD47" i="157"/>
  <c r="AI47" i="157"/>
  <c r="AG47" i="157" s="1"/>
  <c r="AH47" i="157" s="1"/>
  <c r="H48" i="157"/>
  <c r="J48" i="157"/>
  <c r="N48" i="157"/>
  <c r="X48" i="157"/>
  <c r="Y48" i="157" s="1"/>
  <c r="AA48" i="157"/>
  <c r="AB48" i="157" s="1"/>
  <c r="AD48" i="157"/>
  <c r="AI48" i="157"/>
  <c r="AL48" i="157" s="1"/>
  <c r="AR48" i="157" s="1"/>
  <c r="H49" i="157"/>
  <c r="J49" i="157"/>
  <c r="N49" i="157"/>
  <c r="X49" i="157"/>
  <c r="Y49" i="157" s="1"/>
  <c r="AA49" i="157"/>
  <c r="AB49" i="157" s="1"/>
  <c r="AD49" i="157"/>
  <c r="AI49" i="157"/>
  <c r="AG49" i="157" s="1"/>
  <c r="AH49" i="157" s="1"/>
  <c r="H50" i="157"/>
  <c r="J50" i="157"/>
  <c r="N50" i="157"/>
  <c r="X50" i="157"/>
  <c r="Y50" i="157" s="1"/>
  <c r="AA50" i="157"/>
  <c r="AB50" i="157" s="1"/>
  <c r="AD50" i="157"/>
  <c r="AI50" i="157"/>
  <c r="AG50" i="157" s="1"/>
  <c r="AH50" i="157" s="1"/>
  <c r="H51" i="157"/>
  <c r="J51" i="157"/>
  <c r="N51" i="157"/>
  <c r="X51" i="157"/>
  <c r="Y51" i="157" s="1"/>
  <c r="AA51" i="157"/>
  <c r="AB51" i="157" s="1"/>
  <c r="AD51" i="157"/>
  <c r="AI51" i="157"/>
  <c r="AG51" i="157" s="1"/>
  <c r="AH51" i="157" s="1"/>
  <c r="H52" i="157"/>
  <c r="J52" i="157"/>
  <c r="N52" i="157"/>
  <c r="X52" i="157"/>
  <c r="Y52" i="157" s="1"/>
  <c r="AA52" i="157"/>
  <c r="AB52" i="157" s="1"/>
  <c r="AD52" i="157"/>
  <c r="AI52" i="157"/>
  <c r="AG52" i="157" s="1"/>
  <c r="AH52" i="157" s="1"/>
  <c r="H53" i="157"/>
  <c r="J53" i="157"/>
  <c r="N53" i="157"/>
  <c r="X53" i="157"/>
  <c r="Y53" i="157" s="1"/>
  <c r="AA53" i="157"/>
  <c r="AB53" i="157" s="1"/>
  <c r="AD53" i="157"/>
  <c r="AI53" i="157"/>
  <c r="AG53" i="157" s="1"/>
  <c r="AH53" i="157" s="1"/>
  <c r="H54" i="157"/>
  <c r="J54" i="157"/>
  <c r="N54" i="157"/>
  <c r="X54" i="157"/>
  <c r="Y54" i="157" s="1"/>
  <c r="AA54" i="157"/>
  <c r="AB54" i="157" s="1"/>
  <c r="AD54" i="157"/>
  <c r="AI54" i="157"/>
  <c r="AG54" i="157" s="1"/>
  <c r="AH54" i="157" s="1"/>
  <c r="H40" i="157"/>
  <c r="J40" i="157"/>
  <c r="N40" i="157"/>
  <c r="X40" i="157"/>
  <c r="Y40" i="157" s="1"/>
  <c r="AA40" i="157"/>
  <c r="AB40" i="157" s="1"/>
  <c r="AD40" i="157"/>
  <c r="AI40" i="157"/>
  <c r="AG40" i="157" s="1"/>
  <c r="AH40" i="157" s="1"/>
  <c r="H42" i="157"/>
  <c r="J42" i="157"/>
  <c r="N42" i="157"/>
  <c r="X42" i="157"/>
  <c r="Y42" i="157" s="1"/>
  <c r="AA42" i="157"/>
  <c r="AB42" i="157" s="1"/>
  <c r="AD42" i="157"/>
  <c r="AI42" i="157"/>
  <c r="AL42" i="157" s="1"/>
  <c r="H57" i="157"/>
  <c r="J57" i="157"/>
  <c r="N57" i="157"/>
  <c r="X57" i="157"/>
  <c r="Y57" i="157" s="1"/>
  <c r="AA57" i="157"/>
  <c r="AB57" i="157" s="1"/>
  <c r="AD57" i="157"/>
  <c r="AI57" i="157"/>
  <c r="AG57" i="157" s="1"/>
  <c r="AH57" i="157" s="1"/>
  <c r="H59" i="157"/>
  <c r="J59" i="157"/>
  <c r="N59" i="157"/>
  <c r="X59" i="157"/>
  <c r="Y59" i="157" s="1"/>
  <c r="AA59" i="157"/>
  <c r="AB59" i="157" s="1"/>
  <c r="AD59" i="157"/>
  <c r="AI59" i="157"/>
  <c r="AG59" i="157" s="1"/>
  <c r="AH59" i="157" s="1"/>
  <c r="H62" i="157"/>
  <c r="J62" i="157"/>
  <c r="N62" i="157"/>
  <c r="X62" i="157"/>
  <c r="Y62" i="157" s="1"/>
  <c r="AA62" i="157"/>
  <c r="AB62" i="157" s="1"/>
  <c r="AD62" i="157"/>
  <c r="AI62" i="157"/>
  <c r="AG62" i="157" s="1"/>
  <c r="AH62" i="157" s="1"/>
  <c r="H64" i="157"/>
  <c r="J64" i="157"/>
  <c r="N64" i="157"/>
  <c r="X64" i="157"/>
  <c r="Y64" i="157" s="1"/>
  <c r="AA64" i="157"/>
  <c r="AB64" i="157" s="1"/>
  <c r="AD64" i="157"/>
  <c r="AI64" i="157"/>
  <c r="AG64" i="157" s="1"/>
  <c r="AH64" i="157" s="1"/>
  <c r="H65" i="157"/>
  <c r="J65" i="157"/>
  <c r="N65" i="157"/>
  <c r="X65" i="157"/>
  <c r="Y65" i="157" s="1"/>
  <c r="AA65" i="157"/>
  <c r="AB65" i="157" s="1"/>
  <c r="AD65" i="157"/>
  <c r="AI65" i="157"/>
  <c r="AG65" i="157" s="1"/>
  <c r="AH65" i="157" s="1"/>
  <c r="H68" i="157"/>
  <c r="J68" i="157"/>
  <c r="N68" i="157"/>
  <c r="X68" i="157"/>
  <c r="Y68" i="157" s="1"/>
  <c r="AA68" i="157"/>
  <c r="AB68" i="157" s="1"/>
  <c r="AD68" i="157"/>
  <c r="AI68" i="157"/>
  <c r="AG68" i="157" s="1"/>
  <c r="AH68" i="157" s="1"/>
  <c r="H58" i="157"/>
  <c r="J58" i="157"/>
  <c r="N58" i="157"/>
  <c r="X58" i="157"/>
  <c r="Y58" i="157" s="1"/>
  <c r="AA58" i="157"/>
  <c r="AB58" i="157" s="1"/>
  <c r="AD58" i="157"/>
  <c r="AI58" i="157"/>
  <c r="AG58" i="157" s="1"/>
  <c r="AH58" i="157" s="1"/>
  <c r="H60" i="157"/>
  <c r="J60" i="157"/>
  <c r="N60" i="157"/>
  <c r="X60" i="157"/>
  <c r="Y60" i="157" s="1"/>
  <c r="AA60" i="157"/>
  <c r="AB60" i="157" s="1"/>
  <c r="AD60" i="157"/>
  <c r="AI60" i="157"/>
  <c r="AG60" i="157" s="1"/>
  <c r="AH60" i="157" s="1"/>
  <c r="H66" i="157"/>
  <c r="J66" i="157"/>
  <c r="N66" i="157"/>
  <c r="X66" i="157"/>
  <c r="Y66" i="157" s="1"/>
  <c r="AA66" i="157"/>
  <c r="AB66" i="157" s="1"/>
  <c r="AD66" i="157"/>
  <c r="AI66" i="157"/>
  <c r="AG66" i="157" s="1"/>
  <c r="AH66" i="157" s="1"/>
  <c r="H69" i="157"/>
  <c r="J69" i="157"/>
  <c r="N69" i="157"/>
  <c r="X69" i="157"/>
  <c r="Y69" i="157" s="1"/>
  <c r="AA69" i="157"/>
  <c r="AB69" i="157" s="1"/>
  <c r="AD69" i="157"/>
  <c r="AI69" i="157"/>
  <c r="AG69" i="157" s="1"/>
  <c r="AH69" i="157" s="1"/>
  <c r="H70" i="157"/>
  <c r="J70" i="157"/>
  <c r="N70" i="157"/>
  <c r="X70" i="157"/>
  <c r="Y70" i="157" s="1"/>
  <c r="AA70" i="157"/>
  <c r="AB70" i="157" s="1"/>
  <c r="AD70" i="157"/>
  <c r="AI70" i="157"/>
  <c r="AG70" i="157" s="1"/>
  <c r="AH70" i="157" s="1"/>
  <c r="H72" i="157"/>
  <c r="J72" i="157"/>
  <c r="N72" i="157"/>
  <c r="X72" i="157"/>
  <c r="Y72" i="157" s="1"/>
  <c r="AA72" i="157"/>
  <c r="AB72" i="157" s="1"/>
  <c r="AD72" i="157"/>
  <c r="AI72" i="157"/>
  <c r="AL72" i="157" s="1"/>
  <c r="AR72" i="157" s="1"/>
  <c r="H73" i="157"/>
  <c r="J73" i="157"/>
  <c r="N73" i="157"/>
  <c r="X73" i="157"/>
  <c r="Y73" i="157" s="1"/>
  <c r="AA73" i="157"/>
  <c r="AB73" i="157" s="1"/>
  <c r="AD73" i="157"/>
  <c r="AI73" i="157"/>
  <c r="AG73" i="157" s="1"/>
  <c r="AH73" i="157" s="1"/>
  <c r="H75" i="157"/>
  <c r="J75" i="157"/>
  <c r="N75" i="157"/>
  <c r="X75" i="157"/>
  <c r="Y75" i="157" s="1"/>
  <c r="AA75" i="157"/>
  <c r="AB75" i="157" s="1"/>
  <c r="AD75" i="157"/>
  <c r="AI75" i="157"/>
  <c r="AG75" i="157" s="1"/>
  <c r="AH75" i="157" s="1"/>
  <c r="H43" i="157"/>
  <c r="J43" i="157"/>
  <c r="N43" i="157"/>
  <c r="X43" i="157"/>
  <c r="Y43" i="157" s="1"/>
  <c r="AA43" i="157"/>
  <c r="AB43" i="157" s="1"/>
  <c r="AD43" i="157"/>
  <c r="AI43" i="157"/>
  <c r="AG43" i="157" s="1"/>
  <c r="AH43" i="157" s="1"/>
  <c r="H55" i="157"/>
  <c r="J55" i="157"/>
  <c r="N55" i="157"/>
  <c r="X55" i="157"/>
  <c r="Y55" i="157" s="1"/>
  <c r="AA55" i="157"/>
  <c r="AB55" i="157" s="1"/>
  <c r="AD55" i="157"/>
  <c r="AI55" i="157"/>
  <c r="AG55" i="157" s="1"/>
  <c r="AH55" i="157" s="1"/>
  <c r="H165" i="157"/>
  <c r="J165" i="157"/>
  <c r="N165" i="157"/>
  <c r="X165" i="157"/>
  <c r="Y165" i="157" s="1"/>
  <c r="AD165" i="157"/>
  <c r="AI165" i="157"/>
  <c r="AL165" i="157" s="1"/>
  <c r="AJ165" i="157" s="1"/>
  <c r="H166" i="157"/>
  <c r="J166" i="157"/>
  <c r="N166" i="157"/>
  <c r="X166" i="157"/>
  <c r="Y166" i="157" s="1"/>
  <c r="AA166" i="157"/>
  <c r="AB166" i="157" s="1"/>
  <c r="AI166" i="157"/>
  <c r="AL166" i="157" s="1"/>
  <c r="H71" i="157"/>
  <c r="J71" i="157"/>
  <c r="N71" i="157"/>
  <c r="X71" i="157"/>
  <c r="Y71" i="157" s="1"/>
  <c r="AA71" i="157"/>
  <c r="AB71" i="157" s="1"/>
  <c r="AD71" i="157"/>
  <c r="AI71" i="157"/>
  <c r="AL71" i="157" s="1"/>
  <c r="AJ71" i="157" s="1"/>
  <c r="H74" i="157"/>
  <c r="J74" i="157"/>
  <c r="N74" i="157"/>
  <c r="X74" i="157"/>
  <c r="Y74" i="157" s="1"/>
  <c r="AA74" i="157"/>
  <c r="AB74" i="157" s="1"/>
  <c r="AD74" i="157"/>
  <c r="AI74" i="157"/>
  <c r="H76" i="157"/>
  <c r="J76" i="157"/>
  <c r="N76" i="157"/>
  <c r="X76" i="157"/>
  <c r="Y76" i="157" s="1"/>
  <c r="AA76" i="157"/>
  <c r="AB76" i="157" s="1"/>
  <c r="AD76" i="157"/>
  <c r="AI76" i="157"/>
  <c r="AL76" i="157" s="1"/>
  <c r="AJ76" i="157" s="1"/>
  <c r="H56" i="157"/>
  <c r="J56" i="157"/>
  <c r="N56" i="157"/>
  <c r="X56" i="157"/>
  <c r="Y56" i="157" s="1"/>
  <c r="AA56" i="157"/>
  <c r="AB56" i="157" s="1"/>
  <c r="AD56" i="157"/>
  <c r="AI56" i="157"/>
  <c r="AL56" i="157" s="1"/>
  <c r="H169" i="157"/>
  <c r="X169" i="157"/>
  <c r="Y169" i="157" s="1"/>
  <c r="AA169" i="157"/>
  <c r="AB169" i="157" s="1"/>
  <c r="AI169" i="157"/>
  <c r="AL169" i="157" s="1"/>
  <c r="H90" i="157"/>
  <c r="J90" i="157"/>
  <c r="N90" i="157"/>
  <c r="X90" i="157"/>
  <c r="Y90" i="157" s="1"/>
  <c r="AA90" i="157"/>
  <c r="AB90" i="157" s="1"/>
  <c r="AD90" i="157"/>
  <c r="AI90" i="157"/>
  <c r="H91" i="157"/>
  <c r="J91" i="157"/>
  <c r="N91" i="157"/>
  <c r="X91" i="157"/>
  <c r="Y91" i="157" s="1"/>
  <c r="AA91" i="157"/>
  <c r="AB91" i="157" s="1"/>
  <c r="AD91" i="157"/>
  <c r="AI91" i="157"/>
  <c r="AL91" i="157" s="1"/>
  <c r="AJ91" i="157" s="1"/>
  <c r="H93" i="157"/>
  <c r="J93" i="157"/>
  <c r="N93" i="157"/>
  <c r="X93" i="157"/>
  <c r="Y93" i="157" s="1"/>
  <c r="AA93" i="157"/>
  <c r="AB93" i="157" s="1"/>
  <c r="AD93" i="157"/>
  <c r="AI93" i="157"/>
  <c r="AL93" i="157" s="1"/>
  <c r="H94" i="157"/>
  <c r="J94" i="157"/>
  <c r="N94" i="157"/>
  <c r="Z94" i="157"/>
  <c r="X94" i="157" s="1"/>
  <c r="Y94" i="157" s="1"/>
  <c r="H95" i="157"/>
  <c r="J95" i="157"/>
  <c r="N95" i="157"/>
  <c r="X95" i="157"/>
  <c r="Y95" i="157" s="1"/>
  <c r="AC95" i="157"/>
  <c r="AD95" i="157" s="1"/>
  <c r="AI95" i="157"/>
  <c r="AL95" i="157" s="1"/>
  <c r="H108" i="157"/>
  <c r="J108" i="157"/>
  <c r="N108" i="157"/>
  <c r="X108" i="157"/>
  <c r="Y108" i="157" s="1"/>
  <c r="AD108" i="157"/>
  <c r="AI108" i="157"/>
  <c r="AL108" i="157" s="1"/>
  <c r="AJ108" i="157" s="1"/>
  <c r="H109" i="157"/>
  <c r="J109" i="157"/>
  <c r="N109" i="157"/>
  <c r="X109" i="157"/>
  <c r="Y109" i="157" s="1"/>
  <c r="AA109" i="157"/>
  <c r="AB109" i="157" s="1"/>
  <c r="AI109" i="157"/>
  <c r="AG109" i="157" s="1"/>
  <c r="AH109" i="157" s="1"/>
  <c r="H77" i="157"/>
  <c r="J77" i="157"/>
  <c r="N77" i="157"/>
  <c r="X77" i="157"/>
  <c r="Y77" i="157" s="1"/>
  <c r="AA77" i="157"/>
  <c r="AB77" i="157" s="1"/>
  <c r="AD77" i="157"/>
  <c r="AI77" i="157"/>
  <c r="AL77" i="157" s="1"/>
  <c r="H78" i="157"/>
  <c r="J78" i="157"/>
  <c r="N78" i="157"/>
  <c r="X78" i="157"/>
  <c r="Y78" i="157" s="1"/>
  <c r="AC78" i="157"/>
  <c r="AD78" i="157" s="1"/>
  <c r="AI78" i="157"/>
  <c r="AG78" i="157" s="1"/>
  <c r="AH78" i="157" s="1"/>
  <c r="H111" i="157"/>
  <c r="J111" i="157"/>
  <c r="N111" i="157"/>
  <c r="X111" i="157"/>
  <c r="Y111" i="157" s="1"/>
  <c r="AA111" i="157"/>
  <c r="AB111" i="157" s="1"/>
  <c r="AD111" i="157"/>
  <c r="AI111" i="157"/>
  <c r="H112" i="157"/>
  <c r="J112" i="157"/>
  <c r="N112" i="157"/>
  <c r="X112" i="157"/>
  <c r="Y112" i="157" s="1"/>
  <c r="AA112" i="157"/>
  <c r="AB112" i="157" s="1"/>
  <c r="AD112" i="157"/>
  <c r="AI112" i="157"/>
  <c r="AL112" i="157" s="1"/>
  <c r="AJ112" i="157" s="1"/>
  <c r="H102" i="157"/>
  <c r="J102" i="157"/>
  <c r="N102" i="157"/>
  <c r="Z102" i="157"/>
  <c r="AI102" i="157" s="1"/>
  <c r="H103" i="157"/>
  <c r="J103" i="157"/>
  <c r="N103" i="157"/>
  <c r="Z103" i="157"/>
  <c r="AC103" i="157" s="1"/>
  <c r="H96" i="157"/>
  <c r="J96" i="157"/>
  <c r="N96" i="157"/>
  <c r="X96" i="157"/>
  <c r="Y96" i="157" s="1"/>
  <c r="AA96" i="157"/>
  <c r="AB96" i="157" s="1"/>
  <c r="AD96" i="157"/>
  <c r="AI96" i="157"/>
  <c r="AL96" i="157" s="1"/>
  <c r="H97" i="157"/>
  <c r="J97" i="157"/>
  <c r="N97" i="157"/>
  <c r="X97" i="157"/>
  <c r="Y97" i="157" s="1"/>
  <c r="AA97" i="157"/>
  <c r="AB97" i="157" s="1"/>
  <c r="AD97" i="157"/>
  <c r="AI97" i="157"/>
  <c r="AG97" i="157" s="1"/>
  <c r="AH97" i="157" s="1"/>
  <c r="H80" i="157"/>
  <c r="J80" i="157"/>
  <c r="N80" i="157"/>
  <c r="Z80" i="157"/>
  <c r="X80" i="157" s="1"/>
  <c r="Y80" i="157" s="1"/>
  <c r="AA80" i="157"/>
  <c r="AB80" i="157" s="1"/>
  <c r="H81" i="157"/>
  <c r="J81" i="157"/>
  <c r="N81" i="157"/>
  <c r="X81" i="157"/>
  <c r="Y81" i="157" s="1"/>
  <c r="AA81" i="157"/>
  <c r="AB81" i="157" s="1"/>
  <c r="AD81" i="157"/>
  <c r="AI81" i="157"/>
  <c r="AG81" i="157" s="1"/>
  <c r="AH81" i="157" s="1"/>
  <c r="H127" i="157"/>
  <c r="J127" i="157"/>
  <c r="N127" i="157"/>
  <c r="X127" i="157"/>
  <c r="Y127" i="157" s="1"/>
  <c r="AA127" i="157"/>
  <c r="AB127" i="157" s="1"/>
  <c r="AD127" i="157"/>
  <c r="AI127" i="157"/>
  <c r="AG127" i="157" s="1"/>
  <c r="AH127" i="157" s="1"/>
  <c r="H110" i="157"/>
  <c r="J110" i="157"/>
  <c r="N110" i="157"/>
  <c r="X110" i="157"/>
  <c r="Y110" i="157" s="1"/>
  <c r="AA110" i="157"/>
  <c r="AB110" i="157" s="1"/>
  <c r="AD110" i="157"/>
  <c r="AI110" i="157"/>
  <c r="AG110" i="157" s="1"/>
  <c r="AH110" i="157" s="1"/>
  <c r="H79" i="157"/>
  <c r="J79" i="157"/>
  <c r="N79" i="157"/>
  <c r="X79" i="157"/>
  <c r="Y79" i="157" s="1"/>
  <c r="AA79" i="157"/>
  <c r="AB79" i="157" s="1"/>
  <c r="AD79" i="157"/>
  <c r="AI79" i="157"/>
  <c r="AG79" i="157" s="1"/>
  <c r="AH79" i="157" s="1"/>
  <c r="H113" i="157"/>
  <c r="J113" i="157"/>
  <c r="N113" i="157"/>
  <c r="X113" i="157"/>
  <c r="Y113" i="157" s="1"/>
  <c r="AA113" i="157"/>
  <c r="AB113" i="157" s="1"/>
  <c r="AD113" i="157"/>
  <c r="AI113" i="157"/>
  <c r="AG113" i="157" s="1"/>
  <c r="AH113" i="157" s="1"/>
  <c r="H114" i="157"/>
  <c r="J114" i="157"/>
  <c r="N114" i="157"/>
  <c r="X114" i="157"/>
  <c r="Y114" i="157" s="1"/>
  <c r="AA114" i="157"/>
  <c r="AB114" i="157" s="1"/>
  <c r="AD114" i="157"/>
  <c r="AI114" i="157"/>
  <c r="AG114" i="157" s="1"/>
  <c r="AH114" i="157" s="1"/>
  <c r="H115" i="157"/>
  <c r="J115" i="157"/>
  <c r="N115" i="157"/>
  <c r="X115" i="157"/>
  <c r="Y115" i="157" s="1"/>
  <c r="AA115" i="157"/>
  <c r="AB115" i="157" s="1"/>
  <c r="AD115" i="157"/>
  <c r="AI115" i="157"/>
  <c r="AG115" i="157" s="1"/>
  <c r="AH115" i="157" s="1"/>
  <c r="H104" i="157"/>
  <c r="J104" i="157"/>
  <c r="N104" i="157"/>
  <c r="Z104" i="157"/>
  <c r="X104" i="157" s="1"/>
  <c r="Y104" i="157" s="1"/>
  <c r="AB104" i="157"/>
  <c r="AC104" i="157"/>
  <c r="H105" i="157"/>
  <c r="J105" i="157"/>
  <c r="N105" i="157"/>
  <c r="X105" i="157"/>
  <c r="Y105" i="157" s="1"/>
  <c r="AA105" i="157"/>
  <c r="AB105" i="157" s="1"/>
  <c r="AD105" i="157"/>
  <c r="AI105" i="157"/>
  <c r="AL105" i="157" s="1"/>
  <c r="H106" i="157"/>
  <c r="J106" i="157"/>
  <c r="N106" i="157"/>
  <c r="X106" i="157"/>
  <c r="Y106" i="157" s="1"/>
  <c r="AA106" i="157"/>
  <c r="AB106" i="157" s="1"/>
  <c r="AD106" i="157"/>
  <c r="AI106" i="157"/>
  <c r="H98" i="157"/>
  <c r="J98" i="157"/>
  <c r="N98" i="157"/>
  <c r="X98" i="157"/>
  <c r="Y98" i="157" s="1"/>
  <c r="AA98" i="157"/>
  <c r="AB98" i="157" s="1"/>
  <c r="AD98" i="157"/>
  <c r="AI98" i="157"/>
  <c r="AL98" i="157" s="1"/>
  <c r="AJ98" i="157" s="1"/>
  <c r="H99" i="157"/>
  <c r="J99" i="157"/>
  <c r="N99" i="157"/>
  <c r="X99" i="157"/>
  <c r="Y99" i="157" s="1"/>
  <c r="AA99" i="157"/>
  <c r="AB99" i="157" s="1"/>
  <c r="AD99" i="157"/>
  <c r="AI99" i="157"/>
  <c r="AL99" i="157" s="1"/>
  <c r="H100" i="157"/>
  <c r="J100" i="157"/>
  <c r="N100" i="157"/>
  <c r="X100" i="157"/>
  <c r="Y100" i="157" s="1"/>
  <c r="AA100" i="157"/>
  <c r="AB100" i="157" s="1"/>
  <c r="AD100" i="157"/>
  <c r="AI100" i="157"/>
  <c r="H82" i="157"/>
  <c r="J82" i="157"/>
  <c r="N82" i="157"/>
  <c r="X82" i="157"/>
  <c r="Y82" i="157" s="1"/>
  <c r="AA82" i="157"/>
  <c r="AB82" i="157" s="1"/>
  <c r="AD82" i="157"/>
  <c r="AI82" i="157"/>
  <c r="H83" i="157"/>
  <c r="J83" i="157"/>
  <c r="X83" i="157"/>
  <c r="Y83" i="157" s="1"/>
  <c r="AA83" i="157"/>
  <c r="AB83" i="157" s="1"/>
  <c r="AD83" i="157"/>
  <c r="AI83" i="157"/>
  <c r="AG83" i="157" s="1"/>
  <c r="AH83" i="157" s="1"/>
  <c r="H84" i="157"/>
  <c r="J84" i="157"/>
  <c r="N84" i="157"/>
  <c r="X84" i="157"/>
  <c r="Y84" i="157" s="1"/>
  <c r="AA84" i="157"/>
  <c r="AB84" i="157" s="1"/>
  <c r="AD84" i="157"/>
  <c r="AI84" i="157"/>
  <c r="H162" i="157"/>
  <c r="J162" i="157"/>
  <c r="N162" i="157"/>
  <c r="X162" i="157"/>
  <c r="Y162" i="157" s="1"/>
  <c r="AA162" i="157"/>
  <c r="AB162" i="157" s="1"/>
  <c r="AD162" i="157"/>
  <c r="AI162" i="157"/>
  <c r="AL162" i="157" s="1"/>
  <c r="H163" i="157"/>
  <c r="J163" i="157"/>
  <c r="N163" i="157"/>
  <c r="X163" i="157"/>
  <c r="Y163" i="157" s="1"/>
  <c r="AA163" i="157"/>
  <c r="AB163" i="157" s="1"/>
  <c r="AD163" i="157"/>
  <c r="AI163" i="157"/>
  <c r="AG163" i="157" s="1"/>
  <c r="AH163" i="157" s="1"/>
  <c r="H117" i="157"/>
  <c r="J117" i="157"/>
  <c r="N117" i="157"/>
  <c r="X117" i="157"/>
  <c r="Y117" i="157" s="1"/>
  <c r="AA117" i="157"/>
  <c r="AB117" i="157" s="1"/>
  <c r="AD117" i="157"/>
  <c r="AI117" i="157"/>
  <c r="AG117" i="157" s="1"/>
  <c r="AH117" i="157" s="1"/>
  <c r="H86" i="157"/>
  <c r="J86" i="157"/>
  <c r="N86" i="157"/>
  <c r="X86" i="157"/>
  <c r="Y86" i="157" s="1"/>
  <c r="AA86" i="157"/>
  <c r="AB86" i="157" s="1"/>
  <c r="AD86" i="157"/>
  <c r="AI86" i="157"/>
  <c r="H121" i="157"/>
  <c r="J121" i="157"/>
  <c r="N121" i="157"/>
  <c r="Y121" i="157"/>
  <c r="AA121" i="157"/>
  <c r="AB121" i="157" s="1"/>
  <c r="AD121" i="157"/>
  <c r="AI121" i="157"/>
  <c r="AG121" i="157" s="1"/>
  <c r="AH121" i="157" s="1"/>
  <c r="H122" i="157"/>
  <c r="J122" i="157"/>
  <c r="N122" i="157"/>
  <c r="X122" i="157"/>
  <c r="Y122" i="157" s="1"/>
  <c r="AA122" i="157"/>
  <c r="AB122" i="157" s="1"/>
  <c r="AD122" i="157"/>
  <c r="AI122" i="157"/>
  <c r="AL122" i="157" s="1"/>
  <c r="AR122" i="157" s="1"/>
  <c r="H118" i="157"/>
  <c r="J118" i="157"/>
  <c r="N118" i="157"/>
  <c r="X118" i="157"/>
  <c r="Y118" i="157" s="1"/>
  <c r="AA118" i="157"/>
  <c r="AB118" i="157" s="1"/>
  <c r="AD118" i="157"/>
  <c r="AI118" i="157"/>
  <c r="AL118" i="157" s="1"/>
  <c r="AR118" i="157" s="1"/>
  <c r="H87" i="157"/>
  <c r="J87" i="157"/>
  <c r="N87" i="157"/>
  <c r="X87" i="157"/>
  <c r="Y87" i="157" s="1"/>
  <c r="AA87" i="157"/>
  <c r="AB87" i="157" s="1"/>
  <c r="AD87" i="157"/>
  <c r="AI87" i="157"/>
  <c r="H123" i="157"/>
  <c r="J123" i="157"/>
  <c r="N123" i="157"/>
  <c r="X123" i="157"/>
  <c r="Y123" i="157" s="1"/>
  <c r="AA123" i="157"/>
  <c r="AB123" i="157" s="1"/>
  <c r="AD123" i="157"/>
  <c r="AI123" i="157"/>
  <c r="AG123" i="157" s="1"/>
  <c r="AH123" i="157" s="1"/>
  <c r="H124" i="157"/>
  <c r="J124" i="157"/>
  <c r="X124" i="157"/>
  <c r="Y124" i="157" s="1"/>
  <c r="AA124" i="157"/>
  <c r="AB124" i="157" s="1"/>
  <c r="AI124" i="157"/>
  <c r="H125" i="157"/>
  <c r="J125" i="157"/>
  <c r="N125" i="157"/>
  <c r="X125" i="157"/>
  <c r="Y125" i="157" s="1"/>
  <c r="AA125" i="157"/>
  <c r="AB125" i="157" s="1"/>
  <c r="AD125" i="157"/>
  <c r="AI125" i="157"/>
  <c r="AL125" i="157" s="1"/>
  <c r="H88" i="157"/>
  <c r="J88" i="157"/>
  <c r="N88" i="157"/>
  <c r="X88" i="157"/>
  <c r="Y88" i="157" s="1"/>
  <c r="AA88" i="157"/>
  <c r="AB88" i="157" s="1"/>
  <c r="AD88" i="157"/>
  <c r="AI88" i="157"/>
  <c r="AG88" i="157" s="1"/>
  <c r="AH88" i="157" s="1"/>
  <c r="H119" i="157"/>
  <c r="J119" i="157"/>
  <c r="N119" i="157"/>
  <c r="X119" i="157"/>
  <c r="Y119" i="157" s="1"/>
  <c r="AA119" i="157"/>
  <c r="AB119" i="157" s="1"/>
  <c r="AD119" i="157"/>
  <c r="AI119" i="157"/>
  <c r="AG119" i="157" s="1"/>
  <c r="AH119" i="157" s="1"/>
  <c r="H128" i="157"/>
  <c r="N128" i="157"/>
  <c r="X128" i="157"/>
  <c r="Y128" i="157" s="1"/>
  <c r="AB128" i="157"/>
  <c r="AC128" i="157" s="1"/>
  <c r="AE128" i="157"/>
  <c r="AF128" i="157"/>
  <c r="L128" i="157" s="1"/>
  <c r="AI128" i="157"/>
  <c r="AG128" i="157" s="1"/>
  <c r="AH128" i="157" s="1"/>
  <c r="H129" i="157"/>
  <c r="N129" i="157"/>
  <c r="X129" i="157"/>
  <c r="Y129" i="157" s="1"/>
  <c r="AB129" i="157"/>
  <c r="AC129" i="157" s="1"/>
  <c r="AE129" i="157"/>
  <c r="AF129" i="157"/>
  <c r="L129" i="157" s="1"/>
  <c r="AI129" i="157"/>
  <c r="AG129" i="157" s="1"/>
  <c r="AH129" i="157" s="1"/>
  <c r="H130" i="157"/>
  <c r="N130" i="157"/>
  <c r="X130" i="157"/>
  <c r="Y130" i="157" s="1"/>
  <c r="AB130" i="157"/>
  <c r="AC130" i="157" s="1"/>
  <c r="AE130" i="157"/>
  <c r="AF130" i="157"/>
  <c r="L130" i="157" s="1"/>
  <c r="AI130" i="157"/>
  <c r="AG130" i="157" s="1"/>
  <c r="AH130" i="157" s="1"/>
  <c r="H131" i="157"/>
  <c r="N131" i="157"/>
  <c r="X131" i="157"/>
  <c r="Y131" i="157" s="1"/>
  <c r="AB131" i="157"/>
  <c r="AC131" i="157" s="1"/>
  <c r="AL131" i="157" s="1"/>
  <c r="AE131" i="157"/>
  <c r="AF131" i="157"/>
  <c r="L131" i="157" s="1"/>
  <c r="AI131" i="157"/>
  <c r="AG131" i="157" s="1"/>
  <c r="AH131" i="157" s="1"/>
  <c r="H132" i="157"/>
  <c r="N132" i="157"/>
  <c r="X132" i="157"/>
  <c r="Y132" i="157" s="1"/>
  <c r="AB132" i="157"/>
  <c r="AC132" i="157" s="1"/>
  <c r="AE132" i="157"/>
  <c r="AF132" i="157"/>
  <c r="L132" i="157" s="1"/>
  <c r="AI132" i="157"/>
  <c r="AG132" i="157" s="1"/>
  <c r="AH132" i="157" s="1"/>
  <c r="H133" i="157"/>
  <c r="N133" i="157"/>
  <c r="X133" i="157"/>
  <c r="Y133" i="157" s="1"/>
  <c r="AB133" i="157"/>
  <c r="AC133" i="157" s="1"/>
  <c r="AE133" i="157"/>
  <c r="AF133" i="157"/>
  <c r="L133" i="157" s="1"/>
  <c r="AI133" i="157"/>
  <c r="AG133" i="157" s="1"/>
  <c r="AH133" i="157" s="1"/>
  <c r="H134" i="157"/>
  <c r="N134" i="157"/>
  <c r="X134" i="157"/>
  <c r="Y134" i="157" s="1"/>
  <c r="AB134" i="157"/>
  <c r="AC134" i="157" s="1"/>
  <c r="AE134" i="157"/>
  <c r="AF134" i="157"/>
  <c r="L134" i="157" s="1"/>
  <c r="AI134" i="157"/>
  <c r="AG134" i="157" s="1"/>
  <c r="AH134" i="157" s="1"/>
  <c r="H135" i="157"/>
  <c r="N135" i="157"/>
  <c r="X135" i="157"/>
  <c r="Y135" i="157" s="1"/>
  <c r="AB135" i="157"/>
  <c r="AC135" i="157" s="1"/>
  <c r="AL135" i="157" s="1"/>
  <c r="AE135" i="157"/>
  <c r="AF135" i="157"/>
  <c r="L135" i="157" s="1"/>
  <c r="AI135" i="157"/>
  <c r="AG135" i="157" s="1"/>
  <c r="AH135" i="157" s="1"/>
  <c r="H136" i="157"/>
  <c r="N136" i="157"/>
  <c r="X136" i="157"/>
  <c r="Y136" i="157" s="1"/>
  <c r="AB136" i="157"/>
  <c r="AC136" i="157" s="1"/>
  <c r="AE136" i="157"/>
  <c r="AF136" i="157"/>
  <c r="L136" i="157" s="1"/>
  <c r="AI136" i="157"/>
  <c r="AG136" i="157" s="1"/>
  <c r="AH136" i="157" s="1"/>
  <c r="H137" i="157"/>
  <c r="N137" i="157"/>
  <c r="X137" i="157"/>
  <c r="Y137" i="157" s="1"/>
  <c r="AB137" i="157"/>
  <c r="AC137" i="157" s="1"/>
  <c r="AE137" i="157"/>
  <c r="AF137" i="157"/>
  <c r="L137" i="157" s="1"/>
  <c r="AI137" i="157"/>
  <c r="AG137" i="157" s="1"/>
  <c r="AH137" i="157" s="1"/>
  <c r="H138" i="157"/>
  <c r="N138" i="157"/>
  <c r="X138" i="157"/>
  <c r="Y138" i="157" s="1"/>
  <c r="AB138" i="157"/>
  <c r="AC138" i="157" s="1"/>
  <c r="AF138" i="157"/>
  <c r="L138" i="157" s="1"/>
  <c r="AI138" i="157"/>
  <c r="AG138" i="157" s="1"/>
  <c r="AH138" i="157" s="1"/>
  <c r="H139" i="157"/>
  <c r="N139" i="157"/>
  <c r="X139" i="157"/>
  <c r="Y139" i="157" s="1"/>
  <c r="AB139" i="157"/>
  <c r="AC139" i="157" s="1"/>
  <c r="AF139" i="157"/>
  <c r="L139" i="157" s="1"/>
  <c r="AI139" i="157"/>
  <c r="AG139" i="157" s="1"/>
  <c r="AH139" i="157" s="1"/>
  <c r="H140" i="157"/>
  <c r="N140" i="157"/>
  <c r="X140" i="157"/>
  <c r="Y140" i="157" s="1"/>
  <c r="AB140" i="157"/>
  <c r="AC140" i="157" s="1"/>
  <c r="AE140" i="157"/>
  <c r="AF140" i="157"/>
  <c r="L140" i="157" s="1"/>
  <c r="AI140" i="157"/>
  <c r="AG140" i="157" s="1"/>
  <c r="AH140" i="157" s="1"/>
  <c r="H141" i="157"/>
  <c r="N141" i="157"/>
  <c r="X141" i="157"/>
  <c r="Y141" i="157" s="1"/>
  <c r="AB141" i="157"/>
  <c r="AC141" i="157" s="1"/>
  <c r="AD141" i="157" s="1"/>
  <c r="AE141" i="157"/>
  <c r="AF141" i="157"/>
  <c r="L141" i="157" s="1"/>
  <c r="AI141" i="157"/>
  <c r="AG141" i="157" s="1"/>
  <c r="AH141" i="157" s="1"/>
  <c r="H142" i="157"/>
  <c r="N142" i="157"/>
  <c r="X142" i="157"/>
  <c r="Y142" i="157" s="1"/>
  <c r="AA142" i="157"/>
  <c r="AE142" i="157"/>
  <c r="AF142" i="157"/>
  <c r="AI142" i="157"/>
  <c r="AG142" i="157" s="1"/>
  <c r="AH142" i="157" s="1"/>
  <c r="H143" i="157"/>
  <c r="N143" i="157"/>
  <c r="X143" i="157"/>
  <c r="Y143" i="157" s="1"/>
  <c r="AB143" i="157"/>
  <c r="AC143" i="157" s="1"/>
  <c r="AE143" i="157"/>
  <c r="AF143" i="157"/>
  <c r="L143" i="157" s="1"/>
  <c r="AI143" i="157"/>
  <c r="AG143" i="157" s="1"/>
  <c r="AH143" i="157" s="1"/>
  <c r="H144" i="157"/>
  <c r="N144" i="157"/>
  <c r="X144" i="157"/>
  <c r="Y144" i="157" s="1"/>
  <c r="AB144" i="157"/>
  <c r="AC144" i="157" s="1"/>
  <c r="AD144" i="157" s="1"/>
  <c r="AE144" i="157"/>
  <c r="AF144" i="157"/>
  <c r="L144" i="157" s="1"/>
  <c r="AI144" i="157"/>
  <c r="AG144" i="157" s="1"/>
  <c r="AH144" i="157" s="1"/>
  <c r="H145" i="157"/>
  <c r="N145" i="157"/>
  <c r="X145" i="157"/>
  <c r="Y145" i="157" s="1"/>
  <c r="AB145" i="157"/>
  <c r="AC145" i="157" s="1"/>
  <c r="AE145" i="157"/>
  <c r="AF145" i="157"/>
  <c r="L145" i="157" s="1"/>
  <c r="AI145" i="157"/>
  <c r="AG145" i="157" s="1"/>
  <c r="AH145" i="157" s="1"/>
  <c r="H146" i="157"/>
  <c r="N146" i="157"/>
  <c r="X146" i="157"/>
  <c r="Y146" i="157" s="1"/>
  <c r="AB146" i="157"/>
  <c r="AC146" i="157" s="1"/>
  <c r="AD146" i="157" s="1"/>
  <c r="AE146" i="157"/>
  <c r="AF146" i="157"/>
  <c r="L146" i="157" s="1"/>
  <c r="AI146" i="157"/>
  <c r="AG146" i="157" s="1"/>
  <c r="AH146" i="157" s="1"/>
  <c r="H147" i="157"/>
  <c r="N147" i="157"/>
  <c r="X147" i="157"/>
  <c r="Y147" i="157" s="1"/>
  <c r="AB147" i="157"/>
  <c r="AC147" i="157" s="1"/>
  <c r="AE147" i="157"/>
  <c r="AF147" i="157"/>
  <c r="L147" i="157" s="1"/>
  <c r="AI147" i="157"/>
  <c r="AG147" i="157" s="1"/>
  <c r="AH147" i="157" s="1"/>
  <c r="H148" i="157"/>
  <c r="N148" i="157"/>
  <c r="X148" i="157"/>
  <c r="Y148" i="157" s="1"/>
  <c r="AB148" i="157"/>
  <c r="AC148" i="157" s="1"/>
  <c r="AD148" i="157" s="1"/>
  <c r="AE148" i="157"/>
  <c r="AF148" i="157"/>
  <c r="L148" i="157" s="1"/>
  <c r="AI148" i="157"/>
  <c r="AG148" i="157" s="1"/>
  <c r="AH148" i="157" s="1"/>
  <c r="H149" i="157"/>
  <c r="N149" i="157"/>
  <c r="X149" i="157"/>
  <c r="Y149" i="157" s="1"/>
  <c r="AB149" i="157"/>
  <c r="AC149" i="157" s="1"/>
  <c r="AE149" i="157"/>
  <c r="AF149" i="157"/>
  <c r="L149" i="157" s="1"/>
  <c r="AI149" i="157"/>
  <c r="AG149" i="157" s="1"/>
  <c r="AH149" i="157" s="1"/>
  <c r="H150" i="157"/>
  <c r="N150" i="157"/>
  <c r="X150" i="157"/>
  <c r="Y150" i="157" s="1"/>
  <c r="AB150" i="157"/>
  <c r="AC150" i="157" s="1"/>
  <c r="AD150" i="157" s="1"/>
  <c r="AE150" i="157"/>
  <c r="AF150" i="157"/>
  <c r="L150" i="157" s="1"/>
  <c r="AI150" i="157"/>
  <c r="AG150" i="157" s="1"/>
  <c r="AH150" i="157" s="1"/>
  <c r="H151" i="157"/>
  <c r="N151" i="157"/>
  <c r="X151" i="157"/>
  <c r="Y151" i="157" s="1"/>
  <c r="AB151" i="157"/>
  <c r="AC151" i="157" s="1"/>
  <c r="AE151" i="157"/>
  <c r="AF151" i="157"/>
  <c r="L151" i="157" s="1"/>
  <c r="AI151" i="157"/>
  <c r="AG151" i="157" s="1"/>
  <c r="AH151" i="157" s="1"/>
  <c r="H157" i="157"/>
  <c r="N157" i="157"/>
  <c r="X157" i="157"/>
  <c r="Y157" i="157" s="1"/>
  <c r="AB157" i="157"/>
  <c r="AC157" i="157" s="1"/>
  <c r="AD157" i="157" s="1"/>
  <c r="AE157" i="157"/>
  <c r="AF157" i="157"/>
  <c r="L157" i="157" s="1"/>
  <c r="AI157" i="157"/>
  <c r="AG157" i="157" s="1"/>
  <c r="AH157" i="157" s="1"/>
  <c r="H116" i="157"/>
  <c r="J116" i="157"/>
  <c r="N116" i="157"/>
  <c r="Z116" i="157"/>
  <c r="X116" i="157" s="1"/>
  <c r="Y116" i="157" s="1"/>
  <c r="AA116" i="157"/>
  <c r="AB116" i="157" s="1"/>
  <c r="H107" i="157"/>
  <c r="J107" i="157"/>
  <c r="N107" i="157"/>
  <c r="Z107" i="157"/>
  <c r="AD107" i="157" s="1"/>
  <c r="AA107" i="157"/>
  <c r="AB107" i="157" s="1"/>
  <c r="H101" i="157"/>
  <c r="J101" i="157"/>
  <c r="N101" i="157"/>
  <c r="X101" i="157"/>
  <c r="Y101" i="157" s="1"/>
  <c r="AA101" i="157"/>
  <c r="AB101" i="157" s="1"/>
  <c r="AD101" i="157"/>
  <c r="AI101" i="157"/>
  <c r="AG101" i="157" s="1"/>
  <c r="AH101" i="157" s="1"/>
  <c r="H85" i="157"/>
  <c r="J85" i="157"/>
  <c r="N85" i="157"/>
  <c r="X85" i="157"/>
  <c r="Y85" i="157" s="1"/>
  <c r="AA85" i="157"/>
  <c r="AB85" i="157" s="1"/>
  <c r="AD85" i="157"/>
  <c r="AI85" i="157"/>
  <c r="AG85" i="157" s="1"/>
  <c r="AH85" i="157" s="1"/>
  <c r="H164" i="157"/>
  <c r="J164" i="157"/>
  <c r="N164" i="157"/>
  <c r="X164" i="157"/>
  <c r="Y164" i="157" s="1"/>
  <c r="AA164" i="157"/>
  <c r="AB164" i="157" s="1"/>
  <c r="AD164" i="157"/>
  <c r="AI164" i="157"/>
  <c r="H126" i="157"/>
  <c r="J126" i="157"/>
  <c r="N126" i="157"/>
  <c r="X126" i="157"/>
  <c r="Y126" i="157" s="1"/>
  <c r="AA126" i="157"/>
  <c r="AB126" i="157" s="1"/>
  <c r="AD126" i="157"/>
  <c r="AI126" i="157"/>
  <c r="H89" i="157"/>
  <c r="J89" i="157"/>
  <c r="N89" i="157"/>
  <c r="X89" i="157"/>
  <c r="Y89" i="157" s="1"/>
  <c r="AA89" i="157"/>
  <c r="AB89" i="157" s="1"/>
  <c r="AD89" i="157"/>
  <c r="AI89" i="157"/>
  <c r="AL89" i="157" s="1"/>
  <c r="AJ89" i="157" s="1"/>
  <c r="H120" i="157"/>
  <c r="J120" i="157"/>
  <c r="N120" i="157"/>
  <c r="Z120" i="157"/>
  <c r="AD120" i="157" s="1"/>
  <c r="AA120" i="157"/>
  <c r="AB120" i="157" s="1"/>
  <c r="G3" i="156"/>
  <c r="E53" i="156"/>
  <c r="AI13" i="157" l="1"/>
  <c r="AI94" i="157"/>
  <c r="AD20" i="157"/>
  <c r="AI107" i="157"/>
  <c r="AG107" i="157" s="1"/>
  <c r="AH107" i="157" s="1"/>
  <c r="X107" i="157"/>
  <c r="Y107" i="157" s="1"/>
  <c r="AI116" i="157"/>
  <c r="AL116" i="157" s="1"/>
  <c r="X20" i="157"/>
  <c r="Y20" i="157" s="1"/>
  <c r="AD10" i="157"/>
  <c r="AI104" i="157"/>
  <c r="AL104" i="157" s="1"/>
  <c r="AJ104" i="157" s="1"/>
  <c r="AC94" i="157"/>
  <c r="AD94" i="157" s="1"/>
  <c r="AD104" i="157"/>
  <c r="AI120" i="157"/>
  <c r="AG120" i="157" s="1"/>
  <c r="AH120" i="157" s="1"/>
  <c r="B9" i="161"/>
  <c r="AQ167" i="157"/>
  <c r="AK168" i="157"/>
  <c r="AP168" i="157"/>
  <c r="AQ168" i="157" s="1"/>
  <c r="AL78" i="157"/>
  <c r="AJ78" i="157" s="1"/>
  <c r="AK78" i="157" s="1"/>
  <c r="J132" i="157"/>
  <c r="AG165" i="157"/>
  <c r="AH165" i="157" s="1"/>
  <c r="AL17" i="157"/>
  <c r="AR17" i="157" s="1"/>
  <c r="C9" i="161"/>
  <c r="D9" i="161"/>
  <c r="AL6" i="157"/>
  <c r="AR6" i="157" s="1"/>
  <c r="AL114" i="157"/>
  <c r="AR114" i="157" s="1"/>
  <c r="J142" i="157"/>
  <c r="L142" i="157"/>
  <c r="J130" i="157"/>
  <c r="AL29" i="157"/>
  <c r="AR29" i="157" s="1"/>
  <c r="AG48" i="157"/>
  <c r="AH48" i="157" s="1"/>
  <c r="J157" i="157"/>
  <c r="J135" i="157"/>
  <c r="J133" i="157"/>
  <c r="AL45" i="157"/>
  <c r="AR45" i="157" s="1"/>
  <c r="AL32" i="157"/>
  <c r="AR32" i="157" s="1"/>
  <c r="AL109" i="157"/>
  <c r="AR109" i="157" s="1"/>
  <c r="J144" i="157"/>
  <c r="J148" i="157"/>
  <c r="J134" i="157"/>
  <c r="AG162" i="157"/>
  <c r="AH162" i="157" s="1"/>
  <c r="J150" i="157"/>
  <c r="J143" i="157"/>
  <c r="J129" i="157"/>
  <c r="AL49" i="157"/>
  <c r="AR49" i="157" s="1"/>
  <c r="J137" i="157"/>
  <c r="J146" i="157"/>
  <c r="J138" i="157"/>
  <c r="AG105" i="157"/>
  <c r="AH105" i="157" s="1"/>
  <c r="J140" i="157"/>
  <c r="J131" i="157"/>
  <c r="AL113" i="157"/>
  <c r="AJ113" i="157" s="1"/>
  <c r="AL97" i="157"/>
  <c r="AJ97" i="157" s="1"/>
  <c r="AK97" i="157" s="1"/>
  <c r="AL47" i="157"/>
  <c r="AR47" i="157" s="1"/>
  <c r="AG108" i="157"/>
  <c r="AH108" i="157" s="1"/>
  <c r="AG95" i="157"/>
  <c r="AH95" i="157" s="1"/>
  <c r="AG71" i="157"/>
  <c r="AH71" i="157" s="1"/>
  <c r="AG7" i="157"/>
  <c r="AH7" i="157" s="1"/>
  <c r="AL85" i="157"/>
  <c r="AJ85" i="157" s="1"/>
  <c r="AP85" i="157" s="1"/>
  <c r="J147" i="157"/>
  <c r="AG99" i="157"/>
  <c r="AH99" i="157" s="1"/>
  <c r="AG166" i="157"/>
  <c r="AH166" i="157" s="1"/>
  <c r="AR165" i="157"/>
  <c r="AL52" i="157"/>
  <c r="AG44" i="157"/>
  <c r="AH44" i="157" s="1"/>
  <c r="AL67" i="157"/>
  <c r="AR67" i="157" s="1"/>
  <c r="J151" i="157"/>
  <c r="AG98" i="157"/>
  <c r="AH98" i="157" s="1"/>
  <c r="AL37" i="157"/>
  <c r="AR37" i="157" s="1"/>
  <c r="AL5" i="157"/>
  <c r="AR5" i="157" s="1"/>
  <c r="AL55" i="157"/>
  <c r="AR55" i="157" s="1"/>
  <c r="AL35" i="157"/>
  <c r="AR35" i="157" s="1"/>
  <c r="AL3" i="157"/>
  <c r="AR3" i="157" s="1"/>
  <c r="AL101" i="157"/>
  <c r="AL119" i="157"/>
  <c r="AR119" i="157" s="1"/>
  <c r="AA165" i="157"/>
  <c r="AB165" i="157" s="1"/>
  <c r="AG72" i="157"/>
  <c r="AH72" i="157" s="1"/>
  <c r="AL30" i="157"/>
  <c r="AR30" i="157" s="1"/>
  <c r="AL117" i="157"/>
  <c r="AR117" i="157" s="1"/>
  <c r="AL41" i="157"/>
  <c r="AR41" i="157" s="1"/>
  <c r="AL18" i="157"/>
  <c r="AR18" i="157" s="1"/>
  <c r="AD135" i="157"/>
  <c r="AL127" i="157"/>
  <c r="AR127" i="157" s="1"/>
  <c r="AG112" i="157"/>
  <c r="AH112" i="157" s="1"/>
  <c r="AG77" i="157"/>
  <c r="AH77" i="157" s="1"/>
  <c r="AA95" i="157"/>
  <c r="AB95" i="157" s="1"/>
  <c r="AG91" i="157"/>
  <c r="AH91" i="157" s="1"/>
  <c r="AL64" i="157"/>
  <c r="AR64" i="157" s="1"/>
  <c r="AL46" i="157"/>
  <c r="AR46" i="157" s="1"/>
  <c r="AL28" i="157"/>
  <c r="AR28" i="157" s="1"/>
  <c r="AL4" i="157"/>
  <c r="AR4" i="157" s="1"/>
  <c r="AG89" i="157"/>
  <c r="AH89" i="157" s="1"/>
  <c r="AG56" i="157"/>
  <c r="AH56" i="157" s="1"/>
  <c r="AL59" i="157"/>
  <c r="AR59" i="157" s="1"/>
  <c r="AL27" i="157"/>
  <c r="AR27" i="157" s="1"/>
  <c r="X24" i="157"/>
  <c r="Y24" i="157" s="1"/>
  <c r="AL12" i="157"/>
  <c r="AR12" i="157" s="1"/>
  <c r="AG76" i="157"/>
  <c r="AH76" i="157" s="1"/>
  <c r="AL57" i="157"/>
  <c r="AR57" i="157" s="1"/>
  <c r="AL51" i="157"/>
  <c r="AR51" i="157" s="1"/>
  <c r="X120" i="157"/>
  <c r="Y120" i="157" s="1"/>
  <c r="AL70" i="157"/>
  <c r="AJ70" i="157" s="1"/>
  <c r="AG118" i="157"/>
  <c r="AH118" i="157" s="1"/>
  <c r="AL110" i="157"/>
  <c r="AL54" i="157"/>
  <c r="AR54" i="157" s="1"/>
  <c r="AL61" i="157"/>
  <c r="AR61" i="157" s="1"/>
  <c r="X26" i="157"/>
  <c r="Y26" i="157" s="1"/>
  <c r="X13" i="157"/>
  <c r="Y13" i="157" s="1"/>
  <c r="AG2" i="157"/>
  <c r="AH2" i="157" s="1"/>
  <c r="AA78" i="157"/>
  <c r="AB78" i="157" s="1"/>
  <c r="AA108" i="157"/>
  <c r="AB108" i="157" s="1"/>
  <c r="AA20" i="157"/>
  <c r="AB20" i="157" s="1"/>
  <c r="AD24" i="157"/>
  <c r="AD13" i="157"/>
  <c r="AD129" i="157"/>
  <c r="AL129" i="157"/>
  <c r="AR129" i="157" s="1"/>
  <c r="AL124" i="157"/>
  <c r="AJ124" i="157" s="1"/>
  <c r="AK124" i="157" s="1"/>
  <c r="AG124" i="157"/>
  <c r="AH124" i="157" s="1"/>
  <c r="AL100" i="157"/>
  <c r="AG100" i="157"/>
  <c r="AH100" i="157" s="1"/>
  <c r="AJ122" i="157"/>
  <c r="AR89" i="157"/>
  <c r="AL137" i="157"/>
  <c r="AR137" i="157" s="1"/>
  <c r="AD137" i="157"/>
  <c r="AK89" i="157"/>
  <c r="AP89" i="157"/>
  <c r="AL126" i="157"/>
  <c r="AG126" i="157"/>
  <c r="AH126" i="157" s="1"/>
  <c r="AR36" i="157"/>
  <c r="AJ36" i="157"/>
  <c r="AK36" i="157" s="1"/>
  <c r="AG116" i="157"/>
  <c r="AH116" i="157" s="1"/>
  <c r="J141" i="157"/>
  <c r="AR42" i="157"/>
  <c r="AJ42" i="157"/>
  <c r="AK42" i="157" s="1"/>
  <c r="AD133" i="157"/>
  <c r="AL133" i="157"/>
  <c r="AR133" i="157" s="1"/>
  <c r="AJ118" i="157"/>
  <c r="AJ162" i="157"/>
  <c r="AK162" i="157" s="1"/>
  <c r="AR162" i="157"/>
  <c r="AR33" i="157"/>
  <c r="AJ33" i="157"/>
  <c r="AK33" i="157" s="1"/>
  <c r="AJ169" i="157"/>
  <c r="AR169" i="157"/>
  <c r="AR2" i="157"/>
  <c r="AJ2" i="157"/>
  <c r="AK2" i="157" s="1"/>
  <c r="AL163" i="157"/>
  <c r="AL83" i="157"/>
  <c r="AJ83" i="157" s="1"/>
  <c r="AK83" i="157" s="1"/>
  <c r="AL115" i="157"/>
  <c r="AG93" i="157"/>
  <c r="AH93" i="157" s="1"/>
  <c r="AL73" i="157"/>
  <c r="AL60" i="157"/>
  <c r="AL65" i="157"/>
  <c r="AJ44" i="157"/>
  <c r="AK44" i="157" s="1"/>
  <c r="AG36" i="157"/>
  <c r="AH36" i="157" s="1"/>
  <c r="AD116" i="157"/>
  <c r="J145" i="157"/>
  <c r="J136" i="157"/>
  <c r="AD131" i="157"/>
  <c r="AL123" i="157"/>
  <c r="AG122" i="157"/>
  <c r="AH122" i="157" s="1"/>
  <c r="X103" i="157"/>
  <c r="Y103" i="157" s="1"/>
  <c r="X102" i="157"/>
  <c r="Y102" i="157" s="1"/>
  <c r="AG169" i="157"/>
  <c r="AH169" i="157" s="1"/>
  <c r="AR71" i="157"/>
  <c r="AL69" i="157"/>
  <c r="AG42" i="157"/>
  <c r="AH42" i="157" s="1"/>
  <c r="AL40" i="157"/>
  <c r="AR40" i="157" s="1"/>
  <c r="AL34" i="157"/>
  <c r="AG33" i="157"/>
  <c r="AH33" i="157" s="1"/>
  <c r="AD22" i="157"/>
  <c r="AL121" i="157"/>
  <c r="AG96" i="157"/>
  <c r="AH96" i="157" s="1"/>
  <c r="AL58" i="157"/>
  <c r="AR58" i="157" s="1"/>
  <c r="AL63" i="157"/>
  <c r="AD26" i="157"/>
  <c r="X10" i="157"/>
  <c r="Y10" i="157" s="1"/>
  <c r="AJ7" i="157"/>
  <c r="AK7" i="157" s="1"/>
  <c r="AL68" i="157"/>
  <c r="AP71" i="157"/>
  <c r="J149" i="157"/>
  <c r="J128" i="157"/>
  <c r="AG125" i="157"/>
  <c r="AH125" i="157" s="1"/>
  <c r="AI103" i="157"/>
  <c r="AL43" i="157"/>
  <c r="AR43" i="157" s="1"/>
  <c r="AJ72" i="157"/>
  <c r="AK72" i="157" s="1"/>
  <c r="AL66" i="157"/>
  <c r="AL50" i="157"/>
  <c r="AJ48" i="157"/>
  <c r="AK48" i="157" s="1"/>
  <c r="AL39" i="157"/>
  <c r="AR39" i="157" s="1"/>
  <c r="AL31" i="157"/>
  <c r="AR31" i="157" s="1"/>
  <c r="X22" i="157"/>
  <c r="Y22" i="157" s="1"/>
  <c r="J139" i="157"/>
  <c r="AC102" i="157"/>
  <c r="AL75" i="157"/>
  <c r="AL62" i="157"/>
  <c r="AR62" i="157" s="1"/>
  <c r="AL53" i="157"/>
  <c r="AL38" i="157"/>
  <c r="AL11" i="157"/>
  <c r="AR11" i="157" s="1"/>
  <c r="AL8" i="157"/>
  <c r="AD143" i="157"/>
  <c r="AL143" i="157"/>
  <c r="AJ143" i="157" s="1"/>
  <c r="AR131" i="157"/>
  <c r="AJ131" i="157"/>
  <c r="AD130" i="157"/>
  <c r="AL130" i="157"/>
  <c r="AL82" i="157"/>
  <c r="AG82" i="157"/>
  <c r="AH82" i="157" s="1"/>
  <c r="AL94" i="157"/>
  <c r="AG94" i="157"/>
  <c r="AH94" i="157" s="1"/>
  <c r="AL90" i="157"/>
  <c r="AG90" i="157"/>
  <c r="AH90" i="157" s="1"/>
  <c r="AL25" i="157"/>
  <c r="AG25" i="157"/>
  <c r="AH25" i="157" s="1"/>
  <c r="AG24" i="157"/>
  <c r="AH24" i="157" s="1"/>
  <c r="AL24" i="157"/>
  <c r="AL14" i="157"/>
  <c r="AG14" i="157"/>
  <c r="AH14" i="157" s="1"/>
  <c r="AG13" i="157"/>
  <c r="AH13" i="157" s="1"/>
  <c r="AL13" i="157"/>
  <c r="AB142" i="157"/>
  <c r="AC142" i="157"/>
  <c r="AD136" i="157"/>
  <c r="AL136" i="157"/>
  <c r="AJ105" i="157"/>
  <c r="AR105" i="157"/>
  <c r="AR56" i="157"/>
  <c r="AJ56" i="157"/>
  <c r="AG26" i="157"/>
  <c r="AH26" i="157" s="1"/>
  <c r="AL26" i="157"/>
  <c r="AK71" i="157"/>
  <c r="AK165" i="157"/>
  <c r="AL86" i="157"/>
  <c r="AG86" i="157"/>
  <c r="AH86" i="157" s="1"/>
  <c r="AD147" i="157"/>
  <c r="AL147" i="157"/>
  <c r="AD132" i="157"/>
  <c r="AL132" i="157"/>
  <c r="AL84" i="157"/>
  <c r="AG84" i="157"/>
  <c r="AH84" i="157" s="1"/>
  <c r="AR98" i="157"/>
  <c r="AR93" i="157"/>
  <c r="AJ93" i="157"/>
  <c r="AR76" i="157"/>
  <c r="AD151" i="157"/>
  <c r="AL151" i="157"/>
  <c r="AK98" i="157"/>
  <c r="AP98" i="157"/>
  <c r="AD103" i="157"/>
  <c r="AA103" i="157"/>
  <c r="AB103" i="157" s="1"/>
  <c r="AR112" i="157"/>
  <c r="AR95" i="157"/>
  <c r="AJ95" i="157"/>
  <c r="AK76" i="157"/>
  <c r="AP76" i="157"/>
  <c r="AL16" i="157"/>
  <c r="AG16" i="157"/>
  <c r="AH16" i="157" s="1"/>
  <c r="AL9" i="157"/>
  <c r="AG9" i="157"/>
  <c r="AH9" i="157" s="1"/>
  <c r="AR99" i="157"/>
  <c r="AJ99" i="157"/>
  <c r="AL164" i="157"/>
  <c r="AG164" i="157"/>
  <c r="AH164" i="157" s="1"/>
  <c r="AD145" i="157"/>
  <c r="AL145" i="157"/>
  <c r="AD140" i="157"/>
  <c r="AL140" i="157"/>
  <c r="AD139" i="157"/>
  <c r="AL139" i="157"/>
  <c r="AL138" i="157"/>
  <c r="AD138" i="157"/>
  <c r="AD128" i="157"/>
  <c r="AL128" i="157"/>
  <c r="AK112" i="157"/>
  <c r="AP112" i="157"/>
  <c r="AR91" i="157"/>
  <c r="AL19" i="157"/>
  <c r="AG19" i="157"/>
  <c r="AH19" i="157" s="1"/>
  <c r="AG10" i="157"/>
  <c r="AH10" i="157" s="1"/>
  <c r="AL10" i="157"/>
  <c r="AR135" i="157"/>
  <c r="AJ135" i="157"/>
  <c r="AD134" i="157"/>
  <c r="AL134" i="157"/>
  <c r="AL106" i="157"/>
  <c r="AG106" i="157"/>
  <c r="AH106" i="157" s="1"/>
  <c r="AL102" i="157"/>
  <c r="AG102" i="157"/>
  <c r="AH102" i="157" s="1"/>
  <c r="AK91" i="157"/>
  <c r="AP91" i="157"/>
  <c r="AL74" i="157"/>
  <c r="AG74" i="157"/>
  <c r="AH74" i="157" s="1"/>
  <c r="AL21" i="157"/>
  <c r="AG21" i="157"/>
  <c r="AH21" i="157" s="1"/>
  <c r="AG20" i="157"/>
  <c r="AH20" i="157" s="1"/>
  <c r="AL20" i="157"/>
  <c r="AD149" i="157"/>
  <c r="AL149" i="157"/>
  <c r="AR125" i="157"/>
  <c r="AJ125" i="157"/>
  <c r="AL87" i="157"/>
  <c r="AG87" i="157"/>
  <c r="AH87" i="157" s="1"/>
  <c r="AR96" i="157"/>
  <c r="AJ96" i="157"/>
  <c r="AL111" i="157"/>
  <c r="AG111" i="157"/>
  <c r="AH111" i="157" s="1"/>
  <c r="AR77" i="157"/>
  <c r="AJ77" i="157"/>
  <c r="AK108" i="157"/>
  <c r="AR166" i="157"/>
  <c r="AJ166" i="157"/>
  <c r="AL23" i="157"/>
  <c r="AG23" i="157"/>
  <c r="AH23" i="157" s="1"/>
  <c r="AG22" i="157"/>
  <c r="AH22" i="157" s="1"/>
  <c r="AL22" i="157"/>
  <c r="AL141" i="157"/>
  <c r="AL88" i="157"/>
  <c r="AL79" i="157"/>
  <c r="AL81" i="157"/>
  <c r="AD80" i="157"/>
  <c r="AD109" i="157"/>
  <c r="X25" i="157"/>
  <c r="Y25" i="157" s="1"/>
  <c r="X23" i="157"/>
  <c r="Y23" i="157" s="1"/>
  <c r="X21" i="157"/>
  <c r="Y21" i="157" s="1"/>
  <c r="X19" i="157"/>
  <c r="Y19" i="157" s="1"/>
  <c r="X16" i="157"/>
  <c r="Y16" i="157" s="1"/>
  <c r="X14" i="157"/>
  <c r="Y14" i="157" s="1"/>
  <c r="X9" i="157"/>
  <c r="Y9" i="157" s="1"/>
  <c r="AR108" i="157"/>
  <c r="AD25" i="157"/>
  <c r="AD23" i="157"/>
  <c r="AD21" i="157"/>
  <c r="AD19" i="157"/>
  <c r="AD16" i="157"/>
  <c r="Z15" i="157"/>
  <c r="AD14" i="157"/>
  <c r="AD9" i="157"/>
  <c r="AL157" i="157"/>
  <c r="AL150" i="157"/>
  <c r="AL148" i="157"/>
  <c r="AL146" i="157"/>
  <c r="AL144" i="157"/>
  <c r="AI80" i="157"/>
  <c r="AG104" i="157" l="1"/>
  <c r="AH104" i="157" s="1"/>
  <c r="AL107" i="157"/>
  <c r="AJ107" i="157" s="1"/>
  <c r="AR78" i="157"/>
  <c r="AR104" i="157"/>
  <c r="AP44" i="157"/>
  <c r="AQ44" i="157" s="1"/>
  <c r="AJ12" i="157"/>
  <c r="AK12" i="157" s="1"/>
  <c r="AP2" i="157"/>
  <c r="AQ2" i="157" s="1"/>
  <c r="AP97" i="157"/>
  <c r="AP33" i="157"/>
  <c r="AQ33" i="157" s="1"/>
  <c r="AL120" i="157"/>
  <c r="AJ120" i="157" s="1"/>
  <c r="AK120" i="157" s="1"/>
  <c r="AR70" i="157"/>
  <c r="AJ109" i="157"/>
  <c r="AK109" i="157" s="1"/>
  <c r="AA94" i="157"/>
  <c r="AB94" i="157" s="1"/>
  <c r="AJ114" i="157"/>
  <c r="AK114" i="157" s="1"/>
  <c r="AJ59" i="157"/>
  <c r="AK59" i="157" s="1"/>
  <c r="AJ133" i="157"/>
  <c r="AP133" i="157" s="1"/>
  <c r="AQ133" i="157" s="1"/>
  <c r="AJ127" i="157"/>
  <c r="AP127" i="157" s="1"/>
  <c r="AQ127" i="157" s="1"/>
  <c r="AJ54" i="157"/>
  <c r="AP54" i="157" s="1"/>
  <c r="AQ54" i="157" s="1"/>
  <c r="AJ41" i="157"/>
  <c r="AK41" i="157" s="1"/>
  <c r="AR113" i="157"/>
  <c r="AR85" i="157"/>
  <c r="AQ85" i="157" s="1"/>
  <c r="AJ6" i="157"/>
  <c r="AK6" i="157" s="1"/>
  <c r="AP42" i="157"/>
  <c r="AQ42" i="157" s="1"/>
  <c r="AJ35" i="157"/>
  <c r="AK35" i="157" s="1"/>
  <c r="AR97" i="157"/>
  <c r="AP72" i="157"/>
  <c r="AQ72" i="157" s="1"/>
  <c r="AJ4" i="157"/>
  <c r="AK4" i="157" s="1"/>
  <c r="AJ17" i="157"/>
  <c r="AJ47" i="157"/>
  <c r="AP47" i="157" s="1"/>
  <c r="AQ47" i="157" s="1"/>
  <c r="AJ29" i="157"/>
  <c r="AK29" i="157" s="1"/>
  <c r="AJ37" i="157"/>
  <c r="AK37" i="157" s="1"/>
  <c r="AJ51" i="157"/>
  <c r="AK51" i="157" s="1"/>
  <c r="AJ129" i="157"/>
  <c r="AK129" i="157" s="1"/>
  <c r="AJ117" i="157"/>
  <c r="AP117" i="157" s="1"/>
  <c r="AQ117" i="157" s="1"/>
  <c r="AJ49" i="157"/>
  <c r="AP7" i="157"/>
  <c r="AQ7" i="157" s="1"/>
  <c r="AJ55" i="157"/>
  <c r="AJ58" i="157"/>
  <c r="AK58" i="157" s="1"/>
  <c r="AJ3" i="157"/>
  <c r="AK3" i="157" s="1"/>
  <c r="AJ5" i="157"/>
  <c r="AK5" i="157" s="1"/>
  <c r="AJ57" i="157"/>
  <c r="AP36" i="157"/>
  <c r="AQ36" i="157" s="1"/>
  <c r="AQ71" i="157"/>
  <c r="AJ32" i="157"/>
  <c r="AK32" i="157" s="1"/>
  <c r="AJ27" i="157"/>
  <c r="AK27" i="157" s="1"/>
  <c r="AJ18" i="157"/>
  <c r="AP18" i="157" s="1"/>
  <c r="AQ18" i="157" s="1"/>
  <c r="AJ30" i="157"/>
  <c r="AJ11" i="157"/>
  <c r="AK11" i="157" s="1"/>
  <c r="AJ137" i="157"/>
  <c r="AK137" i="157" s="1"/>
  <c r="AJ45" i="157"/>
  <c r="AK45" i="157" s="1"/>
  <c r="AJ40" i="157"/>
  <c r="AP40" i="157" s="1"/>
  <c r="AQ40" i="157" s="1"/>
  <c r="AJ64" i="157"/>
  <c r="AJ119" i="157"/>
  <c r="AK119" i="157" s="1"/>
  <c r="AP165" i="157"/>
  <c r="AQ165" i="157" s="1"/>
  <c r="AP78" i="157"/>
  <c r="AJ28" i="157"/>
  <c r="AK28" i="157" s="1"/>
  <c r="AR52" i="157"/>
  <c r="AJ52" i="157"/>
  <c r="AJ67" i="157"/>
  <c r="AP67" i="157" s="1"/>
  <c r="AQ67" i="157" s="1"/>
  <c r="AJ43" i="157"/>
  <c r="AK43" i="157" s="1"/>
  <c r="AJ61" i="157"/>
  <c r="AK85" i="157"/>
  <c r="AJ31" i="157"/>
  <c r="AK31" i="157" s="1"/>
  <c r="AP162" i="157"/>
  <c r="AQ162" i="157" s="1"/>
  <c r="AJ101" i="157"/>
  <c r="AR101" i="157"/>
  <c r="AJ62" i="157"/>
  <c r="AP62" i="157" s="1"/>
  <c r="AQ62" i="157" s="1"/>
  <c r="AJ46" i="157"/>
  <c r="AR110" i="157"/>
  <c r="AJ110" i="157"/>
  <c r="AP108" i="157"/>
  <c r="AQ108" i="157" s="1"/>
  <c r="AP48" i="157"/>
  <c r="AQ48" i="157" s="1"/>
  <c r="AJ39" i="157"/>
  <c r="AK39" i="157" s="1"/>
  <c r="AQ76" i="157"/>
  <c r="AR8" i="157"/>
  <c r="AJ8" i="157"/>
  <c r="AR63" i="157"/>
  <c r="AJ63" i="157"/>
  <c r="AR69" i="157"/>
  <c r="AJ69" i="157"/>
  <c r="AQ112" i="157"/>
  <c r="AK118" i="157"/>
  <c r="AP118" i="157"/>
  <c r="AQ118" i="157" s="1"/>
  <c r="AR50" i="157"/>
  <c r="AJ50" i="157"/>
  <c r="AR115" i="157"/>
  <c r="AJ115" i="157"/>
  <c r="AQ89" i="157"/>
  <c r="AJ100" i="157"/>
  <c r="AR100" i="157"/>
  <c r="AR53" i="157"/>
  <c r="AJ53" i="157"/>
  <c r="AR34" i="157"/>
  <c r="AJ34" i="157"/>
  <c r="AR65" i="157"/>
  <c r="AJ65" i="157"/>
  <c r="AR163" i="157"/>
  <c r="AJ163" i="157"/>
  <c r="AP169" i="157"/>
  <c r="AQ169" i="157" s="1"/>
  <c r="AK169" i="157"/>
  <c r="AJ116" i="157"/>
  <c r="AR116" i="157"/>
  <c r="AJ126" i="157"/>
  <c r="AR126" i="157"/>
  <c r="AR68" i="157"/>
  <c r="AJ68" i="157"/>
  <c r="AR60" i="157"/>
  <c r="AJ60" i="157"/>
  <c r="AR66" i="157"/>
  <c r="AJ66" i="157"/>
  <c r="AR75" i="157"/>
  <c r="AJ75" i="157"/>
  <c r="AL103" i="157"/>
  <c r="AG103" i="157"/>
  <c r="AH103" i="157" s="1"/>
  <c r="AJ121" i="157"/>
  <c r="AR121" i="157"/>
  <c r="AR73" i="157"/>
  <c r="AJ73" i="157"/>
  <c r="AK122" i="157"/>
  <c r="AP122" i="157"/>
  <c r="AQ122" i="157" s="1"/>
  <c r="AR38" i="157"/>
  <c r="AJ38" i="157"/>
  <c r="AD102" i="157"/>
  <c r="AA102" i="157"/>
  <c r="AB102" i="157" s="1"/>
  <c r="AJ123" i="157"/>
  <c r="AR123" i="157"/>
  <c r="AD15" i="157"/>
  <c r="X15" i="157"/>
  <c r="Y15" i="157" s="1"/>
  <c r="AI15" i="157"/>
  <c r="AR141" i="157"/>
  <c r="AJ141" i="157"/>
  <c r="AJ111" i="157"/>
  <c r="AR111" i="157"/>
  <c r="AK125" i="157"/>
  <c r="AP125" i="157"/>
  <c r="AQ125" i="157" s="1"/>
  <c r="AJ106" i="157"/>
  <c r="AR106" i="157"/>
  <c r="AJ164" i="157"/>
  <c r="AR164" i="157"/>
  <c r="AJ84" i="157"/>
  <c r="AR84" i="157"/>
  <c r="AJ138" i="157"/>
  <c r="AR138" i="157"/>
  <c r="AK93" i="157"/>
  <c r="AP93" i="157"/>
  <c r="AQ93" i="157" s="1"/>
  <c r="AJ144" i="157"/>
  <c r="AR144" i="157"/>
  <c r="AJ23" i="157"/>
  <c r="AR23" i="157"/>
  <c r="AK166" i="157"/>
  <c r="AP166" i="157"/>
  <c r="AQ166" i="157" s="1"/>
  <c r="AR149" i="157"/>
  <c r="AJ149" i="157"/>
  <c r="AJ102" i="157"/>
  <c r="AR102" i="157"/>
  <c r="AR134" i="157"/>
  <c r="AJ134" i="157"/>
  <c r="AR139" i="157"/>
  <c r="AJ139" i="157"/>
  <c r="AK70" i="157"/>
  <c r="AP70" i="157"/>
  <c r="AR136" i="157"/>
  <c r="AJ136" i="157"/>
  <c r="AJ25" i="157"/>
  <c r="AR25" i="157"/>
  <c r="AJ90" i="157"/>
  <c r="AR90" i="157"/>
  <c r="AJ82" i="157"/>
  <c r="AR82" i="157"/>
  <c r="AG80" i="157"/>
  <c r="AH80" i="157" s="1"/>
  <c r="AL80" i="157"/>
  <c r="AJ146" i="157"/>
  <c r="AR146" i="157"/>
  <c r="AR20" i="157"/>
  <c r="AJ20" i="157"/>
  <c r="AR10" i="157"/>
  <c r="AJ10" i="157"/>
  <c r="AR13" i="157"/>
  <c r="AJ13" i="157"/>
  <c r="AJ148" i="157"/>
  <c r="AR148" i="157"/>
  <c r="AR81" i="157"/>
  <c r="AJ81" i="157"/>
  <c r="AK135" i="157"/>
  <c r="AP135" i="157"/>
  <c r="AQ135" i="157" s="1"/>
  <c r="AR128" i="157"/>
  <c r="AJ128" i="157"/>
  <c r="AR140" i="157"/>
  <c r="AJ140" i="157"/>
  <c r="AJ9" i="157"/>
  <c r="AR9" i="157"/>
  <c r="AJ86" i="157"/>
  <c r="AR86" i="157"/>
  <c r="AK56" i="157"/>
  <c r="AP56" i="157"/>
  <c r="AQ56" i="157" s="1"/>
  <c r="AD142" i="157"/>
  <c r="AL142" i="157"/>
  <c r="AJ94" i="157"/>
  <c r="AR94" i="157"/>
  <c r="AK99" i="157"/>
  <c r="AP99" i="157"/>
  <c r="AQ99" i="157" s="1"/>
  <c r="AR132" i="157"/>
  <c r="AJ132" i="157"/>
  <c r="AP105" i="157"/>
  <c r="AQ105" i="157" s="1"/>
  <c r="AK105" i="157"/>
  <c r="AR143" i="157"/>
  <c r="AJ150" i="157"/>
  <c r="AR150" i="157"/>
  <c r="AR79" i="157"/>
  <c r="AJ79" i="157"/>
  <c r="AP77" i="157"/>
  <c r="AQ77" i="157" s="1"/>
  <c r="AK77" i="157"/>
  <c r="AK104" i="157"/>
  <c r="AP104" i="157"/>
  <c r="AQ98" i="157"/>
  <c r="AR147" i="157"/>
  <c r="AJ147" i="157"/>
  <c r="AR26" i="157"/>
  <c r="AJ26" i="157"/>
  <c r="AR130" i="157"/>
  <c r="AJ130" i="157"/>
  <c r="AJ157" i="157"/>
  <c r="AR157" i="157"/>
  <c r="AR88" i="157"/>
  <c r="AJ88" i="157"/>
  <c r="AJ21" i="157"/>
  <c r="AR21" i="157"/>
  <c r="AJ74" i="157"/>
  <c r="AR74" i="157"/>
  <c r="AJ19" i="157"/>
  <c r="AR19" i="157"/>
  <c r="AQ91" i="157"/>
  <c r="AR145" i="157"/>
  <c r="AJ145" i="157"/>
  <c r="AJ16" i="157"/>
  <c r="AR16" i="157"/>
  <c r="AJ14" i="157"/>
  <c r="AR14" i="157"/>
  <c r="AK96" i="157"/>
  <c r="AP96" i="157"/>
  <c r="AQ96" i="157" s="1"/>
  <c r="AR22" i="157"/>
  <c r="AJ22" i="157"/>
  <c r="AJ87" i="157"/>
  <c r="AR87" i="157"/>
  <c r="AP95" i="157"/>
  <c r="AQ95" i="157" s="1"/>
  <c r="AK95" i="157"/>
  <c r="AR151" i="157"/>
  <c r="AJ151" i="157"/>
  <c r="AR24" i="157"/>
  <c r="AJ24" i="157"/>
  <c r="AK113" i="157"/>
  <c r="AP113" i="157"/>
  <c r="AK131" i="157"/>
  <c r="AP131" i="157"/>
  <c r="AQ131" i="157" s="1"/>
  <c r="AQ78" i="157" l="1"/>
  <c r="AR107" i="157"/>
  <c r="AP37" i="157"/>
  <c r="AQ37" i="157" s="1"/>
  <c r="AP41" i="157"/>
  <c r="AQ41" i="157" s="1"/>
  <c r="AQ97" i="157"/>
  <c r="AQ113" i="157"/>
  <c r="AQ104" i="157"/>
  <c r="AP109" i="157"/>
  <c r="AQ109" i="157" s="1"/>
  <c r="AP120" i="157"/>
  <c r="AK54" i="157"/>
  <c r="AR120" i="157"/>
  <c r="AP12" i="157"/>
  <c r="AQ12" i="157" s="1"/>
  <c r="AP59" i="157"/>
  <c r="AQ59" i="157" s="1"/>
  <c r="AP4" i="157"/>
  <c r="AQ4" i="157" s="1"/>
  <c r="AQ70" i="157"/>
  <c r="AK127" i="157"/>
  <c r="AP5" i="157"/>
  <c r="AQ5" i="157" s="1"/>
  <c r="AP29" i="157"/>
  <c r="AQ29" i="157" s="1"/>
  <c r="AP114" i="157"/>
  <c r="AQ114" i="157" s="1"/>
  <c r="AK117" i="157"/>
  <c r="AK133" i="157"/>
  <c r="AP6" i="157"/>
  <c r="AQ6" i="157" s="1"/>
  <c r="AP32" i="157"/>
  <c r="AQ32" i="157" s="1"/>
  <c r="AP35" i="157"/>
  <c r="AQ35" i="157" s="1"/>
  <c r="AP45" i="157"/>
  <c r="AQ45" i="157" s="1"/>
  <c r="AP137" i="157"/>
  <c r="AQ137" i="157" s="1"/>
  <c r="AP43" i="157"/>
  <c r="AQ43" i="157" s="1"/>
  <c r="AP51" i="157"/>
  <c r="AQ51" i="157" s="1"/>
  <c r="AP58" i="157"/>
  <c r="AQ58" i="157" s="1"/>
  <c r="AK47" i="157"/>
  <c r="AK17" i="157"/>
  <c r="AP17" i="157"/>
  <c r="AQ17" i="157" s="1"/>
  <c r="AP129" i="157"/>
  <c r="AQ129" i="157" s="1"/>
  <c r="AK67" i="157"/>
  <c r="AP27" i="157"/>
  <c r="AQ27" i="157" s="1"/>
  <c r="AK49" i="157"/>
  <c r="AP49" i="157"/>
  <c r="AQ49" i="157" s="1"/>
  <c r="AK55" i="157"/>
  <c r="AP55" i="157"/>
  <c r="AQ55" i="157" s="1"/>
  <c r="AP3" i="157"/>
  <c r="AQ3" i="157" s="1"/>
  <c r="AK40" i="157"/>
  <c r="AK57" i="157"/>
  <c r="AP57" i="157"/>
  <c r="AQ57" i="157" s="1"/>
  <c r="AK62" i="157"/>
  <c r="AP11" i="157"/>
  <c r="AQ11" i="157" s="1"/>
  <c r="AP30" i="157"/>
  <c r="AQ30" i="157" s="1"/>
  <c r="AK30" i="157"/>
  <c r="AK18" i="157"/>
  <c r="AP119" i="157"/>
  <c r="AQ119" i="157" s="1"/>
  <c r="AP39" i="157"/>
  <c r="AQ39" i="157" s="1"/>
  <c r="AP31" i="157"/>
  <c r="AQ31" i="157" s="1"/>
  <c r="AK61" i="157"/>
  <c r="AP61" i="157"/>
  <c r="AQ61" i="157" s="1"/>
  <c r="AK101" i="157"/>
  <c r="AP101" i="157"/>
  <c r="AQ101" i="157" s="1"/>
  <c r="AP28" i="157"/>
  <c r="AQ28" i="157" s="1"/>
  <c r="AK52" i="157"/>
  <c r="AP52" i="157"/>
  <c r="AQ52" i="157" s="1"/>
  <c r="AK64" i="157"/>
  <c r="AP64" i="157"/>
  <c r="AQ64" i="157" s="1"/>
  <c r="AP46" i="157"/>
  <c r="AQ46" i="157" s="1"/>
  <c r="AK46" i="157"/>
  <c r="AK110" i="157"/>
  <c r="AP110" i="157"/>
  <c r="AQ110" i="157" s="1"/>
  <c r="AK116" i="157"/>
  <c r="AP116" i="157"/>
  <c r="AQ116" i="157" s="1"/>
  <c r="AP50" i="157"/>
  <c r="AQ50" i="157" s="1"/>
  <c r="AK50" i="157"/>
  <c r="AP34" i="157"/>
  <c r="AQ34" i="157" s="1"/>
  <c r="AK34" i="157"/>
  <c r="AP123" i="157"/>
  <c r="AQ123" i="157" s="1"/>
  <c r="AK123" i="157"/>
  <c r="AK121" i="157"/>
  <c r="AP121" i="157"/>
  <c r="AQ121" i="157" s="1"/>
  <c r="AK66" i="157"/>
  <c r="AP66" i="157"/>
  <c r="AQ66" i="157" s="1"/>
  <c r="AP100" i="157"/>
  <c r="AQ100" i="157" s="1"/>
  <c r="AK100" i="157"/>
  <c r="AP69" i="157"/>
  <c r="AQ69" i="157" s="1"/>
  <c r="AK69" i="157"/>
  <c r="AJ103" i="157"/>
  <c r="AR103" i="157"/>
  <c r="AK60" i="157"/>
  <c r="AP60" i="157"/>
  <c r="AQ60" i="157" s="1"/>
  <c r="AP63" i="157"/>
  <c r="AQ63" i="157" s="1"/>
  <c r="AK63" i="157"/>
  <c r="AP68" i="157"/>
  <c r="AQ68" i="157" s="1"/>
  <c r="AK68" i="157"/>
  <c r="AP38" i="157"/>
  <c r="AQ38" i="157" s="1"/>
  <c r="AK38" i="157"/>
  <c r="AP75" i="157"/>
  <c r="AQ75" i="157" s="1"/>
  <c r="AK75" i="157"/>
  <c r="AK163" i="157"/>
  <c r="AP163" i="157"/>
  <c r="AQ163" i="157" s="1"/>
  <c r="AP126" i="157"/>
  <c r="AQ126" i="157" s="1"/>
  <c r="AK126" i="157"/>
  <c r="AK115" i="157"/>
  <c r="AP115" i="157"/>
  <c r="AQ115" i="157" s="1"/>
  <c r="AP8" i="157"/>
  <c r="AQ8" i="157" s="1"/>
  <c r="AK8" i="157"/>
  <c r="AK73" i="157"/>
  <c r="AP73" i="157"/>
  <c r="AQ73" i="157" s="1"/>
  <c r="AK107" i="157"/>
  <c r="AP107" i="157"/>
  <c r="AK65" i="157"/>
  <c r="AP65" i="157"/>
  <c r="AQ65" i="157" s="1"/>
  <c r="AK53" i="157"/>
  <c r="AP53" i="157"/>
  <c r="AQ53" i="157" s="1"/>
  <c r="AK132" i="157"/>
  <c r="AP132" i="157"/>
  <c r="AQ132" i="157" s="1"/>
  <c r="AK128" i="157"/>
  <c r="AP128" i="157"/>
  <c r="AQ128" i="157" s="1"/>
  <c r="AK148" i="157"/>
  <c r="AP148" i="157"/>
  <c r="AQ148" i="157" s="1"/>
  <c r="AK146" i="157"/>
  <c r="AP146" i="157"/>
  <c r="AQ146" i="157" s="1"/>
  <c r="AP102" i="157"/>
  <c r="AQ102" i="157" s="1"/>
  <c r="AK102" i="157"/>
  <c r="AK23" i="157"/>
  <c r="AP23" i="157"/>
  <c r="AQ23" i="157" s="1"/>
  <c r="AK151" i="157"/>
  <c r="AP151" i="157"/>
  <c r="AQ151" i="157" s="1"/>
  <c r="AP22" i="157"/>
  <c r="AQ22" i="157" s="1"/>
  <c r="AK22" i="157"/>
  <c r="AK19" i="157"/>
  <c r="AP19" i="157"/>
  <c r="AQ19" i="157" s="1"/>
  <c r="AJ142" i="157"/>
  <c r="AR142" i="157"/>
  <c r="AP13" i="157"/>
  <c r="AQ13" i="157" s="1"/>
  <c r="AK13" i="157"/>
  <c r="AK82" i="157"/>
  <c r="AP82" i="157"/>
  <c r="AQ82" i="157" s="1"/>
  <c r="AK149" i="157"/>
  <c r="AP149" i="157"/>
  <c r="AQ149" i="157" s="1"/>
  <c r="AP141" i="157"/>
  <c r="AQ141" i="157" s="1"/>
  <c r="AK141" i="157"/>
  <c r="AG15" i="157"/>
  <c r="AH15" i="157" s="1"/>
  <c r="AL15" i="157"/>
  <c r="AP79" i="157"/>
  <c r="AQ79" i="157" s="1"/>
  <c r="AK79" i="157"/>
  <c r="AK111" i="157"/>
  <c r="AP111" i="157"/>
  <c r="AQ111" i="157" s="1"/>
  <c r="AK147" i="157"/>
  <c r="AP147" i="157"/>
  <c r="AQ147" i="157" s="1"/>
  <c r="AK9" i="157"/>
  <c r="AP9" i="157"/>
  <c r="AQ9" i="157" s="1"/>
  <c r="AP10" i="157"/>
  <c r="AQ10" i="157" s="1"/>
  <c r="AK10" i="157"/>
  <c r="AP139" i="157"/>
  <c r="AQ139" i="157" s="1"/>
  <c r="AK139" i="157"/>
  <c r="AK164" i="157"/>
  <c r="AP164" i="157"/>
  <c r="AQ164" i="157" s="1"/>
  <c r="AK145" i="157"/>
  <c r="AP145" i="157"/>
  <c r="AQ145" i="157" s="1"/>
  <c r="AK130" i="157"/>
  <c r="AP130" i="157"/>
  <c r="AQ130" i="157" s="1"/>
  <c r="AK143" i="157"/>
  <c r="AP143" i="157"/>
  <c r="AQ143" i="157" s="1"/>
  <c r="AK90" i="157"/>
  <c r="AP90" i="157"/>
  <c r="AQ90" i="157" s="1"/>
  <c r="AK87" i="157"/>
  <c r="AP87" i="157"/>
  <c r="AQ87" i="157" s="1"/>
  <c r="AK94" i="157"/>
  <c r="AP94" i="157"/>
  <c r="AQ94" i="157" s="1"/>
  <c r="AK74" i="157"/>
  <c r="AP74" i="157"/>
  <c r="AQ74" i="157" s="1"/>
  <c r="AP88" i="157"/>
  <c r="AQ88" i="157" s="1"/>
  <c r="AK88" i="157"/>
  <c r="AP81" i="157"/>
  <c r="AQ81" i="157" s="1"/>
  <c r="AK81" i="157"/>
  <c r="AR80" i="157"/>
  <c r="AJ80" i="157"/>
  <c r="AK134" i="157"/>
  <c r="AP134" i="157"/>
  <c r="AQ134" i="157" s="1"/>
  <c r="AK106" i="157"/>
  <c r="AP106" i="157"/>
  <c r="AQ106" i="157" s="1"/>
  <c r="AK14" i="157"/>
  <c r="AP14" i="157"/>
  <c r="AQ14" i="157" s="1"/>
  <c r="AK150" i="157"/>
  <c r="AP150" i="157"/>
  <c r="AQ150" i="157" s="1"/>
  <c r="AP24" i="157"/>
  <c r="AQ24" i="157" s="1"/>
  <c r="AK24" i="157"/>
  <c r="AK140" i="157"/>
  <c r="AP140" i="157"/>
  <c r="AQ140" i="157" s="1"/>
  <c r="AK25" i="157"/>
  <c r="AP25" i="157"/>
  <c r="AQ25" i="157" s="1"/>
  <c r="AK138" i="157"/>
  <c r="AP138" i="157"/>
  <c r="AQ138" i="157" s="1"/>
  <c r="AK84" i="157"/>
  <c r="AP84" i="157"/>
  <c r="AQ84" i="157" s="1"/>
  <c r="AK157" i="157"/>
  <c r="AP157" i="157"/>
  <c r="AQ157" i="157" s="1"/>
  <c r="AK16" i="157"/>
  <c r="AP16" i="157"/>
  <c r="AQ16" i="157" s="1"/>
  <c r="AK21" i="157"/>
  <c r="AP21" i="157"/>
  <c r="AQ21" i="157" s="1"/>
  <c r="AP26" i="157"/>
  <c r="AQ26" i="157" s="1"/>
  <c r="AK26" i="157"/>
  <c r="AK86" i="157"/>
  <c r="AP86" i="157"/>
  <c r="AQ86" i="157" s="1"/>
  <c r="AP20" i="157"/>
  <c r="AQ20" i="157" s="1"/>
  <c r="AK20" i="157"/>
  <c r="AK136" i="157"/>
  <c r="AP136" i="157"/>
  <c r="AQ136" i="157" s="1"/>
  <c r="AK144" i="157"/>
  <c r="AP144" i="157"/>
  <c r="AQ144" i="157" s="1"/>
  <c r="AQ107" i="157" l="1"/>
  <c r="AQ120" i="157"/>
  <c r="AK103" i="157"/>
  <c r="AP103" i="157"/>
  <c r="AQ103" i="157" s="1"/>
  <c r="AK80" i="157"/>
  <c r="AP80" i="157"/>
  <c r="AQ80" i="157" s="1"/>
  <c r="AR15" i="157"/>
  <c r="AJ15" i="157"/>
  <c r="AK142" i="157"/>
  <c r="AP142" i="157"/>
  <c r="AQ142" i="157" s="1"/>
  <c r="AP15" i="157" l="1"/>
  <c r="AQ15" i="157" s="1"/>
  <c r="AK15" i="157"/>
  <c r="K34" i="143" l="1"/>
  <c r="Q102" i="143"/>
  <c r="R101" i="143"/>
  <c r="R100" i="143"/>
  <c r="R99" i="143"/>
  <c r="R98" i="143"/>
  <c r="R97" i="143"/>
  <c r="R96" i="143"/>
  <c r="R95" i="143"/>
  <c r="R94" i="143"/>
  <c r="R93" i="143"/>
  <c r="R92" i="143"/>
  <c r="R91" i="143"/>
  <c r="R90" i="143"/>
  <c r="R89" i="143"/>
  <c r="R88" i="143"/>
  <c r="R87" i="143"/>
  <c r="R86" i="143"/>
  <c r="R85" i="143"/>
  <c r="R84" i="143"/>
  <c r="R83" i="143"/>
  <c r="R82" i="143"/>
  <c r="R81" i="143"/>
  <c r="R80" i="143"/>
  <c r="R79" i="143"/>
  <c r="R78" i="143"/>
  <c r="R77" i="143"/>
  <c r="R76" i="143"/>
  <c r="R75" i="143"/>
  <c r="R74" i="143"/>
  <c r="R73" i="143"/>
  <c r="R72" i="143"/>
  <c r="R71" i="143"/>
  <c r="T101" i="143"/>
  <c r="T100" i="143"/>
  <c r="T99" i="143"/>
  <c r="T98" i="143"/>
  <c r="T97" i="143"/>
  <c r="T96" i="143"/>
  <c r="T95" i="143"/>
  <c r="T94" i="143"/>
  <c r="T93" i="143"/>
  <c r="T92" i="143"/>
  <c r="T91" i="143"/>
  <c r="T90" i="143"/>
  <c r="T89" i="143"/>
  <c r="T88" i="143"/>
  <c r="T87" i="143"/>
  <c r="T86" i="143"/>
  <c r="T85" i="143"/>
  <c r="T84" i="143"/>
  <c r="T83" i="143"/>
  <c r="T82" i="143"/>
  <c r="T81" i="143"/>
  <c r="T80" i="143"/>
  <c r="T79" i="143"/>
  <c r="T78" i="143"/>
  <c r="T77" i="143"/>
  <c r="T76" i="143"/>
  <c r="T75" i="143"/>
  <c r="T74" i="143"/>
  <c r="T73" i="143"/>
  <c r="T72" i="143"/>
  <c r="T71" i="143"/>
  <c r="W101" i="143"/>
  <c r="W100" i="143"/>
  <c r="W99" i="143"/>
  <c r="W98" i="143"/>
  <c r="W97" i="143"/>
  <c r="W96" i="143"/>
  <c r="W95" i="143"/>
  <c r="W94" i="143"/>
  <c r="W93" i="143"/>
  <c r="W92" i="143"/>
  <c r="W91" i="143"/>
  <c r="W90" i="143"/>
  <c r="W89" i="143"/>
  <c r="W88" i="143"/>
  <c r="W87" i="143"/>
  <c r="W86" i="143"/>
  <c r="W85" i="143"/>
  <c r="W84" i="143"/>
  <c r="W83" i="143"/>
  <c r="W82" i="143"/>
  <c r="W81" i="143"/>
  <c r="W80" i="143"/>
  <c r="W79" i="143"/>
  <c r="W78" i="143"/>
  <c r="W77" i="143"/>
  <c r="W76" i="143"/>
  <c r="W75" i="143"/>
  <c r="W74" i="143"/>
  <c r="W73" i="143"/>
  <c r="W72" i="143"/>
  <c r="W71" i="143"/>
  <c r="W102" i="143" s="1"/>
  <c r="Y100" i="143"/>
  <c r="Y99" i="143"/>
  <c r="Y98" i="143"/>
  <c r="Y97" i="143"/>
  <c r="Y96" i="143"/>
  <c r="Y95" i="143"/>
  <c r="Y94" i="143"/>
  <c r="Y93" i="143"/>
  <c r="Y92" i="143"/>
  <c r="Y91" i="143"/>
  <c r="Y90" i="143"/>
  <c r="Y89" i="143"/>
  <c r="Y88" i="143"/>
  <c r="Y87" i="143"/>
  <c r="Y86" i="143"/>
  <c r="Y85" i="143"/>
  <c r="Y84" i="143"/>
  <c r="Y83" i="143"/>
  <c r="Y82" i="143"/>
  <c r="Y81" i="143"/>
  <c r="Y80" i="143"/>
  <c r="Y79" i="143"/>
  <c r="Y78" i="143"/>
  <c r="Y77" i="143"/>
  <c r="Y76" i="143"/>
  <c r="Y75" i="143"/>
  <c r="Y74" i="143"/>
  <c r="Y73" i="143"/>
  <c r="Y72" i="143"/>
  <c r="Y71" i="143"/>
  <c r="S72" i="142"/>
  <c r="S73" i="142"/>
  <c r="S74" i="142"/>
  <c r="S75" i="142"/>
  <c r="S76" i="142"/>
  <c r="S77" i="142"/>
  <c r="S78" i="142"/>
  <c r="S79" i="142"/>
  <c r="S80" i="142"/>
  <c r="S81" i="142"/>
  <c r="S82" i="142"/>
  <c r="S83" i="142"/>
  <c r="S84" i="142"/>
  <c r="S85" i="142"/>
  <c r="S86" i="142"/>
  <c r="S87" i="142"/>
  <c r="S88" i="142"/>
  <c r="S89" i="142"/>
  <c r="S90" i="142"/>
  <c r="S91" i="142"/>
  <c r="S92" i="142"/>
  <c r="S93" i="142"/>
  <c r="S94" i="142"/>
  <c r="S95" i="142"/>
  <c r="S96" i="142"/>
  <c r="S97" i="142"/>
  <c r="S98" i="142"/>
  <c r="S99" i="142"/>
  <c r="S100" i="142"/>
  <c r="S101" i="142"/>
  <c r="S71" i="142"/>
  <c r="U72" i="142"/>
  <c r="U73" i="142"/>
  <c r="U74" i="142"/>
  <c r="U75" i="142"/>
  <c r="U76" i="142"/>
  <c r="U77" i="142"/>
  <c r="U78" i="142"/>
  <c r="U79" i="142"/>
  <c r="U80" i="142"/>
  <c r="U81" i="142"/>
  <c r="U82" i="142"/>
  <c r="U83" i="142"/>
  <c r="U84" i="142"/>
  <c r="U85" i="142"/>
  <c r="U86" i="142"/>
  <c r="U87" i="142"/>
  <c r="U88" i="142"/>
  <c r="U89" i="142"/>
  <c r="U90" i="142"/>
  <c r="U91" i="142"/>
  <c r="U92" i="142"/>
  <c r="U93" i="142"/>
  <c r="U94" i="142"/>
  <c r="U95" i="142"/>
  <c r="U96" i="142"/>
  <c r="U97" i="142"/>
  <c r="U98" i="142"/>
  <c r="U99" i="142"/>
  <c r="U100" i="142"/>
  <c r="U101" i="142"/>
  <c r="U71" i="142"/>
  <c r="X72" i="142"/>
  <c r="X73" i="142"/>
  <c r="X74" i="142"/>
  <c r="X75" i="142"/>
  <c r="X76" i="142"/>
  <c r="X77" i="142"/>
  <c r="X78" i="142"/>
  <c r="X79" i="142"/>
  <c r="X80" i="142"/>
  <c r="X81" i="142"/>
  <c r="X82" i="142"/>
  <c r="X83" i="142"/>
  <c r="X84" i="142"/>
  <c r="X85" i="142"/>
  <c r="X86" i="142"/>
  <c r="X87" i="142"/>
  <c r="X88" i="142"/>
  <c r="X89" i="142"/>
  <c r="X90" i="142"/>
  <c r="X91" i="142"/>
  <c r="X92" i="142"/>
  <c r="X93" i="142"/>
  <c r="X94" i="142"/>
  <c r="X95" i="142"/>
  <c r="X96" i="142"/>
  <c r="X97" i="142"/>
  <c r="X98" i="142"/>
  <c r="X99" i="142"/>
  <c r="X100" i="142"/>
  <c r="X101" i="142"/>
  <c r="X71" i="142"/>
  <c r="Z72" i="142"/>
  <c r="Z73" i="142"/>
  <c r="Z74" i="142"/>
  <c r="Z75" i="142"/>
  <c r="Z76" i="142"/>
  <c r="Z77" i="142"/>
  <c r="AE77" i="142" s="1"/>
  <c r="Z78" i="142"/>
  <c r="Z79" i="142"/>
  <c r="Z80" i="142"/>
  <c r="Z81" i="142"/>
  <c r="Z82" i="142"/>
  <c r="Z83" i="142"/>
  <c r="Z84" i="142"/>
  <c r="Z85" i="142"/>
  <c r="AE85" i="142" s="1"/>
  <c r="Z86" i="142"/>
  <c r="Z87" i="142"/>
  <c r="Z88" i="142"/>
  <c r="Z89" i="142"/>
  <c r="AE89" i="142" s="1"/>
  <c r="Z90" i="142"/>
  <c r="Z91" i="142"/>
  <c r="Z92" i="142"/>
  <c r="Z93" i="142"/>
  <c r="AE93" i="142" s="1"/>
  <c r="Z94" i="142"/>
  <c r="Z95" i="142"/>
  <c r="Z96" i="142"/>
  <c r="Z97" i="142"/>
  <c r="Z98" i="142"/>
  <c r="Z99" i="142"/>
  <c r="Z100" i="142"/>
  <c r="Z101" i="142"/>
  <c r="AE101" i="142" s="1"/>
  <c r="Z71" i="142"/>
  <c r="U102" i="143"/>
  <c r="V102" i="143"/>
  <c r="M102" i="143"/>
  <c r="X102" i="143"/>
  <c r="V52" i="143" s="1"/>
  <c r="N102" i="143"/>
  <c r="K53" i="143" s="1"/>
  <c r="Q339" i="47" s="1"/>
  <c r="I17" i="143"/>
  <c r="I16" i="143"/>
  <c r="M41" i="143" s="1"/>
  <c r="N41" i="143" s="1"/>
  <c r="I15" i="143"/>
  <c r="V33" i="142"/>
  <c r="V43" i="142"/>
  <c r="I15" i="142"/>
  <c r="O102" i="142"/>
  <c r="K53" i="142" s="1"/>
  <c r="N102" i="142"/>
  <c r="P102" i="142"/>
  <c r="D107" i="142"/>
  <c r="V102" i="142"/>
  <c r="W102" i="142"/>
  <c r="Y102" i="142"/>
  <c r="V52" i="142" s="1"/>
  <c r="F72" i="142"/>
  <c r="F73" i="142"/>
  <c r="F74" i="142"/>
  <c r="F75" i="142"/>
  <c r="F76" i="142"/>
  <c r="F77" i="142"/>
  <c r="F78" i="142"/>
  <c r="F79" i="142"/>
  <c r="F80" i="142"/>
  <c r="F81" i="142"/>
  <c r="F82" i="142"/>
  <c r="F83" i="142"/>
  <c r="F84" i="142"/>
  <c r="F85" i="142"/>
  <c r="F86" i="142"/>
  <c r="F87" i="142"/>
  <c r="F88" i="142"/>
  <c r="F89" i="142"/>
  <c r="F90" i="142"/>
  <c r="F91" i="142"/>
  <c r="F92" i="142"/>
  <c r="F93" i="142"/>
  <c r="F94" i="142"/>
  <c r="F95" i="142"/>
  <c r="F96" i="142"/>
  <c r="F97" i="142"/>
  <c r="F99" i="142"/>
  <c r="F100" i="142"/>
  <c r="F101" i="142"/>
  <c r="F71" i="142"/>
  <c r="AG102" i="142"/>
  <c r="AA102" i="142"/>
  <c r="AD101" i="142"/>
  <c r="AD100" i="142"/>
  <c r="AD99" i="142"/>
  <c r="AC99" i="142" s="1"/>
  <c r="AD98" i="142"/>
  <c r="AD97" i="142"/>
  <c r="AC97" i="142" s="1"/>
  <c r="AD96" i="142"/>
  <c r="AD95" i="142"/>
  <c r="AC95" i="142" s="1"/>
  <c r="AD94" i="142"/>
  <c r="AC94" i="142" s="1"/>
  <c r="AD93" i="142"/>
  <c r="AC93" i="142" s="1"/>
  <c r="AD92" i="142"/>
  <c r="AC92" i="142" s="1"/>
  <c r="AD91" i="142"/>
  <c r="AC91" i="142" s="1"/>
  <c r="AE90" i="142"/>
  <c r="AD90" i="142"/>
  <c r="AC90" i="142" s="1"/>
  <c r="AD89" i="142"/>
  <c r="AD88" i="142"/>
  <c r="AD87" i="142"/>
  <c r="AD86" i="142"/>
  <c r="AD85" i="142"/>
  <c r="AC85" i="142" s="1"/>
  <c r="AD84" i="142"/>
  <c r="AC84" i="142" s="1"/>
  <c r="AD83" i="142"/>
  <c r="AC83" i="142" s="1"/>
  <c r="AD82" i="142"/>
  <c r="AC82" i="142" s="1"/>
  <c r="AD81" i="142"/>
  <c r="AC81" i="142" s="1"/>
  <c r="AD80" i="142"/>
  <c r="AC80" i="142" s="1"/>
  <c r="AD79" i="142"/>
  <c r="AC79" i="142" s="1"/>
  <c r="AD78" i="142"/>
  <c r="AC78" i="142" s="1"/>
  <c r="AD77" i="142"/>
  <c r="AD76" i="142"/>
  <c r="AD75" i="142"/>
  <c r="AC75" i="142" s="1"/>
  <c r="AD74" i="142"/>
  <c r="AC74" i="142" s="1"/>
  <c r="AD73" i="142"/>
  <c r="AC73" i="142" s="1"/>
  <c r="AD72" i="142"/>
  <c r="AC72" i="142" s="1"/>
  <c r="AE71" i="142"/>
  <c r="AD71" i="142"/>
  <c r="T102" i="142"/>
  <c r="M21" i="47"/>
  <c r="M20" i="47"/>
  <c r="S42" i="47"/>
  <c r="R42" i="47"/>
  <c r="M42" i="47"/>
  <c r="H42" i="47"/>
  <c r="S41" i="47"/>
  <c r="R41" i="47"/>
  <c r="M41" i="47"/>
  <c r="H41" i="47"/>
  <c r="S40" i="47"/>
  <c r="R40" i="47"/>
  <c r="M40" i="47"/>
  <c r="S38" i="47"/>
  <c r="R38" i="47"/>
  <c r="M38" i="47"/>
  <c r="S37" i="47"/>
  <c r="R37" i="47"/>
  <c r="M37" i="47"/>
  <c r="S36" i="47"/>
  <c r="R36" i="47"/>
  <c r="M36" i="47"/>
  <c r="S35" i="47"/>
  <c r="R35" i="47"/>
  <c r="M35" i="47"/>
  <c r="Y35" i="47" s="1"/>
  <c r="S34" i="47"/>
  <c r="R34" i="47"/>
  <c r="M34" i="47"/>
  <c r="S33" i="47"/>
  <c r="R33" i="47"/>
  <c r="M33" i="47"/>
  <c r="S32" i="47"/>
  <c r="R32" i="47"/>
  <c r="M32" i="47"/>
  <c r="L30" i="47"/>
  <c r="N30" i="47" s="1"/>
  <c r="M30" i="47"/>
  <c r="Y30" i="47" s="1"/>
  <c r="R30" i="47"/>
  <c r="S30" i="47"/>
  <c r="L27" i="47"/>
  <c r="M27" i="47"/>
  <c r="Y27" i="47" s="1"/>
  <c r="R27" i="47"/>
  <c r="S27" i="47"/>
  <c r="S39" i="47"/>
  <c r="R39" i="47"/>
  <c r="M39" i="47"/>
  <c r="Y32" i="47"/>
  <c r="S31" i="47"/>
  <c r="R31" i="47"/>
  <c r="M31" i="47"/>
  <c r="Y31" i="47" s="1"/>
  <c r="S29" i="47"/>
  <c r="R29" i="47"/>
  <c r="M29" i="47"/>
  <c r="Y29" i="47" s="1"/>
  <c r="S28" i="47"/>
  <c r="R28" i="47"/>
  <c r="M28" i="47"/>
  <c r="S26" i="47"/>
  <c r="R26" i="47"/>
  <c r="M26" i="47"/>
  <c r="S25" i="47"/>
  <c r="R25" i="47"/>
  <c r="M25" i="47"/>
  <c r="Y25" i="47" s="1"/>
  <c r="S24" i="47"/>
  <c r="R24" i="47"/>
  <c r="M24" i="47"/>
  <c r="S23" i="47"/>
  <c r="R23" i="47"/>
  <c r="M23" i="47"/>
  <c r="Y23" i="47" s="1"/>
  <c r="S22" i="47"/>
  <c r="R22" i="47"/>
  <c r="M22" i="47"/>
  <c r="S21" i="47"/>
  <c r="R21" i="47"/>
  <c r="S20" i="47"/>
  <c r="R20" i="47"/>
  <c r="S19" i="47"/>
  <c r="R19" i="47"/>
  <c r="M19" i="47"/>
  <c r="S18" i="47"/>
  <c r="R18" i="47"/>
  <c r="M18" i="47"/>
  <c r="Y18" i="47" s="1"/>
  <c r="U17" i="47"/>
  <c r="T17" i="47"/>
  <c r="S17" i="47"/>
  <c r="R17" i="47"/>
  <c r="M17" i="47"/>
  <c r="Y17" i="47" s="1"/>
  <c r="U15" i="47"/>
  <c r="T15" i="47"/>
  <c r="S15" i="47"/>
  <c r="R15" i="47"/>
  <c r="M15" i="47"/>
  <c r="Y15" i="47" s="1"/>
  <c r="U14" i="47"/>
  <c r="V14" i="47" s="1"/>
  <c r="W14" i="47" s="1"/>
  <c r="T14" i="47"/>
  <c r="S14" i="47"/>
  <c r="R14" i="47"/>
  <c r="M14" i="47"/>
  <c r="Y14" i="47" s="1"/>
  <c r="L18" i="47"/>
  <c r="N18" i="47" s="1"/>
  <c r="L17" i="47"/>
  <c r="N17" i="47" s="1"/>
  <c r="U16" i="47"/>
  <c r="T16" i="47"/>
  <c r="V16" i="47" s="1"/>
  <c r="S16" i="47"/>
  <c r="R16" i="47"/>
  <c r="M16" i="47"/>
  <c r="L16" i="47"/>
  <c r="N16" i="47" s="1"/>
  <c r="L15" i="47"/>
  <c r="N15" i="47" s="1"/>
  <c r="L14" i="47"/>
  <c r="Y40" i="47"/>
  <c r="L40" i="47"/>
  <c r="N40" i="47" s="1"/>
  <c r="L39" i="47"/>
  <c r="Y38" i="47"/>
  <c r="L38" i="47"/>
  <c r="N38" i="47" s="1"/>
  <c r="Y37" i="47"/>
  <c r="L37" i="47"/>
  <c r="Y36" i="47"/>
  <c r="L36" i="47"/>
  <c r="N36" i="47" s="1"/>
  <c r="L35" i="47"/>
  <c r="N35" i="47" s="1"/>
  <c r="Y34" i="47"/>
  <c r="L34" i="47"/>
  <c r="N34" i="47" s="1"/>
  <c r="L33" i="47"/>
  <c r="L32" i="47"/>
  <c r="N32" i="47" s="1"/>
  <c r="L31" i="47"/>
  <c r="L29" i="47"/>
  <c r="N29" i="47" s="1"/>
  <c r="L28" i="47"/>
  <c r="L26" i="47"/>
  <c r="N26" i="47" s="1"/>
  <c r="L25" i="47"/>
  <c r="L24" i="47"/>
  <c r="N24" i="47" s="1"/>
  <c r="L23" i="47"/>
  <c r="L22" i="47"/>
  <c r="Y21" i="47"/>
  <c r="L21" i="47"/>
  <c r="N21" i="47" s="1"/>
  <c r="L20" i="47"/>
  <c r="N20" i="47" s="1"/>
  <c r="L19" i="47"/>
  <c r="V17" i="47"/>
  <c r="N27" i="47"/>
  <c r="N25" i="47"/>
  <c r="Y16" i="47"/>
  <c r="Y20" i="47"/>
  <c r="Y24" i="47"/>
  <c r="Y26" i="47"/>
  <c r="I1032" i="48"/>
  <c r="L1032" i="48" s="1"/>
  <c r="I1033" i="48"/>
  <c r="L1033" i="48" s="1"/>
  <c r="I1034" i="48"/>
  <c r="L1034" i="48" s="1"/>
  <c r="I1035" i="48"/>
  <c r="L1035" i="48" s="1"/>
  <c r="I1036" i="48"/>
  <c r="L1036" i="48" s="1"/>
  <c r="I1037" i="48"/>
  <c r="L1037" i="48" s="1"/>
  <c r="I1038" i="48"/>
  <c r="L1038" i="48" s="1"/>
  <c r="I1039" i="48"/>
  <c r="L1039" i="48" s="1"/>
  <c r="I1040" i="48"/>
  <c r="L1040" i="48" s="1"/>
  <c r="I1041" i="48"/>
  <c r="L1041" i="48" s="1"/>
  <c r="I1042" i="48"/>
  <c r="L1042" i="48" s="1"/>
  <c r="I1043" i="48"/>
  <c r="L1043" i="48" s="1"/>
  <c r="I1044" i="48"/>
  <c r="L1044" i="48" s="1"/>
  <c r="I1045" i="48"/>
  <c r="L1045" i="48" s="1"/>
  <c r="I1046" i="48"/>
  <c r="L1046" i="48" s="1"/>
  <c r="I1047" i="48"/>
  <c r="L1047" i="48" s="1"/>
  <c r="I1048" i="48"/>
  <c r="L1048" i="48" s="1"/>
  <c r="I1049" i="48"/>
  <c r="L1049" i="48" s="1"/>
  <c r="I1050" i="48"/>
  <c r="L1050" i="48" s="1"/>
  <c r="I1051" i="48"/>
  <c r="L1051" i="48" s="1"/>
  <c r="I1052" i="48"/>
  <c r="L1052" i="48" s="1"/>
  <c r="I1053" i="48"/>
  <c r="L1053" i="48" s="1"/>
  <c r="I1054" i="48"/>
  <c r="L1054" i="48" s="1"/>
  <c r="I1055" i="48"/>
  <c r="L1055" i="48" s="1"/>
  <c r="I1056" i="48"/>
  <c r="L1056" i="48" s="1"/>
  <c r="I1057" i="48"/>
  <c r="L1057" i="48" s="1"/>
  <c r="I1058" i="48"/>
  <c r="L1058" i="48" s="1"/>
  <c r="I1059" i="48"/>
  <c r="L1059" i="48" s="1"/>
  <c r="I1060" i="48"/>
  <c r="L1060" i="48" s="1"/>
  <c r="I1061" i="48"/>
  <c r="L1061" i="48" s="1"/>
  <c r="I1062" i="48"/>
  <c r="L1062" i="48" s="1"/>
  <c r="I1063" i="48"/>
  <c r="L1063" i="48" s="1"/>
  <c r="I1064" i="48"/>
  <c r="L1064" i="48" s="1"/>
  <c r="I1065" i="48"/>
  <c r="L1065" i="48" s="1"/>
  <c r="I1066" i="48"/>
  <c r="L1066" i="48" s="1"/>
  <c r="I1067" i="48"/>
  <c r="L1067" i="48" s="1"/>
  <c r="I1068" i="48"/>
  <c r="L1068" i="48" s="1"/>
  <c r="I1069" i="48"/>
  <c r="L1069" i="48" s="1"/>
  <c r="I1070" i="48"/>
  <c r="L1070" i="48" s="1"/>
  <c r="I1071" i="48"/>
  <c r="L1071" i="48" s="1"/>
  <c r="I1072" i="48"/>
  <c r="L1072" i="48" s="1"/>
  <c r="I1073" i="48"/>
  <c r="L1073" i="48" s="1"/>
  <c r="I1074" i="48"/>
  <c r="L1074" i="48" s="1"/>
  <c r="I1075" i="48"/>
  <c r="L1075" i="48" s="1"/>
  <c r="I1076" i="48"/>
  <c r="L1076" i="48" s="1"/>
  <c r="I1077" i="48"/>
  <c r="L1077" i="48" s="1"/>
  <c r="I1078" i="48"/>
  <c r="L1078" i="48" s="1"/>
  <c r="I1079" i="48"/>
  <c r="L1079" i="48" s="1"/>
  <c r="I1080" i="48"/>
  <c r="L1080" i="48" s="1"/>
  <c r="I1081" i="48"/>
  <c r="L1081" i="48" s="1"/>
  <c r="I1082" i="48"/>
  <c r="L1082" i="48" s="1"/>
  <c r="I1083" i="48"/>
  <c r="L1083" i="48" s="1"/>
  <c r="I1084" i="48"/>
  <c r="L1084" i="48" s="1"/>
  <c r="I1085" i="48"/>
  <c r="L1085" i="48" s="1"/>
  <c r="I1086" i="48"/>
  <c r="L1086" i="48" s="1"/>
  <c r="I1087" i="48"/>
  <c r="L1087" i="48" s="1"/>
  <c r="I1088" i="48"/>
  <c r="L1088" i="48" s="1"/>
  <c r="I1089" i="48"/>
  <c r="L1089" i="48" s="1"/>
  <c r="I1090" i="48"/>
  <c r="L1090" i="48" s="1"/>
  <c r="I1091" i="48"/>
  <c r="L1091" i="48" s="1"/>
  <c r="I1092" i="48"/>
  <c r="L1092" i="48" s="1"/>
  <c r="I1093" i="48"/>
  <c r="L1093" i="48" s="1"/>
  <c r="I1094" i="48"/>
  <c r="L1094" i="48" s="1"/>
  <c r="I1095" i="48"/>
  <c r="L1095" i="48" s="1"/>
  <c r="I1096" i="48"/>
  <c r="L1096" i="48" s="1"/>
  <c r="I1097" i="48"/>
  <c r="L1097" i="48" s="1"/>
  <c r="I1098" i="48"/>
  <c r="L1098" i="48" s="1"/>
  <c r="I1099" i="48"/>
  <c r="L1099" i="48" s="1"/>
  <c r="I1100" i="48"/>
  <c r="L1100" i="48" s="1"/>
  <c r="I1101" i="48"/>
  <c r="L1101" i="48" s="1"/>
  <c r="I1102" i="48"/>
  <c r="L1102" i="48" s="1"/>
  <c r="I1103" i="48"/>
  <c r="L1103" i="48" s="1"/>
  <c r="I1104" i="48"/>
  <c r="L1104" i="48" s="1"/>
  <c r="I1105" i="48"/>
  <c r="L1105" i="48" s="1"/>
  <c r="I1106" i="48"/>
  <c r="L1106" i="48" s="1"/>
  <c r="I1107" i="48"/>
  <c r="L1107" i="48" s="1"/>
  <c r="I1108" i="48"/>
  <c r="L1108" i="48" s="1"/>
  <c r="I1109" i="48"/>
  <c r="L1109" i="48" s="1"/>
  <c r="I1110" i="48"/>
  <c r="L1110" i="48" s="1"/>
  <c r="I1111" i="48"/>
  <c r="L1111" i="48" s="1"/>
  <c r="I1112" i="48"/>
  <c r="L1112" i="48" s="1"/>
  <c r="I1113" i="48"/>
  <c r="L1113" i="48" s="1"/>
  <c r="I1114" i="48"/>
  <c r="L1114" i="48" s="1"/>
  <c r="I1115" i="48"/>
  <c r="L1115" i="48" s="1"/>
  <c r="I1116" i="48"/>
  <c r="L1116" i="48" s="1"/>
  <c r="I1117" i="48"/>
  <c r="L1117" i="48" s="1"/>
  <c r="I1118" i="48"/>
  <c r="L1118" i="48" s="1"/>
  <c r="I1119" i="48"/>
  <c r="L1119" i="48" s="1"/>
  <c r="I1120" i="48"/>
  <c r="L1120" i="48" s="1"/>
  <c r="I1121" i="48"/>
  <c r="L1121" i="48" s="1"/>
  <c r="I1122" i="48"/>
  <c r="L1122" i="48" s="1"/>
  <c r="I1123" i="48"/>
  <c r="L1123" i="48" s="1"/>
  <c r="I1124" i="48"/>
  <c r="L1124" i="48" s="1"/>
  <c r="I1125" i="48"/>
  <c r="L1125" i="48" s="1"/>
  <c r="I1126" i="48"/>
  <c r="L1126" i="48" s="1"/>
  <c r="I1127" i="48"/>
  <c r="L1127" i="48" s="1"/>
  <c r="I1128" i="48"/>
  <c r="L1128" i="48" s="1"/>
  <c r="I1129" i="48"/>
  <c r="L1129" i="48" s="1"/>
  <c r="I1130" i="48"/>
  <c r="L1130" i="48" s="1"/>
  <c r="I1131" i="48"/>
  <c r="L1131" i="48" s="1"/>
  <c r="I1132" i="48"/>
  <c r="L1132" i="48" s="1"/>
  <c r="I1133" i="48"/>
  <c r="L1133" i="48" s="1"/>
  <c r="I1134" i="48"/>
  <c r="L1134" i="48" s="1"/>
  <c r="I1135" i="48"/>
  <c r="L1135" i="48" s="1"/>
  <c r="I1136" i="48"/>
  <c r="L1136" i="48" s="1"/>
  <c r="I1137" i="48"/>
  <c r="L1137" i="48" s="1"/>
  <c r="I1138" i="48"/>
  <c r="L1138" i="48" s="1"/>
  <c r="I1139" i="48"/>
  <c r="L1139" i="48" s="1"/>
  <c r="I1140" i="48"/>
  <c r="L1140" i="48" s="1"/>
  <c r="I1141" i="48"/>
  <c r="L1141" i="48" s="1"/>
  <c r="I1142" i="48"/>
  <c r="L1142" i="48" s="1"/>
  <c r="I1143" i="48"/>
  <c r="L1143" i="48" s="1"/>
  <c r="I1144" i="48"/>
  <c r="L1144" i="48" s="1"/>
  <c r="I1145" i="48"/>
  <c r="L1145" i="48" s="1"/>
  <c r="I1146" i="48"/>
  <c r="L1146" i="48" s="1"/>
  <c r="I1147" i="48"/>
  <c r="L1147" i="48" s="1"/>
  <c r="I1148" i="48"/>
  <c r="L1148" i="48" s="1"/>
  <c r="I1149" i="48"/>
  <c r="L1149" i="48" s="1"/>
  <c r="I1150" i="48"/>
  <c r="L1150" i="48" s="1"/>
  <c r="I1151" i="48"/>
  <c r="L1151" i="48" s="1"/>
  <c r="I1152" i="48"/>
  <c r="L1152" i="48" s="1"/>
  <c r="I1153" i="48"/>
  <c r="L1153" i="48" s="1"/>
  <c r="I1154" i="48"/>
  <c r="L1154" i="48" s="1"/>
  <c r="I1155" i="48"/>
  <c r="L1155" i="48" s="1"/>
  <c r="I1156" i="48"/>
  <c r="L1156" i="48" s="1"/>
  <c r="I1157" i="48"/>
  <c r="L1157" i="48" s="1"/>
  <c r="I1158" i="48"/>
  <c r="L1158" i="48" s="1"/>
  <c r="I1159" i="48"/>
  <c r="L1159" i="48" s="1"/>
  <c r="I1160" i="48"/>
  <c r="L1160" i="48" s="1"/>
  <c r="I1161" i="48"/>
  <c r="L1161" i="48" s="1"/>
  <c r="I1162" i="48"/>
  <c r="L1162" i="48" s="1"/>
  <c r="I1163" i="48"/>
  <c r="L1163" i="48" s="1"/>
  <c r="I1164" i="48"/>
  <c r="L1164" i="48" s="1"/>
  <c r="I1165" i="48"/>
  <c r="L1165" i="48" s="1"/>
  <c r="I1166" i="48"/>
  <c r="L1166" i="48" s="1"/>
  <c r="I1167" i="48"/>
  <c r="L1167" i="48" s="1"/>
  <c r="I1168" i="48"/>
  <c r="L1168" i="48" s="1"/>
  <c r="I1169" i="48"/>
  <c r="L1169" i="48" s="1"/>
  <c r="I1170" i="48"/>
  <c r="L1170" i="48" s="1"/>
  <c r="I1171" i="48"/>
  <c r="L1171" i="48" s="1"/>
  <c r="I1172" i="48"/>
  <c r="L1172" i="48" s="1"/>
  <c r="I1173" i="48"/>
  <c r="L1173" i="48" s="1"/>
  <c r="I1174" i="48"/>
  <c r="L1174" i="48" s="1"/>
  <c r="I1175" i="48"/>
  <c r="L1175" i="48" s="1"/>
  <c r="I1176" i="48"/>
  <c r="L1176" i="48" s="1"/>
  <c r="I1177" i="48"/>
  <c r="L1177" i="48" s="1"/>
  <c r="I1178" i="48"/>
  <c r="L1178" i="48" s="1"/>
  <c r="I1179" i="48"/>
  <c r="L1179" i="48" s="1"/>
  <c r="I1180" i="48"/>
  <c r="L1180" i="48" s="1"/>
  <c r="I1181" i="48"/>
  <c r="L1181" i="48" s="1"/>
  <c r="I1182" i="48"/>
  <c r="L1182" i="48" s="1"/>
  <c r="I1183" i="48"/>
  <c r="L1183" i="48" s="1"/>
  <c r="I1184" i="48"/>
  <c r="L1184" i="48" s="1"/>
  <c r="I1185" i="48"/>
  <c r="L1185" i="48" s="1"/>
  <c r="I1186" i="48"/>
  <c r="L1186" i="48" s="1"/>
  <c r="I1187" i="48"/>
  <c r="L1187" i="48" s="1"/>
  <c r="I1188" i="48"/>
  <c r="L1188" i="48" s="1"/>
  <c r="I1189" i="48"/>
  <c r="L1189" i="48" s="1"/>
  <c r="I1190" i="48"/>
  <c r="L1190" i="48" s="1"/>
  <c r="I1191" i="48"/>
  <c r="L1191" i="48" s="1"/>
  <c r="I1192" i="48"/>
  <c r="L1192" i="48" s="1"/>
  <c r="I1193" i="48"/>
  <c r="L1193" i="48" s="1"/>
  <c r="I1194" i="48"/>
  <c r="L1194" i="48" s="1"/>
  <c r="I1195" i="48"/>
  <c r="L1195" i="48" s="1"/>
  <c r="I1196" i="48"/>
  <c r="L1196" i="48" s="1"/>
  <c r="I1197" i="48"/>
  <c r="L1197" i="48" s="1"/>
  <c r="I1198" i="48"/>
  <c r="L1198" i="48" s="1"/>
  <c r="I1199" i="48"/>
  <c r="L1199" i="48" s="1"/>
  <c r="I1200" i="48"/>
  <c r="L1200" i="48" s="1"/>
  <c r="I1201" i="48"/>
  <c r="L1201" i="48" s="1"/>
  <c r="I1202" i="48"/>
  <c r="L1202" i="48" s="1"/>
  <c r="I1203" i="48"/>
  <c r="L1203" i="48" s="1"/>
  <c r="I1204" i="48"/>
  <c r="L1204" i="48" s="1"/>
  <c r="I1205" i="48"/>
  <c r="L1205" i="48" s="1"/>
  <c r="I1206" i="48"/>
  <c r="L1206" i="48" s="1"/>
  <c r="I1207" i="48"/>
  <c r="L1207" i="48" s="1"/>
  <c r="I1208" i="48"/>
  <c r="L1208" i="48" s="1"/>
  <c r="I1209" i="48"/>
  <c r="L1209" i="48" s="1"/>
  <c r="I1210" i="48"/>
  <c r="L1210" i="48" s="1"/>
  <c r="I1211" i="48"/>
  <c r="L1211" i="48" s="1"/>
  <c r="I1212" i="48"/>
  <c r="L1212" i="48" s="1"/>
  <c r="I1213" i="48"/>
  <c r="L1213" i="48" s="1"/>
  <c r="I1214" i="48"/>
  <c r="L1214" i="48" s="1"/>
  <c r="I1215" i="48"/>
  <c r="L1215" i="48" s="1"/>
  <c r="I1216" i="48"/>
  <c r="L1216" i="48" s="1"/>
  <c r="I1217" i="48"/>
  <c r="L1217" i="48" s="1"/>
  <c r="I1218" i="48"/>
  <c r="L1218" i="48" s="1"/>
  <c r="I1219" i="48"/>
  <c r="L1219" i="48" s="1"/>
  <c r="I1220" i="48"/>
  <c r="L1220" i="48" s="1"/>
  <c r="I1221" i="48"/>
  <c r="L1221" i="48" s="1"/>
  <c r="I1222" i="48"/>
  <c r="L1222" i="48" s="1"/>
  <c r="I1223" i="48"/>
  <c r="L1223" i="48" s="1"/>
  <c r="I1224" i="48"/>
  <c r="L1224" i="48" s="1"/>
  <c r="I1225" i="48"/>
  <c r="L1225" i="48" s="1"/>
  <c r="I1226" i="48"/>
  <c r="L1226" i="48" s="1"/>
  <c r="I1227" i="48"/>
  <c r="L1227" i="48" s="1"/>
  <c r="I1228" i="48"/>
  <c r="L1228" i="48" s="1"/>
  <c r="I1229" i="48"/>
  <c r="L1229" i="48" s="1"/>
  <c r="I1230" i="48"/>
  <c r="L1230" i="48" s="1"/>
  <c r="I1231" i="48"/>
  <c r="L1231" i="48" s="1"/>
  <c r="I1232" i="48"/>
  <c r="L1232" i="48" s="1"/>
  <c r="I1233" i="48"/>
  <c r="L1233" i="48" s="1"/>
  <c r="I1234" i="48"/>
  <c r="L1234" i="48" s="1"/>
  <c r="I1235" i="48"/>
  <c r="L1235" i="48" s="1"/>
  <c r="I1236" i="48"/>
  <c r="L1236" i="48" s="1"/>
  <c r="I1237" i="48"/>
  <c r="L1237" i="48" s="1"/>
  <c r="I1238" i="48"/>
  <c r="L1238" i="48" s="1"/>
  <c r="I1239" i="48"/>
  <c r="L1239" i="48" s="1"/>
  <c r="I1240" i="48"/>
  <c r="L1240" i="48" s="1"/>
  <c r="I1241" i="48"/>
  <c r="L1241" i="48" s="1"/>
  <c r="I1242" i="48"/>
  <c r="L1242" i="48" s="1"/>
  <c r="I1243" i="48"/>
  <c r="L1243" i="48" s="1"/>
  <c r="I1244" i="48"/>
  <c r="L1244" i="48" s="1"/>
  <c r="I1245" i="48"/>
  <c r="L1245" i="48" s="1"/>
  <c r="I1246" i="48"/>
  <c r="L1246" i="48" s="1"/>
  <c r="I1247" i="48"/>
  <c r="L1247" i="48" s="1"/>
  <c r="I1248" i="48"/>
  <c r="L1248" i="48" s="1"/>
  <c r="I1249" i="48"/>
  <c r="L1249" i="48" s="1"/>
  <c r="I1250" i="48"/>
  <c r="L1250" i="48" s="1"/>
  <c r="I1251" i="48"/>
  <c r="L1251" i="48" s="1"/>
  <c r="I1252" i="48"/>
  <c r="L1252" i="48" s="1"/>
  <c r="I1253" i="48"/>
  <c r="L1253" i="48" s="1"/>
  <c r="I1254" i="48"/>
  <c r="L1254" i="48" s="1"/>
  <c r="I1255" i="48"/>
  <c r="L1255" i="48" s="1"/>
  <c r="I1256" i="48"/>
  <c r="L1256" i="48" s="1"/>
  <c r="I1257" i="48"/>
  <c r="L1257" i="48" s="1"/>
  <c r="I1258" i="48"/>
  <c r="L1258" i="48" s="1"/>
  <c r="I1259" i="48"/>
  <c r="L1259" i="48" s="1"/>
  <c r="I1260" i="48"/>
  <c r="L1260" i="48" s="1"/>
  <c r="I1261" i="48"/>
  <c r="L1261" i="48" s="1"/>
  <c r="I1262" i="48"/>
  <c r="L1262" i="48" s="1"/>
  <c r="I1263" i="48"/>
  <c r="L1263" i="48" s="1"/>
  <c r="I1264" i="48"/>
  <c r="L1264" i="48" s="1"/>
  <c r="I1265" i="48"/>
  <c r="L1265" i="48" s="1"/>
  <c r="I1266" i="48"/>
  <c r="L1266" i="48" s="1"/>
  <c r="I1267" i="48"/>
  <c r="L1267" i="48" s="1"/>
  <c r="I1268" i="48"/>
  <c r="L1268" i="48" s="1"/>
  <c r="I1269" i="48"/>
  <c r="L1269" i="48" s="1"/>
  <c r="I1270" i="48"/>
  <c r="L1270" i="48" s="1"/>
  <c r="I1271" i="48"/>
  <c r="L1271" i="48" s="1"/>
  <c r="I1272" i="48"/>
  <c r="L1272" i="48" s="1"/>
  <c r="I1273" i="48"/>
  <c r="L1273" i="48" s="1"/>
  <c r="I1274" i="48"/>
  <c r="L1274" i="48" s="1"/>
  <c r="I1275" i="48"/>
  <c r="L1275" i="48" s="1"/>
  <c r="I1276" i="48"/>
  <c r="L1276" i="48" s="1"/>
  <c r="I1277" i="48"/>
  <c r="L1277" i="48" s="1"/>
  <c r="I1278" i="48"/>
  <c r="L1278" i="48" s="1"/>
  <c r="I1279" i="48"/>
  <c r="L1279" i="48" s="1"/>
  <c r="I1280" i="48"/>
  <c r="L1280" i="48" s="1"/>
  <c r="I1281" i="48"/>
  <c r="L1281" i="48" s="1"/>
  <c r="I1282" i="48"/>
  <c r="L1282" i="48" s="1"/>
  <c r="I1283" i="48"/>
  <c r="L1283" i="48" s="1"/>
  <c r="I1284" i="48"/>
  <c r="L1284" i="48" s="1"/>
  <c r="I1285" i="48"/>
  <c r="L1285" i="48" s="1"/>
  <c r="I1286" i="48"/>
  <c r="L1286" i="48" s="1"/>
  <c r="I1287" i="48"/>
  <c r="L1287" i="48" s="1"/>
  <c r="I1288" i="48"/>
  <c r="L1288" i="48" s="1"/>
  <c r="I1289" i="48"/>
  <c r="L1289" i="48" s="1"/>
  <c r="I1290" i="48"/>
  <c r="L1290" i="48" s="1"/>
  <c r="I1291" i="48"/>
  <c r="L1291" i="48" s="1"/>
  <c r="I1292" i="48"/>
  <c r="L1292" i="48" s="1"/>
  <c r="I1293" i="48"/>
  <c r="L1293" i="48" s="1"/>
  <c r="I1294" i="48"/>
  <c r="L1294" i="48" s="1"/>
  <c r="I1295" i="48"/>
  <c r="L1295" i="48" s="1"/>
  <c r="I1296" i="48"/>
  <c r="L1296" i="48" s="1"/>
  <c r="I1297" i="48"/>
  <c r="L1297" i="48" s="1"/>
  <c r="I1298" i="48"/>
  <c r="L1298" i="48" s="1"/>
  <c r="I1299" i="48"/>
  <c r="L1299" i="48" s="1"/>
  <c r="I1300" i="48"/>
  <c r="L1300" i="48" s="1"/>
  <c r="I1301" i="48"/>
  <c r="L1301" i="48" s="1"/>
  <c r="I1302" i="48"/>
  <c r="L1302" i="48" s="1"/>
  <c r="I1303" i="48"/>
  <c r="L1303" i="48" s="1"/>
  <c r="I1304" i="48"/>
  <c r="L1304" i="48" s="1"/>
  <c r="I1305" i="48"/>
  <c r="L1305" i="48" s="1"/>
  <c r="I1306" i="48"/>
  <c r="L1306" i="48" s="1"/>
  <c r="I1307" i="48"/>
  <c r="L1307" i="48" s="1"/>
  <c r="I1308" i="48"/>
  <c r="L1308" i="48" s="1"/>
  <c r="I1309" i="48"/>
  <c r="L1309" i="48" s="1"/>
  <c r="I1310" i="48"/>
  <c r="L1310" i="48" s="1"/>
  <c r="I1311" i="48"/>
  <c r="L1311" i="48" s="1"/>
  <c r="I1312" i="48"/>
  <c r="L1312" i="48" s="1"/>
  <c r="I1313" i="48"/>
  <c r="L1313" i="48" s="1"/>
  <c r="I1314" i="48"/>
  <c r="L1314" i="48" s="1"/>
  <c r="I1315" i="48"/>
  <c r="L1315" i="48" s="1"/>
  <c r="I1316" i="48"/>
  <c r="L1316" i="48" s="1"/>
  <c r="I1317" i="48"/>
  <c r="L1317" i="48" s="1"/>
  <c r="I1318" i="48"/>
  <c r="L1318" i="48" s="1"/>
  <c r="I1319" i="48"/>
  <c r="L1319" i="48" s="1"/>
  <c r="I1320" i="48"/>
  <c r="L1320" i="48" s="1"/>
  <c r="I1321" i="48"/>
  <c r="L1321" i="48" s="1"/>
  <c r="I1322" i="48"/>
  <c r="L1322" i="48" s="1"/>
  <c r="I1323" i="48"/>
  <c r="L1323" i="48" s="1"/>
  <c r="I1324" i="48"/>
  <c r="L1324" i="48" s="1"/>
  <c r="I1325" i="48"/>
  <c r="L1325" i="48" s="1"/>
  <c r="I1326" i="48"/>
  <c r="L1326" i="48" s="1"/>
  <c r="I1327" i="48"/>
  <c r="L1327" i="48" s="1"/>
  <c r="I1328" i="48"/>
  <c r="L1328" i="48" s="1"/>
  <c r="I1329" i="48"/>
  <c r="L1329" i="48" s="1"/>
  <c r="I1330" i="48"/>
  <c r="L1330" i="48" s="1"/>
  <c r="I1331" i="48"/>
  <c r="L1331" i="48" s="1"/>
  <c r="I1332" i="48"/>
  <c r="L1332" i="48" s="1"/>
  <c r="I1333" i="48"/>
  <c r="L1333" i="48" s="1"/>
  <c r="I1334" i="48"/>
  <c r="L1334" i="48" s="1"/>
  <c r="I1335" i="48"/>
  <c r="L1335" i="48" s="1"/>
  <c r="I1336" i="48"/>
  <c r="L1336" i="48" s="1"/>
  <c r="I1337" i="48"/>
  <c r="L1337" i="48" s="1"/>
  <c r="I1338" i="48"/>
  <c r="L1338" i="48" s="1"/>
  <c r="I1339" i="48"/>
  <c r="L1339" i="48" s="1"/>
  <c r="I1340" i="48"/>
  <c r="L1340" i="48" s="1"/>
  <c r="I1341" i="48"/>
  <c r="L1341" i="48" s="1"/>
  <c r="I1342" i="48"/>
  <c r="L1342" i="48" s="1"/>
  <c r="I1343" i="48"/>
  <c r="L1343" i="48" s="1"/>
  <c r="I1344" i="48"/>
  <c r="L1344" i="48" s="1"/>
  <c r="I1345" i="48"/>
  <c r="L1345" i="48" s="1"/>
  <c r="I1346" i="48"/>
  <c r="L1346" i="48" s="1"/>
  <c r="I1347" i="48"/>
  <c r="L1347" i="48" s="1"/>
  <c r="I1348" i="48"/>
  <c r="L1348" i="48" s="1"/>
  <c r="I1349" i="48"/>
  <c r="L1349" i="48" s="1"/>
  <c r="I1350" i="48"/>
  <c r="L1350" i="48" s="1"/>
  <c r="I1351" i="48"/>
  <c r="L1351" i="48" s="1"/>
  <c r="I1352" i="48"/>
  <c r="L1352" i="48" s="1"/>
  <c r="I1353" i="48"/>
  <c r="L1353" i="48" s="1"/>
  <c r="I1354" i="48"/>
  <c r="L1354" i="48" s="1"/>
  <c r="I1355" i="48"/>
  <c r="L1355" i="48" s="1"/>
  <c r="I1356" i="48"/>
  <c r="L1356" i="48" s="1"/>
  <c r="I1357" i="48"/>
  <c r="L1357" i="48" s="1"/>
  <c r="I1358" i="48"/>
  <c r="L1358" i="48" s="1"/>
  <c r="I1359" i="48"/>
  <c r="L1359" i="48" s="1"/>
  <c r="I1360" i="48"/>
  <c r="L1360" i="48" s="1"/>
  <c r="I1361" i="48"/>
  <c r="L1361" i="48" s="1"/>
  <c r="I1362" i="48"/>
  <c r="L1362" i="48" s="1"/>
  <c r="I1363" i="48"/>
  <c r="L1363" i="48" s="1"/>
  <c r="I1364" i="48"/>
  <c r="L1364" i="48" s="1"/>
  <c r="I1365" i="48"/>
  <c r="L1365" i="48" s="1"/>
  <c r="I1366" i="48"/>
  <c r="L1366" i="48" s="1"/>
  <c r="I1367" i="48"/>
  <c r="L1367" i="48" s="1"/>
  <c r="I1368" i="48"/>
  <c r="L1368" i="48" s="1"/>
  <c r="I1369" i="48"/>
  <c r="L1369" i="48" s="1"/>
  <c r="I1370" i="48"/>
  <c r="L1370" i="48" s="1"/>
  <c r="I1371" i="48"/>
  <c r="L1371" i="48" s="1"/>
  <c r="I1372" i="48"/>
  <c r="L1372" i="48" s="1"/>
  <c r="I1373" i="48"/>
  <c r="L1373" i="48" s="1"/>
  <c r="I1374" i="48"/>
  <c r="L1374" i="48" s="1"/>
  <c r="I1375" i="48"/>
  <c r="L1375" i="48" s="1"/>
  <c r="I1376" i="48"/>
  <c r="L1376" i="48" s="1"/>
  <c r="I1377" i="48"/>
  <c r="L1377" i="48" s="1"/>
  <c r="I1378" i="48"/>
  <c r="L1378" i="48" s="1"/>
  <c r="I1379" i="48"/>
  <c r="L1379" i="48" s="1"/>
  <c r="I1380" i="48"/>
  <c r="L1380" i="48" s="1"/>
  <c r="I1381" i="48"/>
  <c r="L1381" i="48" s="1"/>
  <c r="I1382" i="48"/>
  <c r="L1382" i="48" s="1"/>
  <c r="I1383" i="48"/>
  <c r="L1383" i="48" s="1"/>
  <c r="I1384" i="48"/>
  <c r="L1384" i="48" s="1"/>
  <c r="I1385" i="48"/>
  <c r="L1385" i="48" s="1"/>
  <c r="I1386" i="48"/>
  <c r="L1386" i="48" s="1"/>
  <c r="I1387" i="48"/>
  <c r="L1387" i="48" s="1"/>
  <c r="I1388" i="48"/>
  <c r="L1388" i="48" s="1"/>
  <c r="I1389" i="48"/>
  <c r="L1389" i="48" s="1"/>
  <c r="I1390" i="48"/>
  <c r="L1390" i="48" s="1"/>
  <c r="I1391" i="48"/>
  <c r="L1391" i="48" s="1"/>
  <c r="I1392" i="48"/>
  <c r="L1392" i="48" s="1"/>
  <c r="I1393" i="48"/>
  <c r="L1393" i="48" s="1"/>
  <c r="I1394" i="48"/>
  <c r="L1394" i="48"/>
  <c r="I1395" i="48"/>
  <c r="L1395" i="48" s="1"/>
  <c r="I1396" i="48"/>
  <c r="L1396" i="48" s="1"/>
  <c r="I1397" i="48"/>
  <c r="L1397" i="48" s="1"/>
  <c r="I1398" i="48"/>
  <c r="L1398" i="48"/>
  <c r="I1399" i="48"/>
  <c r="L1399" i="48" s="1"/>
  <c r="I1400" i="48"/>
  <c r="L1400" i="48" s="1"/>
  <c r="I1401" i="48"/>
  <c r="L1401" i="48" s="1"/>
  <c r="I1402" i="48"/>
  <c r="L1402" i="48" s="1"/>
  <c r="I1403" i="48"/>
  <c r="L1403" i="48" s="1"/>
  <c r="I1404" i="48"/>
  <c r="L1404" i="48" s="1"/>
  <c r="I1405" i="48"/>
  <c r="L1405" i="48" s="1"/>
  <c r="I1406" i="48"/>
  <c r="L1406" i="48" s="1"/>
  <c r="I1407" i="48"/>
  <c r="L1407" i="48" s="1"/>
  <c r="I1408" i="48"/>
  <c r="L1408" i="48" s="1"/>
  <c r="I1409" i="48"/>
  <c r="L1409" i="48" s="1"/>
  <c r="I1410" i="48"/>
  <c r="L1410" i="48" s="1"/>
  <c r="I1411" i="48"/>
  <c r="L1411" i="48" s="1"/>
  <c r="I1412" i="48"/>
  <c r="L1412" i="48" s="1"/>
  <c r="I1413" i="48"/>
  <c r="L1413" i="48" s="1"/>
  <c r="I1414" i="48"/>
  <c r="L1414" i="48" s="1"/>
  <c r="I1415" i="48"/>
  <c r="L1415" i="48" s="1"/>
  <c r="I1416" i="48"/>
  <c r="L1416" i="48" s="1"/>
  <c r="I1417" i="48"/>
  <c r="L1417" i="48" s="1"/>
  <c r="I1418" i="48"/>
  <c r="L1418" i="48" s="1"/>
  <c r="I1419" i="48"/>
  <c r="L1419" i="48" s="1"/>
  <c r="I1420" i="48"/>
  <c r="L1420" i="48" s="1"/>
  <c r="I1421" i="48"/>
  <c r="L1421" i="48" s="1"/>
  <c r="I1422" i="48"/>
  <c r="L1422" i="48" s="1"/>
  <c r="I1423" i="48"/>
  <c r="L1423" i="48" s="1"/>
  <c r="I1424" i="48"/>
  <c r="L1424" i="48" s="1"/>
  <c r="I1425" i="48"/>
  <c r="L1425" i="48" s="1"/>
  <c r="I1426" i="48"/>
  <c r="L1426" i="48" s="1"/>
  <c r="I1427" i="48"/>
  <c r="L1427" i="48" s="1"/>
  <c r="I1428" i="48"/>
  <c r="L1428" i="48" s="1"/>
  <c r="I1429" i="48"/>
  <c r="L1429" i="48" s="1"/>
  <c r="I1430" i="48"/>
  <c r="L1430" i="48" s="1"/>
  <c r="I1431" i="48"/>
  <c r="L1431" i="48" s="1"/>
  <c r="I1432" i="48"/>
  <c r="L1432" i="48" s="1"/>
  <c r="I1433" i="48"/>
  <c r="L1433" i="48" s="1"/>
  <c r="I1434" i="48"/>
  <c r="L1434" i="48" s="1"/>
  <c r="I1435" i="48"/>
  <c r="L1435" i="48" s="1"/>
  <c r="I1436" i="48"/>
  <c r="L1436" i="48" s="1"/>
  <c r="I1437" i="48"/>
  <c r="L1437" i="48" s="1"/>
  <c r="I1438" i="48"/>
  <c r="L1438" i="48" s="1"/>
  <c r="I1439" i="48"/>
  <c r="L1439" i="48" s="1"/>
  <c r="I1440" i="48"/>
  <c r="L1440" i="48" s="1"/>
  <c r="I1441" i="48"/>
  <c r="L1441" i="48" s="1"/>
  <c r="I1442" i="48"/>
  <c r="L1442" i="48" s="1"/>
  <c r="I1443" i="48"/>
  <c r="L1443" i="48" s="1"/>
  <c r="I1444" i="48"/>
  <c r="L1444" i="48" s="1"/>
  <c r="I1445" i="48"/>
  <c r="L1445" i="48" s="1"/>
  <c r="I1446" i="48"/>
  <c r="L1446" i="48" s="1"/>
  <c r="I1447" i="48"/>
  <c r="L1447" i="48" s="1"/>
  <c r="I1448" i="48"/>
  <c r="L1448" i="48" s="1"/>
  <c r="I1449" i="48"/>
  <c r="L1449" i="48" s="1"/>
  <c r="I1450" i="48"/>
  <c r="L1450" i="48" s="1"/>
  <c r="I1451" i="48"/>
  <c r="L1451" i="48" s="1"/>
  <c r="I1452" i="48"/>
  <c r="L1452" i="48" s="1"/>
  <c r="I1453" i="48"/>
  <c r="L1453" i="48" s="1"/>
  <c r="I1454" i="48"/>
  <c r="L1454" i="48" s="1"/>
  <c r="I1455" i="48"/>
  <c r="L1455" i="48" s="1"/>
  <c r="I1456" i="48"/>
  <c r="L1456" i="48" s="1"/>
  <c r="I1457" i="48"/>
  <c r="L1457" i="48" s="1"/>
  <c r="I1458" i="48"/>
  <c r="L1458" i="48" s="1"/>
  <c r="I1459" i="48"/>
  <c r="L1459" i="48" s="1"/>
  <c r="I1460" i="48"/>
  <c r="L1460" i="48" s="1"/>
  <c r="I1461" i="48"/>
  <c r="L1461" i="48" s="1"/>
  <c r="I1462" i="48"/>
  <c r="L1462" i="48" s="1"/>
  <c r="I1463" i="48"/>
  <c r="L1463" i="48" s="1"/>
  <c r="I1464" i="48"/>
  <c r="L1464" i="48" s="1"/>
  <c r="I1465" i="48"/>
  <c r="L1465" i="48" s="1"/>
  <c r="I1466" i="48"/>
  <c r="L1466" i="48" s="1"/>
  <c r="I1467" i="48"/>
  <c r="L1467" i="48" s="1"/>
  <c r="I1468" i="48"/>
  <c r="L1468" i="48" s="1"/>
  <c r="I1469" i="48"/>
  <c r="L1469" i="48" s="1"/>
  <c r="I1470" i="48"/>
  <c r="L1470" i="48" s="1"/>
  <c r="I1471" i="48"/>
  <c r="L1471" i="48" s="1"/>
  <c r="I1472" i="48"/>
  <c r="L1472" i="48" s="1"/>
  <c r="I1473" i="48"/>
  <c r="L1473" i="48" s="1"/>
  <c r="I1474" i="48"/>
  <c r="L1474" i="48" s="1"/>
  <c r="I1475" i="48"/>
  <c r="L1475" i="48" s="1"/>
  <c r="I1476" i="48"/>
  <c r="L1476" i="48" s="1"/>
  <c r="I1477" i="48"/>
  <c r="L1477" i="48" s="1"/>
  <c r="I1478" i="48"/>
  <c r="L1478" i="48" s="1"/>
  <c r="I1479" i="48"/>
  <c r="L1479" i="48" s="1"/>
  <c r="I1480" i="48"/>
  <c r="L1480" i="48" s="1"/>
  <c r="I1481" i="48"/>
  <c r="L1481" i="48" s="1"/>
  <c r="I1482" i="48"/>
  <c r="L1482" i="48" s="1"/>
  <c r="I1483" i="48"/>
  <c r="L1483" i="48" s="1"/>
  <c r="I1484" i="48"/>
  <c r="L1484" i="48" s="1"/>
  <c r="I1485" i="48"/>
  <c r="L1485" i="48" s="1"/>
  <c r="I1486" i="48"/>
  <c r="L1486" i="48" s="1"/>
  <c r="I1487" i="48"/>
  <c r="L1487" i="48" s="1"/>
  <c r="I1488" i="48"/>
  <c r="L1488" i="48" s="1"/>
  <c r="I1489" i="48"/>
  <c r="L1489" i="48" s="1"/>
  <c r="I1490" i="48"/>
  <c r="L1490" i="48" s="1"/>
  <c r="I1491" i="48"/>
  <c r="L1491" i="48" s="1"/>
  <c r="I1492" i="48"/>
  <c r="L1492" i="48" s="1"/>
  <c r="I1493" i="48"/>
  <c r="L1493" i="48" s="1"/>
  <c r="I1494" i="48"/>
  <c r="L1494" i="48" s="1"/>
  <c r="I1495" i="48"/>
  <c r="L1495" i="48" s="1"/>
  <c r="I1496" i="48"/>
  <c r="L1496" i="48" s="1"/>
  <c r="I1497" i="48"/>
  <c r="L1497" i="48" s="1"/>
  <c r="I1498" i="48"/>
  <c r="L1498" i="48" s="1"/>
  <c r="I1499" i="48"/>
  <c r="L1499" i="48" s="1"/>
  <c r="I1500" i="48"/>
  <c r="L1500" i="48" s="1"/>
  <c r="I1501" i="48"/>
  <c r="L1501" i="48" s="1"/>
  <c r="I1502" i="48"/>
  <c r="L1502" i="48" s="1"/>
  <c r="I1503" i="48"/>
  <c r="L1503" i="48" s="1"/>
  <c r="I1504" i="48"/>
  <c r="L1504" i="48" s="1"/>
  <c r="I1505" i="48"/>
  <c r="L1505" i="48" s="1"/>
  <c r="I1506" i="48"/>
  <c r="L1506" i="48" s="1"/>
  <c r="I1507" i="48"/>
  <c r="L1507" i="48" s="1"/>
  <c r="I1508" i="48"/>
  <c r="L1508" i="48"/>
  <c r="I1509" i="48"/>
  <c r="L1509" i="48" s="1"/>
  <c r="I1510" i="48"/>
  <c r="L1510" i="48" s="1"/>
  <c r="I1511" i="48"/>
  <c r="L1511" i="48" s="1"/>
  <c r="I1512" i="48"/>
  <c r="L1512" i="48" s="1"/>
  <c r="I1513" i="48"/>
  <c r="L1513" i="48" s="1"/>
  <c r="I1514" i="48"/>
  <c r="L1514" i="48" s="1"/>
  <c r="I1515" i="48"/>
  <c r="L1515" i="48" s="1"/>
  <c r="I1516" i="48"/>
  <c r="L1516" i="48" s="1"/>
  <c r="I1517" i="48"/>
  <c r="L1517" i="48" s="1"/>
  <c r="I1518" i="48"/>
  <c r="L1518" i="48" s="1"/>
  <c r="I1519" i="48"/>
  <c r="L1519" i="48" s="1"/>
  <c r="I1520" i="48"/>
  <c r="L1520" i="48" s="1"/>
  <c r="I1521" i="48"/>
  <c r="L1521" i="48" s="1"/>
  <c r="I1522" i="48"/>
  <c r="L1522" i="48" s="1"/>
  <c r="I1523" i="48"/>
  <c r="L1523" i="48" s="1"/>
  <c r="I1524" i="48"/>
  <c r="L1524" i="48" s="1"/>
  <c r="I1525" i="48"/>
  <c r="L1525" i="48" s="1"/>
  <c r="I1526" i="48"/>
  <c r="L1526" i="48" s="1"/>
  <c r="I1527" i="48"/>
  <c r="L1527" i="48" s="1"/>
  <c r="I1528" i="48"/>
  <c r="L1528" i="48" s="1"/>
  <c r="I1529" i="48"/>
  <c r="L1529" i="48" s="1"/>
  <c r="I1530" i="48"/>
  <c r="L1530" i="48" s="1"/>
  <c r="I1531" i="48"/>
  <c r="L1531" i="48" s="1"/>
  <c r="I1532" i="48"/>
  <c r="L1532" i="48" s="1"/>
  <c r="I1533" i="48"/>
  <c r="L1533" i="48" s="1"/>
  <c r="I1534" i="48"/>
  <c r="L1534" i="48" s="1"/>
  <c r="I1535" i="48"/>
  <c r="L1535" i="48" s="1"/>
  <c r="I1536" i="48"/>
  <c r="L1536" i="48" s="1"/>
  <c r="I1537" i="48"/>
  <c r="L1537" i="48" s="1"/>
  <c r="I1538" i="48"/>
  <c r="L1538" i="48" s="1"/>
  <c r="I1539" i="48"/>
  <c r="L1539" i="48" s="1"/>
  <c r="I1540" i="48"/>
  <c r="L1540" i="48" s="1"/>
  <c r="I1541" i="48"/>
  <c r="L1541" i="48" s="1"/>
  <c r="I1542" i="48"/>
  <c r="L1542" i="48" s="1"/>
  <c r="I1543" i="48"/>
  <c r="L1543" i="48" s="1"/>
  <c r="I1544" i="48"/>
  <c r="L1544" i="48" s="1"/>
  <c r="I1545" i="48"/>
  <c r="L1545" i="48" s="1"/>
  <c r="I1546" i="48"/>
  <c r="L1546" i="48" s="1"/>
  <c r="I1547" i="48"/>
  <c r="L1547" i="48" s="1"/>
  <c r="I1548" i="48"/>
  <c r="L1548" i="48" s="1"/>
  <c r="I1549" i="48"/>
  <c r="L1549" i="48" s="1"/>
  <c r="I1550" i="48"/>
  <c r="L1550" i="48" s="1"/>
  <c r="I1551" i="48"/>
  <c r="L1551" i="48" s="1"/>
  <c r="I1552" i="48"/>
  <c r="L1552" i="48" s="1"/>
  <c r="I1553" i="48"/>
  <c r="L1553" i="48" s="1"/>
  <c r="I1554" i="48"/>
  <c r="L1554" i="48" s="1"/>
  <c r="I1555" i="48"/>
  <c r="L1555" i="48" s="1"/>
  <c r="I1556" i="48"/>
  <c r="L1556" i="48" s="1"/>
  <c r="I1557" i="48"/>
  <c r="L1557" i="48" s="1"/>
  <c r="I1558" i="48"/>
  <c r="L1558" i="48" s="1"/>
  <c r="I1559" i="48"/>
  <c r="L1559" i="48" s="1"/>
  <c r="I1560" i="48"/>
  <c r="L1560" i="48" s="1"/>
  <c r="I1561" i="48"/>
  <c r="L1561" i="48" s="1"/>
  <c r="I1562" i="48"/>
  <c r="L1562" i="48" s="1"/>
  <c r="I1563" i="48"/>
  <c r="L1563" i="48" s="1"/>
  <c r="I1564" i="48"/>
  <c r="L1564" i="48" s="1"/>
  <c r="I1565" i="48"/>
  <c r="L1565" i="48" s="1"/>
  <c r="I1566" i="48"/>
  <c r="L1566" i="48" s="1"/>
  <c r="I1567" i="48"/>
  <c r="L1567" i="48" s="1"/>
  <c r="I1568" i="48"/>
  <c r="L1568" i="48" s="1"/>
  <c r="I1569" i="48"/>
  <c r="L1569" i="48" s="1"/>
  <c r="I1570" i="48"/>
  <c r="L1570" i="48" s="1"/>
  <c r="I1571" i="48"/>
  <c r="L1571" i="48" s="1"/>
  <c r="I1572" i="48"/>
  <c r="L1572" i="48" s="1"/>
  <c r="I1573" i="48"/>
  <c r="L1573" i="48" s="1"/>
  <c r="I1574" i="48"/>
  <c r="L1574" i="48" s="1"/>
  <c r="I1575" i="48"/>
  <c r="L1575" i="48" s="1"/>
  <c r="I1576" i="48"/>
  <c r="L1576" i="48" s="1"/>
  <c r="I1577" i="48"/>
  <c r="L1577" i="48" s="1"/>
  <c r="I1578" i="48"/>
  <c r="L1578" i="48" s="1"/>
  <c r="I1579" i="48"/>
  <c r="L1579" i="48" s="1"/>
  <c r="I1580" i="48"/>
  <c r="L1580" i="48" s="1"/>
  <c r="I1581" i="48"/>
  <c r="L1581" i="48" s="1"/>
  <c r="I1582" i="48"/>
  <c r="L1582" i="48" s="1"/>
  <c r="I1583" i="48"/>
  <c r="L1583" i="48" s="1"/>
  <c r="I1584" i="48"/>
  <c r="L1584" i="48" s="1"/>
  <c r="I1585" i="48"/>
  <c r="L1585" i="48" s="1"/>
  <c r="I1586" i="48"/>
  <c r="L1586" i="48" s="1"/>
  <c r="I1587" i="48"/>
  <c r="L1587" i="48" s="1"/>
  <c r="I1588" i="48"/>
  <c r="L1588" i="48" s="1"/>
  <c r="I1589" i="48"/>
  <c r="L1589" i="48" s="1"/>
  <c r="I1590" i="48"/>
  <c r="L1590" i="48" s="1"/>
  <c r="I1591" i="48"/>
  <c r="L1591" i="48" s="1"/>
  <c r="I1592" i="48"/>
  <c r="L1592" i="48" s="1"/>
  <c r="I1593" i="48"/>
  <c r="L1593" i="48" s="1"/>
  <c r="I1594" i="48"/>
  <c r="L1594" i="48" s="1"/>
  <c r="I1595" i="48"/>
  <c r="L1595" i="48" s="1"/>
  <c r="I1596" i="48"/>
  <c r="L1596" i="48" s="1"/>
  <c r="I1597" i="48"/>
  <c r="L1597" i="48" s="1"/>
  <c r="I1598" i="48"/>
  <c r="L1598" i="48" s="1"/>
  <c r="I1599" i="48"/>
  <c r="L1599" i="48" s="1"/>
  <c r="I1600" i="48"/>
  <c r="L1600" i="48" s="1"/>
  <c r="I1601" i="48"/>
  <c r="L1601" i="48" s="1"/>
  <c r="I1602" i="48"/>
  <c r="L1602" i="48" s="1"/>
  <c r="I1603" i="48"/>
  <c r="L1603" i="48" s="1"/>
  <c r="I1604" i="48"/>
  <c r="L1604" i="48" s="1"/>
  <c r="I1605" i="48"/>
  <c r="L1605" i="48" s="1"/>
  <c r="I1606" i="48"/>
  <c r="L1606" i="48" s="1"/>
  <c r="I1607" i="48"/>
  <c r="L1607" i="48" s="1"/>
  <c r="I1608" i="48"/>
  <c r="L1608" i="48" s="1"/>
  <c r="I1609" i="48"/>
  <c r="L1609" i="48" s="1"/>
  <c r="I1610" i="48"/>
  <c r="L1610" i="48" s="1"/>
  <c r="I1611" i="48"/>
  <c r="L1611" i="48" s="1"/>
  <c r="I1612" i="48"/>
  <c r="L1612" i="48" s="1"/>
  <c r="I1613" i="48"/>
  <c r="L1613" i="48" s="1"/>
  <c r="I1614" i="48"/>
  <c r="L1614" i="48" s="1"/>
  <c r="I1615" i="48"/>
  <c r="L1615" i="48" s="1"/>
  <c r="I1616" i="48"/>
  <c r="L1616" i="48" s="1"/>
  <c r="I1617" i="48"/>
  <c r="L1617" i="48" s="1"/>
  <c r="I1618" i="48"/>
  <c r="L1618" i="48" s="1"/>
  <c r="I1619" i="48"/>
  <c r="L1619" i="48" s="1"/>
  <c r="I1620" i="48"/>
  <c r="L1620" i="48" s="1"/>
  <c r="I1621" i="48"/>
  <c r="L1621" i="48" s="1"/>
  <c r="I1622" i="48"/>
  <c r="L1622" i="48" s="1"/>
  <c r="I1623" i="48"/>
  <c r="L1623" i="48" s="1"/>
  <c r="I1624" i="48"/>
  <c r="L1624" i="48" s="1"/>
  <c r="I1625" i="48"/>
  <c r="L1625" i="48" s="1"/>
  <c r="I1626" i="48"/>
  <c r="L1626" i="48" s="1"/>
  <c r="I1627" i="48"/>
  <c r="L1627" i="48" s="1"/>
  <c r="I1628" i="48"/>
  <c r="L1628" i="48" s="1"/>
  <c r="I1629" i="48"/>
  <c r="L1629" i="48" s="1"/>
  <c r="I1630" i="48"/>
  <c r="L1630" i="48" s="1"/>
  <c r="I1631" i="48"/>
  <c r="L1631" i="48" s="1"/>
  <c r="I1632" i="48"/>
  <c r="L1632" i="48" s="1"/>
  <c r="I1633" i="48"/>
  <c r="L1633" i="48" s="1"/>
  <c r="I1634" i="48"/>
  <c r="L1634" i="48" s="1"/>
  <c r="I1635" i="48"/>
  <c r="L1635" i="48" s="1"/>
  <c r="I1636" i="48"/>
  <c r="L1636" i="48" s="1"/>
  <c r="I1637" i="48"/>
  <c r="L1637" i="48" s="1"/>
  <c r="I1638" i="48"/>
  <c r="L1638" i="48" s="1"/>
  <c r="I1639" i="48"/>
  <c r="L1639" i="48" s="1"/>
  <c r="I1640" i="48"/>
  <c r="L1640" i="48" s="1"/>
  <c r="I1641" i="48"/>
  <c r="L1641" i="48" s="1"/>
  <c r="I1642" i="48"/>
  <c r="L1642" i="48" s="1"/>
  <c r="I1643" i="48"/>
  <c r="L1643" i="48" s="1"/>
  <c r="I1644" i="48"/>
  <c r="L1644" i="48" s="1"/>
  <c r="I1645" i="48"/>
  <c r="L1645" i="48" s="1"/>
  <c r="I1646" i="48"/>
  <c r="L1646" i="48" s="1"/>
  <c r="I1647" i="48"/>
  <c r="L1647" i="48" s="1"/>
  <c r="I1648" i="48"/>
  <c r="L1648" i="48" s="1"/>
  <c r="I1649" i="48"/>
  <c r="L1649" i="48" s="1"/>
  <c r="I1650" i="48"/>
  <c r="L1650" i="48" s="1"/>
  <c r="I1651" i="48"/>
  <c r="L1651" i="48" s="1"/>
  <c r="I1652" i="48"/>
  <c r="L1652" i="48" s="1"/>
  <c r="I1653" i="48"/>
  <c r="L1653" i="48" s="1"/>
  <c r="I1654" i="48"/>
  <c r="L1654" i="48" s="1"/>
  <c r="I1655" i="48"/>
  <c r="L1655" i="48" s="1"/>
  <c r="I1656" i="48"/>
  <c r="L1656" i="48" s="1"/>
  <c r="I1657" i="48"/>
  <c r="L1657" i="48" s="1"/>
  <c r="I1658" i="48"/>
  <c r="L1658" i="48" s="1"/>
  <c r="I1659" i="48"/>
  <c r="L1659" i="48" s="1"/>
  <c r="I1660" i="48"/>
  <c r="L1660" i="48" s="1"/>
  <c r="I1661" i="48"/>
  <c r="L1661" i="48" s="1"/>
  <c r="I1662" i="48"/>
  <c r="L1662" i="48" s="1"/>
  <c r="I1663" i="48"/>
  <c r="L1663" i="48" s="1"/>
  <c r="I1664" i="48"/>
  <c r="L1664" i="48" s="1"/>
  <c r="I1665" i="48"/>
  <c r="L1665" i="48" s="1"/>
  <c r="I1666" i="48"/>
  <c r="L1666" i="48" s="1"/>
  <c r="I1667" i="48"/>
  <c r="L1667" i="48" s="1"/>
  <c r="I1668" i="48"/>
  <c r="L1668" i="48" s="1"/>
  <c r="I1669" i="48"/>
  <c r="L1669" i="48" s="1"/>
  <c r="I1670" i="48"/>
  <c r="L1670" i="48" s="1"/>
  <c r="I1671" i="48"/>
  <c r="L1671" i="48" s="1"/>
  <c r="I1672" i="48"/>
  <c r="L1672" i="48" s="1"/>
  <c r="I1673" i="48"/>
  <c r="L1673" i="48" s="1"/>
  <c r="I1674" i="48"/>
  <c r="L1674" i="48" s="1"/>
  <c r="I1675" i="48"/>
  <c r="L1675" i="48" s="1"/>
  <c r="I1676" i="48"/>
  <c r="L1676" i="48" s="1"/>
  <c r="I1677" i="48"/>
  <c r="L1677" i="48" s="1"/>
  <c r="I1678" i="48"/>
  <c r="L1678" i="48" s="1"/>
  <c r="I1679" i="48"/>
  <c r="L1679" i="48" s="1"/>
  <c r="I1680" i="48"/>
  <c r="L1680" i="48" s="1"/>
  <c r="I1681" i="48"/>
  <c r="L1681" i="48" s="1"/>
  <c r="I1682" i="48"/>
  <c r="L1682" i="48" s="1"/>
  <c r="I1683" i="48"/>
  <c r="L1683" i="48" s="1"/>
  <c r="I1684" i="48"/>
  <c r="L1684" i="48" s="1"/>
  <c r="I1685" i="48"/>
  <c r="L1685" i="48" s="1"/>
  <c r="I1686" i="48"/>
  <c r="L1686" i="48" s="1"/>
  <c r="I1687" i="48"/>
  <c r="L1687" i="48" s="1"/>
  <c r="I1688" i="48"/>
  <c r="L1688" i="48" s="1"/>
  <c r="I1689" i="48"/>
  <c r="L1689" i="48" s="1"/>
  <c r="I1690" i="48"/>
  <c r="L1690" i="48" s="1"/>
  <c r="I1691" i="48"/>
  <c r="L1691" i="48" s="1"/>
  <c r="I1692" i="48"/>
  <c r="L1692" i="48" s="1"/>
  <c r="I1693" i="48"/>
  <c r="L1693" i="48" s="1"/>
  <c r="I1694" i="48"/>
  <c r="L1694" i="48" s="1"/>
  <c r="I1695" i="48"/>
  <c r="L1695" i="48" s="1"/>
  <c r="I1696" i="48"/>
  <c r="L1696" i="48" s="1"/>
  <c r="I1697" i="48"/>
  <c r="L1697" i="48" s="1"/>
  <c r="I1698" i="48"/>
  <c r="L1698" i="48" s="1"/>
  <c r="I1699" i="48"/>
  <c r="L1699" i="48" s="1"/>
  <c r="I1700" i="48"/>
  <c r="L1700" i="48" s="1"/>
  <c r="I1701" i="48"/>
  <c r="L1701" i="48" s="1"/>
  <c r="I1702" i="48"/>
  <c r="L1702" i="48" s="1"/>
  <c r="I1703" i="48"/>
  <c r="L1703" i="48" s="1"/>
  <c r="I1704" i="48"/>
  <c r="L1704" i="48" s="1"/>
  <c r="I1705" i="48"/>
  <c r="L1705" i="48" s="1"/>
  <c r="I1706" i="48"/>
  <c r="L1706" i="48" s="1"/>
  <c r="I1707" i="48"/>
  <c r="L1707" i="48" s="1"/>
  <c r="I1708" i="48"/>
  <c r="L1708" i="48" s="1"/>
  <c r="I1709" i="48"/>
  <c r="L1709" i="48" s="1"/>
  <c r="I1710" i="48"/>
  <c r="L1710" i="48" s="1"/>
  <c r="I1711" i="48"/>
  <c r="L1711" i="48" s="1"/>
  <c r="I1712" i="48"/>
  <c r="L1712" i="48" s="1"/>
  <c r="I1713" i="48"/>
  <c r="L1713" i="48" s="1"/>
  <c r="I1714" i="48"/>
  <c r="L1714" i="48" s="1"/>
  <c r="I1715" i="48"/>
  <c r="L1715" i="48" s="1"/>
  <c r="I1716" i="48"/>
  <c r="L1716" i="48" s="1"/>
  <c r="I1717" i="48"/>
  <c r="L1717" i="48" s="1"/>
  <c r="I1718" i="48"/>
  <c r="L1718" i="48" s="1"/>
  <c r="I1719" i="48"/>
  <c r="L1719" i="48" s="1"/>
  <c r="I1720" i="48"/>
  <c r="L1720" i="48" s="1"/>
  <c r="I1721" i="48"/>
  <c r="L1721" i="48" s="1"/>
  <c r="I1722" i="48"/>
  <c r="L1722" i="48" s="1"/>
  <c r="I1723" i="48"/>
  <c r="L1723" i="48" s="1"/>
  <c r="I1724" i="48"/>
  <c r="L1724" i="48" s="1"/>
  <c r="I1725" i="48"/>
  <c r="L1725" i="48" s="1"/>
  <c r="I1726" i="48"/>
  <c r="L1726" i="48" s="1"/>
  <c r="I1727" i="48"/>
  <c r="L1727" i="48" s="1"/>
  <c r="I1728" i="48"/>
  <c r="L1728" i="48" s="1"/>
  <c r="I1729" i="48"/>
  <c r="L1729" i="48" s="1"/>
  <c r="I1730" i="48"/>
  <c r="L1730" i="48" s="1"/>
  <c r="I1731" i="48"/>
  <c r="L1731" i="48" s="1"/>
  <c r="I1732" i="48"/>
  <c r="L1732" i="48" s="1"/>
  <c r="I1733" i="48"/>
  <c r="L1733" i="48" s="1"/>
  <c r="I1734" i="48"/>
  <c r="L1734" i="48" s="1"/>
  <c r="I1735" i="48"/>
  <c r="L1735" i="48" s="1"/>
  <c r="I1736" i="48"/>
  <c r="L1736" i="48" s="1"/>
  <c r="I1737" i="48"/>
  <c r="L1737" i="48" s="1"/>
  <c r="I1738" i="48"/>
  <c r="L1738" i="48" s="1"/>
  <c r="I1739" i="48"/>
  <c r="L1739" i="48" s="1"/>
  <c r="I1740" i="48"/>
  <c r="L1740" i="48" s="1"/>
  <c r="I1741" i="48"/>
  <c r="L1741" i="48" s="1"/>
  <c r="I1742" i="48"/>
  <c r="L1742" i="48" s="1"/>
  <c r="I1743" i="48"/>
  <c r="L1743" i="48" s="1"/>
  <c r="I1744" i="48"/>
  <c r="L1744" i="48" s="1"/>
  <c r="I1745" i="48"/>
  <c r="L1745" i="48" s="1"/>
  <c r="I1746" i="48"/>
  <c r="L1746" i="48" s="1"/>
  <c r="I1747" i="48"/>
  <c r="L1747" i="48" s="1"/>
  <c r="I1748" i="48"/>
  <c r="L1748" i="48" s="1"/>
  <c r="I1749" i="48"/>
  <c r="L1749" i="48" s="1"/>
  <c r="I1750" i="48"/>
  <c r="L1750" i="48" s="1"/>
  <c r="I1751" i="48"/>
  <c r="L1751" i="48" s="1"/>
  <c r="I1752" i="48"/>
  <c r="L1752" i="48" s="1"/>
  <c r="I1753" i="48"/>
  <c r="L1753" i="48" s="1"/>
  <c r="I1754" i="48"/>
  <c r="L1754" i="48" s="1"/>
  <c r="I1755" i="48"/>
  <c r="L1755" i="48" s="1"/>
  <c r="I1756" i="48"/>
  <c r="L1756" i="48" s="1"/>
  <c r="I1757" i="48"/>
  <c r="L1757" i="48" s="1"/>
  <c r="I1758" i="48"/>
  <c r="L1758" i="48" s="1"/>
  <c r="I1759" i="48"/>
  <c r="L1759" i="48" s="1"/>
  <c r="I1760" i="48"/>
  <c r="L1760" i="48" s="1"/>
  <c r="I1761" i="48"/>
  <c r="L1761" i="48" s="1"/>
  <c r="I1762" i="48"/>
  <c r="L1762" i="48" s="1"/>
  <c r="I1763" i="48"/>
  <c r="L1763" i="48" s="1"/>
  <c r="I1764" i="48"/>
  <c r="L1764" i="48" s="1"/>
  <c r="I1765" i="48"/>
  <c r="L1765" i="48" s="1"/>
  <c r="I1766" i="48"/>
  <c r="L1766" i="48" s="1"/>
  <c r="I1767" i="48"/>
  <c r="L1767" i="48" s="1"/>
  <c r="I1768" i="48"/>
  <c r="L1768" i="48" s="1"/>
  <c r="I1769" i="48"/>
  <c r="L1769" i="48" s="1"/>
  <c r="I1770" i="48"/>
  <c r="L1770" i="48" s="1"/>
  <c r="I1771" i="48"/>
  <c r="L1771" i="48" s="1"/>
  <c r="I1772" i="48"/>
  <c r="L1772" i="48" s="1"/>
  <c r="I1773" i="48"/>
  <c r="L1773" i="48" s="1"/>
  <c r="I1774" i="48"/>
  <c r="L1774" i="48" s="1"/>
  <c r="I1775" i="48"/>
  <c r="L1775" i="48" s="1"/>
  <c r="I1776" i="48"/>
  <c r="L1776" i="48" s="1"/>
  <c r="I1777" i="48"/>
  <c r="L1777" i="48" s="1"/>
  <c r="I1778" i="48"/>
  <c r="L1778" i="48" s="1"/>
  <c r="I1779" i="48"/>
  <c r="L1779" i="48" s="1"/>
  <c r="I1780" i="48"/>
  <c r="L1780" i="48" s="1"/>
  <c r="I1781" i="48"/>
  <c r="L1781" i="48" s="1"/>
  <c r="I1782" i="48"/>
  <c r="L1782" i="48" s="1"/>
  <c r="I1783" i="48"/>
  <c r="L1783" i="48" s="1"/>
  <c r="I1784" i="48"/>
  <c r="L1784" i="48" s="1"/>
  <c r="I1785" i="48"/>
  <c r="L1785" i="48" s="1"/>
  <c r="I1786" i="48"/>
  <c r="L1786" i="48" s="1"/>
  <c r="I1787" i="48"/>
  <c r="L1787" i="48" s="1"/>
  <c r="I1788" i="48"/>
  <c r="L1788" i="48" s="1"/>
  <c r="I1789" i="48"/>
  <c r="L1789" i="48" s="1"/>
  <c r="I1790" i="48"/>
  <c r="L1790" i="48" s="1"/>
  <c r="I1791" i="48"/>
  <c r="L1791" i="48" s="1"/>
  <c r="I1792" i="48"/>
  <c r="L1792" i="48" s="1"/>
  <c r="I1793" i="48"/>
  <c r="L1793" i="48" s="1"/>
  <c r="I1794" i="48"/>
  <c r="L1794" i="48" s="1"/>
  <c r="I1795" i="48"/>
  <c r="L1795" i="48" s="1"/>
  <c r="I1796" i="48"/>
  <c r="L1796" i="48" s="1"/>
  <c r="I1797" i="48"/>
  <c r="L1797" i="48" s="1"/>
  <c r="I1798" i="48"/>
  <c r="L1798" i="48" s="1"/>
  <c r="I1799" i="48"/>
  <c r="L1799" i="48" s="1"/>
  <c r="I1800" i="48"/>
  <c r="L1800" i="48" s="1"/>
  <c r="I1801" i="48"/>
  <c r="L1801" i="48" s="1"/>
  <c r="I1802" i="48"/>
  <c r="L1802" i="48" s="1"/>
  <c r="I1803" i="48"/>
  <c r="L1803" i="48" s="1"/>
  <c r="I1804" i="48"/>
  <c r="L1804" i="48" s="1"/>
  <c r="I1805" i="48"/>
  <c r="L1805" i="48" s="1"/>
  <c r="I1806" i="48"/>
  <c r="L1806" i="48" s="1"/>
  <c r="I1807" i="48"/>
  <c r="L1807" i="48" s="1"/>
  <c r="I1808" i="48"/>
  <c r="L1808" i="48" s="1"/>
  <c r="I1809" i="48"/>
  <c r="L1809" i="48" s="1"/>
  <c r="I1810" i="48"/>
  <c r="L1810" i="48" s="1"/>
  <c r="I1811" i="48"/>
  <c r="L1811" i="48" s="1"/>
  <c r="I1812" i="48"/>
  <c r="L1812" i="48" s="1"/>
  <c r="I1813" i="48"/>
  <c r="L1813" i="48" s="1"/>
  <c r="I1814" i="48"/>
  <c r="L1814" i="48" s="1"/>
  <c r="I1815" i="48"/>
  <c r="L1815" i="48" s="1"/>
  <c r="I1816" i="48"/>
  <c r="L1816" i="48" s="1"/>
  <c r="I1817" i="48"/>
  <c r="L1817" i="48" s="1"/>
  <c r="I1818" i="48"/>
  <c r="L1818" i="48" s="1"/>
  <c r="I1819" i="48"/>
  <c r="L1819" i="48" s="1"/>
  <c r="I1820" i="48"/>
  <c r="L1820" i="48" s="1"/>
  <c r="I1821" i="48"/>
  <c r="L1821" i="48" s="1"/>
  <c r="I1822" i="48"/>
  <c r="L1822" i="48" s="1"/>
  <c r="I1823" i="48"/>
  <c r="L1823" i="48" s="1"/>
  <c r="I1824" i="48"/>
  <c r="L1824" i="48" s="1"/>
  <c r="I1825" i="48"/>
  <c r="L1825" i="48" s="1"/>
  <c r="I1826" i="48"/>
  <c r="L1826" i="48" s="1"/>
  <c r="I1827" i="48"/>
  <c r="L1827" i="48" s="1"/>
  <c r="I1828" i="48"/>
  <c r="L1828" i="48" s="1"/>
  <c r="I1829" i="48"/>
  <c r="L1829" i="48" s="1"/>
  <c r="I1830" i="48"/>
  <c r="L1830" i="48" s="1"/>
  <c r="I1831" i="48"/>
  <c r="L1831" i="48" s="1"/>
  <c r="I1832" i="48"/>
  <c r="L1832" i="48" s="1"/>
  <c r="I1833" i="48"/>
  <c r="L1833" i="48" s="1"/>
  <c r="I1834" i="48"/>
  <c r="L1834" i="48" s="1"/>
  <c r="I1835" i="48"/>
  <c r="L1835" i="48" s="1"/>
  <c r="I1836" i="48"/>
  <c r="L1836" i="48" s="1"/>
  <c r="I1837" i="48"/>
  <c r="L1837" i="48" s="1"/>
  <c r="I1838" i="48"/>
  <c r="L1838" i="48" s="1"/>
  <c r="I1839" i="48"/>
  <c r="L1839" i="48" s="1"/>
  <c r="I1840" i="48"/>
  <c r="L1840" i="48" s="1"/>
  <c r="I1841" i="48"/>
  <c r="L1841" i="48" s="1"/>
  <c r="I1842" i="48"/>
  <c r="L1842" i="48" s="1"/>
  <c r="I1843" i="48"/>
  <c r="L1843" i="48" s="1"/>
  <c r="I1844" i="48"/>
  <c r="L1844" i="48" s="1"/>
  <c r="I1845" i="48"/>
  <c r="L1845" i="48" s="1"/>
  <c r="I1846" i="48"/>
  <c r="L1846" i="48" s="1"/>
  <c r="I1847" i="48"/>
  <c r="L1847" i="48" s="1"/>
  <c r="I1848" i="48"/>
  <c r="L1848" i="48" s="1"/>
  <c r="I1849" i="48"/>
  <c r="L1849" i="48" s="1"/>
  <c r="I1850" i="48"/>
  <c r="L1850" i="48" s="1"/>
  <c r="I1851" i="48"/>
  <c r="L1851" i="48" s="1"/>
  <c r="I1852" i="48"/>
  <c r="L1852" i="48" s="1"/>
  <c r="I1853" i="48"/>
  <c r="L1853" i="48" s="1"/>
  <c r="I1854" i="48"/>
  <c r="L1854" i="48" s="1"/>
  <c r="I1855" i="48"/>
  <c r="L1855" i="48" s="1"/>
  <c r="I1856" i="48"/>
  <c r="L1856" i="48" s="1"/>
  <c r="I1857" i="48"/>
  <c r="L1857" i="48" s="1"/>
  <c r="I1858" i="48"/>
  <c r="L1858" i="48" s="1"/>
  <c r="I1859" i="48"/>
  <c r="L1859" i="48" s="1"/>
  <c r="I1860" i="48"/>
  <c r="L1860" i="48" s="1"/>
  <c r="I1861" i="48"/>
  <c r="L1861" i="48" s="1"/>
  <c r="I1862" i="48"/>
  <c r="L1862" i="48" s="1"/>
  <c r="I1863" i="48"/>
  <c r="L1863" i="48" s="1"/>
  <c r="I1864" i="48"/>
  <c r="L1864" i="48" s="1"/>
  <c r="I1865" i="48"/>
  <c r="L1865" i="48" s="1"/>
  <c r="I1866" i="48"/>
  <c r="L1866" i="48" s="1"/>
  <c r="I1867" i="48"/>
  <c r="L1867" i="48" s="1"/>
  <c r="I1868" i="48"/>
  <c r="L1868" i="48" s="1"/>
  <c r="I1869" i="48"/>
  <c r="L1869" i="48" s="1"/>
  <c r="I1870" i="48"/>
  <c r="L1870" i="48" s="1"/>
  <c r="I1871" i="48"/>
  <c r="L1871" i="48" s="1"/>
  <c r="I1872" i="48"/>
  <c r="L1872" i="48" s="1"/>
  <c r="I1873" i="48"/>
  <c r="L1873" i="48" s="1"/>
  <c r="I1874" i="48"/>
  <c r="L1874" i="48" s="1"/>
  <c r="I1875" i="48"/>
  <c r="L1875" i="48" s="1"/>
  <c r="I1876" i="48"/>
  <c r="L1876" i="48" s="1"/>
  <c r="I1877" i="48"/>
  <c r="L1877" i="48" s="1"/>
  <c r="I1878" i="48"/>
  <c r="L1878" i="48" s="1"/>
  <c r="I1879" i="48"/>
  <c r="L1879" i="48" s="1"/>
  <c r="I1880" i="48"/>
  <c r="L1880" i="48" s="1"/>
  <c r="I1881" i="48"/>
  <c r="L1881" i="48" s="1"/>
  <c r="I1882" i="48"/>
  <c r="L1882" i="48" s="1"/>
  <c r="I1883" i="48"/>
  <c r="L1883" i="48" s="1"/>
  <c r="I1884" i="48"/>
  <c r="L1884" i="48" s="1"/>
  <c r="I1885" i="48"/>
  <c r="L1885" i="48" s="1"/>
  <c r="I1886" i="48"/>
  <c r="L1886" i="48" s="1"/>
  <c r="I1887" i="48"/>
  <c r="L1887" i="48" s="1"/>
  <c r="I1888" i="48"/>
  <c r="L1888" i="48" s="1"/>
  <c r="I1889" i="48"/>
  <c r="L1889" i="48" s="1"/>
  <c r="I1890" i="48"/>
  <c r="L1890" i="48" s="1"/>
  <c r="I1891" i="48"/>
  <c r="L1891" i="48" s="1"/>
  <c r="I1892" i="48"/>
  <c r="L1892" i="48" s="1"/>
  <c r="I1893" i="48"/>
  <c r="L1893" i="48" s="1"/>
  <c r="I1894" i="48"/>
  <c r="L1894" i="48" s="1"/>
  <c r="I1895" i="48"/>
  <c r="L1895" i="48" s="1"/>
  <c r="I1896" i="48"/>
  <c r="L1896" i="48" s="1"/>
  <c r="I1897" i="48"/>
  <c r="L1897" i="48" s="1"/>
  <c r="I1898" i="48"/>
  <c r="L1898" i="48" s="1"/>
  <c r="I1899" i="48"/>
  <c r="L1899" i="48" s="1"/>
  <c r="I1900" i="48"/>
  <c r="L1900" i="48" s="1"/>
  <c r="I1901" i="48"/>
  <c r="L1901" i="48" s="1"/>
  <c r="I1902" i="48"/>
  <c r="L1902" i="48" s="1"/>
  <c r="I1903" i="48"/>
  <c r="L1903" i="48" s="1"/>
  <c r="I1904" i="48"/>
  <c r="L1904" i="48" s="1"/>
  <c r="I1905" i="48"/>
  <c r="L1905" i="48" s="1"/>
  <c r="I1906" i="48"/>
  <c r="L1906" i="48" s="1"/>
  <c r="I1907" i="48"/>
  <c r="L1907" i="48" s="1"/>
  <c r="I1908" i="48"/>
  <c r="L1908" i="48" s="1"/>
  <c r="I1909" i="48"/>
  <c r="L1909" i="48" s="1"/>
  <c r="I1910" i="48"/>
  <c r="L1910" i="48" s="1"/>
  <c r="I1911" i="48"/>
  <c r="L1911" i="48" s="1"/>
  <c r="I1912" i="48"/>
  <c r="L1912" i="48" s="1"/>
  <c r="I1913" i="48"/>
  <c r="L1913" i="48" s="1"/>
  <c r="I1914" i="48"/>
  <c r="L1914" i="48" s="1"/>
  <c r="I1915" i="48"/>
  <c r="L1915" i="48" s="1"/>
  <c r="I1916" i="48"/>
  <c r="L1916" i="48" s="1"/>
  <c r="I1917" i="48"/>
  <c r="L1917" i="48" s="1"/>
  <c r="I1918" i="48"/>
  <c r="L1918" i="48" s="1"/>
  <c r="I1919" i="48"/>
  <c r="L1919" i="48" s="1"/>
  <c r="I1920" i="48"/>
  <c r="L1920" i="48" s="1"/>
  <c r="I1921" i="48"/>
  <c r="L1921" i="48" s="1"/>
  <c r="I1922" i="48"/>
  <c r="L1922" i="48" s="1"/>
  <c r="I1923" i="48"/>
  <c r="L1923" i="48" s="1"/>
  <c r="I1924" i="48"/>
  <c r="L1924" i="48" s="1"/>
  <c r="I1925" i="48"/>
  <c r="L1925" i="48" s="1"/>
  <c r="I1926" i="48"/>
  <c r="L1926" i="48" s="1"/>
  <c r="I1927" i="48"/>
  <c r="L1927" i="48" s="1"/>
  <c r="I1928" i="48"/>
  <c r="L1928" i="48" s="1"/>
  <c r="I1929" i="48"/>
  <c r="L1929" i="48" s="1"/>
  <c r="I1930" i="48"/>
  <c r="L1930" i="48" s="1"/>
  <c r="I1931" i="48"/>
  <c r="L1931" i="48" s="1"/>
  <c r="I1932" i="48"/>
  <c r="L1932" i="48" s="1"/>
  <c r="I1933" i="48"/>
  <c r="L1933" i="48" s="1"/>
  <c r="I1934" i="48"/>
  <c r="L1934" i="48" s="1"/>
  <c r="I1935" i="48"/>
  <c r="L1935" i="48" s="1"/>
  <c r="I1936" i="48"/>
  <c r="L1936" i="48" s="1"/>
  <c r="I1937" i="48"/>
  <c r="L1937" i="48" s="1"/>
  <c r="I1938" i="48"/>
  <c r="L1938" i="48" s="1"/>
  <c r="I1939" i="48"/>
  <c r="L1939" i="48" s="1"/>
  <c r="I1940" i="48"/>
  <c r="L1940" i="48" s="1"/>
  <c r="I1941" i="48"/>
  <c r="L1941" i="48" s="1"/>
  <c r="I1942" i="48"/>
  <c r="L1942" i="48" s="1"/>
  <c r="I1943" i="48"/>
  <c r="L1943" i="48" s="1"/>
  <c r="I1944" i="48"/>
  <c r="L1944" i="48" s="1"/>
  <c r="I1945" i="48"/>
  <c r="L1945" i="48" s="1"/>
  <c r="I1946" i="48"/>
  <c r="L1946" i="48" s="1"/>
  <c r="I1947" i="48"/>
  <c r="L1947" i="48" s="1"/>
  <c r="I1948" i="48"/>
  <c r="L1948" i="48" s="1"/>
  <c r="I1949" i="48"/>
  <c r="L1949" i="48" s="1"/>
  <c r="I1950" i="48"/>
  <c r="L1950" i="48" s="1"/>
  <c r="I1951" i="48"/>
  <c r="L1951" i="48" s="1"/>
  <c r="I1952" i="48"/>
  <c r="L1952" i="48" s="1"/>
  <c r="I1953" i="48"/>
  <c r="L1953" i="48" s="1"/>
  <c r="I1954" i="48"/>
  <c r="L1954" i="48" s="1"/>
  <c r="I1955" i="48"/>
  <c r="L1955" i="48" s="1"/>
  <c r="I1956" i="48"/>
  <c r="L1956" i="48" s="1"/>
  <c r="I1957" i="48"/>
  <c r="L1957" i="48" s="1"/>
  <c r="I1958" i="48"/>
  <c r="L1958" i="48" s="1"/>
  <c r="I1959" i="48"/>
  <c r="L1959" i="48" s="1"/>
  <c r="I1960" i="48"/>
  <c r="L1960" i="48" s="1"/>
  <c r="I1961" i="48"/>
  <c r="L1961" i="48" s="1"/>
  <c r="I1962" i="48"/>
  <c r="L1962" i="48" s="1"/>
  <c r="I1963" i="48"/>
  <c r="L1963" i="48" s="1"/>
  <c r="I1964" i="48"/>
  <c r="L1964" i="48" s="1"/>
  <c r="I1965" i="48"/>
  <c r="L1965" i="48" s="1"/>
  <c r="I1966" i="48"/>
  <c r="L1966" i="48" s="1"/>
  <c r="I1967" i="48"/>
  <c r="L1967" i="48" s="1"/>
  <c r="I1968" i="48"/>
  <c r="L1968" i="48" s="1"/>
  <c r="I1969" i="48"/>
  <c r="L1969" i="48" s="1"/>
  <c r="I1970" i="48"/>
  <c r="L1970" i="48" s="1"/>
  <c r="I1971" i="48"/>
  <c r="L1971" i="48" s="1"/>
  <c r="I1972" i="48"/>
  <c r="L1972" i="48" s="1"/>
  <c r="I1973" i="48"/>
  <c r="L1973" i="48" s="1"/>
  <c r="I12" i="48"/>
  <c r="L12" i="48" s="1"/>
  <c r="I13" i="48"/>
  <c r="L13" i="48" s="1"/>
  <c r="I14" i="48"/>
  <c r="L14" i="48" s="1"/>
  <c r="I15" i="48"/>
  <c r="L15" i="48" s="1"/>
  <c r="I16" i="48"/>
  <c r="L16" i="48" s="1"/>
  <c r="I17" i="48"/>
  <c r="L17" i="48" s="1"/>
  <c r="I18" i="48"/>
  <c r="L18" i="48" s="1"/>
  <c r="I19" i="48"/>
  <c r="L19" i="48" s="1"/>
  <c r="I20" i="48"/>
  <c r="L20" i="48" s="1"/>
  <c r="I21" i="48"/>
  <c r="L21" i="48" s="1"/>
  <c r="I22" i="48"/>
  <c r="L22" i="48" s="1"/>
  <c r="I23" i="48"/>
  <c r="L23" i="48" s="1"/>
  <c r="I24" i="48"/>
  <c r="L24" i="48" s="1"/>
  <c r="I25" i="48"/>
  <c r="L25" i="48" s="1"/>
  <c r="I26" i="48"/>
  <c r="L26" i="48" s="1"/>
  <c r="I27" i="48"/>
  <c r="L27" i="48" s="1"/>
  <c r="I28" i="48"/>
  <c r="L28" i="48" s="1"/>
  <c r="I29" i="48"/>
  <c r="L29" i="48" s="1"/>
  <c r="I30" i="48"/>
  <c r="L30" i="48" s="1"/>
  <c r="I31" i="48"/>
  <c r="L31" i="48" s="1"/>
  <c r="I32" i="48"/>
  <c r="L32" i="48" s="1"/>
  <c r="I33" i="48"/>
  <c r="L33" i="48" s="1"/>
  <c r="I34" i="48"/>
  <c r="L34" i="48" s="1"/>
  <c r="I35" i="48"/>
  <c r="L35" i="48" s="1"/>
  <c r="I36" i="48"/>
  <c r="L36" i="48" s="1"/>
  <c r="I37" i="48"/>
  <c r="L37" i="48" s="1"/>
  <c r="I38" i="48"/>
  <c r="L38" i="48" s="1"/>
  <c r="I39" i="48"/>
  <c r="L39" i="48" s="1"/>
  <c r="I40" i="48"/>
  <c r="L40" i="48" s="1"/>
  <c r="I41" i="48"/>
  <c r="L41" i="48" s="1"/>
  <c r="I42" i="48"/>
  <c r="L42" i="48" s="1"/>
  <c r="I43" i="48"/>
  <c r="L43" i="48" s="1"/>
  <c r="I44" i="48"/>
  <c r="L44" i="48" s="1"/>
  <c r="I45" i="48"/>
  <c r="L45" i="48" s="1"/>
  <c r="I46" i="48"/>
  <c r="L46" i="48" s="1"/>
  <c r="I47" i="48"/>
  <c r="L47" i="48" s="1"/>
  <c r="I48" i="48"/>
  <c r="L48" i="48" s="1"/>
  <c r="I49" i="48"/>
  <c r="L49" i="48" s="1"/>
  <c r="I50" i="48"/>
  <c r="L50" i="48" s="1"/>
  <c r="I51" i="48"/>
  <c r="L51" i="48" s="1"/>
  <c r="I52" i="48"/>
  <c r="L52" i="48" s="1"/>
  <c r="I53" i="48"/>
  <c r="L53" i="48" s="1"/>
  <c r="I54" i="48"/>
  <c r="L54" i="48" s="1"/>
  <c r="I55" i="48"/>
  <c r="L55" i="48" s="1"/>
  <c r="I56" i="48"/>
  <c r="L56" i="48" s="1"/>
  <c r="I57" i="48"/>
  <c r="L57" i="48" s="1"/>
  <c r="I58" i="48"/>
  <c r="L58" i="48" s="1"/>
  <c r="I59" i="48"/>
  <c r="L59" i="48" s="1"/>
  <c r="I60" i="48"/>
  <c r="L60" i="48" s="1"/>
  <c r="I61" i="48"/>
  <c r="L61" i="48" s="1"/>
  <c r="I62" i="48"/>
  <c r="L62" i="48" s="1"/>
  <c r="I63" i="48"/>
  <c r="L63" i="48" s="1"/>
  <c r="I64" i="48"/>
  <c r="L64" i="48" s="1"/>
  <c r="I65" i="48"/>
  <c r="L65" i="48" s="1"/>
  <c r="I66" i="48"/>
  <c r="L66" i="48" s="1"/>
  <c r="I67" i="48"/>
  <c r="L67" i="48" s="1"/>
  <c r="I68" i="48"/>
  <c r="L68" i="48" s="1"/>
  <c r="I69" i="48"/>
  <c r="L69" i="48" s="1"/>
  <c r="I70" i="48"/>
  <c r="L70" i="48" s="1"/>
  <c r="I71" i="48"/>
  <c r="L71" i="48" s="1"/>
  <c r="I72" i="48"/>
  <c r="L72" i="48" s="1"/>
  <c r="I73" i="48"/>
  <c r="L73" i="48" s="1"/>
  <c r="I74" i="48"/>
  <c r="L74" i="48" s="1"/>
  <c r="I75" i="48"/>
  <c r="L75" i="48" s="1"/>
  <c r="I76" i="48"/>
  <c r="L76" i="48" s="1"/>
  <c r="I77" i="48"/>
  <c r="L77" i="48" s="1"/>
  <c r="I78" i="48"/>
  <c r="L78" i="48" s="1"/>
  <c r="I79" i="48"/>
  <c r="L79" i="48" s="1"/>
  <c r="I80" i="48"/>
  <c r="L80" i="48" s="1"/>
  <c r="I81" i="48"/>
  <c r="L81" i="48" s="1"/>
  <c r="I82" i="48"/>
  <c r="L82" i="48" s="1"/>
  <c r="I83" i="48"/>
  <c r="L83" i="48" s="1"/>
  <c r="I84" i="48"/>
  <c r="L84" i="48" s="1"/>
  <c r="I85" i="48"/>
  <c r="L85" i="48" s="1"/>
  <c r="I86" i="48"/>
  <c r="L86" i="48" s="1"/>
  <c r="I87" i="48"/>
  <c r="L87" i="48" s="1"/>
  <c r="I88" i="48"/>
  <c r="L88" i="48" s="1"/>
  <c r="I89" i="48"/>
  <c r="L89" i="48" s="1"/>
  <c r="I90" i="48"/>
  <c r="L90" i="48" s="1"/>
  <c r="I91" i="48"/>
  <c r="L91" i="48" s="1"/>
  <c r="I92" i="48"/>
  <c r="L92" i="48" s="1"/>
  <c r="I93" i="48"/>
  <c r="L93" i="48" s="1"/>
  <c r="I94" i="48"/>
  <c r="L94" i="48" s="1"/>
  <c r="I95" i="48"/>
  <c r="L95" i="48" s="1"/>
  <c r="I96" i="48"/>
  <c r="L96" i="48" s="1"/>
  <c r="I97" i="48"/>
  <c r="L97" i="48" s="1"/>
  <c r="I98" i="48"/>
  <c r="L98" i="48" s="1"/>
  <c r="I99" i="48"/>
  <c r="L99" i="48" s="1"/>
  <c r="I100" i="48"/>
  <c r="L100" i="48" s="1"/>
  <c r="I101" i="48"/>
  <c r="L101" i="48" s="1"/>
  <c r="I102" i="48"/>
  <c r="L102" i="48" s="1"/>
  <c r="I103" i="48"/>
  <c r="L103" i="48" s="1"/>
  <c r="I104" i="48"/>
  <c r="L104" i="48"/>
  <c r="I105" i="48"/>
  <c r="L105" i="48" s="1"/>
  <c r="I106" i="48"/>
  <c r="L106" i="48" s="1"/>
  <c r="I107" i="48"/>
  <c r="L107" i="48" s="1"/>
  <c r="I108" i="48"/>
  <c r="L108" i="48" s="1"/>
  <c r="I109" i="48"/>
  <c r="L109" i="48" s="1"/>
  <c r="I110" i="48"/>
  <c r="L110" i="48" s="1"/>
  <c r="I111" i="48"/>
  <c r="L111" i="48" s="1"/>
  <c r="I112" i="48"/>
  <c r="L112" i="48" s="1"/>
  <c r="I113" i="48"/>
  <c r="L113" i="48" s="1"/>
  <c r="I114" i="48"/>
  <c r="L114" i="48" s="1"/>
  <c r="I115" i="48"/>
  <c r="L115" i="48" s="1"/>
  <c r="I116" i="48"/>
  <c r="L116" i="48" s="1"/>
  <c r="I117" i="48"/>
  <c r="L117" i="48" s="1"/>
  <c r="I118" i="48"/>
  <c r="L118" i="48" s="1"/>
  <c r="I119" i="48"/>
  <c r="L119" i="48" s="1"/>
  <c r="I120" i="48"/>
  <c r="L120" i="48" s="1"/>
  <c r="I121" i="48"/>
  <c r="L121" i="48" s="1"/>
  <c r="I122" i="48"/>
  <c r="L122" i="48" s="1"/>
  <c r="I123" i="48"/>
  <c r="L123" i="48" s="1"/>
  <c r="I124" i="48"/>
  <c r="L124" i="48" s="1"/>
  <c r="I125" i="48"/>
  <c r="L125" i="48" s="1"/>
  <c r="I126" i="48"/>
  <c r="L126" i="48" s="1"/>
  <c r="I127" i="48"/>
  <c r="L127" i="48" s="1"/>
  <c r="I128" i="48"/>
  <c r="L128" i="48" s="1"/>
  <c r="I129" i="48"/>
  <c r="L129" i="48" s="1"/>
  <c r="I130" i="48"/>
  <c r="L130" i="48" s="1"/>
  <c r="I131" i="48"/>
  <c r="L131" i="48" s="1"/>
  <c r="I132" i="48"/>
  <c r="L132" i="48" s="1"/>
  <c r="I133" i="48"/>
  <c r="L133" i="48" s="1"/>
  <c r="I134" i="48"/>
  <c r="L134" i="48" s="1"/>
  <c r="I135" i="48"/>
  <c r="L135" i="48" s="1"/>
  <c r="I136" i="48"/>
  <c r="L136" i="48" s="1"/>
  <c r="I137" i="48"/>
  <c r="L137" i="48" s="1"/>
  <c r="I138" i="48"/>
  <c r="L138" i="48" s="1"/>
  <c r="I139" i="48"/>
  <c r="L139" i="48" s="1"/>
  <c r="I140" i="48"/>
  <c r="L140" i="48" s="1"/>
  <c r="I141" i="48"/>
  <c r="L141" i="48" s="1"/>
  <c r="I142" i="48"/>
  <c r="L142" i="48" s="1"/>
  <c r="I143" i="48"/>
  <c r="L143" i="48" s="1"/>
  <c r="I144" i="48"/>
  <c r="L144" i="48" s="1"/>
  <c r="I145" i="48"/>
  <c r="L145" i="48" s="1"/>
  <c r="I146" i="48"/>
  <c r="L146" i="48" s="1"/>
  <c r="I147" i="48"/>
  <c r="L147" i="48" s="1"/>
  <c r="I148" i="48"/>
  <c r="L148" i="48" s="1"/>
  <c r="I149" i="48"/>
  <c r="L149" i="48" s="1"/>
  <c r="I150" i="48"/>
  <c r="L150" i="48" s="1"/>
  <c r="I151" i="48"/>
  <c r="L151" i="48" s="1"/>
  <c r="I152" i="48"/>
  <c r="L152" i="48" s="1"/>
  <c r="I153" i="48"/>
  <c r="L153" i="48" s="1"/>
  <c r="I154" i="48"/>
  <c r="L154" i="48" s="1"/>
  <c r="I155" i="48"/>
  <c r="L155" i="48" s="1"/>
  <c r="I156" i="48"/>
  <c r="L156" i="48" s="1"/>
  <c r="I157" i="48"/>
  <c r="L157" i="48" s="1"/>
  <c r="I158" i="48"/>
  <c r="L158" i="48" s="1"/>
  <c r="I159" i="48"/>
  <c r="L159" i="48" s="1"/>
  <c r="I160" i="48"/>
  <c r="L160" i="48" s="1"/>
  <c r="I161" i="48"/>
  <c r="L161" i="48" s="1"/>
  <c r="I162" i="48"/>
  <c r="L162" i="48" s="1"/>
  <c r="I163" i="48"/>
  <c r="L163" i="48" s="1"/>
  <c r="I164" i="48"/>
  <c r="L164" i="48" s="1"/>
  <c r="I165" i="48"/>
  <c r="L165" i="48" s="1"/>
  <c r="I166" i="48"/>
  <c r="L166" i="48" s="1"/>
  <c r="I167" i="48"/>
  <c r="L167" i="48" s="1"/>
  <c r="I168" i="48"/>
  <c r="L168" i="48" s="1"/>
  <c r="I169" i="48"/>
  <c r="L169" i="48" s="1"/>
  <c r="I170" i="48"/>
  <c r="L170" i="48" s="1"/>
  <c r="I171" i="48"/>
  <c r="L171" i="48" s="1"/>
  <c r="I172" i="48"/>
  <c r="L172" i="48" s="1"/>
  <c r="I173" i="48"/>
  <c r="L173" i="48" s="1"/>
  <c r="I174" i="48"/>
  <c r="L174" i="48" s="1"/>
  <c r="I175" i="48"/>
  <c r="L175" i="48" s="1"/>
  <c r="I176" i="48"/>
  <c r="L176" i="48" s="1"/>
  <c r="I177" i="48"/>
  <c r="L177" i="48" s="1"/>
  <c r="I178" i="48"/>
  <c r="L178" i="48" s="1"/>
  <c r="I179" i="48"/>
  <c r="L179" i="48" s="1"/>
  <c r="I180" i="48"/>
  <c r="L180" i="48" s="1"/>
  <c r="I181" i="48"/>
  <c r="L181" i="48" s="1"/>
  <c r="I182" i="48"/>
  <c r="L182" i="48" s="1"/>
  <c r="I183" i="48"/>
  <c r="L183" i="48" s="1"/>
  <c r="I184" i="48"/>
  <c r="L184" i="48" s="1"/>
  <c r="I185" i="48"/>
  <c r="L185" i="48" s="1"/>
  <c r="I186" i="48"/>
  <c r="L186" i="48" s="1"/>
  <c r="I187" i="48"/>
  <c r="L187" i="48" s="1"/>
  <c r="I188" i="48"/>
  <c r="L188" i="48" s="1"/>
  <c r="I189" i="48"/>
  <c r="L189" i="48" s="1"/>
  <c r="I190" i="48"/>
  <c r="L190" i="48" s="1"/>
  <c r="I191" i="48"/>
  <c r="L191" i="48" s="1"/>
  <c r="I192" i="48"/>
  <c r="L192" i="48" s="1"/>
  <c r="I193" i="48"/>
  <c r="L193" i="48" s="1"/>
  <c r="I194" i="48"/>
  <c r="L194" i="48" s="1"/>
  <c r="I195" i="48"/>
  <c r="L195" i="48" s="1"/>
  <c r="I196" i="48"/>
  <c r="L196" i="48" s="1"/>
  <c r="I197" i="48"/>
  <c r="L197" i="48" s="1"/>
  <c r="I198" i="48"/>
  <c r="L198" i="48" s="1"/>
  <c r="I199" i="48"/>
  <c r="L199" i="48" s="1"/>
  <c r="I200" i="48"/>
  <c r="L200" i="48" s="1"/>
  <c r="I201" i="48"/>
  <c r="L201" i="48" s="1"/>
  <c r="I202" i="48"/>
  <c r="L202" i="48" s="1"/>
  <c r="I203" i="48"/>
  <c r="L203" i="48" s="1"/>
  <c r="I204" i="48"/>
  <c r="L204" i="48" s="1"/>
  <c r="I205" i="48"/>
  <c r="L205" i="48" s="1"/>
  <c r="I206" i="48"/>
  <c r="L206" i="48" s="1"/>
  <c r="I207" i="48"/>
  <c r="L207" i="48" s="1"/>
  <c r="I208" i="48"/>
  <c r="L208" i="48" s="1"/>
  <c r="I209" i="48"/>
  <c r="L209" i="48" s="1"/>
  <c r="I210" i="48"/>
  <c r="L210" i="48" s="1"/>
  <c r="I211" i="48"/>
  <c r="L211" i="48" s="1"/>
  <c r="I212" i="48"/>
  <c r="L212" i="48" s="1"/>
  <c r="I213" i="48"/>
  <c r="L213" i="48" s="1"/>
  <c r="I214" i="48"/>
  <c r="L214" i="48" s="1"/>
  <c r="I215" i="48"/>
  <c r="L215" i="48" s="1"/>
  <c r="I216" i="48"/>
  <c r="L216" i="48" s="1"/>
  <c r="I217" i="48"/>
  <c r="L217" i="48" s="1"/>
  <c r="I218" i="48"/>
  <c r="L218" i="48" s="1"/>
  <c r="I219" i="48"/>
  <c r="L219" i="48" s="1"/>
  <c r="I220" i="48"/>
  <c r="L220" i="48" s="1"/>
  <c r="I221" i="48"/>
  <c r="L221" i="48" s="1"/>
  <c r="I222" i="48"/>
  <c r="L222" i="48" s="1"/>
  <c r="I223" i="48"/>
  <c r="L223" i="48" s="1"/>
  <c r="I224" i="48"/>
  <c r="L224" i="48" s="1"/>
  <c r="I225" i="48"/>
  <c r="L225" i="48" s="1"/>
  <c r="I226" i="48"/>
  <c r="L226" i="48" s="1"/>
  <c r="I227" i="48"/>
  <c r="L227" i="48" s="1"/>
  <c r="I228" i="48"/>
  <c r="L228" i="48" s="1"/>
  <c r="I229" i="48"/>
  <c r="L229" i="48" s="1"/>
  <c r="I230" i="48"/>
  <c r="L230" i="48" s="1"/>
  <c r="I231" i="48"/>
  <c r="L231" i="48" s="1"/>
  <c r="I232" i="48"/>
  <c r="L232" i="48" s="1"/>
  <c r="I233" i="48"/>
  <c r="L233" i="48" s="1"/>
  <c r="I234" i="48"/>
  <c r="L234" i="48" s="1"/>
  <c r="I235" i="48"/>
  <c r="L235" i="48" s="1"/>
  <c r="I236" i="48"/>
  <c r="L236" i="48" s="1"/>
  <c r="I237" i="48"/>
  <c r="L237" i="48" s="1"/>
  <c r="I238" i="48"/>
  <c r="L238" i="48" s="1"/>
  <c r="I239" i="48"/>
  <c r="L239" i="48" s="1"/>
  <c r="I240" i="48"/>
  <c r="L240" i="48" s="1"/>
  <c r="I241" i="48"/>
  <c r="L241" i="48" s="1"/>
  <c r="I242" i="48"/>
  <c r="L242" i="48" s="1"/>
  <c r="I243" i="48"/>
  <c r="L243" i="48" s="1"/>
  <c r="I244" i="48"/>
  <c r="L244" i="48" s="1"/>
  <c r="I245" i="48"/>
  <c r="L245" i="48" s="1"/>
  <c r="I246" i="48"/>
  <c r="L246" i="48" s="1"/>
  <c r="I247" i="48"/>
  <c r="L247" i="48" s="1"/>
  <c r="I248" i="48"/>
  <c r="L248" i="48" s="1"/>
  <c r="I249" i="48"/>
  <c r="L249" i="48" s="1"/>
  <c r="I250" i="48"/>
  <c r="L250" i="48" s="1"/>
  <c r="I251" i="48"/>
  <c r="L251" i="48" s="1"/>
  <c r="I252" i="48"/>
  <c r="L252" i="48" s="1"/>
  <c r="I253" i="48"/>
  <c r="L253" i="48" s="1"/>
  <c r="I254" i="48"/>
  <c r="L254" i="48" s="1"/>
  <c r="I255" i="48"/>
  <c r="L255" i="48" s="1"/>
  <c r="I256" i="48"/>
  <c r="L256" i="48" s="1"/>
  <c r="I257" i="48"/>
  <c r="L257" i="48" s="1"/>
  <c r="I258" i="48"/>
  <c r="L258" i="48" s="1"/>
  <c r="I259" i="48"/>
  <c r="L259" i="48" s="1"/>
  <c r="I260" i="48"/>
  <c r="L260" i="48" s="1"/>
  <c r="I261" i="48"/>
  <c r="L261" i="48" s="1"/>
  <c r="I262" i="48"/>
  <c r="L262" i="48" s="1"/>
  <c r="I263" i="48"/>
  <c r="L263" i="48" s="1"/>
  <c r="I264" i="48"/>
  <c r="L264" i="48" s="1"/>
  <c r="I265" i="48"/>
  <c r="L265" i="48" s="1"/>
  <c r="I266" i="48"/>
  <c r="L266" i="48" s="1"/>
  <c r="I267" i="48"/>
  <c r="L267" i="48" s="1"/>
  <c r="I268" i="48"/>
  <c r="L268" i="48" s="1"/>
  <c r="I269" i="48"/>
  <c r="L269" i="48" s="1"/>
  <c r="I270" i="48"/>
  <c r="L270" i="48" s="1"/>
  <c r="I271" i="48"/>
  <c r="L271" i="48" s="1"/>
  <c r="I272" i="48"/>
  <c r="L272" i="48" s="1"/>
  <c r="I273" i="48"/>
  <c r="L273" i="48" s="1"/>
  <c r="I274" i="48"/>
  <c r="L274" i="48" s="1"/>
  <c r="I275" i="48"/>
  <c r="L275" i="48" s="1"/>
  <c r="I276" i="48"/>
  <c r="L276" i="48" s="1"/>
  <c r="I277" i="48"/>
  <c r="L277" i="48" s="1"/>
  <c r="I278" i="48"/>
  <c r="L278" i="48" s="1"/>
  <c r="I279" i="48"/>
  <c r="L279" i="48" s="1"/>
  <c r="I280" i="48"/>
  <c r="L280" i="48" s="1"/>
  <c r="I281" i="48"/>
  <c r="L281" i="48" s="1"/>
  <c r="I282" i="48"/>
  <c r="L282" i="48" s="1"/>
  <c r="I283" i="48"/>
  <c r="L283" i="48" s="1"/>
  <c r="I284" i="48"/>
  <c r="L284" i="48" s="1"/>
  <c r="I285" i="48"/>
  <c r="L285" i="48" s="1"/>
  <c r="I286" i="48"/>
  <c r="L286" i="48" s="1"/>
  <c r="I287" i="48"/>
  <c r="L287" i="48" s="1"/>
  <c r="I288" i="48"/>
  <c r="L288" i="48" s="1"/>
  <c r="I289" i="48"/>
  <c r="L289" i="48" s="1"/>
  <c r="I290" i="48"/>
  <c r="L290" i="48" s="1"/>
  <c r="I291" i="48"/>
  <c r="L291" i="48" s="1"/>
  <c r="I292" i="48"/>
  <c r="L292" i="48" s="1"/>
  <c r="I293" i="48"/>
  <c r="L293" i="48" s="1"/>
  <c r="I294" i="48"/>
  <c r="L294" i="48" s="1"/>
  <c r="I295" i="48"/>
  <c r="L295" i="48" s="1"/>
  <c r="I296" i="48"/>
  <c r="L296" i="48" s="1"/>
  <c r="I297" i="48"/>
  <c r="L297" i="48" s="1"/>
  <c r="I298" i="48"/>
  <c r="L298" i="48" s="1"/>
  <c r="I299" i="48"/>
  <c r="L299" i="48" s="1"/>
  <c r="I300" i="48"/>
  <c r="L300" i="48" s="1"/>
  <c r="I301" i="48"/>
  <c r="L301" i="48" s="1"/>
  <c r="I302" i="48"/>
  <c r="L302" i="48" s="1"/>
  <c r="I303" i="48"/>
  <c r="L303" i="48" s="1"/>
  <c r="I304" i="48"/>
  <c r="L304" i="48" s="1"/>
  <c r="I305" i="48"/>
  <c r="L305" i="48" s="1"/>
  <c r="I306" i="48"/>
  <c r="L306" i="48" s="1"/>
  <c r="I307" i="48"/>
  <c r="L307" i="48" s="1"/>
  <c r="I308" i="48"/>
  <c r="L308" i="48" s="1"/>
  <c r="I309" i="48"/>
  <c r="L309" i="48" s="1"/>
  <c r="I310" i="48"/>
  <c r="L310" i="48" s="1"/>
  <c r="I311" i="48"/>
  <c r="L311" i="48" s="1"/>
  <c r="I312" i="48"/>
  <c r="L312" i="48" s="1"/>
  <c r="I313" i="48"/>
  <c r="L313" i="48" s="1"/>
  <c r="I314" i="48"/>
  <c r="L314" i="48" s="1"/>
  <c r="I315" i="48"/>
  <c r="L315" i="48" s="1"/>
  <c r="I316" i="48"/>
  <c r="L316" i="48" s="1"/>
  <c r="I317" i="48"/>
  <c r="L317" i="48" s="1"/>
  <c r="I318" i="48"/>
  <c r="L318" i="48" s="1"/>
  <c r="I319" i="48"/>
  <c r="L319" i="48" s="1"/>
  <c r="I320" i="48"/>
  <c r="L320" i="48" s="1"/>
  <c r="I321" i="48"/>
  <c r="L321" i="48" s="1"/>
  <c r="I322" i="48"/>
  <c r="L322" i="48" s="1"/>
  <c r="I323" i="48"/>
  <c r="L323" i="48" s="1"/>
  <c r="I324" i="48"/>
  <c r="L324" i="48" s="1"/>
  <c r="I325" i="48"/>
  <c r="L325" i="48" s="1"/>
  <c r="I326" i="48"/>
  <c r="L326" i="48" s="1"/>
  <c r="I327" i="48"/>
  <c r="L327" i="48" s="1"/>
  <c r="I328" i="48"/>
  <c r="L328" i="48" s="1"/>
  <c r="I329" i="48"/>
  <c r="L329" i="48" s="1"/>
  <c r="I330" i="48"/>
  <c r="L330" i="48" s="1"/>
  <c r="I331" i="48"/>
  <c r="L331" i="48" s="1"/>
  <c r="I332" i="48"/>
  <c r="L332" i="48" s="1"/>
  <c r="I333" i="48"/>
  <c r="L333" i="48" s="1"/>
  <c r="I334" i="48"/>
  <c r="L334" i="48" s="1"/>
  <c r="I335" i="48"/>
  <c r="L335" i="48" s="1"/>
  <c r="I336" i="48"/>
  <c r="L336" i="48" s="1"/>
  <c r="I337" i="48"/>
  <c r="L337" i="48" s="1"/>
  <c r="I338" i="48"/>
  <c r="L338" i="48" s="1"/>
  <c r="I339" i="48"/>
  <c r="L339" i="48" s="1"/>
  <c r="I340" i="48"/>
  <c r="L340" i="48" s="1"/>
  <c r="I341" i="48"/>
  <c r="L341" i="48" s="1"/>
  <c r="I342" i="48"/>
  <c r="L342" i="48" s="1"/>
  <c r="I343" i="48"/>
  <c r="L343" i="48" s="1"/>
  <c r="I344" i="48"/>
  <c r="L344" i="48" s="1"/>
  <c r="I345" i="48"/>
  <c r="L345" i="48" s="1"/>
  <c r="I346" i="48"/>
  <c r="L346" i="48" s="1"/>
  <c r="I347" i="48"/>
  <c r="L347" i="48" s="1"/>
  <c r="I348" i="48"/>
  <c r="L348" i="48" s="1"/>
  <c r="I349" i="48"/>
  <c r="L349" i="48" s="1"/>
  <c r="I350" i="48"/>
  <c r="L350" i="48" s="1"/>
  <c r="I351" i="48"/>
  <c r="L351" i="48" s="1"/>
  <c r="I352" i="48"/>
  <c r="L352" i="48" s="1"/>
  <c r="I353" i="48"/>
  <c r="L353" i="48" s="1"/>
  <c r="I354" i="48"/>
  <c r="L354" i="48" s="1"/>
  <c r="I355" i="48"/>
  <c r="L355" i="48" s="1"/>
  <c r="I356" i="48"/>
  <c r="L356" i="48" s="1"/>
  <c r="I357" i="48"/>
  <c r="L357" i="48" s="1"/>
  <c r="I358" i="48"/>
  <c r="L358" i="48" s="1"/>
  <c r="I359" i="48"/>
  <c r="L359" i="48" s="1"/>
  <c r="I360" i="48"/>
  <c r="L360" i="48" s="1"/>
  <c r="I361" i="48"/>
  <c r="L361" i="48" s="1"/>
  <c r="I362" i="48"/>
  <c r="L362" i="48" s="1"/>
  <c r="I363" i="48"/>
  <c r="L363" i="48" s="1"/>
  <c r="I364" i="48"/>
  <c r="L364" i="48" s="1"/>
  <c r="I365" i="48"/>
  <c r="L365" i="48" s="1"/>
  <c r="I366" i="48"/>
  <c r="L366" i="48" s="1"/>
  <c r="I367" i="48"/>
  <c r="L367" i="48" s="1"/>
  <c r="I368" i="48"/>
  <c r="L368" i="48" s="1"/>
  <c r="I369" i="48"/>
  <c r="L369" i="48" s="1"/>
  <c r="I370" i="48"/>
  <c r="L370" i="48" s="1"/>
  <c r="I371" i="48"/>
  <c r="L371" i="48" s="1"/>
  <c r="I372" i="48"/>
  <c r="L372" i="48" s="1"/>
  <c r="I373" i="48"/>
  <c r="L373" i="48" s="1"/>
  <c r="I374" i="48"/>
  <c r="L374" i="48" s="1"/>
  <c r="I375" i="48"/>
  <c r="L375" i="48" s="1"/>
  <c r="I376" i="48"/>
  <c r="L376" i="48" s="1"/>
  <c r="I377" i="48"/>
  <c r="L377" i="48" s="1"/>
  <c r="I378" i="48"/>
  <c r="L378" i="48" s="1"/>
  <c r="I379" i="48"/>
  <c r="L379" i="48" s="1"/>
  <c r="I380" i="48"/>
  <c r="L380" i="48" s="1"/>
  <c r="I381" i="48"/>
  <c r="L381" i="48" s="1"/>
  <c r="I382" i="48"/>
  <c r="L382" i="48" s="1"/>
  <c r="I383" i="48"/>
  <c r="L383" i="48" s="1"/>
  <c r="I384" i="48"/>
  <c r="L384" i="48" s="1"/>
  <c r="I385" i="48"/>
  <c r="L385" i="48" s="1"/>
  <c r="I386" i="48"/>
  <c r="L386" i="48" s="1"/>
  <c r="I387" i="48"/>
  <c r="L387" i="48" s="1"/>
  <c r="I388" i="48"/>
  <c r="L388" i="48" s="1"/>
  <c r="I389" i="48"/>
  <c r="L389" i="48" s="1"/>
  <c r="I390" i="48"/>
  <c r="L390" i="48" s="1"/>
  <c r="I391" i="48"/>
  <c r="L391" i="48" s="1"/>
  <c r="I392" i="48"/>
  <c r="L392" i="48" s="1"/>
  <c r="I393" i="48"/>
  <c r="L393" i="48" s="1"/>
  <c r="I394" i="48"/>
  <c r="L394" i="48" s="1"/>
  <c r="I395" i="48"/>
  <c r="L395" i="48" s="1"/>
  <c r="I396" i="48"/>
  <c r="L396" i="48" s="1"/>
  <c r="I397" i="48"/>
  <c r="L397" i="48" s="1"/>
  <c r="I398" i="48"/>
  <c r="L398" i="48" s="1"/>
  <c r="I399" i="48"/>
  <c r="L399" i="48" s="1"/>
  <c r="I400" i="48"/>
  <c r="L400" i="48" s="1"/>
  <c r="I401" i="48"/>
  <c r="L401" i="48" s="1"/>
  <c r="I402" i="48"/>
  <c r="L402" i="48" s="1"/>
  <c r="I403" i="48"/>
  <c r="L403" i="48" s="1"/>
  <c r="I404" i="48"/>
  <c r="L404" i="48" s="1"/>
  <c r="I405" i="48"/>
  <c r="L405" i="48" s="1"/>
  <c r="I406" i="48"/>
  <c r="L406" i="48" s="1"/>
  <c r="I407" i="48"/>
  <c r="L407" i="48" s="1"/>
  <c r="I408" i="48"/>
  <c r="L408" i="48" s="1"/>
  <c r="I409" i="48"/>
  <c r="L409" i="48" s="1"/>
  <c r="I410" i="48"/>
  <c r="L410" i="48" s="1"/>
  <c r="I411" i="48"/>
  <c r="L411" i="48" s="1"/>
  <c r="I412" i="48"/>
  <c r="L412" i="48" s="1"/>
  <c r="I413" i="48"/>
  <c r="L413" i="48" s="1"/>
  <c r="I414" i="48"/>
  <c r="L414" i="48" s="1"/>
  <c r="I415" i="48"/>
  <c r="L415" i="48" s="1"/>
  <c r="I416" i="48"/>
  <c r="L416" i="48" s="1"/>
  <c r="I417" i="48"/>
  <c r="L417" i="48" s="1"/>
  <c r="I418" i="48"/>
  <c r="L418" i="48" s="1"/>
  <c r="I419" i="48"/>
  <c r="L419" i="48" s="1"/>
  <c r="I420" i="48"/>
  <c r="L420" i="48" s="1"/>
  <c r="I421" i="48"/>
  <c r="L421" i="48" s="1"/>
  <c r="I422" i="48"/>
  <c r="L422" i="48" s="1"/>
  <c r="I423" i="48"/>
  <c r="L423" i="48" s="1"/>
  <c r="I424" i="48"/>
  <c r="L424" i="48" s="1"/>
  <c r="I425" i="48"/>
  <c r="L425" i="48" s="1"/>
  <c r="I426" i="48"/>
  <c r="L426" i="48" s="1"/>
  <c r="I427" i="48"/>
  <c r="L427" i="48" s="1"/>
  <c r="I428" i="48"/>
  <c r="L428" i="48" s="1"/>
  <c r="I429" i="48"/>
  <c r="L429" i="48" s="1"/>
  <c r="I430" i="48"/>
  <c r="L430" i="48" s="1"/>
  <c r="I431" i="48"/>
  <c r="L431" i="48" s="1"/>
  <c r="I432" i="48"/>
  <c r="L432" i="48" s="1"/>
  <c r="I433" i="48"/>
  <c r="L433" i="48" s="1"/>
  <c r="I434" i="48"/>
  <c r="L434" i="48" s="1"/>
  <c r="I435" i="48"/>
  <c r="L435" i="48" s="1"/>
  <c r="I436" i="48"/>
  <c r="L436" i="48" s="1"/>
  <c r="I437" i="48"/>
  <c r="L437" i="48" s="1"/>
  <c r="I438" i="48"/>
  <c r="L438" i="48" s="1"/>
  <c r="I439" i="48"/>
  <c r="L439" i="48" s="1"/>
  <c r="I440" i="48"/>
  <c r="L440" i="48" s="1"/>
  <c r="I441" i="48"/>
  <c r="L441" i="48" s="1"/>
  <c r="I442" i="48"/>
  <c r="L442" i="48" s="1"/>
  <c r="I443" i="48"/>
  <c r="L443" i="48" s="1"/>
  <c r="I444" i="48"/>
  <c r="L444" i="48" s="1"/>
  <c r="I445" i="48"/>
  <c r="L445" i="48" s="1"/>
  <c r="I446" i="48"/>
  <c r="L446" i="48" s="1"/>
  <c r="I447" i="48"/>
  <c r="L447" i="48" s="1"/>
  <c r="I448" i="48"/>
  <c r="L448" i="48" s="1"/>
  <c r="I449" i="48"/>
  <c r="L449" i="48" s="1"/>
  <c r="I450" i="48"/>
  <c r="L450" i="48" s="1"/>
  <c r="I451" i="48"/>
  <c r="L451" i="48" s="1"/>
  <c r="I452" i="48"/>
  <c r="L452" i="48" s="1"/>
  <c r="I453" i="48"/>
  <c r="L453" i="48" s="1"/>
  <c r="I454" i="48"/>
  <c r="L454" i="48" s="1"/>
  <c r="I455" i="48"/>
  <c r="L455" i="48" s="1"/>
  <c r="I456" i="48"/>
  <c r="L456" i="48" s="1"/>
  <c r="I457" i="48"/>
  <c r="L457" i="48" s="1"/>
  <c r="I458" i="48"/>
  <c r="L458" i="48" s="1"/>
  <c r="I459" i="48"/>
  <c r="L459" i="48" s="1"/>
  <c r="I460" i="48"/>
  <c r="L460" i="48" s="1"/>
  <c r="I461" i="48"/>
  <c r="L461" i="48" s="1"/>
  <c r="I462" i="48"/>
  <c r="L462" i="48" s="1"/>
  <c r="I463" i="48"/>
  <c r="L463" i="48" s="1"/>
  <c r="I464" i="48"/>
  <c r="L464" i="48" s="1"/>
  <c r="I465" i="48"/>
  <c r="L465" i="48" s="1"/>
  <c r="I466" i="48"/>
  <c r="L466" i="48" s="1"/>
  <c r="I467" i="48"/>
  <c r="L467" i="48" s="1"/>
  <c r="I468" i="48"/>
  <c r="L468" i="48" s="1"/>
  <c r="I469" i="48"/>
  <c r="L469" i="48" s="1"/>
  <c r="I470" i="48"/>
  <c r="L470" i="48" s="1"/>
  <c r="I471" i="48"/>
  <c r="L471" i="48" s="1"/>
  <c r="I472" i="48"/>
  <c r="L472" i="48" s="1"/>
  <c r="I473" i="48"/>
  <c r="L473" i="48" s="1"/>
  <c r="I474" i="48"/>
  <c r="L474" i="48" s="1"/>
  <c r="I475" i="48"/>
  <c r="L475" i="48" s="1"/>
  <c r="I476" i="48"/>
  <c r="L476" i="48" s="1"/>
  <c r="I477" i="48"/>
  <c r="L477" i="48" s="1"/>
  <c r="I478" i="48"/>
  <c r="L478" i="48" s="1"/>
  <c r="I479" i="48"/>
  <c r="L479" i="48" s="1"/>
  <c r="I480" i="48"/>
  <c r="L480" i="48" s="1"/>
  <c r="I481" i="48"/>
  <c r="L481" i="48" s="1"/>
  <c r="I482" i="48"/>
  <c r="L482" i="48" s="1"/>
  <c r="I483" i="48"/>
  <c r="L483" i="48" s="1"/>
  <c r="I484" i="48"/>
  <c r="L484" i="48" s="1"/>
  <c r="I485" i="48"/>
  <c r="L485" i="48" s="1"/>
  <c r="I486" i="48"/>
  <c r="L486" i="48" s="1"/>
  <c r="I487" i="48"/>
  <c r="L487" i="48" s="1"/>
  <c r="I488" i="48"/>
  <c r="L488" i="48" s="1"/>
  <c r="I489" i="48"/>
  <c r="L489" i="48" s="1"/>
  <c r="I490" i="48"/>
  <c r="L490" i="48" s="1"/>
  <c r="I491" i="48"/>
  <c r="L491" i="48" s="1"/>
  <c r="I492" i="48"/>
  <c r="L492" i="48" s="1"/>
  <c r="I493" i="48"/>
  <c r="L493" i="48" s="1"/>
  <c r="I494" i="48"/>
  <c r="L494" i="48" s="1"/>
  <c r="I495" i="48"/>
  <c r="L495" i="48" s="1"/>
  <c r="I496" i="48"/>
  <c r="L496" i="48" s="1"/>
  <c r="I497" i="48"/>
  <c r="L497" i="48" s="1"/>
  <c r="I498" i="48"/>
  <c r="L498" i="48" s="1"/>
  <c r="I499" i="48"/>
  <c r="L499" i="48" s="1"/>
  <c r="I500" i="48"/>
  <c r="L500" i="48" s="1"/>
  <c r="I501" i="48"/>
  <c r="L501" i="48" s="1"/>
  <c r="I502" i="48"/>
  <c r="L502" i="48" s="1"/>
  <c r="I503" i="48"/>
  <c r="L503" i="48" s="1"/>
  <c r="I504" i="48"/>
  <c r="L504" i="48" s="1"/>
  <c r="I505" i="48"/>
  <c r="L505" i="48" s="1"/>
  <c r="I506" i="48"/>
  <c r="L506" i="48" s="1"/>
  <c r="I507" i="48"/>
  <c r="L507" i="48" s="1"/>
  <c r="I508" i="48"/>
  <c r="L508" i="48" s="1"/>
  <c r="I509" i="48"/>
  <c r="L509" i="48" s="1"/>
  <c r="I510" i="48"/>
  <c r="L510" i="48" s="1"/>
  <c r="I511" i="48"/>
  <c r="L511" i="48" s="1"/>
  <c r="I512" i="48"/>
  <c r="L512" i="48" s="1"/>
  <c r="I513" i="48"/>
  <c r="L513" i="48" s="1"/>
  <c r="I514" i="48"/>
  <c r="L514" i="48" s="1"/>
  <c r="I515" i="48"/>
  <c r="L515" i="48" s="1"/>
  <c r="I516" i="48"/>
  <c r="L516" i="48" s="1"/>
  <c r="I517" i="48"/>
  <c r="L517" i="48" s="1"/>
  <c r="I518" i="48"/>
  <c r="L518" i="48" s="1"/>
  <c r="I519" i="48"/>
  <c r="L519" i="48" s="1"/>
  <c r="I520" i="48"/>
  <c r="L520" i="48" s="1"/>
  <c r="I521" i="48"/>
  <c r="L521" i="48" s="1"/>
  <c r="I522" i="48"/>
  <c r="L522" i="48" s="1"/>
  <c r="I523" i="48"/>
  <c r="L523" i="48" s="1"/>
  <c r="I524" i="48"/>
  <c r="L524" i="48" s="1"/>
  <c r="I525" i="48"/>
  <c r="L525" i="48" s="1"/>
  <c r="I526" i="48"/>
  <c r="L526" i="48" s="1"/>
  <c r="I527" i="48"/>
  <c r="L527" i="48" s="1"/>
  <c r="I528" i="48"/>
  <c r="L528" i="48" s="1"/>
  <c r="I529" i="48"/>
  <c r="L529" i="48" s="1"/>
  <c r="I530" i="48"/>
  <c r="L530" i="48" s="1"/>
  <c r="I531" i="48"/>
  <c r="L531" i="48" s="1"/>
  <c r="I532" i="48"/>
  <c r="L532" i="48" s="1"/>
  <c r="I533" i="48"/>
  <c r="L533" i="48" s="1"/>
  <c r="I534" i="48"/>
  <c r="L534" i="48" s="1"/>
  <c r="I535" i="48"/>
  <c r="L535" i="48" s="1"/>
  <c r="I536" i="48"/>
  <c r="L536" i="48" s="1"/>
  <c r="I537" i="48"/>
  <c r="L537" i="48" s="1"/>
  <c r="I538" i="48"/>
  <c r="L538" i="48" s="1"/>
  <c r="I539" i="48"/>
  <c r="L539" i="48" s="1"/>
  <c r="I540" i="48"/>
  <c r="L540" i="48" s="1"/>
  <c r="I541" i="48"/>
  <c r="L541" i="48" s="1"/>
  <c r="I542" i="48"/>
  <c r="L542" i="48" s="1"/>
  <c r="I543" i="48"/>
  <c r="L543" i="48" s="1"/>
  <c r="I544" i="48"/>
  <c r="L544" i="48" s="1"/>
  <c r="I545" i="48"/>
  <c r="L545" i="48" s="1"/>
  <c r="I546" i="48"/>
  <c r="L546" i="48" s="1"/>
  <c r="I547" i="48"/>
  <c r="L547" i="48" s="1"/>
  <c r="I548" i="48"/>
  <c r="L548" i="48" s="1"/>
  <c r="I549" i="48"/>
  <c r="L549" i="48" s="1"/>
  <c r="I550" i="48"/>
  <c r="L550" i="48" s="1"/>
  <c r="I551" i="48"/>
  <c r="L551" i="48" s="1"/>
  <c r="I552" i="48"/>
  <c r="L552" i="48" s="1"/>
  <c r="I553" i="48"/>
  <c r="L553" i="48" s="1"/>
  <c r="I554" i="48"/>
  <c r="L554" i="48" s="1"/>
  <c r="I555" i="48"/>
  <c r="L555" i="48" s="1"/>
  <c r="I556" i="48"/>
  <c r="L556" i="48" s="1"/>
  <c r="I557" i="48"/>
  <c r="L557" i="48" s="1"/>
  <c r="I558" i="48"/>
  <c r="L558" i="48" s="1"/>
  <c r="I559" i="48"/>
  <c r="L559" i="48" s="1"/>
  <c r="I560" i="48"/>
  <c r="L560" i="48" s="1"/>
  <c r="I561" i="48"/>
  <c r="L561" i="48" s="1"/>
  <c r="I562" i="48"/>
  <c r="L562" i="48" s="1"/>
  <c r="I563" i="48"/>
  <c r="L563" i="48" s="1"/>
  <c r="I564" i="48"/>
  <c r="L564" i="48" s="1"/>
  <c r="I565" i="48"/>
  <c r="L565" i="48" s="1"/>
  <c r="I566" i="48"/>
  <c r="L566" i="48" s="1"/>
  <c r="I567" i="48"/>
  <c r="L567" i="48" s="1"/>
  <c r="I568" i="48"/>
  <c r="L568" i="48" s="1"/>
  <c r="I569" i="48"/>
  <c r="L569" i="48" s="1"/>
  <c r="I570" i="48"/>
  <c r="L570" i="48" s="1"/>
  <c r="I571" i="48"/>
  <c r="L571" i="48" s="1"/>
  <c r="I572" i="48"/>
  <c r="L572" i="48" s="1"/>
  <c r="I573" i="48"/>
  <c r="L573" i="48" s="1"/>
  <c r="I574" i="48"/>
  <c r="L574" i="48" s="1"/>
  <c r="I575" i="48"/>
  <c r="L575" i="48" s="1"/>
  <c r="I576" i="48"/>
  <c r="L576" i="48" s="1"/>
  <c r="I577" i="48"/>
  <c r="L577" i="48" s="1"/>
  <c r="I578" i="48"/>
  <c r="L578" i="48" s="1"/>
  <c r="I579" i="48"/>
  <c r="L579" i="48" s="1"/>
  <c r="I580" i="48"/>
  <c r="L580" i="48" s="1"/>
  <c r="I581" i="48"/>
  <c r="L581" i="48" s="1"/>
  <c r="I582" i="48"/>
  <c r="L582" i="48" s="1"/>
  <c r="I583" i="48"/>
  <c r="L583" i="48" s="1"/>
  <c r="I584" i="48"/>
  <c r="L584" i="48" s="1"/>
  <c r="I585" i="48"/>
  <c r="L585" i="48" s="1"/>
  <c r="I586" i="48"/>
  <c r="L586" i="48" s="1"/>
  <c r="I587" i="48"/>
  <c r="L587" i="48" s="1"/>
  <c r="I588" i="48"/>
  <c r="L588" i="48" s="1"/>
  <c r="I589" i="48"/>
  <c r="L589" i="48" s="1"/>
  <c r="I590" i="48"/>
  <c r="L590" i="48" s="1"/>
  <c r="I591" i="48"/>
  <c r="L591" i="48" s="1"/>
  <c r="I592" i="48"/>
  <c r="L592" i="48" s="1"/>
  <c r="I593" i="48"/>
  <c r="L593" i="48" s="1"/>
  <c r="I594" i="48"/>
  <c r="L594" i="48" s="1"/>
  <c r="I595" i="48"/>
  <c r="L595" i="48" s="1"/>
  <c r="I596" i="48"/>
  <c r="L596" i="48" s="1"/>
  <c r="I597" i="48"/>
  <c r="L597" i="48" s="1"/>
  <c r="I598" i="48"/>
  <c r="L598" i="48" s="1"/>
  <c r="I599" i="48"/>
  <c r="L599" i="48" s="1"/>
  <c r="I600" i="48"/>
  <c r="L600" i="48" s="1"/>
  <c r="I601" i="48"/>
  <c r="L601" i="48" s="1"/>
  <c r="I602" i="48"/>
  <c r="L602" i="48" s="1"/>
  <c r="I603" i="48"/>
  <c r="L603" i="48" s="1"/>
  <c r="I604" i="48"/>
  <c r="L604" i="48" s="1"/>
  <c r="I605" i="48"/>
  <c r="L605" i="48" s="1"/>
  <c r="I606" i="48"/>
  <c r="L606" i="48" s="1"/>
  <c r="I607" i="48"/>
  <c r="L607" i="48" s="1"/>
  <c r="I608" i="48"/>
  <c r="L608" i="48" s="1"/>
  <c r="I609" i="48"/>
  <c r="L609" i="48" s="1"/>
  <c r="I610" i="48"/>
  <c r="L610" i="48" s="1"/>
  <c r="I611" i="48"/>
  <c r="L611" i="48" s="1"/>
  <c r="I612" i="48"/>
  <c r="L612" i="48" s="1"/>
  <c r="I613" i="48"/>
  <c r="L613" i="48" s="1"/>
  <c r="I614" i="48"/>
  <c r="L614" i="48" s="1"/>
  <c r="I615" i="48"/>
  <c r="L615" i="48" s="1"/>
  <c r="I616" i="48"/>
  <c r="L616" i="48" s="1"/>
  <c r="I617" i="48"/>
  <c r="L617" i="48" s="1"/>
  <c r="I618" i="48"/>
  <c r="L618" i="48" s="1"/>
  <c r="I619" i="48"/>
  <c r="L619" i="48" s="1"/>
  <c r="I620" i="48"/>
  <c r="L620" i="48" s="1"/>
  <c r="I621" i="48"/>
  <c r="L621" i="48" s="1"/>
  <c r="I622" i="48"/>
  <c r="L622" i="48" s="1"/>
  <c r="I623" i="48"/>
  <c r="L623" i="48" s="1"/>
  <c r="I624" i="48"/>
  <c r="L624" i="48" s="1"/>
  <c r="I625" i="48"/>
  <c r="L625" i="48" s="1"/>
  <c r="I626" i="48"/>
  <c r="L626" i="48" s="1"/>
  <c r="I627" i="48"/>
  <c r="L627" i="48" s="1"/>
  <c r="I628" i="48"/>
  <c r="L628" i="48" s="1"/>
  <c r="I629" i="48"/>
  <c r="L629" i="48" s="1"/>
  <c r="I630" i="48"/>
  <c r="L630" i="48" s="1"/>
  <c r="I631" i="48"/>
  <c r="L631" i="48" s="1"/>
  <c r="I632" i="48"/>
  <c r="L632" i="48" s="1"/>
  <c r="I633" i="48"/>
  <c r="L633" i="48" s="1"/>
  <c r="I634" i="48"/>
  <c r="L634" i="48" s="1"/>
  <c r="I635" i="48"/>
  <c r="L635" i="48" s="1"/>
  <c r="I636" i="48"/>
  <c r="L636" i="48" s="1"/>
  <c r="I637" i="48"/>
  <c r="L637" i="48" s="1"/>
  <c r="I638" i="48"/>
  <c r="L638" i="48" s="1"/>
  <c r="I639" i="48"/>
  <c r="L639" i="48" s="1"/>
  <c r="I640" i="48"/>
  <c r="L640" i="48" s="1"/>
  <c r="I641" i="48"/>
  <c r="L641" i="48" s="1"/>
  <c r="I642" i="48"/>
  <c r="L642" i="48" s="1"/>
  <c r="I643" i="48"/>
  <c r="L643" i="48" s="1"/>
  <c r="I644" i="48"/>
  <c r="L644" i="48" s="1"/>
  <c r="I645" i="48"/>
  <c r="L645" i="48" s="1"/>
  <c r="I646" i="48"/>
  <c r="L646" i="48" s="1"/>
  <c r="I647" i="48"/>
  <c r="L647" i="48" s="1"/>
  <c r="I648" i="48"/>
  <c r="L648" i="48" s="1"/>
  <c r="I649" i="48"/>
  <c r="L649" i="48" s="1"/>
  <c r="I650" i="48"/>
  <c r="L650" i="48" s="1"/>
  <c r="I651" i="48"/>
  <c r="L651" i="48" s="1"/>
  <c r="I652" i="48"/>
  <c r="L652" i="48" s="1"/>
  <c r="I653" i="48"/>
  <c r="L653" i="48" s="1"/>
  <c r="I654" i="48"/>
  <c r="L654" i="48" s="1"/>
  <c r="I655" i="48"/>
  <c r="L655" i="48" s="1"/>
  <c r="I656" i="48"/>
  <c r="L656" i="48" s="1"/>
  <c r="I657" i="48"/>
  <c r="L657" i="48" s="1"/>
  <c r="I658" i="48"/>
  <c r="L658" i="48" s="1"/>
  <c r="I659" i="48"/>
  <c r="L659" i="48" s="1"/>
  <c r="I660" i="48"/>
  <c r="L660" i="48" s="1"/>
  <c r="I661" i="48"/>
  <c r="L661" i="48" s="1"/>
  <c r="I662" i="48"/>
  <c r="L662" i="48" s="1"/>
  <c r="I663" i="48"/>
  <c r="L663" i="48" s="1"/>
  <c r="I664" i="48"/>
  <c r="L664" i="48" s="1"/>
  <c r="I665" i="48"/>
  <c r="L665" i="48" s="1"/>
  <c r="I666" i="48"/>
  <c r="L666" i="48" s="1"/>
  <c r="I667" i="48"/>
  <c r="L667" i="48" s="1"/>
  <c r="I668" i="48"/>
  <c r="L668" i="48" s="1"/>
  <c r="I669" i="48"/>
  <c r="L669" i="48" s="1"/>
  <c r="I670" i="48"/>
  <c r="L670" i="48" s="1"/>
  <c r="I671" i="48"/>
  <c r="L671" i="48" s="1"/>
  <c r="I672" i="48"/>
  <c r="L672" i="48"/>
  <c r="I673" i="48"/>
  <c r="L673" i="48" s="1"/>
  <c r="I674" i="48"/>
  <c r="L674" i="48" s="1"/>
  <c r="I675" i="48"/>
  <c r="L675" i="48" s="1"/>
  <c r="I676" i="48"/>
  <c r="L676" i="48" s="1"/>
  <c r="I677" i="48"/>
  <c r="L677" i="48" s="1"/>
  <c r="I678" i="48"/>
  <c r="L678" i="48" s="1"/>
  <c r="I679" i="48"/>
  <c r="L679" i="48" s="1"/>
  <c r="I680" i="48"/>
  <c r="L680" i="48" s="1"/>
  <c r="I681" i="48"/>
  <c r="L681" i="48" s="1"/>
  <c r="I682" i="48"/>
  <c r="L682" i="48" s="1"/>
  <c r="I683" i="48"/>
  <c r="L683" i="48" s="1"/>
  <c r="I684" i="48"/>
  <c r="L684" i="48" s="1"/>
  <c r="I685" i="48"/>
  <c r="L685" i="48" s="1"/>
  <c r="I686" i="48"/>
  <c r="L686" i="48" s="1"/>
  <c r="I687" i="48"/>
  <c r="L687" i="48" s="1"/>
  <c r="I688" i="48"/>
  <c r="L688" i="48" s="1"/>
  <c r="I689" i="48"/>
  <c r="L689" i="48" s="1"/>
  <c r="I690" i="48"/>
  <c r="L690" i="48" s="1"/>
  <c r="I691" i="48"/>
  <c r="L691" i="48" s="1"/>
  <c r="I692" i="48"/>
  <c r="L692" i="48" s="1"/>
  <c r="I693" i="48"/>
  <c r="L693" i="48" s="1"/>
  <c r="I694" i="48"/>
  <c r="L694" i="48" s="1"/>
  <c r="I695" i="48"/>
  <c r="L695" i="48" s="1"/>
  <c r="I696" i="48"/>
  <c r="L696" i="48" s="1"/>
  <c r="I697" i="48"/>
  <c r="L697" i="48" s="1"/>
  <c r="I698" i="48"/>
  <c r="L698" i="48" s="1"/>
  <c r="I699" i="48"/>
  <c r="L699" i="48" s="1"/>
  <c r="I700" i="48"/>
  <c r="L700" i="48" s="1"/>
  <c r="I701" i="48"/>
  <c r="L701" i="48" s="1"/>
  <c r="I702" i="48"/>
  <c r="L702" i="48" s="1"/>
  <c r="I703" i="48"/>
  <c r="L703" i="48" s="1"/>
  <c r="I704" i="48"/>
  <c r="L704" i="48" s="1"/>
  <c r="I705" i="48"/>
  <c r="L705" i="48" s="1"/>
  <c r="I706" i="48"/>
  <c r="L706" i="48" s="1"/>
  <c r="I707" i="48"/>
  <c r="L707" i="48" s="1"/>
  <c r="I708" i="48"/>
  <c r="L708" i="48" s="1"/>
  <c r="I709" i="48"/>
  <c r="L709" i="48" s="1"/>
  <c r="I710" i="48"/>
  <c r="L710" i="48" s="1"/>
  <c r="I711" i="48"/>
  <c r="L711" i="48" s="1"/>
  <c r="I712" i="48"/>
  <c r="L712" i="48" s="1"/>
  <c r="I713" i="48"/>
  <c r="L713" i="48" s="1"/>
  <c r="I714" i="48"/>
  <c r="L714" i="48" s="1"/>
  <c r="I715" i="48"/>
  <c r="L715" i="48" s="1"/>
  <c r="I716" i="48"/>
  <c r="L716" i="48" s="1"/>
  <c r="I717" i="48"/>
  <c r="L717" i="48" s="1"/>
  <c r="I718" i="48"/>
  <c r="L718" i="48" s="1"/>
  <c r="I719" i="48"/>
  <c r="L719" i="48" s="1"/>
  <c r="I720" i="48"/>
  <c r="L720" i="48"/>
  <c r="I721" i="48"/>
  <c r="L721" i="48" s="1"/>
  <c r="I722" i="48"/>
  <c r="L722" i="48" s="1"/>
  <c r="I723" i="48"/>
  <c r="L723" i="48" s="1"/>
  <c r="I724" i="48"/>
  <c r="L724" i="48" s="1"/>
  <c r="I725" i="48"/>
  <c r="L725" i="48" s="1"/>
  <c r="I726" i="48"/>
  <c r="L726" i="48" s="1"/>
  <c r="I727" i="48"/>
  <c r="L727" i="48" s="1"/>
  <c r="I728" i="48"/>
  <c r="L728" i="48" s="1"/>
  <c r="I729" i="48"/>
  <c r="L729" i="48" s="1"/>
  <c r="I730" i="48"/>
  <c r="L730" i="48" s="1"/>
  <c r="I731" i="48"/>
  <c r="L731" i="48" s="1"/>
  <c r="I732" i="48"/>
  <c r="L732" i="48" s="1"/>
  <c r="I733" i="48"/>
  <c r="L733" i="48" s="1"/>
  <c r="I734" i="48"/>
  <c r="L734" i="48" s="1"/>
  <c r="I735" i="48"/>
  <c r="L735" i="48" s="1"/>
  <c r="I736" i="48"/>
  <c r="L736" i="48" s="1"/>
  <c r="I737" i="48"/>
  <c r="L737" i="48" s="1"/>
  <c r="I738" i="48"/>
  <c r="L738" i="48" s="1"/>
  <c r="I739" i="48"/>
  <c r="L739" i="48" s="1"/>
  <c r="I740" i="48"/>
  <c r="L740" i="48" s="1"/>
  <c r="I741" i="48"/>
  <c r="L741" i="48" s="1"/>
  <c r="I742" i="48"/>
  <c r="L742" i="48" s="1"/>
  <c r="I743" i="48"/>
  <c r="L743" i="48" s="1"/>
  <c r="I744" i="48"/>
  <c r="L744" i="48" s="1"/>
  <c r="I745" i="48"/>
  <c r="L745" i="48" s="1"/>
  <c r="I746" i="48"/>
  <c r="L746" i="48" s="1"/>
  <c r="I747" i="48"/>
  <c r="L747" i="48" s="1"/>
  <c r="I748" i="48"/>
  <c r="L748" i="48" s="1"/>
  <c r="I749" i="48"/>
  <c r="L749" i="48" s="1"/>
  <c r="I750" i="48"/>
  <c r="L750" i="48" s="1"/>
  <c r="I751" i="48"/>
  <c r="L751" i="48" s="1"/>
  <c r="I752" i="48"/>
  <c r="L752" i="48" s="1"/>
  <c r="I753" i="48"/>
  <c r="L753" i="48" s="1"/>
  <c r="I754" i="48"/>
  <c r="L754" i="48" s="1"/>
  <c r="I755" i="48"/>
  <c r="L755" i="48" s="1"/>
  <c r="I756" i="48"/>
  <c r="L756" i="48" s="1"/>
  <c r="I757" i="48"/>
  <c r="L757" i="48" s="1"/>
  <c r="I758" i="48"/>
  <c r="L758" i="48" s="1"/>
  <c r="I759" i="48"/>
  <c r="L759" i="48" s="1"/>
  <c r="I760" i="48"/>
  <c r="L760" i="48" s="1"/>
  <c r="I761" i="48"/>
  <c r="L761" i="48" s="1"/>
  <c r="I762" i="48"/>
  <c r="L762" i="48" s="1"/>
  <c r="I763" i="48"/>
  <c r="L763" i="48" s="1"/>
  <c r="I764" i="48"/>
  <c r="L764" i="48" s="1"/>
  <c r="I765" i="48"/>
  <c r="L765" i="48" s="1"/>
  <c r="I766" i="48"/>
  <c r="L766" i="48" s="1"/>
  <c r="I767" i="48"/>
  <c r="L767" i="48" s="1"/>
  <c r="I768" i="48"/>
  <c r="L768" i="48" s="1"/>
  <c r="I769" i="48"/>
  <c r="L769" i="48" s="1"/>
  <c r="I770" i="48"/>
  <c r="L770" i="48" s="1"/>
  <c r="I771" i="48"/>
  <c r="L771" i="48" s="1"/>
  <c r="I772" i="48"/>
  <c r="L772" i="48" s="1"/>
  <c r="I773" i="48"/>
  <c r="L773" i="48" s="1"/>
  <c r="I774" i="48"/>
  <c r="L774" i="48" s="1"/>
  <c r="I775" i="48"/>
  <c r="L775" i="48" s="1"/>
  <c r="I776" i="48"/>
  <c r="L776" i="48" s="1"/>
  <c r="I777" i="48"/>
  <c r="L777" i="48" s="1"/>
  <c r="I778" i="48"/>
  <c r="L778" i="48" s="1"/>
  <c r="I779" i="48"/>
  <c r="L779" i="48" s="1"/>
  <c r="I780" i="48"/>
  <c r="L780" i="48" s="1"/>
  <c r="I781" i="48"/>
  <c r="L781" i="48" s="1"/>
  <c r="I782" i="48"/>
  <c r="L782" i="48" s="1"/>
  <c r="I783" i="48"/>
  <c r="L783" i="48" s="1"/>
  <c r="I784" i="48"/>
  <c r="L784" i="48" s="1"/>
  <c r="I785" i="48"/>
  <c r="L785" i="48" s="1"/>
  <c r="I786" i="48"/>
  <c r="L786" i="48" s="1"/>
  <c r="I787" i="48"/>
  <c r="L787" i="48" s="1"/>
  <c r="I788" i="48"/>
  <c r="L788" i="48" s="1"/>
  <c r="I789" i="48"/>
  <c r="L789" i="48" s="1"/>
  <c r="I790" i="48"/>
  <c r="L790" i="48" s="1"/>
  <c r="I791" i="48"/>
  <c r="L791" i="48" s="1"/>
  <c r="I792" i="48"/>
  <c r="L792" i="48" s="1"/>
  <c r="I793" i="48"/>
  <c r="L793" i="48" s="1"/>
  <c r="I794" i="48"/>
  <c r="L794" i="48" s="1"/>
  <c r="I795" i="48"/>
  <c r="L795" i="48" s="1"/>
  <c r="I796" i="48"/>
  <c r="L796" i="48"/>
  <c r="I797" i="48"/>
  <c r="L797" i="48" s="1"/>
  <c r="I798" i="48"/>
  <c r="L798" i="48" s="1"/>
  <c r="I799" i="48"/>
  <c r="L799" i="48" s="1"/>
  <c r="I800" i="48"/>
  <c r="L800" i="48" s="1"/>
  <c r="I801" i="48"/>
  <c r="L801" i="48" s="1"/>
  <c r="I802" i="48"/>
  <c r="L802" i="48" s="1"/>
  <c r="I803" i="48"/>
  <c r="L803" i="48" s="1"/>
  <c r="I804" i="48"/>
  <c r="L804" i="48" s="1"/>
  <c r="I805" i="48"/>
  <c r="L805" i="48" s="1"/>
  <c r="I806" i="48"/>
  <c r="L806" i="48" s="1"/>
  <c r="I807" i="48"/>
  <c r="L807" i="48" s="1"/>
  <c r="I808" i="48"/>
  <c r="L808" i="48" s="1"/>
  <c r="I809" i="48"/>
  <c r="L809" i="48" s="1"/>
  <c r="I810" i="48"/>
  <c r="L810" i="48" s="1"/>
  <c r="I811" i="48"/>
  <c r="L811" i="48" s="1"/>
  <c r="I812" i="48"/>
  <c r="L812" i="48" s="1"/>
  <c r="I813" i="48"/>
  <c r="L813" i="48" s="1"/>
  <c r="I814" i="48"/>
  <c r="L814" i="48" s="1"/>
  <c r="I815" i="48"/>
  <c r="L815" i="48" s="1"/>
  <c r="I816" i="48"/>
  <c r="L816" i="48" s="1"/>
  <c r="I817" i="48"/>
  <c r="L817" i="48" s="1"/>
  <c r="I818" i="48"/>
  <c r="L818" i="48" s="1"/>
  <c r="I819" i="48"/>
  <c r="L819" i="48" s="1"/>
  <c r="I820" i="48"/>
  <c r="L820" i="48" s="1"/>
  <c r="I821" i="48"/>
  <c r="L821" i="48" s="1"/>
  <c r="I822" i="48"/>
  <c r="L822" i="48" s="1"/>
  <c r="I823" i="48"/>
  <c r="L823" i="48" s="1"/>
  <c r="I824" i="48"/>
  <c r="L824" i="48" s="1"/>
  <c r="I825" i="48"/>
  <c r="L825" i="48" s="1"/>
  <c r="I826" i="48"/>
  <c r="L826" i="48" s="1"/>
  <c r="I827" i="48"/>
  <c r="L827" i="48" s="1"/>
  <c r="I828" i="48"/>
  <c r="L828" i="48" s="1"/>
  <c r="I829" i="48"/>
  <c r="L829" i="48" s="1"/>
  <c r="I830" i="48"/>
  <c r="L830" i="48" s="1"/>
  <c r="I831" i="48"/>
  <c r="L831" i="48" s="1"/>
  <c r="I832" i="48"/>
  <c r="L832" i="48" s="1"/>
  <c r="I833" i="48"/>
  <c r="L833" i="48" s="1"/>
  <c r="I834" i="48"/>
  <c r="L834" i="48" s="1"/>
  <c r="I835" i="48"/>
  <c r="L835" i="48" s="1"/>
  <c r="I836" i="48"/>
  <c r="L836" i="48" s="1"/>
  <c r="I837" i="48"/>
  <c r="L837" i="48" s="1"/>
  <c r="I838" i="48"/>
  <c r="L838" i="48" s="1"/>
  <c r="I839" i="48"/>
  <c r="L839" i="48" s="1"/>
  <c r="I840" i="48"/>
  <c r="L840" i="48" s="1"/>
  <c r="I841" i="48"/>
  <c r="L841" i="48" s="1"/>
  <c r="I842" i="48"/>
  <c r="L842" i="48" s="1"/>
  <c r="I843" i="48"/>
  <c r="L843" i="48" s="1"/>
  <c r="I844" i="48"/>
  <c r="L844" i="48" s="1"/>
  <c r="I845" i="48"/>
  <c r="L845" i="48" s="1"/>
  <c r="I846" i="48"/>
  <c r="L846" i="48" s="1"/>
  <c r="I847" i="48"/>
  <c r="L847" i="48" s="1"/>
  <c r="I848" i="48"/>
  <c r="L848" i="48" s="1"/>
  <c r="I849" i="48"/>
  <c r="L849" i="48" s="1"/>
  <c r="I850" i="48"/>
  <c r="L850" i="48" s="1"/>
  <c r="I851" i="48"/>
  <c r="L851" i="48" s="1"/>
  <c r="I852" i="48"/>
  <c r="L852" i="48" s="1"/>
  <c r="I853" i="48"/>
  <c r="L853" i="48" s="1"/>
  <c r="I854" i="48"/>
  <c r="L854" i="48" s="1"/>
  <c r="I855" i="48"/>
  <c r="L855" i="48" s="1"/>
  <c r="I856" i="48"/>
  <c r="L856" i="48" s="1"/>
  <c r="I857" i="48"/>
  <c r="L857" i="48" s="1"/>
  <c r="I858" i="48"/>
  <c r="L858" i="48" s="1"/>
  <c r="I859" i="48"/>
  <c r="L859" i="48" s="1"/>
  <c r="I860" i="48"/>
  <c r="L860" i="48" s="1"/>
  <c r="I861" i="48"/>
  <c r="L861" i="48" s="1"/>
  <c r="I862" i="48"/>
  <c r="L862" i="48" s="1"/>
  <c r="I863" i="48"/>
  <c r="L863" i="48" s="1"/>
  <c r="I864" i="48"/>
  <c r="L864" i="48" s="1"/>
  <c r="I865" i="48"/>
  <c r="L865" i="48" s="1"/>
  <c r="I866" i="48"/>
  <c r="L866" i="48" s="1"/>
  <c r="I867" i="48"/>
  <c r="L867" i="48" s="1"/>
  <c r="I868" i="48"/>
  <c r="L868" i="48" s="1"/>
  <c r="I869" i="48"/>
  <c r="L869" i="48" s="1"/>
  <c r="I870" i="48"/>
  <c r="L870" i="48" s="1"/>
  <c r="I871" i="48"/>
  <c r="L871" i="48" s="1"/>
  <c r="I872" i="48"/>
  <c r="L872" i="48" s="1"/>
  <c r="I873" i="48"/>
  <c r="L873" i="48" s="1"/>
  <c r="I874" i="48"/>
  <c r="L874" i="48" s="1"/>
  <c r="I875" i="48"/>
  <c r="L875" i="48" s="1"/>
  <c r="I876" i="48"/>
  <c r="L876" i="48" s="1"/>
  <c r="I877" i="48"/>
  <c r="L877" i="48" s="1"/>
  <c r="I878" i="48"/>
  <c r="L878" i="48" s="1"/>
  <c r="I879" i="48"/>
  <c r="L879" i="48" s="1"/>
  <c r="I880" i="48"/>
  <c r="L880" i="48" s="1"/>
  <c r="I881" i="48"/>
  <c r="L881" i="48" s="1"/>
  <c r="I882" i="48"/>
  <c r="L882" i="48" s="1"/>
  <c r="I883" i="48"/>
  <c r="L883" i="48" s="1"/>
  <c r="I884" i="48"/>
  <c r="L884" i="48" s="1"/>
  <c r="I885" i="48"/>
  <c r="L885" i="48" s="1"/>
  <c r="I886" i="48"/>
  <c r="L886" i="48" s="1"/>
  <c r="I887" i="48"/>
  <c r="L887" i="48" s="1"/>
  <c r="I888" i="48"/>
  <c r="L888" i="48" s="1"/>
  <c r="I889" i="48"/>
  <c r="L889" i="48" s="1"/>
  <c r="I890" i="48"/>
  <c r="L890" i="48" s="1"/>
  <c r="I891" i="48"/>
  <c r="L891" i="48" s="1"/>
  <c r="I892" i="48"/>
  <c r="L892" i="48" s="1"/>
  <c r="I893" i="48"/>
  <c r="L893" i="48" s="1"/>
  <c r="I894" i="48"/>
  <c r="L894" i="48" s="1"/>
  <c r="I895" i="48"/>
  <c r="L895" i="48" s="1"/>
  <c r="I896" i="48"/>
  <c r="L896" i="48" s="1"/>
  <c r="I897" i="48"/>
  <c r="L897" i="48" s="1"/>
  <c r="I898" i="48"/>
  <c r="L898" i="48" s="1"/>
  <c r="I899" i="48"/>
  <c r="L899" i="48" s="1"/>
  <c r="I900" i="48"/>
  <c r="L900" i="48" s="1"/>
  <c r="I901" i="48"/>
  <c r="L901" i="48" s="1"/>
  <c r="I902" i="48"/>
  <c r="L902" i="48" s="1"/>
  <c r="I903" i="48"/>
  <c r="L903" i="48" s="1"/>
  <c r="I904" i="48"/>
  <c r="L904" i="48" s="1"/>
  <c r="I905" i="48"/>
  <c r="L905" i="48" s="1"/>
  <c r="I906" i="48"/>
  <c r="L906" i="48" s="1"/>
  <c r="I907" i="48"/>
  <c r="L907" i="48" s="1"/>
  <c r="I908" i="48"/>
  <c r="L908" i="48" s="1"/>
  <c r="I909" i="48"/>
  <c r="L909" i="48" s="1"/>
  <c r="I910" i="48"/>
  <c r="L910" i="48" s="1"/>
  <c r="I911" i="48"/>
  <c r="L911" i="48" s="1"/>
  <c r="I912" i="48"/>
  <c r="L912" i="48" s="1"/>
  <c r="I913" i="48"/>
  <c r="L913" i="48" s="1"/>
  <c r="I914" i="48"/>
  <c r="L914" i="48" s="1"/>
  <c r="I915" i="48"/>
  <c r="L915" i="48" s="1"/>
  <c r="I916" i="48"/>
  <c r="L916" i="48" s="1"/>
  <c r="I917" i="48"/>
  <c r="L917" i="48" s="1"/>
  <c r="I918" i="48"/>
  <c r="L918" i="48" s="1"/>
  <c r="I919" i="48"/>
  <c r="L919" i="48" s="1"/>
  <c r="I920" i="48"/>
  <c r="L920" i="48" s="1"/>
  <c r="I921" i="48"/>
  <c r="L921" i="48" s="1"/>
  <c r="I922" i="48"/>
  <c r="L922" i="48" s="1"/>
  <c r="I923" i="48"/>
  <c r="L923" i="48" s="1"/>
  <c r="I924" i="48"/>
  <c r="L924" i="48" s="1"/>
  <c r="I925" i="48"/>
  <c r="L925" i="48" s="1"/>
  <c r="I926" i="48"/>
  <c r="L926" i="48" s="1"/>
  <c r="I927" i="48"/>
  <c r="L927" i="48" s="1"/>
  <c r="I928" i="48"/>
  <c r="L928" i="48" s="1"/>
  <c r="I929" i="48"/>
  <c r="L929" i="48" s="1"/>
  <c r="I930" i="48"/>
  <c r="L930" i="48" s="1"/>
  <c r="I931" i="48"/>
  <c r="L931" i="48" s="1"/>
  <c r="I932" i="48"/>
  <c r="L932" i="48" s="1"/>
  <c r="I933" i="48"/>
  <c r="L933" i="48" s="1"/>
  <c r="I934" i="48"/>
  <c r="L934" i="48" s="1"/>
  <c r="I935" i="48"/>
  <c r="L935" i="48" s="1"/>
  <c r="I936" i="48"/>
  <c r="L936" i="48" s="1"/>
  <c r="I937" i="48"/>
  <c r="L937" i="48" s="1"/>
  <c r="I938" i="48"/>
  <c r="L938" i="48" s="1"/>
  <c r="I939" i="48"/>
  <c r="L939" i="48" s="1"/>
  <c r="I940" i="48"/>
  <c r="L940" i="48" s="1"/>
  <c r="I941" i="48"/>
  <c r="L941" i="48" s="1"/>
  <c r="I942" i="48"/>
  <c r="L942" i="48" s="1"/>
  <c r="I943" i="48"/>
  <c r="L943" i="48" s="1"/>
  <c r="I944" i="48"/>
  <c r="L944" i="48" s="1"/>
  <c r="I945" i="48"/>
  <c r="L945" i="48" s="1"/>
  <c r="I946" i="48"/>
  <c r="L946" i="48" s="1"/>
  <c r="I947" i="48"/>
  <c r="L947" i="48" s="1"/>
  <c r="I948" i="48"/>
  <c r="L948" i="48" s="1"/>
  <c r="I949" i="48"/>
  <c r="L949" i="48" s="1"/>
  <c r="I950" i="48"/>
  <c r="L950" i="48" s="1"/>
  <c r="I951" i="48"/>
  <c r="L951" i="48" s="1"/>
  <c r="I952" i="48"/>
  <c r="L952" i="48" s="1"/>
  <c r="I953" i="48"/>
  <c r="L953" i="48"/>
  <c r="I954" i="48"/>
  <c r="L954" i="48" s="1"/>
  <c r="I955" i="48"/>
  <c r="L955" i="48" s="1"/>
  <c r="I956" i="48"/>
  <c r="L956" i="48" s="1"/>
  <c r="I957" i="48"/>
  <c r="L957" i="48" s="1"/>
  <c r="I958" i="48"/>
  <c r="L958" i="48" s="1"/>
  <c r="I959" i="48"/>
  <c r="L959" i="48" s="1"/>
  <c r="I960" i="48"/>
  <c r="L960" i="48" s="1"/>
  <c r="I961" i="48"/>
  <c r="L961" i="48" s="1"/>
  <c r="I962" i="48"/>
  <c r="L962" i="48" s="1"/>
  <c r="I963" i="48"/>
  <c r="L963" i="48" s="1"/>
  <c r="I964" i="48"/>
  <c r="L964" i="48" s="1"/>
  <c r="I965" i="48"/>
  <c r="L965" i="48" s="1"/>
  <c r="I966" i="48"/>
  <c r="L966" i="48" s="1"/>
  <c r="I967" i="48"/>
  <c r="L967" i="48" s="1"/>
  <c r="I968" i="48"/>
  <c r="L968" i="48" s="1"/>
  <c r="I969" i="48"/>
  <c r="L969" i="48" s="1"/>
  <c r="I970" i="48"/>
  <c r="L970" i="48" s="1"/>
  <c r="I971" i="48"/>
  <c r="L971" i="48" s="1"/>
  <c r="I972" i="48"/>
  <c r="L972" i="48" s="1"/>
  <c r="I973" i="48"/>
  <c r="L973" i="48" s="1"/>
  <c r="I974" i="48"/>
  <c r="L974" i="48" s="1"/>
  <c r="I975" i="48"/>
  <c r="L975" i="48" s="1"/>
  <c r="I976" i="48"/>
  <c r="L976" i="48" s="1"/>
  <c r="I977" i="48"/>
  <c r="L977" i="48" s="1"/>
  <c r="I978" i="48"/>
  <c r="L978" i="48" s="1"/>
  <c r="I979" i="48"/>
  <c r="L979" i="48" s="1"/>
  <c r="I980" i="48"/>
  <c r="L980" i="48" s="1"/>
  <c r="I981" i="48"/>
  <c r="L981" i="48" s="1"/>
  <c r="I982" i="48"/>
  <c r="L982" i="48" s="1"/>
  <c r="I983" i="48"/>
  <c r="L983" i="48" s="1"/>
  <c r="I984" i="48"/>
  <c r="L984" i="48" s="1"/>
  <c r="I985" i="48"/>
  <c r="L985" i="48" s="1"/>
  <c r="I986" i="48"/>
  <c r="L986" i="48" s="1"/>
  <c r="I987" i="48"/>
  <c r="L987" i="48" s="1"/>
  <c r="I988" i="48"/>
  <c r="L988" i="48" s="1"/>
  <c r="I989" i="48"/>
  <c r="L989" i="48" s="1"/>
  <c r="I990" i="48"/>
  <c r="L990" i="48" s="1"/>
  <c r="I991" i="48"/>
  <c r="L991" i="48" s="1"/>
  <c r="I992" i="48"/>
  <c r="L992" i="48" s="1"/>
  <c r="I993" i="48"/>
  <c r="L993" i="48" s="1"/>
  <c r="I994" i="48"/>
  <c r="L994" i="48" s="1"/>
  <c r="I995" i="48"/>
  <c r="L995" i="48" s="1"/>
  <c r="I996" i="48"/>
  <c r="L996" i="48" s="1"/>
  <c r="I997" i="48"/>
  <c r="L997" i="48" s="1"/>
  <c r="I998" i="48"/>
  <c r="L998" i="48" s="1"/>
  <c r="I999" i="48"/>
  <c r="L999" i="48" s="1"/>
  <c r="I1000" i="48"/>
  <c r="L1000" i="48" s="1"/>
  <c r="I1001" i="48"/>
  <c r="L1001" i="48" s="1"/>
  <c r="I1002" i="48"/>
  <c r="L1002" i="48" s="1"/>
  <c r="I1003" i="48"/>
  <c r="L1003" i="48" s="1"/>
  <c r="I1004" i="48"/>
  <c r="L1004" i="48" s="1"/>
  <c r="I1005" i="48"/>
  <c r="L1005" i="48" s="1"/>
  <c r="I1006" i="48"/>
  <c r="L1006" i="48" s="1"/>
  <c r="I1007" i="48"/>
  <c r="L1007" i="48" s="1"/>
  <c r="I1008" i="48"/>
  <c r="L1008" i="48" s="1"/>
  <c r="I1009" i="48"/>
  <c r="L1009" i="48" s="1"/>
  <c r="I1010" i="48"/>
  <c r="L1010" i="48" s="1"/>
  <c r="I1011" i="48"/>
  <c r="L1011" i="48" s="1"/>
  <c r="I1012" i="48"/>
  <c r="L1012" i="48" s="1"/>
  <c r="I1013" i="48"/>
  <c r="L1013" i="48" s="1"/>
  <c r="I1014" i="48"/>
  <c r="L1014" i="48" s="1"/>
  <c r="I1015" i="48"/>
  <c r="L1015" i="48" s="1"/>
  <c r="I1016" i="48"/>
  <c r="L1016" i="48" s="1"/>
  <c r="I1017" i="48"/>
  <c r="L1017" i="48" s="1"/>
  <c r="I1018" i="48"/>
  <c r="L1018" i="48" s="1"/>
  <c r="I1019" i="48"/>
  <c r="L1019" i="48" s="1"/>
  <c r="I1020" i="48"/>
  <c r="L1020" i="48" s="1"/>
  <c r="I1021" i="48"/>
  <c r="L1021" i="48" s="1"/>
  <c r="I1022" i="48"/>
  <c r="L1022" i="48" s="1"/>
  <c r="I1023" i="48"/>
  <c r="L1023" i="48" s="1"/>
  <c r="I1024" i="48"/>
  <c r="L1024" i="48" s="1"/>
  <c r="I1025" i="48"/>
  <c r="L1025" i="48" s="1"/>
  <c r="I1026" i="48"/>
  <c r="L1026" i="48" s="1"/>
  <c r="I1027" i="48"/>
  <c r="L1027" i="48" s="1"/>
  <c r="I1028" i="48"/>
  <c r="L1028" i="48" s="1"/>
  <c r="I1029" i="48"/>
  <c r="L1029" i="48" s="1"/>
  <c r="I1030" i="48"/>
  <c r="L1030" i="48" s="1"/>
  <c r="I1031" i="48"/>
  <c r="L1031" i="48" s="1"/>
  <c r="I11" i="48"/>
  <c r="L11" i="48" s="1"/>
  <c r="M11" i="48" s="1"/>
  <c r="M12" i="48" s="1"/>
  <c r="M13" i="48" s="1"/>
  <c r="M14" i="48" s="1"/>
  <c r="M15" i="48" s="1"/>
  <c r="M16" i="48" s="1"/>
  <c r="M17" i="48" s="1"/>
  <c r="M18" i="48" s="1"/>
  <c r="M19" i="48" s="1"/>
  <c r="M20" i="48" s="1"/>
  <c r="M21" i="48" s="1"/>
  <c r="M22" i="48" s="1"/>
  <c r="M23" i="48" s="1"/>
  <c r="M24" i="48" s="1"/>
  <c r="M25" i="48" s="1"/>
  <c r="M26" i="48" s="1"/>
  <c r="M27" i="48" s="1"/>
  <c r="M28" i="48" s="1"/>
  <c r="M29" i="48" s="1"/>
  <c r="M30" i="48" s="1"/>
  <c r="M31" i="48" s="1"/>
  <c r="M32" i="48" s="1"/>
  <c r="M33" i="48" s="1"/>
  <c r="M34" i="48" s="1"/>
  <c r="M35" i="48" s="1"/>
  <c r="M36" i="48" s="1"/>
  <c r="M37" i="48" s="1"/>
  <c r="M38" i="48" s="1"/>
  <c r="M39" i="48" s="1"/>
  <c r="M40" i="48" s="1"/>
  <c r="M41" i="48" s="1"/>
  <c r="M42" i="48" s="1"/>
  <c r="M43" i="48" s="1"/>
  <c r="M44" i="48" s="1"/>
  <c r="M45" i="48" s="1"/>
  <c r="M46" i="48" s="1"/>
  <c r="M47" i="48" s="1"/>
  <c r="M48" i="48" s="1"/>
  <c r="M49" i="48" s="1"/>
  <c r="M50" i="48" s="1"/>
  <c r="M51" i="48" s="1"/>
  <c r="M52" i="48" s="1"/>
  <c r="M53" i="48" s="1"/>
  <c r="M54" i="48" s="1"/>
  <c r="M55" i="48" s="1"/>
  <c r="M56" i="48" s="1"/>
  <c r="M57" i="48" s="1"/>
  <c r="M58" i="48" s="1"/>
  <c r="M59" i="48" s="1"/>
  <c r="M60" i="48" s="1"/>
  <c r="M61" i="48" s="1"/>
  <c r="M62" i="48" s="1"/>
  <c r="M63" i="48" s="1"/>
  <c r="M64" i="48" s="1"/>
  <c r="M65" i="48" s="1"/>
  <c r="M66" i="48" s="1"/>
  <c r="M67" i="48" s="1"/>
  <c r="M68" i="48" s="1"/>
  <c r="M69" i="48" s="1"/>
  <c r="M70" i="48" s="1"/>
  <c r="M71" i="48" s="1"/>
  <c r="M72" i="48" s="1"/>
  <c r="M73" i="48" s="1"/>
  <c r="F1002" i="48"/>
  <c r="F1003" i="48"/>
  <c r="F1004" i="48"/>
  <c r="F1005" i="48"/>
  <c r="F1006" i="48"/>
  <c r="F1007" i="48"/>
  <c r="F1008" i="48"/>
  <c r="F1009" i="48"/>
  <c r="F1010" i="48"/>
  <c r="F1011" i="48"/>
  <c r="F1012" i="48"/>
  <c r="F1013" i="48"/>
  <c r="F1014" i="48"/>
  <c r="F1015" i="48"/>
  <c r="F1016" i="48"/>
  <c r="F1017" i="48"/>
  <c r="F1018" i="48"/>
  <c r="F1019" i="48"/>
  <c r="F1020" i="48"/>
  <c r="F1021" i="48"/>
  <c r="F1022" i="48"/>
  <c r="F1023" i="48"/>
  <c r="F1024" i="48"/>
  <c r="F1025" i="48"/>
  <c r="F1026" i="48"/>
  <c r="F1027" i="48"/>
  <c r="F1028" i="48"/>
  <c r="F1029" i="48"/>
  <c r="F1030" i="48"/>
  <c r="F1031" i="48"/>
  <c r="F1032" i="48"/>
  <c r="F1033" i="48"/>
  <c r="F1034" i="48"/>
  <c r="F1035" i="48"/>
  <c r="F1036" i="48"/>
  <c r="F1037" i="48"/>
  <c r="F1038" i="48"/>
  <c r="F1039" i="48"/>
  <c r="F1040" i="48"/>
  <c r="F1041" i="48"/>
  <c r="F1042" i="48"/>
  <c r="F1043" i="48"/>
  <c r="F1044" i="48"/>
  <c r="F1045" i="48"/>
  <c r="F1046" i="48"/>
  <c r="F1047" i="48"/>
  <c r="F1048" i="48"/>
  <c r="F1049" i="48"/>
  <c r="F1050" i="48"/>
  <c r="F1051" i="48"/>
  <c r="F1052" i="48"/>
  <c r="F1053" i="48"/>
  <c r="F1054" i="48"/>
  <c r="F1055" i="48"/>
  <c r="F1056" i="48"/>
  <c r="F1057" i="48"/>
  <c r="F1058" i="48"/>
  <c r="F1059" i="48"/>
  <c r="F1060" i="48"/>
  <c r="F1061" i="48"/>
  <c r="F1062" i="48"/>
  <c r="F1063" i="48"/>
  <c r="F1064" i="48"/>
  <c r="F1065" i="48"/>
  <c r="F1066" i="48"/>
  <c r="F1067" i="48"/>
  <c r="F1068" i="48"/>
  <c r="F1069" i="48"/>
  <c r="F1070" i="48"/>
  <c r="F1071" i="48"/>
  <c r="F1072" i="48"/>
  <c r="F1073" i="48"/>
  <c r="F1074" i="48"/>
  <c r="F1075" i="48"/>
  <c r="F1076" i="48"/>
  <c r="F1077" i="48"/>
  <c r="F1078" i="48"/>
  <c r="F1079" i="48"/>
  <c r="F1080" i="48"/>
  <c r="F1081" i="48"/>
  <c r="F1082" i="48"/>
  <c r="F1083" i="48"/>
  <c r="F1084" i="48"/>
  <c r="F1085" i="48"/>
  <c r="F1086" i="48"/>
  <c r="F1087" i="48"/>
  <c r="F1088" i="48"/>
  <c r="F1089" i="48"/>
  <c r="F1090" i="48"/>
  <c r="F1091" i="48"/>
  <c r="F1092" i="48"/>
  <c r="F1093" i="48"/>
  <c r="F1094" i="48"/>
  <c r="F1095" i="48"/>
  <c r="F1096" i="48"/>
  <c r="F1097" i="48"/>
  <c r="F1098" i="48"/>
  <c r="F1099" i="48"/>
  <c r="F1100" i="48"/>
  <c r="F1101" i="48"/>
  <c r="F1102" i="48"/>
  <c r="F1103" i="48"/>
  <c r="F1104" i="48"/>
  <c r="F1105" i="48"/>
  <c r="F1106" i="48"/>
  <c r="F1107" i="48"/>
  <c r="F1108" i="48"/>
  <c r="F1109" i="48"/>
  <c r="F1110" i="48"/>
  <c r="F1111" i="48"/>
  <c r="F1112" i="48"/>
  <c r="F1113" i="48"/>
  <c r="F1114" i="48"/>
  <c r="F1115" i="48"/>
  <c r="F1116" i="48"/>
  <c r="F1117" i="48"/>
  <c r="F1118" i="48"/>
  <c r="F1119" i="48"/>
  <c r="F1120" i="48"/>
  <c r="F1121" i="48"/>
  <c r="F1122" i="48"/>
  <c r="F1123" i="48"/>
  <c r="F1124" i="48"/>
  <c r="F1125" i="48"/>
  <c r="F1126" i="48"/>
  <c r="F1127" i="48"/>
  <c r="F1128" i="48"/>
  <c r="F1129" i="48"/>
  <c r="F1130" i="48"/>
  <c r="F1131" i="48"/>
  <c r="F1132" i="48"/>
  <c r="F1133" i="48"/>
  <c r="F1134" i="48"/>
  <c r="F1135" i="48"/>
  <c r="F1136" i="48"/>
  <c r="F1137" i="48"/>
  <c r="F1138" i="48"/>
  <c r="F1139" i="48"/>
  <c r="F1140" i="48"/>
  <c r="F1141" i="48"/>
  <c r="F1142" i="48"/>
  <c r="F1143" i="48"/>
  <c r="F1144" i="48"/>
  <c r="F1145" i="48"/>
  <c r="F1146" i="48"/>
  <c r="F1147" i="48"/>
  <c r="F1148" i="48"/>
  <c r="F1149" i="48"/>
  <c r="F1150" i="48"/>
  <c r="F1151" i="48"/>
  <c r="F1152" i="48"/>
  <c r="F1153" i="48"/>
  <c r="F1154" i="48"/>
  <c r="F1155" i="48"/>
  <c r="F1156" i="48"/>
  <c r="F1157" i="48"/>
  <c r="F1158" i="48"/>
  <c r="F1159" i="48"/>
  <c r="F1160" i="48"/>
  <c r="F1161" i="48"/>
  <c r="F1162" i="48"/>
  <c r="F1163" i="48"/>
  <c r="F1164" i="48"/>
  <c r="F1165" i="48"/>
  <c r="F1166" i="48"/>
  <c r="F1167" i="48"/>
  <c r="F1168" i="48"/>
  <c r="F1169" i="48"/>
  <c r="F1170" i="48"/>
  <c r="F1171" i="48"/>
  <c r="F1172" i="48"/>
  <c r="F1173" i="48"/>
  <c r="F1174" i="48"/>
  <c r="F1175" i="48"/>
  <c r="F1176" i="48"/>
  <c r="F1177" i="48"/>
  <c r="F1178" i="48"/>
  <c r="F1179" i="48"/>
  <c r="F1180" i="48"/>
  <c r="F1181" i="48"/>
  <c r="F1182" i="48"/>
  <c r="F1183" i="48"/>
  <c r="F1184" i="48"/>
  <c r="F1185" i="48"/>
  <c r="F1186" i="48"/>
  <c r="F1187" i="48"/>
  <c r="F1188" i="48"/>
  <c r="F1189" i="48"/>
  <c r="F1190" i="48"/>
  <c r="F1191" i="48"/>
  <c r="F1192" i="48"/>
  <c r="F1193" i="48"/>
  <c r="F1194" i="48"/>
  <c r="F1195" i="48"/>
  <c r="F1196" i="48"/>
  <c r="F1197" i="48"/>
  <c r="F1198" i="48"/>
  <c r="F1199" i="48"/>
  <c r="F1200" i="48"/>
  <c r="F1201" i="48"/>
  <c r="F1202" i="48"/>
  <c r="F1203" i="48"/>
  <c r="F1204" i="48"/>
  <c r="F1205" i="48"/>
  <c r="F1206" i="48"/>
  <c r="F1207" i="48"/>
  <c r="F1208" i="48"/>
  <c r="F1209" i="48"/>
  <c r="F1210" i="48"/>
  <c r="F1211" i="48"/>
  <c r="F1212" i="48"/>
  <c r="F1213" i="48"/>
  <c r="F1214" i="48"/>
  <c r="F1215" i="48"/>
  <c r="F1216" i="48"/>
  <c r="F1217" i="48"/>
  <c r="F1218" i="48"/>
  <c r="F1219" i="48"/>
  <c r="F1220" i="48"/>
  <c r="F1221" i="48"/>
  <c r="F1222" i="48"/>
  <c r="F1223" i="48"/>
  <c r="F1224" i="48"/>
  <c r="F1225" i="48"/>
  <c r="F1226" i="48"/>
  <c r="F1227" i="48"/>
  <c r="F1228" i="48"/>
  <c r="F1229" i="48"/>
  <c r="F1230" i="48"/>
  <c r="F1231" i="48"/>
  <c r="F1232" i="48"/>
  <c r="F1233" i="48"/>
  <c r="F1234" i="48"/>
  <c r="F1235" i="48"/>
  <c r="F1236" i="48"/>
  <c r="F1237" i="48"/>
  <c r="F1238" i="48"/>
  <c r="F1239" i="48"/>
  <c r="F1240" i="48"/>
  <c r="F1241" i="48"/>
  <c r="F1242" i="48"/>
  <c r="F1243" i="48"/>
  <c r="F1244" i="48"/>
  <c r="F1245" i="48"/>
  <c r="F1246" i="48"/>
  <c r="F1247" i="48"/>
  <c r="F1248" i="48"/>
  <c r="F1249" i="48"/>
  <c r="F1250" i="48"/>
  <c r="F1251" i="48"/>
  <c r="F1252" i="48"/>
  <c r="F1253" i="48"/>
  <c r="F1254" i="48"/>
  <c r="F1255" i="48"/>
  <c r="F1256" i="48"/>
  <c r="F1257" i="48"/>
  <c r="F1258" i="48"/>
  <c r="F1259" i="48"/>
  <c r="F1260" i="48"/>
  <c r="F1261" i="48"/>
  <c r="F1262" i="48"/>
  <c r="F1263" i="48"/>
  <c r="F1264" i="48"/>
  <c r="F1265" i="48"/>
  <c r="F1266" i="48"/>
  <c r="F1267" i="48"/>
  <c r="F1268" i="48"/>
  <c r="F1269" i="48"/>
  <c r="F1270" i="48"/>
  <c r="F1271" i="48"/>
  <c r="F1272" i="48"/>
  <c r="F1273" i="48"/>
  <c r="F1274" i="48"/>
  <c r="F1275" i="48"/>
  <c r="D11" i="48"/>
  <c r="B1075" i="48"/>
  <c r="C1075" i="48"/>
  <c r="D1075" i="48"/>
  <c r="B1076" i="48"/>
  <c r="C1076" i="48"/>
  <c r="D1076" i="48"/>
  <c r="B1077" i="48"/>
  <c r="C1077" i="48"/>
  <c r="D1077" i="48"/>
  <c r="B1078" i="48"/>
  <c r="C1078" i="48"/>
  <c r="D1078" i="48"/>
  <c r="B1079" i="48"/>
  <c r="C1079" i="48"/>
  <c r="D1079" i="48"/>
  <c r="B1080" i="48"/>
  <c r="C1080" i="48"/>
  <c r="D1080" i="48"/>
  <c r="B1081" i="48"/>
  <c r="C1081" i="48"/>
  <c r="D1081" i="48"/>
  <c r="B1082" i="48"/>
  <c r="C1082" i="48"/>
  <c r="D1082" i="48"/>
  <c r="B1083" i="48"/>
  <c r="C1083" i="48"/>
  <c r="D1083" i="48"/>
  <c r="B1084" i="48"/>
  <c r="C1084" i="48"/>
  <c r="D1084" i="48"/>
  <c r="B1085" i="48"/>
  <c r="C1085" i="48"/>
  <c r="D1085" i="48"/>
  <c r="B1086" i="48"/>
  <c r="C1086" i="48"/>
  <c r="D1086" i="48"/>
  <c r="B1087" i="48"/>
  <c r="C1087" i="48"/>
  <c r="D1087" i="48"/>
  <c r="B1088" i="48"/>
  <c r="C1088" i="48"/>
  <c r="D1088" i="48"/>
  <c r="B1089" i="48"/>
  <c r="C1089" i="48"/>
  <c r="D1089" i="48"/>
  <c r="B1090" i="48"/>
  <c r="C1090" i="48"/>
  <c r="D1090" i="48"/>
  <c r="B1091" i="48"/>
  <c r="C1091" i="48"/>
  <c r="D1091" i="48"/>
  <c r="B1092" i="48"/>
  <c r="C1092" i="48"/>
  <c r="D1092" i="48"/>
  <c r="B1093" i="48"/>
  <c r="C1093" i="48"/>
  <c r="D1093" i="48"/>
  <c r="B1094" i="48"/>
  <c r="C1094" i="48"/>
  <c r="D1094" i="48"/>
  <c r="B1095" i="48"/>
  <c r="C1095" i="48"/>
  <c r="D1095" i="48"/>
  <c r="B1096" i="48"/>
  <c r="C1096" i="48"/>
  <c r="D1096" i="48"/>
  <c r="B1097" i="48"/>
  <c r="C1097" i="48"/>
  <c r="D1097" i="48"/>
  <c r="B1098" i="48"/>
  <c r="C1098" i="48"/>
  <c r="D1098" i="48"/>
  <c r="B1099" i="48"/>
  <c r="C1099" i="48"/>
  <c r="D1099" i="48"/>
  <c r="B1100" i="48"/>
  <c r="C1100" i="48"/>
  <c r="D1100" i="48"/>
  <c r="B1101" i="48"/>
  <c r="C1101" i="48"/>
  <c r="D1101" i="48"/>
  <c r="B1102" i="48"/>
  <c r="C1102" i="48"/>
  <c r="D1102" i="48"/>
  <c r="B1103" i="48"/>
  <c r="C1103" i="48"/>
  <c r="D1103" i="48"/>
  <c r="B1104" i="48"/>
  <c r="C1104" i="48"/>
  <c r="D1104" i="48"/>
  <c r="B1105" i="48"/>
  <c r="C1105" i="48"/>
  <c r="D1105" i="48"/>
  <c r="B1106" i="48"/>
  <c r="C1106" i="48"/>
  <c r="D1106" i="48"/>
  <c r="B1107" i="48"/>
  <c r="C1107" i="48"/>
  <c r="D1107" i="48"/>
  <c r="B1108" i="48"/>
  <c r="C1108" i="48"/>
  <c r="D1108" i="48"/>
  <c r="B1109" i="48"/>
  <c r="C1109" i="48"/>
  <c r="D1109" i="48"/>
  <c r="B1110" i="48"/>
  <c r="C1110" i="48"/>
  <c r="D1110" i="48"/>
  <c r="B1111" i="48"/>
  <c r="C1111" i="48"/>
  <c r="D1111" i="48"/>
  <c r="B1112" i="48"/>
  <c r="C1112" i="48"/>
  <c r="D1112" i="48"/>
  <c r="B1113" i="48"/>
  <c r="C1113" i="48"/>
  <c r="D1113" i="48"/>
  <c r="B1114" i="48"/>
  <c r="C1114" i="48"/>
  <c r="D1114" i="48"/>
  <c r="B1115" i="48"/>
  <c r="C1115" i="48"/>
  <c r="D1115" i="48"/>
  <c r="B1116" i="48"/>
  <c r="C1116" i="48"/>
  <c r="D1116" i="48"/>
  <c r="B1117" i="48"/>
  <c r="C1117" i="48"/>
  <c r="D1117" i="48"/>
  <c r="B1118" i="48"/>
  <c r="C1118" i="48"/>
  <c r="D1118" i="48"/>
  <c r="B1119" i="48"/>
  <c r="C1119" i="48"/>
  <c r="D1119" i="48"/>
  <c r="B1120" i="48"/>
  <c r="C1120" i="48"/>
  <c r="D1120" i="48"/>
  <c r="B1121" i="48"/>
  <c r="C1121" i="48"/>
  <c r="D1121" i="48"/>
  <c r="B1122" i="48"/>
  <c r="C1122" i="48"/>
  <c r="D1122" i="48"/>
  <c r="B1123" i="48"/>
  <c r="C1123" i="48"/>
  <c r="D1123" i="48"/>
  <c r="B1124" i="48"/>
  <c r="C1124" i="48"/>
  <c r="D1124" i="48"/>
  <c r="B1125" i="48"/>
  <c r="C1125" i="48"/>
  <c r="D1125" i="48"/>
  <c r="B1126" i="48"/>
  <c r="C1126" i="48"/>
  <c r="D1126" i="48"/>
  <c r="B1127" i="48"/>
  <c r="C1127" i="48"/>
  <c r="D1127" i="48"/>
  <c r="B1128" i="48"/>
  <c r="C1128" i="48"/>
  <c r="D1128" i="48"/>
  <c r="B1129" i="48"/>
  <c r="C1129" i="48"/>
  <c r="D1129" i="48"/>
  <c r="B1130" i="48"/>
  <c r="C1130" i="48"/>
  <c r="D1130" i="48"/>
  <c r="B1131" i="48"/>
  <c r="C1131" i="48"/>
  <c r="D1131" i="48"/>
  <c r="B1132" i="48"/>
  <c r="C1132" i="48"/>
  <c r="D1132" i="48"/>
  <c r="B1133" i="48"/>
  <c r="C1133" i="48"/>
  <c r="D1133" i="48"/>
  <c r="B1134" i="48"/>
  <c r="C1134" i="48"/>
  <c r="D1134" i="48"/>
  <c r="B1135" i="48"/>
  <c r="C1135" i="48"/>
  <c r="D1135" i="48"/>
  <c r="B1136" i="48"/>
  <c r="C1136" i="48"/>
  <c r="D1136" i="48"/>
  <c r="B1137" i="48"/>
  <c r="C1137" i="48"/>
  <c r="D1137" i="48"/>
  <c r="B1138" i="48"/>
  <c r="C1138" i="48"/>
  <c r="D1138" i="48"/>
  <c r="B1139" i="48"/>
  <c r="C1139" i="48"/>
  <c r="D1139" i="48"/>
  <c r="B1140" i="48"/>
  <c r="C1140" i="48"/>
  <c r="D1140" i="48"/>
  <c r="B1141" i="48"/>
  <c r="C1141" i="48"/>
  <c r="D1141" i="48"/>
  <c r="B1142" i="48"/>
  <c r="C1142" i="48"/>
  <c r="D1142" i="48"/>
  <c r="B1143" i="48"/>
  <c r="C1143" i="48"/>
  <c r="D1143" i="48"/>
  <c r="B1144" i="48"/>
  <c r="C1144" i="48"/>
  <c r="D1144" i="48"/>
  <c r="B1145" i="48"/>
  <c r="C1145" i="48"/>
  <c r="D1145" i="48"/>
  <c r="B1146" i="48"/>
  <c r="C1146" i="48"/>
  <c r="D1146" i="48"/>
  <c r="B1147" i="48"/>
  <c r="C1147" i="48"/>
  <c r="D1147" i="48"/>
  <c r="B1148" i="48"/>
  <c r="C1148" i="48"/>
  <c r="D1148" i="48"/>
  <c r="B1149" i="48"/>
  <c r="C1149" i="48"/>
  <c r="D1149" i="48"/>
  <c r="B1150" i="48"/>
  <c r="C1150" i="48"/>
  <c r="D1150" i="48"/>
  <c r="B1151" i="48"/>
  <c r="C1151" i="48"/>
  <c r="D1151" i="48"/>
  <c r="B1152" i="48"/>
  <c r="C1152" i="48"/>
  <c r="D1152" i="48"/>
  <c r="B1153" i="48"/>
  <c r="C1153" i="48"/>
  <c r="D1153" i="48"/>
  <c r="B1154" i="48"/>
  <c r="C1154" i="48"/>
  <c r="D1154" i="48"/>
  <c r="B1155" i="48"/>
  <c r="C1155" i="48"/>
  <c r="D1155" i="48"/>
  <c r="B1156" i="48"/>
  <c r="C1156" i="48"/>
  <c r="D1156" i="48"/>
  <c r="B1157" i="48"/>
  <c r="C1157" i="48"/>
  <c r="D1157" i="48"/>
  <c r="B1158" i="48"/>
  <c r="C1158" i="48"/>
  <c r="D1158" i="48"/>
  <c r="B1159" i="48"/>
  <c r="C1159" i="48"/>
  <c r="D1159" i="48"/>
  <c r="B1160" i="48"/>
  <c r="C1160" i="48"/>
  <c r="D1160" i="48"/>
  <c r="B1161" i="48"/>
  <c r="C1161" i="48"/>
  <c r="D1161" i="48"/>
  <c r="B1162" i="48"/>
  <c r="C1162" i="48"/>
  <c r="D1162" i="48"/>
  <c r="B1163" i="48"/>
  <c r="C1163" i="48"/>
  <c r="D1163" i="48"/>
  <c r="B1164" i="48"/>
  <c r="C1164" i="48"/>
  <c r="D1164" i="48"/>
  <c r="B1165" i="48"/>
  <c r="C1165" i="48"/>
  <c r="D1165" i="48"/>
  <c r="B1166" i="48"/>
  <c r="C1166" i="48"/>
  <c r="D1166" i="48"/>
  <c r="B1167" i="48"/>
  <c r="C1167" i="48"/>
  <c r="D1167" i="48"/>
  <c r="B1168" i="48"/>
  <c r="C1168" i="48"/>
  <c r="D1168" i="48"/>
  <c r="B1169" i="48"/>
  <c r="C1169" i="48"/>
  <c r="D1169" i="48"/>
  <c r="B1170" i="48"/>
  <c r="C1170" i="48"/>
  <c r="D1170" i="48"/>
  <c r="B1171" i="48"/>
  <c r="C1171" i="48"/>
  <c r="D1171" i="48"/>
  <c r="B1172" i="48"/>
  <c r="C1172" i="48"/>
  <c r="D1172" i="48"/>
  <c r="B1173" i="48"/>
  <c r="C1173" i="48"/>
  <c r="D1173" i="48"/>
  <c r="B1174" i="48"/>
  <c r="C1174" i="48"/>
  <c r="D1174" i="48"/>
  <c r="B1175" i="48"/>
  <c r="C1175" i="48"/>
  <c r="D1175" i="48"/>
  <c r="B1176" i="48"/>
  <c r="C1176" i="48"/>
  <c r="D1176" i="48"/>
  <c r="B1177" i="48"/>
  <c r="C1177" i="48"/>
  <c r="D1177" i="48"/>
  <c r="B1178" i="48"/>
  <c r="C1178" i="48"/>
  <c r="D1178" i="48"/>
  <c r="B1179" i="48"/>
  <c r="C1179" i="48"/>
  <c r="D1179" i="48"/>
  <c r="B1180" i="48"/>
  <c r="C1180" i="48"/>
  <c r="D1180" i="48"/>
  <c r="B1181" i="48"/>
  <c r="C1181" i="48"/>
  <c r="D1181" i="48"/>
  <c r="B1182" i="48"/>
  <c r="C1182" i="48"/>
  <c r="D1182" i="48"/>
  <c r="B1183" i="48"/>
  <c r="C1183" i="48"/>
  <c r="D1183" i="48"/>
  <c r="B1184" i="48"/>
  <c r="C1184" i="48"/>
  <c r="D1184" i="48"/>
  <c r="B1185" i="48"/>
  <c r="C1185" i="48"/>
  <c r="D1185" i="48"/>
  <c r="B1186" i="48"/>
  <c r="C1186" i="48"/>
  <c r="D1186" i="48"/>
  <c r="B1187" i="48"/>
  <c r="C1187" i="48"/>
  <c r="D1187" i="48"/>
  <c r="B1188" i="48"/>
  <c r="C1188" i="48"/>
  <c r="D1188" i="48"/>
  <c r="B1189" i="48"/>
  <c r="C1189" i="48"/>
  <c r="D1189" i="48"/>
  <c r="B1190" i="48"/>
  <c r="C1190" i="48"/>
  <c r="D1190" i="48"/>
  <c r="B1191" i="48"/>
  <c r="C1191" i="48"/>
  <c r="D1191" i="48"/>
  <c r="B1192" i="48"/>
  <c r="C1192" i="48"/>
  <c r="D1192" i="48"/>
  <c r="B1193" i="48"/>
  <c r="C1193" i="48"/>
  <c r="D1193" i="48"/>
  <c r="B1194" i="48"/>
  <c r="C1194" i="48"/>
  <c r="D1194" i="48"/>
  <c r="B1195" i="48"/>
  <c r="C1195" i="48"/>
  <c r="D1195" i="48"/>
  <c r="B1196" i="48"/>
  <c r="C1196" i="48"/>
  <c r="D1196" i="48"/>
  <c r="B1197" i="48"/>
  <c r="C1197" i="48"/>
  <c r="D1197" i="48"/>
  <c r="B1198" i="48"/>
  <c r="C1198" i="48"/>
  <c r="D1198" i="48"/>
  <c r="B1199" i="48"/>
  <c r="C1199" i="48"/>
  <c r="D1199" i="48"/>
  <c r="B1200" i="48"/>
  <c r="C1200" i="48"/>
  <c r="D1200" i="48"/>
  <c r="B1201" i="48"/>
  <c r="C1201" i="48"/>
  <c r="D1201" i="48"/>
  <c r="B1202" i="48"/>
  <c r="C1202" i="48"/>
  <c r="D1202" i="48"/>
  <c r="B1203" i="48"/>
  <c r="C1203" i="48"/>
  <c r="D1203" i="48"/>
  <c r="B1204" i="48"/>
  <c r="C1204" i="48"/>
  <c r="D1204" i="48"/>
  <c r="B1205" i="48"/>
  <c r="C1205" i="48"/>
  <c r="D1205" i="48"/>
  <c r="B1206" i="48"/>
  <c r="C1206" i="48"/>
  <c r="D1206" i="48"/>
  <c r="B1207" i="48"/>
  <c r="C1207" i="48"/>
  <c r="D1207" i="48"/>
  <c r="B1208" i="48"/>
  <c r="C1208" i="48"/>
  <c r="D1208" i="48"/>
  <c r="B1209" i="48"/>
  <c r="C1209" i="48"/>
  <c r="D1209" i="48"/>
  <c r="B1210" i="48"/>
  <c r="C1210" i="48"/>
  <c r="D1210" i="48"/>
  <c r="B1211" i="48"/>
  <c r="C1211" i="48"/>
  <c r="D1211" i="48"/>
  <c r="B1212" i="48"/>
  <c r="C1212" i="48"/>
  <c r="D1212" i="48"/>
  <c r="B1213" i="48"/>
  <c r="C1213" i="48"/>
  <c r="D1213" i="48"/>
  <c r="B1214" i="48"/>
  <c r="C1214" i="48"/>
  <c r="D1214" i="48"/>
  <c r="B1215" i="48"/>
  <c r="C1215" i="48"/>
  <c r="D1215" i="48"/>
  <c r="B1216" i="48"/>
  <c r="C1216" i="48"/>
  <c r="D1216" i="48"/>
  <c r="B1217" i="48"/>
  <c r="C1217" i="48"/>
  <c r="D1217" i="48"/>
  <c r="B1218" i="48"/>
  <c r="C1218" i="48"/>
  <c r="D1218" i="48"/>
  <c r="B1219" i="48"/>
  <c r="C1219" i="48"/>
  <c r="D1219" i="48"/>
  <c r="B1220" i="48"/>
  <c r="C1220" i="48"/>
  <c r="D1220" i="48"/>
  <c r="B1221" i="48"/>
  <c r="C1221" i="48"/>
  <c r="D1221" i="48"/>
  <c r="B1222" i="48"/>
  <c r="C1222" i="48"/>
  <c r="D1222" i="48"/>
  <c r="B1223" i="48"/>
  <c r="C1223" i="48"/>
  <c r="D1223" i="48"/>
  <c r="B1224" i="48"/>
  <c r="C1224" i="48"/>
  <c r="D1224" i="48"/>
  <c r="B1225" i="48"/>
  <c r="C1225" i="48"/>
  <c r="D1225" i="48"/>
  <c r="B1226" i="48"/>
  <c r="C1226" i="48"/>
  <c r="D1226" i="48"/>
  <c r="B1227" i="48"/>
  <c r="C1227" i="48"/>
  <c r="D1227" i="48"/>
  <c r="B1228" i="48"/>
  <c r="C1228" i="48"/>
  <c r="D1228" i="48"/>
  <c r="B1229" i="48"/>
  <c r="C1229" i="48"/>
  <c r="D1229" i="48"/>
  <c r="B1230" i="48"/>
  <c r="C1230" i="48"/>
  <c r="D1230" i="48"/>
  <c r="B1231" i="48"/>
  <c r="C1231" i="48"/>
  <c r="D1231" i="48"/>
  <c r="B1232" i="48"/>
  <c r="C1232" i="48"/>
  <c r="D1232" i="48"/>
  <c r="B1233" i="48"/>
  <c r="C1233" i="48"/>
  <c r="D1233" i="48"/>
  <c r="B1234" i="48"/>
  <c r="C1234" i="48"/>
  <c r="D1234" i="48"/>
  <c r="B1235" i="48"/>
  <c r="C1235" i="48"/>
  <c r="D1235" i="48"/>
  <c r="B1236" i="48"/>
  <c r="C1236" i="48"/>
  <c r="D1236" i="48"/>
  <c r="B1237" i="48"/>
  <c r="C1237" i="48"/>
  <c r="D1237" i="48"/>
  <c r="B1238" i="48"/>
  <c r="C1238" i="48"/>
  <c r="D1238" i="48"/>
  <c r="B1239" i="48"/>
  <c r="C1239" i="48"/>
  <c r="D1239" i="48"/>
  <c r="B1240" i="48"/>
  <c r="C1240" i="48"/>
  <c r="D1240" i="48"/>
  <c r="B1241" i="48"/>
  <c r="C1241" i="48"/>
  <c r="D1241" i="48"/>
  <c r="B1242" i="48"/>
  <c r="C1242" i="48"/>
  <c r="D1242" i="48"/>
  <c r="B1243" i="48"/>
  <c r="C1243" i="48"/>
  <c r="D1243" i="48"/>
  <c r="B1244" i="48"/>
  <c r="C1244" i="48"/>
  <c r="D1244" i="48"/>
  <c r="B1245" i="48"/>
  <c r="C1245" i="48"/>
  <c r="D1245" i="48"/>
  <c r="B1246" i="48"/>
  <c r="C1246" i="48"/>
  <c r="D1246" i="48"/>
  <c r="B1247" i="48"/>
  <c r="C1247" i="48"/>
  <c r="D1247" i="48"/>
  <c r="B1248" i="48"/>
  <c r="C1248" i="48"/>
  <c r="D1248" i="48"/>
  <c r="B1249" i="48"/>
  <c r="C1249" i="48"/>
  <c r="D1249" i="48"/>
  <c r="B1250" i="48"/>
  <c r="C1250" i="48"/>
  <c r="D1250" i="48"/>
  <c r="B1251" i="48"/>
  <c r="C1251" i="48"/>
  <c r="D1251" i="48"/>
  <c r="B1252" i="48"/>
  <c r="C1252" i="48"/>
  <c r="D1252" i="48"/>
  <c r="B1253" i="48"/>
  <c r="C1253" i="48"/>
  <c r="D1253" i="48"/>
  <c r="B1254" i="48"/>
  <c r="C1254" i="48"/>
  <c r="D1254" i="48"/>
  <c r="B1255" i="48"/>
  <c r="C1255" i="48"/>
  <c r="D1255" i="48"/>
  <c r="B1256" i="48"/>
  <c r="C1256" i="48"/>
  <c r="D1256" i="48"/>
  <c r="B1257" i="48"/>
  <c r="C1257" i="48"/>
  <c r="D1257" i="48"/>
  <c r="B1258" i="48"/>
  <c r="C1258" i="48"/>
  <c r="D1258" i="48"/>
  <c r="B1259" i="48"/>
  <c r="C1259" i="48"/>
  <c r="D1259" i="48"/>
  <c r="B1260" i="48"/>
  <c r="C1260" i="48"/>
  <c r="D1260" i="48"/>
  <c r="B1261" i="48"/>
  <c r="C1261" i="48"/>
  <c r="D1261" i="48"/>
  <c r="B1262" i="48"/>
  <c r="C1262" i="48"/>
  <c r="D1262" i="48"/>
  <c r="B1263" i="48"/>
  <c r="C1263" i="48"/>
  <c r="D1263" i="48"/>
  <c r="B1264" i="48"/>
  <c r="C1264" i="48"/>
  <c r="D1264" i="48"/>
  <c r="B1265" i="48"/>
  <c r="C1265" i="48"/>
  <c r="D1265" i="48"/>
  <c r="B1266" i="48"/>
  <c r="C1266" i="48"/>
  <c r="D1266" i="48"/>
  <c r="B1267" i="48"/>
  <c r="C1267" i="48"/>
  <c r="D1267" i="48"/>
  <c r="B1268" i="48"/>
  <c r="C1268" i="48"/>
  <c r="D1268" i="48"/>
  <c r="B1269" i="48"/>
  <c r="C1269" i="48"/>
  <c r="D1269" i="48"/>
  <c r="B1270" i="48"/>
  <c r="C1270" i="48"/>
  <c r="D1270" i="48"/>
  <c r="B1271" i="48"/>
  <c r="C1271" i="48"/>
  <c r="D1271" i="48"/>
  <c r="B1272" i="48"/>
  <c r="C1272" i="48"/>
  <c r="D1272" i="48"/>
  <c r="B1273" i="48"/>
  <c r="C1273" i="48"/>
  <c r="D1273" i="48"/>
  <c r="B1274" i="48"/>
  <c r="C1274" i="48"/>
  <c r="D1274" i="48"/>
  <c r="B1275" i="48"/>
  <c r="C1275" i="48"/>
  <c r="D1275" i="48"/>
  <c r="B1276" i="48"/>
  <c r="C1276" i="48"/>
  <c r="D1276" i="48"/>
  <c r="B1277" i="48"/>
  <c r="C1277" i="48"/>
  <c r="D1277" i="48"/>
  <c r="B1278" i="48"/>
  <c r="C1278" i="48"/>
  <c r="D1278" i="48"/>
  <c r="B1279" i="48"/>
  <c r="C1279" i="48"/>
  <c r="D1279" i="48"/>
  <c r="B1280" i="48"/>
  <c r="C1280" i="48"/>
  <c r="D1280" i="48"/>
  <c r="B1281" i="48"/>
  <c r="C1281" i="48"/>
  <c r="D1281" i="48"/>
  <c r="B1282" i="48"/>
  <c r="C1282" i="48"/>
  <c r="D1282" i="48"/>
  <c r="B1283" i="48"/>
  <c r="C1283" i="48"/>
  <c r="D1283" i="48"/>
  <c r="B1284" i="48"/>
  <c r="C1284" i="48"/>
  <c r="D1284" i="48"/>
  <c r="B1285" i="48"/>
  <c r="C1285" i="48"/>
  <c r="D1285" i="48"/>
  <c r="B1286" i="48"/>
  <c r="C1286" i="48"/>
  <c r="D1286" i="48"/>
  <c r="B1287" i="48"/>
  <c r="C1287" i="48"/>
  <c r="D1287" i="48"/>
  <c r="B1288" i="48"/>
  <c r="C1288" i="48"/>
  <c r="D1288" i="48"/>
  <c r="B1289" i="48"/>
  <c r="C1289" i="48"/>
  <c r="D1289" i="48"/>
  <c r="B1290" i="48"/>
  <c r="C1290" i="48"/>
  <c r="D1290" i="48"/>
  <c r="B1291" i="48"/>
  <c r="C1291" i="48"/>
  <c r="D1291" i="48"/>
  <c r="B1292" i="48"/>
  <c r="C1292" i="48"/>
  <c r="D1292" i="48"/>
  <c r="B1293" i="48"/>
  <c r="C1293" i="48"/>
  <c r="D1293" i="48"/>
  <c r="B1294" i="48"/>
  <c r="C1294" i="48"/>
  <c r="D1294" i="48"/>
  <c r="B1295" i="48"/>
  <c r="C1295" i="48"/>
  <c r="D1295" i="48"/>
  <c r="B1296" i="48"/>
  <c r="C1296" i="48"/>
  <c r="D1296" i="48"/>
  <c r="B1297" i="48"/>
  <c r="C1297" i="48"/>
  <c r="D1297" i="48"/>
  <c r="B1298" i="48"/>
  <c r="C1298" i="48"/>
  <c r="D1298" i="48"/>
  <c r="B1299" i="48"/>
  <c r="C1299" i="48"/>
  <c r="D1299" i="48"/>
  <c r="B1300" i="48"/>
  <c r="C1300" i="48"/>
  <c r="D1300" i="48"/>
  <c r="B1301" i="48"/>
  <c r="C1301" i="48"/>
  <c r="D1301" i="48"/>
  <c r="B1302" i="48"/>
  <c r="C1302" i="48"/>
  <c r="D1302" i="48"/>
  <c r="B1303" i="48"/>
  <c r="C1303" i="48"/>
  <c r="D1303" i="48"/>
  <c r="B1304" i="48"/>
  <c r="C1304" i="48"/>
  <c r="D1304" i="48"/>
  <c r="B1305" i="48"/>
  <c r="C1305" i="48"/>
  <c r="D1305" i="48"/>
  <c r="B1306" i="48"/>
  <c r="C1306" i="48"/>
  <c r="D1306" i="48"/>
  <c r="B1307" i="48"/>
  <c r="C1307" i="48"/>
  <c r="D1307" i="48"/>
  <c r="B1308" i="48"/>
  <c r="C1308" i="48"/>
  <c r="D1308" i="48"/>
  <c r="B1309" i="48"/>
  <c r="C1309" i="48"/>
  <c r="D1309" i="48"/>
  <c r="B1310" i="48"/>
  <c r="C1310" i="48"/>
  <c r="D1310" i="48"/>
  <c r="B1311" i="48"/>
  <c r="C1311" i="48"/>
  <c r="D1311" i="48"/>
  <c r="B1312" i="48"/>
  <c r="C1312" i="48"/>
  <c r="D1312" i="48"/>
  <c r="B1313" i="48"/>
  <c r="C1313" i="48"/>
  <c r="D1313" i="48"/>
  <c r="B1314" i="48"/>
  <c r="C1314" i="48"/>
  <c r="D1314" i="48"/>
  <c r="B1315" i="48"/>
  <c r="C1315" i="48"/>
  <c r="D1315" i="48"/>
  <c r="B1316" i="48"/>
  <c r="C1316" i="48"/>
  <c r="D1316" i="48"/>
  <c r="B1317" i="48"/>
  <c r="C1317" i="48"/>
  <c r="D1317" i="48"/>
  <c r="B1318" i="48"/>
  <c r="C1318" i="48"/>
  <c r="D1318" i="48"/>
  <c r="B1319" i="48"/>
  <c r="C1319" i="48"/>
  <c r="D1319" i="48"/>
  <c r="B1320" i="48"/>
  <c r="C1320" i="48"/>
  <c r="D1320" i="48"/>
  <c r="B1321" i="48"/>
  <c r="C1321" i="48"/>
  <c r="D1321" i="48"/>
  <c r="B1322" i="48"/>
  <c r="C1322" i="48"/>
  <c r="D1322" i="48"/>
  <c r="B1323" i="48"/>
  <c r="C1323" i="48"/>
  <c r="D1323" i="48"/>
  <c r="B1324" i="48"/>
  <c r="C1324" i="48"/>
  <c r="D1324" i="48"/>
  <c r="B1325" i="48"/>
  <c r="C1325" i="48"/>
  <c r="D1325" i="48"/>
  <c r="B1326" i="48"/>
  <c r="C1326" i="48"/>
  <c r="D1326" i="48"/>
  <c r="B1327" i="48"/>
  <c r="C1327" i="48"/>
  <c r="D1327" i="48"/>
  <c r="B1328" i="48"/>
  <c r="C1328" i="48"/>
  <c r="D1328" i="48"/>
  <c r="B1329" i="48"/>
  <c r="C1329" i="48"/>
  <c r="D1329" i="48"/>
  <c r="B1330" i="48"/>
  <c r="C1330" i="48"/>
  <c r="D1330" i="48"/>
  <c r="B1331" i="48"/>
  <c r="C1331" i="48"/>
  <c r="D1331" i="48"/>
  <c r="B1332" i="48"/>
  <c r="C1332" i="48"/>
  <c r="D1332" i="48"/>
  <c r="B1333" i="48"/>
  <c r="C1333" i="48"/>
  <c r="D1333" i="48"/>
  <c r="B1334" i="48"/>
  <c r="C1334" i="48"/>
  <c r="D1334" i="48"/>
  <c r="B1335" i="48"/>
  <c r="C1335" i="48"/>
  <c r="D1335" i="48"/>
  <c r="B1336" i="48"/>
  <c r="C1336" i="48"/>
  <c r="D1336" i="48"/>
  <c r="B1337" i="48"/>
  <c r="C1337" i="48"/>
  <c r="D1337" i="48"/>
  <c r="B1338" i="48"/>
  <c r="C1338" i="48"/>
  <c r="D1338" i="48"/>
  <c r="B1339" i="48"/>
  <c r="C1339" i="48"/>
  <c r="D1339" i="48"/>
  <c r="B1340" i="48"/>
  <c r="C1340" i="48"/>
  <c r="D1340" i="48"/>
  <c r="B1341" i="48"/>
  <c r="C1341" i="48"/>
  <c r="D1341" i="48"/>
  <c r="B1342" i="48"/>
  <c r="C1342" i="48"/>
  <c r="D1342" i="48"/>
  <c r="B1343" i="48"/>
  <c r="C1343" i="48"/>
  <c r="D1343" i="48"/>
  <c r="B1344" i="48"/>
  <c r="C1344" i="48"/>
  <c r="D1344" i="48"/>
  <c r="B1345" i="48"/>
  <c r="C1345" i="48"/>
  <c r="D1345" i="48"/>
  <c r="B1346" i="48"/>
  <c r="C1346" i="48"/>
  <c r="D1346" i="48"/>
  <c r="B1347" i="48"/>
  <c r="C1347" i="48"/>
  <c r="D1347" i="48"/>
  <c r="B1348" i="48"/>
  <c r="C1348" i="48"/>
  <c r="D1348" i="48"/>
  <c r="B1349" i="48"/>
  <c r="C1349" i="48"/>
  <c r="D1349" i="48"/>
  <c r="B1350" i="48"/>
  <c r="C1350" i="48"/>
  <c r="D1350" i="48"/>
  <c r="B1351" i="48"/>
  <c r="C1351" i="48"/>
  <c r="D1351" i="48"/>
  <c r="B1352" i="48"/>
  <c r="C1352" i="48"/>
  <c r="D1352" i="48"/>
  <c r="B1353" i="48"/>
  <c r="C1353" i="48"/>
  <c r="D1353" i="48"/>
  <c r="B1354" i="48"/>
  <c r="C1354" i="48"/>
  <c r="D1354" i="48"/>
  <c r="B1355" i="48"/>
  <c r="C1355" i="48"/>
  <c r="D1355" i="48"/>
  <c r="B1356" i="48"/>
  <c r="C1356" i="48"/>
  <c r="D1356" i="48"/>
  <c r="B1357" i="48"/>
  <c r="C1357" i="48"/>
  <c r="D1357" i="48"/>
  <c r="B1358" i="48"/>
  <c r="C1358" i="48"/>
  <c r="D1358" i="48"/>
  <c r="B1359" i="48"/>
  <c r="C1359" i="48"/>
  <c r="D1359" i="48"/>
  <c r="B1360" i="48"/>
  <c r="C1360" i="48"/>
  <c r="D1360" i="48"/>
  <c r="B1361" i="48"/>
  <c r="C1361" i="48"/>
  <c r="D1361" i="48"/>
  <c r="B1362" i="48"/>
  <c r="C1362" i="48"/>
  <c r="D1362" i="48"/>
  <c r="B1363" i="48"/>
  <c r="C1363" i="48"/>
  <c r="D1363" i="48"/>
  <c r="B1364" i="48"/>
  <c r="C1364" i="48"/>
  <c r="D1364" i="48"/>
  <c r="B1365" i="48"/>
  <c r="C1365" i="48"/>
  <c r="D1365" i="48"/>
  <c r="B1366" i="48"/>
  <c r="C1366" i="48"/>
  <c r="D1366" i="48"/>
  <c r="B1367" i="48"/>
  <c r="C1367" i="48"/>
  <c r="D1367" i="48"/>
  <c r="B1368" i="48"/>
  <c r="C1368" i="48"/>
  <c r="D1368" i="48"/>
  <c r="B1369" i="48"/>
  <c r="C1369" i="48"/>
  <c r="D1369" i="48"/>
  <c r="B1370" i="48"/>
  <c r="C1370" i="48"/>
  <c r="D1370" i="48"/>
  <c r="B1371" i="48"/>
  <c r="C1371" i="48"/>
  <c r="D1371" i="48"/>
  <c r="B1372" i="48"/>
  <c r="C1372" i="48"/>
  <c r="D1372" i="48"/>
  <c r="B1373" i="48"/>
  <c r="C1373" i="48"/>
  <c r="D1373" i="48"/>
  <c r="B1374" i="48"/>
  <c r="C1374" i="48"/>
  <c r="D1374" i="48"/>
  <c r="B1375" i="48"/>
  <c r="C1375" i="48"/>
  <c r="D1375" i="48"/>
  <c r="B1376" i="48"/>
  <c r="C1376" i="48"/>
  <c r="D1376" i="48"/>
  <c r="B1377" i="48"/>
  <c r="C1377" i="48"/>
  <c r="D1377" i="48"/>
  <c r="B1378" i="48"/>
  <c r="C1378" i="48"/>
  <c r="D1378" i="48"/>
  <c r="B1379" i="48"/>
  <c r="C1379" i="48"/>
  <c r="D1379" i="48"/>
  <c r="B1380" i="48"/>
  <c r="C1380" i="48"/>
  <c r="D1380" i="48"/>
  <c r="B1381" i="48"/>
  <c r="C1381" i="48"/>
  <c r="D1381" i="48"/>
  <c r="B1382" i="48"/>
  <c r="C1382" i="48"/>
  <c r="D1382" i="48"/>
  <c r="B1383" i="48"/>
  <c r="C1383" i="48"/>
  <c r="D1383" i="48"/>
  <c r="B1384" i="48"/>
  <c r="C1384" i="48"/>
  <c r="D1384" i="48"/>
  <c r="B1385" i="48"/>
  <c r="C1385" i="48"/>
  <c r="D1385" i="48"/>
  <c r="B1386" i="48"/>
  <c r="C1386" i="48"/>
  <c r="D1386" i="48"/>
  <c r="B1387" i="48"/>
  <c r="C1387" i="48"/>
  <c r="D1387" i="48"/>
  <c r="B1388" i="48"/>
  <c r="C1388" i="48"/>
  <c r="D1388" i="48"/>
  <c r="B1389" i="48"/>
  <c r="C1389" i="48"/>
  <c r="D1389" i="48"/>
  <c r="B1390" i="48"/>
  <c r="C1390" i="48"/>
  <c r="D1390" i="48"/>
  <c r="B1391" i="48"/>
  <c r="C1391" i="48"/>
  <c r="D1391" i="48"/>
  <c r="B1392" i="48"/>
  <c r="C1392" i="48"/>
  <c r="D1392" i="48"/>
  <c r="B1393" i="48"/>
  <c r="C1393" i="48"/>
  <c r="D1393" i="48"/>
  <c r="B1394" i="48"/>
  <c r="C1394" i="48"/>
  <c r="D1394" i="48"/>
  <c r="B1395" i="48"/>
  <c r="C1395" i="48"/>
  <c r="D1395" i="48"/>
  <c r="B1396" i="48"/>
  <c r="C1396" i="48"/>
  <c r="D1396" i="48"/>
  <c r="B1397" i="48"/>
  <c r="C1397" i="48"/>
  <c r="D1397" i="48"/>
  <c r="B1398" i="48"/>
  <c r="C1398" i="48"/>
  <c r="D1398" i="48"/>
  <c r="B1399" i="48"/>
  <c r="C1399" i="48"/>
  <c r="D1399" i="48"/>
  <c r="B1400" i="48"/>
  <c r="C1400" i="48"/>
  <c r="D1400" i="48"/>
  <c r="B1401" i="48"/>
  <c r="C1401" i="48"/>
  <c r="D1401" i="48"/>
  <c r="B1402" i="48"/>
  <c r="C1402" i="48"/>
  <c r="D1402" i="48"/>
  <c r="B1403" i="48"/>
  <c r="C1403" i="48"/>
  <c r="D1403" i="48"/>
  <c r="B1404" i="48"/>
  <c r="C1404" i="48"/>
  <c r="D1404" i="48"/>
  <c r="B1405" i="48"/>
  <c r="C1405" i="48"/>
  <c r="D1405" i="48"/>
  <c r="B1406" i="48"/>
  <c r="C1406" i="48"/>
  <c r="D1406" i="48"/>
  <c r="B1407" i="48"/>
  <c r="C1407" i="48"/>
  <c r="D1407" i="48"/>
  <c r="B1408" i="48"/>
  <c r="C1408" i="48"/>
  <c r="D1408" i="48"/>
  <c r="B1409" i="48"/>
  <c r="C1409" i="48"/>
  <c r="D1409" i="48"/>
  <c r="B1410" i="48"/>
  <c r="C1410" i="48"/>
  <c r="D1410" i="48"/>
  <c r="B1411" i="48"/>
  <c r="C1411" i="48"/>
  <c r="D1411" i="48"/>
  <c r="B1412" i="48"/>
  <c r="C1412" i="48"/>
  <c r="D1412" i="48"/>
  <c r="B1413" i="48"/>
  <c r="C1413" i="48"/>
  <c r="D1413" i="48"/>
  <c r="B1414" i="48"/>
  <c r="C1414" i="48"/>
  <c r="D1414" i="48"/>
  <c r="B1415" i="48"/>
  <c r="C1415" i="48"/>
  <c r="D1415" i="48"/>
  <c r="B1416" i="48"/>
  <c r="C1416" i="48"/>
  <c r="D1416" i="48"/>
  <c r="B1417" i="48"/>
  <c r="C1417" i="48"/>
  <c r="D1417" i="48"/>
  <c r="B1418" i="48"/>
  <c r="C1418" i="48"/>
  <c r="D1418" i="48"/>
  <c r="B1419" i="48"/>
  <c r="C1419" i="48"/>
  <c r="D1419" i="48"/>
  <c r="B1420" i="48"/>
  <c r="C1420" i="48"/>
  <c r="D1420" i="48"/>
  <c r="B1421" i="48"/>
  <c r="C1421" i="48"/>
  <c r="D1421" i="48"/>
  <c r="B1422" i="48"/>
  <c r="C1422" i="48"/>
  <c r="D1422" i="48"/>
  <c r="B1423" i="48"/>
  <c r="C1423" i="48"/>
  <c r="D1423" i="48"/>
  <c r="B1424" i="48"/>
  <c r="C1424" i="48"/>
  <c r="D1424" i="48"/>
  <c r="B1425" i="48"/>
  <c r="C1425" i="48"/>
  <c r="D1425" i="48"/>
  <c r="B1426" i="48"/>
  <c r="C1426" i="48"/>
  <c r="D1426" i="48"/>
  <c r="B1427" i="48"/>
  <c r="C1427" i="48"/>
  <c r="D1427" i="48"/>
  <c r="B1428" i="48"/>
  <c r="C1428" i="48"/>
  <c r="D1428" i="48"/>
  <c r="B1429" i="48"/>
  <c r="C1429" i="48"/>
  <c r="D1429" i="48"/>
  <c r="B1430" i="48"/>
  <c r="C1430" i="48"/>
  <c r="D1430" i="48"/>
  <c r="B1431" i="48"/>
  <c r="C1431" i="48"/>
  <c r="D1431" i="48"/>
  <c r="B1432" i="48"/>
  <c r="C1432" i="48"/>
  <c r="D1432" i="48"/>
  <c r="B1433" i="48"/>
  <c r="C1433" i="48"/>
  <c r="D1433" i="48"/>
  <c r="B1434" i="48"/>
  <c r="C1434" i="48"/>
  <c r="D1434" i="48"/>
  <c r="B1435" i="48"/>
  <c r="C1435" i="48"/>
  <c r="D1435" i="48"/>
  <c r="B1436" i="48"/>
  <c r="C1436" i="48"/>
  <c r="D1436" i="48"/>
  <c r="B1437" i="48"/>
  <c r="C1437" i="48"/>
  <c r="D1437" i="48"/>
  <c r="B1438" i="48"/>
  <c r="C1438" i="48"/>
  <c r="D1438" i="48"/>
  <c r="B1439" i="48"/>
  <c r="C1439" i="48"/>
  <c r="D1439" i="48"/>
  <c r="B1440" i="48"/>
  <c r="C1440" i="48"/>
  <c r="D1440" i="48"/>
  <c r="B1441" i="48"/>
  <c r="C1441" i="48"/>
  <c r="D1441" i="48"/>
  <c r="B1442" i="48"/>
  <c r="C1442" i="48"/>
  <c r="D1442" i="48"/>
  <c r="B1443" i="48"/>
  <c r="C1443" i="48"/>
  <c r="D1443" i="48"/>
  <c r="B1444" i="48"/>
  <c r="C1444" i="48"/>
  <c r="D1444" i="48"/>
  <c r="B1445" i="48"/>
  <c r="C1445" i="48"/>
  <c r="D1445" i="48"/>
  <c r="B1446" i="48"/>
  <c r="C1446" i="48"/>
  <c r="D1446" i="48"/>
  <c r="B1447" i="48"/>
  <c r="C1447" i="48"/>
  <c r="D1447" i="48"/>
  <c r="B1448" i="48"/>
  <c r="C1448" i="48"/>
  <c r="D1448" i="48"/>
  <c r="B1449" i="48"/>
  <c r="C1449" i="48"/>
  <c r="D1449" i="48"/>
  <c r="B1450" i="48"/>
  <c r="C1450" i="48"/>
  <c r="D1450" i="48"/>
  <c r="B1451" i="48"/>
  <c r="C1451" i="48"/>
  <c r="D1451" i="48"/>
  <c r="B1452" i="48"/>
  <c r="C1452" i="48"/>
  <c r="D1452" i="48"/>
  <c r="B1453" i="48"/>
  <c r="C1453" i="48"/>
  <c r="D1453" i="48"/>
  <c r="B1454" i="48"/>
  <c r="C1454" i="48"/>
  <c r="D1454" i="48"/>
  <c r="B1455" i="48"/>
  <c r="C1455" i="48"/>
  <c r="D1455" i="48"/>
  <c r="B1456" i="48"/>
  <c r="C1456" i="48"/>
  <c r="D1456" i="48"/>
  <c r="B1457" i="48"/>
  <c r="C1457" i="48"/>
  <c r="D1457" i="48"/>
  <c r="B1458" i="48"/>
  <c r="C1458" i="48"/>
  <c r="D1458" i="48"/>
  <c r="B1459" i="48"/>
  <c r="C1459" i="48"/>
  <c r="D1459" i="48"/>
  <c r="B1460" i="48"/>
  <c r="C1460" i="48"/>
  <c r="D1460" i="48"/>
  <c r="B1461" i="48"/>
  <c r="C1461" i="48"/>
  <c r="D1461" i="48"/>
  <c r="B1462" i="48"/>
  <c r="C1462" i="48"/>
  <c r="D1462" i="48"/>
  <c r="B1463" i="48"/>
  <c r="C1463" i="48"/>
  <c r="D1463" i="48"/>
  <c r="B1464" i="48"/>
  <c r="C1464" i="48"/>
  <c r="D1464" i="48"/>
  <c r="B1465" i="48"/>
  <c r="C1465" i="48"/>
  <c r="D1465" i="48"/>
  <c r="B1466" i="48"/>
  <c r="C1466" i="48"/>
  <c r="D1466" i="48"/>
  <c r="B1467" i="48"/>
  <c r="C1467" i="48"/>
  <c r="D1467" i="48"/>
  <c r="B1468" i="48"/>
  <c r="C1468" i="48"/>
  <c r="D1468" i="48"/>
  <c r="B1469" i="48"/>
  <c r="C1469" i="48"/>
  <c r="D1469" i="48"/>
  <c r="B1470" i="48"/>
  <c r="C1470" i="48"/>
  <c r="D1470" i="48"/>
  <c r="B1471" i="48"/>
  <c r="C1471" i="48"/>
  <c r="D1471" i="48"/>
  <c r="B1472" i="48"/>
  <c r="C1472" i="48"/>
  <c r="D1472" i="48"/>
  <c r="B1473" i="48"/>
  <c r="C1473" i="48"/>
  <c r="D1473" i="48"/>
  <c r="B1474" i="48"/>
  <c r="C1474" i="48"/>
  <c r="D1474" i="48"/>
  <c r="B1475" i="48"/>
  <c r="C1475" i="48"/>
  <c r="D1475" i="48"/>
  <c r="B1476" i="48"/>
  <c r="C1476" i="48"/>
  <c r="D1476" i="48"/>
  <c r="B1477" i="48"/>
  <c r="C1477" i="48"/>
  <c r="D1477" i="48"/>
  <c r="B1478" i="48"/>
  <c r="C1478" i="48"/>
  <c r="D1478" i="48"/>
  <c r="B1479" i="48"/>
  <c r="C1479" i="48"/>
  <c r="D1479" i="48"/>
  <c r="B1480" i="48"/>
  <c r="C1480" i="48"/>
  <c r="D1480" i="48"/>
  <c r="B1481" i="48"/>
  <c r="C1481" i="48"/>
  <c r="D1481" i="48"/>
  <c r="B1482" i="48"/>
  <c r="C1482" i="48"/>
  <c r="D1482" i="48"/>
  <c r="B1483" i="48"/>
  <c r="C1483" i="48"/>
  <c r="D1483" i="48"/>
  <c r="B1484" i="48"/>
  <c r="C1484" i="48"/>
  <c r="D1484" i="48"/>
  <c r="B1485" i="48"/>
  <c r="C1485" i="48"/>
  <c r="D1485" i="48"/>
  <c r="B1486" i="48"/>
  <c r="C1486" i="48"/>
  <c r="D1486" i="48"/>
  <c r="B1487" i="48"/>
  <c r="C1487" i="48"/>
  <c r="D1487" i="48"/>
  <c r="B1488" i="48"/>
  <c r="C1488" i="48"/>
  <c r="D1488" i="48"/>
  <c r="B1489" i="48"/>
  <c r="C1489" i="48"/>
  <c r="D1489" i="48"/>
  <c r="B1490" i="48"/>
  <c r="C1490" i="48"/>
  <c r="D1490" i="48"/>
  <c r="B1491" i="48"/>
  <c r="C1491" i="48"/>
  <c r="D1491" i="48"/>
  <c r="B1492" i="48"/>
  <c r="C1492" i="48"/>
  <c r="D1492" i="48"/>
  <c r="B1493" i="48"/>
  <c r="C1493" i="48"/>
  <c r="D1493" i="48"/>
  <c r="B1494" i="48"/>
  <c r="C1494" i="48"/>
  <c r="D1494" i="48"/>
  <c r="B1495" i="48"/>
  <c r="C1495" i="48"/>
  <c r="D1495" i="48"/>
  <c r="B1496" i="48"/>
  <c r="C1496" i="48"/>
  <c r="D1496" i="48"/>
  <c r="B1497" i="48"/>
  <c r="C1497" i="48"/>
  <c r="D1497" i="48"/>
  <c r="B1498" i="48"/>
  <c r="C1498" i="48"/>
  <c r="D1498" i="48"/>
  <c r="B1499" i="48"/>
  <c r="C1499" i="48"/>
  <c r="D1499" i="48"/>
  <c r="B1500" i="48"/>
  <c r="C1500" i="48"/>
  <c r="D1500" i="48"/>
  <c r="B1501" i="48"/>
  <c r="C1501" i="48"/>
  <c r="D1501" i="48"/>
  <c r="B1502" i="48"/>
  <c r="C1502" i="48"/>
  <c r="D1502" i="48"/>
  <c r="B1503" i="48"/>
  <c r="C1503" i="48"/>
  <c r="D1503" i="48"/>
  <c r="B1504" i="48"/>
  <c r="C1504" i="48"/>
  <c r="D1504" i="48"/>
  <c r="B1505" i="48"/>
  <c r="C1505" i="48"/>
  <c r="D1505" i="48"/>
  <c r="B1506" i="48"/>
  <c r="C1506" i="48"/>
  <c r="D1506" i="48"/>
  <c r="B1507" i="48"/>
  <c r="C1507" i="48"/>
  <c r="D1507" i="48"/>
  <c r="B1508" i="48"/>
  <c r="C1508" i="48"/>
  <c r="D1508" i="48"/>
  <c r="B1509" i="48"/>
  <c r="C1509" i="48"/>
  <c r="D1509" i="48"/>
  <c r="B1510" i="48"/>
  <c r="C1510" i="48"/>
  <c r="D1510" i="48"/>
  <c r="B1511" i="48"/>
  <c r="C1511" i="48"/>
  <c r="D1511" i="48"/>
  <c r="B1512" i="48"/>
  <c r="C1512" i="48"/>
  <c r="D1512" i="48"/>
  <c r="B1513" i="48"/>
  <c r="C1513" i="48"/>
  <c r="D1513" i="48"/>
  <c r="B1514" i="48"/>
  <c r="C1514" i="48"/>
  <c r="D1514" i="48"/>
  <c r="B1515" i="48"/>
  <c r="C1515" i="48"/>
  <c r="D1515" i="48"/>
  <c r="B1516" i="48"/>
  <c r="C1516" i="48"/>
  <c r="D1516" i="48"/>
  <c r="B1517" i="48"/>
  <c r="C1517" i="48"/>
  <c r="D1517" i="48"/>
  <c r="B1518" i="48"/>
  <c r="C1518" i="48"/>
  <c r="D1518" i="48"/>
  <c r="B1519" i="48"/>
  <c r="C1519" i="48"/>
  <c r="D1519" i="48"/>
  <c r="B1520" i="48"/>
  <c r="C1520" i="48"/>
  <c r="D1520" i="48"/>
  <c r="B1521" i="48"/>
  <c r="C1521" i="48"/>
  <c r="D1521" i="48"/>
  <c r="B1522" i="48"/>
  <c r="C1522" i="48"/>
  <c r="D1522" i="48"/>
  <c r="B1523" i="48"/>
  <c r="C1523" i="48"/>
  <c r="D1523" i="48"/>
  <c r="B1524" i="48"/>
  <c r="C1524" i="48"/>
  <c r="D1524" i="48"/>
  <c r="B1525" i="48"/>
  <c r="C1525" i="48"/>
  <c r="D1525" i="48"/>
  <c r="B1526" i="48"/>
  <c r="C1526" i="48"/>
  <c r="D1526" i="48"/>
  <c r="B1527" i="48"/>
  <c r="C1527" i="48"/>
  <c r="D1527" i="48"/>
  <c r="B1528" i="48"/>
  <c r="C1528" i="48"/>
  <c r="D1528" i="48"/>
  <c r="B1529" i="48"/>
  <c r="C1529" i="48"/>
  <c r="D1529" i="48"/>
  <c r="B1530" i="48"/>
  <c r="C1530" i="48"/>
  <c r="D1530" i="48"/>
  <c r="B1531" i="48"/>
  <c r="C1531" i="48"/>
  <c r="D1531" i="48"/>
  <c r="B1532" i="48"/>
  <c r="C1532" i="48"/>
  <c r="D1532" i="48"/>
  <c r="B1533" i="48"/>
  <c r="C1533" i="48"/>
  <c r="D1533" i="48"/>
  <c r="B1534" i="48"/>
  <c r="C1534" i="48"/>
  <c r="D1534" i="48"/>
  <c r="B1535" i="48"/>
  <c r="C1535" i="48"/>
  <c r="D1535" i="48"/>
  <c r="B1536" i="48"/>
  <c r="C1536" i="48"/>
  <c r="D1536" i="48"/>
  <c r="B1537" i="48"/>
  <c r="C1537" i="48"/>
  <c r="D1537" i="48"/>
  <c r="B1538" i="48"/>
  <c r="C1538" i="48"/>
  <c r="D1538" i="48"/>
  <c r="B1539" i="48"/>
  <c r="C1539" i="48"/>
  <c r="D1539" i="48"/>
  <c r="B1540" i="48"/>
  <c r="C1540" i="48"/>
  <c r="D1540" i="48"/>
  <c r="B1541" i="48"/>
  <c r="C1541" i="48"/>
  <c r="D1541" i="48"/>
  <c r="B1542" i="48"/>
  <c r="C1542" i="48"/>
  <c r="D1542" i="48"/>
  <c r="B1543" i="48"/>
  <c r="C1543" i="48"/>
  <c r="D1543" i="48"/>
  <c r="B1544" i="48"/>
  <c r="C1544" i="48"/>
  <c r="D1544" i="48"/>
  <c r="B1545" i="48"/>
  <c r="C1545" i="48"/>
  <c r="D1545" i="48"/>
  <c r="B1546" i="48"/>
  <c r="C1546" i="48"/>
  <c r="D1546" i="48"/>
  <c r="B1547" i="48"/>
  <c r="C1547" i="48"/>
  <c r="D1547" i="48"/>
  <c r="B1548" i="48"/>
  <c r="C1548" i="48"/>
  <c r="D1548" i="48"/>
  <c r="B1549" i="48"/>
  <c r="C1549" i="48"/>
  <c r="D1549" i="48"/>
  <c r="B1550" i="48"/>
  <c r="C1550" i="48"/>
  <c r="D1550" i="48"/>
  <c r="B1551" i="48"/>
  <c r="C1551" i="48"/>
  <c r="D1551" i="48"/>
  <c r="B1552" i="48"/>
  <c r="C1552" i="48"/>
  <c r="D1552" i="48"/>
  <c r="B1553" i="48"/>
  <c r="C1553" i="48"/>
  <c r="D1553" i="48"/>
  <c r="B1554" i="48"/>
  <c r="C1554" i="48"/>
  <c r="D1554" i="48"/>
  <c r="B1555" i="48"/>
  <c r="C1555" i="48"/>
  <c r="D1555" i="48"/>
  <c r="B1556" i="48"/>
  <c r="C1556" i="48"/>
  <c r="D1556" i="48"/>
  <c r="B1557" i="48"/>
  <c r="C1557" i="48"/>
  <c r="D1557" i="48"/>
  <c r="B1558" i="48"/>
  <c r="C1558" i="48"/>
  <c r="D1558" i="48"/>
  <c r="B1559" i="48"/>
  <c r="C1559" i="48"/>
  <c r="D1559" i="48"/>
  <c r="B1560" i="48"/>
  <c r="C1560" i="48"/>
  <c r="D1560" i="48"/>
  <c r="B1561" i="48"/>
  <c r="C1561" i="48"/>
  <c r="D1561" i="48"/>
  <c r="B1562" i="48"/>
  <c r="C1562" i="48"/>
  <c r="D1562" i="48"/>
  <c r="B1563" i="48"/>
  <c r="C1563" i="48"/>
  <c r="D1563" i="48"/>
  <c r="B1564" i="48"/>
  <c r="C1564" i="48"/>
  <c r="D1564" i="48"/>
  <c r="B1565" i="48"/>
  <c r="C1565" i="48"/>
  <c r="D1565" i="48"/>
  <c r="B1566" i="48"/>
  <c r="C1566" i="48"/>
  <c r="D1566" i="48"/>
  <c r="B1567" i="48"/>
  <c r="C1567" i="48"/>
  <c r="D1567" i="48"/>
  <c r="B1568" i="48"/>
  <c r="C1568" i="48"/>
  <c r="D1568" i="48"/>
  <c r="B1569" i="48"/>
  <c r="C1569" i="48"/>
  <c r="D1569" i="48"/>
  <c r="B1570" i="48"/>
  <c r="C1570" i="48"/>
  <c r="D1570" i="48"/>
  <c r="B1571" i="48"/>
  <c r="C1571" i="48"/>
  <c r="D1571" i="48"/>
  <c r="B1572" i="48"/>
  <c r="C1572" i="48"/>
  <c r="D1572" i="48"/>
  <c r="B1573" i="48"/>
  <c r="C1573" i="48"/>
  <c r="D1573" i="48"/>
  <c r="B1574" i="48"/>
  <c r="C1574" i="48"/>
  <c r="D1574" i="48"/>
  <c r="B1575" i="48"/>
  <c r="C1575" i="48"/>
  <c r="D1575" i="48"/>
  <c r="B1576" i="48"/>
  <c r="C1576" i="48"/>
  <c r="D1576" i="48"/>
  <c r="B1577" i="48"/>
  <c r="C1577" i="48"/>
  <c r="D1577" i="48"/>
  <c r="B1578" i="48"/>
  <c r="C1578" i="48"/>
  <c r="D1578" i="48"/>
  <c r="B1579" i="48"/>
  <c r="C1579" i="48"/>
  <c r="D1579" i="48"/>
  <c r="B1580" i="48"/>
  <c r="C1580" i="48"/>
  <c r="D1580" i="48"/>
  <c r="B1581" i="48"/>
  <c r="C1581" i="48"/>
  <c r="D1581" i="48"/>
  <c r="B1582" i="48"/>
  <c r="C1582" i="48"/>
  <c r="D1582" i="48"/>
  <c r="B1583" i="48"/>
  <c r="C1583" i="48"/>
  <c r="D1583" i="48"/>
  <c r="B1584" i="48"/>
  <c r="C1584" i="48"/>
  <c r="D1584" i="48"/>
  <c r="B1585" i="48"/>
  <c r="C1585" i="48"/>
  <c r="D1585" i="48"/>
  <c r="B1586" i="48"/>
  <c r="C1586" i="48"/>
  <c r="D1586" i="48"/>
  <c r="B1587" i="48"/>
  <c r="C1587" i="48"/>
  <c r="D1587" i="48"/>
  <c r="B1588" i="48"/>
  <c r="C1588" i="48"/>
  <c r="D1588" i="48"/>
  <c r="B1589" i="48"/>
  <c r="C1589" i="48"/>
  <c r="D1589" i="48"/>
  <c r="B1590" i="48"/>
  <c r="C1590" i="48"/>
  <c r="D1590" i="48"/>
  <c r="B1591" i="48"/>
  <c r="C1591" i="48"/>
  <c r="D1591" i="48"/>
  <c r="B1592" i="48"/>
  <c r="C1592" i="48"/>
  <c r="D1592" i="48"/>
  <c r="B1593" i="48"/>
  <c r="C1593" i="48"/>
  <c r="D1593" i="48"/>
  <c r="B1594" i="48"/>
  <c r="C1594" i="48"/>
  <c r="D1594" i="48"/>
  <c r="B1595" i="48"/>
  <c r="C1595" i="48"/>
  <c r="D1595" i="48"/>
  <c r="B1596" i="48"/>
  <c r="C1596" i="48"/>
  <c r="D1596" i="48"/>
  <c r="B1597" i="48"/>
  <c r="C1597" i="48"/>
  <c r="D1597" i="48"/>
  <c r="B1598" i="48"/>
  <c r="C1598" i="48"/>
  <c r="D1598" i="48"/>
  <c r="B1599" i="48"/>
  <c r="C1599" i="48"/>
  <c r="D1599" i="48"/>
  <c r="B1600" i="48"/>
  <c r="C1600" i="48"/>
  <c r="D1600" i="48"/>
  <c r="B1601" i="48"/>
  <c r="C1601" i="48"/>
  <c r="D1601" i="48"/>
  <c r="B1602" i="48"/>
  <c r="C1602" i="48"/>
  <c r="D1602" i="48"/>
  <c r="B1603" i="48"/>
  <c r="C1603" i="48"/>
  <c r="D1603" i="48"/>
  <c r="B1604" i="48"/>
  <c r="C1604" i="48"/>
  <c r="D1604" i="48"/>
  <c r="B1605" i="48"/>
  <c r="C1605" i="48"/>
  <c r="D1605" i="48"/>
  <c r="B1606" i="48"/>
  <c r="C1606" i="48"/>
  <c r="D1606" i="48"/>
  <c r="B1607" i="48"/>
  <c r="C1607" i="48"/>
  <c r="D1607" i="48"/>
  <c r="B1608" i="48"/>
  <c r="C1608" i="48"/>
  <c r="D1608" i="48"/>
  <c r="B1609" i="48"/>
  <c r="C1609" i="48"/>
  <c r="D1609" i="48"/>
  <c r="B1610" i="48"/>
  <c r="C1610" i="48"/>
  <c r="D1610" i="48"/>
  <c r="B1611" i="48"/>
  <c r="C1611" i="48"/>
  <c r="D1611" i="48"/>
  <c r="B1612" i="48"/>
  <c r="C1612" i="48"/>
  <c r="D1612" i="48"/>
  <c r="B1613" i="48"/>
  <c r="C1613" i="48"/>
  <c r="D1613" i="48"/>
  <c r="B1614" i="48"/>
  <c r="C1614" i="48"/>
  <c r="D1614" i="48"/>
  <c r="B1615" i="48"/>
  <c r="C1615" i="48"/>
  <c r="D1615" i="48"/>
  <c r="B1616" i="48"/>
  <c r="C1616" i="48"/>
  <c r="D1616" i="48"/>
  <c r="B1617" i="48"/>
  <c r="C1617" i="48"/>
  <c r="D1617" i="48"/>
  <c r="B1618" i="48"/>
  <c r="C1618" i="48"/>
  <c r="D1618" i="48"/>
  <c r="B1619" i="48"/>
  <c r="C1619" i="48"/>
  <c r="D1619" i="48"/>
  <c r="B1620" i="48"/>
  <c r="C1620" i="48"/>
  <c r="D1620" i="48"/>
  <c r="B1621" i="48"/>
  <c r="C1621" i="48"/>
  <c r="D1621" i="48"/>
  <c r="B1622" i="48"/>
  <c r="C1622" i="48"/>
  <c r="D1622" i="48"/>
  <c r="B1623" i="48"/>
  <c r="C1623" i="48"/>
  <c r="D1623" i="48"/>
  <c r="B1624" i="48"/>
  <c r="C1624" i="48"/>
  <c r="D1624" i="48"/>
  <c r="B1625" i="48"/>
  <c r="C1625" i="48"/>
  <c r="D1625" i="48"/>
  <c r="B1626" i="48"/>
  <c r="C1626" i="48"/>
  <c r="D1626" i="48"/>
  <c r="B1627" i="48"/>
  <c r="C1627" i="48"/>
  <c r="D1627" i="48"/>
  <c r="B1628" i="48"/>
  <c r="C1628" i="48"/>
  <c r="D1628" i="48"/>
  <c r="B1629" i="48"/>
  <c r="C1629" i="48"/>
  <c r="D1629" i="48"/>
  <c r="B1630" i="48"/>
  <c r="C1630" i="48"/>
  <c r="D1630" i="48"/>
  <c r="B1631" i="48"/>
  <c r="C1631" i="48"/>
  <c r="D1631" i="48"/>
  <c r="B1632" i="48"/>
  <c r="C1632" i="48"/>
  <c r="D1632" i="48"/>
  <c r="B1633" i="48"/>
  <c r="C1633" i="48"/>
  <c r="D1633" i="48"/>
  <c r="B1634" i="48"/>
  <c r="C1634" i="48"/>
  <c r="D1634" i="48"/>
  <c r="B1635" i="48"/>
  <c r="C1635" i="48"/>
  <c r="D1635" i="48"/>
  <c r="B1636" i="48"/>
  <c r="C1636" i="48"/>
  <c r="D1636" i="48"/>
  <c r="B1637" i="48"/>
  <c r="C1637" i="48"/>
  <c r="D1637" i="48"/>
  <c r="B1638" i="48"/>
  <c r="C1638" i="48"/>
  <c r="D1638" i="48"/>
  <c r="B1639" i="48"/>
  <c r="C1639" i="48"/>
  <c r="D1639" i="48"/>
  <c r="B1640" i="48"/>
  <c r="C1640" i="48"/>
  <c r="D1640" i="48"/>
  <c r="B1641" i="48"/>
  <c r="C1641" i="48"/>
  <c r="D1641" i="48"/>
  <c r="B1642" i="48"/>
  <c r="C1642" i="48"/>
  <c r="D1642" i="48"/>
  <c r="B1643" i="48"/>
  <c r="C1643" i="48"/>
  <c r="D1643" i="48"/>
  <c r="B1644" i="48"/>
  <c r="C1644" i="48"/>
  <c r="D1644" i="48"/>
  <c r="B1645" i="48"/>
  <c r="C1645" i="48"/>
  <c r="D1645" i="48"/>
  <c r="B1646" i="48"/>
  <c r="C1646" i="48"/>
  <c r="D1646" i="48"/>
  <c r="B1647" i="48"/>
  <c r="C1647" i="48"/>
  <c r="D1647" i="48"/>
  <c r="B1648" i="48"/>
  <c r="C1648" i="48"/>
  <c r="D1648" i="48"/>
  <c r="B1649" i="48"/>
  <c r="C1649" i="48"/>
  <c r="D1649" i="48"/>
  <c r="B1650" i="48"/>
  <c r="C1650" i="48"/>
  <c r="D1650" i="48"/>
  <c r="B1651" i="48"/>
  <c r="C1651" i="48"/>
  <c r="D1651" i="48"/>
  <c r="B1652" i="48"/>
  <c r="C1652" i="48"/>
  <c r="D1652" i="48"/>
  <c r="B1653" i="48"/>
  <c r="C1653" i="48"/>
  <c r="D1653" i="48"/>
  <c r="B1654" i="48"/>
  <c r="C1654" i="48"/>
  <c r="D1654" i="48"/>
  <c r="B1655" i="48"/>
  <c r="C1655" i="48"/>
  <c r="D1655" i="48"/>
  <c r="B1656" i="48"/>
  <c r="C1656" i="48"/>
  <c r="D1656" i="48"/>
  <c r="B1657" i="48"/>
  <c r="C1657" i="48"/>
  <c r="D1657" i="48"/>
  <c r="B1658" i="48"/>
  <c r="C1658" i="48"/>
  <c r="D1658" i="48"/>
  <c r="B1659" i="48"/>
  <c r="C1659" i="48"/>
  <c r="D1659" i="48"/>
  <c r="B1660" i="48"/>
  <c r="C1660" i="48"/>
  <c r="D1660" i="48"/>
  <c r="B1661" i="48"/>
  <c r="C1661" i="48"/>
  <c r="D1661" i="48"/>
  <c r="B1662" i="48"/>
  <c r="C1662" i="48"/>
  <c r="D1662" i="48"/>
  <c r="B1663" i="48"/>
  <c r="C1663" i="48"/>
  <c r="D1663" i="48"/>
  <c r="B1664" i="48"/>
  <c r="C1664" i="48"/>
  <c r="D1664" i="48"/>
  <c r="B1665" i="48"/>
  <c r="C1665" i="48"/>
  <c r="D1665" i="48"/>
  <c r="B1666" i="48"/>
  <c r="C1666" i="48"/>
  <c r="D1666" i="48"/>
  <c r="B1667" i="48"/>
  <c r="C1667" i="48"/>
  <c r="D1667" i="48"/>
  <c r="B1668" i="48"/>
  <c r="C1668" i="48"/>
  <c r="D1668" i="48"/>
  <c r="B1669" i="48"/>
  <c r="C1669" i="48"/>
  <c r="D1669" i="48"/>
  <c r="B1670" i="48"/>
  <c r="C1670" i="48"/>
  <c r="D1670" i="48"/>
  <c r="B1671" i="48"/>
  <c r="C1671" i="48"/>
  <c r="D1671" i="48"/>
  <c r="B1672" i="48"/>
  <c r="C1672" i="48"/>
  <c r="D1672" i="48"/>
  <c r="B1673" i="48"/>
  <c r="C1673" i="48"/>
  <c r="D1673" i="48"/>
  <c r="B1674" i="48"/>
  <c r="C1674" i="48"/>
  <c r="D1674" i="48"/>
  <c r="B1675" i="48"/>
  <c r="C1675" i="48"/>
  <c r="D1675" i="48"/>
  <c r="B1676" i="48"/>
  <c r="C1676" i="48"/>
  <c r="D1676" i="48"/>
  <c r="B1677" i="48"/>
  <c r="C1677" i="48"/>
  <c r="D1677" i="48"/>
  <c r="B1678" i="48"/>
  <c r="C1678" i="48"/>
  <c r="D1678" i="48"/>
  <c r="B1679" i="48"/>
  <c r="C1679" i="48"/>
  <c r="D1679" i="48"/>
  <c r="B1680" i="48"/>
  <c r="C1680" i="48"/>
  <c r="D1680" i="48"/>
  <c r="B1681" i="48"/>
  <c r="C1681" i="48"/>
  <c r="D1681" i="48"/>
  <c r="B1682" i="48"/>
  <c r="C1682" i="48"/>
  <c r="D1682" i="48"/>
  <c r="B1683" i="48"/>
  <c r="C1683" i="48"/>
  <c r="D1683" i="48"/>
  <c r="B1684" i="48"/>
  <c r="C1684" i="48"/>
  <c r="D1684" i="48"/>
  <c r="B1685" i="48"/>
  <c r="C1685" i="48"/>
  <c r="D1685" i="48"/>
  <c r="B1686" i="48"/>
  <c r="C1686" i="48"/>
  <c r="D1686" i="48"/>
  <c r="B1687" i="48"/>
  <c r="C1687" i="48"/>
  <c r="D1687" i="48"/>
  <c r="B1688" i="48"/>
  <c r="C1688" i="48"/>
  <c r="D1688" i="48"/>
  <c r="B1689" i="48"/>
  <c r="C1689" i="48"/>
  <c r="D1689" i="48"/>
  <c r="B1690" i="48"/>
  <c r="C1690" i="48"/>
  <c r="D1690" i="48"/>
  <c r="B1691" i="48"/>
  <c r="C1691" i="48"/>
  <c r="D1691" i="48"/>
  <c r="B1692" i="48"/>
  <c r="C1692" i="48"/>
  <c r="D1692" i="48"/>
  <c r="B1693" i="48"/>
  <c r="C1693" i="48"/>
  <c r="D1693" i="48"/>
  <c r="B1694" i="48"/>
  <c r="C1694" i="48"/>
  <c r="D1694" i="48"/>
  <c r="B1695" i="48"/>
  <c r="C1695" i="48"/>
  <c r="D1695" i="48"/>
  <c r="B1696" i="48"/>
  <c r="C1696" i="48"/>
  <c r="D1696" i="48"/>
  <c r="B1697" i="48"/>
  <c r="C1697" i="48"/>
  <c r="D1697" i="48"/>
  <c r="B1698" i="48"/>
  <c r="C1698" i="48"/>
  <c r="D1698" i="48"/>
  <c r="B1699" i="48"/>
  <c r="C1699" i="48"/>
  <c r="D1699" i="48"/>
  <c r="B1700" i="48"/>
  <c r="C1700" i="48"/>
  <c r="D1700" i="48"/>
  <c r="B1701" i="48"/>
  <c r="C1701" i="48"/>
  <c r="D1701" i="48"/>
  <c r="B1702" i="48"/>
  <c r="C1702" i="48"/>
  <c r="D1702" i="48"/>
  <c r="B1703" i="48"/>
  <c r="C1703" i="48"/>
  <c r="D1703" i="48"/>
  <c r="B1704" i="48"/>
  <c r="C1704" i="48"/>
  <c r="D1704" i="48"/>
  <c r="B1705" i="48"/>
  <c r="C1705" i="48"/>
  <c r="D1705" i="48"/>
  <c r="B1706" i="48"/>
  <c r="C1706" i="48"/>
  <c r="D1706" i="48"/>
  <c r="B1707" i="48"/>
  <c r="C1707" i="48"/>
  <c r="D1707" i="48"/>
  <c r="B1708" i="48"/>
  <c r="C1708" i="48"/>
  <c r="D1708" i="48"/>
  <c r="B1709" i="48"/>
  <c r="C1709" i="48"/>
  <c r="D1709" i="48"/>
  <c r="B1710" i="48"/>
  <c r="C1710" i="48"/>
  <c r="D1710" i="48"/>
  <c r="B1711" i="48"/>
  <c r="C1711" i="48"/>
  <c r="D1711" i="48"/>
  <c r="B1712" i="48"/>
  <c r="C1712" i="48"/>
  <c r="D1712" i="48"/>
  <c r="B1713" i="48"/>
  <c r="C1713" i="48"/>
  <c r="D1713" i="48"/>
  <c r="B1714" i="48"/>
  <c r="C1714" i="48"/>
  <c r="D1714" i="48"/>
  <c r="B1715" i="48"/>
  <c r="C1715" i="48"/>
  <c r="D1715" i="48"/>
  <c r="B1716" i="48"/>
  <c r="C1716" i="48"/>
  <c r="D1716" i="48"/>
  <c r="B1717" i="48"/>
  <c r="C1717" i="48"/>
  <c r="D1717" i="48"/>
  <c r="B1718" i="48"/>
  <c r="C1718" i="48"/>
  <c r="D1718" i="48"/>
  <c r="B1719" i="48"/>
  <c r="C1719" i="48"/>
  <c r="D1719" i="48"/>
  <c r="B1720" i="48"/>
  <c r="C1720" i="48"/>
  <c r="D1720" i="48"/>
  <c r="B1721" i="48"/>
  <c r="C1721" i="48"/>
  <c r="D1721" i="48"/>
  <c r="B1722" i="48"/>
  <c r="C1722" i="48"/>
  <c r="D1722" i="48"/>
  <c r="B1723" i="48"/>
  <c r="C1723" i="48"/>
  <c r="D1723" i="48"/>
  <c r="B1724" i="48"/>
  <c r="C1724" i="48"/>
  <c r="D1724" i="48"/>
  <c r="B1725" i="48"/>
  <c r="C1725" i="48"/>
  <c r="D1725" i="48"/>
  <c r="B1726" i="48"/>
  <c r="C1726" i="48"/>
  <c r="D1726" i="48"/>
  <c r="B1727" i="48"/>
  <c r="C1727" i="48"/>
  <c r="D1727" i="48"/>
  <c r="B1728" i="48"/>
  <c r="C1728" i="48"/>
  <c r="D1728" i="48"/>
  <c r="B1729" i="48"/>
  <c r="C1729" i="48"/>
  <c r="D1729" i="48"/>
  <c r="B1730" i="48"/>
  <c r="C1730" i="48"/>
  <c r="D1730" i="48"/>
  <c r="B1731" i="48"/>
  <c r="C1731" i="48"/>
  <c r="D1731" i="48"/>
  <c r="B1732" i="48"/>
  <c r="C1732" i="48"/>
  <c r="D1732" i="48"/>
  <c r="B1733" i="48"/>
  <c r="C1733" i="48"/>
  <c r="D1733" i="48"/>
  <c r="B1734" i="48"/>
  <c r="C1734" i="48"/>
  <c r="D1734" i="48"/>
  <c r="B1735" i="48"/>
  <c r="C1735" i="48"/>
  <c r="D1735" i="48"/>
  <c r="B1736" i="48"/>
  <c r="C1736" i="48"/>
  <c r="D1736" i="48"/>
  <c r="B1737" i="48"/>
  <c r="C1737" i="48"/>
  <c r="D1737" i="48"/>
  <c r="B1738" i="48"/>
  <c r="C1738" i="48"/>
  <c r="D1738" i="48"/>
  <c r="B1739" i="48"/>
  <c r="C1739" i="48"/>
  <c r="D1739" i="48"/>
  <c r="B1740" i="48"/>
  <c r="C1740" i="48"/>
  <c r="D1740" i="48"/>
  <c r="B1741" i="48"/>
  <c r="C1741" i="48"/>
  <c r="D1741" i="48"/>
  <c r="B1742" i="48"/>
  <c r="C1742" i="48"/>
  <c r="D1742" i="48"/>
  <c r="B1743" i="48"/>
  <c r="C1743" i="48"/>
  <c r="D1743" i="48"/>
  <c r="B1744" i="48"/>
  <c r="C1744" i="48"/>
  <c r="D1744" i="48"/>
  <c r="B1745" i="48"/>
  <c r="C1745" i="48"/>
  <c r="D1745" i="48"/>
  <c r="B1746" i="48"/>
  <c r="C1746" i="48"/>
  <c r="D1746" i="48"/>
  <c r="B1747" i="48"/>
  <c r="C1747" i="48"/>
  <c r="D1747" i="48"/>
  <c r="B1748" i="48"/>
  <c r="C1748" i="48"/>
  <c r="D1748" i="48"/>
  <c r="B1749" i="48"/>
  <c r="C1749" i="48"/>
  <c r="D1749" i="48"/>
  <c r="B1750" i="48"/>
  <c r="C1750" i="48"/>
  <c r="D1750" i="48"/>
  <c r="B1751" i="48"/>
  <c r="C1751" i="48"/>
  <c r="D1751" i="48"/>
  <c r="B1752" i="48"/>
  <c r="C1752" i="48"/>
  <c r="D1752" i="48"/>
  <c r="B1753" i="48"/>
  <c r="C1753" i="48"/>
  <c r="D1753" i="48"/>
  <c r="B1754" i="48"/>
  <c r="C1754" i="48"/>
  <c r="D1754" i="48"/>
  <c r="B1755" i="48"/>
  <c r="C1755" i="48"/>
  <c r="D1755" i="48"/>
  <c r="B1756" i="48"/>
  <c r="C1756" i="48"/>
  <c r="D1756" i="48"/>
  <c r="B1757" i="48"/>
  <c r="C1757" i="48"/>
  <c r="D1757" i="48"/>
  <c r="B1758" i="48"/>
  <c r="C1758" i="48"/>
  <c r="D1758" i="48"/>
  <c r="B1759" i="48"/>
  <c r="C1759" i="48"/>
  <c r="D1759" i="48"/>
  <c r="B1760" i="48"/>
  <c r="C1760" i="48"/>
  <c r="D1760" i="48"/>
  <c r="B1761" i="48"/>
  <c r="C1761" i="48"/>
  <c r="D1761" i="48"/>
  <c r="B1762" i="48"/>
  <c r="C1762" i="48"/>
  <c r="D1762" i="48"/>
  <c r="B1763" i="48"/>
  <c r="C1763" i="48"/>
  <c r="D1763" i="48"/>
  <c r="B1764" i="48"/>
  <c r="C1764" i="48"/>
  <c r="D1764" i="48"/>
  <c r="B1765" i="48"/>
  <c r="C1765" i="48"/>
  <c r="D1765" i="48"/>
  <c r="B1766" i="48"/>
  <c r="C1766" i="48"/>
  <c r="D1766" i="48"/>
  <c r="B1767" i="48"/>
  <c r="C1767" i="48"/>
  <c r="D1767" i="48"/>
  <c r="B1768" i="48"/>
  <c r="C1768" i="48"/>
  <c r="D1768" i="48"/>
  <c r="B1769" i="48"/>
  <c r="C1769" i="48"/>
  <c r="D1769" i="48"/>
  <c r="B1770" i="48"/>
  <c r="C1770" i="48"/>
  <c r="D1770" i="48"/>
  <c r="B1771" i="48"/>
  <c r="C1771" i="48"/>
  <c r="D1771" i="48"/>
  <c r="B1772" i="48"/>
  <c r="C1772" i="48"/>
  <c r="D1772" i="48"/>
  <c r="B1773" i="48"/>
  <c r="C1773" i="48"/>
  <c r="D1773" i="48"/>
  <c r="B1774" i="48"/>
  <c r="C1774" i="48"/>
  <c r="D1774" i="48"/>
  <c r="B1775" i="48"/>
  <c r="C1775" i="48"/>
  <c r="D1775" i="48"/>
  <c r="B1776" i="48"/>
  <c r="C1776" i="48"/>
  <c r="D1776" i="48"/>
  <c r="B1777" i="48"/>
  <c r="C1777" i="48"/>
  <c r="D1777" i="48"/>
  <c r="B1778" i="48"/>
  <c r="C1778" i="48"/>
  <c r="D1778" i="48"/>
  <c r="B1779" i="48"/>
  <c r="C1779" i="48"/>
  <c r="D1779" i="48"/>
  <c r="B1780" i="48"/>
  <c r="C1780" i="48"/>
  <c r="D1780" i="48"/>
  <c r="B1781" i="48"/>
  <c r="C1781" i="48"/>
  <c r="D1781" i="48"/>
  <c r="B1782" i="48"/>
  <c r="C1782" i="48"/>
  <c r="D1782" i="48"/>
  <c r="B1783" i="48"/>
  <c r="C1783" i="48"/>
  <c r="D1783" i="48"/>
  <c r="B1784" i="48"/>
  <c r="C1784" i="48"/>
  <c r="D1784" i="48"/>
  <c r="B1785" i="48"/>
  <c r="C1785" i="48"/>
  <c r="D1785" i="48"/>
  <c r="B1786" i="48"/>
  <c r="C1786" i="48"/>
  <c r="D1786" i="48"/>
  <c r="B1787" i="48"/>
  <c r="C1787" i="48"/>
  <c r="D1787" i="48"/>
  <c r="B1788" i="48"/>
  <c r="C1788" i="48"/>
  <c r="D1788" i="48"/>
  <c r="B1789" i="48"/>
  <c r="C1789" i="48"/>
  <c r="D1789" i="48"/>
  <c r="B1790" i="48"/>
  <c r="C1790" i="48"/>
  <c r="D1790" i="48"/>
  <c r="B1791" i="48"/>
  <c r="C1791" i="48"/>
  <c r="D1791" i="48"/>
  <c r="B1792" i="48"/>
  <c r="C1792" i="48"/>
  <c r="D1792" i="48"/>
  <c r="B1793" i="48"/>
  <c r="C1793" i="48"/>
  <c r="D1793" i="48"/>
  <c r="B1794" i="48"/>
  <c r="C1794" i="48"/>
  <c r="D1794" i="48"/>
  <c r="B1795" i="48"/>
  <c r="C1795" i="48"/>
  <c r="D1795" i="48"/>
  <c r="B1796" i="48"/>
  <c r="C1796" i="48"/>
  <c r="D1796" i="48"/>
  <c r="B1797" i="48"/>
  <c r="C1797" i="48"/>
  <c r="D1797" i="48"/>
  <c r="B1798" i="48"/>
  <c r="C1798" i="48"/>
  <c r="D1798" i="48"/>
  <c r="B1799" i="48"/>
  <c r="C1799" i="48"/>
  <c r="D1799" i="48"/>
  <c r="B1800" i="48"/>
  <c r="C1800" i="48"/>
  <c r="D1800" i="48"/>
  <c r="B1801" i="48"/>
  <c r="C1801" i="48"/>
  <c r="D1801" i="48"/>
  <c r="B1802" i="48"/>
  <c r="C1802" i="48"/>
  <c r="D1802" i="48"/>
  <c r="B1803" i="48"/>
  <c r="C1803" i="48"/>
  <c r="D1803" i="48"/>
  <c r="B1804" i="48"/>
  <c r="C1804" i="48"/>
  <c r="D1804" i="48"/>
  <c r="B1805" i="48"/>
  <c r="C1805" i="48"/>
  <c r="D1805" i="48"/>
  <c r="B1806" i="48"/>
  <c r="C1806" i="48"/>
  <c r="D1806" i="48"/>
  <c r="B1807" i="48"/>
  <c r="C1807" i="48"/>
  <c r="D1807" i="48"/>
  <c r="B1808" i="48"/>
  <c r="C1808" i="48"/>
  <c r="D1808" i="48"/>
  <c r="B1809" i="48"/>
  <c r="C1809" i="48"/>
  <c r="D1809" i="48"/>
  <c r="B1810" i="48"/>
  <c r="C1810" i="48"/>
  <c r="D1810" i="48"/>
  <c r="B1811" i="48"/>
  <c r="C1811" i="48"/>
  <c r="D1811" i="48"/>
  <c r="B1812" i="48"/>
  <c r="C1812" i="48"/>
  <c r="D1812" i="48"/>
  <c r="B1813" i="48"/>
  <c r="C1813" i="48"/>
  <c r="D1813" i="48"/>
  <c r="B1814" i="48"/>
  <c r="C1814" i="48"/>
  <c r="D1814" i="48"/>
  <c r="B1815" i="48"/>
  <c r="C1815" i="48"/>
  <c r="D1815" i="48"/>
  <c r="B1816" i="48"/>
  <c r="C1816" i="48"/>
  <c r="D1816" i="48"/>
  <c r="B1817" i="48"/>
  <c r="C1817" i="48"/>
  <c r="D1817" i="48"/>
  <c r="B1818" i="48"/>
  <c r="C1818" i="48"/>
  <c r="D1818" i="48"/>
  <c r="B1819" i="48"/>
  <c r="C1819" i="48"/>
  <c r="D1819" i="48"/>
  <c r="B1820" i="48"/>
  <c r="C1820" i="48"/>
  <c r="D1820" i="48"/>
  <c r="B1821" i="48"/>
  <c r="C1821" i="48"/>
  <c r="D1821" i="48"/>
  <c r="B1822" i="48"/>
  <c r="C1822" i="48"/>
  <c r="D1822" i="48"/>
  <c r="B1823" i="48"/>
  <c r="C1823" i="48"/>
  <c r="D1823" i="48"/>
  <c r="B1824" i="48"/>
  <c r="C1824" i="48"/>
  <c r="D1824" i="48"/>
  <c r="B1825" i="48"/>
  <c r="C1825" i="48"/>
  <c r="D1825" i="48"/>
  <c r="B1826" i="48"/>
  <c r="C1826" i="48"/>
  <c r="D1826" i="48"/>
  <c r="B1827" i="48"/>
  <c r="C1827" i="48"/>
  <c r="D1827" i="48"/>
  <c r="B1828" i="48"/>
  <c r="C1828" i="48"/>
  <c r="D1828" i="48"/>
  <c r="B1829" i="48"/>
  <c r="C1829" i="48"/>
  <c r="D1829" i="48"/>
  <c r="B1830" i="48"/>
  <c r="C1830" i="48"/>
  <c r="D1830" i="48"/>
  <c r="B1831" i="48"/>
  <c r="C1831" i="48"/>
  <c r="D1831" i="48"/>
  <c r="B1832" i="48"/>
  <c r="C1832" i="48"/>
  <c r="D1832" i="48"/>
  <c r="B1833" i="48"/>
  <c r="C1833" i="48"/>
  <c r="D1833" i="48"/>
  <c r="B1834" i="48"/>
  <c r="C1834" i="48"/>
  <c r="D1834" i="48"/>
  <c r="B1835" i="48"/>
  <c r="C1835" i="48"/>
  <c r="D1835" i="48"/>
  <c r="B1836" i="48"/>
  <c r="C1836" i="48"/>
  <c r="D1836" i="48"/>
  <c r="B1837" i="48"/>
  <c r="C1837" i="48"/>
  <c r="D1837" i="48"/>
  <c r="B1838" i="48"/>
  <c r="C1838" i="48"/>
  <c r="D1838" i="48"/>
  <c r="B1839" i="48"/>
  <c r="C1839" i="48"/>
  <c r="D1839" i="48"/>
  <c r="B1840" i="48"/>
  <c r="C1840" i="48"/>
  <c r="D1840" i="48"/>
  <c r="B1841" i="48"/>
  <c r="C1841" i="48"/>
  <c r="D1841" i="48"/>
  <c r="B1842" i="48"/>
  <c r="C1842" i="48"/>
  <c r="D1842" i="48"/>
  <c r="B1843" i="48"/>
  <c r="C1843" i="48"/>
  <c r="D1843" i="48"/>
  <c r="B1844" i="48"/>
  <c r="C1844" i="48"/>
  <c r="D1844" i="48"/>
  <c r="B1845" i="48"/>
  <c r="C1845" i="48"/>
  <c r="D1845" i="48"/>
  <c r="B1846" i="48"/>
  <c r="C1846" i="48"/>
  <c r="D1846" i="48"/>
  <c r="B1847" i="48"/>
  <c r="C1847" i="48"/>
  <c r="D1847" i="48"/>
  <c r="B1848" i="48"/>
  <c r="C1848" i="48"/>
  <c r="D1848" i="48"/>
  <c r="B1849" i="48"/>
  <c r="C1849" i="48"/>
  <c r="D1849" i="48"/>
  <c r="B1850" i="48"/>
  <c r="C1850" i="48"/>
  <c r="D1850" i="48"/>
  <c r="B1851" i="48"/>
  <c r="C1851" i="48"/>
  <c r="D1851" i="48"/>
  <c r="B1852" i="48"/>
  <c r="C1852" i="48"/>
  <c r="D1852" i="48"/>
  <c r="B1853" i="48"/>
  <c r="C1853" i="48"/>
  <c r="D1853" i="48"/>
  <c r="B1854" i="48"/>
  <c r="C1854" i="48"/>
  <c r="D1854" i="48"/>
  <c r="B1855" i="48"/>
  <c r="C1855" i="48"/>
  <c r="D1855" i="48"/>
  <c r="B1856" i="48"/>
  <c r="C1856" i="48"/>
  <c r="D1856" i="48"/>
  <c r="B1857" i="48"/>
  <c r="C1857" i="48"/>
  <c r="D1857" i="48"/>
  <c r="B1858" i="48"/>
  <c r="C1858" i="48"/>
  <c r="D1858" i="48"/>
  <c r="B1859" i="48"/>
  <c r="C1859" i="48"/>
  <c r="D1859" i="48"/>
  <c r="B1860" i="48"/>
  <c r="C1860" i="48"/>
  <c r="D1860" i="48"/>
  <c r="B1861" i="48"/>
  <c r="C1861" i="48"/>
  <c r="D1861" i="48"/>
  <c r="B1862" i="48"/>
  <c r="C1862" i="48"/>
  <c r="D1862" i="48"/>
  <c r="B1863" i="48"/>
  <c r="C1863" i="48"/>
  <c r="D1863" i="48"/>
  <c r="B1864" i="48"/>
  <c r="C1864" i="48"/>
  <c r="D1864" i="48"/>
  <c r="B1865" i="48"/>
  <c r="C1865" i="48"/>
  <c r="D1865" i="48"/>
  <c r="B1866" i="48"/>
  <c r="C1866" i="48"/>
  <c r="D1866" i="48"/>
  <c r="B1867" i="48"/>
  <c r="C1867" i="48"/>
  <c r="D1867" i="48"/>
  <c r="B1868" i="48"/>
  <c r="C1868" i="48"/>
  <c r="D1868" i="48"/>
  <c r="B1869" i="48"/>
  <c r="C1869" i="48"/>
  <c r="D1869" i="48"/>
  <c r="B1870" i="48"/>
  <c r="C1870" i="48"/>
  <c r="D1870" i="48"/>
  <c r="B1871" i="48"/>
  <c r="C1871" i="48"/>
  <c r="D1871" i="48"/>
  <c r="B1872" i="48"/>
  <c r="C1872" i="48"/>
  <c r="D1872" i="48"/>
  <c r="B1873" i="48"/>
  <c r="C1873" i="48"/>
  <c r="D1873" i="48"/>
  <c r="B1874" i="48"/>
  <c r="C1874" i="48"/>
  <c r="D1874" i="48"/>
  <c r="B1875" i="48"/>
  <c r="C1875" i="48"/>
  <c r="D1875" i="48"/>
  <c r="B1876" i="48"/>
  <c r="C1876" i="48"/>
  <c r="D1876" i="48"/>
  <c r="B1877" i="48"/>
  <c r="C1877" i="48"/>
  <c r="D1877" i="48"/>
  <c r="B1878" i="48"/>
  <c r="C1878" i="48"/>
  <c r="D1878" i="48"/>
  <c r="B1879" i="48"/>
  <c r="C1879" i="48"/>
  <c r="D1879" i="48"/>
  <c r="B1880" i="48"/>
  <c r="C1880" i="48"/>
  <c r="D1880" i="48"/>
  <c r="B1881" i="48"/>
  <c r="C1881" i="48"/>
  <c r="D1881" i="48"/>
  <c r="B1882" i="48"/>
  <c r="C1882" i="48"/>
  <c r="D1882" i="48"/>
  <c r="B1883" i="48"/>
  <c r="C1883" i="48"/>
  <c r="D1883" i="48"/>
  <c r="B1884" i="48"/>
  <c r="C1884" i="48"/>
  <c r="D1884" i="48"/>
  <c r="B1885" i="48"/>
  <c r="C1885" i="48"/>
  <c r="D1885" i="48"/>
  <c r="B1886" i="48"/>
  <c r="C1886" i="48"/>
  <c r="D1886" i="48"/>
  <c r="B1887" i="48"/>
  <c r="C1887" i="48"/>
  <c r="D1887" i="48"/>
  <c r="B1888" i="48"/>
  <c r="C1888" i="48"/>
  <c r="D1888" i="48"/>
  <c r="B1889" i="48"/>
  <c r="C1889" i="48"/>
  <c r="D1889" i="48"/>
  <c r="B1890" i="48"/>
  <c r="C1890" i="48"/>
  <c r="D1890" i="48"/>
  <c r="B1891" i="48"/>
  <c r="C1891" i="48"/>
  <c r="D1891" i="48"/>
  <c r="B1892" i="48"/>
  <c r="C1892" i="48"/>
  <c r="D1892" i="48"/>
  <c r="B1893" i="48"/>
  <c r="C1893" i="48"/>
  <c r="D1893" i="48"/>
  <c r="B1894" i="48"/>
  <c r="C1894" i="48"/>
  <c r="D1894" i="48"/>
  <c r="B1895" i="48"/>
  <c r="C1895" i="48"/>
  <c r="D1895" i="48"/>
  <c r="B1896" i="48"/>
  <c r="C1896" i="48"/>
  <c r="D1896" i="48"/>
  <c r="B1897" i="48"/>
  <c r="C1897" i="48"/>
  <c r="D1897" i="48"/>
  <c r="B1898" i="48"/>
  <c r="C1898" i="48"/>
  <c r="D1898" i="48"/>
  <c r="B1899" i="48"/>
  <c r="C1899" i="48"/>
  <c r="D1899" i="48"/>
  <c r="B1900" i="48"/>
  <c r="C1900" i="48"/>
  <c r="D1900" i="48"/>
  <c r="B1901" i="48"/>
  <c r="C1901" i="48"/>
  <c r="D1901" i="48"/>
  <c r="B1902" i="48"/>
  <c r="C1902" i="48"/>
  <c r="D1902" i="48"/>
  <c r="B1903" i="48"/>
  <c r="C1903" i="48"/>
  <c r="D1903" i="48"/>
  <c r="B1904" i="48"/>
  <c r="C1904" i="48"/>
  <c r="D1904" i="48"/>
  <c r="B1905" i="48"/>
  <c r="C1905" i="48"/>
  <c r="D1905" i="48"/>
  <c r="B1906" i="48"/>
  <c r="C1906" i="48"/>
  <c r="D1906" i="48"/>
  <c r="B1907" i="48"/>
  <c r="C1907" i="48"/>
  <c r="D1907" i="48"/>
  <c r="B1908" i="48"/>
  <c r="C1908" i="48"/>
  <c r="D1908" i="48"/>
  <c r="B1909" i="48"/>
  <c r="C1909" i="48"/>
  <c r="D1909" i="48"/>
  <c r="B1910" i="48"/>
  <c r="C1910" i="48"/>
  <c r="D1910" i="48"/>
  <c r="B1911" i="48"/>
  <c r="C1911" i="48"/>
  <c r="D1911" i="48"/>
  <c r="B1912" i="48"/>
  <c r="C1912" i="48"/>
  <c r="D1912" i="48"/>
  <c r="B1913" i="48"/>
  <c r="C1913" i="48"/>
  <c r="D1913" i="48"/>
  <c r="B1914" i="48"/>
  <c r="C1914" i="48"/>
  <c r="D1914" i="48"/>
  <c r="B1915" i="48"/>
  <c r="C1915" i="48"/>
  <c r="D1915" i="48"/>
  <c r="B1916" i="48"/>
  <c r="C1916" i="48"/>
  <c r="D1916" i="48"/>
  <c r="B1917" i="48"/>
  <c r="C1917" i="48"/>
  <c r="D1917" i="48"/>
  <c r="B1918" i="48"/>
  <c r="C1918" i="48"/>
  <c r="D1918" i="48"/>
  <c r="B1919" i="48"/>
  <c r="C1919" i="48"/>
  <c r="D1919" i="48"/>
  <c r="B1920" i="48"/>
  <c r="C1920" i="48"/>
  <c r="D1920" i="48"/>
  <c r="B1921" i="48"/>
  <c r="C1921" i="48"/>
  <c r="D1921" i="48"/>
  <c r="B1922" i="48"/>
  <c r="C1922" i="48"/>
  <c r="D1922" i="48"/>
  <c r="B1923" i="48"/>
  <c r="C1923" i="48"/>
  <c r="D1923" i="48"/>
  <c r="B1924" i="48"/>
  <c r="C1924" i="48"/>
  <c r="D1924" i="48"/>
  <c r="B1925" i="48"/>
  <c r="C1925" i="48"/>
  <c r="D1925" i="48"/>
  <c r="B1926" i="48"/>
  <c r="C1926" i="48"/>
  <c r="D1926" i="48"/>
  <c r="B1927" i="48"/>
  <c r="C1927" i="48"/>
  <c r="D1927" i="48"/>
  <c r="B1928" i="48"/>
  <c r="C1928" i="48"/>
  <c r="D1928" i="48"/>
  <c r="B1929" i="48"/>
  <c r="C1929" i="48"/>
  <c r="D1929" i="48"/>
  <c r="B1930" i="48"/>
  <c r="C1930" i="48"/>
  <c r="D1930" i="48"/>
  <c r="B1931" i="48"/>
  <c r="C1931" i="48"/>
  <c r="D1931" i="48"/>
  <c r="B1932" i="48"/>
  <c r="C1932" i="48"/>
  <c r="D1932" i="48"/>
  <c r="B1933" i="48"/>
  <c r="C1933" i="48"/>
  <c r="D1933" i="48"/>
  <c r="B1934" i="48"/>
  <c r="C1934" i="48"/>
  <c r="D1934" i="48"/>
  <c r="B1935" i="48"/>
  <c r="C1935" i="48"/>
  <c r="D1935" i="48"/>
  <c r="B1936" i="48"/>
  <c r="C1936" i="48"/>
  <c r="D1936" i="48"/>
  <c r="B1937" i="48"/>
  <c r="C1937" i="48"/>
  <c r="D1937" i="48"/>
  <c r="B1938" i="48"/>
  <c r="C1938" i="48"/>
  <c r="D1938" i="48"/>
  <c r="B1939" i="48"/>
  <c r="C1939" i="48"/>
  <c r="D1939" i="48"/>
  <c r="B1940" i="48"/>
  <c r="C1940" i="48"/>
  <c r="D1940" i="48"/>
  <c r="B1941" i="48"/>
  <c r="C1941" i="48"/>
  <c r="D1941" i="48"/>
  <c r="B1942" i="48"/>
  <c r="C1942" i="48"/>
  <c r="D1942" i="48"/>
  <c r="B1943" i="48"/>
  <c r="C1943" i="48"/>
  <c r="D1943" i="48"/>
  <c r="B1944" i="48"/>
  <c r="C1944" i="48"/>
  <c r="D1944" i="48"/>
  <c r="B1945" i="48"/>
  <c r="C1945" i="48"/>
  <c r="D1945" i="48"/>
  <c r="B1946" i="48"/>
  <c r="C1946" i="48"/>
  <c r="D1946" i="48"/>
  <c r="B1947" i="48"/>
  <c r="C1947" i="48"/>
  <c r="D1947" i="48"/>
  <c r="B1948" i="48"/>
  <c r="C1948" i="48"/>
  <c r="D1948" i="48"/>
  <c r="B1949" i="48"/>
  <c r="C1949" i="48"/>
  <c r="D1949" i="48"/>
  <c r="B1950" i="48"/>
  <c r="C1950" i="48"/>
  <c r="D1950" i="48"/>
  <c r="B1951" i="48"/>
  <c r="C1951" i="48"/>
  <c r="D1951" i="48"/>
  <c r="B1952" i="48"/>
  <c r="C1952" i="48"/>
  <c r="D1952" i="48"/>
  <c r="B1953" i="48"/>
  <c r="C1953" i="48"/>
  <c r="D1953" i="48"/>
  <c r="B1954" i="48"/>
  <c r="C1954" i="48"/>
  <c r="D1954" i="48"/>
  <c r="B1955" i="48"/>
  <c r="C1955" i="48"/>
  <c r="D1955" i="48"/>
  <c r="B1956" i="48"/>
  <c r="C1956" i="48"/>
  <c r="D1956" i="48"/>
  <c r="B1957" i="48"/>
  <c r="C1957" i="48"/>
  <c r="D1957" i="48"/>
  <c r="B1958" i="48"/>
  <c r="C1958" i="48"/>
  <c r="D1958" i="48"/>
  <c r="B1959" i="48"/>
  <c r="C1959" i="48"/>
  <c r="D1959" i="48"/>
  <c r="B1960" i="48"/>
  <c r="C1960" i="48"/>
  <c r="D1960" i="48"/>
  <c r="B1961" i="48"/>
  <c r="C1961" i="48"/>
  <c r="D1961" i="48"/>
  <c r="B1962" i="48"/>
  <c r="C1962" i="48"/>
  <c r="D1962" i="48"/>
  <c r="B1963" i="48"/>
  <c r="C1963" i="48"/>
  <c r="D1963" i="48"/>
  <c r="B1964" i="48"/>
  <c r="C1964" i="48"/>
  <c r="D1964" i="48"/>
  <c r="B1965" i="48"/>
  <c r="C1965" i="48"/>
  <c r="D1965" i="48"/>
  <c r="B1966" i="48"/>
  <c r="C1966" i="48"/>
  <c r="D1966" i="48"/>
  <c r="B1967" i="48"/>
  <c r="C1967" i="48"/>
  <c r="D1967" i="48"/>
  <c r="B1968" i="48"/>
  <c r="C1968" i="48"/>
  <c r="D1968" i="48"/>
  <c r="B1969" i="48"/>
  <c r="C1969" i="48"/>
  <c r="D1969" i="48"/>
  <c r="B1970" i="48"/>
  <c r="C1970" i="48"/>
  <c r="D1970" i="48"/>
  <c r="B1971" i="48"/>
  <c r="C1971" i="48"/>
  <c r="D1971" i="48"/>
  <c r="B1972" i="48"/>
  <c r="C1972" i="48"/>
  <c r="D1972" i="48"/>
  <c r="B1973" i="48"/>
  <c r="C1973" i="48"/>
  <c r="D1973" i="48"/>
  <c r="F18" i="48"/>
  <c r="V44" i="139"/>
  <c r="W41" i="139" s="1"/>
  <c r="W31" i="139"/>
  <c r="U78" i="47"/>
  <c r="T78" i="47"/>
  <c r="O78" i="47"/>
  <c r="K78" i="47"/>
  <c r="J78" i="47"/>
  <c r="R78" i="47"/>
  <c r="K43" i="143"/>
  <c r="L43" i="143"/>
  <c r="G71" i="143"/>
  <c r="D71" i="143"/>
  <c r="U339" i="47"/>
  <c r="T339" i="47"/>
  <c r="S339" i="47"/>
  <c r="R339" i="47"/>
  <c r="O339" i="47"/>
  <c r="M339" i="47"/>
  <c r="Y339" i="47" s="1"/>
  <c r="K339" i="47"/>
  <c r="U338" i="47"/>
  <c r="T338" i="47"/>
  <c r="S338" i="47"/>
  <c r="R338" i="47"/>
  <c r="O338" i="47"/>
  <c r="M338" i="47"/>
  <c r="K338" i="47"/>
  <c r="U337" i="47"/>
  <c r="T337" i="47"/>
  <c r="S337" i="47"/>
  <c r="R337" i="47"/>
  <c r="O337" i="47"/>
  <c r="M337" i="47"/>
  <c r="Y337" i="47" s="1"/>
  <c r="K337" i="47"/>
  <c r="U336" i="47"/>
  <c r="T336" i="47"/>
  <c r="S336" i="47"/>
  <c r="R336" i="47"/>
  <c r="O336" i="47"/>
  <c r="M336" i="47"/>
  <c r="Y336" i="47" s="1"/>
  <c r="K336" i="47"/>
  <c r="U335" i="47"/>
  <c r="T335" i="47"/>
  <c r="S335" i="47"/>
  <c r="R335" i="47"/>
  <c r="O335" i="47"/>
  <c r="M335" i="47"/>
  <c r="Y335" i="47" s="1"/>
  <c r="K335" i="47"/>
  <c r="U334" i="47"/>
  <c r="T334" i="47"/>
  <c r="S334" i="47"/>
  <c r="R334" i="47"/>
  <c r="O334" i="47"/>
  <c r="M334" i="47"/>
  <c r="K334" i="47"/>
  <c r="U333" i="47"/>
  <c r="T333" i="47"/>
  <c r="S333" i="47"/>
  <c r="R333" i="47"/>
  <c r="O333" i="47"/>
  <c r="M333" i="47"/>
  <c r="Y333" i="47" s="1"/>
  <c r="K333" i="47"/>
  <c r="U332" i="47"/>
  <c r="T332" i="47"/>
  <c r="S332" i="47"/>
  <c r="R332" i="47"/>
  <c r="O332" i="47"/>
  <c r="M332" i="47"/>
  <c r="K332" i="47"/>
  <c r="U331" i="47"/>
  <c r="T331" i="47"/>
  <c r="S331" i="47"/>
  <c r="R331" i="47"/>
  <c r="O331" i="47"/>
  <c r="M331" i="47"/>
  <c r="K331" i="47"/>
  <c r="U330" i="47"/>
  <c r="T330" i="47"/>
  <c r="S330" i="47"/>
  <c r="R330" i="47"/>
  <c r="O330" i="47"/>
  <c r="M330" i="47"/>
  <c r="K330" i="47"/>
  <c r="S329" i="47"/>
  <c r="S328" i="47"/>
  <c r="U329" i="47"/>
  <c r="T329" i="47"/>
  <c r="R329" i="47"/>
  <c r="O329" i="47"/>
  <c r="M329" i="47"/>
  <c r="K329" i="47"/>
  <c r="L329" i="47"/>
  <c r="L330" i="47"/>
  <c r="L331" i="47"/>
  <c r="L332" i="47"/>
  <c r="Y332" i="47"/>
  <c r="L333" i="47"/>
  <c r="L334" i="47"/>
  <c r="L335" i="47"/>
  <c r="L336" i="47"/>
  <c r="L337" i="47"/>
  <c r="N337" i="47" s="1"/>
  <c r="L338" i="47"/>
  <c r="L339" i="47"/>
  <c r="N339" i="47" s="1"/>
  <c r="V339" i="47"/>
  <c r="M328" i="47"/>
  <c r="U328" i="47"/>
  <c r="T328" i="47"/>
  <c r="R328" i="47"/>
  <c r="O328" i="47"/>
  <c r="K328" i="47"/>
  <c r="K79" i="47"/>
  <c r="L79" i="47"/>
  <c r="N79" i="47" s="1"/>
  <c r="O79" i="47"/>
  <c r="R79" i="47"/>
  <c r="T79" i="47"/>
  <c r="U79" i="47"/>
  <c r="Y79" i="47"/>
  <c r="K80" i="47"/>
  <c r="L80" i="47"/>
  <c r="N80" i="47" s="1"/>
  <c r="O80" i="47"/>
  <c r="R80" i="47"/>
  <c r="T80" i="47"/>
  <c r="U80" i="47"/>
  <c r="Y80" i="47"/>
  <c r="K81" i="47"/>
  <c r="L81" i="47"/>
  <c r="N81" i="47" s="1"/>
  <c r="O81" i="47"/>
  <c r="R81" i="47"/>
  <c r="T81" i="47"/>
  <c r="U81" i="47"/>
  <c r="Y81" i="47"/>
  <c r="K82" i="47"/>
  <c r="L82" i="47"/>
  <c r="N82" i="47" s="1"/>
  <c r="O82" i="47"/>
  <c r="R82" i="47"/>
  <c r="T82" i="47"/>
  <c r="U82" i="47"/>
  <c r="Y82" i="47"/>
  <c r="K83" i="47"/>
  <c r="L83" i="47"/>
  <c r="N83" i="47" s="1"/>
  <c r="O83" i="47"/>
  <c r="R83" i="47"/>
  <c r="T83" i="47"/>
  <c r="U83" i="47"/>
  <c r="Y83" i="47"/>
  <c r="K84" i="47"/>
  <c r="L84" i="47"/>
  <c r="N84" i="47" s="1"/>
  <c r="O84" i="47"/>
  <c r="R84" i="47"/>
  <c r="T84" i="47"/>
  <c r="U84" i="47"/>
  <c r="Y84" i="47"/>
  <c r="K85" i="47"/>
  <c r="L85" i="47"/>
  <c r="N85" i="47" s="1"/>
  <c r="O85" i="47"/>
  <c r="R85" i="47"/>
  <c r="T85" i="47"/>
  <c r="U85" i="47"/>
  <c r="Y85" i="47"/>
  <c r="K86" i="47"/>
  <c r="L86" i="47"/>
  <c r="N86" i="47" s="1"/>
  <c r="O86" i="47"/>
  <c r="R86" i="47"/>
  <c r="T86" i="47"/>
  <c r="U86" i="47"/>
  <c r="Y86" i="47"/>
  <c r="K87" i="47"/>
  <c r="L87" i="47"/>
  <c r="N87" i="47" s="1"/>
  <c r="O87" i="47"/>
  <c r="R87" i="47"/>
  <c r="T87" i="47"/>
  <c r="U87" i="47"/>
  <c r="Y87" i="47"/>
  <c r="K88" i="47"/>
  <c r="L88" i="47"/>
  <c r="N88" i="47" s="1"/>
  <c r="O88" i="47"/>
  <c r="R88" i="47"/>
  <c r="T88" i="47"/>
  <c r="U88" i="47"/>
  <c r="Y88" i="47"/>
  <c r="K89" i="47"/>
  <c r="L89" i="47"/>
  <c r="N89" i="47" s="1"/>
  <c r="O89" i="47"/>
  <c r="R89" i="47"/>
  <c r="T89" i="47"/>
  <c r="U89" i="47"/>
  <c r="Y89" i="47"/>
  <c r="K90" i="47"/>
  <c r="L90" i="47"/>
  <c r="N90" i="47" s="1"/>
  <c r="O90" i="47"/>
  <c r="R90" i="47"/>
  <c r="T90" i="47"/>
  <c r="U90" i="47"/>
  <c r="Y90" i="47"/>
  <c r="K91" i="47"/>
  <c r="L91" i="47"/>
  <c r="N91" i="47" s="1"/>
  <c r="O91" i="47"/>
  <c r="R91" i="47"/>
  <c r="T91" i="47"/>
  <c r="U91" i="47"/>
  <c r="Y91" i="47"/>
  <c r="K92" i="47"/>
  <c r="L92" i="47"/>
  <c r="N92" i="47" s="1"/>
  <c r="O92" i="47"/>
  <c r="R92" i="47"/>
  <c r="T92" i="47"/>
  <c r="U92" i="47"/>
  <c r="Y92" i="47"/>
  <c r="K93" i="47"/>
  <c r="L93" i="47"/>
  <c r="N93" i="47" s="1"/>
  <c r="O93" i="47"/>
  <c r="R93" i="47"/>
  <c r="T93" i="47"/>
  <c r="U93" i="47"/>
  <c r="Y93" i="47"/>
  <c r="K94" i="47"/>
  <c r="L94" i="47"/>
  <c r="N94" i="47" s="1"/>
  <c r="O94" i="47"/>
  <c r="R94" i="47"/>
  <c r="T94" i="47"/>
  <c r="U94" i="47"/>
  <c r="Y94" i="47"/>
  <c r="K95" i="47"/>
  <c r="L95" i="47"/>
  <c r="N95" i="47" s="1"/>
  <c r="O95" i="47"/>
  <c r="R95" i="47"/>
  <c r="T95" i="47"/>
  <c r="U95" i="47"/>
  <c r="Y95" i="47"/>
  <c r="K96" i="47"/>
  <c r="L96" i="47"/>
  <c r="N96" i="47" s="1"/>
  <c r="O96" i="47"/>
  <c r="R96" i="47"/>
  <c r="T96" i="47"/>
  <c r="U96" i="47"/>
  <c r="Y96" i="47"/>
  <c r="K97" i="47"/>
  <c r="L97" i="47"/>
  <c r="N97" i="47" s="1"/>
  <c r="O97" i="47"/>
  <c r="R97" i="47"/>
  <c r="T97" i="47"/>
  <c r="U97" i="47"/>
  <c r="Y97" i="47"/>
  <c r="K98" i="47"/>
  <c r="L98" i="47"/>
  <c r="N98" i="47" s="1"/>
  <c r="O98" i="47"/>
  <c r="R98" i="47"/>
  <c r="T98" i="47"/>
  <c r="U98" i="47"/>
  <c r="Y98" i="47"/>
  <c r="K99" i="47"/>
  <c r="L99" i="47"/>
  <c r="N99" i="47" s="1"/>
  <c r="O99" i="47"/>
  <c r="R99" i="47"/>
  <c r="T99" i="47"/>
  <c r="U99" i="47"/>
  <c r="Y99" i="47"/>
  <c r="K100" i="47"/>
  <c r="L100" i="47"/>
  <c r="N100" i="47" s="1"/>
  <c r="O100" i="47"/>
  <c r="R100" i="47"/>
  <c r="T100" i="47"/>
  <c r="U100" i="47"/>
  <c r="Y100" i="47"/>
  <c r="K101" i="47"/>
  <c r="L101" i="47"/>
  <c r="N101" i="47" s="1"/>
  <c r="O101" i="47"/>
  <c r="R101" i="47"/>
  <c r="T101" i="47"/>
  <c r="U101" i="47"/>
  <c r="Y101" i="47"/>
  <c r="K102" i="47"/>
  <c r="L102" i="47"/>
  <c r="N102" i="47" s="1"/>
  <c r="O102" i="47"/>
  <c r="R102" i="47"/>
  <c r="T102" i="47"/>
  <c r="U102" i="47"/>
  <c r="Y102" i="47"/>
  <c r="K103" i="47"/>
  <c r="L103" i="47"/>
  <c r="N103" i="47" s="1"/>
  <c r="O103" i="47"/>
  <c r="R103" i="47"/>
  <c r="T103" i="47"/>
  <c r="U103" i="47"/>
  <c r="Y103" i="47"/>
  <c r="K104" i="47"/>
  <c r="L104" i="47"/>
  <c r="N104" i="47" s="1"/>
  <c r="O104" i="47"/>
  <c r="R104" i="47"/>
  <c r="T104" i="47"/>
  <c r="U104" i="47"/>
  <c r="Y104" i="47"/>
  <c r="K105" i="47"/>
  <c r="L105" i="47"/>
  <c r="N105" i="47" s="1"/>
  <c r="O105" i="47"/>
  <c r="R105" i="47"/>
  <c r="T105" i="47"/>
  <c r="U105" i="47"/>
  <c r="Y105" i="47"/>
  <c r="K106" i="47"/>
  <c r="L106" i="47"/>
  <c r="N106" i="47" s="1"/>
  <c r="O106" i="47"/>
  <c r="R106" i="47"/>
  <c r="T106" i="47"/>
  <c r="U106" i="47"/>
  <c r="Y106" i="47"/>
  <c r="K107" i="47"/>
  <c r="L107" i="47"/>
  <c r="N107" i="47" s="1"/>
  <c r="O107" i="47"/>
  <c r="R107" i="47"/>
  <c r="T107" i="47"/>
  <c r="U107" i="47"/>
  <c r="Y107" i="47"/>
  <c r="K108" i="47"/>
  <c r="L108" i="47"/>
  <c r="N108" i="47" s="1"/>
  <c r="O108" i="47"/>
  <c r="R108" i="47"/>
  <c r="T108" i="47"/>
  <c r="U108" i="47"/>
  <c r="Y108" i="47"/>
  <c r="K109" i="47"/>
  <c r="L109" i="47"/>
  <c r="N109" i="47" s="1"/>
  <c r="O109" i="47"/>
  <c r="R109" i="47"/>
  <c r="T109" i="47"/>
  <c r="U109" i="47"/>
  <c r="Y109" i="47"/>
  <c r="K110" i="47"/>
  <c r="L110" i="47"/>
  <c r="N110" i="47" s="1"/>
  <c r="O110" i="47"/>
  <c r="R110" i="47"/>
  <c r="T110" i="47"/>
  <c r="U110" i="47"/>
  <c r="Y110" i="47"/>
  <c r="K111" i="47"/>
  <c r="L111" i="47"/>
  <c r="N111" i="47" s="1"/>
  <c r="O111" i="47"/>
  <c r="R111" i="47"/>
  <c r="T111" i="47"/>
  <c r="U111" i="47"/>
  <c r="Y111" i="47"/>
  <c r="K112" i="47"/>
  <c r="L112" i="47"/>
  <c r="N112" i="47" s="1"/>
  <c r="O112" i="47"/>
  <c r="R112" i="47"/>
  <c r="T112" i="47"/>
  <c r="U112" i="47"/>
  <c r="Y112" i="47"/>
  <c r="K113" i="47"/>
  <c r="L113" i="47"/>
  <c r="N113" i="47" s="1"/>
  <c r="O113" i="47"/>
  <c r="R113" i="47"/>
  <c r="T113" i="47"/>
  <c r="U113" i="47"/>
  <c r="Y113" i="47"/>
  <c r="K114" i="47"/>
  <c r="L114" i="47"/>
  <c r="N114" i="47" s="1"/>
  <c r="O114" i="47"/>
  <c r="R114" i="47"/>
  <c r="T114" i="47"/>
  <c r="U114" i="47"/>
  <c r="Y114" i="47"/>
  <c r="K115" i="47"/>
  <c r="L115" i="47"/>
  <c r="N115" i="47" s="1"/>
  <c r="O115" i="47"/>
  <c r="R115" i="47"/>
  <c r="T115" i="47"/>
  <c r="U115" i="47"/>
  <c r="Y115" i="47"/>
  <c r="K116" i="47"/>
  <c r="L116" i="47"/>
  <c r="N116" i="47" s="1"/>
  <c r="O116" i="47"/>
  <c r="R116" i="47"/>
  <c r="T116" i="47"/>
  <c r="U116" i="47"/>
  <c r="Y116" i="47"/>
  <c r="K117" i="47"/>
  <c r="L117" i="47"/>
  <c r="N117" i="47" s="1"/>
  <c r="O117" i="47"/>
  <c r="R117" i="47"/>
  <c r="T117" i="47"/>
  <c r="U117" i="47"/>
  <c r="Y117" i="47"/>
  <c r="K118" i="47"/>
  <c r="L118" i="47"/>
  <c r="N118" i="47" s="1"/>
  <c r="O118" i="47"/>
  <c r="R118" i="47"/>
  <c r="T118" i="47"/>
  <c r="U118" i="47"/>
  <c r="Y118" i="47"/>
  <c r="K119" i="47"/>
  <c r="L119" i="47"/>
  <c r="N119" i="47" s="1"/>
  <c r="O119" i="47"/>
  <c r="R119" i="47"/>
  <c r="T119" i="47"/>
  <c r="U119" i="47"/>
  <c r="Y119" i="47"/>
  <c r="K120" i="47"/>
  <c r="L120" i="47"/>
  <c r="N120" i="47" s="1"/>
  <c r="O120" i="47"/>
  <c r="R120" i="47"/>
  <c r="T120" i="47"/>
  <c r="U120" i="47"/>
  <c r="Y120" i="47"/>
  <c r="K121" i="47"/>
  <c r="L121" i="47"/>
  <c r="N121" i="47" s="1"/>
  <c r="O121" i="47"/>
  <c r="R121" i="47"/>
  <c r="T121" i="47"/>
  <c r="U121" i="47"/>
  <c r="Y121" i="47"/>
  <c r="K122" i="47"/>
  <c r="L122" i="47"/>
  <c r="N122" i="47" s="1"/>
  <c r="O122" i="47"/>
  <c r="R122" i="47"/>
  <c r="T122" i="47"/>
  <c r="U122" i="47"/>
  <c r="Y122" i="47"/>
  <c r="K123" i="47"/>
  <c r="L123" i="47"/>
  <c r="N123" i="47" s="1"/>
  <c r="O123" i="47"/>
  <c r="R123" i="47"/>
  <c r="T123" i="47"/>
  <c r="U123" i="47"/>
  <c r="Y123" i="47"/>
  <c r="K124" i="47"/>
  <c r="L124" i="47"/>
  <c r="N124" i="47" s="1"/>
  <c r="O124" i="47"/>
  <c r="R124" i="47"/>
  <c r="T124" i="47"/>
  <c r="U124" i="47"/>
  <c r="Y124" i="47"/>
  <c r="K125" i="47"/>
  <c r="L125" i="47"/>
  <c r="N125" i="47" s="1"/>
  <c r="O125" i="47"/>
  <c r="R125" i="47"/>
  <c r="T125" i="47"/>
  <c r="U125" i="47"/>
  <c r="Y125" i="47"/>
  <c r="K126" i="47"/>
  <c r="L126" i="47"/>
  <c r="N126" i="47" s="1"/>
  <c r="O126" i="47"/>
  <c r="R126" i="47"/>
  <c r="T126" i="47"/>
  <c r="U126" i="47"/>
  <c r="Y126" i="47"/>
  <c r="K127" i="47"/>
  <c r="L127" i="47"/>
  <c r="N127" i="47" s="1"/>
  <c r="O127" i="47"/>
  <c r="R127" i="47"/>
  <c r="T127" i="47"/>
  <c r="U127" i="47"/>
  <c r="Y127" i="47"/>
  <c r="K128" i="47"/>
  <c r="L128" i="47"/>
  <c r="N128" i="47" s="1"/>
  <c r="O128" i="47"/>
  <c r="R128" i="47"/>
  <c r="T128" i="47"/>
  <c r="U128" i="47"/>
  <c r="Y128" i="47"/>
  <c r="K129" i="47"/>
  <c r="L129" i="47"/>
  <c r="N129" i="47" s="1"/>
  <c r="O129" i="47"/>
  <c r="R129" i="47"/>
  <c r="T129" i="47"/>
  <c r="U129" i="47"/>
  <c r="Y129" i="47"/>
  <c r="K130" i="47"/>
  <c r="L130" i="47"/>
  <c r="N130" i="47" s="1"/>
  <c r="O130" i="47"/>
  <c r="R130" i="47"/>
  <c r="T130" i="47"/>
  <c r="U130" i="47"/>
  <c r="Y130" i="47"/>
  <c r="K131" i="47"/>
  <c r="L131" i="47"/>
  <c r="N131" i="47" s="1"/>
  <c r="O131" i="47"/>
  <c r="R131" i="47"/>
  <c r="T131" i="47"/>
  <c r="U131" i="47"/>
  <c r="Y131" i="47"/>
  <c r="K132" i="47"/>
  <c r="L132" i="47"/>
  <c r="N132" i="47" s="1"/>
  <c r="O132" i="47"/>
  <c r="R132" i="47"/>
  <c r="T132" i="47"/>
  <c r="U132" i="47"/>
  <c r="Y132" i="47"/>
  <c r="K133" i="47"/>
  <c r="L133" i="47"/>
  <c r="N133" i="47" s="1"/>
  <c r="O133" i="47"/>
  <c r="R133" i="47"/>
  <c r="T133" i="47"/>
  <c r="U133" i="47"/>
  <c r="Y133" i="47"/>
  <c r="K134" i="47"/>
  <c r="L134" i="47"/>
  <c r="N134" i="47" s="1"/>
  <c r="O134" i="47"/>
  <c r="R134" i="47"/>
  <c r="T134" i="47"/>
  <c r="U134" i="47"/>
  <c r="Y134" i="47"/>
  <c r="K135" i="47"/>
  <c r="L135" i="47"/>
  <c r="N135" i="47" s="1"/>
  <c r="O135" i="47"/>
  <c r="R135" i="47"/>
  <c r="T135" i="47"/>
  <c r="U135" i="47"/>
  <c r="Y135" i="47"/>
  <c r="K136" i="47"/>
  <c r="L136" i="47"/>
  <c r="N136" i="47" s="1"/>
  <c r="O136" i="47"/>
  <c r="R136" i="47"/>
  <c r="T136" i="47"/>
  <c r="U136" i="47"/>
  <c r="Y136" i="47"/>
  <c r="K137" i="47"/>
  <c r="L137" i="47"/>
  <c r="N137" i="47" s="1"/>
  <c r="O137" i="47"/>
  <c r="R137" i="47"/>
  <c r="T137" i="47"/>
  <c r="U137" i="47"/>
  <c r="Y137" i="47"/>
  <c r="K138" i="47"/>
  <c r="L138" i="47"/>
  <c r="N138" i="47" s="1"/>
  <c r="O138" i="47"/>
  <c r="R138" i="47"/>
  <c r="T138" i="47"/>
  <c r="U138" i="47"/>
  <c r="Y138" i="47"/>
  <c r="K139" i="47"/>
  <c r="L139" i="47"/>
  <c r="N139" i="47" s="1"/>
  <c r="O139" i="47"/>
  <c r="R139" i="47"/>
  <c r="T139" i="47"/>
  <c r="U139" i="47"/>
  <c r="Y139" i="47"/>
  <c r="K140" i="47"/>
  <c r="L140" i="47"/>
  <c r="N140" i="47" s="1"/>
  <c r="O140" i="47"/>
  <c r="R140" i="47"/>
  <c r="T140" i="47"/>
  <c r="U140" i="47"/>
  <c r="Y140" i="47"/>
  <c r="K141" i="47"/>
  <c r="L141" i="47"/>
  <c r="N141" i="47" s="1"/>
  <c r="O141" i="47"/>
  <c r="R141" i="47"/>
  <c r="T141" i="47"/>
  <c r="U141" i="47"/>
  <c r="Y141" i="47"/>
  <c r="K142" i="47"/>
  <c r="L142" i="47"/>
  <c r="N142" i="47" s="1"/>
  <c r="O142" i="47"/>
  <c r="R142" i="47"/>
  <c r="T142" i="47"/>
  <c r="U142" i="47"/>
  <c r="Y142" i="47"/>
  <c r="K143" i="47"/>
  <c r="L143" i="47"/>
  <c r="N143" i="47" s="1"/>
  <c r="O143" i="47"/>
  <c r="R143" i="47"/>
  <c r="T143" i="47"/>
  <c r="U143" i="47"/>
  <c r="Y143" i="47"/>
  <c r="K144" i="47"/>
  <c r="L144" i="47"/>
  <c r="N144" i="47" s="1"/>
  <c r="O144" i="47"/>
  <c r="R144" i="47"/>
  <c r="T144" i="47"/>
  <c r="U144" i="47"/>
  <c r="Y144" i="47"/>
  <c r="K145" i="47"/>
  <c r="L145" i="47"/>
  <c r="N145" i="47" s="1"/>
  <c r="O145" i="47"/>
  <c r="R145" i="47"/>
  <c r="T145" i="47"/>
  <c r="U145" i="47"/>
  <c r="Y145" i="47"/>
  <c r="K146" i="47"/>
  <c r="L146" i="47"/>
  <c r="N146" i="47" s="1"/>
  <c r="O146" i="47"/>
  <c r="R146" i="47"/>
  <c r="T146" i="47"/>
  <c r="U146" i="47"/>
  <c r="Y146" i="47"/>
  <c r="K147" i="47"/>
  <c r="L147" i="47"/>
  <c r="N147" i="47" s="1"/>
  <c r="O147" i="47"/>
  <c r="R147" i="47"/>
  <c r="T147" i="47"/>
  <c r="U147" i="47"/>
  <c r="Y147" i="47"/>
  <c r="K148" i="47"/>
  <c r="L148" i="47"/>
  <c r="N148" i="47" s="1"/>
  <c r="O148" i="47"/>
  <c r="R148" i="47"/>
  <c r="T148" i="47"/>
  <c r="U148" i="47"/>
  <c r="Y148" i="47"/>
  <c r="K149" i="47"/>
  <c r="L149" i="47"/>
  <c r="N149" i="47" s="1"/>
  <c r="O149" i="47"/>
  <c r="R149" i="47"/>
  <c r="T149" i="47"/>
  <c r="U149" i="47"/>
  <c r="Y149" i="47"/>
  <c r="K150" i="47"/>
  <c r="L150" i="47"/>
  <c r="N150" i="47" s="1"/>
  <c r="O150" i="47"/>
  <c r="R150" i="47"/>
  <c r="T150" i="47"/>
  <c r="U150" i="47"/>
  <c r="Y150" i="47"/>
  <c r="K151" i="47"/>
  <c r="L151" i="47"/>
  <c r="N151" i="47" s="1"/>
  <c r="O151" i="47"/>
  <c r="R151" i="47"/>
  <c r="T151" i="47"/>
  <c r="U151" i="47"/>
  <c r="Y151" i="47"/>
  <c r="K152" i="47"/>
  <c r="L152" i="47"/>
  <c r="N152" i="47" s="1"/>
  <c r="O152" i="47"/>
  <c r="R152" i="47"/>
  <c r="T152" i="47"/>
  <c r="U152" i="47"/>
  <c r="Y152" i="47"/>
  <c r="K153" i="47"/>
  <c r="L153" i="47"/>
  <c r="N153" i="47" s="1"/>
  <c r="O153" i="47"/>
  <c r="R153" i="47"/>
  <c r="T153" i="47"/>
  <c r="U153" i="47"/>
  <c r="Y153" i="47"/>
  <c r="K154" i="47"/>
  <c r="L154" i="47"/>
  <c r="N154" i="47" s="1"/>
  <c r="O154" i="47"/>
  <c r="R154" i="47"/>
  <c r="T154" i="47"/>
  <c r="U154" i="47"/>
  <c r="Y154" i="47"/>
  <c r="K155" i="47"/>
  <c r="L155" i="47"/>
  <c r="N155" i="47" s="1"/>
  <c r="O155" i="47"/>
  <c r="R155" i="47"/>
  <c r="T155" i="47"/>
  <c r="U155" i="47"/>
  <c r="Y155" i="47"/>
  <c r="K156" i="47"/>
  <c r="L156" i="47"/>
  <c r="N156" i="47" s="1"/>
  <c r="O156" i="47"/>
  <c r="R156" i="47"/>
  <c r="T156" i="47"/>
  <c r="U156" i="47"/>
  <c r="Y156" i="47"/>
  <c r="K157" i="47"/>
  <c r="L157" i="47"/>
  <c r="N157" i="47" s="1"/>
  <c r="O157" i="47"/>
  <c r="R157" i="47"/>
  <c r="T157" i="47"/>
  <c r="U157" i="47"/>
  <c r="Y157" i="47"/>
  <c r="K158" i="47"/>
  <c r="L158" i="47"/>
  <c r="N158" i="47" s="1"/>
  <c r="O158" i="47"/>
  <c r="R158" i="47"/>
  <c r="T158" i="47"/>
  <c r="U158" i="47"/>
  <c r="Y158" i="47"/>
  <c r="K159" i="47"/>
  <c r="L159" i="47"/>
  <c r="N159" i="47" s="1"/>
  <c r="O159" i="47"/>
  <c r="R159" i="47"/>
  <c r="T159" i="47"/>
  <c r="U159" i="47"/>
  <c r="Y159" i="47"/>
  <c r="K160" i="47"/>
  <c r="L160" i="47"/>
  <c r="N160" i="47" s="1"/>
  <c r="O160" i="47"/>
  <c r="R160" i="47"/>
  <c r="T160" i="47"/>
  <c r="U160" i="47"/>
  <c r="Y160" i="47"/>
  <c r="K161" i="47"/>
  <c r="L161" i="47"/>
  <c r="N161" i="47" s="1"/>
  <c r="O161" i="47"/>
  <c r="R161" i="47"/>
  <c r="T161" i="47"/>
  <c r="U161" i="47"/>
  <c r="Y161" i="47"/>
  <c r="K162" i="47"/>
  <c r="L162" i="47"/>
  <c r="N162" i="47" s="1"/>
  <c r="O162" i="47"/>
  <c r="R162" i="47"/>
  <c r="T162" i="47"/>
  <c r="U162" i="47"/>
  <c r="Y162" i="47"/>
  <c r="K163" i="47"/>
  <c r="L163" i="47"/>
  <c r="N163" i="47" s="1"/>
  <c r="O163" i="47"/>
  <c r="R163" i="47"/>
  <c r="T163" i="47"/>
  <c r="U163" i="47"/>
  <c r="Y163" i="47"/>
  <c r="K164" i="47"/>
  <c r="L164" i="47"/>
  <c r="N164" i="47" s="1"/>
  <c r="O164" i="47"/>
  <c r="R164" i="47"/>
  <c r="T164" i="47"/>
  <c r="U164" i="47"/>
  <c r="Y164" i="47"/>
  <c r="K165" i="47"/>
  <c r="L165" i="47"/>
  <c r="N165" i="47" s="1"/>
  <c r="O165" i="47"/>
  <c r="R165" i="47"/>
  <c r="T165" i="47"/>
  <c r="U165" i="47"/>
  <c r="Y165" i="47"/>
  <c r="K166" i="47"/>
  <c r="L166" i="47"/>
  <c r="N166" i="47" s="1"/>
  <c r="O166" i="47"/>
  <c r="R166" i="47"/>
  <c r="T166" i="47"/>
  <c r="U166" i="47"/>
  <c r="Y166" i="47"/>
  <c r="K167" i="47"/>
  <c r="L167" i="47"/>
  <c r="N167" i="47" s="1"/>
  <c r="O167" i="47"/>
  <c r="R167" i="47"/>
  <c r="T167" i="47"/>
  <c r="U167" i="47"/>
  <c r="Y167" i="47"/>
  <c r="K168" i="47"/>
  <c r="L168" i="47"/>
  <c r="N168" i="47" s="1"/>
  <c r="O168" i="47"/>
  <c r="R168" i="47"/>
  <c r="T168" i="47"/>
  <c r="U168" i="47"/>
  <c r="Y168" i="47"/>
  <c r="K169" i="47"/>
  <c r="L169" i="47"/>
  <c r="N169" i="47" s="1"/>
  <c r="O169" i="47"/>
  <c r="R169" i="47"/>
  <c r="T169" i="47"/>
  <c r="U169" i="47"/>
  <c r="Y169" i="47"/>
  <c r="K170" i="47"/>
  <c r="L170" i="47"/>
  <c r="N170" i="47" s="1"/>
  <c r="O170" i="47"/>
  <c r="R170" i="47"/>
  <c r="T170" i="47"/>
  <c r="U170" i="47"/>
  <c r="Y170" i="47"/>
  <c r="K171" i="47"/>
  <c r="L171" i="47"/>
  <c r="N171" i="47" s="1"/>
  <c r="O171" i="47"/>
  <c r="R171" i="47"/>
  <c r="T171" i="47"/>
  <c r="U171" i="47"/>
  <c r="Y171" i="47"/>
  <c r="K172" i="47"/>
  <c r="L172" i="47"/>
  <c r="N172" i="47" s="1"/>
  <c r="O172" i="47"/>
  <c r="R172" i="47"/>
  <c r="T172" i="47"/>
  <c r="U172" i="47"/>
  <c r="Y172" i="47"/>
  <c r="K173" i="47"/>
  <c r="L173" i="47"/>
  <c r="N173" i="47" s="1"/>
  <c r="O173" i="47"/>
  <c r="R173" i="47"/>
  <c r="T173" i="47"/>
  <c r="U173" i="47"/>
  <c r="Y173" i="47"/>
  <c r="K174" i="47"/>
  <c r="L174" i="47"/>
  <c r="N174" i="47" s="1"/>
  <c r="O174" i="47"/>
  <c r="R174" i="47"/>
  <c r="T174" i="47"/>
  <c r="U174" i="47"/>
  <c r="Y174" i="47"/>
  <c r="K175" i="47"/>
  <c r="L175" i="47"/>
  <c r="N175" i="47" s="1"/>
  <c r="O175" i="47"/>
  <c r="R175" i="47"/>
  <c r="T175" i="47"/>
  <c r="U175" i="47"/>
  <c r="Y175" i="47"/>
  <c r="K176" i="47"/>
  <c r="L176" i="47"/>
  <c r="N176" i="47" s="1"/>
  <c r="O176" i="47"/>
  <c r="R176" i="47"/>
  <c r="T176" i="47"/>
  <c r="U176" i="47"/>
  <c r="Y176" i="47"/>
  <c r="K177" i="47"/>
  <c r="L177" i="47"/>
  <c r="N177" i="47" s="1"/>
  <c r="O177" i="47"/>
  <c r="R177" i="47"/>
  <c r="T177" i="47"/>
  <c r="U177" i="47"/>
  <c r="Y177" i="47"/>
  <c r="K178" i="47"/>
  <c r="L178" i="47"/>
  <c r="N178" i="47" s="1"/>
  <c r="O178" i="47"/>
  <c r="R178" i="47"/>
  <c r="T178" i="47"/>
  <c r="U178" i="47"/>
  <c r="Y178" i="47"/>
  <c r="K179" i="47"/>
  <c r="L179" i="47"/>
  <c r="N179" i="47" s="1"/>
  <c r="O179" i="47"/>
  <c r="R179" i="47"/>
  <c r="T179" i="47"/>
  <c r="U179" i="47"/>
  <c r="Y179" i="47"/>
  <c r="K180" i="47"/>
  <c r="L180" i="47"/>
  <c r="N180" i="47" s="1"/>
  <c r="O180" i="47"/>
  <c r="R180" i="47"/>
  <c r="T180" i="47"/>
  <c r="U180" i="47"/>
  <c r="Y180" i="47"/>
  <c r="K181" i="47"/>
  <c r="L181" i="47"/>
  <c r="N181" i="47"/>
  <c r="O181" i="47"/>
  <c r="R181" i="47"/>
  <c r="T181" i="47"/>
  <c r="U181" i="47"/>
  <c r="Y181" i="47"/>
  <c r="K182" i="47"/>
  <c r="L182" i="47"/>
  <c r="N182" i="47" s="1"/>
  <c r="O182" i="47"/>
  <c r="R182" i="47"/>
  <c r="T182" i="47"/>
  <c r="U182" i="47"/>
  <c r="Y182" i="47"/>
  <c r="K183" i="47"/>
  <c r="L183" i="47"/>
  <c r="N183" i="47" s="1"/>
  <c r="O183" i="47"/>
  <c r="R183" i="47"/>
  <c r="T183" i="47"/>
  <c r="U183" i="47"/>
  <c r="Y183" i="47"/>
  <c r="K184" i="47"/>
  <c r="L184" i="47"/>
  <c r="N184" i="47" s="1"/>
  <c r="O184" i="47"/>
  <c r="R184" i="47"/>
  <c r="T184" i="47"/>
  <c r="U184" i="47"/>
  <c r="Y184" i="47"/>
  <c r="K185" i="47"/>
  <c r="L185" i="47"/>
  <c r="N185" i="47" s="1"/>
  <c r="O185" i="47"/>
  <c r="R185" i="47"/>
  <c r="T185" i="47"/>
  <c r="U185" i="47"/>
  <c r="Y185" i="47"/>
  <c r="K186" i="47"/>
  <c r="L186" i="47"/>
  <c r="N186" i="47" s="1"/>
  <c r="O186" i="47"/>
  <c r="R186" i="47"/>
  <c r="T186" i="47"/>
  <c r="U186" i="47"/>
  <c r="Y186" i="47"/>
  <c r="K187" i="47"/>
  <c r="L187" i="47"/>
  <c r="N187" i="47" s="1"/>
  <c r="O187" i="47"/>
  <c r="R187" i="47"/>
  <c r="T187" i="47"/>
  <c r="U187" i="47"/>
  <c r="Y187" i="47"/>
  <c r="K188" i="47"/>
  <c r="L188" i="47"/>
  <c r="N188" i="47" s="1"/>
  <c r="O188" i="47"/>
  <c r="R188" i="47"/>
  <c r="T188" i="47"/>
  <c r="U188" i="47"/>
  <c r="Y188" i="47"/>
  <c r="K189" i="47"/>
  <c r="L189" i="47"/>
  <c r="N189" i="47" s="1"/>
  <c r="O189" i="47"/>
  <c r="R189" i="47"/>
  <c r="T189" i="47"/>
  <c r="U189" i="47"/>
  <c r="Y189" i="47"/>
  <c r="K190" i="47"/>
  <c r="L190" i="47"/>
  <c r="N190" i="47" s="1"/>
  <c r="O190" i="47"/>
  <c r="R190" i="47"/>
  <c r="T190" i="47"/>
  <c r="U190" i="47"/>
  <c r="Y190" i="47"/>
  <c r="K191" i="47"/>
  <c r="L191" i="47"/>
  <c r="N191" i="47" s="1"/>
  <c r="O191" i="47"/>
  <c r="R191" i="47"/>
  <c r="T191" i="47"/>
  <c r="U191" i="47"/>
  <c r="Y191" i="47"/>
  <c r="K192" i="47"/>
  <c r="L192" i="47"/>
  <c r="N192" i="47" s="1"/>
  <c r="O192" i="47"/>
  <c r="R192" i="47"/>
  <c r="T192" i="47"/>
  <c r="U192" i="47"/>
  <c r="Y192" i="47"/>
  <c r="K193" i="47"/>
  <c r="L193" i="47"/>
  <c r="N193" i="47" s="1"/>
  <c r="O193" i="47"/>
  <c r="R193" i="47"/>
  <c r="T193" i="47"/>
  <c r="U193" i="47"/>
  <c r="Y193" i="47"/>
  <c r="K194" i="47"/>
  <c r="L194" i="47"/>
  <c r="N194" i="47" s="1"/>
  <c r="O194" i="47"/>
  <c r="R194" i="47"/>
  <c r="T194" i="47"/>
  <c r="U194" i="47"/>
  <c r="Y194" i="47"/>
  <c r="K195" i="47"/>
  <c r="L195" i="47"/>
  <c r="N195" i="47" s="1"/>
  <c r="O195" i="47"/>
  <c r="R195" i="47"/>
  <c r="T195" i="47"/>
  <c r="U195" i="47"/>
  <c r="Y195" i="47"/>
  <c r="K196" i="47"/>
  <c r="L196" i="47"/>
  <c r="N196" i="47" s="1"/>
  <c r="O196" i="47"/>
  <c r="R196" i="47"/>
  <c r="T196" i="47"/>
  <c r="U196" i="47"/>
  <c r="Y196" i="47"/>
  <c r="K197" i="47"/>
  <c r="L197" i="47"/>
  <c r="N197" i="47" s="1"/>
  <c r="O197" i="47"/>
  <c r="R197" i="47"/>
  <c r="T197" i="47"/>
  <c r="U197" i="47"/>
  <c r="Y197" i="47"/>
  <c r="K198" i="47"/>
  <c r="L198" i="47"/>
  <c r="N198" i="47" s="1"/>
  <c r="O198" i="47"/>
  <c r="R198" i="47"/>
  <c r="T198" i="47"/>
  <c r="U198" i="47"/>
  <c r="Y198" i="47"/>
  <c r="K199" i="47"/>
  <c r="L199" i="47"/>
  <c r="N199" i="47" s="1"/>
  <c r="O199" i="47"/>
  <c r="R199" i="47"/>
  <c r="T199" i="47"/>
  <c r="U199" i="47"/>
  <c r="Y199" i="47"/>
  <c r="K200" i="47"/>
  <c r="L200" i="47"/>
  <c r="N200" i="47" s="1"/>
  <c r="O200" i="47"/>
  <c r="R200" i="47"/>
  <c r="T200" i="47"/>
  <c r="U200" i="47"/>
  <c r="Y200" i="47"/>
  <c r="K201" i="47"/>
  <c r="L201" i="47"/>
  <c r="N201" i="47" s="1"/>
  <c r="O201" i="47"/>
  <c r="R201" i="47"/>
  <c r="T201" i="47"/>
  <c r="U201" i="47"/>
  <c r="Y201" i="47"/>
  <c r="K202" i="47"/>
  <c r="L202" i="47"/>
  <c r="N202" i="47" s="1"/>
  <c r="O202" i="47"/>
  <c r="R202" i="47"/>
  <c r="T202" i="47"/>
  <c r="U202" i="47"/>
  <c r="Y202" i="47"/>
  <c r="K203" i="47"/>
  <c r="L203" i="47"/>
  <c r="N203" i="47" s="1"/>
  <c r="O203" i="47"/>
  <c r="R203" i="47"/>
  <c r="T203" i="47"/>
  <c r="U203" i="47"/>
  <c r="Y203" i="47"/>
  <c r="K204" i="47"/>
  <c r="L204" i="47"/>
  <c r="N204" i="47" s="1"/>
  <c r="O204" i="47"/>
  <c r="R204" i="47"/>
  <c r="T204" i="47"/>
  <c r="U204" i="47"/>
  <c r="Y204" i="47"/>
  <c r="K205" i="47"/>
  <c r="L205" i="47"/>
  <c r="N205" i="47" s="1"/>
  <c r="O205" i="47"/>
  <c r="R205" i="47"/>
  <c r="T205" i="47"/>
  <c r="U205" i="47"/>
  <c r="Y205" i="47"/>
  <c r="K206" i="47"/>
  <c r="L206" i="47"/>
  <c r="N206" i="47" s="1"/>
  <c r="O206" i="47"/>
  <c r="R206" i="47"/>
  <c r="T206" i="47"/>
  <c r="U206" i="47"/>
  <c r="Y206" i="47"/>
  <c r="K207" i="47"/>
  <c r="L207" i="47"/>
  <c r="N207" i="47" s="1"/>
  <c r="O207" i="47"/>
  <c r="R207" i="47"/>
  <c r="T207" i="47"/>
  <c r="U207" i="47"/>
  <c r="Y207" i="47"/>
  <c r="K208" i="47"/>
  <c r="L208" i="47"/>
  <c r="N208" i="47" s="1"/>
  <c r="O208" i="47"/>
  <c r="R208" i="47"/>
  <c r="T208" i="47"/>
  <c r="U208" i="47"/>
  <c r="Y208" i="47"/>
  <c r="K209" i="47"/>
  <c r="L209" i="47"/>
  <c r="N209" i="47" s="1"/>
  <c r="O209" i="47"/>
  <c r="R209" i="47"/>
  <c r="T209" i="47"/>
  <c r="U209" i="47"/>
  <c r="Y209" i="47"/>
  <c r="K210" i="47"/>
  <c r="L210" i="47"/>
  <c r="N210" i="47" s="1"/>
  <c r="O210" i="47"/>
  <c r="R210" i="47"/>
  <c r="T210" i="47"/>
  <c r="U210" i="47"/>
  <c r="Y210" i="47"/>
  <c r="K211" i="47"/>
  <c r="L211" i="47"/>
  <c r="N211" i="47" s="1"/>
  <c r="O211" i="47"/>
  <c r="R211" i="47"/>
  <c r="T211" i="47"/>
  <c r="U211" i="47"/>
  <c r="Y211" i="47"/>
  <c r="K212" i="47"/>
  <c r="L212" i="47"/>
  <c r="N212" i="47" s="1"/>
  <c r="O212" i="47"/>
  <c r="R212" i="47"/>
  <c r="T212" i="47"/>
  <c r="U212" i="47"/>
  <c r="Y212" i="47"/>
  <c r="K213" i="47"/>
  <c r="L213" i="47"/>
  <c r="N213" i="47" s="1"/>
  <c r="O213" i="47"/>
  <c r="R213" i="47"/>
  <c r="T213" i="47"/>
  <c r="U213" i="47"/>
  <c r="Y213" i="47"/>
  <c r="K214" i="47"/>
  <c r="L214" i="47"/>
  <c r="N214" i="47" s="1"/>
  <c r="O214" i="47"/>
  <c r="R214" i="47"/>
  <c r="T214" i="47"/>
  <c r="U214" i="47"/>
  <c r="Y214" i="47"/>
  <c r="K215" i="47"/>
  <c r="L215" i="47"/>
  <c r="N215" i="47" s="1"/>
  <c r="O215" i="47"/>
  <c r="R215" i="47"/>
  <c r="T215" i="47"/>
  <c r="U215" i="47"/>
  <c r="Y215" i="47"/>
  <c r="K216" i="47"/>
  <c r="L216" i="47"/>
  <c r="N216" i="47" s="1"/>
  <c r="O216" i="47"/>
  <c r="R216" i="47"/>
  <c r="T216" i="47"/>
  <c r="U216" i="47"/>
  <c r="Y216" i="47"/>
  <c r="K217" i="47"/>
  <c r="L217" i="47"/>
  <c r="N217" i="47" s="1"/>
  <c r="O217" i="47"/>
  <c r="R217" i="47"/>
  <c r="T217" i="47"/>
  <c r="U217" i="47"/>
  <c r="Y217" i="47"/>
  <c r="K218" i="47"/>
  <c r="L218" i="47"/>
  <c r="N218" i="47" s="1"/>
  <c r="O218" i="47"/>
  <c r="R218" i="47"/>
  <c r="T218" i="47"/>
  <c r="U218" i="47"/>
  <c r="Y218" i="47"/>
  <c r="K219" i="47"/>
  <c r="L219" i="47"/>
  <c r="N219" i="47" s="1"/>
  <c r="O219" i="47"/>
  <c r="R219" i="47"/>
  <c r="T219" i="47"/>
  <c r="U219" i="47"/>
  <c r="Y219" i="47"/>
  <c r="K220" i="47"/>
  <c r="L220" i="47"/>
  <c r="N220" i="47" s="1"/>
  <c r="O220" i="47"/>
  <c r="R220" i="47"/>
  <c r="T220" i="47"/>
  <c r="U220" i="47"/>
  <c r="Y220" i="47"/>
  <c r="K221" i="47"/>
  <c r="L221" i="47"/>
  <c r="N221" i="47" s="1"/>
  <c r="O221" i="47"/>
  <c r="R221" i="47"/>
  <c r="T221" i="47"/>
  <c r="U221" i="47"/>
  <c r="Y221" i="47"/>
  <c r="K222" i="47"/>
  <c r="L222" i="47"/>
  <c r="N222" i="47" s="1"/>
  <c r="O222" i="47"/>
  <c r="R222" i="47"/>
  <c r="T222" i="47"/>
  <c r="U222" i="47"/>
  <c r="Y222" i="47"/>
  <c r="K223" i="47"/>
  <c r="L223" i="47"/>
  <c r="N223" i="47" s="1"/>
  <c r="O223" i="47"/>
  <c r="R223" i="47"/>
  <c r="T223" i="47"/>
  <c r="U223" i="47"/>
  <c r="Y223" i="47"/>
  <c r="K224" i="47"/>
  <c r="L224" i="47"/>
  <c r="N224" i="47" s="1"/>
  <c r="O224" i="47"/>
  <c r="R224" i="47"/>
  <c r="T224" i="47"/>
  <c r="U224" i="47"/>
  <c r="Y224" i="47"/>
  <c r="K225" i="47"/>
  <c r="L225" i="47"/>
  <c r="N225" i="47" s="1"/>
  <c r="O225" i="47"/>
  <c r="R225" i="47"/>
  <c r="T225" i="47"/>
  <c r="U225" i="47"/>
  <c r="Y225" i="47"/>
  <c r="K226" i="47"/>
  <c r="L226" i="47"/>
  <c r="N226" i="47" s="1"/>
  <c r="O226" i="47"/>
  <c r="R226" i="47"/>
  <c r="T226" i="47"/>
  <c r="U226" i="47"/>
  <c r="Y226" i="47"/>
  <c r="K227" i="47"/>
  <c r="L227" i="47"/>
  <c r="N227" i="47" s="1"/>
  <c r="O227" i="47"/>
  <c r="R227" i="47"/>
  <c r="T227" i="47"/>
  <c r="U227" i="47"/>
  <c r="Y227" i="47"/>
  <c r="K228" i="47"/>
  <c r="L228" i="47"/>
  <c r="N228" i="47" s="1"/>
  <c r="O228" i="47"/>
  <c r="R228" i="47"/>
  <c r="T228" i="47"/>
  <c r="U228" i="47"/>
  <c r="Y228" i="47"/>
  <c r="K229" i="47"/>
  <c r="L229" i="47"/>
  <c r="N229" i="47" s="1"/>
  <c r="O229" i="47"/>
  <c r="R229" i="47"/>
  <c r="T229" i="47"/>
  <c r="U229" i="47"/>
  <c r="Y229" i="47"/>
  <c r="K230" i="47"/>
  <c r="L230" i="47"/>
  <c r="N230" i="47" s="1"/>
  <c r="O230" i="47"/>
  <c r="R230" i="47"/>
  <c r="T230" i="47"/>
  <c r="U230" i="47"/>
  <c r="Y230" i="47"/>
  <c r="K231" i="47"/>
  <c r="L231" i="47"/>
  <c r="N231" i="47" s="1"/>
  <c r="O231" i="47"/>
  <c r="R231" i="47"/>
  <c r="T231" i="47"/>
  <c r="U231" i="47"/>
  <c r="Y231" i="47"/>
  <c r="K232" i="47"/>
  <c r="L232" i="47"/>
  <c r="N232" i="47" s="1"/>
  <c r="O232" i="47"/>
  <c r="R232" i="47"/>
  <c r="T232" i="47"/>
  <c r="U232" i="47"/>
  <c r="Y232" i="47"/>
  <c r="K233" i="47"/>
  <c r="L233" i="47"/>
  <c r="N233" i="47" s="1"/>
  <c r="O233" i="47"/>
  <c r="R233" i="47"/>
  <c r="T233" i="47"/>
  <c r="U233" i="47"/>
  <c r="Y233" i="47"/>
  <c r="K234" i="47"/>
  <c r="L234" i="47"/>
  <c r="N234" i="47" s="1"/>
  <c r="O234" i="47"/>
  <c r="R234" i="47"/>
  <c r="T234" i="47"/>
  <c r="U234" i="47"/>
  <c r="Y234" i="47"/>
  <c r="K235" i="47"/>
  <c r="L235" i="47"/>
  <c r="N235" i="47" s="1"/>
  <c r="O235" i="47"/>
  <c r="R235" i="47"/>
  <c r="T235" i="47"/>
  <c r="U235" i="47"/>
  <c r="Y235" i="47"/>
  <c r="K236" i="47"/>
  <c r="L236" i="47"/>
  <c r="N236" i="47" s="1"/>
  <c r="O236" i="47"/>
  <c r="R236" i="47"/>
  <c r="T236" i="47"/>
  <c r="U236" i="47"/>
  <c r="Y236" i="47"/>
  <c r="K237" i="47"/>
  <c r="L237" i="47"/>
  <c r="N237" i="47" s="1"/>
  <c r="O237" i="47"/>
  <c r="R237" i="47"/>
  <c r="T237" i="47"/>
  <c r="U237" i="47"/>
  <c r="Y237" i="47"/>
  <c r="K238" i="47"/>
  <c r="L238" i="47"/>
  <c r="N238" i="47" s="1"/>
  <c r="O238" i="47"/>
  <c r="R238" i="47"/>
  <c r="T238" i="47"/>
  <c r="U238" i="47"/>
  <c r="Y238" i="47"/>
  <c r="K239" i="47"/>
  <c r="L239" i="47"/>
  <c r="N239" i="47" s="1"/>
  <c r="O239" i="47"/>
  <c r="R239" i="47"/>
  <c r="T239" i="47"/>
  <c r="U239" i="47"/>
  <c r="Y239" i="47"/>
  <c r="K240" i="47"/>
  <c r="L240" i="47"/>
  <c r="N240" i="47" s="1"/>
  <c r="O240" i="47"/>
  <c r="R240" i="47"/>
  <c r="T240" i="47"/>
  <c r="U240" i="47"/>
  <c r="Y240" i="47"/>
  <c r="K241" i="47"/>
  <c r="L241" i="47"/>
  <c r="N241" i="47" s="1"/>
  <c r="O241" i="47"/>
  <c r="R241" i="47"/>
  <c r="T241" i="47"/>
  <c r="U241" i="47"/>
  <c r="Y241" i="47"/>
  <c r="K242" i="47"/>
  <c r="L242" i="47"/>
  <c r="N242" i="47" s="1"/>
  <c r="O242" i="47"/>
  <c r="R242" i="47"/>
  <c r="T242" i="47"/>
  <c r="U242" i="47"/>
  <c r="Y242" i="47"/>
  <c r="K243" i="47"/>
  <c r="L243" i="47"/>
  <c r="N243" i="47" s="1"/>
  <c r="O243" i="47"/>
  <c r="R243" i="47"/>
  <c r="T243" i="47"/>
  <c r="U243" i="47"/>
  <c r="Y243" i="47"/>
  <c r="K244" i="47"/>
  <c r="L244" i="47"/>
  <c r="N244" i="47" s="1"/>
  <c r="O244" i="47"/>
  <c r="R244" i="47"/>
  <c r="T244" i="47"/>
  <c r="U244" i="47"/>
  <c r="Y244" i="47"/>
  <c r="K245" i="47"/>
  <c r="L245" i="47"/>
  <c r="N245" i="47" s="1"/>
  <c r="O245" i="47"/>
  <c r="R245" i="47"/>
  <c r="T245" i="47"/>
  <c r="U245" i="47"/>
  <c r="Y245" i="47"/>
  <c r="K246" i="47"/>
  <c r="L246" i="47"/>
  <c r="N246" i="47" s="1"/>
  <c r="O246" i="47"/>
  <c r="R246" i="47"/>
  <c r="T246" i="47"/>
  <c r="U246" i="47"/>
  <c r="Y246" i="47"/>
  <c r="K247" i="47"/>
  <c r="L247" i="47"/>
  <c r="N247" i="47" s="1"/>
  <c r="O247" i="47"/>
  <c r="R247" i="47"/>
  <c r="T247" i="47"/>
  <c r="U247" i="47"/>
  <c r="Y247" i="47"/>
  <c r="K248" i="47"/>
  <c r="L248" i="47"/>
  <c r="N248" i="47" s="1"/>
  <c r="O248" i="47"/>
  <c r="R248" i="47"/>
  <c r="T248" i="47"/>
  <c r="U248" i="47"/>
  <c r="Y248" i="47"/>
  <c r="K249" i="47"/>
  <c r="L249" i="47"/>
  <c r="N249" i="47" s="1"/>
  <c r="O249" i="47"/>
  <c r="R249" i="47"/>
  <c r="T249" i="47"/>
  <c r="U249" i="47"/>
  <c r="Y249" i="47"/>
  <c r="K250" i="47"/>
  <c r="L250" i="47"/>
  <c r="N250" i="47" s="1"/>
  <c r="O250" i="47"/>
  <c r="R250" i="47"/>
  <c r="T250" i="47"/>
  <c r="U250" i="47"/>
  <c r="Y250" i="47"/>
  <c r="K251" i="47"/>
  <c r="L251" i="47"/>
  <c r="N251" i="47" s="1"/>
  <c r="O251" i="47"/>
  <c r="R251" i="47"/>
  <c r="T251" i="47"/>
  <c r="U251" i="47"/>
  <c r="Y251" i="47"/>
  <c r="K252" i="47"/>
  <c r="L252" i="47"/>
  <c r="N252" i="47" s="1"/>
  <c r="O252" i="47"/>
  <c r="R252" i="47"/>
  <c r="T252" i="47"/>
  <c r="U252" i="47"/>
  <c r="Y252" i="47"/>
  <c r="K253" i="47"/>
  <c r="L253" i="47"/>
  <c r="N253" i="47" s="1"/>
  <c r="O253" i="47"/>
  <c r="R253" i="47"/>
  <c r="T253" i="47"/>
  <c r="U253" i="47"/>
  <c r="Y253" i="47"/>
  <c r="K254" i="47"/>
  <c r="L254" i="47"/>
  <c r="N254" i="47" s="1"/>
  <c r="O254" i="47"/>
  <c r="R254" i="47"/>
  <c r="T254" i="47"/>
  <c r="U254" i="47"/>
  <c r="Y254" i="47"/>
  <c r="K255" i="47"/>
  <c r="L255" i="47"/>
  <c r="N255" i="47" s="1"/>
  <c r="O255" i="47"/>
  <c r="R255" i="47"/>
  <c r="T255" i="47"/>
  <c r="U255" i="47"/>
  <c r="Y255" i="47"/>
  <c r="K256" i="47"/>
  <c r="L256" i="47"/>
  <c r="N256" i="47" s="1"/>
  <c r="O256" i="47"/>
  <c r="R256" i="47"/>
  <c r="T256" i="47"/>
  <c r="U256" i="47"/>
  <c r="Y256" i="47"/>
  <c r="K257" i="47"/>
  <c r="L257" i="47"/>
  <c r="N257" i="47" s="1"/>
  <c r="O257" i="47"/>
  <c r="R257" i="47"/>
  <c r="T257" i="47"/>
  <c r="U257" i="47"/>
  <c r="Y257" i="47"/>
  <c r="K258" i="47"/>
  <c r="L258" i="47"/>
  <c r="N258" i="47" s="1"/>
  <c r="O258" i="47"/>
  <c r="R258" i="47"/>
  <c r="T258" i="47"/>
  <c r="U258" i="47"/>
  <c r="Y258" i="47"/>
  <c r="K259" i="47"/>
  <c r="L259" i="47"/>
  <c r="N259" i="47" s="1"/>
  <c r="O259" i="47"/>
  <c r="R259" i="47"/>
  <c r="T259" i="47"/>
  <c r="U259" i="47"/>
  <c r="Y259" i="47"/>
  <c r="K260" i="47"/>
  <c r="L260" i="47"/>
  <c r="N260" i="47" s="1"/>
  <c r="O260" i="47"/>
  <c r="R260" i="47"/>
  <c r="T260" i="47"/>
  <c r="U260" i="47"/>
  <c r="Y260" i="47"/>
  <c r="K261" i="47"/>
  <c r="L261" i="47"/>
  <c r="N261" i="47" s="1"/>
  <c r="O261" i="47"/>
  <c r="R261" i="47"/>
  <c r="T261" i="47"/>
  <c r="U261" i="47"/>
  <c r="Y261" i="47"/>
  <c r="K262" i="47"/>
  <c r="L262" i="47"/>
  <c r="N262" i="47" s="1"/>
  <c r="O262" i="47"/>
  <c r="R262" i="47"/>
  <c r="T262" i="47"/>
  <c r="U262" i="47"/>
  <c r="Y262" i="47"/>
  <c r="K263" i="47"/>
  <c r="L263" i="47"/>
  <c r="N263" i="47" s="1"/>
  <c r="O263" i="47"/>
  <c r="R263" i="47"/>
  <c r="T263" i="47"/>
  <c r="U263" i="47"/>
  <c r="Y263" i="47"/>
  <c r="K264" i="47"/>
  <c r="L264" i="47"/>
  <c r="N264" i="47" s="1"/>
  <c r="O264" i="47"/>
  <c r="R264" i="47"/>
  <c r="T264" i="47"/>
  <c r="U264" i="47"/>
  <c r="Y264" i="47"/>
  <c r="K265" i="47"/>
  <c r="L265" i="47"/>
  <c r="N265" i="47" s="1"/>
  <c r="O265" i="47"/>
  <c r="R265" i="47"/>
  <c r="T265" i="47"/>
  <c r="U265" i="47"/>
  <c r="Y265" i="47"/>
  <c r="K266" i="47"/>
  <c r="L266" i="47"/>
  <c r="N266" i="47" s="1"/>
  <c r="O266" i="47"/>
  <c r="R266" i="47"/>
  <c r="T266" i="47"/>
  <c r="U266" i="47"/>
  <c r="Y266" i="47"/>
  <c r="K267" i="47"/>
  <c r="L267" i="47"/>
  <c r="N267" i="47" s="1"/>
  <c r="O267" i="47"/>
  <c r="R267" i="47"/>
  <c r="T267" i="47"/>
  <c r="U267" i="47"/>
  <c r="Y267" i="47"/>
  <c r="K268" i="47"/>
  <c r="L268" i="47"/>
  <c r="N268" i="47" s="1"/>
  <c r="O268" i="47"/>
  <c r="R268" i="47"/>
  <c r="T268" i="47"/>
  <c r="U268" i="47"/>
  <c r="Y268" i="47"/>
  <c r="K269" i="47"/>
  <c r="L269" i="47"/>
  <c r="N269" i="47" s="1"/>
  <c r="O269" i="47"/>
  <c r="R269" i="47"/>
  <c r="T269" i="47"/>
  <c r="U269" i="47"/>
  <c r="Y269" i="47"/>
  <c r="K270" i="47"/>
  <c r="L270" i="47"/>
  <c r="N270" i="47" s="1"/>
  <c r="O270" i="47"/>
  <c r="R270" i="47"/>
  <c r="T270" i="47"/>
  <c r="U270" i="47"/>
  <c r="Y270" i="47"/>
  <c r="K271" i="47"/>
  <c r="L271" i="47"/>
  <c r="N271" i="47" s="1"/>
  <c r="O271" i="47"/>
  <c r="R271" i="47"/>
  <c r="T271" i="47"/>
  <c r="U271" i="47"/>
  <c r="Y271" i="47"/>
  <c r="K272" i="47"/>
  <c r="L272" i="47"/>
  <c r="N272" i="47" s="1"/>
  <c r="O272" i="47"/>
  <c r="R272" i="47"/>
  <c r="T272" i="47"/>
  <c r="U272" i="47"/>
  <c r="Y272" i="47"/>
  <c r="K273" i="47"/>
  <c r="L273" i="47"/>
  <c r="N273" i="47" s="1"/>
  <c r="O273" i="47"/>
  <c r="R273" i="47"/>
  <c r="T273" i="47"/>
  <c r="U273" i="47"/>
  <c r="Y273" i="47"/>
  <c r="K274" i="47"/>
  <c r="L274" i="47"/>
  <c r="N274" i="47" s="1"/>
  <c r="O274" i="47"/>
  <c r="R274" i="47"/>
  <c r="T274" i="47"/>
  <c r="U274" i="47"/>
  <c r="Y274" i="47"/>
  <c r="K275" i="47"/>
  <c r="L275" i="47"/>
  <c r="N275" i="47" s="1"/>
  <c r="O275" i="47"/>
  <c r="R275" i="47"/>
  <c r="T275" i="47"/>
  <c r="U275" i="47"/>
  <c r="Y275" i="47"/>
  <c r="K276" i="47"/>
  <c r="L276" i="47"/>
  <c r="N276" i="47" s="1"/>
  <c r="O276" i="47"/>
  <c r="R276" i="47"/>
  <c r="T276" i="47"/>
  <c r="U276" i="47"/>
  <c r="Y276" i="47"/>
  <c r="K277" i="47"/>
  <c r="L277" i="47"/>
  <c r="N277" i="47" s="1"/>
  <c r="O277" i="47"/>
  <c r="R277" i="47"/>
  <c r="T277" i="47"/>
  <c r="U277" i="47"/>
  <c r="Y277" i="47"/>
  <c r="K278" i="47"/>
  <c r="L278" i="47"/>
  <c r="N278" i="47" s="1"/>
  <c r="O278" i="47"/>
  <c r="R278" i="47"/>
  <c r="T278" i="47"/>
  <c r="U278" i="47"/>
  <c r="Y278" i="47"/>
  <c r="K279" i="47"/>
  <c r="L279" i="47"/>
  <c r="N279" i="47" s="1"/>
  <c r="O279" i="47"/>
  <c r="R279" i="47"/>
  <c r="T279" i="47"/>
  <c r="U279" i="47"/>
  <c r="Y279" i="47"/>
  <c r="K280" i="47"/>
  <c r="L280" i="47"/>
  <c r="N280" i="47" s="1"/>
  <c r="O280" i="47"/>
  <c r="R280" i="47"/>
  <c r="T280" i="47"/>
  <c r="U280" i="47"/>
  <c r="Y280" i="47"/>
  <c r="K281" i="47"/>
  <c r="L281" i="47"/>
  <c r="N281" i="47" s="1"/>
  <c r="O281" i="47"/>
  <c r="R281" i="47"/>
  <c r="T281" i="47"/>
  <c r="U281" i="47"/>
  <c r="Y281" i="47"/>
  <c r="K282" i="47"/>
  <c r="L282" i="47"/>
  <c r="N282" i="47" s="1"/>
  <c r="O282" i="47"/>
  <c r="R282" i="47"/>
  <c r="T282" i="47"/>
  <c r="U282" i="47"/>
  <c r="Y282" i="47"/>
  <c r="K283" i="47"/>
  <c r="L283" i="47"/>
  <c r="N283" i="47" s="1"/>
  <c r="O283" i="47"/>
  <c r="R283" i="47"/>
  <c r="T283" i="47"/>
  <c r="U283" i="47"/>
  <c r="Y283" i="47"/>
  <c r="K284" i="47"/>
  <c r="L284" i="47"/>
  <c r="N284" i="47" s="1"/>
  <c r="O284" i="47"/>
  <c r="R284" i="47"/>
  <c r="T284" i="47"/>
  <c r="U284" i="47"/>
  <c r="Y284" i="47"/>
  <c r="K285" i="47"/>
  <c r="L285" i="47"/>
  <c r="N285" i="47" s="1"/>
  <c r="O285" i="47"/>
  <c r="R285" i="47"/>
  <c r="T285" i="47"/>
  <c r="U285" i="47"/>
  <c r="Y285" i="47"/>
  <c r="K286" i="47"/>
  <c r="L286" i="47"/>
  <c r="N286" i="47" s="1"/>
  <c r="O286" i="47"/>
  <c r="R286" i="47"/>
  <c r="T286" i="47"/>
  <c r="U286" i="47"/>
  <c r="Y286" i="47"/>
  <c r="K287" i="47"/>
  <c r="L287" i="47"/>
  <c r="N287" i="47" s="1"/>
  <c r="O287" i="47"/>
  <c r="R287" i="47"/>
  <c r="T287" i="47"/>
  <c r="U287" i="47"/>
  <c r="Y287" i="47"/>
  <c r="K288" i="47"/>
  <c r="L288" i="47"/>
  <c r="N288" i="47" s="1"/>
  <c r="O288" i="47"/>
  <c r="R288" i="47"/>
  <c r="T288" i="47"/>
  <c r="U288" i="47"/>
  <c r="Y288" i="47"/>
  <c r="K289" i="47"/>
  <c r="L289" i="47"/>
  <c r="N289" i="47" s="1"/>
  <c r="O289" i="47"/>
  <c r="R289" i="47"/>
  <c r="T289" i="47"/>
  <c r="U289" i="47"/>
  <c r="Y289" i="47"/>
  <c r="K290" i="47"/>
  <c r="L290" i="47"/>
  <c r="N290" i="47" s="1"/>
  <c r="O290" i="47"/>
  <c r="R290" i="47"/>
  <c r="T290" i="47"/>
  <c r="U290" i="47"/>
  <c r="Y290" i="47"/>
  <c r="K291" i="47"/>
  <c r="L291" i="47"/>
  <c r="N291" i="47" s="1"/>
  <c r="O291" i="47"/>
  <c r="R291" i="47"/>
  <c r="T291" i="47"/>
  <c r="U291" i="47"/>
  <c r="Y291" i="47"/>
  <c r="K292" i="47"/>
  <c r="L292" i="47"/>
  <c r="N292" i="47" s="1"/>
  <c r="O292" i="47"/>
  <c r="R292" i="47"/>
  <c r="T292" i="47"/>
  <c r="U292" i="47"/>
  <c r="Y292" i="47"/>
  <c r="K293" i="47"/>
  <c r="L293" i="47"/>
  <c r="N293" i="47" s="1"/>
  <c r="O293" i="47"/>
  <c r="R293" i="47"/>
  <c r="T293" i="47"/>
  <c r="U293" i="47"/>
  <c r="Y293" i="47"/>
  <c r="K294" i="47"/>
  <c r="L294" i="47"/>
  <c r="N294" i="47" s="1"/>
  <c r="O294" i="47"/>
  <c r="R294" i="47"/>
  <c r="T294" i="47"/>
  <c r="U294" i="47"/>
  <c r="Y294" i="47"/>
  <c r="K295" i="47"/>
  <c r="L295" i="47"/>
  <c r="N295" i="47" s="1"/>
  <c r="O295" i="47"/>
  <c r="R295" i="47"/>
  <c r="T295" i="47"/>
  <c r="U295" i="47"/>
  <c r="Y295" i="47"/>
  <c r="K296" i="47"/>
  <c r="L296" i="47"/>
  <c r="N296" i="47" s="1"/>
  <c r="O296" i="47"/>
  <c r="R296" i="47"/>
  <c r="T296" i="47"/>
  <c r="U296" i="47"/>
  <c r="Y296" i="47"/>
  <c r="K297" i="47"/>
  <c r="L297" i="47"/>
  <c r="N297" i="47" s="1"/>
  <c r="O297" i="47"/>
  <c r="R297" i="47"/>
  <c r="T297" i="47"/>
  <c r="U297" i="47"/>
  <c r="Y297" i="47"/>
  <c r="K298" i="47"/>
  <c r="L298" i="47"/>
  <c r="N298" i="47" s="1"/>
  <c r="O298" i="47"/>
  <c r="R298" i="47"/>
  <c r="T298" i="47"/>
  <c r="U298" i="47"/>
  <c r="Y298" i="47"/>
  <c r="K299" i="47"/>
  <c r="L299" i="47"/>
  <c r="N299" i="47" s="1"/>
  <c r="O299" i="47"/>
  <c r="R299" i="47"/>
  <c r="T299" i="47"/>
  <c r="U299" i="47"/>
  <c r="Y299" i="47"/>
  <c r="K300" i="47"/>
  <c r="L300" i="47"/>
  <c r="N300" i="47" s="1"/>
  <c r="O300" i="47"/>
  <c r="R300" i="47"/>
  <c r="T300" i="47"/>
  <c r="U300" i="47"/>
  <c r="Y300" i="47"/>
  <c r="K301" i="47"/>
  <c r="L301" i="47"/>
  <c r="N301" i="47" s="1"/>
  <c r="O301" i="47"/>
  <c r="R301" i="47"/>
  <c r="T301" i="47"/>
  <c r="U301" i="47"/>
  <c r="Y301" i="47"/>
  <c r="K302" i="47"/>
  <c r="L302" i="47"/>
  <c r="N302" i="47" s="1"/>
  <c r="O302" i="47"/>
  <c r="R302" i="47"/>
  <c r="T302" i="47"/>
  <c r="U302" i="47"/>
  <c r="Y302" i="47"/>
  <c r="K303" i="47"/>
  <c r="L303" i="47"/>
  <c r="N303" i="47" s="1"/>
  <c r="O303" i="47"/>
  <c r="R303" i="47"/>
  <c r="T303" i="47"/>
  <c r="U303" i="47"/>
  <c r="Y303" i="47"/>
  <c r="K304" i="47"/>
  <c r="L304" i="47"/>
  <c r="N304" i="47" s="1"/>
  <c r="O304" i="47"/>
  <c r="R304" i="47"/>
  <c r="T304" i="47"/>
  <c r="U304" i="47"/>
  <c r="Y304" i="47"/>
  <c r="K305" i="47"/>
  <c r="L305" i="47"/>
  <c r="N305" i="47" s="1"/>
  <c r="O305" i="47"/>
  <c r="R305" i="47"/>
  <c r="T305" i="47"/>
  <c r="U305" i="47"/>
  <c r="Y305" i="47"/>
  <c r="K306" i="47"/>
  <c r="L306" i="47"/>
  <c r="N306" i="47" s="1"/>
  <c r="O306" i="47"/>
  <c r="R306" i="47"/>
  <c r="T306" i="47"/>
  <c r="U306" i="47"/>
  <c r="Y306" i="47"/>
  <c r="K307" i="47"/>
  <c r="L307" i="47"/>
  <c r="N307" i="47" s="1"/>
  <c r="O307" i="47"/>
  <c r="R307" i="47"/>
  <c r="T307" i="47"/>
  <c r="U307" i="47"/>
  <c r="Y307" i="47"/>
  <c r="K308" i="47"/>
  <c r="L308" i="47"/>
  <c r="N308" i="47" s="1"/>
  <c r="O308" i="47"/>
  <c r="R308" i="47"/>
  <c r="T308" i="47"/>
  <c r="U308" i="47"/>
  <c r="Y308" i="47"/>
  <c r="K309" i="47"/>
  <c r="L309" i="47"/>
  <c r="N309" i="47" s="1"/>
  <c r="O309" i="47"/>
  <c r="R309" i="47"/>
  <c r="T309" i="47"/>
  <c r="U309" i="47"/>
  <c r="Y309" i="47"/>
  <c r="K310" i="47"/>
  <c r="L310" i="47"/>
  <c r="N310" i="47" s="1"/>
  <c r="O310" i="47"/>
  <c r="R310" i="47"/>
  <c r="T310" i="47"/>
  <c r="U310" i="47"/>
  <c r="Y310" i="47"/>
  <c r="K311" i="47"/>
  <c r="L311" i="47"/>
  <c r="N311" i="47" s="1"/>
  <c r="O311" i="47"/>
  <c r="R311" i="47"/>
  <c r="T311" i="47"/>
  <c r="U311" i="47"/>
  <c r="Y311" i="47"/>
  <c r="K312" i="47"/>
  <c r="L312" i="47"/>
  <c r="N312" i="47" s="1"/>
  <c r="O312" i="47"/>
  <c r="R312" i="47"/>
  <c r="T312" i="47"/>
  <c r="U312" i="47"/>
  <c r="Y312" i="47"/>
  <c r="K313" i="47"/>
  <c r="L313" i="47"/>
  <c r="N313" i="47" s="1"/>
  <c r="O313" i="47"/>
  <c r="R313" i="47"/>
  <c r="T313" i="47"/>
  <c r="U313" i="47"/>
  <c r="Y313" i="47"/>
  <c r="K314" i="47"/>
  <c r="L314" i="47"/>
  <c r="N314" i="47" s="1"/>
  <c r="O314" i="47"/>
  <c r="R314" i="47"/>
  <c r="T314" i="47"/>
  <c r="U314" i="47"/>
  <c r="Y314" i="47"/>
  <c r="K315" i="47"/>
  <c r="L315" i="47"/>
  <c r="N315" i="47" s="1"/>
  <c r="O315" i="47"/>
  <c r="R315" i="47"/>
  <c r="T315" i="47"/>
  <c r="U315" i="47"/>
  <c r="Y315" i="47"/>
  <c r="K316" i="47"/>
  <c r="L316" i="47"/>
  <c r="N316" i="47" s="1"/>
  <c r="O316" i="47"/>
  <c r="R316" i="47"/>
  <c r="T316" i="47"/>
  <c r="U316" i="47"/>
  <c r="Y316" i="47"/>
  <c r="K317" i="47"/>
  <c r="L317" i="47"/>
  <c r="N317" i="47" s="1"/>
  <c r="O317" i="47"/>
  <c r="R317" i="47"/>
  <c r="T317" i="47"/>
  <c r="U317" i="47"/>
  <c r="Y317" i="47"/>
  <c r="K318" i="47"/>
  <c r="L318" i="47"/>
  <c r="N318" i="47" s="1"/>
  <c r="O318" i="47"/>
  <c r="R318" i="47"/>
  <c r="T318" i="47"/>
  <c r="U318" i="47"/>
  <c r="Y318" i="47"/>
  <c r="K319" i="47"/>
  <c r="L319" i="47"/>
  <c r="N319" i="47" s="1"/>
  <c r="O319" i="47"/>
  <c r="R319" i="47"/>
  <c r="T319" i="47"/>
  <c r="U319" i="47"/>
  <c r="Y319" i="47"/>
  <c r="K320" i="47"/>
  <c r="L320" i="47"/>
  <c r="N320" i="47" s="1"/>
  <c r="O320" i="47"/>
  <c r="R320" i="47"/>
  <c r="T320" i="47"/>
  <c r="U320" i="47"/>
  <c r="Y320" i="47"/>
  <c r="K321" i="47"/>
  <c r="L321" i="47"/>
  <c r="N321" i="47" s="1"/>
  <c r="O321" i="47"/>
  <c r="R321" i="47"/>
  <c r="T321" i="47"/>
  <c r="U321" i="47"/>
  <c r="Y321" i="47"/>
  <c r="K322" i="47"/>
  <c r="L322" i="47"/>
  <c r="N322" i="47" s="1"/>
  <c r="O322" i="47"/>
  <c r="R322" i="47"/>
  <c r="T322" i="47"/>
  <c r="U322" i="47"/>
  <c r="Y322" i="47"/>
  <c r="K323" i="47"/>
  <c r="L323" i="47"/>
  <c r="N323" i="47" s="1"/>
  <c r="O323" i="47"/>
  <c r="R323" i="47"/>
  <c r="T323" i="47"/>
  <c r="U323" i="47"/>
  <c r="Y323" i="47"/>
  <c r="K324" i="47"/>
  <c r="L324" i="47"/>
  <c r="N324" i="47" s="1"/>
  <c r="O324" i="47"/>
  <c r="R324" i="47"/>
  <c r="T324" i="47"/>
  <c r="U324" i="47"/>
  <c r="Y324" i="47"/>
  <c r="K325" i="47"/>
  <c r="L325" i="47"/>
  <c r="N325" i="47" s="1"/>
  <c r="O325" i="47"/>
  <c r="R325" i="47"/>
  <c r="T325" i="47"/>
  <c r="U325" i="47"/>
  <c r="Y325" i="47"/>
  <c r="K326" i="47"/>
  <c r="L326" i="47"/>
  <c r="N326" i="47" s="1"/>
  <c r="O326" i="47"/>
  <c r="R326" i="47"/>
  <c r="T326" i="47"/>
  <c r="U326" i="47"/>
  <c r="Y326" i="47"/>
  <c r="K327" i="47"/>
  <c r="L327" i="47"/>
  <c r="N327" i="47" s="1"/>
  <c r="O327" i="47"/>
  <c r="R327" i="47"/>
  <c r="T327" i="47"/>
  <c r="U327" i="47"/>
  <c r="Y327" i="47"/>
  <c r="L328" i="47"/>
  <c r="N328" i="47" s="1"/>
  <c r="Y328" i="47"/>
  <c r="B339" i="47"/>
  <c r="B338" i="47"/>
  <c r="B337" i="47"/>
  <c r="B336" i="47"/>
  <c r="B335" i="47"/>
  <c r="B334" i="47"/>
  <c r="B333" i="47"/>
  <c r="B332" i="47"/>
  <c r="B331" i="47"/>
  <c r="B330" i="47"/>
  <c r="B329" i="47"/>
  <c r="B328" i="47"/>
  <c r="AP102" i="153"/>
  <c r="V49" i="153"/>
  <c r="V53" i="153"/>
  <c r="V51" i="153"/>
  <c r="G100" i="153"/>
  <c r="F100" i="153"/>
  <c r="E100" i="153"/>
  <c r="G99" i="153"/>
  <c r="F99" i="153"/>
  <c r="E99" i="153"/>
  <c r="G98" i="153"/>
  <c r="F98" i="153"/>
  <c r="E98" i="153"/>
  <c r="G97" i="153"/>
  <c r="F97" i="153"/>
  <c r="E97" i="153"/>
  <c r="G96" i="153"/>
  <c r="F96" i="153"/>
  <c r="E96" i="153"/>
  <c r="G95" i="153"/>
  <c r="F95" i="153"/>
  <c r="E95" i="153"/>
  <c r="G94" i="153"/>
  <c r="F94" i="153"/>
  <c r="E94" i="153"/>
  <c r="G93" i="153"/>
  <c r="F93" i="153"/>
  <c r="E93" i="153"/>
  <c r="G92" i="153"/>
  <c r="F92" i="153"/>
  <c r="E92" i="153"/>
  <c r="G91" i="153"/>
  <c r="F91" i="153"/>
  <c r="E91" i="153"/>
  <c r="G90" i="153"/>
  <c r="F90" i="153"/>
  <c r="E90" i="153"/>
  <c r="G89" i="153"/>
  <c r="F89" i="153"/>
  <c r="E89" i="153"/>
  <c r="G88" i="153"/>
  <c r="F88" i="153"/>
  <c r="E88" i="153"/>
  <c r="G87" i="153"/>
  <c r="F87" i="153"/>
  <c r="E87" i="153"/>
  <c r="G86" i="153"/>
  <c r="F86" i="153"/>
  <c r="E86" i="153"/>
  <c r="G85" i="153"/>
  <c r="F85" i="153"/>
  <c r="E85" i="153"/>
  <c r="G84" i="153"/>
  <c r="F84" i="153"/>
  <c r="E84" i="153"/>
  <c r="G83" i="153"/>
  <c r="F83" i="153"/>
  <c r="E83" i="153"/>
  <c r="G82" i="153"/>
  <c r="F82" i="153"/>
  <c r="E82" i="153"/>
  <c r="G81" i="153"/>
  <c r="F81" i="153"/>
  <c r="E81" i="153"/>
  <c r="G80" i="153"/>
  <c r="F80" i="153"/>
  <c r="E80" i="153"/>
  <c r="G79" i="153"/>
  <c r="F79" i="153"/>
  <c r="E79" i="153"/>
  <c r="G78" i="153"/>
  <c r="F78" i="153"/>
  <c r="E78" i="153"/>
  <c r="G77" i="153"/>
  <c r="F77" i="153"/>
  <c r="E77" i="153"/>
  <c r="G76" i="153"/>
  <c r="F76" i="153"/>
  <c r="E76" i="153"/>
  <c r="G75" i="153"/>
  <c r="F75" i="153"/>
  <c r="E75" i="153"/>
  <c r="G74" i="153"/>
  <c r="F74" i="153"/>
  <c r="E74" i="153"/>
  <c r="G73" i="153"/>
  <c r="F73" i="153"/>
  <c r="E73" i="153"/>
  <c r="G72" i="153"/>
  <c r="F72" i="153"/>
  <c r="E72" i="153"/>
  <c r="C72" i="153"/>
  <c r="C73" i="153" s="1"/>
  <c r="C74" i="153" s="1"/>
  <c r="C75" i="153" s="1"/>
  <c r="C76" i="153" s="1"/>
  <c r="C77" i="153" s="1"/>
  <c r="C78" i="153" s="1"/>
  <c r="C79" i="153" s="1"/>
  <c r="C80" i="153" s="1"/>
  <c r="C81" i="153" s="1"/>
  <c r="C82" i="153" s="1"/>
  <c r="C83" i="153" s="1"/>
  <c r="C84" i="153" s="1"/>
  <c r="C85" i="153" s="1"/>
  <c r="C86" i="153" s="1"/>
  <c r="C87" i="153" s="1"/>
  <c r="C88" i="153" s="1"/>
  <c r="C89" i="153" s="1"/>
  <c r="C90" i="153" s="1"/>
  <c r="C91" i="153" s="1"/>
  <c r="C92" i="153" s="1"/>
  <c r="C93" i="153" s="1"/>
  <c r="C94" i="153" s="1"/>
  <c r="C95" i="153" s="1"/>
  <c r="C96" i="153" s="1"/>
  <c r="C97" i="153" s="1"/>
  <c r="C98" i="153" s="1"/>
  <c r="C99" i="153" s="1"/>
  <c r="C100" i="153" s="1"/>
  <c r="G71" i="153"/>
  <c r="F71" i="153"/>
  <c r="E71" i="153"/>
  <c r="C69" i="153"/>
  <c r="H22" i="153" s="1"/>
  <c r="AP102" i="152"/>
  <c r="V49" i="152"/>
  <c r="V53" i="152"/>
  <c r="V51" i="152"/>
  <c r="G101" i="152"/>
  <c r="F101" i="152"/>
  <c r="E101" i="152"/>
  <c r="G100" i="152"/>
  <c r="F100" i="152"/>
  <c r="E100" i="152"/>
  <c r="G99" i="152"/>
  <c r="F99" i="152"/>
  <c r="E99" i="152"/>
  <c r="G98" i="152"/>
  <c r="F98" i="152"/>
  <c r="E98" i="152"/>
  <c r="G97" i="152"/>
  <c r="F97" i="152"/>
  <c r="E97" i="152"/>
  <c r="G96" i="152"/>
  <c r="F96" i="152"/>
  <c r="E96" i="152"/>
  <c r="G95" i="152"/>
  <c r="F95" i="152"/>
  <c r="E95" i="152"/>
  <c r="G94" i="152"/>
  <c r="F94" i="152"/>
  <c r="E94" i="152"/>
  <c r="G93" i="152"/>
  <c r="F93" i="152"/>
  <c r="E93" i="152"/>
  <c r="G92" i="152"/>
  <c r="F92" i="152"/>
  <c r="E92" i="152"/>
  <c r="G91" i="152"/>
  <c r="F91" i="152"/>
  <c r="E91" i="152"/>
  <c r="G90" i="152"/>
  <c r="F90" i="152"/>
  <c r="E90" i="152"/>
  <c r="G89" i="152"/>
  <c r="F89" i="152"/>
  <c r="E89" i="152"/>
  <c r="G88" i="152"/>
  <c r="F88" i="152"/>
  <c r="E88" i="152"/>
  <c r="G87" i="152"/>
  <c r="F87" i="152"/>
  <c r="E87" i="152"/>
  <c r="G86" i="152"/>
  <c r="F86" i="152"/>
  <c r="E86" i="152"/>
  <c r="G85" i="152"/>
  <c r="F85" i="152"/>
  <c r="E85" i="152"/>
  <c r="G84" i="152"/>
  <c r="F84" i="152"/>
  <c r="E84" i="152"/>
  <c r="G83" i="152"/>
  <c r="F83" i="152"/>
  <c r="E83" i="152"/>
  <c r="G82" i="152"/>
  <c r="F82" i="152"/>
  <c r="E82" i="152"/>
  <c r="G81" i="152"/>
  <c r="F81" i="152"/>
  <c r="E81" i="152"/>
  <c r="G80" i="152"/>
  <c r="F80" i="152"/>
  <c r="E80" i="152"/>
  <c r="G79" i="152"/>
  <c r="F79" i="152"/>
  <c r="E79" i="152"/>
  <c r="G78" i="152"/>
  <c r="F78" i="152"/>
  <c r="E78" i="152"/>
  <c r="G77" i="152"/>
  <c r="F77" i="152"/>
  <c r="E77" i="152"/>
  <c r="G76" i="152"/>
  <c r="F76" i="152"/>
  <c r="E76" i="152"/>
  <c r="G75" i="152"/>
  <c r="F75" i="152"/>
  <c r="E75" i="152"/>
  <c r="G74" i="152"/>
  <c r="F74" i="152"/>
  <c r="E74" i="152"/>
  <c r="G73" i="152"/>
  <c r="F73" i="152"/>
  <c r="E73" i="152"/>
  <c r="G72" i="152"/>
  <c r="F72" i="152"/>
  <c r="E72" i="152"/>
  <c r="C72" i="152"/>
  <c r="C73" i="152" s="1"/>
  <c r="C74" i="152" s="1"/>
  <c r="C75" i="152" s="1"/>
  <c r="C76" i="152" s="1"/>
  <c r="C77" i="152" s="1"/>
  <c r="C78" i="152" s="1"/>
  <c r="C79" i="152" s="1"/>
  <c r="C80" i="152" s="1"/>
  <c r="C81" i="152" s="1"/>
  <c r="C82" i="152" s="1"/>
  <c r="C83" i="152" s="1"/>
  <c r="C84" i="152" s="1"/>
  <c r="C85" i="152" s="1"/>
  <c r="C86" i="152" s="1"/>
  <c r="C87" i="152" s="1"/>
  <c r="C88" i="152" s="1"/>
  <c r="C89" i="152" s="1"/>
  <c r="C90" i="152" s="1"/>
  <c r="C91" i="152" s="1"/>
  <c r="C92" i="152" s="1"/>
  <c r="C93" i="152" s="1"/>
  <c r="C94" i="152" s="1"/>
  <c r="C95" i="152" s="1"/>
  <c r="C96" i="152" s="1"/>
  <c r="C97" i="152" s="1"/>
  <c r="C98" i="152" s="1"/>
  <c r="C99" i="152" s="1"/>
  <c r="C100" i="152" s="1"/>
  <c r="C101" i="152" s="1"/>
  <c r="G71" i="152"/>
  <c r="F71" i="152"/>
  <c r="E71" i="152"/>
  <c r="C69" i="152"/>
  <c r="H22" i="152" s="1"/>
  <c r="D74" i="152" s="1"/>
  <c r="AP102" i="151"/>
  <c r="V49" i="151"/>
  <c r="V53" i="151"/>
  <c r="V51" i="151"/>
  <c r="G100" i="151"/>
  <c r="F100" i="151"/>
  <c r="E100" i="151"/>
  <c r="G99" i="151"/>
  <c r="F99" i="151"/>
  <c r="E99" i="151"/>
  <c r="G98" i="151"/>
  <c r="F98" i="151"/>
  <c r="E98" i="151"/>
  <c r="G97" i="151"/>
  <c r="F97" i="151"/>
  <c r="E97" i="151"/>
  <c r="G96" i="151"/>
  <c r="F96" i="151"/>
  <c r="E96" i="151"/>
  <c r="G95" i="151"/>
  <c r="F95" i="151"/>
  <c r="E95" i="151"/>
  <c r="G94" i="151"/>
  <c r="F94" i="151"/>
  <c r="E94" i="151"/>
  <c r="G93" i="151"/>
  <c r="F93" i="151"/>
  <c r="E93" i="151"/>
  <c r="G92" i="151"/>
  <c r="F92" i="151"/>
  <c r="E92" i="151"/>
  <c r="G91" i="151"/>
  <c r="F91" i="151"/>
  <c r="E91" i="151"/>
  <c r="G90" i="151"/>
  <c r="F90" i="151"/>
  <c r="E90" i="151"/>
  <c r="G89" i="151"/>
  <c r="F89" i="151"/>
  <c r="E89" i="151"/>
  <c r="G88" i="151"/>
  <c r="F88" i="151"/>
  <c r="E88" i="151"/>
  <c r="G87" i="151"/>
  <c r="F87" i="151"/>
  <c r="E87" i="151"/>
  <c r="G86" i="151"/>
  <c r="F86" i="151"/>
  <c r="E86" i="151"/>
  <c r="G85" i="151"/>
  <c r="F85" i="151"/>
  <c r="E85" i="151"/>
  <c r="G84" i="151"/>
  <c r="F84" i="151"/>
  <c r="E84" i="151"/>
  <c r="G83" i="151"/>
  <c r="F83" i="151"/>
  <c r="E83" i="151"/>
  <c r="G82" i="151"/>
  <c r="F82" i="151"/>
  <c r="E82" i="151"/>
  <c r="G81" i="151"/>
  <c r="F81" i="151"/>
  <c r="E81" i="151"/>
  <c r="G80" i="151"/>
  <c r="F80" i="151"/>
  <c r="E80" i="151"/>
  <c r="G79" i="151"/>
  <c r="F79" i="151"/>
  <c r="E79" i="151"/>
  <c r="G78" i="151"/>
  <c r="F78" i="151"/>
  <c r="E78" i="151"/>
  <c r="G77" i="151"/>
  <c r="F77" i="151"/>
  <c r="E77" i="151"/>
  <c r="G76" i="151"/>
  <c r="F76" i="151"/>
  <c r="E76" i="151"/>
  <c r="G75" i="151"/>
  <c r="F75" i="151"/>
  <c r="E75" i="151"/>
  <c r="G74" i="151"/>
  <c r="F74" i="151"/>
  <c r="E74" i="151"/>
  <c r="G73" i="151"/>
  <c r="F73" i="151"/>
  <c r="E73" i="151"/>
  <c r="G72" i="151"/>
  <c r="F72" i="151"/>
  <c r="E72" i="151"/>
  <c r="C72" i="151"/>
  <c r="C73" i="151" s="1"/>
  <c r="C74" i="151" s="1"/>
  <c r="C75" i="151" s="1"/>
  <c r="C76" i="151" s="1"/>
  <c r="C77" i="151" s="1"/>
  <c r="C78" i="151" s="1"/>
  <c r="C79" i="151" s="1"/>
  <c r="C80" i="151" s="1"/>
  <c r="C81" i="151" s="1"/>
  <c r="C82" i="151" s="1"/>
  <c r="C83" i="151" s="1"/>
  <c r="C84" i="151" s="1"/>
  <c r="C85" i="151" s="1"/>
  <c r="C86" i="151" s="1"/>
  <c r="C87" i="151" s="1"/>
  <c r="C88" i="151" s="1"/>
  <c r="C89" i="151" s="1"/>
  <c r="C90" i="151" s="1"/>
  <c r="C91" i="151" s="1"/>
  <c r="C92" i="151" s="1"/>
  <c r="C93" i="151" s="1"/>
  <c r="C94" i="151" s="1"/>
  <c r="C95" i="151" s="1"/>
  <c r="C96" i="151" s="1"/>
  <c r="C97" i="151" s="1"/>
  <c r="C98" i="151" s="1"/>
  <c r="C99" i="151" s="1"/>
  <c r="C100" i="151" s="1"/>
  <c r="G71" i="151"/>
  <c r="F71" i="151"/>
  <c r="E71" i="151"/>
  <c r="C69" i="151"/>
  <c r="J22" i="151" s="1"/>
  <c r="AP102" i="150"/>
  <c r="AG102" i="150"/>
  <c r="AA102" i="150"/>
  <c r="Z102" i="150"/>
  <c r="Y102" i="150"/>
  <c r="X102" i="150"/>
  <c r="W102" i="150"/>
  <c r="V102" i="150"/>
  <c r="U102" i="150"/>
  <c r="T102" i="150"/>
  <c r="Q102" i="150"/>
  <c r="P102" i="150"/>
  <c r="O102" i="150"/>
  <c r="K53" i="150" s="1"/>
  <c r="M102" i="150"/>
  <c r="L102" i="150"/>
  <c r="K102" i="150"/>
  <c r="AE101" i="150"/>
  <c r="AD101" i="150"/>
  <c r="AC101" i="150" s="1"/>
  <c r="G101" i="150"/>
  <c r="F101" i="150"/>
  <c r="E101" i="150"/>
  <c r="AE100" i="150"/>
  <c r="AD100" i="150"/>
  <c r="AC100" i="150" s="1"/>
  <c r="G100" i="150"/>
  <c r="F100" i="150"/>
  <c r="E100" i="150"/>
  <c r="AE99" i="150"/>
  <c r="AD99" i="150"/>
  <c r="G99" i="150"/>
  <c r="F99" i="150"/>
  <c r="E99" i="150"/>
  <c r="AE98" i="150"/>
  <c r="AD98" i="150"/>
  <c r="AC98" i="150" s="1"/>
  <c r="G98" i="150"/>
  <c r="F98" i="150"/>
  <c r="E98" i="150"/>
  <c r="AE97" i="150"/>
  <c r="AD97" i="150"/>
  <c r="AC97" i="150" s="1"/>
  <c r="G97" i="150"/>
  <c r="F97" i="150"/>
  <c r="E97" i="150"/>
  <c r="AE96" i="150"/>
  <c r="AD96" i="150"/>
  <c r="G96" i="150"/>
  <c r="F96" i="150"/>
  <c r="E96" i="150"/>
  <c r="AE95" i="150"/>
  <c r="AD95" i="150"/>
  <c r="AC95" i="150" s="1"/>
  <c r="G95" i="150"/>
  <c r="F95" i="150"/>
  <c r="E95" i="150"/>
  <c r="AE94" i="150"/>
  <c r="AD94" i="150"/>
  <c r="G94" i="150"/>
  <c r="F94" i="150"/>
  <c r="E94" i="150"/>
  <c r="AE93" i="150"/>
  <c r="AD93" i="150"/>
  <c r="AC93" i="150" s="1"/>
  <c r="G93" i="150"/>
  <c r="F93" i="150"/>
  <c r="E93" i="150"/>
  <c r="AE92" i="150"/>
  <c r="AD92" i="150"/>
  <c r="G92" i="150"/>
  <c r="F92" i="150"/>
  <c r="E92" i="150"/>
  <c r="AE91" i="150"/>
  <c r="AD91" i="150"/>
  <c r="AC91" i="150" s="1"/>
  <c r="G91" i="150"/>
  <c r="F91" i="150"/>
  <c r="E91" i="150"/>
  <c r="AE90" i="150"/>
  <c r="AD90" i="150"/>
  <c r="G90" i="150"/>
  <c r="F90" i="150"/>
  <c r="E90" i="150"/>
  <c r="AE89" i="150"/>
  <c r="AD89" i="150"/>
  <c r="G89" i="150"/>
  <c r="F89" i="150"/>
  <c r="E89" i="150"/>
  <c r="AE88" i="150"/>
  <c r="AD88" i="150"/>
  <c r="AC88" i="150" s="1"/>
  <c r="G88" i="150"/>
  <c r="F88" i="150"/>
  <c r="E88" i="150"/>
  <c r="AE87" i="150"/>
  <c r="AD87" i="150"/>
  <c r="AC87" i="150" s="1"/>
  <c r="G87" i="150"/>
  <c r="F87" i="150"/>
  <c r="E87" i="150"/>
  <c r="AE86" i="150"/>
  <c r="AD86" i="150"/>
  <c r="AC86" i="150" s="1"/>
  <c r="G86" i="150"/>
  <c r="F86" i="150"/>
  <c r="E86" i="150"/>
  <c r="AE85" i="150"/>
  <c r="AD85" i="150"/>
  <c r="AC85" i="150" s="1"/>
  <c r="G85" i="150"/>
  <c r="F85" i="150"/>
  <c r="E85" i="150"/>
  <c r="AE84" i="150"/>
  <c r="AD84" i="150"/>
  <c r="AC84" i="150" s="1"/>
  <c r="G84" i="150"/>
  <c r="F84" i="150"/>
  <c r="E84" i="150"/>
  <c r="AE83" i="150"/>
  <c r="AD83" i="150"/>
  <c r="AC83" i="150" s="1"/>
  <c r="G83" i="150"/>
  <c r="F83" i="150"/>
  <c r="E83" i="150"/>
  <c r="AE82" i="150"/>
  <c r="AD82" i="150"/>
  <c r="AC82" i="150" s="1"/>
  <c r="G82" i="150"/>
  <c r="F82" i="150"/>
  <c r="E82" i="150"/>
  <c r="AE81" i="150"/>
  <c r="AD81" i="150"/>
  <c r="AC81" i="150" s="1"/>
  <c r="G81" i="150"/>
  <c r="F81" i="150"/>
  <c r="E81" i="150"/>
  <c r="AE80" i="150"/>
  <c r="AD80" i="150"/>
  <c r="AC80" i="150" s="1"/>
  <c r="G80" i="150"/>
  <c r="F80" i="150"/>
  <c r="E80" i="150"/>
  <c r="AE79" i="150"/>
  <c r="AD79" i="150"/>
  <c r="AC79" i="150" s="1"/>
  <c r="G79" i="150"/>
  <c r="F79" i="150"/>
  <c r="E79" i="150"/>
  <c r="AE78" i="150"/>
  <c r="AD78" i="150"/>
  <c r="AC78" i="150" s="1"/>
  <c r="G78" i="150"/>
  <c r="F78" i="150"/>
  <c r="E78" i="150"/>
  <c r="AE77" i="150"/>
  <c r="AD77" i="150"/>
  <c r="AC77" i="150" s="1"/>
  <c r="G77" i="150"/>
  <c r="F77" i="150"/>
  <c r="E77" i="150"/>
  <c r="AE76" i="150"/>
  <c r="AD76" i="150"/>
  <c r="AC76" i="150" s="1"/>
  <c r="G76" i="150"/>
  <c r="F76" i="150"/>
  <c r="E76" i="150"/>
  <c r="AE75" i="150"/>
  <c r="AD75" i="150"/>
  <c r="AC75" i="150" s="1"/>
  <c r="G75" i="150"/>
  <c r="F75" i="150"/>
  <c r="E75" i="150"/>
  <c r="AE74" i="150"/>
  <c r="AD74" i="150"/>
  <c r="AC74" i="150" s="1"/>
  <c r="G74" i="150"/>
  <c r="F74" i="150"/>
  <c r="E74" i="150"/>
  <c r="AE73" i="150"/>
  <c r="AD73" i="150"/>
  <c r="G73" i="150"/>
  <c r="F73" i="150"/>
  <c r="E73" i="150"/>
  <c r="AE72" i="150"/>
  <c r="AD72" i="150"/>
  <c r="AC72" i="150" s="1"/>
  <c r="G72" i="150"/>
  <c r="F72" i="150"/>
  <c r="E72" i="150"/>
  <c r="C72" i="150"/>
  <c r="C73" i="150" s="1"/>
  <c r="C74" i="150" s="1"/>
  <c r="C75" i="150" s="1"/>
  <c r="C76" i="150" s="1"/>
  <c r="C77" i="150" s="1"/>
  <c r="C78" i="150" s="1"/>
  <c r="C79" i="150" s="1"/>
  <c r="C80" i="150" s="1"/>
  <c r="C81" i="150" s="1"/>
  <c r="C82" i="150" s="1"/>
  <c r="C83" i="150" s="1"/>
  <c r="C84" i="150" s="1"/>
  <c r="C85" i="150" s="1"/>
  <c r="C86" i="150" s="1"/>
  <c r="C87" i="150" s="1"/>
  <c r="C88" i="150" s="1"/>
  <c r="C89" i="150" s="1"/>
  <c r="C90" i="150" s="1"/>
  <c r="C91" i="150" s="1"/>
  <c r="C92" i="150" s="1"/>
  <c r="C93" i="150" s="1"/>
  <c r="C94" i="150" s="1"/>
  <c r="C95" i="150" s="1"/>
  <c r="C96" i="150" s="1"/>
  <c r="C97" i="150" s="1"/>
  <c r="C98" i="150" s="1"/>
  <c r="C99" i="150" s="1"/>
  <c r="C100" i="150" s="1"/>
  <c r="C101" i="150" s="1"/>
  <c r="AE71" i="150"/>
  <c r="AD71" i="150"/>
  <c r="AC71" i="150" s="1"/>
  <c r="G71" i="150"/>
  <c r="F71" i="150"/>
  <c r="E71" i="150"/>
  <c r="C69" i="150"/>
  <c r="J22" i="150" s="1"/>
  <c r="H89" i="150" s="1"/>
  <c r="AP102" i="149"/>
  <c r="AG102" i="149"/>
  <c r="AA102" i="149"/>
  <c r="Z102" i="149"/>
  <c r="Y102" i="149"/>
  <c r="X102" i="149"/>
  <c r="W102" i="149"/>
  <c r="V102" i="149"/>
  <c r="U102" i="149"/>
  <c r="T102" i="149"/>
  <c r="Q102" i="149"/>
  <c r="V53" i="149" s="1"/>
  <c r="P102" i="149"/>
  <c r="O102" i="149"/>
  <c r="K53" i="149" s="1"/>
  <c r="M102" i="149"/>
  <c r="L102" i="149"/>
  <c r="K102" i="149"/>
  <c r="AE101" i="149"/>
  <c r="AD101" i="149"/>
  <c r="AC101" i="149" s="1"/>
  <c r="G101" i="149"/>
  <c r="F101" i="149"/>
  <c r="E101" i="149"/>
  <c r="AE100" i="149"/>
  <c r="AD100" i="149"/>
  <c r="AC100" i="149" s="1"/>
  <c r="G100" i="149"/>
  <c r="F100" i="149"/>
  <c r="E100" i="149"/>
  <c r="AE99" i="149"/>
  <c r="AD99" i="149"/>
  <c r="G99" i="149"/>
  <c r="F99" i="149"/>
  <c r="E99" i="149"/>
  <c r="AE98" i="149"/>
  <c r="AF98" i="149" s="1"/>
  <c r="AD98" i="149"/>
  <c r="AC98" i="149" s="1"/>
  <c r="G98" i="149"/>
  <c r="F98" i="149"/>
  <c r="E98" i="149"/>
  <c r="AE97" i="149"/>
  <c r="AD97" i="149"/>
  <c r="AC97" i="149" s="1"/>
  <c r="G97" i="149"/>
  <c r="F97" i="149"/>
  <c r="E97" i="149"/>
  <c r="AE96" i="149"/>
  <c r="AD96" i="149"/>
  <c r="AC96" i="149" s="1"/>
  <c r="G96" i="149"/>
  <c r="F96" i="149"/>
  <c r="E96" i="149"/>
  <c r="AE95" i="149"/>
  <c r="AD95" i="149"/>
  <c r="AC95" i="149" s="1"/>
  <c r="G95" i="149"/>
  <c r="F95" i="149"/>
  <c r="E95" i="149"/>
  <c r="AE94" i="149"/>
  <c r="AD94" i="149"/>
  <c r="AC94" i="149" s="1"/>
  <c r="G94" i="149"/>
  <c r="F94" i="149"/>
  <c r="E94" i="149"/>
  <c r="AE93" i="149"/>
  <c r="AD93" i="149"/>
  <c r="AC93" i="149" s="1"/>
  <c r="G93" i="149"/>
  <c r="F93" i="149"/>
  <c r="E93" i="149"/>
  <c r="AE92" i="149"/>
  <c r="AD92" i="149"/>
  <c r="AC92" i="149" s="1"/>
  <c r="G92" i="149"/>
  <c r="F92" i="149"/>
  <c r="E92" i="149"/>
  <c r="AE91" i="149"/>
  <c r="AD91" i="149"/>
  <c r="G91" i="149"/>
  <c r="F91" i="149"/>
  <c r="E91" i="149"/>
  <c r="AE90" i="149"/>
  <c r="AF90" i="149" s="1"/>
  <c r="AD90" i="149"/>
  <c r="AC90" i="149" s="1"/>
  <c r="G90" i="149"/>
  <c r="F90" i="149"/>
  <c r="E90" i="149"/>
  <c r="AE89" i="149"/>
  <c r="AD89" i="149"/>
  <c r="AC89" i="149" s="1"/>
  <c r="G89" i="149"/>
  <c r="F89" i="149"/>
  <c r="E89" i="149"/>
  <c r="AE88" i="149"/>
  <c r="AD88" i="149"/>
  <c r="AC88" i="149" s="1"/>
  <c r="G88" i="149"/>
  <c r="F88" i="149"/>
  <c r="E88" i="149"/>
  <c r="AE87" i="149"/>
  <c r="AD87" i="149"/>
  <c r="G87" i="149"/>
  <c r="F87" i="149"/>
  <c r="E87" i="149"/>
  <c r="AE86" i="149"/>
  <c r="AF86" i="149" s="1"/>
  <c r="AD86" i="149"/>
  <c r="AC86" i="149" s="1"/>
  <c r="G86" i="149"/>
  <c r="F86" i="149"/>
  <c r="E86" i="149"/>
  <c r="AE85" i="149"/>
  <c r="AD85" i="149"/>
  <c r="AC85" i="149" s="1"/>
  <c r="G85" i="149"/>
  <c r="F85" i="149"/>
  <c r="E85" i="149"/>
  <c r="AE84" i="149"/>
  <c r="AD84" i="149"/>
  <c r="G84" i="149"/>
  <c r="F84" i="149"/>
  <c r="E84" i="149"/>
  <c r="AE83" i="149"/>
  <c r="AD83" i="149"/>
  <c r="G83" i="149"/>
  <c r="F83" i="149"/>
  <c r="E83" i="149"/>
  <c r="AE82" i="149"/>
  <c r="AF82" i="149" s="1"/>
  <c r="AD82" i="149"/>
  <c r="AC82" i="149" s="1"/>
  <c r="G82" i="149"/>
  <c r="F82" i="149"/>
  <c r="E82" i="149"/>
  <c r="AE81" i="149"/>
  <c r="AD81" i="149"/>
  <c r="AC81" i="149" s="1"/>
  <c r="G81" i="149"/>
  <c r="F81" i="149"/>
  <c r="E81" i="149"/>
  <c r="AE80" i="149"/>
  <c r="AD80" i="149"/>
  <c r="AC80" i="149" s="1"/>
  <c r="G80" i="149"/>
  <c r="F80" i="149"/>
  <c r="E80" i="149"/>
  <c r="AE79" i="149"/>
  <c r="AD79" i="149"/>
  <c r="AC79" i="149" s="1"/>
  <c r="G79" i="149"/>
  <c r="F79" i="149"/>
  <c r="E79" i="149"/>
  <c r="AE78" i="149"/>
  <c r="AD78" i="149"/>
  <c r="AC78" i="149" s="1"/>
  <c r="G78" i="149"/>
  <c r="F78" i="149"/>
  <c r="E78" i="149"/>
  <c r="AE77" i="149"/>
  <c r="AD77" i="149"/>
  <c r="AC77" i="149" s="1"/>
  <c r="G77" i="149"/>
  <c r="F77" i="149"/>
  <c r="E77" i="149"/>
  <c r="AE76" i="149"/>
  <c r="AD76" i="149"/>
  <c r="G76" i="149"/>
  <c r="F76" i="149"/>
  <c r="E76" i="149"/>
  <c r="AE75" i="149"/>
  <c r="AD75" i="149"/>
  <c r="G75" i="149"/>
  <c r="F75" i="149"/>
  <c r="E75" i="149"/>
  <c r="AE74" i="149"/>
  <c r="AF74" i="149" s="1"/>
  <c r="AD74" i="149"/>
  <c r="G74" i="149"/>
  <c r="F74" i="149"/>
  <c r="E74" i="149"/>
  <c r="AE73" i="149"/>
  <c r="AD73" i="149"/>
  <c r="AC73" i="149" s="1"/>
  <c r="G73" i="149"/>
  <c r="F73" i="149"/>
  <c r="E73" i="149"/>
  <c r="AE72" i="149"/>
  <c r="AD72" i="149"/>
  <c r="G72" i="149"/>
  <c r="F72" i="149"/>
  <c r="E72" i="149"/>
  <c r="C72" i="149"/>
  <c r="C73" i="149" s="1"/>
  <c r="C74" i="149" s="1"/>
  <c r="C75" i="149" s="1"/>
  <c r="C76" i="149" s="1"/>
  <c r="C77" i="149" s="1"/>
  <c r="C78" i="149" s="1"/>
  <c r="C79" i="149" s="1"/>
  <c r="C80" i="149" s="1"/>
  <c r="C81" i="149" s="1"/>
  <c r="C82" i="149" s="1"/>
  <c r="C83" i="149" s="1"/>
  <c r="C84" i="149" s="1"/>
  <c r="C85" i="149" s="1"/>
  <c r="C86" i="149" s="1"/>
  <c r="C87" i="149" s="1"/>
  <c r="C88" i="149" s="1"/>
  <c r="C89" i="149" s="1"/>
  <c r="C90" i="149" s="1"/>
  <c r="C91" i="149" s="1"/>
  <c r="C92" i="149" s="1"/>
  <c r="C93" i="149" s="1"/>
  <c r="C94" i="149" s="1"/>
  <c r="C95" i="149" s="1"/>
  <c r="C96" i="149" s="1"/>
  <c r="C97" i="149" s="1"/>
  <c r="C98" i="149" s="1"/>
  <c r="C99" i="149" s="1"/>
  <c r="C100" i="149" s="1"/>
  <c r="C101" i="149" s="1"/>
  <c r="AE71" i="149"/>
  <c r="AF71" i="149" s="1"/>
  <c r="AD71" i="149"/>
  <c r="G71" i="149"/>
  <c r="F71" i="149"/>
  <c r="E71" i="149"/>
  <c r="C69" i="149"/>
  <c r="J22" i="149" s="1"/>
  <c r="AP102" i="148"/>
  <c r="AG102" i="148"/>
  <c r="AA102" i="148"/>
  <c r="Z102" i="148"/>
  <c r="Y102" i="148"/>
  <c r="X102" i="148"/>
  <c r="W102" i="148"/>
  <c r="V102" i="148"/>
  <c r="U102" i="148"/>
  <c r="T102" i="148"/>
  <c r="Q102" i="148"/>
  <c r="V53" i="148" s="1"/>
  <c r="P102" i="148"/>
  <c r="O102" i="148"/>
  <c r="K53" i="148" s="1"/>
  <c r="M102" i="148"/>
  <c r="L102" i="148"/>
  <c r="K102" i="148"/>
  <c r="AE100" i="148"/>
  <c r="AD100" i="148"/>
  <c r="AC100" i="148" s="1"/>
  <c r="G100" i="148"/>
  <c r="F100" i="148"/>
  <c r="E100" i="148"/>
  <c r="AE99" i="148"/>
  <c r="AD99" i="148"/>
  <c r="AC99" i="148" s="1"/>
  <c r="G99" i="148"/>
  <c r="F99" i="148"/>
  <c r="E99" i="148"/>
  <c r="AE98" i="148"/>
  <c r="AF98" i="148" s="1"/>
  <c r="AD98" i="148"/>
  <c r="AC98" i="148" s="1"/>
  <c r="G98" i="148"/>
  <c r="F98" i="148"/>
  <c r="E98" i="148"/>
  <c r="AE97" i="148"/>
  <c r="AD97" i="148"/>
  <c r="AC97" i="148" s="1"/>
  <c r="G97" i="148"/>
  <c r="F97" i="148"/>
  <c r="E97" i="148"/>
  <c r="AE96" i="148"/>
  <c r="AD96" i="148"/>
  <c r="AC96" i="148" s="1"/>
  <c r="G96" i="148"/>
  <c r="F96" i="148"/>
  <c r="E96" i="148"/>
  <c r="AE95" i="148"/>
  <c r="AD95" i="148"/>
  <c r="AC95" i="148" s="1"/>
  <c r="G95" i="148"/>
  <c r="F95" i="148"/>
  <c r="E95" i="148"/>
  <c r="AE94" i="148"/>
  <c r="AD94" i="148"/>
  <c r="G94" i="148"/>
  <c r="F94" i="148"/>
  <c r="E94" i="148"/>
  <c r="AE93" i="148"/>
  <c r="AD93" i="148"/>
  <c r="AC93" i="148" s="1"/>
  <c r="G93" i="148"/>
  <c r="F93" i="148"/>
  <c r="E93" i="148"/>
  <c r="AE92" i="148"/>
  <c r="AD92" i="148"/>
  <c r="AC92" i="148" s="1"/>
  <c r="G92" i="148"/>
  <c r="F92" i="148"/>
  <c r="E92" i="148"/>
  <c r="AE91" i="148"/>
  <c r="AD91" i="148"/>
  <c r="AC91" i="148" s="1"/>
  <c r="G91" i="148"/>
  <c r="F91" i="148"/>
  <c r="E91" i="148"/>
  <c r="AE90" i="148"/>
  <c r="AF90" i="148" s="1"/>
  <c r="AD90" i="148"/>
  <c r="AC90" i="148" s="1"/>
  <c r="G90" i="148"/>
  <c r="F90" i="148"/>
  <c r="E90" i="148"/>
  <c r="AE89" i="148"/>
  <c r="AD89" i="148"/>
  <c r="AC89" i="148" s="1"/>
  <c r="G89" i="148"/>
  <c r="F89" i="148"/>
  <c r="E89" i="148"/>
  <c r="AE88" i="148"/>
  <c r="AD88" i="148"/>
  <c r="AC88" i="148" s="1"/>
  <c r="G88" i="148"/>
  <c r="F88" i="148"/>
  <c r="E88" i="148"/>
  <c r="AE87" i="148"/>
  <c r="AD87" i="148"/>
  <c r="AC87" i="148" s="1"/>
  <c r="G87" i="148"/>
  <c r="F87" i="148"/>
  <c r="E87" i="148"/>
  <c r="AE86" i="148"/>
  <c r="AF86" i="148" s="1"/>
  <c r="AD86" i="148"/>
  <c r="AC86" i="148" s="1"/>
  <c r="G86" i="148"/>
  <c r="F86" i="148"/>
  <c r="E86" i="148"/>
  <c r="AE85" i="148"/>
  <c r="AD85" i="148"/>
  <c r="AC85" i="148" s="1"/>
  <c r="G85" i="148"/>
  <c r="F85" i="148"/>
  <c r="E85" i="148"/>
  <c r="AE84" i="148"/>
  <c r="AD84" i="148"/>
  <c r="AC84" i="148" s="1"/>
  <c r="G84" i="148"/>
  <c r="F84" i="148"/>
  <c r="E84" i="148"/>
  <c r="AE83" i="148"/>
  <c r="AD83" i="148"/>
  <c r="AC83" i="148" s="1"/>
  <c r="G83" i="148"/>
  <c r="F83" i="148"/>
  <c r="E83" i="148"/>
  <c r="AE82" i="148"/>
  <c r="AF82" i="148" s="1"/>
  <c r="AD82" i="148"/>
  <c r="AC82" i="148" s="1"/>
  <c r="G82" i="148"/>
  <c r="F82" i="148"/>
  <c r="E82" i="148"/>
  <c r="AE81" i="148"/>
  <c r="AD81" i="148"/>
  <c r="AC81" i="148" s="1"/>
  <c r="G81" i="148"/>
  <c r="F81" i="148"/>
  <c r="E81" i="148"/>
  <c r="AE80" i="148"/>
  <c r="AD80" i="148"/>
  <c r="AC80" i="148" s="1"/>
  <c r="G80" i="148"/>
  <c r="F80" i="148"/>
  <c r="E80" i="148"/>
  <c r="AE79" i="148"/>
  <c r="AD79" i="148"/>
  <c r="AC79" i="148" s="1"/>
  <c r="G79" i="148"/>
  <c r="F79" i="148"/>
  <c r="E79" i="148"/>
  <c r="AE78" i="148"/>
  <c r="AD78" i="148"/>
  <c r="AC78" i="148" s="1"/>
  <c r="G78" i="148"/>
  <c r="F78" i="148"/>
  <c r="E78" i="148"/>
  <c r="AE77" i="148"/>
  <c r="AD77" i="148"/>
  <c r="AC77" i="148" s="1"/>
  <c r="G77" i="148"/>
  <c r="F77" i="148"/>
  <c r="E77" i="148"/>
  <c r="AE76" i="148"/>
  <c r="AD76" i="148"/>
  <c r="G76" i="148"/>
  <c r="F76" i="148"/>
  <c r="E76" i="148"/>
  <c r="AE75" i="148"/>
  <c r="AD75" i="148"/>
  <c r="AC75" i="148" s="1"/>
  <c r="G75" i="148"/>
  <c r="F75" i="148"/>
  <c r="E75" i="148"/>
  <c r="AE74" i="148"/>
  <c r="AD74" i="148"/>
  <c r="G74" i="148"/>
  <c r="F74" i="148"/>
  <c r="E74" i="148"/>
  <c r="AE73" i="148"/>
  <c r="AD73" i="148"/>
  <c r="AC73" i="148" s="1"/>
  <c r="G73" i="148"/>
  <c r="F73" i="148"/>
  <c r="E73" i="148"/>
  <c r="AE72" i="148"/>
  <c r="AD72" i="148"/>
  <c r="AC72" i="148" s="1"/>
  <c r="G72" i="148"/>
  <c r="F72" i="148"/>
  <c r="E72" i="148"/>
  <c r="C72" i="148"/>
  <c r="C73" i="148" s="1"/>
  <c r="C74" i="148" s="1"/>
  <c r="C75" i="148" s="1"/>
  <c r="C76" i="148" s="1"/>
  <c r="C77" i="148" s="1"/>
  <c r="C78" i="148" s="1"/>
  <c r="C79" i="148" s="1"/>
  <c r="C80" i="148" s="1"/>
  <c r="C81" i="148" s="1"/>
  <c r="C82" i="148" s="1"/>
  <c r="C83" i="148" s="1"/>
  <c r="C84" i="148" s="1"/>
  <c r="C85" i="148" s="1"/>
  <c r="C86" i="148" s="1"/>
  <c r="C87" i="148" s="1"/>
  <c r="C88" i="148" s="1"/>
  <c r="C89" i="148" s="1"/>
  <c r="C90" i="148" s="1"/>
  <c r="C91" i="148" s="1"/>
  <c r="C92" i="148" s="1"/>
  <c r="C93" i="148" s="1"/>
  <c r="C94" i="148" s="1"/>
  <c r="C95" i="148" s="1"/>
  <c r="C96" i="148" s="1"/>
  <c r="C97" i="148" s="1"/>
  <c r="C98" i="148" s="1"/>
  <c r="C99" i="148" s="1"/>
  <c r="C100" i="148" s="1"/>
  <c r="G71" i="148"/>
  <c r="F71" i="148"/>
  <c r="E71" i="148"/>
  <c r="C69" i="148"/>
  <c r="J22" i="148" s="1"/>
  <c r="AP102" i="147"/>
  <c r="G101" i="147"/>
  <c r="F101" i="147"/>
  <c r="E101" i="147"/>
  <c r="G100" i="147"/>
  <c r="F100" i="147"/>
  <c r="E100" i="147"/>
  <c r="G99" i="147"/>
  <c r="F99" i="147"/>
  <c r="E99" i="147"/>
  <c r="G98" i="147"/>
  <c r="F98" i="147"/>
  <c r="E98" i="147"/>
  <c r="G97" i="147"/>
  <c r="F97" i="147"/>
  <c r="E97" i="147"/>
  <c r="G96" i="147"/>
  <c r="F96" i="147"/>
  <c r="E96" i="147"/>
  <c r="G95" i="147"/>
  <c r="F95" i="147"/>
  <c r="E95" i="147"/>
  <c r="G94" i="147"/>
  <c r="F94" i="147"/>
  <c r="E94" i="147"/>
  <c r="G93" i="147"/>
  <c r="F93" i="147"/>
  <c r="E93" i="147"/>
  <c r="G92" i="147"/>
  <c r="F92" i="147"/>
  <c r="E92" i="147"/>
  <c r="G91" i="147"/>
  <c r="F91" i="147"/>
  <c r="E91" i="147"/>
  <c r="G90" i="147"/>
  <c r="F90" i="147"/>
  <c r="E90" i="147"/>
  <c r="G89" i="147"/>
  <c r="F89" i="147"/>
  <c r="E89" i="147"/>
  <c r="G88" i="147"/>
  <c r="F88" i="147"/>
  <c r="E88" i="147"/>
  <c r="G87" i="147"/>
  <c r="F87" i="147"/>
  <c r="E87" i="147"/>
  <c r="G86" i="147"/>
  <c r="F86" i="147"/>
  <c r="E86" i="147"/>
  <c r="G85" i="147"/>
  <c r="F85" i="147"/>
  <c r="E85" i="147"/>
  <c r="G84" i="147"/>
  <c r="F84" i="147"/>
  <c r="E84" i="147"/>
  <c r="G83" i="147"/>
  <c r="F83" i="147"/>
  <c r="E83" i="147"/>
  <c r="G82" i="147"/>
  <c r="F82" i="147"/>
  <c r="E82" i="147"/>
  <c r="G81" i="147"/>
  <c r="F81" i="147"/>
  <c r="E81" i="147"/>
  <c r="G80" i="147"/>
  <c r="F80" i="147"/>
  <c r="E80" i="147"/>
  <c r="G79" i="147"/>
  <c r="F79" i="147"/>
  <c r="E79" i="147"/>
  <c r="G78" i="147"/>
  <c r="F78" i="147"/>
  <c r="E78" i="147"/>
  <c r="G77" i="147"/>
  <c r="F77" i="147"/>
  <c r="E77" i="147"/>
  <c r="G76" i="147"/>
  <c r="F76" i="147"/>
  <c r="E76" i="147"/>
  <c r="G75" i="147"/>
  <c r="F75" i="147"/>
  <c r="E75" i="147"/>
  <c r="G74" i="147"/>
  <c r="F74" i="147"/>
  <c r="E74" i="147"/>
  <c r="G73" i="147"/>
  <c r="F73" i="147"/>
  <c r="E73" i="147"/>
  <c r="G72" i="147"/>
  <c r="F72" i="147"/>
  <c r="E72" i="147"/>
  <c r="C72" i="147"/>
  <c r="C73" i="147"/>
  <c r="C74" i="147" s="1"/>
  <c r="C75" i="147" s="1"/>
  <c r="C76" i="147" s="1"/>
  <c r="C77" i="147" s="1"/>
  <c r="C78" i="147" s="1"/>
  <c r="C79" i="147" s="1"/>
  <c r="C80" i="147" s="1"/>
  <c r="C81" i="147" s="1"/>
  <c r="C82" i="147" s="1"/>
  <c r="C83" i="147" s="1"/>
  <c r="C84" i="147" s="1"/>
  <c r="C85" i="147" s="1"/>
  <c r="C86" i="147" s="1"/>
  <c r="C87" i="147" s="1"/>
  <c r="C88" i="147" s="1"/>
  <c r="C89" i="147" s="1"/>
  <c r="C90" i="147" s="1"/>
  <c r="C91" i="147" s="1"/>
  <c r="C92" i="147" s="1"/>
  <c r="C93" i="147" s="1"/>
  <c r="C94" i="147" s="1"/>
  <c r="C95" i="147" s="1"/>
  <c r="C96" i="147" s="1"/>
  <c r="C97" i="147" s="1"/>
  <c r="C98" i="147" s="1"/>
  <c r="C99" i="147" s="1"/>
  <c r="C100" i="147" s="1"/>
  <c r="C101" i="147" s="1"/>
  <c r="G71" i="147"/>
  <c r="F71" i="147"/>
  <c r="E71" i="147"/>
  <c r="C69" i="147"/>
  <c r="J22" i="147" s="1"/>
  <c r="AP102" i="146"/>
  <c r="G100" i="146"/>
  <c r="F100" i="146"/>
  <c r="E100" i="146"/>
  <c r="G99" i="146"/>
  <c r="F99" i="146"/>
  <c r="E99" i="146"/>
  <c r="G98" i="146"/>
  <c r="F98" i="146"/>
  <c r="E98" i="146"/>
  <c r="G97" i="146"/>
  <c r="F97" i="146"/>
  <c r="E97" i="146"/>
  <c r="G96" i="146"/>
  <c r="F96" i="146"/>
  <c r="E96" i="146"/>
  <c r="G95" i="146"/>
  <c r="F95" i="146"/>
  <c r="E95" i="146"/>
  <c r="G94" i="146"/>
  <c r="F94" i="146"/>
  <c r="E94" i="146"/>
  <c r="G93" i="146"/>
  <c r="F93" i="146"/>
  <c r="E93" i="146"/>
  <c r="G92" i="146"/>
  <c r="F92" i="146"/>
  <c r="E92" i="146"/>
  <c r="G91" i="146"/>
  <c r="F91" i="146"/>
  <c r="E91" i="146"/>
  <c r="G90" i="146"/>
  <c r="F90" i="146"/>
  <c r="E90" i="146"/>
  <c r="G89" i="146"/>
  <c r="F89" i="146"/>
  <c r="E89" i="146"/>
  <c r="G88" i="146"/>
  <c r="F88" i="146"/>
  <c r="E88" i="146"/>
  <c r="G87" i="146"/>
  <c r="F87" i="146"/>
  <c r="E87" i="146"/>
  <c r="G86" i="146"/>
  <c r="F86" i="146"/>
  <c r="E86" i="146"/>
  <c r="G85" i="146"/>
  <c r="F85" i="146"/>
  <c r="E85" i="146"/>
  <c r="G84" i="146"/>
  <c r="F84" i="146"/>
  <c r="E84" i="146"/>
  <c r="G83" i="146"/>
  <c r="F83" i="146"/>
  <c r="E83" i="146"/>
  <c r="G82" i="146"/>
  <c r="F82" i="146"/>
  <c r="E82" i="146"/>
  <c r="G81" i="146"/>
  <c r="F81" i="146"/>
  <c r="E81" i="146"/>
  <c r="G80" i="146"/>
  <c r="F80" i="146"/>
  <c r="E80" i="146"/>
  <c r="G79" i="146"/>
  <c r="F79" i="146"/>
  <c r="E79" i="146"/>
  <c r="G78" i="146"/>
  <c r="F78" i="146"/>
  <c r="E78" i="146"/>
  <c r="G77" i="146"/>
  <c r="F77" i="146"/>
  <c r="E77" i="146"/>
  <c r="G76" i="146"/>
  <c r="F76" i="146"/>
  <c r="E76" i="146"/>
  <c r="G75" i="146"/>
  <c r="F75" i="146"/>
  <c r="E75" i="146"/>
  <c r="G74" i="146"/>
  <c r="F74" i="146"/>
  <c r="E74" i="146"/>
  <c r="G73" i="146"/>
  <c r="F73" i="146"/>
  <c r="E73" i="146"/>
  <c r="G72" i="146"/>
  <c r="F72" i="146"/>
  <c r="E72" i="146"/>
  <c r="C72" i="146"/>
  <c r="C73" i="146" s="1"/>
  <c r="C74" i="146" s="1"/>
  <c r="C75" i="146" s="1"/>
  <c r="C76" i="146" s="1"/>
  <c r="C77" i="146" s="1"/>
  <c r="C78" i="146" s="1"/>
  <c r="C79" i="146" s="1"/>
  <c r="C80" i="146" s="1"/>
  <c r="C81" i="146" s="1"/>
  <c r="C82" i="146" s="1"/>
  <c r="C83" i="146" s="1"/>
  <c r="C84" i="146" s="1"/>
  <c r="C85" i="146" s="1"/>
  <c r="C86" i="146" s="1"/>
  <c r="C87" i="146" s="1"/>
  <c r="C88" i="146" s="1"/>
  <c r="C89" i="146" s="1"/>
  <c r="C90" i="146" s="1"/>
  <c r="C91" i="146" s="1"/>
  <c r="C92" i="146" s="1"/>
  <c r="C93" i="146" s="1"/>
  <c r="C94" i="146" s="1"/>
  <c r="C95" i="146" s="1"/>
  <c r="C96" i="146" s="1"/>
  <c r="C97" i="146" s="1"/>
  <c r="C98" i="146" s="1"/>
  <c r="C99" i="146" s="1"/>
  <c r="C100" i="146" s="1"/>
  <c r="G71" i="146"/>
  <c r="F71" i="146"/>
  <c r="E71" i="146"/>
  <c r="C69" i="146"/>
  <c r="J22" i="146" s="1"/>
  <c r="J330" i="47"/>
  <c r="AP102" i="144"/>
  <c r="AG102" i="144"/>
  <c r="AA102" i="144"/>
  <c r="Z102" i="144"/>
  <c r="Y102" i="144"/>
  <c r="X102" i="144"/>
  <c r="W102" i="144"/>
  <c r="V102" i="144"/>
  <c r="U102" i="144"/>
  <c r="T102" i="144"/>
  <c r="Q102" i="144"/>
  <c r="P102" i="144"/>
  <c r="K49" i="144" s="1"/>
  <c r="V49" i="144" s="1"/>
  <c r="O102" i="144"/>
  <c r="L102" i="144"/>
  <c r="K102" i="144"/>
  <c r="J102" i="144"/>
  <c r="AE98" i="144"/>
  <c r="AD98" i="144"/>
  <c r="AC98" i="144" s="1"/>
  <c r="E98" i="144"/>
  <c r="AE97" i="144"/>
  <c r="AD97" i="144"/>
  <c r="AC97" i="144" s="1"/>
  <c r="E97" i="144"/>
  <c r="AE96" i="144"/>
  <c r="AD96" i="144"/>
  <c r="AC96" i="144" s="1"/>
  <c r="E96" i="144"/>
  <c r="AE95" i="144"/>
  <c r="AD95" i="144"/>
  <c r="AC95" i="144" s="1"/>
  <c r="E95" i="144"/>
  <c r="AE94" i="144"/>
  <c r="AD94" i="144"/>
  <c r="AC94" i="144" s="1"/>
  <c r="E94" i="144"/>
  <c r="AE93" i="144"/>
  <c r="AD93" i="144"/>
  <c r="E93" i="144"/>
  <c r="AE92" i="144"/>
  <c r="AD92" i="144"/>
  <c r="AC92" i="144" s="1"/>
  <c r="E92" i="144"/>
  <c r="AE91" i="144"/>
  <c r="AD91" i="144"/>
  <c r="AC91" i="144" s="1"/>
  <c r="E91" i="144"/>
  <c r="AE90" i="144"/>
  <c r="AD90" i="144"/>
  <c r="AC90" i="144" s="1"/>
  <c r="E90" i="144"/>
  <c r="AE89" i="144"/>
  <c r="AD89" i="144"/>
  <c r="AC89" i="144" s="1"/>
  <c r="E89" i="144"/>
  <c r="AE88" i="144"/>
  <c r="AD88" i="144"/>
  <c r="AC88" i="144" s="1"/>
  <c r="E88" i="144"/>
  <c r="AE87" i="144"/>
  <c r="AD87" i="144"/>
  <c r="AC87" i="144" s="1"/>
  <c r="E87" i="144"/>
  <c r="AE86" i="144"/>
  <c r="AD86" i="144"/>
  <c r="AC86" i="144" s="1"/>
  <c r="E86" i="144"/>
  <c r="AE85" i="144"/>
  <c r="AD85" i="144"/>
  <c r="AC85" i="144" s="1"/>
  <c r="E85" i="144"/>
  <c r="AE84" i="144"/>
  <c r="AD84" i="144"/>
  <c r="AC84" i="144" s="1"/>
  <c r="E84" i="144"/>
  <c r="AE83" i="144"/>
  <c r="AD83" i="144"/>
  <c r="AC83" i="144" s="1"/>
  <c r="E83" i="144"/>
  <c r="AE82" i="144"/>
  <c r="AD82" i="144"/>
  <c r="AC82" i="144" s="1"/>
  <c r="E82" i="144"/>
  <c r="AE81" i="144"/>
  <c r="AD81" i="144"/>
  <c r="AC81" i="144" s="1"/>
  <c r="E81" i="144"/>
  <c r="AE80" i="144"/>
  <c r="AD80" i="144"/>
  <c r="AC80" i="144" s="1"/>
  <c r="E80" i="144"/>
  <c r="AE79" i="144"/>
  <c r="AD79" i="144"/>
  <c r="AC79" i="144" s="1"/>
  <c r="E79" i="144"/>
  <c r="AE78" i="144"/>
  <c r="AD78" i="144"/>
  <c r="AC78" i="144" s="1"/>
  <c r="E78" i="144"/>
  <c r="AE77" i="144"/>
  <c r="AD77" i="144"/>
  <c r="E77" i="144"/>
  <c r="AE76" i="144"/>
  <c r="AD76" i="144"/>
  <c r="AC76" i="144" s="1"/>
  <c r="E76" i="144"/>
  <c r="AE75" i="144"/>
  <c r="AD75" i="144"/>
  <c r="AC75" i="144" s="1"/>
  <c r="E75" i="144"/>
  <c r="AE74" i="144"/>
  <c r="AD74" i="144"/>
  <c r="AC74" i="144" s="1"/>
  <c r="E74" i="144"/>
  <c r="AE73" i="144"/>
  <c r="AD73" i="144"/>
  <c r="AC73" i="144" s="1"/>
  <c r="E73" i="144"/>
  <c r="AE72" i="144"/>
  <c r="AD72" i="144"/>
  <c r="AC72" i="144" s="1"/>
  <c r="E72" i="144"/>
  <c r="C72" i="144"/>
  <c r="C73" i="144" s="1"/>
  <c r="C74" i="144" s="1"/>
  <c r="C75" i="144" s="1"/>
  <c r="C76" i="144" s="1"/>
  <c r="C77" i="144" s="1"/>
  <c r="C78" i="144" s="1"/>
  <c r="C79" i="144" s="1"/>
  <c r="C80" i="144" s="1"/>
  <c r="C81" i="144" s="1"/>
  <c r="C82" i="144" s="1"/>
  <c r="C83" i="144" s="1"/>
  <c r="C84" i="144" s="1"/>
  <c r="C85" i="144" s="1"/>
  <c r="C86" i="144" s="1"/>
  <c r="C87" i="144" s="1"/>
  <c r="C88" i="144" s="1"/>
  <c r="C89" i="144" s="1"/>
  <c r="C90" i="144" s="1"/>
  <c r="C91" i="144" s="1"/>
  <c r="C92" i="144" s="1"/>
  <c r="C93" i="144" s="1"/>
  <c r="C94" i="144" s="1"/>
  <c r="C95" i="144" s="1"/>
  <c r="C96" i="144" s="1"/>
  <c r="C97" i="144" s="1"/>
  <c r="C98" i="144" s="1"/>
  <c r="E71" i="144"/>
  <c r="C69" i="144"/>
  <c r="J22" i="144" s="1"/>
  <c r="AP102" i="143"/>
  <c r="AF102" i="143"/>
  <c r="Z102" i="143"/>
  <c r="Y102" i="143"/>
  <c r="S102" i="143"/>
  <c r="P102" i="143"/>
  <c r="L102" i="143"/>
  <c r="K102" i="143"/>
  <c r="J102" i="143"/>
  <c r="AD101" i="143"/>
  <c r="AC101" i="143"/>
  <c r="AB101" i="143" s="1"/>
  <c r="G101" i="143"/>
  <c r="E101" i="143"/>
  <c r="AC100" i="143"/>
  <c r="G100" i="143"/>
  <c r="E100" i="143"/>
  <c r="AC99" i="143"/>
  <c r="G99" i="143"/>
  <c r="E99" i="143"/>
  <c r="AD98" i="143"/>
  <c r="AC98" i="143"/>
  <c r="G98" i="143"/>
  <c r="E98" i="143"/>
  <c r="AD97" i="143"/>
  <c r="AC97" i="143"/>
  <c r="AB97" i="143" s="1"/>
  <c r="G97" i="143"/>
  <c r="E97" i="143"/>
  <c r="AC96" i="143"/>
  <c r="G96" i="143"/>
  <c r="E96" i="143"/>
  <c r="AC95" i="143"/>
  <c r="AB95" i="143" s="1"/>
  <c r="G95" i="143"/>
  <c r="E95" i="143"/>
  <c r="AD94" i="143"/>
  <c r="AC94" i="143"/>
  <c r="AB94" i="143" s="1"/>
  <c r="G94" i="143"/>
  <c r="E94" i="143"/>
  <c r="AD93" i="143"/>
  <c r="AC93" i="143"/>
  <c r="AB93" i="143" s="1"/>
  <c r="G93" i="143"/>
  <c r="E93" i="143"/>
  <c r="AC92" i="143"/>
  <c r="G92" i="143"/>
  <c r="E92" i="143"/>
  <c r="AC91" i="143"/>
  <c r="AB91" i="143" s="1"/>
  <c r="G91" i="143"/>
  <c r="E91" i="143"/>
  <c r="AD90" i="143"/>
  <c r="AC90" i="143"/>
  <c r="G90" i="143"/>
  <c r="E90" i="143"/>
  <c r="AD89" i="143"/>
  <c r="AC89" i="143"/>
  <c r="AB89" i="143"/>
  <c r="G89" i="143"/>
  <c r="E89" i="143"/>
  <c r="AC88" i="143"/>
  <c r="G88" i="143"/>
  <c r="E88" i="143"/>
  <c r="AC87" i="143"/>
  <c r="AB87" i="143" s="1"/>
  <c r="G87" i="143"/>
  <c r="E87" i="143"/>
  <c r="AD86" i="143"/>
  <c r="AC86" i="143"/>
  <c r="AB86" i="143" s="1"/>
  <c r="G86" i="143"/>
  <c r="E86" i="143"/>
  <c r="AD85" i="143"/>
  <c r="AC85" i="143"/>
  <c r="AB85" i="143" s="1"/>
  <c r="G85" i="143"/>
  <c r="E85" i="143"/>
  <c r="AC84" i="143"/>
  <c r="G84" i="143"/>
  <c r="E84" i="143"/>
  <c r="AC83" i="143"/>
  <c r="AB83" i="143" s="1"/>
  <c r="G83" i="143"/>
  <c r="E83" i="143"/>
  <c r="AD82" i="143"/>
  <c r="AC82" i="143"/>
  <c r="G82" i="143"/>
  <c r="E82" i="143"/>
  <c r="AD81" i="143"/>
  <c r="AE81" i="143" s="1"/>
  <c r="AC81" i="143"/>
  <c r="AB81" i="143" s="1"/>
  <c r="G81" i="143"/>
  <c r="E81" i="143"/>
  <c r="AC80" i="143"/>
  <c r="G80" i="143"/>
  <c r="E80" i="143"/>
  <c r="AC79" i="143"/>
  <c r="AB79" i="143" s="1"/>
  <c r="G79" i="143"/>
  <c r="E79" i="143"/>
  <c r="AD78" i="143"/>
  <c r="AC78" i="143"/>
  <c r="AB78" i="143" s="1"/>
  <c r="G78" i="143"/>
  <c r="E78" i="143"/>
  <c r="AD77" i="143"/>
  <c r="AC77" i="143"/>
  <c r="AB77" i="143" s="1"/>
  <c r="G77" i="143"/>
  <c r="E77" i="143"/>
  <c r="AD76" i="143"/>
  <c r="AC76" i="143"/>
  <c r="G76" i="143"/>
  <c r="E76" i="143"/>
  <c r="AC75" i="143"/>
  <c r="AB75" i="143"/>
  <c r="G75" i="143"/>
  <c r="E75" i="143"/>
  <c r="AD74" i="143"/>
  <c r="AC74" i="143"/>
  <c r="G74" i="143"/>
  <c r="E74" i="143"/>
  <c r="AD73" i="143"/>
  <c r="AC73" i="143"/>
  <c r="AB73" i="143"/>
  <c r="G73" i="143"/>
  <c r="E73" i="143"/>
  <c r="AC72" i="143"/>
  <c r="G72" i="143"/>
  <c r="E72" i="143"/>
  <c r="C72" i="143"/>
  <c r="C73" i="143" s="1"/>
  <c r="C74" i="143" s="1"/>
  <c r="C75" i="143" s="1"/>
  <c r="C76" i="143" s="1"/>
  <c r="C77" i="143" s="1"/>
  <c r="C78" i="143" s="1"/>
  <c r="C79" i="143" s="1"/>
  <c r="C80" i="143" s="1"/>
  <c r="C81" i="143" s="1"/>
  <c r="C82" i="143" s="1"/>
  <c r="C83" i="143" s="1"/>
  <c r="C84" i="143" s="1"/>
  <c r="C85" i="143" s="1"/>
  <c r="C86" i="143" s="1"/>
  <c r="C87" i="143" s="1"/>
  <c r="C88" i="143" s="1"/>
  <c r="C89" i="143" s="1"/>
  <c r="C90" i="143" s="1"/>
  <c r="C91" i="143" s="1"/>
  <c r="C92" i="143" s="1"/>
  <c r="C93" i="143" s="1"/>
  <c r="C94" i="143" s="1"/>
  <c r="C95" i="143" s="1"/>
  <c r="C96" i="143" s="1"/>
  <c r="C97" i="143" s="1"/>
  <c r="C98" i="143" s="1"/>
  <c r="C99" i="143" s="1"/>
  <c r="C100" i="143" s="1"/>
  <c r="C101" i="143" s="1"/>
  <c r="AC71" i="143"/>
  <c r="E71" i="143"/>
  <c r="C69" i="143"/>
  <c r="J22" i="143" s="1"/>
  <c r="V43" i="143"/>
  <c r="AP102" i="142"/>
  <c r="Q102" i="142"/>
  <c r="M102" i="142"/>
  <c r="L102" i="142"/>
  <c r="K102" i="142"/>
  <c r="G101" i="142"/>
  <c r="E101" i="142"/>
  <c r="G100" i="142"/>
  <c r="E100" i="142"/>
  <c r="G99" i="142"/>
  <c r="E99" i="142"/>
  <c r="G98" i="142"/>
  <c r="E98" i="142"/>
  <c r="G97" i="142"/>
  <c r="E97" i="142"/>
  <c r="G96" i="142"/>
  <c r="E96" i="142"/>
  <c r="G95" i="142"/>
  <c r="E95" i="142"/>
  <c r="G94" i="142"/>
  <c r="E94" i="142"/>
  <c r="G93" i="142"/>
  <c r="E93" i="142"/>
  <c r="G92" i="142"/>
  <c r="E92" i="142"/>
  <c r="G91" i="142"/>
  <c r="E91" i="142"/>
  <c r="G90" i="142"/>
  <c r="E90" i="142"/>
  <c r="G89" i="142"/>
  <c r="E89" i="142"/>
  <c r="G88" i="142"/>
  <c r="E88" i="142"/>
  <c r="G87" i="142"/>
  <c r="E87" i="142"/>
  <c r="G86" i="142"/>
  <c r="E86" i="142"/>
  <c r="G85" i="142"/>
  <c r="E85" i="142"/>
  <c r="G84" i="142"/>
  <c r="E84" i="142"/>
  <c r="G83" i="142"/>
  <c r="E83" i="142"/>
  <c r="G82" i="142"/>
  <c r="E82" i="142"/>
  <c r="G81" i="142"/>
  <c r="E81" i="142"/>
  <c r="G80" i="142"/>
  <c r="E80" i="142"/>
  <c r="G79" i="142"/>
  <c r="E79" i="142"/>
  <c r="G78" i="142"/>
  <c r="E78" i="142"/>
  <c r="G77" i="142"/>
  <c r="E77" i="142"/>
  <c r="G76" i="142"/>
  <c r="E76" i="142"/>
  <c r="G75" i="142"/>
  <c r="E75" i="142"/>
  <c r="G74" i="142"/>
  <c r="E74" i="142"/>
  <c r="G73" i="142"/>
  <c r="E73" i="142"/>
  <c r="G72" i="142"/>
  <c r="E72" i="142"/>
  <c r="C72" i="142"/>
  <c r="C73" i="142" s="1"/>
  <c r="C74" i="142" s="1"/>
  <c r="C75" i="142" s="1"/>
  <c r="C76" i="142" s="1"/>
  <c r="C77" i="142" s="1"/>
  <c r="C78" i="142" s="1"/>
  <c r="C79" i="142" s="1"/>
  <c r="C80" i="142" s="1"/>
  <c r="C81" i="142" s="1"/>
  <c r="C82" i="142" s="1"/>
  <c r="C83" i="142" s="1"/>
  <c r="C84" i="142" s="1"/>
  <c r="C85" i="142" s="1"/>
  <c r="C86" i="142" s="1"/>
  <c r="C87" i="142" s="1"/>
  <c r="C88" i="142" s="1"/>
  <c r="C89" i="142" s="1"/>
  <c r="C90" i="142" s="1"/>
  <c r="C91" i="142" s="1"/>
  <c r="C92" i="142" s="1"/>
  <c r="C93" i="142" s="1"/>
  <c r="C94" i="142" s="1"/>
  <c r="C95" i="142" s="1"/>
  <c r="C96" i="142" s="1"/>
  <c r="C97" i="142" s="1"/>
  <c r="C98" i="142" s="1"/>
  <c r="C99" i="142" s="1"/>
  <c r="C100" i="142" s="1"/>
  <c r="C101" i="142" s="1"/>
  <c r="E71" i="142"/>
  <c r="C69" i="142"/>
  <c r="H22" i="142" s="1"/>
  <c r="D77" i="142" s="1"/>
  <c r="K43" i="142"/>
  <c r="L34" i="142"/>
  <c r="K33" i="142"/>
  <c r="K34" i="142" s="1"/>
  <c r="W41" i="142"/>
  <c r="W40" i="142"/>
  <c r="W42" i="142"/>
  <c r="W40" i="143"/>
  <c r="X40" i="143" s="1"/>
  <c r="Y40" i="143" s="1"/>
  <c r="W41" i="143"/>
  <c r="V278" i="47"/>
  <c r="V286" i="47"/>
  <c r="J22" i="153"/>
  <c r="V190" i="47"/>
  <c r="V238" i="47"/>
  <c r="V186" i="47"/>
  <c r="AF84" i="150"/>
  <c r="V262" i="47"/>
  <c r="AC74" i="148"/>
  <c r="AC74" i="149"/>
  <c r="V290" i="47"/>
  <c r="V250" i="47"/>
  <c r="AC84" i="149"/>
  <c r="AF75" i="150"/>
  <c r="AF83" i="150"/>
  <c r="V218" i="47"/>
  <c r="V206" i="47"/>
  <c r="V198" i="47"/>
  <c r="V153" i="47"/>
  <c r="J339" i="47"/>
  <c r="I16" i="144"/>
  <c r="D72" i="143"/>
  <c r="D73" i="143"/>
  <c r="D74" i="143"/>
  <c r="D75" i="143"/>
  <c r="D76" i="143"/>
  <c r="D77" i="143"/>
  <c r="D78" i="143"/>
  <c r="D79" i="143"/>
  <c r="D80" i="143"/>
  <c r="D81" i="143"/>
  <c r="D82" i="143"/>
  <c r="D83" i="143"/>
  <c r="D101" i="143"/>
  <c r="D100" i="143"/>
  <c r="D99" i="143"/>
  <c r="D98" i="143"/>
  <c r="D97" i="143"/>
  <c r="D96" i="143"/>
  <c r="D95" i="143"/>
  <c r="D94" i="143"/>
  <c r="D93" i="143"/>
  <c r="D92" i="143"/>
  <c r="D91" i="143"/>
  <c r="D90" i="143"/>
  <c r="D89" i="143"/>
  <c r="D88" i="143"/>
  <c r="D87" i="143"/>
  <c r="D86" i="143"/>
  <c r="D85" i="143"/>
  <c r="I16" i="142"/>
  <c r="J16" i="142" s="1"/>
  <c r="K16" i="142" s="1"/>
  <c r="L43" i="142"/>
  <c r="X41" i="143"/>
  <c r="Y41" i="143" s="1"/>
  <c r="M42" i="143"/>
  <c r="N42" i="143" s="1"/>
  <c r="D84" i="143"/>
  <c r="J16" i="143"/>
  <c r="K16" i="143" s="1"/>
  <c r="I17" i="142"/>
  <c r="J17" i="142" s="1"/>
  <c r="K17" i="142" s="1"/>
  <c r="L19" i="142" s="1"/>
  <c r="I15" i="144"/>
  <c r="I17" i="144"/>
  <c r="J17" i="143"/>
  <c r="K17" i="143" s="1"/>
  <c r="AE101" i="140"/>
  <c r="AD101" i="140"/>
  <c r="AC101" i="140" s="1"/>
  <c r="G101" i="140"/>
  <c r="F101" i="140"/>
  <c r="E101" i="140"/>
  <c r="J15" i="143"/>
  <c r="K15" i="143" s="1"/>
  <c r="J15" i="142"/>
  <c r="K15" i="142" s="1"/>
  <c r="N33" i="142"/>
  <c r="N34" i="142" s="1"/>
  <c r="M34" i="142"/>
  <c r="D108" i="139"/>
  <c r="G72" i="139"/>
  <c r="F72" i="139"/>
  <c r="V54" i="124"/>
  <c r="W52" i="124" s="1"/>
  <c r="Y53" i="123"/>
  <c r="Y53" i="132"/>
  <c r="Y51" i="132"/>
  <c r="Y50" i="132"/>
  <c r="N50" i="132"/>
  <c r="V54" i="133"/>
  <c r="X28" i="91"/>
  <c r="L41" i="47"/>
  <c r="N41" i="47" s="1"/>
  <c r="Y41" i="47"/>
  <c r="L42" i="47"/>
  <c r="N42" i="47" s="1"/>
  <c r="F49" i="106"/>
  <c r="L80" i="106"/>
  <c r="K80" i="106"/>
  <c r="Q88" i="91"/>
  <c r="Q87" i="91"/>
  <c r="Q86" i="91"/>
  <c r="Q85" i="91"/>
  <c r="Q84" i="91"/>
  <c r="Q83" i="91"/>
  <c r="Q82" i="91"/>
  <c r="Q81" i="91"/>
  <c r="Q80" i="91"/>
  <c r="Q79" i="91"/>
  <c r="Q78" i="91"/>
  <c r="Q77" i="91"/>
  <c r="Q76" i="91"/>
  <c r="Q75" i="91"/>
  <c r="Q74" i="91"/>
  <c r="Q73" i="91"/>
  <c r="Q72" i="91"/>
  <c r="Q71" i="91"/>
  <c r="Q70" i="91"/>
  <c r="Q69" i="91"/>
  <c r="Q68" i="91"/>
  <c r="Q67" i="91"/>
  <c r="Q66" i="91"/>
  <c r="Q65" i="91"/>
  <c r="Q64" i="91"/>
  <c r="Q63" i="91"/>
  <c r="Q62" i="91"/>
  <c r="Q61" i="91"/>
  <c r="Q60" i="91"/>
  <c r="Q59" i="91"/>
  <c r="Q58" i="91"/>
  <c r="F58" i="91"/>
  <c r="F59" i="91"/>
  <c r="F60" i="91"/>
  <c r="F61" i="91"/>
  <c r="F62" i="91"/>
  <c r="F63" i="91"/>
  <c r="F64" i="91"/>
  <c r="F65" i="91"/>
  <c r="F66" i="91"/>
  <c r="F67" i="91"/>
  <c r="F68" i="91"/>
  <c r="F69" i="91"/>
  <c r="F70" i="91"/>
  <c r="F71" i="91"/>
  <c r="F72" i="91"/>
  <c r="F73" i="91"/>
  <c r="F74" i="91"/>
  <c r="F75" i="91"/>
  <c r="F76" i="91"/>
  <c r="F77" i="91"/>
  <c r="F78" i="91"/>
  <c r="F79" i="91"/>
  <c r="F80" i="91"/>
  <c r="F81" i="91"/>
  <c r="F82" i="91"/>
  <c r="F83" i="91"/>
  <c r="F84" i="91"/>
  <c r="F85" i="91"/>
  <c r="F86" i="91"/>
  <c r="F87" i="91"/>
  <c r="F88" i="91"/>
  <c r="Y42" i="47"/>
  <c r="F87" i="112"/>
  <c r="F86" i="112"/>
  <c r="F85" i="112"/>
  <c r="F84" i="112"/>
  <c r="F83" i="112"/>
  <c r="F82" i="112"/>
  <c r="F81" i="112"/>
  <c r="F80" i="112"/>
  <c r="F79" i="112"/>
  <c r="F78" i="112"/>
  <c r="F77" i="112"/>
  <c r="F76" i="112"/>
  <c r="F75" i="112"/>
  <c r="F74" i="112"/>
  <c r="F73" i="112"/>
  <c r="F72" i="112"/>
  <c r="F71" i="112"/>
  <c r="F70" i="112"/>
  <c r="F69" i="112"/>
  <c r="F68" i="112"/>
  <c r="F67" i="112"/>
  <c r="F66" i="112"/>
  <c r="F65" i="112"/>
  <c r="F64" i="112"/>
  <c r="F63" i="112"/>
  <c r="F62" i="112"/>
  <c r="F61" i="112"/>
  <c r="F60" i="112"/>
  <c r="F59" i="112"/>
  <c r="F58" i="112"/>
  <c r="G72" i="138"/>
  <c r="P58" i="91"/>
  <c r="R58" i="91"/>
  <c r="V58" i="91"/>
  <c r="U58" i="91" s="1"/>
  <c r="P59" i="91"/>
  <c r="R59" i="91"/>
  <c r="V59" i="91"/>
  <c r="U59" i="91" s="1"/>
  <c r="Q58" i="111"/>
  <c r="Q59" i="111"/>
  <c r="Q60" i="111"/>
  <c r="Q61" i="111"/>
  <c r="Q62" i="111"/>
  <c r="Q63" i="111"/>
  <c r="Q64" i="111"/>
  <c r="Q65" i="111"/>
  <c r="Q66" i="111"/>
  <c r="Q67" i="111"/>
  <c r="Q68" i="111"/>
  <c r="Q69" i="111"/>
  <c r="Q70" i="111"/>
  <c r="Q71" i="111"/>
  <c r="Q72" i="111"/>
  <c r="Q73" i="111"/>
  <c r="Q74" i="111"/>
  <c r="Q75" i="111"/>
  <c r="Q76" i="111"/>
  <c r="Q77" i="111"/>
  <c r="Q78" i="111"/>
  <c r="Q79" i="111"/>
  <c r="Q80" i="111"/>
  <c r="Q81" i="111"/>
  <c r="Q82" i="111"/>
  <c r="Q83" i="111"/>
  <c r="Q84" i="111"/>
  <c r="Q85" i="111"/>
  <c r="Q86" i="111"/>
  <c r="Q87" i="111"/>
  <c r="Q88" i="111"/>
  <c r="M44" i="47"/>
  <c r="Y44" i="47" s="1"/>
  <c r="M43" i="47"/>
  <c r="Y43" i="47" s="1"/>
  <c r="S54" i="47"/>
  <c r="S53" i="47"/>
  <c r="S52" i="47"/>
  <c r="S51" i="47"/>
  <c r="S50" i="47"/>
  <c r="R50" i="47"/>
  <c r="M54" i="47"/>
  <c r="S44" i="47"/>
  <c r="S43" i="47"/>
  <c r="R44" i="47"/>
  <c r="R43" i="47"/>
  <c r="M55" i="47"/>
  <c r="Y55" i="47" s="1"/>
  <c r="M56" i="47"/>
  <c r="Y56" i="47" s="1"/>
  <c r="M57" i="47"/>
  <c r="M58" i="47"/>
  <c r="Y58" i="47" s="1"/>
  <c r="M59" i="47"/>
  <c r="M60" i="47"/>
  <c r="Y60" i="47" s="1"/>
  <c r="M61" i="47"/>
  <c r="M62" i="47"/>
  <c r="M63" i="47"/>
  <c r="Y63" i="47" s="1"/>
  <c r="M64" i="47"/>
  <c r="Y64" i="47" s="1"/>
  <c r="M65" i="47"/>
  <c r="M66" i="47"/>
  <c r="Y66" i="47" s="1"/>
  <c r="M53" i="47"/>
  <c r="M52" i="47"/>
  <c r="W83" i="133"/>
  <c r="U83" i="133"/>
  <c r="W395" i="47"/>
  <c r="X395" i="47"/>
  <c r="Y395" i="47"/>
  <c r="W396" i="47"/>
  <c r="X396" i="47"/>
  <c r="Y396" i="47"/>
  <c r="U77" i="47"/>
  <c r="R77" i="47"/>
  <c r="R73" i="47"/>
  <c r="F73" i="138"/>
  <c r="F74" i="138"/>
  <c r="F75" i="138"/>
  <c r="F76" i="138"/>
  <c r="F77" i="138"/>
  <c r="F78" i="138"/>
  <c r="F79" i="138"/>
  <c r="F80" i="138"/>
  <c r="F81" i="138"/>
  <c r="F82" i="138"/>
  <c r="F83" i="138"/>
  <c r="F84" i="138"/>
  <c r="F85" i="138"/>
  <c r="F86" i="138"/>
  <c r="F87" i="138"/>
  <c r="F88" i="138"/>
  <c r="F89" i="138"/>
  <c r="F90" i="138"/>
  <c r="F91" i="138"/>
  <c r="F92" i="138"/>
  <c r="F93" i="138"/>
  <c r="F94" i="138"/>
  <c r="F95" i="138"/>
  <c r="F96" i="138"/>
  <c r="F97" i="138"/>
  <c r="F98" i="138"/>
  <c r="F99" i="138"/>
  <c r="F100" i="138"/>
  <c r="F101" i="138"/>
  <c r="F102" i="138"/>
  <c r="F72" i="138"/>
  <c r="D108" i="138"/>
  <c r="M103" i="138"/>
  <c r="AA102" i="138"/>
  <c r="Z102" i="138" s="1"/>
  <c r="W102" i="138"/>
  <c r="U102" i="138"/>
  <c r="R102" i="138"/>
  <c r="G102" i="138"/>
  <c r="E102" i="138"/>
  <c r="N49" i="123"/>
  <c r="K71" i="47"/>
  <c r="O77" i="47"/>
  <c r="O76" i="47"/>
  <c r="O75" i="47"/>
  <c r="O74" i="47"/>
  <c r="O73" i="47"/>
  <c r="O72" i="47"/>
  <c r="O71" i="47"/>
  <c r="K77" i="47"/>
  <c r="K76" i="47"/>
  <c r="K75" i="47"/>
  <c r="K74" i="47"/>
  <c r="K73" i="47"/>
  <c r="K72" i="47"/>
  <c r="T75" i="47"/>
  <c r="R75" i="47"/>
  <c r="U66" i="47"/>
  <c r="T66" i="47"/>
  <c r="R66" i="47"/>
  <c r="L66" i="47"/>
  <c r="U76" i="47"/>
  <c r="R76" i="47"/>
  <c r="Y78" i="47"/>
  <c r="L78" i="47"/>
  <c r="N78" i="47" s="1"/>
  <c r="Y77" i="47"/>
  <c r="L77" i="47"/>
  <c r="N77" i="47" s="1"/>
  <c r="Y76" i="47"/>
  <c r="L76" i="47"/>
  <c r="N76" i="47" s="1"/>
  <c r="Y75" i="47"/>
  <c r="W397" i="47" s="1"/>
  <c r="L75" i="47"/>
  <c r="N75" i="47" s="1"/>
  <c r="M102" i="134"/>
  <c r="M50" i="47"/>
  <c r="Y50" i="47" s="1"/>
  <c r="M396" i="47"/>
  <c r="L396" i="47"/>
  <c r="K396" i="47"/>
  <c r="J396" i="47"/>
  <c r="I396" i="47"/>
  <c r="H396" i="47"/>
  <c r="G396" i="47"/>
  <c r="F396" i="47"/>
  <c r="E396" i="47"/>
  <c r="R74" i="47"/>
  <c r="L73" i="47"/>
  <c r="N73" i="47" s="1"/>
  <c r="Y73" i="47"/>
  <c r="L74" i="47"/>
  <c r="N74" i="47" s="1"/>
  <c r="Y74" i="47"/>
  <c r="R72" i="47"/>
  <c r="L72" i="47"/>
  <c r="N72" i="47"/>
  <c r="Y72" i="47"/>
  <c r="R59" i="47"/>
  <c r="S47" i="47"/>
  <c r="R47" i="47"/>
  <c r="M47" i="47"/>
  <c r="R71" i="47"/>
  <c r="R67" i="47"/>
  <c r="D107" i="134"/>
  <c r="D106" i="134"/>
  <c r="N52" i="123"/>
  <c r="N50" i="123"/>
  <c r="D107" i="133"/>
  <c r="I17" i="133" s="1"/>
  <c r="J17" i="133" s="1"/>
  <c r="Z31" i="123"/>
  <c r="U70" i="123"/>
  <c r="Y71" i="47"/>
  <c r="Y70" i="47"/>
  <c r="Y69" i="47"/>
  <c r="Y68" i="47"/>
  <c r="Y67" i="47"/>
  <c r="Q62" i="47"/>
  <c r="Y62" i="47"/>
  <c r="Y59" i="47"/>
  <c r="Y52" i="47"/>
  <c r="M51" i="47"/>
  <c r="M49" i="47"/>
  <c r="Y49" i="47" s="1"/>
  <c r="M48" i="47"/>
  <c r="M46" i="47"/>
  <c r="M45" i="47"/>
  <c r="Y45" i="47" s="1"/>
  <c r="L71" i="47"/>
  <c r="N71" i="47" s="1"/>
  <c r="L70" i="47"/>
  <c r="N70" i="47" s="1"/>
  <c r="L69" i="47"/>
  <c r="N69" i="47" s="1"/>
  <c r="L68" i="47"/>
  <c r="N68" i="47" s="1"/>
  <c r="L67" i="47"/>
  <c r="N67" i="47" s="1"/>
  <c r="L65" i="47"/>
  <c r="L64" i="47"/>
  <c r="L63" i="47"/>
  <c r="L62" i="47"/>
  <c r="L61" i="47"/>
  <c r="L60" i="47"/>
  <c r="L59" i="47"/>
  <c r="L58" i="47"/>
  <c r="L57" i="47"/>
  <c r="L56" i="47"/>
  <c r="L55" i="47"/>
  <c r="L54" i="47"/>
  <c r="L53" i="47"/>
  <c r="N53" i="47" s="1"/>
  <c r="L52" i="47"/>
  <c r="L51" i="47"/>
  <c r="L50" i="47"/>
  <c r="L49" i="47"/>
  <c r="L48" i="47"/>
  <c r="L47" i="47"/>
  <c r="L46" i="47"/>
  <c r="L45" i="47"/>
  <c r="L44" i="47"/>
  <c r="L43" i="47"/>
  <c r="V102" i="132"/>
  <c r="V106" i="132" s="1"/>
  <c r="D106" i="124"/>
  <c r="D106" i="123"/>
  <c r="I17" i="123" s="1"/>
  <c r="V102" i="133"/>
  <c r="V105" i="133" s="1"/>
  <c r="V101" i="124"/>
  <c r="V104" i="124" s="1"/>
  <c r="V101" i="123"/>
  <c r="P102" i="132"/>
  <c r="F71" i="124"/>
  <c r="F72" i="124"/>
  <c r="F73" i="124"/>
  <c r="F74" i="124"/>
  <c r="F75" i="124"/>
  <c r="F76" i="124"/>
  <c r="F77" i="124"/>
  <c r="F78" i="124"/>
  <c r="F79" i="124"/>
  <c r="F80" i="124"/>
  <c r="F81" i="124"/>
  <c r="F82" i="124"/>
  <c r="F83" i="124"/>
  <c r="F84" i="124"/>
  <c r="F85" i="124"/>
  <c r="F86" i="124"/>
  <c r="F87" i="124"/>
  <c r="F88" i="124"/>
  <c r="F89" i="124"/>
  <c r="F90" i="124"/>
  <c r="F91" i="124"/>
  <c r="F92" i="124"/>
  <c r="F93" i="124"/>
  <c r="F94" i="124"/>
  <c r="F95" i="124"/>
  <c r="F96" i="124"/>
  <c r="F97" i="124"/>
  <c r="F98" i="124"/>
  <c r="F99" i="124"/>
  <c r="F100" i="124"/>
  <c r="B15" i="47"/>
  <c r="B16" i="47"/>
  <c r="B17" i="47"/>
  <c r="B18" i="47"/>
  <c r="B19" i="47"/>
  <c r="B20" i="47"/>
  <c r="B21" i="47"/>
  <c r="B22" i="47"/>
  <c r="B23" i="47"/>
  <c r="B24" i="47"/>
  <c r="B25" i="47"/>
  <c r="B26" i="47"/>
  <c r="B27" i="47"/>
  <c r="B28" i="47"/>
  <c r="B29" i="47"/>
  <c r="B30" i="47"/>
  <c r="B31" i="47"/>
  <c r="B32" i="47"/>
  <c r="B33" i="47"/>
  <c r="B34" i="47"/>
  <c r="B35" i="47"/>
  <c r="B36" i="47"/>
  <c r="B37" i="47"/>
  <c r="B38" i="47"/>
  <c r="B39" i="47"/>
  <c r="B40" i="47"/>
  <c r="B41" i="47"/>
  <c r="B42" i="47"/>
  <c r="B43" i="47"/>
  <c r="B44" i="47"/>
  <c r="B45" i="47"/>
  <c r="B46" i="47"/>
  <c r="B47" i="47"/>
  <c r="B48" i="47"/>
  <c r="B49" i="47"/>
  <c r="B50" i="47"/>
  <c r="B51" i="47"/>
  <c r="B52" i="47"/>
  <c r="B53" i="47"/>
  <c r="B54" i="47"/>
  <c r="B55" i="47"/>
  <c r="B56" i="47"/>
  <c r="B57" i="47"/>
  <c r="B58" i="47"/>
  <c r="B59" i="47"/>
  <c r="B60" i="47"/>
  <c r="B61" i="47"/>
  <c r="B62" i="47"/>
  <c r="B63" i="47"/>
  <c r="B64" i="47"/>
  <c r="B65" i="47"/>
  <c r="B66" i="47"/>
  <c r="B67" i="47"/>
  <c r="B68" i="47"/>
  <c r="B69" i="47"/>
  <c r="B70" i="47"/>
  <c r="B71" i="47"/>
  <c r="B72" i="47"/>
  <c r="B73" i="47"/>
  <c r="B74" i="47"/>
  <c r="B75" i="47"/>
  <c r="B76" i="47"/>
  <c r="B77" i="47"/>
  <c r="B78" i="47"/>
  <c r="B79" i="47"/>
  <c r="B80" i="47"/>
  <c r="B81" i="47"/>
  <c r="B82" i="47"/>
  <c r="B83" i="47"/>
  <c r="B84" i="47"/>
  <c r="B85" i="47"/>
  <c r="B86" i="47"/>
  <c r="B87" i="47"/>
  <c r="B88" i="47"/>
  <c r="B89" i="47"/>
  <c r="B90" i="47"/>
  <c r="B91" i="47"/>
  <c r="B92" i="47"/>
  <c r="B93" i="47"/>
  <c r="B94" i="47"/>
  <c r="B95" i="47"/>
  <c r="B96" i="47"/>
  <c r="B97" i="47"/>
  <c r="B98" i="47"/>
  <c r="B99" i="47"/>
  <c r="B100" i="47"/>
  <c r="B101" i="47"/>
  <c r="B102" i="47"/>
  <c r="B103" i="47"/>
  <c r="B104" i="47"/>
  <c r="B105" i="47"/>
  <c r="B106" i="47"/>
  <c r="B107" i="47"/>
  <c r="B108" i="47"/>
  <c r="B109" i="47"/>
  <c r="B110" i="47"/>
  <c r="B111" i="47"/>
  <c r="B112" i="47"/>
  <c r="B113" i="47"/>
  <c r="B114" i="47"/>
  <c r="B115" i="47"/>
  <c r="B116" i="47"/>
  <c r="B117" i="47"/>
  <c r="B118" i="47"/>
  <c r="B119" i="47"/>
  <c r="B120" i="47"/>
  <c r="B121" i="47"/>
  <c r="B122" i="47"/>
  <c r="B123" i="47"/>
  <c r="B124" i="47"/>
  <c r="B125" i="47"/>
  <c r="B126" i="47"/>
  <c r="B127" i="47"/>
  <c r="B128" i="47"/>
  <c r="B129" i="47"/>
  <c r="B130" i="47"/>
  <c r="B131" i="47"/>
  <c r="B132" i="47"/>
  <c r="B133" i="47"/>
  <c r="B134" i="47"/>
  <c r="B135" i="47"/>
  <c r="B136" i="47"/>
  <c r="B137" i="47"/>
  <c r="B138" i="47"/>
  <c r="B139" i="47"/>
  <c r="B140" i="47"/>
  <c r="B141" i="47"/>
  <c r="B142" i="47"/>
  <c r="B143" i="47"/>
  <c r="B144" i="47"/>
  <c r="B145" i="47"/>
  <c r="B146" i="47"/>
  <c r="B147" i="47"/>
  <c r="B148" i="47"/>
  <c r="B149" i="47"/>
  <c r="B150" i="47"/>
  <c r="B151" i="47"/>
  <c r="B152" i="47"/>
  <c r="B153" i="47"/>
  <c r="B154" i="47"/>
  <c r="B155" i="47"/>
  <c r="B156" i="47"/>
  <c r="B157" i="47"/>
  <c r="B158" i="47"/>
  <c r="B159" i="47"/>
  <c r="B160" i="47"/>
  <c r="B161" i="47"/>
  <c r="B162" i="47"/>
  <c r="B163" i="47"/>
  <c r="B164" i="47"/>
  <c r="B165" i="47"/>
  <c r="B166" i="47"/>
  <c r="B167" i="47"/>
  <c r="B168" i="47"/>
  <c r="B169" i="47"/>
  <c r="B170" i="47"/>
  <c r="B171" i="47"/>
  <c r="B172" i="47"/>
  <c r="B173" i="47"/>
  <c r="B174" i="47"/>
  <c r="B175" i="47"/>
  <c r="B176" i="47"/>
  <c r="B177" i="47"/>
  <c r="B178" i="47"/>
  <c r="B179" i="47"/>
  <c r="B180" i="47"/>
  <c r="B181" i="47"/>
  <c r="B182" i="47"/>
  <c r="B183" i="47"/>
  <c r="B184" i="47"/>
  <c r="B185" i="47"/>
  <c r="B186" i="47"/>
  <c r="B187" i="47"/>
  <c r="B188" i="47"/>
  <c r="B189" i="47"/>
  <c r="B190" i="47"/>
  <c r="B191" i="47"/>
  <c r="B192" i="47"/>
  <c r="B193" i="47"/>
  <c r="B194" i="47"/>
  <c r="B195" i="47"/>
  <c r="B196" i="47"/>
  <c r="B197" i="47"/>
  <c r="B198" i="47"/>
  <c r="B199" i="47"/>
  <c r="B200" i="47"/>
  <c r="B201" i="47"/>
  <c r="B202" i="47"/>
  <c r="B203" i="47"/>
  <c r="B204" i="47"/>
  <c r="B205" i="47"/>
  <c r="B206" i="47"/>
  <c r="B207" i="47"/>
  <c r="B208" i="47"/>
  <c r="B209" i="47"/>
  <c r="B210" i="47"/>
  <c r="B211" i="47"/>
  <c r="B212" i="47"/>
  <c r="B213" i="47"/>
  <c r="B214" i="47"/>
  <c r="B215" i="47"/>
  <c r="B216" i="47"/>
  <c r="B217" i="47"/>
  <c r="B218" i="47"/>
  <c r="B219" i="47"/>
  <c r="B220" i="47"/>
  <c r="B221" i="47"/>
  <c r="B222" i="47"/>
  <c r="B223" i="47"/>
  <c r="B224" i="47"/>
  <c r="B225" i="47"/>
  <c r="B226" i="47"/>
  <c r="B227" i="47"/>
  <c r="B228" i="47"/>
  <c r="B229" i="47"/>
  <c r="B230" i="47"/>
  <c r="B231" i="47"/>
  <c r="B232" i="47"/>
  <c r="B233" i="47"/>
  <c r="B234" i="47"/>
  <c r="B235" i="47"/>
  <c r="B236" i="47"/>
  <c r="B237" i="47"/>
  <c r="B238" i="47"/>
  <c r="B239" i="47"/>
  <c r="B240" i="47"/>
  <c r="B241" i="47"/>
  <c r="B242" i="47"/>
  <c r="B243" i="47"/>
  <c r="B244" i="47"/>
  <c r="B245" i="47"/>
  <c r="B246" i="47"/>
  <c r="B247" i="47"/>
  <c r="B248" i="47"/>
  <c r="B249" i="47"/>
  <c r="B250" i="47"/>
  <c r="B251" i="47"/>
  <c r="B252" i="47"/>
  <c r="B253" i="47"/>
  <c r="B254" i="47"/>
  <c r="B255" i="47"/>
  <c r="B256" i="47"/>
  <c r="B257" i="47"/>
  <c r="B258" i="47"/>
  <c r="B259" i="47"/>
  <c r="B260" i="47"/>
  <c r="B261" i="47"/>
  <c r="B262" i="47"/>
  <c r="B263" i="47"/>
  <c r="B264" i="47"/>
  <c r="B265" i="47"/>
  <c r="B266" i="47"/>
  <c r="B267" i="47"/>
  <c r="B268" i="47"/>
  <c r="B269" i="47"/>
  <c r="B270" i="47"/>
  <c r="B271" i="47"/>
  <c r="B272" i="47"/>
  <c r="B273" i="47"/>
  <c r="B274" i="47"/>
  <c r="B275" i="47"/>
  <c r="B276" i="47"/>
  <c r="B277" i="47"/>
  <c r="B278" i="47"/>
  <c r="B279" i="47"/>
  <c r="B280" i="47"/>
  <c r="B281" i="47"/>
  <c r="B282" i="47"/>
  <c r="B283" i="47"/>
  <c r="B284" i="47"/>
  <c r="B285" i="47"/>
  <c r="B286" i="47"/>
  <c r="B287" i="47"/>
  <c r="B288" i="47"/>
  <c r="B289" i="47"/>
  <c r="B290" i="47"/>
  <c r="B291" i="47"/>
  <c r="B292" i="47"/>
  <c r="B293" i="47"/>
  <c r="B294" i="47"/>
  <c r="B295" i="47"/>
  <c r="B296" i="47"/>
  <c r="B297" i="47"/>
  <c r="B298" i="47"/>
  <c r="B299" i="47"/>
  <c r="B300" i="47"/>
  <c r="B301" i="47"/>
  <c r="B302" i="47"/>
  <c r="B303" i="47"/>
  <c r="B304" i="47"/>
  <c r="B305" i="47"/>
  <c r="B306" i="47"/>
  <c r="B307" i="47"/>
  <c r="B308" i="47"/>
  <c r="B309" i="47"/>
  <c r="B310" i="47"/>
  <c r="B311" i="47"/>
  <c r="B312" i="47"/>
  <c r="B313" i="47"/>
  <c r="B14" i="47"/>
  <c r="D107" i="132"/>
  <c r="I17" i="132" s="1"/>
  <c r="O102" i="132"/>
  <c r="T102" i="132"/>
  <c r="S102" i="132"/>
  <c r="N102" i="132"/>
  <c r="O101" i="124"/>
  <c r="R71" i="133"/>
  <c r="AC101" i="124"/>
  <c r="Z71" i="133"/>
  <c r="Y71" i="133" s="1"/>
  <c r="U71" i="133"/>
  <c r="W71" i="133"/>
  <c r="Y89" i="112"/>
  <c r="AC67" i="123" s="1"/>
  <c r="Z70" i="123"/>
  <c r="W70" i="123"/>
  <c r="Z71" i="123"/>
  <c r="U71" i="123"/>
  <c r="W71" i="123"/>
  <c r="Z72" i="123"/>
  <c r="Y72" i="123" s="1"/>
  <c r="U72" i="123"/>
  <c r="W72" i="123"/>
  <c r="Z73" i="123"/>
  <c r="Y73" i="123" s="1"/>
  <c r="U73" i="123"/>
  <c r="W73" i="123"/>
  <c r="Z74" i="123"/>
  <c r="Y74" i="123" s="1"/>
  <c r="U74" i="123"/>
  <c r="W74" i="123"/>
  <c r="Z75" i="123"/>
  <c r="U75" i="123"/>
  <c r="W75" i="123"/>
  <c r="Z76" i="123"/>
  <c r="Y76" i="123" s="1"/>
  <c r="U76" i="123"/>
  <c r="W76" i="123"/>
  <c r="Z77" i="123"/>
  <c r="Y77" i="123" s="1"/>
  <c r="U77" i="123"/>
  <c r="W77" i="123"/>
  <c r="Z78" i="123"/>
  <c r="Y78" i="123" s="1"/>
  <c r="U78" i="123"/>
  <c r="W78" i="123"/>
  <c r="Z79" i="123"/>
  <c r="U79" i="123"/>
  <c r="W79" i="123"/>
  <c r="Z80" i="123"/>
  <c r="Y80" i="123" s="1"/>
  <c r="U80" i="123"/>
  <c r="W80" i="123"/>
  <c r="Z81" i="123"/>
  <c r="U81" i="123"/>
  <c r="W81" i="123"/>
  <c r="Z82" i="123"/>
  <c r="Y82" i="123" s="1"/>
  <c r="U82" i="123"/>
  <c r="W82" i="123"/>
  <c r="Z83" i="123"/>
  <c r="Y83" i="123" s="1"/>
  <c r="U83" i="123"/>
  <c r="W83" i="123"/>
  <c r="Z84" i="123"/>
  <c r="Y84" i="123" s="1"/>
  <c r="U84" i="123"/>
  <c r="W84" i="123"/>
  <c r="Z85" i="123"/>
  <c r="Y85" i="123" s="1"/>
  <c r="U85" i="123"/>
  <c r="W85" i="123"/>
  <c r="Z86" i="123"/>
  <c r="Y86" i="123" s="1"/>
  <c r="U86" i="123"/>
  <c r="W86" i="123"/>
  <c r="Z87" i="123"/>
  <c r="U87" i="123"/>
  <c r="W87" i="123"/>
  <c r="Z88" i="123"/>
  <c r="Y88" i="123" s="1"/>
  <c r="U88" i="123"/>
  <c r="W88" i="123"/>
  <c r="Z89" i="123"/>
  <c r="Y89" i="123" s="1"/>
  <c r="U89" i="123"/>
  <c r="W89" i="123"/>
  <c r="Z90" i="123"/>
  <c r="Y90" i="123" s="1"/>
  <c r="U90" i="123"/>
  <c r="W90" i="123"/>
  <c r="Z91" i="123"/>
  <c r="U91" i="123"/>
  <c r="W91" i="123"/>
  <c r="Z92" i="123"/>
  <c r="Y92" i="123" s="1"/>
  <c r="U92" i="123"/>
  <c r="W92" i="123"/>
  <c r="Z93" i="123"/>
  <c r="Y93" i="123" s="1"/>
  <c r="U93" i="123"/>
  <c r="W93" i="123"/>
  <c r="Z94" i="123"/>
  <c r="U94" i="123"/>
  <c r="W94" i="123"/>
  <c r="Z95" i="123"/>
  <c r="Y95" i="123" s="1"/>
  <c r="U95" i="123"/>
  <c r="W95" i="123"/>
  <c r="Z96" i="123"/>
  <c r="U96" i="123"/>
  <c r="W96" i="123"/>
  <c r="Z97" i="123"/>
  <c r="Y97" i="123" s="1"/>
  <c r="U97" i="123"/>
  <c r="W97" i="123"/>
  <c r="Z98" i="123"/>
  <c r="Y98" i="123" s="1"/>
  <c r="U98" i="123"/>
  <c r="W98" i="123"/>
  <c r="Z100" i="123"/>
  <c r="Y100" i="123" s="1"/>
  <c r="U100" i="123"/>
  <c r="W100" i="123"/>
  <c r="Z71" i="124"/>
  <c r="Y71" i="124" s="1"/>
  <c r="R71" i="124"/>
  <c r="W71" i="124"/>
  <c r="Z101" i="133"/>
  <c r="Z100" i="133"/>
  <c r="Y100" i="133" s="1"/>
  <c r="Z99" i="133"/>
  <c r="Y99" i="133" s="1"/>
  <c r="Z98" i="133"/>
  <c r="Y98" i="133" s="1"/>
  <c r="Z97" i="133"/>
  <c r="Y97" i="133" s="1"/>
  <c r="Z96" i="133"/>
  <c r="Y96" i="133" s="1"/>
  <c r="Z95" i="133"/>
  <c r="Y95" i="133" s="1"/>
  <c r="Z94" i="133"/>
  <c r="Y94" i="133" s="1"/>
  <c r="Z93" i="133"/>
  <c r="Y93" i="133" s="1"/>
  <c r="Z92" i="133"/>
  <c r="Y92" i="133" s="1"/>
  <c r="Z91" i="133"/>
  <c r="Y91" i="133" s="1"/>
  <c r="Z90" i="133"/>
  <c r="Y90" i="133" s="1"/>
  <c r="Z89" i="133"/>
  <c r="Y89" i="133" s="1"/>
  <c r="Z88" i="133"/>
  <c r="Y88" i="133" s="1"/>
  <c r="Z87" i="133"/>
  <c r="Y87" i="133" s="1"/>
  <c r="Z86" i="133"/>
  <c r="Y86" i="133" s="1"/>
  <c r="Z85" i="133"/>
  <c r="Y85" i="133" s="1"/>
  <c r="Z84" i="133"/>
  <c r="Y84" i="133"/>
  <c r="Z83" i="133"/>
  <c r="Y83" i="133" s="1"/>
  <c r="Z82" i="133"/>
  <c r="Y82" i="133" s="1"/>
  <c r="Z81" i="133"/>
  <c r="Y81" i="133" s="1"/>
  <c r="Z80" i="133"/>
  <c r="Y80" i="133" s="1"/>
  <c r="Z79" i="133"/>
  <c r="Y79" i="133" s="1"/>
  <c r="Z78" i="133"/>
  <c r="Y78" i="133" s="1"/>
  <c r="Z77" i="133"/>
  <c r="Z76" i="133"/>
  <c r="Y76" i="133" s="1"/>
  <c r="Z75" i="133"/>
  <c r="Y75" i="133" s="1"/>
  <c r="Z74" i="133"/>
  <c r="Y74" i="133" s="1"/>
  <c r="Z73" i="133"/>
  <c r="Y73" i="133"/>
  <c r="Z72" i="133"/>
  <c r="Y72" i="133" s="1"/>
  <c r="Z71" i="132"/>
  <c r="U71" i="132"/>
  <c r="W71" i="132"/>
  <c r="Z72" i="132"/>
  <c r="U72" i="132"/>
  <c r="W72" i="132"/>
  <c r="Z73" i="132"/>
  <c r="U73" i="132"/>
  <c r="W73" i="132"/>
  <c r="Z74" i="132"/>
  <c r="Y74" i="132" s="1"/>
  <c r="U74" i="132"/>
  <c r="W74" i="132"/>
  <c r="Z75" i="132"/>
  <c r="U75" i="132"/>
  <c r="W75" i="132"/>
  <c r="Z76" i="132"/>
  <c r="U76" i="132"/>
  <c r="W76" i="132"/>
  <c r="Z77" i="132"/>
  <c r="Y77" i="132" s="1"/>
  <c r="U77" i="132"/>
  <c r="W77" i="132"/>
  <c r="Z78" i="132"/>
  <c r="Y78" i="132"/>
  <c r="U78" i="132"/>
  <c r="W78" i="132"/>
  <c r="Z79" i="132"/>
  <c r="Y79" i="132" s="1"/>
  <c r="U79" i="132"/>
  <c r="W79" i="132"/>
  <c r="Z80" i="132"/>
  <c r="Y80" i="132" s="1"/>
  <c r="U80" i="132"/>
  <c r="W80" i="132"/>
  <c r="Z81" i="132"/>
  <c r="U81" i="132"/>
  <c r="W81" i="132"/>
  <c r="Z82" i="132"/>
  <c r="Y82" i="132" s="1"/>
  <c r="U82" i="132"/>
  <c r="W82" i="132"/>
  <c r="Z83" i="132"/>
  <c r="U83" i="132"/>
  <c r="W83" i="132"/>
  <c r="Z84" i="132"/>
  <c r="Y84" i="132" s="1"/>
  <c r="U84" i="132"/>
  <c r="W84" i="132"/>
  <c r="Z85" i="132"/>
  <c r="U85" i="132"/>
  <c r="W85" i="132"/>
  <c r="Z86" i="132"/>
  <c r="Y86" i="132" s="1"/>
  <c r="U86" i="132"/>
  <c r="W86" i="132"/>
  <c r="Z87" i="132"/>
  <c r="Y87" i="132" s="1"/>
  <c r="U87" i="132"/>
  <c r="W87" i="132"/>
  <c r="Z88" i="132"/>
  <c r="Y88" i="132" s="1"/>
  <c r="U88" i="132"/>
  <c r="W88" i="132"/>
  <c r="Z89" i="132"/>
  <c r="U89" i="132"/>
  <c r="W89" i="132"/>
  <c r="Z90" i="132"/>
  <c r="Y90" i="132" s="1"/>
  <c r="U90" i="132"/>
  <c r="W90" i="132"/>
  <c r="Z91" i="132"/>
  <c r="Y91" i="132"/>
  <c r="U91" i="132"/>
  <c r="W91" i="132"/>
  <c r="Z92" i="132"/>
  <c r="U92" i="132"/>
  <c r="W92" i="132"/>
  <c r="Z93" i="132"/>
  <c r="U93" i="132"/>
  <c r="W93" i="132"/>
  <c r="Z94" i="132"/>
  <c r="U94" i="132"/>
  <c r="W94" i="132"/>
  <c r="Z95" i="132"/>
  <c r="Y95" i="132" s="1"/>
  <c r="U95" i="132"/>
  <c r="W95" i="132"/>
  <c r="Z96" i="132"/>
  <c r="U96" i="132"/>
  <c r="W96" i="132"/>
  <c r="Z97" i="132"/>
  <c r="U97" i="132"/>
  <c r="W97" i="132"/>
  <c r="Z98" i="132"/>
  <c r="Y98" i="132" s="1"/>
  <c r="U98" i="132"/>
  <c r="W98" i="132"/>
  <c r="Z99" i="132"/>
  <c r="U99" i="132"/>
  <c r="W99" i="132"/>
  <c r="Z100" i="132"/>
  <c r="Y100" i="132"/>
  <c r="U100" i="132"/>
  <c r="W100" i="132"/>
  <c r="Z101" i="132"/>
  <c r="T73" i="47" s="1"/>
  <c r="U101" i="132"/>
  <c r="W101" i="132"/>
  <c r="Z100" i="124"/>
  <c r="Y100" i="124" s="1"/>
  <c r="Z99" i="124"/>
  <c r="Z98" i="124"/>
  <c r="Y98" i="124" s="1"/>
  <c r="Z97" i="124"/>
  <c r="Y97" i="124" s="1"/>
  <c r="Z96" i="124"/>
  <c r="Y96" i="124" s="1"/>
  <c r="Z95" i="124"/>
  <c r="Y95" i="124" s="1"/>
  <c r="Z94" i="124"/>
  <c r="Y94" i="124" s="1"/>
  <c r="Z93" i="124"/>
  <c r="Y93" i="124" s="1"/>
  <c r="Z92" i="124"/>
  <c r="Y92" i="124" s="1"/>
  <c r="Z91" i="124"/>
  <c r="Y91" i="124"/>
  <c r="Z90" i="124"/>
  <c r="Y90" i="124" s="1"/>
  <c r="Z89" i="124"/>
  <c r="Y89" i="124" s="1"/>
  <c r="Z88" i="124"/>
  <c r="Y88" i="124" s="1"/>
  <c r="Z87" i="124"/>
  <c r="Y87" i="124" s="1"/>
  <c r="Z86" i="124"/>
  <c r="Y86" i="124" s="1"/>
  <c r="Z85" i="124"/>
  <c r="Y85" i="124" s="1"/>
  <c r="Z84" i="124"/>
  <c r="Y84" i="124" s="1"/>
  <c r="Z83" i="124"/>
  <c r="Y83" i="124" s="1"/>
  <c r="Z82" i="124"/>
  <c r="Y82" i="124" s="1"/>
  <c r="Z81" i="124"/>
  <c r="Y81" i="124" s="1"/>
  <c r="Z80" i="124"/>
  <c r="Y80" i="124" s="1"/>
  <c r="Z79" i="124"/>
  <c r="Y79" i="124"/>
  <c r="Z78" i="124"/>
  <c r="Y78" i="124" s="1"/>
  <c r="Z77" i="124"/>
  <c r="Y77" i="124" s="1"/>
  <c r="Z76" i="124"/>
  <c r="Y76" i="124" s="1"/>
  <c r="Z75" i="124"/>
  <c r="Y75" i="124" s="1"/>
  <c r="Z74" i="124"/>
  <c r="Y74" i="124" s="1"/>
  <c r="Z73" i="124"/>
  <c r="Y73" i="124" s="1"/>
  <c r="Z72" i="124"/>
  <c r="Y72" i="124" s="1"/>
  <c r="Z99" i="123"/>
  <c r="Y99" i="123" s="1"/>
  <c r="F101" i="132"/>
  <c r="F100" i="132"/>
  <c r="F99" i="132"/>
  <c r="F98" i="132"/>
  <c r="F97" i="132"/>
  <c r="F96" i="132"/>
  <c r="F95" i="132"/>
  <c r="F94" i="132"/>
  <c r="F93" i="132"/>
  <c r="F92" i="132"/>
  <c r="F91" i="132"/>
  <c r="F90" i="132"/>
  <c r="F89" i="132"/>
  <c r="F88" i="132"/>
  <c r="F87" i="132"/>
  <c r="F86" i="132"/>
  <c r="F85" i="132"/>
  <c r="F84" i="132"/>
  <c r="F83" i="132"/>
  <c r="F82" i="132"/>
  <c r="F81" i="132"/>
  <c r="F80" i="132"/>
  <c r="F79" i="132"/>
  <c r="F78" i="132"/>
  <c r="F77" i="132"/>
  <c r="F76" i="132"/>
  <c r="F75" i="132"/>
  <c r="F74" i="132"/>
  <c r="F73" i="132"/>
  <c r="F72" i="132"/>
  <c r="F71" i="132"/>
  <c r="C69" i="124"/>
  <c r="J22" i="124" s="1"/>
  <c r="G72" i="124"/>
  <c r="G76" i="124"/>
  <c r="G80" i="124"/>
  <c r="G84" i="124"/>
  <c r="E84" i="124"/>
  <c r="G88" i="124"/>
  <c r="G92" i="124"/>
  <c r="G96" i="124"/>
  <c r="G100" i="124"/>
  <c r="G71" i="124"/>
  <c r="L102" i="133"/>
  <c r="M102" i="133"/>
  <c r="L102" i="132"/>
  <c r="M101" i="124"/>
  <c r="L101" i="124"/>
  <c r="L101" i="123"/>
  <c r="M101" i="123"/>
  <c r="V58" i="112"/>
  <c r="O102" i="133"/>
  <c r="T102" i="133"/>
  <c r="S102" i="133"/>
  <c r="P102" i="133"/>
  <c r="K52" i="133"/>
  <c r="N102" i="133"/>
  <c r="K53" i="133" s="1"/>
  <c r="M28" i="133"/>
  <c r="N28" i="133" s="1"/>
  <c r="M29" i="133"/>
  <c r="N29" i="133" s="1"/>
  <c r="M30" i="133"/>
  <c r="N30" i="133" s="1"/>
  <c r="I15" i="133"/>
  <c r="I16" i="133"/>
  <c r="K44" i="133"/>
  <c r="C69" i="140"/>
  <c r="J22" i="140" s="1"/>
  <c r="G71" i="140"/>
  <c r="F71" i="140"/>
  <c r="G72" i="140"/>
  <c r="F72" i="140"/>
  <c r="H72" i="140" s="1"/>
  <c r="G73" i="140"/>
  <c r="F73" i="140"/>
  <c r="G74" i="140"/>
  <c r="F74" i="140"/>
  <c r="H74" i="140" s="1"/>
  <c r="G75" i="140"/>
  <c r="F75" i="140"/>
  <c r="G76" i="140"/>
  <c r="F76" i="140"/>
  <c r="H76" i="140" s="1"/>
  <c r="G77" i="140"/>
  <c r="F77" i="140"/>
  <c r="G78" i="140"/>
  <c r="F78" i="140"/>
  <c r="H78" i="140" s="1"/>
  <c r="G79" i="140"/>
  <c r="F79" i="140"/>
  <c r="G80" i="140"/>
  <c r="F80" i="140"/>
  <c r="H80" i="140" s="1"/>
  <c r="G81" i="140"/>
  <c r="F81" i="140"/>
  <c r="G82" i="140"/>
  <c r="F82" i="140"/>
  <c r="G83" i="140"/>
  <c r="F83" i="140"/>
  <c r="G84" i="140"/>
  <c r="F84" i="140"/>
  <c r="G85" i="140"/>
  <c r="F85" i="140"/>
  <c r="G86" i="140"/>
  <c r="F86" i="140"/>
  <c r="G87" i="140"/>
  <c r="F87" i="140"/>
  <c r="G88" i="140"/>
  <c r="F88" i="140"/>
  <c r="G89" i="140"/>
  <c r="F89" i="140"/>
  <c r="G90" i="140"/>
  <c r="F90" i="140"/>
  <c r="H90" i="140" s="1"/>
  <c r="G91" i="140"/>
  <c r="F91" i="140"/>
  <c r="G92" i="140"/>
  <c r="F92" i="140"/>
  <c r="H92" i="140" s="1"/>
  <c r="G93" i="140"/>
  <c r="F93" i="140"/>
  <c r="G94" i="140"/>
  <c r="F94" i="140"/>
  <c r="H94" i="140" s="1"/>
  <c r="G95" i="140"/>
  <c r="F95" i="140"/>
  <c r="G96" i="140"/>
  <c r="F96" i="140"/>
  <c r="H96" i="140" s="1"/>
  <c r="G97" i="140"/>
  <c r="F97" i="140"/>
  <c r="G98" i="140"/>
  <c r="F98" i="140"/>
  <c r="H98" i="140" s="1"/>
  <c r="G99" i="140"/>
  <c r="F99" i="140"/>
  <c r="G100" i="140"/>
  <c r="F100" i="140"/>
  <c r="E71" i="140"/>
  <c r="E72" i="140"/>
  <c r="E73" i="140"/>
  <c r="E74" i="140"/>
  <c r="E75" i="140"/>
  <c r="E76" i="140"/>
  <c r="E77" i="140"/>
  <c r="E78" i="140"/>
  <c r="E79" i="140"/>
  <c r="E80" i="140"/>
  <c r="E81" i="140"/>
  <c r="E82" i="140"/>
  <c r="E83" i="140"/>
  <c r="E84" i="140"/>
  <c r="E85" i="140"/>
  <c r="E86" i="140"/>
  <c r="E87" i="140"/>
  <c r="E88" i="140"/>
  <c r="E89" i="140"/>
  <c r="E90" i="140"/>
  <c r="E91" i="140"/>
  <c r="E92" i="140"/>
  <c r="E93" i="140"/>
  <c r="E94" i="140"/>
  <c r="E95" i="140"/>
  <c r="E96" i="140"/>
  <c r="E97" i="140"/>
  <c r="E98" i="140"/>
  <c r="E99" i="140"/>
  <c r="E100" i="140"/>
  <c r="V102" i="140"/>
  <c r="W102" i="140"/>
  <c r="V103" i="140" s="1"/>
  <c r="AP102" i="140"/>
  <c r="AG102" i="140"/>
  <c r="AD72" i="140"/>
  <c r="AC72" i="140" s="1"/>
  <c r="AD73" i="140"/>
  <c r="AD74" i="140"/>
  <c r="AC74" i="140" s="1"/>
  <c r="AD75" i="140"/>
  <c r="AC75" i="140" s="1"/>
  <c r="AD76" i="140"/>
  <c r="AC76" i="140" s="1"/>
  <c r="AD77" i="140"/>
  <c r="AD78" i="140"/>
  <c r="AC78" i="140" s="1"/>
  <c r="AD79" i="140"/>
  <c r="AC79" i="140" s="1"/>
  <c r="AD80" i="140"/>
  <c r="AC80" i="140" s="1"/>
  <c r="AD81" i="140"/>
  <c r="AE81" i="140"/>
  <c r="AF81" i="140" s="1"/>
  <c r="AD82" i="140"/>
  <c r="AD83" i="140"/>
  <c r="AC83" i="140" s="1"/>
  <c r="AD84" i="140"/>
  <c r="AC84" i="140" s="1"/>
  <c r="AD85" i="140"/>
  <c r="AD86" i="140"/>
  <c r="AD87" i="140"/>
  <c r="AD88" i="140"/>
  <c r="AC88" i="140" s="1"/>
  <c r="AD89" i="140"/>
  <c r="AD90" i="140"/>
  <c r="AC90" i="140" s="1"/>
  <c r="AD91" i="140"/>
  <c r="AC91" i="140" s="1"/>
  <c r="AD92" i="140"/>
  <c r="AC92" i="140" s="1"/>
  <c r="AD93" i="140"/>
  <c r="AD94" i="140"/>
  <c r="AC94" i="140" s="1"/>
  <c r="AD95" i="140"/>
  <c r="AC95" i="140" s="1"/>
  <c r="AD96" i="140"/>
  <c r="AC96" i="140" s="1"/>
  <c r="AD97" i="140"/>
  <c r="AD98" i="140"/>
  <c r="AD99" i="140"/>
  <c r="AC99" i="140" s="1"/>
  <c r="AD100" i="140"/>
  <c r="AC100" i="140" s="1"/>
  <c r="AA102" i="140"/>
  <c r="Y102" i="140"/>
  <c r="T102" i="140"/>
  <c r="Q102" i="140"/>
  <c r="V53" i="140" s="1"/>
  <c r="P102" i="140"/>
  <c r="O102" i="140"/>
  <c r="K53" i="140" s="1"/>
  <c r="M102" i="140"/>
  <c r="L102" i="140"/>
  <c r="K102" i="140"/>
  <c r="C72" i="140"/>
  <c r="C73" i="140" s="1"/>
  <c r="C74" i="140" s="1"/>
  <c r="C75" i="140" s="1"/>
  <c r="C76" i="140" s="1"/>
  <c r="C77" i="140" s="1"/>
  <c r="C78" i="140" s="1"/>
  <c r="C79" i="140" s="1"/>
  <c r="C80" i="140" s="1"/>
  <c r="C81" i="140" s="1"/>
  <c r="C82" i="140" s="1"/>
  <c r="C83" i="140" s="1"/>
  <c r="C84" i="140" s="1"/>
  <c r="C85" i="140" s="1"/>
  <c r="C86" i="140" s="1"/>
  <c r="C87" i="140" s="1"/>
  <c r="C88" i="140" s="1"/>
  <c r="C89" i="140" s="1"/>
  <c r="C90" i="140" s="1"/>
  <c r="C91" i="140" s="1"/>
  <c r="C92" i="140" s="1"/>
  <c r="C93" i="140" s="1"/>
  <c r="C94" i="140" s="1"/>
  <c r="C95" i="140" s="1"/>
  <c r="C96" i="140" s="1"/>
  <c r="C97" i="140" s="1"/>
  <c r="C98" i="140" s="1"/>
  <c r="C99" i="140" s="1"/>
  <c r="C100" i="140" s="1"/>
  <c r="C101" i="140" s="1"/>
  <c r="P392" i="47"/>
  <c r="C70" i="139"/>
  <c r="G73" i="139"/>
  <c r="F73" i="139"/>
  <c r="G74" i="139"/>
  <c r="F74" i="139"/>
  <c r="G75" i="139"/>
  <c r="F75" i="139"/>
  <c r="G76" i="139"/>
  <c r="F76" i="139"/>
  <c r="G77" i="139"/>
  <c r="F77" i="139"/>
  <c r="G78" i="139"/>
  <c r="F78" i="139"/>
  <c r="G79" i="139"/>
  <c r="F79" i="139"/>
  <c r="G80" i="139"/>
  <c r="F80" i="139"/>
  <c r="G81" i="139"/>
  <c r="F81" i="139"/>
  <c r="G82" i="139"/>
  <c r="F82" i="139"/>
  <c r="G83" i="139"/>
  <c r="F83" i="139"/>
  <c r="G84" i="139"/>
  <c r="F84" i="139"/>
  <c r="G85" i="139"/>
  <c r="F85" i="139"/>
  <c r="G86" i="139"/>
  <c r="F86" i="139"/>
  <c r="G87" i="139"/>
  <c r="F87" i="139"/>
  <c r="G88" i="139"/>
  <c r="F88" i="139"/>
  <c r="G89" i="139"/>
  <c r="F89" i="139"/>
  <c r="G90" i="139"/>
  <c r="F90" i="139"/>
  <c r="G91" i="139"/>
  <c r="F91" i="139"/>
  <c r="G92" i="139"/>
  <c r="F92" i="139"/>
  <c r="G93" i="139"/>
  <c r="F93" i="139"/>
  <c r="G94" i="139"/>
  <c r="F94" i="139"/>
  <c r="G95" i="139"/>
  <c r="F95" i="139"/>
  <c r="G96" i="139"/>
  <c r="F96" i="139"/>
  <c r="G97" i="139"/>
  <c r="F97" i="139"/>
  <c r="G98" i="139"/>
  <c r="F98" i="139"/>
  <c r="G99" i="139"/>
  <c r="F99" i="139"/>
  <c r="G100" i="139"/>
  <c r="F100" i="139"/>
  <c r="G101" i="139"/>
  <c r="F101" i="139"/>
  <c r="E72" i="139"/>
  <c r="E73" i="139"/>
  <c r="E74" i="139"/>
  <c r="E75" i="139"/>
  <c r="E76" i="139"/>
  <c r="E77" i="139"/>
  <c r="E78" i="139"/>
  <c r="E79" i="139"/>
  <c r="E80" i="139"/>
  <c r="E81" i="139"/>
  <c r="E82" i="139"/>
  <c r="E83" i="139"/>
  <c r="E84" i="139"/>
  <c r="E85" i="139"/>
  <c r="E86" i="139"/>
  <c r="E87" i="139"/>
  <c r="E88" i="139"/>
  <c r="E89" i="139"/>
  <c r="E90" i="139"/>
  <c r="E91" i="139"/>
  <c r="E92" i="139"/>
  <c r="E93" i="139"/>
  <c r="E94" i="139"/>
  <c r="E95" i="139"/>
  <c r="E96" i="139"/>
  <c r="E97" i="139"/>
  <c r="E98" i="139"/>
  <c r="E99" i="139"/>
  <c r="E100" i="139"/>
  <c r="E101" i="139"/>
  <c r="R103" i="139"/>
  <c r="S103" i="139"/>
  <c r="AP103" i="139"/>
  <c r="AC103" i="139"/>
  <c r="Z72" i="139"/>
  <c r="Y72" i="139" s="1"/>
  <c r="Z73" i="139"/>
  <c r="Y73" i="139" s="1"/>
  <c r="Z74" i="139"/>
  <c r="Y74" i="139" s="1"/>
  <c r="Z75" i="139"/>
  <c r="Z76" i="139"/>
  <c r="Y76" i="139" s="1"/>
  <c r="Z77" i="139"/>
  <c r="Z78" i="139"/>
  <c r="Z79" i="139"/>
  <c r="Y79" i="139" s="1"/>
  <c r="Z80" i="139"/>
  <c r="Y80" i="139" s="1"/>
  <c r="Z81" i="139"/>
  <c r="Y81" i="139" s="1"/>
  <c r="Z82" i="139"/>
  <c r="Y82" i="139" s="1"/>
  <c r="AA82" i="139"/>
  <c r="Z83" i="139"/>
  <c r="Z84" i="139"/>
  <c r="Y84" i="139" s="1"/>
  <c r="Z85" i="139"/>
  <c r="Z86" i="139"/>
  <c r="Y86" i="139" s="1"/>
  <c r="Z87" i="139"/>
  <c r="Y87" i="139" s="1"/>
  <c r="Z88" i="139"/>
  <c r="Y88" i="139" s="1"/>
  <c r="Z89" i="139"/>
  <c r="Z90" i="139"/>
  <c r="Y90" i="139" s="1"/>
  <c r="Z91" i="139"/>
  <c r="Z92" i="139"/>
  <c r="Y92" i="139" s="1"/>
  <c r="Z93" i="139"/>
  <c r="Z94" i="139"/>
  <c r="Y94" i="139" s="1"/>
  <c r="Z95" i="139"/>
  <c r="Z96" i="139"/>
  <c r="Y96" i="139" s="1"/>
  <c r="Z97" i="139"/>
  <c r="Y97" i="139" s="1"/>
  <c r="Z98" i="139"/>
  <c r="Y98" i="139" s="1"/>
  <c r="Z99" i="139"/>
  <c r="Z100" i="139"/>
  <c r="Y100" i="139" s="1"/>
  <c r="Z101" i="139"/>
  <c r="W103" i="139"/>
  <c r="U103" i="139"/>
  <c r="P103" i="139"/>
  <c r="V30" i="139" s="1"/>
  <c r="O103" i="139"/>
  <c r="N103" i="139"/>
  <c r="M103" i="139"/>
  <c r="V54" i="139" s="1"/>
  <c r="L103" i="139"/>
  <c r="K103" i="139"/>
  <c r="J103" i="139"/>
  <c r="C73" i="139"/>
  <c r="C74" i="139" s="1"/>
  <c r="C75" i="139" s="1"/>
  <c r="C76" i="139" s="1"/>
  <c r="C77" i="139" s="1"/>
  <c r="C78" i="139" s="1"/>
  <c r="C79" i="139" s="1"/>
  <c r="C80" i="139" s="1"/>
  <c r="C81" i="139" s="1"/>
  <c r="C82" i="139" s="1"/>
  <c r="C83" i="139" s="1"/>
  <c r="C84" i="139" s="1"/>
  <c r="C85" i="139" s="1"/>
  <c r="C86" i="139" s="1"/>
  <c r="C87" i="139" s="1"/>
  <c r="C88" i="139" s="1"/>
  <c r="C89" i="139" s="1"/>
  <c r="C90" i="139" s="1"/>
  <c r="C91" i="139" s="1"/>
  <c r="C92" i="139" s="1"/>
  <c r="C93" i="139" s="1"/>
  <c r="C94" i="139" s="1"/>
  <c r="C95" i="139" s="1"/>
  <c r="C96" i="139" s="1"/>
  <c r="C97" i="139" s="1"/>
  <c r="C98" i="139" s="1"/>
  <c r="C99" i="139" s="1"/>
  <c r="C100" i="139" s="1"/>
  <c r="C101" i="139" s="1"/>
  <c r="K44" i="139"/>
  <c r="L41" i="139" s="1"/>
  <c r="O392" i="47"/>
  <c r="K32" i="139"/>
  <c r="K33" i="139" s="1"/>
  <c r="V31" i="139" s="1"/>
  <c r="M28" i="139"/>
  <c r="N28" i="139" s="1"/>
  <c r="M29" i="139"/>
  <c r="N29" i="139" s="1"/>
  <c r="M30" i="139"/>
  <c r="N30" i="139" s="1"/>
  <c r="L33" i="139"/>
  <c r="C70" i="138"/>
  <c r="J22" i="138" s="1"/>
  <c r="G73" i="138"/>
  <c r="G74" i="138"/>
  <c r="G75" i="138"/>
  <c r="G76" i="138"/>
  <c r="G77" i="138"/>
  <c r="G78" i="138"/>
  <c r="G79" i="138"/>
  <c r="G80" i="138"/>
  <c r="G81" i="138"/>
  <c r="G82" i="138"/>
  <c r="G83" i="138"/>
  <c r="G84" i="138"/>
  <c r="G85" i="138"/>
  <c r="G86" i="138"/>
  <c r="G87" i="138"/>
  <c r="G88" i="138"/>
  <c r="G89" i="138"/>
  <c r="G90" i="138"/>
  <c r="G91" i="138"/>
  <c r="G92" i="138"/>
  <c r="G93" i="138"/>
  <c r="G94" i="138"/>
  <c r="G95" i="138"/>
  <c r="G96" i="138"/>
  <c r="G97" i="138"/>
  <c r="G98" i="138"/>
  <c r="G99" i="138"/>
  <c r="G100" i="138"/>
  <c r="G101" i="138"/>
  <c r="E72" i="138"/>
  <c r="E73" i="138"/>
  <c r="E74" i="138"/>
  <c r="E75" i="138"/>
  <c r="E76" i="138"/>
  <c r="E77" i="138"/>
  <c r="E78" i="138"/>
  <c r="E79" i="138"/>
  <c r="E80" i="138"/>
  <c r="E81" i="138"/>
  <c r="E82" i="138"/>
  <c r="E83" i="138"/>
  <c r="E84" i="138"/>
  <c r="E85" i="138"/>
  <c r="E86" i="138"/>
  <c r="E87" i="138"/>
  <c r="E88" i="138"/>
  <c r="E89" i="138"/>
  <c r="E90" i="138"/>
  <c r="E91" i="138"/>
  <c r="E92" i="138"/>
  <c r="E93" i="138"/>
  <c r="E94" i="138"/>
  <c r="E95" i="138"/>
  <c r="E96" i="138"/>
  <c r="E97" i="138"/>
  <c r="E98" i="138"/>
  <c r="E99" i="138"/>
  <c r="E100" i="138"/>
  <c r="E101" i="138"/>
  <c r="S103" i="138"/>
  <c r="T103" i="138"/>
  <c r="AP103" i="138"/>
  <c r="AD103" i="138"/>
  <c r="AA72" i="138"/>
  <c r="Z72" i="138" s="1"/>
  <c r="U72" i="138"/>
  <c r="W72" i="138"/>
  <c r="AA73" i="138"/>
  <c r="Z73" i="138" s="1"/>
  <c r="U73" i="138"/>
  <c r="W73" i="138"/>
  <c r="AA74" i="138"/>
  <c r="Z74" i="138"/>
  <c r="U74" i="138"/>
  <c r="W74" i="138"/>
  <c r="AA75" i="138"/>
  <c r="U75" i="138"/>
  <c r="W75" i="138"/>
  <c r="AA76" i="138"/>
  <c r="U76" i="138"/>
  <c r="W76" i="138"/>
  <c r="AA77" i="138"/>
  <c r="Z77" i="138" s="1"/>
  <c r="U77" i="138"/>
  <c r="W77" i="138"/>
  <c r="AA78" i="138"/>
  <c r="Z78" i="138" s="1"/>
  <c r="U78" i="138"/>
  <c r="W78" i="138"/>
  <c r="AA79" i="138"/>
  <c r="Z79" i="138" s="1"/>
  <c r="U79" i="138"/>
  <c r="W79" i="138"/>
  <c r="AA80" i="138"/>
  <c r="U80" i="138"/>
  <c r="W80" i="138"/>
  <c r="AA81" i="138"/>
  <c r="Z81" i="138" s="1"/>
  <c r="U81" i="138"/>
  <c r="W81" i="138"/>
  <c r="AA82" i="138"/>
  <c r="Z82" i="138" s="1"/>
  <c r="U82" i="138"/>
  <c r="W82" i="138"/>
  <c r="AA83" i="138"/>
  <c r="U83" i="138"/>
  <c r="W83" i="138"/>
  <c r="AA84" i="138"/>
  <c r="Z84" i="138" s="1"/>
  <c r="U84" i="138"/>
  <c r="W84" i="138"/>
  <c r="AA85" i="138"/>
  <c r="Z85" i="138" s="1"/>
  <c r="U85" i="138"/>
  <c r="W85" i="138"/>
  <c r="AA86" i="138"/>
  <c r="Z86" i="138" s="1"/>
  <c r="U86" i="138"/>
  <c r="W86" i="138"/>
  <c r="AA87" i="138"/>
  <c r="Z87" i="138"/>
  <c r="U87" i="138"/>
  <c r="W87" i="138"/>
  <c r="AA88" i="138"/>
  <c r="Z88" i="138" s="1"/>
  <c r="U88" i="138"/>
  <c r="W88" i="138"/>
  <c r="AA89" i="138"/>
  <c r="U89" i="138"/>
  <c r="W89" i="138"/>
  <c r="AA90" i="138"/>
  <c r="Z90" i="138" s="1"/>
  <c r="U90" i="138"/>
  <c r="W90" i="138"/>
  <c r="T76" i="47" s="1"/>
  <c r="V76" i="47" s="1"/>
  <c r="AA91" i="138"/>
  <c r="U91" i="138"/>
  <c r="W91" i="138"/>
  <c r="AA92" i="138"/>
  <c r="U92" i="138"/>
  <c r="W92" i="138"/>
  <c r="AA93" i="138"/>
  <c r="Z93" i="138" s="1"/>
  <c r="U93" i="138"/>
  <c r="W93" i="138"/>
  <c r="AA94" i="138"/>
  <c r="Z94" i="138" s="1"/>
  <c r="U94" i="138"/>
  <c r="W94" i="138"/>
  <c r="AA95" i="138"/>
  <c r="Z95" i="138" s="1"/>
  <c r="U95" i="138"/>
  <c r="W95" i="138"/>
  <c r="AA96" i="138"/>
  <c r="Z96" i="138" s="1"/>
  <c r="U96" i="138"/>
  <c r="W96" i="138"/>
  <c r="AA97" i="138"/>
  <c r="Z97" i="138" s="1"/>
  <c r="U97" i="138"/>
  <c r="W97" i="138"/>
  <c r="AA98" i="138"/>
  <c r="Z98" i="138" s="1"/>
  <c r="U98" i="138"/>
  <c r="W98" i="138"/>
  <c r="AA99" i="138"/>
  <c r="U99" i="138"/>
  <c r="W99" i="138"/>
  <c r="AA100" i="138"/>
  <c r="Z100" i="138" s="1"/>
  <c r="U100" i="138"/>
  <c r="W100" i="138"/>
  <c r="AA101" i="138"/>
  <c r="Z101" i="138" s="1"/>
  <c r="U101" i="138"/>
  <c r="W101" i="138"/>
  <c r="X103" i="138"/>
  <c r="V103" i="138"/>
  <c r="R72" i="138"/>
  <c r="R73" i="138"/>
  <c r="R74" i="138"/>
  <c r="R75" i="138"/>
  <c r="R76" i="138"/>
  <c r="R77" i="138"/>
  <c r="R78" i="138"/>
  <c r="R79" i="138"/>
  <c r="R80" i="138"/>
  <c r="R81" i="138"/>
  <c r="R82" i="138"/>
  <c r="R83" i="138"/>
  <c r="R84" i="138"/>
  <c r="R85" i="138"/>
  <c r="R86" i="138"/>
  <c r="R87" i="138"/>
  <c r="R88" i="138"/>
  <c r="R89" i="138"/>
  <c r="R90" i="138"/>
  <c r="R91" i="138"/>
  <c r="R92" i="138"/>
  <c r="R93" i="138"/>
  <c r="R94" i="138"/>
  <c r="R95" i="138"/>
  <c r="R96" i="138"/>
  <c r="R97" i="138"/>
  <c r="R98" i="138"/>
  <c r="R99" i="138"/>
  <c r="R100" i="138"/>
  <c r="R101" i="138"/>
  <c r="P103" i="138"/>
  <c r="O103" i="138"/>
  <c r="N103" i="138"/>
  <c r="L103" i="138"/>
  <c r="K103" i="138"/>
  <c r="J103" i="138"/>
  <c r="C73" i="138"/>
  <c r="C74" i="138" s="1"/>
  <c r="C75" i="138" s="1"/>
  <c r="C76" i="138" s="1"/>
  <c r="C77" i="138" s="1"/>
  <c r="C78" i="138" s="1"/>
  <c r="C79" i="138" s="1"/>
  <c r="C80" i="138" s="1"/>
  <c r="C81" i="138" s="1"/>
  <c r="C82" i="138" s="1"/>
  <c r="C83" i="138" s="1"/>
  <c r="C84" i="138" s="1"/>
  <c r="C85" i="138" s="1"/>
  <c r="C86" i="138" s="1"/>
  <c r="C87" i="138" s="1"/>
  <c r="C88" i="138" s="1"/>
  <c r="C89" i="138" s="1"/>
  <c r="C90" i="138" s="1"/>
  <c r="C91" i="138" s="1"/>
  <c r="C92" i="138" s="1"/>
  <c r="C93" i="138" s="1"/>
  <c r="C94" i="138" s="1"/>
  <c r="C95" i="138" s="1"/>
  <c r="C96" i="138" s="1"/>
  <c r="C97" i="138" s="1"/>
  <c r="C98" i="138" s="1"/>
  <c r="C99" i="138" s="1"/>
  <c r="C100" i="138" s="1"/>
  <c r="C101" i="138" s="1"/>
  <c r="C102" i="138" s="1"/>
  <c r="V44" i="138"/>
  <c r="K44" i="138"/>
  <c r="W31" i="138"/>
  <c r="N392" i="47" s="1"/>
  <c r="K32" i="138"/>
  <c r="K33" i="138"/>
  <c r="M28" i="138"/>
  <c r="N28" i="138" s="1"/>
  <c r="M29" i="138"/>
  <c r="N29" i="138" s="1"/>
  <c r="M30" i="138"/>
  <c r="N30" i="138" s="1"/>
  <c r="L33" i="138"/>
  <c r="C69" i="134"/>
  <c r="J22" i="134" s="1"/>
  <c r="G71" i="134"/>
  <c r="F71" i="134"/>
  <c r="G72" i="134"/>
  <c r="F72" i="134"/>
  <c r="G73" i="134"/>
  <c r="F73" i="134"/>
  <c r="G74" i="134"/>
  <c r="F74" i="134"/>
  <c r="G75" i="134"/>
  <c r="F75" i="134"/>
  <c r="G76" i="134"/>
  <c r="F76" i="134"/>
  <c r="G77" i="134"/>
  <c r="F77" i="134"/>
  <c r="G78" i="134"/>
  <c r="F78" i="134"/>
  <c r="G79" i="134"/>
  <c r="F79" i="134"/>
  <c r="G80" i="134"/>
  <c r="F80" i="134"/>
  <c r="G81" i="134"/>
  <c r="F81" i="134"/>
  <c r="G82" i="134"/>
  <c r="F82" i="134"/>
  <c r="G83" i="134"/>
  <c r="F83" i="134"/>
  <c r="G84" i="134"/>
  <c r="F84" i="134"/>
  <c r="G85" i="134"/>
  <c r="F85" i="134"/>
  <c r="G86" i="134"/>
  <c r="F86" i="134"/>
  <c r="G87" i="134"/>
  <c r="F87" i="134"/>
  <c r="G88" i="134"/>
  <c r="F88" i="134"/>
  <c r="G89" i="134"/>
  <c r="F89" i="134"/>
  <c r="G90" i="134"/>
  <c r="F90" i="134"/>
  <c r="G91" i="134"/>
  <c r="F91" i="134"/>
  <c r="G92" i="134"/>
  <c r="F92" i="134"/>
  <c r="G93" i="134"/>
  <c r="F93" i="134"/>
  <c r="G94" i="134"/>
  <c r="F94" i="134"/>
  <c r="G95" i="134"/>
  <c r="F95" i="134"/>
  <c r="G96" i="134"/>
  <c r="F96" i="134"/>
  <c r="G97" i="134"/>
  <c r="F97" i="134"/>
  <c r="G98" i="134"/>
  <c r="F98" i="134"/>
  <c r="G99" i="134"/>
  <c r="F99" i="134"/>
  <c r="G100" i="134"/>
  <c r="F100" i="134"/>
  <c r="E71" i="134"/>
  <c r="E72" i="134"/>
  <c r="E73" i="134"/>
  <c r="E74" i="134"/>
  <c r="E75" i="134"/>
  <c r="E76" i="134"/>
  <c r="E77" i="134"/>
  <c r="E78" i="134"/>
  <c r="E79" i="134"/>
  <c r="E80" i="134"/>
  <c r="E81" i="134"/>
  <c r="E82" i="134"/>
  <c r="E83" i="134"/>
  <c r="E84" i="134"/>
  <c r="E85" i="134"/>
  <c r="E86" i="134"/>
  <c r="E87" i="134"/>
  <c r="E88" i="134"/>
  <c r="E89" i="134"/>
  <c r="E90" i="134"/>
  <c r="E91" i="134"/>
  <c r="E92" i="134"/>
  <c r="E93" i="134"/>
  <c r="E94" i="134"/>
  <c r="E95" i="134"/>
  <c r="E96" i="134"/>
  <c r="E97" i="134"/>
  <c r="E98" i="134"/>
  <c r="E99" i="134"/>
  <c r="E100" i="134"/>
  <c r="S102" i="134"/>
  <c r="T102" i="134"/>
  <c r="AP102" i="134"/>
  <c r="AD102" i="134"/>
  <c r="AA71" i="134"/>
  <c r="Z71" i="134" s="1"/>
  <c r="U71" i="134"/>
  <c r="W71" i="134"/>
  <c r="AA72" i="134"/>
  <c r="Z72" i="134" s="1"/>
  <c r="U72" i="134"/>
  <c r="W72" i="134"/>
  <c r="AA73" i="134"/>
  <c r="Z73" i="134" s="1"/>
  <c r="U73" i="134"/>
  <c r="W73" i="134"/>
  <c r="AA74" i="134"/>
  <c r="Z74" i="134" s="1"/>
  <c r="U74" i="134"/>
  <c r="W74" i="134"/>
  <c r="AA75" i="134"/>
  <c r="Z75" i="134" s="1"/>
  <c r="U75" i="134"/>
  <c r="W75" i="134"/>
  <c r="AA76" i="134"/>
  <c r="Z76" i="134" s="1"/>
  <c r="U76" i="134"/>
  <c r="W76" i="134"/>
  <c r="AA77" i="134"/>
  <c r="Z77" i="134" s="1"/>
  <c r="U77" i="134"/>
  <c r="W77" i="134"/>
  <c r="AA78" i="134"/>
  <c r="Z78" i="134" s="1"/>
  <c r="U78" i="134"/>
  <c r="W78" i="134"/>
  <c r="AA79" i="134"/>
  <c r="Z79" i="134" s="1"/>
  <c r="U79" i="134"/>
  <c r="W79" i="134"/>
  <c r="AA80" i="134"/>
  <c r="U80" i="134"/>
  <c r="W80" i="134"/>
  <c r="AA81" i="134"/>
  <c r="Z81" i="134" s="1"/>
  <c r="U81" i="134"/>
  <c r="W81" i="134"/>
  <c r="AA82" i="134"/>
  <c r="Z82" i="134" s="1"/>
  <c r="U82" i="134"/>
  <c r="W82" i="134"/>
  <c r="AA83" i="134"/>
  <c r="Z83" i="134" s="1"/>
  <c r="U83" i="134"/>
  <c r="W83" i="134"/>
  <c r="AA84" i="134"/>
  <c r="Z84" i="134" s="1"/>
  <c r="U84" i="134"/>
  <c r="W84" i="134"/>
  <c r="AA85" i="134"/>
  <c r="Z85" i="134" s="1"/>
  <c r="U85" i="134"/>
  <c r="W85" i="134"/>
  <c r="AA86" i="134"/>
  <c r="Z86" i="134" s="1"/>
  <c r="U86" i="134"/>
  <c r="W86" i="134"/>
  <c r="AA87" i="134"/>
  <c r="Z87" i="134" s="1"/>
  <c r="U87" i="134"/>
  <c r="W87" i="134"/>
  <c r="AA88" i="134"/>
  <c r="Z88" i="134" s="1"/>
  <c r="U88" i="134"/>
  <c r="W88" i="134"/>
  <c r="AA89" i="134"/>
  <c r="Z89" i="134" s="1"/>
  <c r="U89" i="134"/>
  <c r="W89" i="134"/>
  <c r="U75" i="47" s="1"/>
  <c r="AA90" i="134"/>
  <c r="Z90" i="134" s="1"/>
  <c r="U90" i="134"/>
  <c r="W90" i="134"/>
  <c r="AA91" i="134"/>
  <c r="Z91" i="134" s="1"/>
  <c r="U91" i="134"/>
  <c r="W91" i="134"/>
  <c r="AA92" i="134"/>
  <c r="Z92" i="134" s="1"/>
  <c r="U92" i="134"/>
  <c r="W92" i="134"/>
  <c r="AA93" i="134"/>
  <c r="Z93" i="134"/>
  <c r="U93" i="134"/>
  <c r="W93" i="134"/>
  <c r="AA94" i="134"/>
  <c r="Z94" i="134" s="1"/>
  <c r="U94" i="134"/>
  <c r="W94" i="134"/>
  <c r="AA95" i="134"/>
  <c r="Z95" i="134" s="1"/>
  <c r="U95" i="134"/>
  <c r="W95" i="134"/>
  <c r="AA96" i="134"/>
  <c r="Z96" i="134" s="1"/>
  <c r="U96" i="134"/>
  <c r="W96" i="134"/>
  <c r="AA97" i="134"/>
  <c r="Z97" i="134"/>
  <c r="U97" i="134"/>
  <c r="W97" i="134"/>
  <c r="AA98" i="134"/>
  <c r="Z98" i="134" s="1"/>
  <c r="U98" i="134"/>
  <c r="W98" i="134"/>
  <c r="AA99" i="134"/>
  <c r="Z99" i="134" s="1"/>
  <c r="U99" i="134"/>
  <c r="W99" i="134"/>
  <c r="AA100" i="134"/>
  <c r="Z100" i="134" s="1"/>
  <c r="U100" i="134"/>
  <c r="W100" i="134"/>
  <c r="AA101" i="134"/>
  <c r="Z101" i="134" s="1"/>
  <c r="AB101" i="134"/>
  <c r="X102" i="134"/>
  <c r="V102" i="134"/>
  <c r="R71" i="134"/>
  <c r="R72" i="134"/>
  <c r="R73" i="134"/>
  <c r="R74" i="134"/>
  <c r="R75" i="134"/>
  <c r="R76" i="134"/>
  <c r="R77" i="134"/>
  <c r="R78" i="134"/>
  <c r="R79" i="134"/>
  <c r="R80" i="134"/>
  <c r="R81" i="134"/>
  <c r="R82" i="134"/>
  <c r="R83" i="134"/>
  <c r="R84" i="134"/>
  <c r="R85" i="134"/>
  <c r="R86" i="134"/>
  <c r="R87" i="134"/>
  <c r="R88" i="134"/>
  <c r="R89" i="134"/>
  <c r="R90" i="134"/>
  <c r="R91" i="134"/>
  <c r="R92" i="134"/>
  <c r="R93" i="134"/>
  <c r="R94" i="134"/>
  <c r="R95" i="134"/>
  <c r="R96" i="134"/>
  <c r="R97" i="134"/>
  <c r="R98" i="134"/>
  <c r="R99" i="134"/>
  <c r="R100" i="134"/>
  <c r="Q102" i="134"/>
  <c r="P102" i="134"/>
  <c r="V52" i="134" s="1"/>
  <c r="O102" i="134"/>
  <c r="N102" i="134"/>
  <c r="V53" i="134" s="1"/>
  <c r="L102" i="134"/>
  <c r="K102" i="134"/>
  <c r="J102" i="134"/>
  <c r="C72" i="134"/>
  <c r="C73" i="134" s="1"/>
  <c r="C74" i="134" s="1"/>
  <c r="C75" i="134" s="1"/>
  <c r="C76" i="134" s="1"/>
  <c r="C77" i="134" s="1"/>
  <c r="C78" i="134" s="1"/>
  <c r="C79" i="134" s="1"/>
  <c r="C80" i="134" s="1"/>
  <c r="C81" i="134" s="1"/>
  <c r="C82" i="134" s="1"/>
  <c r="C83" i="134" s="1"/>
  <c r="C84" i="134" s="1"/>
  <c r="C85" i="134" s="1"/>
  <c r="C86" i="134" s="1"/>
  <c r="C87" i="134" s="1"/>
  <c r="C88" i="134" s="1"/>
  <c r="C89" i="134" s="1"/>
  <c r="C90" i="134" s="1"/>
  <c r="C91" i="134" s="1"/>
  <c r="C92" i="134" s="1"/>
  <c r="C93" i="134" s="1"/>
  <c r="C94" i="134" s="1"/>
  <c r="C95" i="134" s="1"/>
  <c r="C96" i="134" s="1"/>
  <c r="C97" i="134" s="1"/>
  <c r="C98" i="134" s="1"/>
  <c r="C99" i="134" s="1"/>
  <c r="C100" i="134" s="1"/>
  <c r="W54" i="134"/>
  <c r="V44" i="134"/>
  <c r="K44" i="134"/>
  <c r="L41" i="134" s="1"/>
  <c r="W31" i="134"/>
  <c r="K32" i="134"/>
  <c r="K33" i="134" s="1"/>
  <c r="L33" i="134"/>
  <c r="P49" i="104"/>
  <c r="Q49" i="104"/>
  <c r="R49" i="104"/>
  <c r="P50" i="104"/>
  <c r="Q50" i="104"/>
  <c r="R50" i="104"/>
  <c r="P51" i="104"/>
  <c r="Q51" i="104"/>
  <c r="R51" i="104"/>
  <c r="P52" i="104"/>
  <c r="Q52" i="104"/>
  <c r="R52" i="104"/>
  <c r="P53" i="104"/>
  <c r="Q53" i="104"/>
  <c r="R53" i="104"/>
  <c r="P54" i="104"/>
  <c r="Q54" i="104"/>
  <c r="R54" i="104"/>
  <c r="P55" i="104"/>
  <c r="Q55" i="104"/>
  <c r="R55" i="104"/>
  <c r="P56" i="104"/>
  <c r="Q56" i="104"/>
  <c r="R56" i="104"/>
  <c r="P57" i="104"/>
  <c r="Q57" i="104"/>
  <c r="R57" i="104"/>
  <c r="P58" i="104"/>
  <c r="Q58" i="104"/>
  <c r="R58" i="104"/>
  <c r="P59" i="104"/>
  <c r="Q59" i="104"/>
  <c r="R59" i="104"/>
  <c r="P60" i="104"/>
  <c r="Q60" i="104"/>
  <c r="R60" i="104"/>
  <c r="P61" i="104"/>
  <c r="Q61" i="104"/>
  <c r="R61" i="104"/>
  <c r="P62" i="104"/>
  <c r="Q62" i="104"/>
  <c r="R62" i="104"/>
  <c r="P63" i="104"/>
  <c r="Q63" i="104"/>
  <c r="R63" i="104"/>
  <c r="P64" i="104"/>
  <c r="Q64" i="104"/>
  <c r="R64" i="104"/>
  <c r="P65" i="104"/>
  <c r="Q65" i="104"/>
  <c r="R65" i="104"/>
  <c r="P66" i="104"/>
  <c r="Q66" i="104"/>
  <c r="R66" i="104"/>
  <c r="P67" i="104"/>
  <c r="Q67" i="104"/>
  <c r="R67" i="104"/>
  <c r="P68" i="104"/>
  <c r="Q68" i="104"/>
  <c r="R68" i="104"/>
  <c r="P69" i="104"/>
  <c r="Q69" i="104"/>
  <c r="R69" i="104"/>
  <c r="P70" i="104"/>
  <c r="Q70" i="104"/>
  <c r="R70" i="104"/>
  <c r="P71" i="104"/>
  <c r="Q71" i="104"/>
  <c r="R71" i="104"/>
  <c r="P72" i="104"/>
  <c r="Q72" i="104"/>
  <c r="R72" i="104"/>
  <c r="P73" i="104"/>
  <c r="Q73" i="104"/>
  <c r="R73" i="104"/>
  <c r="P74" i="104"/>
  <c r="Q74" i="104"/>
  <c r="R74" i="104"/>
  <c r="P75" i="104"/>
  <c r="Q75" i="104"/>
  <c r="R75" i="104"/>
  <c r="P76" i="104"/>
  <c r="Q76" i="104"/>
  <c r="R76" i="104"/>
  <c r="P77" i="104"/>
  <c r="Q77" i="104"/>
  <c r="R77" i="104"/>
  <c r="P78" i="104"/>
  <c r="Q78" i="104"/>
  <c r="R78" i="104"/>
  <c r="P79" i="104"/>
  <c r="Q79" i="104"/>
  <c r="R79" i="104"/>
  <c r="V49" i="104"/>
  <c r="V50" i="104"/>
  <c r="U50" i="104" s="1"/>
  <c r="V51" i="104"/>
  <c r="V52" i="104"/>
  <c r="U52" i="104" s="1"/>
  <c r="V53" i="104"/>
  <c r="V54" i="104"/>
  <c r="U54" i="104" s="1"/>
  <c r="V55" i="104"/>
  <c r="V56" i="104"/>
  <c r="U56" i="104" s="1"/>
  <c r="V57" i="104"/>
  <c r="V58" i="104"/>
  <c r="U58" i="104" s="1"/>
  <c r="V59" i="104"/>
  <c r="U59" i="104" s="1"/>
  <c r="V60" i="104"/>
  <c r="U60" i="104" s="1"/>
  <c r="V61" i="104"/>
  <c r="V62" i="104"/>
  <c r="U62" i="104" s="1"/>
  <c r="V63" i="104"/>
  <c r="V64" i="104"/>
  <c r="U64" i="104" s="1"/>
  <c r="V65" i="104"/>
  <c r="V66" i="104"/>
  <c r="U66" i="104" s="1"/>
  <c r="V67" i="104"/>
  <c r="U67" i="104" s="1"/>
  <c r="V68" i="104"/>
  <c r="U68" i="104" s="1"/>
  <c r="V69" i="104"/>
  <c r="V70" i="104"/>
  <c r="U70" i="104" s="1"/>
  <c r="V71" i="104"/>
  <c r="V72" i="104"/>
  <c r="U72" i="104" s="1"/>
  <c r="V73" i="104"/>
  <c r="V74" i="104"/>
  <c r="U74" i="104" s="1"/>
  <c r="V75" i="104"/>
  <c r="U75" i="104" s="1"/>
  <c r="V76" i="104"/>
  <c r="U76" i="104" s="1"/>
  <c r="V77" i="104"/>
  <c r="V78" i="104"/>
  <c r="U78" i="104" s="1"/>
  <c r="V79" i="104"/>
  <c r="R62" i="47"/>
  <c r="C49" i="104"/>
  <c r="C47" i="104" s="1"/>
  <c r="I24" i="104" s="1"/>
  <c r="E11" i="104"/>
  <c r="E10" i="104"/>
  <c r="L80" i="104"/>
  <c r="I44" i="104" s="1"/>
  <c r="M80" i="104"/>
  <c r="I41" i="104" s="1"/>
  <c r="N80" i="104"/>
  <c r="I42" i="104" s="1"/>
  <c r="O80" i="104"/>
  <c r="I43" i="104" s="1"/>
  <c r="P49" i="41"/>
  <c r="Q49" i="41"/>
  <c r="R49" i="41"/>
  <c r="P50" i="41"/>
  <c r="Q50" i="41"/>
  <c r="R50" i="41"/>
  <c r="P51" i="41"/>
  <c r="Q51" i="41"/>
  <c r="R51" i="41"/>
  <c r="P52" i="41"/>
  <c r="Q52" i="41"/>
  <c r="R52" i="41"/>
  <c r="P53" i="41"/>
  <c r="Q53" i="41"/>
  <c r="R53" i="41"/>
  <c r="P54" i="41"/>
  <c r="Q54" i="41"/>
  <c r="R54" i="41"/>
  <c r="P55" i="41"/>
  <c r="Q55" i="41"/>
  <c r="R55" i="41"/>
  <c r="P56" i="41"/>
  <c r="Q56" i="41"/>
  <c r="R56" i="41"/>
  <c r="P57" i="41"/>
  <c r="Q57" i="41"/>
  <c r="R57" i="41"/>
  <c r="P58" i="41"/>
  <c r="Q58" i="41"/>
  <c r="R58" i="41"/>
  <c r="P59" i="41"/>
  <c r="Q59" i="41"/>
  <c r="R59" i="41"/>
  <c r="P60" i="41"/>
  <c r="Q60" i="41"/>
  <c r="R60" i="41"/>
  <c r="P61" i="41"/>
  <c r="Q61" i="41"/>
  <c r="R61" i="41"/>
  <c r="P62" i="41"/>
  <c r="Q62" i="41"/>
  <c r="R62" i="41"/>
  <c r="P63" i="41"/>
  <c r="Q63" i="41"/>
  <c r="R63" i="41"/>
  <c r="P64" i="41"/>
  <c r="Q64" i="41"/>
  <c r="R64" i="41"/>
  <c r="P65" i="41"/>
  <c r="Q65" i="41"/>
  <c r="R65" i="41"/>
  <c r="P66" i="41"/>
  <c r="Q66" i="41"/>
  <c r="R66" i="41"/>
  <c r="P67" i="41"/>
  <c r="Q67" i="41"/>
  <c r="R67" i="41"/>
  <c r="P68" i="41"/>
  <c r="Q68" i="41"/>
  <c r="R68" i="41"/>
  <c r="P69" i="41"/>
  <c r="Q69" i="41"/>
  <c r="R69" i="41"/>
  <c r="P70" i="41"/>
  <c r="Q70" i="41"/>
  <c r="R70" i="41"/>
  <c r="P71" i="41"/>
  <c r="Q71" i="41"/>
  <c r="R71" i="41"/>
  <c r="P72" i="41"/>
  <c r="Q72" i="41"/>
  <c r="R72" i="41"/>
  <c r="P73" i="41"/>
  <c r="Q73" i="41"/>
  <c r="R73" i="41"/>
  <c r="P74" i="41"/>
  <c r="Q74" i="41"/>
  <c r="R74" i="41"/>
  <c r="P75" i="41"/>
  <c r="Q75" i="41"/>
  <c r="R75" i="41"/>
  <c r="P76" i="41"/>
  <c r="Q76" i="41"/>
  <c r="R76" i="41"/>
  <c r="P77" i="41"/>
  <c r="Q77" i="41"/>
  <c r="R77" i="41"/>
  <c r="P78" i="41"/>
  <c r="Q78" i="41"/>
  <c r="R78" i="41"/>
  <c r="P79" i="41"/>
  <c r="Q79" i="41"/>
  <c r="R79" i="41"/>
  <c r="V49" i="41"/>
  <c r="V50" i="41"/>
  <c r="U50" i="41" s="1"/>
  <c r="V51" i="41"/>
  <c r="V52" i="41"/>
  <c r="U52" i="41" s="1"/>
  <c r="V53" i="41"/>
  <c r="V54" i="41"/>
  <c r="U54" i="41" s="1"/>
  <c r="V55" i="41"/>
  <c r="V56" i="41"/>
  <c r="U56" i="41" s="1"/>
  <c r="V57" i="41"/>
  <c r="V58" i="41"/>
  <c r="U58" i="41" s="1"/>
  <c r="V59" i="41"/>
  <c r="V60" i="41"/>
  <c r="U60" i="41" s="1"/>
  <c r="V61" i="41"/>
  <c r="U61" i="41" s="1"/>
  <c r="V62" i="41"/>
  <c r="V63" i="41"/>
  <c r="V64" i="41"/>
  <c r="U64" i="41" s="1"/>
  <c r="V65" i="41"/>
  <c r="U65" i="41" s="1"/>
  <c r="V66" i="41"/>
  <c r="V67" i="41"/>
  <c r="V68" i="41"/>
  <c r="U68" i="41" s="1"/>
  <c r="V69" i="41"/>
  <c r="U69" i="41" s="1"/>
  <c r="V70" i="41"/>
  <c r="V71" i="41"/>
  <c r="V72" i="41"/>
  <c r="U72" i="41" s="1"/>
  <c r="V73" i="41"/>
  <c r="U73" i="41" s="1"/>
  <c r="V74" i="41"/>
  <c r="V75" i="41"/>
  <c r="V76" i="41"/>
  <c r="U76" i="41" s="1"/>
  <c r="V77" i="41"/>
  <c r="U77" i="41" s="1"/>
  <c r="V78" i="41"/>
  <c r="V79" i="41"/>
  <c r="M28" i="132"/>
  <c r="N28" i="132" s="1"/>
  <c r="M29" i="132"/>
  <c r="N29" i="132" s="1"/>
  <c r="M30" i="132"/>
  <c r="N30" i="132" s="1"/>
  <c r="I15" i="132"/>
  <c r="I16" i="132"/>
  <c r="M39" i="132" s="1"/>
  <c r="N39" i="132" s="1"/>
  <c r="K44" i="132"/>
  <c r="L41" i="132" s="1"/>
  <c r="N51" i="132"/>
  <c r="N53" i="132"/>
  <c r="C69" i="132"/>
  <c r="J22" i="132" s="1"/>
  <c r="V49" i="40"/>
  <c r="V50" i="40"/>
  <c r="V51" i="40"/>
  <c r="V52" i="40"/>
  <c r="U52" i="40" s="1"/>
  <c r="V53" i="40"/>
  <c r="V54" i="40"/>
  <c r="V55" i="40"/>
  <c r="U55" i="40" s="1"/>
  <c r="V56" i="40"/>
  <c r="U56" i="40" s="1"/>
  <c r="V57" i="40"/>
  <c r="V58" i="40"/>
  <c r="V59" i="40"/>
  <c r="V60" i="40"/>
  <c r="U60" i="40" s="1"/>
  <c r="V61" i="40"/>
  <c r="V62" i="40"/>
  <c r="V63" i="40"/>
  <c r="U63" i="40" s="1"/>
  <c r="V64" i="40"/>
  <c r="U64" i="40" s="1"/>
  <c r="V65" i="40"/>
  <c r="V66" i="40"/>
  <c r="V67" i="40"/>
  <c r="V68" i="40"/>
  <c r="U68" i="40" s="1"/>
  <c r="V69" i="40"/>
  <c r="V70" i="40"/>
  <c r="U70" i="40" s="1"/>
  <c r="V71" i="40"/>
  <c r="V72" i="40"/>
  <c r="U72" i="40" s="1"/>
  <c r="V73" i="40"/>
  <c r="V74" i="40"/>
  <c r="V75" i="40"/>
  <c r="V76" i="40"/>
  <c r="U76" i="40" s="1"/>
  <c r="V77" i="40"/>
  <c r="U77" i="40" s="1"/>
  <c r="V78" i="40"/>
  <c r="V79" i="40"/>
  <c r="P49" i="40"/>
  <c r="Q49" i="40"/>
  <c r="R49" i="40"/>
  <c r="P50" i="40"/>
  <c r="Q50" i="40"/>
  <c r="R50" i="40"/>
  <c r="P51" i="40"/>
  <c r="Q51" i="40"/>
  <c r="R51" i="40"/>
  <c r="P52" i="40"/>
  <c r="Q52" i="40"/>
  <c r="R52" i="40"/>
  <c r="P53" i="40"/>
  <c r="Q53" i="40"/>
  <c r="R53" i="40"/>
  <c r="P54" i="40"/>
  <c r="Q54" i="40"/>
  <c r="R54" i="40"/>
  <c r="P55" i="40"/>
  <c r="Q55" i="40"/>
  <c r="R55" i="40"/>
  <c r="P56" i="40"/>
  <c r="Q56" i="40"/>
  <c r="R56" i="40"/>
  <c r="P57" i="40"/>
  <c r="Q57" i="40"/>
  <c r="R57" i="40"/>
  <c r="P58" i="40"/>
  <c r="Q58" i="40"/>
  <c r="R58" i="40"/>
  <c r="P59" i="40"/>
  <c r="Q59" i="40"/>
  <c r="R59" i="40"/>
  <c r="P60" i="40"/>
  <c r="Q60" i="40"/>
  <c r="R60" i="40"/>
  <c r="P61" i="40"/>
  <c r="Q61" i="40"/>
  <c r="R61" i="40"/>
  <c r="P62" i="40"/>
  <c r="Q62" i="40"/>
  <c r="R62" i="40"/>
  <c r="P63" i="40"/>
  <c r="Q63" i="40"/>
  <c r="R63" i="40"/>
  <c r="P64" i="40"/>
  <c r="Q64" i="40"/>
  <c r="R64" i="40"/>
  <c r="P65" i="40"/>
  <c r="Q65" i="40"/>
  <c r="R65" i="40"/>
  <c r="P66" i="40"/>
  <c r="Q66" i="40"/>
  <c r="R66" i="40"/>
  <c r="P67" i="40"/>
  <c r="Q67" i="40"/>
  <c r="R67" i="40"/>
  <c r="P68" i="40"/>
  <c r="Q68" i="40"/>
  <c r="R68" i="40"/>
  <c r="P69" i="40"/>
  <c r="Q69" i="40"/>
  <c r="R69" i="40"/>
  <c r="P70" i="40"/>
  <c r="Q70" i="40"/>
  <c r="R70" i="40"/>
  <c r="P71" i="40"/>
  <c r="Q71" i="40"/>
  <c r="R71" i="40"/>
  <c r="P72" i="40"/>
  <c r="Q72" i="40"/>
  <c r="R72" i="40"/>
  <c r="P73" i="40"/>
  <c r="Q73" i="40"/>
  <c r="R73" i="40"/>
  <c r="P74" i="40"/>
  <c r="Q74" i="40"/>
  <c r="R74" i="40"/>
  <c r="P75" i="40"/>
  <c r="Q75" i="40"/>
  <c r="R75" i="40"/>
  <c r="P76" i="40"/>
  <c r="Q76" i="40"/>
  <c r="R76" i="40"/>
  <c r="P77" i="40"/>
  <c r="Q77" i="40"/>
  <c r="R77" i="40"/>
  <c r="P78" i="40"/>
  <c r="Q78" i="40"/>
  <c r="R78" i="40"/>
  <c r="P79" i="40"/>
  <c r="Q79" i="40"/>
  <c r="R79" i="40"/>
  <c r="V49" i="39"/>
  <c r="U49" i="39" s="1"/>
  <c r="V50" i="39"/>
  <c r="V51" i="39"/>
  <c r="V52" i="39"/>
  <c r="U52" i="39" s="1"/>
  <c r="V53" i="39"/>
  <c r="V54" i="39"/>
  <c r="V55" i="39"/>
  <c r="V56" i="39"/>
  <c r="U56" i="39" s="1"/>
  <c r="V57" i="39"/>
  <c r="U57" i="39" s="1"/>
  <c r="V58" i="39"/>
  <c r="V59" i="39"/>
  <c r="V60" i="39"/>
  <c r="U60" i="39" s="1"/>
  <c r="V61" i="39"/>
  <c r="V62" i="39"/>
  <c r="V63" i="39"/>
  <c r="V64" i="39"/>
  <c r="U64" i="39" s="1"/>
  <c r="V65" i="39"/>
  <c r="V66" i="39"/>
  <c r="V67" i="39"/>
  <c r="V68" i="39"/>
  <c r="U68" i="39" s="1"/>
  <c r="V69" i="39"/>
  <c r="V70" i="39"/>
  <c r="V71" i="39"/>
  <c r="V72" i="39"/>
  <c r="U72" i="39" s="1"/>
  <c r="V73" i="39"/>
  <c r="V74" i="39"/>
  <c r="V75" i="39"/>
  <c r="V76" i="39"/>
  <c r="U76" i="39" s="1"/>
  <c r="V77" i="39"/>
  <c r="V78" i="39"/>
  <c r="P49" i="39"/>
  <c r="Q49" i="39"/>
  <c r="R49" i="39"/>
  <c r="P50" i="39"/>
  <c r="Q50" i="39"/>
  <c r="R50" i="39"/>
  <c r="P51" i="39"/>
  <c r="Q51" i="39"/>
  <c r="R51" i="39"/>
  <c r="P52" i="39"/>
  <c r="Q52" i="39"/>
  <c r="R52" i="39"/>
  <c r="P53" i="39"/>
  <c r="Q53" i="39"/>
  <c r="R53" i="39"/>
  <c r="P54" i="39"/>
  <c r="Q54" i="39"/>
  <c r="R54" i="39"/>
  <c r="P55" i="39"/>
  <c r="Q55" i="39"/>
  <c r="R55" i="39"/>
  <c r="P56" i="39"/>
  <c r="Q56" i="39"/>
  <c r="R56" i="39"/>
  <c r="P57" i="39"/>
  <c r="Q57" i="39"/>
  <c r="R57" i="39"/>
  <c r="P58" i="39"/>
  <c r="Q58" i="39"/>
  <c r="R58" i="39"/>
  <c r="P59" i="39"/>
  <c r="Q59" i="39"/>
  <c r="R59" i="39"/>
  <c r="P60" i="39"/>
  <c r="Q60" i="39"/>
  <c r="R60" i="39"/>
  <c r="P61" i="39"/>
  <c r="Q61" i="39"/>
  <c r="R61" i="39"/>
  <c r="P62" i="39"/>
  <c r="Q62" i="39"/>
  <c r="R62" i="39"/>
  <c r="P63" i="39"/>
  <c r="Q63" i="39"/>
  <c r="R63" i="39"/>
  <c r="P64" i="39"/>
  <c r="Q64" i="39"/>
  <c r="R64" i="39"/>
  <c r="P65" i="39"/>
  <c r="Q65" i="39"/>
  <c r="R65" i="39"/>
  <c r="P66" i="39"/>
  <c r="Q66" i="39"/>
  <c r="R66" i="39"/>
  <c r="P67" i="39"/>
  <c r="Q67" i="39"/>
  <c r="R67" i="39"/>
  <c r="P68" i="39"/>
  <c r="Q68" i="39"/>
  <c r="R68" i="39"/>
  <c r="P69" i="39"/>
  <c r="Q69" i="39"/>
  <c r="R69" i="39"/>
  <c r="P70" i="39"/>
  <c r="Q70" i="39"/>
  <c r="R70" i="39"/>
  <c r="P71" i="39"/>
  <c r="Q71" i="39"/>
  <c r="R71" i="39"/>
  <c r="P72" i="39"/>
  <c r="Q72" i="39"/>
  <c r="R72" i="39"/>
  <c r="P73" i="39"/>
  <c r="Q73" i="39"/>
  <c r="R73" i="39"/>
  <c r="P74" i="39"/>
  <c r="E74" i="39" s="1"/>
  <c r="Q74" i="39"/>
  <c r="R74" i="39"/>
  <c r="P75" i="39"/>
  <c r="Q75" i="39"/>
  <c r="R75" i="39"/>
  <c r="P76" i="39"/>
  <c r="Q76" i="39"/>
  <c r="R76" i="39"/>
  <c r="P77" i="39"/>
  <c r="Q77" i="39"/>
  <c r="R77" i="39"/>
  <c r="P78" i="39"/>
  <c r="Q78" i="39"/>
  <c r="R78" i="39"/>
  <c r="V49" i="38"/>
  <c r="V50" i="38"/>
  <c r="V51" i="38"/>
  <c r="V52" i="38"/>
  <c r="U52" i="38" s="1"/>
  <c r="V53" i="38"/>
  <c r="V54" i="38"/>
  <c r="U54" i="38" s="1"/>
  <c r="V55" i="38"/>
  <c r="V56" i="38"/>
  <c r="U56" i="38" s="1"/>
  <c r="V57" i="38"/>
  <c r="V58" i="38"/>
  <c r="U58" i="38" s="1"/>
  <c r="V59" i="38"/>
  <c r="V60" i="38"/>
  <c r="U60" i="38" s="1"/>
  <c r="V61" i="38"/>
  <c r="V62" i="38"/>
  <c r="V63" i="38"/>
  <c r="V64" i="38"/>
  <c r="U64" i="38" s="1"/>
  <c r="V65" i="38"/>
  <c r="V66" i="38"/>
  <c r="V67" i="38"/>
  <c r="V68" i="38"/>
  <c r="U68" i="38" s="1"/>
  <c r="V69" i="38"/>
  <c r="V70" i="38"/>
  <c r="V71" i="38"/>
  <c r="V72" i="38"/>
  <c r="U72" i="38" s="1"/>
  <c r="V73" i="38"/>
  <c r="V74" i="38"/>
  <c r="V75" i="38"/>
  <c r="U75" i="38" s="1"/>
  <c r="V76" i="38"/>
  <c r="U76" i="38" s="1"/>
  <c r="V77" i="38"/>
  <c r="V78" i="38"/>
  <c r="V79" i="38"/>
  <c r="P49" i="38"/>
  <c r="Q49" i="38"/>
  <c r="R49" i="38"/>
  <c r="P50" i="38"/>
  <c r="Q50" i="38"/>
  <c r="R50" i="38"/>
  <c r="P51" i="38"/>
  <c r="Q51" i="38"/>
  <c r="R51" i="38"/>
  <c r="P52" i="38"/>
  <c r="Q52" i="38"/>
  <c r="R52" i="38"/>
  <c r="P53" i="38"/>
  <c r="Q53" i="38"/>
  <c r="R53" i="38"/>
  <c r="P54" i="38"/>
  <c r="Q54" i="38"/>
  <c r="R54" i="38"/>
  <c r="P55" i="38"/>
  <c r="Q55" i="38"/>
  <c r="R55" i="38"/>
  <c r="P56" i="38"/>
  <c r="Q56" i="38"/>
  <c r="R56" i="38"/>
  <c r="P57" i="38"/>
  <c r="Q57" i="38"/>
  <c r="R57" i="38"/>
  <c r="P58" i="38"/>
  <c r="Q58" i="38"/>
  <c r="R58" i="38"/>
  <c r="P59" i="38"/>
  <c r="Q59" i="38"/>
  <c r="R59" i="38"/>
  <c r="P60" i="38"/>
  <c r="Q60" i="38"/>
  <c r="R60" i="38"/>
  <c r="P61" i="38"/>
  <c r="Q61" i="38"/>
  <c r="R61" i="38"/>
  <c r="P62" i="38"/>
  <c r="Q62" i="38"/>
  <c r="R62" i="38"/>
  <c r="P63" i="38"/>
  <c r="Q63" i="38"/>
  <c r="R63" i="38"/>
  <c r="P64" i="38"/>
  <c r="Q64" i="38"/>
  <c r="R64" i="38"/>
  <c r="P65" i="38"/>
  <c r="Q65" i="38"/>
  <c r="R65" i="38"/>
  <c r="P66" i="38"/>
  <c r="Q66" i="38"/>
  <c r="R66" i="38"/>
  <c r="P67" i="38"/>
  <c r="Q67" i="38"/>
  <c r="R67" i="38"/>
  <c r="P68" i="38"/>
  <c r="Q68" i="38"/>
  <c r="R68" i="38"/>
  <c r="P69" i="38"/>
  <c r="Q69" i="38"/>
  <c r="R69" i="38"/>
  <c r="P70" i="38"/>
  <c r="Q70" i="38"/>
  <c r="R70" i="38"/>
  <c r="P71" i="38"/>
  <c r="Q71" i="38"/>
  <c r="R71" i="38"/>
  <c r="P72" i="38"/>
  <c r="Q72" i="38"/>
  <c r="R72" i="38"/>
  <c r="P73" i="38"/>
  <c r="Q73" i="38"/>
  <c r="R73" i="38"/>
  <c r="P74" i="38"/>
  <c r="Q74" i="38"/>
  <c r="R74" i="38"/>
  <c r="P75" i="38"/>
  <c r="Q75" i="38"/>
  <c r="R75" i="38"/>
  <c r="P76" i="38"/>
  <c r="Q76" i="38"/>
  <c r="R76" i="38"/>
  <c r="P77" i="38"/>
  <c r="Q77" i="38"/>
  <c r="R77" i="38"/>
  <c r="P78" i="38"/>
  <c r="Q78" i="38"/>
  <c r="R78" i="38"/>
  <c r="P79" i="38"/>
  <c r="Q79" i="38"/>
  <c r="R79" i="38"/>
  <c r="V49" i="37"/>
  <c r="V50" i="37"/>
  <c r="V51" i="37"/>
  <c r="V52" i="37"/>
  <c r="U52" i="37" s="1"/>
  <c r="V53" i="37"/>
  <c r="V54" i="37"/>
  <c r="U54" i="37" s="1"/>
  <c r="V55" i="37"/>
  <c r="V56" i="37"/>
  <c r="U56" i="37" s="1"/>
  <c r="V57" i="37"/>
  <c r="V58" i="37"/>
  <c r="U58" i="37" s="1"/>
  <c r="V59" i="37"/>
  <c r="V60" i="37"/>
  <c r="U60" i="37" s="1"/>
  <c r="V61" i="37"/>
  <c r="U61" i="37" s="1"/>
  <c r="V62" i="37"/>
  <c r="U62" i="37" s="1"/>
  <c r="V63" i="37"/>
  <c r="V64" i="37"/>
  <c r="U64" i="37" s="1"/>
  <c r="V65" i="37"/>
  <c r="V66" i="37"/>
  <c r="V67" i="37"/>
  <c r="V68" i="37"/>
  <c r="U68" i="37" s="1"/>
  <c r="V69" i="37"/>
  <c r="U69" i="37" s="1"/>
  <c r="V70" i="37"/>
  <c r="U70" i="37" s="1"/>
  <c r="V71" i="37"/>
  <c r="V72" i="37"/>
  <c r="U72" i="37" s="1"/>
  <c r="V73" i="37"/>
  <c r="V74" i="37"/>
  <c r="U74" i="37" s="1"/>
  <c r="V75" i="37"/>
  <c r="V76" i="37"/>
  <c r="U76" i="37" s="1"/>
  <c r="V77" i="37"/>
  <c r="U77" i="37" s="1"/>
  <c r="V78" i="37"/>
  <c r="U78" i="37" s="1"/>
  <c r="P49" i="37"/>
  <c r="Q49" i="37"/>
  <c r="R49" i="37"/>
  <c r="P50" i="37"/>
  <c r="Q50" i="37"/>
  <c r="R50" i="37"/>
  <c r="P51" i="37"/>
  <c r="Q51" i="37"/>
  <c r="R51" i="37"/>
  <c r="P52" i="37"/>
  <c r="Q52" i="37"/>
  <c r="R52" i="37"/>
  <c r="W52" i="37" s="1"/>
  <c r="X52" i="37" s="1"/>
  <c r="P53" i="37"/>
  <c r="Q53" i="37"/>
  <c r="R53" i="37"/>
  <c r="E53" i="37" s="1"/>
  <c r="P54" i="37"/>
  <c r="Q54" i="37"/>
  <c r="R54" i="37"/>
  <c r="P55" i="37"/>
  <c r="Q55" i="37"/>
  <c r="R55" i="37"/>
  <c r="P56" i="37"/>
  <c r="Q56" i="37"/>
  <c r="R56" i="37"/>
  <c r="P57" i="37"/>
  <c r="Q57" i="37"/>
  <c r="R57" i="37"/>
  <c r="P58" i="37"/>
  <c r="Q58" i="37"/>
  <c r="R58" i="37"/>
  <c r="P59" i="37"/>
  <c r="Q59" i="37"/>
  <c r="R59" i="37"/>
  <c r="P60" i="37"/>
  <c r="Q60" i="37"/>
  <c r="R60" i="37"/>
  <c r="P61" i="37"/>
  <c r="Q61" i="37"/>
  <c r="R61" i="37"/>
  <c r="P62" i="37"/>
  <c r="Q62" i="37"/>
  <c r="R62" i="37"/>
  <c r="P63" i="37"/>
  <c r="Q63" i="37"/>
  <c r="W63" i="37" s="1"/>
  <c r="X63" i="37" s="1"/>
  <c r="R63" i="37"/>
  <c r="P64" i="37"/>
  <c r="Q64" i="37"/>
  <c r="R64" i="37"/>
  <c r="P65" i="37"/>
  <c r="Q65" i="37"/>
  <c r="R65" i="37"/>
  <c r="P66" i="37"/>
  <c r="Q66" i="37"/>
  <c r="R66" i="37"/>
  <c r="P67" i="37"/>
  <c r="Q67" i="37"/>
  <c r="E67" i="37" s="1"/>
  <c r="R67" i="37"/>
  <c r="P68" i="37"/>
  <c r="Q68" i="37"/>
  <c r="R68" i="37"/>
  <c r="P69" i="37"/>
  <c r="Q69" i="37"/>
  <c r="R69" i="37"/>
  <c r="P70" i="37"/>
  <c r="Q70" i="37"/>
  <c r="R70" i="37"/>
  <c r="P71" i="37"/>
  <c r="Q71" i="37"/>
  <c r="E71" i="37" s="1"/>
  <c r="R71" i="37"/>
  <c r="P72" i="37"/>
  <c r="Q72" i="37"/>
  <c r="R72" i="37"/>
  <c r="P73" i="37"/>
  <c r="Q73" i="37"/>
  <c r="R73" i="37"/>
  <c r="P74" i="37"/>
  <c r="Q74" i="37"/>
  <c r="R74" i="37"/>
  <c r="P75" i="37"/>
  <c r="Q75" i="37"/>
  <c r="E75" i="37" s="1"/>
  <c r="R75" i="37"/>
  <c r="P76" i="37"/>
  <c r="Q76" i="37"/>
  <c r="R76" i="37"/>
  <c r="P77" i="37"/>
  <c r="Q77" i="37"/>
  <c r="R77" i="37"/>
  <c r="P78" i="37"/>
  <c r="E78" i="37" s="1"/>
  <c r="Q78" i="37"/>
  <c r="R78" i="37"/>
  <c r="V49" i="36"/>
  <c r="V50" i="36"/>
  <c r="U50" i="36" s="1"/>
  <c r="V51" i="36"/>
  <c r="V52" i="36"/>
  <c r="U52" i="36" s="1"/>
  <c r="V53" i="36"/>
  <c r="V54" i="36"/>
  <c r="V55" i="36"/>
  <c r="V56" i="36"/>
  <c r="U56" i="36" s="1"/>
  <c r="V57" i="36"/>
  <c r="V58" i="36"/>
  <c r="U58" i="36" s="1"/>
  <c r="V59" i="36"/>
  <c r="V60" i="36"/>
  <c r="U60" i="36" s="1"/>
  <c r="V61" i="36"/>
  <c r="V62" i="36"/>
  <c r="U62" i="36" s="1"/>
  <c r="V63" i="36"/>
  <c r="V64" i="36"/>
  <c r="U64" i="36" s="1"/>
  <c r="V65" i="36"/>
  <c r="V66" i="36"/>
  <c r="U66" i="36" s="1"/>
  <c r="V67" i="36"/>
  <c r="U67" i="36" s="1"/>
  <c r="V68" i="36"/>
  <c r="U68" i="36" s="1"/>
  <c r="V69" i="36"/>
  <c r="V70" i="36"/>
  <c r="U70" i="36" s="1"/>
  <c r="V71" i="36"/>
  <c r="V72" i="36"/>
  <c r="U72" i="36" s="1"/>
  <c r="V73" i="36"/>
  <c r="V74" i="36"/>
  <c r="U74" i="36" s="1"/>
  <c r="V75" i="36"/>
  <c r="V76" i="36"/>
  <c r="U76" i="36"/>
  <c r="V77" i="36"/>
  <c r="U77" i="36" s="1"/>
  <c r="V78" i="36"/>
  <c r="V79" i="36"/>
  <c r="P49" i="36"/>
  <c r="Q49" i="36"/>
  <c r="R49" i="36"/>
  <c r="P50" i="36"/>
  <c r="Q50" i="36"/>
  <c r="R50" i="36"/>
  <c r="P51" i="36"/>
  <c r="Q51" i="36"/>
  <c r="R51" i="36"/>
  <c r="P52" i="36"/>
  <c r="W52" i="36" s="1"/>
  <c r="Q52" i="36"/>
  <c r="R52" i="36"/>
  <c r="P53" i="36"/>
  <c r="Q53" i="36"/>
  <c r="R53" i="36"/>
  <c r="P54" i="36"/>
  <c r="Q54" i="36"/>
  <c r="R54" i="36"/>
  <c r="P55" i="36"/>
  <c r="Q55" i="36"/>
  <c r="R55" i="36"/>
  <c r="P56" i="36"/>
  <c r="E56" i="36" s="1"/>
  <c r="Q56" i="36"/>
  <c r="R56" i="36"/>
  <c r="P57" i="36"/>
  <c r="Q57" i="36"/>
  <c r="R57" i="36"/>
  <c r="P58" i="36"/>
  <c r="Q58" i="36"/>
  <c r="R58" i="36"/>
  <c r="P59" i="36"/>
  <c r="Q59" i="36"/>
  <c r="R59" i="36"/>
  <c r="P60" i="36"/>
  <c r="Q60" i="36"/>
  <c r="R60" i="36"/>
  <c r="P61" i="36"/>
  <c r="Q61" i="36"/>
  <c r="R61" i="36"/>
  <c r="P62" i="36"/>
  <c r="Q62" i="36"/>
  <c r="R62" i="36"/>
  <c r="P63" i="36"/>
  <c r="Q63" i="36"/>
  <c r="R63" i="36"/>
  <c r="P64" i="36"/>
  <c r="Q64" i="36"/>
  <c r="R64" i="36"/>
  <c r="P65" i="36"/>
  <c r="Q65" i="36"/>
  <c r="R65" i="36"/>
  <c r="P66" i="36"/>
  <c r="Q66" i="36"/>
  <c r="R66" i="36"/>
  <c r="P67" i="36"/>
  <c r="Q67" i="36"/>
  <c r="R67" i="36"/>
  <c r="P68" i="36"/>
  <c r="W68" i="36" s="1"/>
  <c r="X68" i="36" s="1"/>
  <c r="Q68" i="36"/>
  <c r="R68" i="36"/>
  <c r="P69" i="36"/>
  <c r="Q69" i="36"/>
  <c r="R69" i="36"/>
  <c r="P70" i="36"/>
  <c r="Q70" i="36"/>
  <c r="R70" i="36"/>
  <c r="P71" i="36"/>
  <c r="Q71" i="36"/>
  <c r="R71" i="36"/>
  <c r="P72" i="36"/>
  <c r="E72" i="36" s="1"/>
  <c r="Q72" i="36"/>
  <c r="R72" i="36"/>
  <c r="P73" i="36"/>
  <c r="Q73" i="36"/>
  <c r="R73" i="36"/>
  <c r="P74" i="36"/>
  <c r="Q74" i="36"/>
  <c r="R74" i="36"/>
  <c r="P75" i="36"/>
  <c r="Q75" i="36"/>
  <c r="R75" i="36"/>
  <c r="P76" i="36"/>
  <c r="Q76" i="36"/>
  <c r="R76" i="36"/>
  <c r="P77" i="36"/>
  <c r="Q77" i="36"/>
  <c r="R77" i="36"/>
  <c r="P78" i="36"/>
  <c r="Q78" i="36"/>
  <c r="R78" i="36"/>
  <c r="P79" i="36"/>
  <c r="Q79" i="36"/>
  <c r="R79" i="36"/>
  <c r="V49" i="35"/>
  <c r="U49" i="35" s="1"/>
  <c r="V50" i="35"/>
  <c r="V51" i="35"/>
  <c r="U51" i="35" s="1"/>
  <c r="V52" i="35"/>
  <c r="U52" i="35" s="1"/>
  <c r="V53" i="35"/>
  <c r="U53" i="35" s="1"/>
  <c r="V54" i="35"/>
  <c r="U54" i="35" s="1"/>
  <c r="V55" i="35"/>
  <c r="U55" i="35" s="1"/>
  <c r="V56" i="35"/>
  <c r="U56" i="35" s="1"/>
  <c r="V57" i="35"/>
  <c r="V58" i="35"/>
  <c r="V59" i="35"/>
  <c r="U59" i="35" s="1"/>
  <c r="V60" i="35"/>
  <c r="U60" i="35" s="1"/>
  <c r="V61" i="35"/>
  <c r="U61" i="35" s="1"/>
  <c r="V62" i="35"/>
  <c r="V63" i="35"/>
  <c r="V64" i="35"/>
  <c r="U64" i="35" s="1"/>
  <c r="V65" i="35"/>
  <c r="U65" i="35" s="1"/>
  <c r="V66" i="35"/>
  <c r="V67" i="35"/>
  <c r="U67" i="35" s="1"/>
  <c r="V68" i="35"/>
  <c r="U68" i="35" s="1"/>
  <c r="V69" i="35"/>
  <c r="U69" i="35" s="1"/>
  <c r="V70" i="35"/>
  <c r="U70" i="35" s="1"/>
  <c r="V71" i="35"/>
  <c r="V72" i="35"/>
  <c r="U72" i="35" s="1"/>
  <c r="V73" i="35"/>
  <c r="U73" i="35" s="1"/>
  <c r="V74" i="35"/>
  <c r="V75" i="35"/>
  <c r="V76" i="35"/>
  <c r="U76" i="35" s="1"/>
  <c r="V77" i="35"/>
  <c r="U77" i="35" s="1"/>
  <c r="P49" i="35"/>
  <c r="Q49" i="35"/>
  <c r="R49" i="35"/>
  <c r="P50" i="35"/>
  <c r="E50" i="35" s="1"/>
  <c r="Q50" i="35"/>
  <c r="R50" i="35"/>
  <c r="P51" i="35"/>
  <c r="Q51" i="35"/>
  <c r="E51" i="35" s="1"/>
  <c r="R51" i="35"/>
  <c r="P52" i="35"/>
  <c r="Q52" i="35"/>
  <c r="R52" i="35"/>
  <c r="P53" i="35"/>
  <c r="Q53" i="35"/>
  <c r="R53" i="35"/>
  <c r="P54" i="35"/>
  <c r="W54" i="35" s="1"/>
  <c r="X54" i="35" s="1"/>
  <c r="Q54" i="35"/>
  <c r="R54" i="35"/>
  <c r="P55" i="35"/>
  <c r="Q55" i="35"/>
  <c r="R55" i="35"/>
  <c r="P56" i="35"/>
  <c r="Q56" i="35"/>
  <c r="R56" i="35"/>
  <c r="P57" i="35"/>
  <c r="Q57" i="35"/>
  <c r="R57" i="35"/>
  <c r="P58" i="35"/>
  <c r="Q58" i="35"/>
  <c r="R58" i="35"/>
  <c r="P59" i="35"/>
  <c r="Q59" i="35"/>
  <c r="R59" i="35"/>
  <c r="P60" i="35"/>
  <c r="Q60" i="35"/>
  <c r="R60" i="35"/>
  <c r="P61" i="35"/>
  <c r="Q61" i="35"/>
  <c r="R61" i="35"/>
  <c r="P62" i="35"/>
  <c r="E62" i="35" s="1"/>
  <c r="Q62" i="35"/>
  <c r="R62" i="35"/>
  <c r="P63" i="35"/>
  <c r="Q63" i="35"/>
  <c r="R63" i="35"/>
  <c r="P64" i="35"/>
  <c r="Q64" i="35"/>
  <c r="R64" i="35"/>
  <c r="P65" i="35"/>
  <c r="Q65" i="35"/>
  <c r="R65" i="35"/>
  <c r="P66" i="35"/>
  <c r="Q66" i="35"/>
  <c r="R66" i="35"/>
  <c r="P67" i="35"/>
  <c r="Q67" i="35"/>
  <c r="R67" i="35"/>
  <c r="P68" i="35"/>
  <c r="Q68" i="35"/>
  <c r="R68" i="35"/>
  <c r="P69" i="35"/>
  <c r="Q69" i="35"/>
  <c r="R69" i="35"/>
  <c r="P70" i="35"/>
  <c r="W70" i="35" s="1"/>
  <c r="X70" i="35" s="1"/>
  <c r="Q70" i="35"/>
  <c r="R70" i="35"/>
  <c r="P71" i="35"/>
  <c r="Q71" i="35"/>
  <c r="R71" i="35"/>
  <c r="P72" i="35"/>
  <c r="Q72" i="35"/>
  <c r="R72" i="35"/>
  <c r="P73" i="35"/>
  <c r="Q73" i="35"/>
  <c r="R73" i="35"/>
  <c r="P74" i="35"/>
  <c r="Q74" i="35"/>
  <c r="R74" i="35"/>
  <c r="P75" i="35"/>
  <c r="Q75" i="35"/>
  <c r="R75" i="35"/>
  <c r="P76" i="35"/>
  <c r="Q76" i="35"/>
  <c r="R76" i="35"/>
  <c r="P77" i="35"/>
  <c r="Q77" i="35"/>
  <c r="R77" i="35"/>
  <c r="V88" i="91"/>
  <c r="U88" i="91" s="1"/>
  <c r="P48" i="34"/>
  <c r="Q48" i="34"/>
  <c r="R48" i="34"/>
  <c r="P49" i="34"/>
  <c r="Q49" i="34"/>
  <c r="R49" i="34"/>
  <c r="P50" i="34"/>
  <c r="Q50" i="34"/>
  <c r="R50" i="34"/>
  <c r="P51" i="34"/>
  <c r="Q51" i="34"/>
  <c r="R51" i="34"/>
  <c r="P52" i="34"/>
  <c r="Q52" i="34"/>
  <c r="R52" i="34"/>
  <c r="P53" i="34"/>
  <c r="E53" i="34" s="1"/>
  <c r="Q53" i="34"/>
  <c r="R53" i="34"/>
  <c r="P54" i="34"/>
  <c r="Q54" i="34"/>
  <c r="R54" i="34"/>
  <c r="P55" i="34"/>
  <c r="Q55" i="34"/>
  <c r="R55" i="34"/>
  <c r="P56" i="34"/>
  <c r="Q56" i="34"/>
  <c r="R56" i="34"/>
  <c r="P57" i="34"/>
  <c r="Q57" i="34"/>
  <c r="R57" i="34"/>
  <c r="P58" i="34"/>
  <c r="Q58" i="34"/>
  <c r="E58" i="34" s="1"/>
  <c r="R58" i="34"/>
  <c r="P59" i="34"/>
  <c r="Q59" i="34"/>
  <c r="R59" i="34"/>
  <c r="P60" i="34"/>
  <c r="Q60" i="34"/>
  <c r="R60" i="34"/>
  <c r="P61" i="34"/>
  <c r="Q61" i="34"/>
  <c r="R61" i="34"/>
  <c r="P62" i="34"/>
  <c r="Q62" i="34"/>
  <c r="R62" i="34"/>
  <c r="P63" i="34"/>
  <c r="Q63" i="34"/>
  <c r="R63" i="34"/>
  <c r="P64" i="34"/>
  <c r="Q64" i="34"/>
  <c r="R64" i="34"/>
  <c r="P65" i="34"/>
  <c r="E65" i="34" s="1"/>
  <c r="Q65" i="34"/>
  <c r="R65" i="34"/>
  <c r="P66" i="34"/>
  <c r="Q66" i="34"/>
  <c r="R66" i="34"/>
  <c r="P67" i="34"/>
  <c r="Q67" i="34"/>
  <c r="R67" i="34"/>
  <c r="P68" i="34"/>
  <c r="Q68" i="34"/>
  <c r="R68" i="34"/>
  <c r="P69" i="34"/>
  <c r="Q69" i="34"/>
  <c r="R69" i="34"/>
  <c r="P70" i="34"/>
  <c r="Q70" i="34"/>
  <c r="R70" i="34"/>
  <c r="P71" i="34"/>
  <c r="Q71" i="34"/>
  <c r="R71" i="34"/>
  <c r="P72" i="34"/>
  <c r="Q72" i="34"/>
  <c r="R72" i="34"/>
  <c r="P73" i="34"/>
  <c r="Q73" i="34"/>
  <c r="R73" i="34"/>
  <c r="P74" i="34"/>
  <c r="Q74" i="34"/>
  <c r="R74" i="34"/>
  <c r="P75" i="34"/>
  <c r="Q75" i="34"/>
  <c r="R75" i="34"/>
  <c r="P76" i="34"/>
  <c r="Q76" i="34"/>
  <c r="R76" i="34"/>
  <c r="P77" i="34"/>
  <c r="Q77" i="34"/>
  <c r="R77" i="34"/>
  <c r="P78" i="34"/>
  <c r="Q78" i="34"/>
  <c r="R78" i="34"/>
  <c r="V49" i="42"/>
  <c r="V50" i="42"/>
  <c r="U50" i="42" s="1"/>
  <c r="V51" i="42"/>
  <c r="U51" i="42" s="1"/>
  <c r="V52" i="42"/>
  <c r="V53" i="42"/>
  <c r="U53" i="42" s="1"/>
  <c r="V54" i="42"/>
  <c r="U54" i="42" s="1"/>
  <c r="V55" i="42"/>
  <c r="U55" i="42" s="1"/>
  <c r="V56" i="42"/>
  <c r="T27" i="47" s="1"/>
  <c r="V57" i="42"/>
  <c r="U57" i="42" s="1"/>
  <c r="V58" i="42"/>
  <c r="U58" i="42" s="1"/>
  <c r="V59" i="42"/>
  <c r="U59" i="42" s="1"/>
  <c r="V60" i="42"/>
  <c r="V61" i="42"/>
  <c r="U61" i="42" s="1"/>
  <c r="V62" i="42"/>
  <c r="U62" i="42"/>
  <c r="V63" i="42"/>
  <c r="V64" i="42"/>
  <c r="V65" i="42"/>
  <c r="V66" i="42"/>
  <c r="U66" i="42" s="1"/>
  <c r="V67" i="42"/>
  <c r="V68" i="42"/>
  <c r="V69" i="42"/>
  <c r="U69" i="42" s="1"/>
  <c r="V70" i="42"/>
  <c r="U70" i="42" s="1"/>
  <c r="V71" i="42"/>
  <c r="V72" i="42"/>
  <c r="V73" i="42"/>
  <c r="U73" i="42" s="1"/>
  <c r="V74" i="42"/>
  <c r="U74" i="42" s="1"/>
  <c r="V75" i="42"/>
  <c r="V76" i="42"/>
  <c r="V77" i="42"/>
  <c r="U77" i="42" s="1"/>
  <c r="V78" i="42"/>
  <c r="U78" i="42" s="1"/>
  <c r="P49" i="42"/>
  <c r="Q49" i="42"/>
  <c r="R49" i="42"/>
  <c r="P50" i="42"/>
  <c r="E50" i="42" s="1"/>
  <c r="Q50" i="42"/>
  <c r="R50" i="42"/>
  <c r="P51" i="42"/>
  <c r="Q51" i="42"/>
  <c r="R51" i="42"/>
  <c r="P52" i="42"/>
  <c r="Q52" i="42"/>
  <c r="R52" i="42"/>
  <c r="P53" i="42"/>
  <c r="Q53" i="42"/>
  <c r="R53" i="42"/>
  <c r="P54" i="42"/>
  <c r="Q54" i="42"/>
  <c r="R54" i="42"/>
  <c r="P55" i="42"/>
  <c r="Q55" i="42"/>
  <c r="R55" i="42"/>
  <c r="P56" i="42"/>
  <c r="Q56" i="42"/>
  <c r="R56" i="42"/>
  <c r="P57" i="42"/>
  <c r="Q57" i="42"/>
  <c r="R57" i="42"/>
  <c r="P58" i="42"/>
  <c r="Q58" i="42"/>
  <c r="R58" i="42"/>
  <c r="P59" i="42"/>
  <c r="Q59" i="42"/>
  <c r="R59" i="42"/>
  <c r="P60" i="42"/>
  <c r="Q60" i="42"/>
  <c r="R60" i="42"/>
  <c r="P61" i="42"/>
  <c r="Q61" i="42"/>
  <c r="R61" i="42"/>
  <c r="P62" i="42"/>
  <c r="Q62" i="42"/>
  <c r="R62" i="42"/>
  <c r="P63" i="42"/>
  <c r="Q63" i="42"/>
  <c r="R63" i="42"/>
  <c r="P64" i="42"/>
  <c r="Q64" i="42"/>
  <c r="R64" i="42"/>
  <c r="P65" i="42"/>
  <c r="Q65" i="42"/>
  <c r="R65" i="42"/>
  <c r="P66" i="42"/>
  <c r="Q66" i="42"/>
  <c r="R66" i="42"/>
  <c r="P67" i="42"/>
  <c r="Q67" i="42"/>
  <c r="R67" i="42"/>
  <c r="P68" i="42"/>
  <c r="Q68" i="42"/>
  <c r="R68" i="42"/>
  <c r="P69" i="42"/>
  <c r="Q69" i="42"/>
  <c r="R69" i="42"/>
  <c r="P70" i="42"/>
  <c r="Q70" i="42"/>
  <c r="R70" i="42"/>
  <c r="P71" i="42"/>
  <c r="Q71" i="42"/>
  <c r="R71" i="42"/>
  <c r="P72" i="42"/>
  <c r="Q72" i="42"/>
  <c r="R72" i="42"/>
  <c r="E72" i="42" s="1"/>
  <c r="P73" i="42"/>
  <c r="Q73" i="42"/>
  <c r="R73" i="42"/>
  <c r="P74" i="42"/>
  <c r="Q74" i="42"/>
  <c r="R74" i="42"/>
  <c r="P75" i="42"/>
  <c r="Q75" i="42"/>
  <c r="R75" i="42"/>
  <c r="P76" i="42"/>
  <c r="Q76" i="42"/>
  <c r="R76" i="42"/>
  <c r="P77" i="42"/>
  <c r="Q77" i="42"/>
  <c r="R77" i="42"/>
  <c r="P78" i="42"/>
  <c r="Q78" i="42"/>
  <c r="R78" i="42"/>
  <c r="V49" i="43"/>
  <c r="V50" i="43"/>
  <c r="U50" i="43" s="1"/>
  <c r="V51" i="43"/>
  <c r="V52" i="43"/>
  <c r="V53" i="43"/>
  <c r="U53" i="43" s="1"/>
  <c r="V54" i="43"/>
  <c r="U54" i="43" s="1"/>
  <c r="V55" i="43"/>
  <c r="V56" i="43"/>
  <c r="V57" i="43"/>
  <c r="U57" i="43" s="1"/>
  <c r="V58" i="43"/>
  <c r="U58" i="43" s="1"/>
  <c r="V59" i="43"/>
  <c r="V60" i="43"/>
  <c r="V61" i="43"/>
  <c r="U61" i="43" s="1"/>
  <c r="V62" i="43"/>
  <c r="U62" i="43" s="1"/>
  <c r="V63" i="43"/>
  <c r="V64" i="43"/>
  <c r="V65" i="43"/>
  <c r="V66" i="43"/>
  <c r="U66" i="43" s="1"/>
  <c r="V67" i="43"/>
  <c r="V68" i="43"/>
  <c r="V69" i="43"/>
  <c r="V70" i="43"/>
  <c r="U70" i="43" s="1"/>
  <c r="V71" i="43"/>
  <c r="V72" i="43"/>
  <c r="V73" i="43"/>
  <c r="U73" i="43" s="1"/>
  <c r="V74" i="43"/>
  <c r="U74" i="43" s="1"/>
  <c r="V75" i="43"/>
  <c r="V76" i="43"/>
  <c r="V77" i="43"/>
  <c r="U77" i="43" s="1"/>
  <c r="V78" i="43"/>
  <c r="U78" i="43" s="1"/>
  <c r="V79" i="43"/>
  <c r="P49" i="43"/>
  <c r="Q49" i="43"/>
  <c r="R49" i="43"/>
  <c r="P50" i="43"/>
  <c r="Q50" i="43"/>
  <c r="R50" i="43"/>
  <c r="P51" i="43"/>
  <c r="Q51" i="43"/>
  <c r="R51" i="43"/>
  <c r="P52" i="43"/>
  <c r="Q52" i="43"/>
  <c r="R52" i="43"/>
  <c r="P53" i="43"/>
  <c r="Q53" i="43"/>
  <c r="R53" i="43"/>
  <c r="P54" i="43"/>
  <c r="Q54" i="43"/>
  <c r="R54" i="43"/>
  <c r="P55" i="43"/>
  <c r="Q55" i="43"/>
  <c r="R55" i="43"/>
  <c r="P56" i="43"/>
  <c r="Q56" i="43"/>
  <c r="R56" i="43"/>
  <c r="P57" i="43"/>
  <c r="Q57" i="43"/>
  <c r="R57" i="43"/>
  <c r="P58" i="43"/>
  <c r="Q58" i="43"/>
  <c r="R58" i="43"/>
  <c r="P59" i="43"/>
  <c r="Q59" i="43"/>
  <c r="R59" i="43"/>
  <c r="P60" i="43"/>
  <c r="Q60" i="43"/>
  <c r="R60" i="43"/>
  <c r="P61" i="43"/>
  <c r="Q61" i="43"/>
  <c r="R61" i="43"/>
  <c r="P62" i="43"/>
  <c r="Q62" i="43"/>
  <c r="R62" i="43"/>
  <c r="P63" i="43"/>
  <c r="Q63" i="43"/>
  <c r="R63" i="43"/>
  <c r="P64" i="43"/>
  <c r="Q64" i="43"/>
  <c r="R64" i="43"/>
  <c r="P65" i="43"/>
  <c r="Q65" i="43"/>
  <c r="R65" i="43"/>
  <c r="P66" i="43"/>
  <c r="Q66" i="43"/>
  <c r="R66" i="43"/>
  <c r="P67" i="43"/>
  <c r="Q67" i="43"/>
  <c r="R67" i="43"/>
  <c r="P68" i="43"/>
  <c r="Q68" i="43"/>
  <c r="R68" i="43"/>
  <c r="P69" i="43"/>
  <c r="Q69" i="43"/>
  <c r="R69" i="43"/>
  <c r="P70" i="43"/>
  <c r="Q70" i="43"/>
  <c r="R70" i="43"/>
  <c r="P71" i="43"/>
  <c r="Q71" i="43"/>
  <c r="R71" i="43"/>
  <c r="P72" i="43"/>
  <c r="Q72" i="43"/>
  <c r="R72" i="43"/>
  <c r="P73" i="43"/>
  <c r="Q73" i="43"/>
  <c r="R73" i="43"/>
  <c r="P74" i="43"/>
  <c r="Q74" i="43"/>
  <c r="R74" i="43"/>
  <c r="P75" i="43"/>
  <c r="Q75" i="43"/>
  <c r="R75" i="43"/>
  <c r="P76" i="43"/>
  <c r="Q76" i="43"/>
  <c r="R76" i="43"/>
  <c r="P77" i="43"/>
  <c r="Q77" i="43"/>
  <c r="R77" i="43"/>
  <c r="P78" i="43"/>
  <c r="Q78" i="43"/>
  <c r="R78" i="43"/>
  <c r="P79" i="43"/>
  <c r="Q79" i="43"/>
  <c r="R79" i="43"/>
  <c r="V49" i="44"/>
  <c r="V50" i="44"/>
  <c r="V51" i="44"/>
  <c r="V52" i="44"/>
  <c r="V53" i="44"/>
  <c r="U53" i="44" s="1"/>
  <c r="V54" i="44"/>
  <c r="U54" i="44" s="1"/>
  <c r="V55" i="44"/>
  <c r="V56" i="44"/>
  <c r="V57" i="44"/>
  <c r="V58" i="44"/>
  <c r="U58" i="44" s="1"/>
  <c r="V59" i="44"/>
  <c r="U59" i="44" s="1"/>
  <c r="V60" i="44"/>
  <c r="V61" i="44"/>
  <c r="U61" i="44" s="1"/>
  <c r="V62" i="44"/>
  <c r="U62" i="44" s="1"/>
  <c r="V63" i="44"/>
  <c r="V64" i="44"/>
  <c r="V65" i="44"/>
  <c r="U65" i="44" s="1"/>
  <c r="V66" i="44"/>
  <c r="U66" i="44" s="1"/>
  <c r="V67" i="44"/>
  <c r="V68" i="44"/>
  <c r="V69" i="44"/>
  <c r="U69" i="44" s="1"/>
  <c r="V70" i="44"/>
  <c r="U70" i="44" s="1"/>
  <c r="V71" i="44"/>
  <c r="V72" i="44"/>
  <c r="V73" i="44"/>
  <c r="V74" i="44"/>
  <c r="U74" i="44" s="1"/>
  <c r="V75" i="44"/>
  <c r="U75" i="44" s="1"/>
  <c r="V76" i="44"/>
  <c r="V77" i="44"/>
  <c r="U77" i="44" s="1"/>
  <c r="V78" i="44"/>
  <c r="U78" i="44" s="1"/>
  <c r="V79" i="44"/>
  <c r="P49" i="44"/>
  <c r="Q49" i="44"/>
  <c r="R49" i="44"/>
  <c r="P50" i="44"/>
  <c r="Q50" i="44"/>
  <c r="R50" i="44"/>
  <c r="P51" i="44"/>
  <c r="Q51" i="44"/>
  <c r="R51" i="44"/>
  <c r="P52" i="44"/>
  <c r="Q52" i="44"/>
  <c r="R52" i="44"/>
  <c r="P53" i="44"/>
  <c r="Q53" i="44"/>
  <c r="R53" i="44"/>
  <c r="P54" i="44"/>
  <c r="Q54" i="44"/>
  <c r="R54" i="44"/>
  <c r="P55" i="44"/>
  <c r="Q55" i="44"/>
  <c r="R55" i="44"/>
  <c r="P56" i="44"/>
  <c r="Q56" i="44"/>
  <c r="R56" i="44"/>
  <c r="P57" i="44"/>
  <c r="Q57" i="44"/>
  <c r="R57" i="44"/>
  <c r="P58" i="44"/>
  <c r="Q58" i="44"/>
  <c r="R58" i="44"/>
  <c r="P59" i="44"/>
  <c r="Q59" i="44"/>
  <c r="R59" i="44"/>
  <c r="P60" i="44"/>
  <c r="Q60" i="44"/>
  <c r="R60" i="44"/>
  <c r="P61" i="44"/>
  <c r="Q61" i="44"/>
  <c r="R61" i="44"/>
  <c r="P62" i="44"/>
  <c r="Q62" i="44"/>
  <c r="R62" i="44"/>
  <c r="P63" i="44"/>
  <c r="Q63" i="44"/>
  <c r="R63" i="44"/>
  <c r="P64" i="44"/>
  <c r="Q64" i="44"/>
  <c r="R64" i="44"/>
  <c r="P65" i="44"/>
  <c r="Q65" i="44"/>
  <c r="R65" i="44"/>
  <c r="P66" i="44"/>
  <c r="Q66" i="44"/>
  <c r="R66" i="44"/>
  <c r="P67" i="44"/>
  <c r="Q67" i="44"/>
  <c r="R67" i="44"/>
  <c r="P68" i="44"/>
  <c r="Q68" i="44"/>
  <c r="R68" i="44"/>
  <c r="P69" i="44"/>
  <c r="Q69" i="44"/>
  <c r="R69" i="44"/>
  <c r="P70" i="44"/>
  <c r="Q70" i="44"/>
  <c r="R70" i="44"/>
  <c r="P71" i="44"/>
  <c r="Q71" i="44"/>
  <c r="R71" i="44"/>
  <c r="P72" i="44"/>
  <c r="Q72" i="44"/>
  <c r="R72" i="44"/>
  <c r="P73" i="44"/>
  <c r="Q73" i="44"/>
  <c r="R73" i="44"/>
  <c r="P74" i="44"/>
  <c r="Q74" i="44"/>
  <c r="R74" i="44"/>
  <c r="P75" i="44"/>
  <c r="Q75" i="44"/>
  <c r="R75" i="44"/>
  <c r="P76" i="44"/>
  <c r="Q76" i="44"/>
  <c r="R76" i="44"/>
  <c r="P77" i="44"/>
  <c r="Q77" i="44"/>
  <c r="R77" i="44"/>
  <c r="P78" i="44"/>
  <c r="Q78" i="44"/>
  <c r="R78" i="44"/>
  <c r="P79" i="44"/>
  <c r="Q79" i="44"/>
  <c r="R79" i="44"/>
  <c r="V49" i="45"/>
  <c r="U49" i="45" s="1"/>
  <c r="V50" i="45"/>
  <c r="U50" i="45" s="1"/>
  <c r="V51" i="45"/>
  <c r="V52" i="45"/>
  <c r="V53" i="45"/>
  <c r="U53" i="45" s="1"/>
  <c r="V54" i="45"/>
  <c r="U54" i="45" s="1"/>
  <c r="V55" i="45"/>
  <c r="V56" i="45"/>
  <c r="V57" i="45"/>
  <c r="V58" i="45"/>
  <c r="U58" i="45" s="1"/>
  <c r="V59" i="45"/>
  <c r="V60" i="45"/>
  <c r="U60" i="45" s="1"/>
  <c r="V61" i="45"/>
  <c r="U61" i="45" s="1"/>
  <c r="V62" i="45"/>
  <c r="U62" i="45" s="1"/>
  <c r="V63" i="45"/>
  <c r="V64" i="45"/>
  <c r="V65" i="45"/>
  <c r="U65" i="45" s="1"/>
  <c r="V66" i="45"/>
  <c r="U66" i="45" s="1"/>
  <c r="V67" i="45"/>
  <c r="V68" i="45"/>
  <c r="U68" i="45" s="1"/>
  <c r="V69" i="45"/>
  <c r="U69" i="45" s="1"/>
  <c r="V70" i="45"/>
  <c r="U70" i="45" s="1"/>
  <c r="V71" i="45"/>
  <c r="V72" i="45"/>
  <c r="U72" i="45" s="1"/>
  <c r="V73" i="45"/>
  <c r="U73" i="45" s="1"/>
  <c r="V74" i="45"/>
  <c r="U74" i="45" s="1"/>
  <c r="V75" i="45"/>
  <c r="V76" i="45"/>
  <c r="U76" i="45" s="1"/>
  <c r="V77" i="45"/>
  <c r="U77" i="45" s="1"/>
  <c r="V78" i="45"/>
  <c r="U78" i="45" s="1"/>
  <c r="V79" i="45"/>
  <c r="P49" i="45"/>
  <c r="Q49" i="45"/>
  <c r="R49" i="45"/>
  <c r="P50" i="45"/>
  <c r="Q50" i="45"/>
  <c r="R50" i="45"/>
  <c r="P51" i="45"/>
  <c r="Q51" i="45"/>
  <c r="R51" i="45"/>
  <c r="P52" i="45"/>
  <c r="Q52" i="45"/>
  <c r="R52" i="45"/>
  <c r="P53" i="45"/>
  <c r="Q53" i="45"/>
  <c r="R53" i="45"/>
  <c r="P54" i="45"/>
  <c r="Q54" i="45"/>
  <c r="R54" i="45"/>
  <c r="P55" i="45"/>
  <c r="Q55" i="45"/>
  <c r="R55" i="45"/>
  <c r="P56" i="45"/>
  <c r="Q56" i="45"/>
  <c r="R56" i="45"/>
  <c r="P57" i="45"/>
  <c r="Q57" i="45"/>
  <c r="R57" i="45"/>
  <c r="P58" i="45"/>
  <c r="Q58" i="45"/>
  <c r="R58" i="45"/>
  <c r="P59" i="45"/>
  <c r="Q59" i="45"/>
  <c r="R59" i="45"/>
  <c r="P60" i="45"/>
  <c r="Q60" i="45"/>
  <c r="R60" i="45"/>
  <c r="P61" i="45"/>
  <c r="Q61" i="45"/>
  <c r="R61" i="45"/>
  <c r="P62" i="45"/>
  <c r="Q62" i="45"/>
  <c r="R62" i="45"/>
  <c r="P63" i="45"/>
  <c r="Q63" i="45"/>
  <c r="R63" i="45"/>
  <c r="P64" i="45"/>
  <c r="Q64" i="45"/>
  <c r="R64" i="45"/>
  <c r="P65" i="45"/>
  <c r="Q65" i="45"/>
  <c r="R65" i="45"/>
  <c r="P66" i="45"/>
  <c r="Q66" i="45"/>
  <c r="R66" i="45"/>
  <c r="P67" i="45"/>
  <c r="Q67" i="45"/>
  <c r="R67" i="45"/>
  <c r="P68" i="45"/>
  <c r="Q68" i="45"/>
  <c r="R68" i="45"/>
  <c r="P69" i="45"/>
  <c r="Q69" i="45"/>
  <c r="R69" i="45"/>
  <c r="P70" i="45"/>
  <c r="Q70" i="45"/>
  <c r="R70" i="45"/>
  <c r="P71" i="45"/>
  <c r="Q71" i="45"/>
  <c r="R71" i="45"/>
  <c r="P72" i="45"/>
  <c r="Q72" i="45"/>
  <c r="R72" i="45"/>
  <c r="P73" i="45"/>
  <c r="Q73" i="45"/>
  <c r="R73" i="45"/>
  <c r="P74" i="45"/>
  <c r="Q74" i="45"/>
  <c r="R74" i="45"/>
  <c r="P75" i="45"/>
  <c r="Q75" i="45"/>
  <c r="R75" i="45"/>
  <c r="P76" i="45"/>
  <c r="Q76" i="45"/>
  <c r="R76" i="45"/>
  <c r="P77" i="45"/>
  <c r="Q77" i="45"/>
  <c r="R77" i="45"/>
  <c r="P78" i="45"/>
  <c r="Q78" i="45"/>
  <c r="R78" i="45"/>
  <c r="P79" i="45"/>
  <c r="Q79" i="45"/>
  <c r="R79" i="45"/>
  <c r="V49" i="76"/>
  <c r="U49" i="76" s="1"/>
  <c r="V50" i="76"/>
  <c r="V51" i="76"/>
  <c r="V52" i="76"/>
  <c r="U52" i="76" s="1"/>
  <c r="V53" i="76"/>
  <c r="U53" i="76" s="1"/>
  <c r="V54" i="76"/>
  <c r="U54" i="76" s="1"/>
  <c r="V55" i="76"/>
  <c r="U55" i="76" s="1"/>
  <c r="V56" i="76"/>
  <c r="U56" i="76" s="1"/>
  <c r="V57" i="76"/>
  <c r="U57" i="76" s="1"/>
  <c r="V58" i="76"/>
  <c r="U58" i="76" s="1"/>
  <c r="V59" i="76"/>
  <c r="V60" i="76"/>
  <c r="U60" i="76" s="1"/>
  <c r="V61" i="76"/>
  <c r="U61" i="76" s="1"/>
  <c r="V62" i="76"/>
  <c r="U62" i="76" s="1"/>
  <c r="V63" i="76"/>
  <c r="V64" i="76"/>
  <c r="U64" i="76" s="1"/>
  <c r="V65" i="76"/>
  <c r="V66" i="76"/>
  <c r="U66" i="76" s="1"/>
  <c r="V67" i="76"/>
  <c r="V68" i="76"/>
  <c r="U68" i="76" s="1"/>
  <c r="V69" i="76"/>
  <c r="U69" i="76" s="1"/>
  <c r="V70" i="76"/>
  <c r="U70" i="76" s="1"/>
  <c r="V71" i="76"/>
  <c r="V72" i="76"/>
  <c r="U72" i="76" s="1"/>
  <c r="V73" i="76"/>
  <c r="U73" i="76" s="1"/>
  <c r="V74" i="76"/>
  <c r="U74" i="76" s="1"/>
  <c r="V75" i="76"/>
  <c r="V76" i="76"/>
  <c r="V77" i="76"/>
  <c r="U77" i="76" s="1"/>
  <c r="V78" i="76"/>
  <c r="U78" i="76" s="1"/>
  <c r="V79" i="76"/>
  <c r="P49" i="76"/>
  <c r="Q49" i="76"/>
  <c r="R49" i="76"/>
  <c r="P50" i="76"/>
  <c r="Q50" i="76"/>
  <c r="R50" i="76"/>
  <c r="P51" i="76"/>
  <c r="Q51" i="76"/>
  <c r="R51" i="76"/>
  <c r="P52" i="76"/>
  <c r="Q52" i="76"/>
  <c r="R52" i="76"/>
  <c r="P53" i="76"/>
  <c r="Q53" i="76"/>
  <c r="R53" i="76"/>
  <c r="P54" i="76"/>
  <c r="Q54" i="76"/>
  <c r="R54" i="76"/>
  <c r="P55" i="76"/>
  <c r="Q55" i="76"/>
  <c r="R55" i="76"/>
  <c r="P56" i="76"/>
  <c r="Q56" i="76"/>
  <c r="R56" i="76"/>
  <c r="P57" i="76"/>
  <c r="Q57" i="76"/>
  <c r="R57" i="76"/>
  <c r="P58" i="76"/>
  <c r="Q58" i="76"/>
  <c r="R58" i="76"/>
  <c r="P59" i="76"/>
  <c r="Q59" i="76"/>
  <c r="R59" i="76"/>
  <c r="P60" i="76"/>
  <c r="Q60" i="76"/>
  <c r="R60" i="76"/>
  <c r="P61" i="76"/>
  <c r="Q61" i="76"/>
  <c r="R61" i="76"/>
  <c r="P62" i="76"/>
  <c r="Q62" i="76"/>
  <c r="R62" i="76"/>
  <c r="P63" i="76"/>
  <c r="Q63" i="76"/>
  <c r="R63" i="76"/>
  <c r="P64" i="76"/>
  <c r="Q64" i="76"/>
  <c r="R64" i="76"/>
  <c r="P65" i="76"/>
  <c r="Q65" i="76"/>
  <c r="R65" i="76"/>
  <c r="P66" i="76"/>
  <c r="Q66" i="76"/>
  <c r="R66" i="76"/>
  <c r="P67" i="76"/>
  <c r="Q67" i="76"/>
  <c r="R67" i="76"/>
  <c r="P68" i="76"/>
  <c r="Q68" i="76"/>
  <c r="R68" i="76"/>
  <c r="P69" i="76"/>
  <c r="Q69" i="76"/>
  <c r="R69" i="76"/>
  <c r="P70" i="76"/>
  <c r="Q70" i="76"/>
  <c r="R70" i="76"/>
  <c r="P71" i="76"/>
  <c r="Q71" i="76"/>
  <c r="R71" i="76"/>
  <c r="P72" i="76"/>
  <c r="Q72" i="76"/>
  <c r="R72" i="76"/>
  <c r="P73" i="76"/>
  <c r="Q73" i="76"/>
  <c r="R73" i="76"/>
  <c r="P74" i="76"/>
  <c r="Q74" i="76"/>
  <c r="R74" i="76"/>
  <c r="P75" i="76"/>
  <c r="Q75" i="76"/>
  <c r="R75" i="76"/>
  <c r="P76" i="76"/>
  <c r="Q76" i="76"/>
  <c r="R76" i="76"/>
  <c r="P77" i="76"/>
  <c r="Q77" i="76"/>
  <c r="R77" i="76"/>
  <c r="P78" i="76"/>
  <c r="Q78" i="76"/>
  <c r="R78" i="76"/>
  <c r="P79" i="76"/>
  <c r="Q79" i="76"/>
  <c r="R79" i="76"/>
  <c r="V49" i="77"/>
  <c r="U49" i="77" s="1"/>
  <c r="V50" i="77"/>
  <c r="U50" i="77" s="1"/>
  <c r="V51" i="77"/>
  <c r="V52" i="77"/>
  <c r="U52" i="77" s="1"/>
  <c r="V53" i="77"/>
  <c r="U53" i="77" s="1"/>
  <c r="V54" i="77"/>
  <c r="U54" i="77" s="1"/>
  <c r="V55" i="77"/>
  <c r="V56" i="77"/>
  <c r="U56" i="77" s="1"/>
  <c r="V57" i="77"/>
  <c r="U57" i="77" s="1"/>
  <c r="V58" i="77"/>
  <c r="U58" i="77" s="1"/>
  <c r="V59" i="77"/>
  <c r="V60" i="77"/>
  <c r="U60" i="77" s="1"/>
  <c r="V61" i="77"/>
  <c r="U61" i="77" s="1"/>
  <c r="V62" i="77"/>
  <c r="U62" i="77" s="1"/>
  <c r="V63" i="77"/>
  <c r="V64" i="77"/>
  <c r="U64" i="77" s="1"/>
  <c r="V65" i="77"/>
  <c r="U65" i="77" s="1"/>
  <c r="V66" i="77"/>
  <c r="U66" i="77" s="1"/>
  <c r="V67" i="77"/>
  <c r="V68" i="77"/>
  <c r="U68" i="77" s="1"/>
  <c r="V69" i="77"/>
  <c r="U69" i="77" s="1"/>
  <c r="V70" i="77"/>
  <c r="U70" i="77" s="1"/>
  <c r="V71" i="77"/>
  <c r="U71" i="77" s="1"/>
  <c r="V72" i="77"/>
  <c r="U72" i="77" s="1"/>
  <c r="V73" i="77"/>
  <c r="V74" i="77"/>
  <c r="U74" i="77" s="1"/>
  <c r="V75" i="77"/>
  <c r="V76" i="77"/>
  <c r="U76" i="77" s="1"/>
  <c r="P49" i="77"/>
  <c r="Q49" i="77"/>
  <c r="R49" i="77"/>
  <c r="P50" i="77"/>
  <c r="Q50" i="77"/>
  <c r="R50" i="77"/>
  <c r="P51" i="77"/>
  <c r="Q51" i="77"/>
  <c r="R51" i="77"/>
  <c r="P52" i="77"/>
  <c r="Q52" i="77"/>
  <c r="R52" i="77"/>
  <c r="P53" i="77"/>
  <c r="Q53" i="77"/>
  <c r="R53" i="77"/>
  <c r="P54" i="77"/>
  <c r="Q54" i="77"/>
  <c r="R54" i="77"/>
  <c r="P55" i="77"/>
  <c r="Q55" i="77"/>
  <c r="R55" i="77"/>
  <c r="P56" i="77"/>
  <c r="Q56" i="77"/>
  <c r="R56" i="77"/>
  <c r="P57" i="77"/>
  <c r="Q57" i="77"/>
  <c r="R57" i="77"/>
  <c r="P58" i="77"/>
  <c r="Q58" i="77"/>
  <c r="R58" i="77"/>
  <c r="P59" i="77"/>
  <c r="Q59" i="77"/>
  <c r="R59" i="77"/>
  <c r="P60" i="77"/>
  <c r="Q60" i="77"/>
  <c r="R60" i="77"/>
  <c r="P61" i="77"/>
  <c r="Q61" i="77"/>
  <c r="R61" i="77"/>
  <c r="P62" i="77"/>
  <c r="Q62" i="77"/>
  <c r="R62" i="77"/>
  <c r="P63" i="77"/>
  <c r="Q63" i="77"/>
  <c r="R63" i="77"/>
  <c r="P64" i="77"/>
  <c r="Q64" i="77"/>
  <c r="R64" i="77"/>
  <c r="P65" i="77"/>
  <c r="Q65" i="77"/>
  <c r="R65" i="77"/>
  <c r="P66" i="77"/>
  <c r="Q66" i="77"/>
  <c r="R66" i="77"/>
  <c r="P67" i="77"/>
  <c r="Q67" i="77"/>
  <c r="R67" i="77"/>
  <c r="P68" i="77"/>
  <c r="Q68" i="77"/>
  <c r="R68" i="77"/>
  <c r="P69" i="77"/>
  <c r="Q69" i="77"/>
  <c r="R69" i="77"/>
  <c r="P70" i="77"/>
  <c r="Q70" i="77"/>
  <c r="R70" i="77"/>
  <c r="P71" i="77"/>
  <c r="Q71" i="77"/>
  <c r="R71" i="77"/>
  <c r="P72" i="77"/>
  <c r="Q72" i="77"/>
  <c r="R72" i="77"/>
  <c r="P73" i="77"/>
  <c r="Q73" i="77"/>
  <c r="R73" i="77"/>
  <c r="P74" i="77"/>
  <c r="Q74" i="77"/>
  <c r="R74" i="77"/>
  <c r="P75" i="77"/>
  <c r="Q75" i="77"/>
  <c r="R75" i="77"/>
  <c r="P76" i="77"/>
  <c r="Q76" i="77"/>
  <c r="R76" i="77"/>
  <c r="V49" i="80"/>
  <c r="U49" i="80" s="1"/>
  <c r="V50" i="80"/>
  <c r="U50" i="80" s="1"/>
  <c r="V51" i="80"/>
  <c r="V52" i="80"/>
  <c r="U52" i="80" s="1"/>
  <c r="V53" i="80"/>
  <c r="U53" i="80" s="1"/>
  <c r="V54" i="80"/>
  <c r="U54" i="80" s="1"/>
  <c r="V55" i="80"/>
  <c r="V56" i="80"/>
  <c r="U56" i="80" s="1"/>
  <c r="V57" i="80"/>
  <c r="U57" i="80" s="1"/>
  <c r="V58" i="80"/>
  <c r="U58" i="80" s="1"/>
  <c r="V59" i="80"/>
  <c r="V60" i="80"/>
  <c r="U60" i="80" s="1"/>
  <c r="V61" i="80"/>
  <c r="U61" i="80" s="1"/>
  <c r="V62" i="80"/>
  <c r="U62" i="80" s="1"/>
  <c r="V63" i="80"/>
  <c r="V64" i="80"/>
  <c r="U64" i="80" s="1"/>
  <c r="V65" i="80"/>
  <c r="U65" i="80" s="1"/>
  <c r="V66" i="80"/>
  <c r="U66" i="80" s="1"/>
  <c r="V67" i="80"/>
  <c r="U67" i="80" s="1"/>
  <c r="V68" i="80"/>
  <c r="U68" i="80" s="1"/>
  <c r="V69" i="80"/>
  <c r="U69" i="80" s="1"/>
  <c r="V70" i="80"/>
  <c r="U70" i="80" s="1"/>
  <c r="V71" i="80"/>
  <c r="V72" i="80"/>
  <c r="U72" i="80" s="1"/>
  <c r="V73" i="80"/>
  <c r="U73" i="80" s="1"/>
  <c r="V74" i="80"/>
  <c r="U74" i="80" s="1"/>
  <c r="V75" i="80"/>
  <c r="V76" i="80"/>
  <c r="U76" i="80" s="1"/>
  <c r="V77" i="80"/>
  <c r="U77" i="80" s="1"/>
  <c r="V78" i="80"/>
  <c r="U78" i="80" s="1"/>
  <c r="V79" i="80"/>
  <c r="P49" i="80"/>
  <c r="Q49" i="80"/>
  <c r="R49" i="80"/>
  <c r="P50" i="80"/>
  <c r="Q50" i="80"/>
  <c r="R50" i="80"/>
  <c r="P51" i="80"/>
  <c r="Q51" i="80"/>
  <c r="R51" i="80"/>
  <c r="P52" i="80"/>
  <c r="Q52" i="80"/>
  <c r="R52" i="80"/>
  <c r="P53" i="80"/>
  <c r="Q53" i="80"/>
  <c r="R53" i="80"/>
  <c r="P54" i="80"/>
  <c r="Q54" i="80"/>
  <c r="R54" i="80"/>
  <c r="P55" i="80"/>
  <c r="Q55" i="80"/>
  <c r="R55" i="80"/>
  <c r="P56" i="80"/>
  <c r="Q56" i="80"/>
  <c r="R56" i="80"/>
  <c r="P57" i="80"/>
  <c r="Q57" i="80"/>
  <c r="R57" i="80"/>
  <c r="P58" i="80"/>
  <c r="Q58" i="80"/>
  <c r="R58" i="80"/>
  <c r="P59" i="80"/>
  <c r="Q59" i="80"/>
  <c r="R59" i="80"/>
  <c r="P60" i="80"/>
  <c r="Q60" i="80"/>
  <c r="R60" i="80"/>
  <c r="P61" i="80"/>
  <c r="Q61" i="80"/>
  <c r="R61" i="80"/>
  <c r="P62" i="80"/>
  <c r="Q62" i="80"/>
  <c r="R62" i="80"/>
  <c r="P63" i="80"/>
  <c r="Q63" i="80"/>
  <c r="R63" i="80"/>
  <c r="P64" i="80"/>
  <c r="Q64" i="80"/>
  <c r="R64" i="80"/>
  <c r="P65" i="80"/>
  <c r="Q65" i="80"/>
  <c r="R65" i="80"/>
  <c r="P66" i="80"/>
  <c r="Q66" i="80"/>
  <c r="R66" i="80"/>
  <c r="P67" i="80"/>
  <c r="Q67" i="80"/>
  <c r="R67" i="80"/>
  <c r="P68" i="80"/>
  <c r="Q68" i="80"/>
  <c r="R68" i="80"/>
  <c r="P69" i="80"/>
  <c r="Q69" i="80"/>
  <c r="R69" i="80"/>
  <c r="P70" i="80"/>
  <c r="Q70" i="80"/>
  <c r="R70" i="80"/>
  <c r="P71" i="80"/>
  <c r="Q71" i="80"/>
  <c r="R71" i="80"/>
  <c r="P72" i="80"/>
  <c r="Q72" i="80"/>
  <c r="R72" i="80"/>
  <c r="P73" i="80"/>
  <c r="Q73" i="80"/>
  <c r="R73" i="80"/>
  <c r="P74" i="80"/>
  <c r="Q74" i="80"/>
  <c r="R74" i="80"/>
  <c r="P75" i="80"/>
  <c r="Q75" i="80"/>
  <c r="R75" i="80"/>
  <c r="P76" i="80"/>
  <c r="Q76" i="80"/>
  <c r="R76" i="80"/>
  <c r="P77" i="80"/>
  <c r="Q77" i="80"/>
  <c r="R77" i="80"/>
  <c r="P78" i="80"/>
  <c r="Q78" i="80"/>
  <c r="R78" i="80"/>
  <c r="P79" i="80"/>
  <c r="Q79" i="80"/>
  <c r="R79" i="80"/>
  <c r="V49" i="81"/>
  <c r="U49" i="81" s="1"/>
  <c r="V50" i="81"/>
  <c r="U50" i="81" s="1"/>
  <c r="V51" i="81"/>
  <c r="V52" i="81"/>
  <c r="V53" i="81"/>
  <c r="U53" i="81" s="1"/>
  <c r="V54" i="81"/>
  <c r="U54" i="81" s="1"/>
  <c r="V55" i="81"/>
  <c r="V56" i="81"/>
  <c r="U56" i="81" s="1"/>
  <c r="V57" i="81"/>
  <c r="U57" i="81" s="1"/>
  <c r="V58" i="81"/>
  <c r="U58" i="81" s="1"/>
  <c r="V59" i="81"/>
  <c r="V60" i="81"/>
  <c r="V61" i="81"/>
  <c r="V62" i="81"/>
  <c r="U62" i="81" s="1"/>
  <c r="V63" i="81"/>
  <c r="V64" i="81"/>
  <c r="U64" i="81" s="1"/>
  <c r="V65" i="81"/>
  <c r="U65" i="81" s="1"/>
  <c r="V66" i="81"/>
  <c r="U66" i="81" s="1"/>
  <c r="V67" i="81"/>
  <c r="V68" i="81"/>
  <c r="U68" i="81" s="1"/>
  <c r="V69" i="81"/>
  <c r="U69" i="81" s="1"/>
  <c r="V70" i="81"/>
  <c r="U70" i="81" s="1"/>
  <c r="V71" i="81"/>
  <c r="V72" i="81"/>
  <c r="U72" i="81" s="1"/>
  <c r="V73" i="81"/>
  <c r="U73" i="81" s="1"/>
  <c r="V74" i="81"/>
  <c r="U74" i="81" s="1"/>
  <c r="V75" i="81"/>
  <c r="U75" i="81" s="1"/>
  <c r="V76" i="81"/>
  <c r="U76" i="81" s="1"/>
  <c r="V77" i="81"/>
  <c r="U77" i="81" s="1"/>
  <c r="V78" i="81"/>
  <c r="U78" i="81" s="1"/>
  <c r="P49" i="81"/>
  <c r="Q49" i="81"/>
  <c r="R49" i="81"/>
  <c r="P50" i="81"/>
  <c r="Q50" i="81"/>
  <c r="R50" i="81"/>
  <c r="P51" i="81"/>
  <c r="Q51" i="81"/>
  <c r="R51" i="81"/>
  <c r="P52" i="81"/>
  <c r="Q52" i="81"/>
  <c r="R52" i="81"/>
  <c r="P53" i="81"/>
  <c r="Q53" i="81"/>
  <c r="R53" i="81"/>
  <c r="P54" i="81"/>
  <c r="Q54" i="81"/>
  <c r="R54" i="81"/>
  <c r="P55" i="81"/>
  <c r="Q55" i="81"/>
  <c r="R55" i="81"/>
  <c r="P56" i="81"/>
  <c r="Q56" i="81"/>
  <c r="R56" i="81"/>
  <c r="P57" i="81"/>
  <c r="Q57" i="81"/>
  <c r="R57" i="81"/>
  <c r="P58" i="81"/>
  <c r="Q58" i="81"/>
  <c r="R58" i="81"/>
  <c r="P59" i="81"/>
  <c r="Q59" i="81"/>
  <c r="R59" i="81"/>
  <c r="P60" i="81"/>
  <c r="Q60" i="81"/>
  <c r="R60" i="81"/>
  <c r="P61" i="81"/>
  <c r="Q61" i="81"/>
  <c r="R61" i="81"/>
  <c r="P62" i="81"/>
  <c r="Q62" i="81"/>
  <c r="R62" i="81"/>
  <c r="P63" i="81"/>
  <c r="Q63" i="81"/>
  <c r="R63" i="81"/>
  <c r="P64" i="81"/>
  <c r="Q64" i="81"/>
  <c r="R64" i="81"/>
  <c r="P65" i="81"/>
  <c r="Q65" i="81"/>
  <c r="R65" i="81"/>
  <c r="P66" i="81"/>
  <c r="Q66" i="81"/>
  <c r="R66" i="81"/>
  <c r="P67" i="81"/>
  <c r="Q67" i="81"/>
  <c r="R67" i="81"/>
  <c r="P68" i="81"/>
  <c r="Q68" i="81"/>
  <c r="R68" i="81"/>
  <c r="P69" i="81"/>
  <c r="Q69" i="81"/>
  <c r="R69" i="81"/>
  <c r="P70" i="81"/>
  <c r="Q70" i="81"/>
  <c r="R70" i="81"/>
  <c r="P71" i="81"/>
  <c r="Q71" i="81"/>
  <c r="R71" i="81"/>
  <c r="P72" i="81"/>
  <c r="Q72" i="81"/>
  <c r="R72" i="81"/>
  <c r="P73" i="81"/>
  <c r="Q73" i="81"/>
  <c r="R73" i="81"/>
  <c r="P74" i="81"/>
  <c r="Q74" i="81"/>
  <c r="R74" i="81"/>
  <c r="P75" i="81"/>
  <c r="Q75" i="81"/>
  <c r="R75" i="81"/>
  <c r="P76" i="81"/>
  <c r="Q76" i="81"/>
  <c r="R76" i="81"/>
  <c r="P77" i="81"/>
  <c r="Q77" i="81"/>
  <c r="R77" i="81"/>
  <c r="P78" i="81"/>
  <c r="Q78" i="81"/>
  <c r="R78" i="81"/>
  <c r="V49" i="83"/>
  <c r="V50" i="83"/>
  <c r="U50" i="83" s="1"/>
  <c r="V51" i="83"/>
  <c r="V52" i="83"/>
  <c r="U52" i="83" s="1"/>
  <c r="V53" i="83"/>
  <c r="U53" i="83" s="1"/>
  <c r="V54" i="83"/>
  <c r="U54" i="83" s="1"/>
  <c r="V55" i="83"/>
  <c r="V56" i="83"/>
  <c r="U56" i="83" s="1"/>
  <c r="V57" i="83"/>
  <c r="U57" i="83" s="1"/>
  <c r="V58" i="83"/>
  <c r="U58" i="83" s="1"/>
  <c r="V59" i="83"/>
  <c r="V60" i="83"/>
  <c r="V61" i="83"/>
  <c r="U61" i="83" s="1"/>
  <c r="V62" i="83"/>
  <c r="U62" i="83" s="1"/>
  <c r="V63" i="83"/>
  <c r="U63" i="83" s="1"/>
  <c r="V64" i="83"/>
  <c r="U64" i="83" s="1"/>
  <c r="V65" i="83"/>
  <c r="U65" i="83" s="1"/>
  <c r="V66" i="83"/>
  <c r="U66" i="83" s="1"/>
  <c r="V67" i="83"/>
  <c r="V68" i="83"/>
  <c r="V69" i="83"/>
  <c r="U69" i="83" s="1"/>
  <c r="V70" i="83"/>
  <c r="U70" i="83" s="1"/>
  <c r="V71" i="83"/>
  <c r="V72" i="83"/>
  <c r="U72" i="83" s="1"/>
  <c r="V73" i="83"/>
  <c r="U73" i="83" s="1"/>
  <c r="V74" i="83"/>
  <c r="U74" i="83" s="1"/>
  <c r="V75" i="83"/>
  <c r="V76" i="83"/>
  <c r="V77" i="83"/>
  <c r="U77" i="83" s="1"/>
  <c r="V78" i="83"/>
  <c r="U78" i="83" s="1"/>
  <c r="P49" i="83"/>
  <c r="Q49" i="83"/>
  <c r="R49" i="83"/>
  <c r="P50" i="83"/>
  <c r="Q50" i="83"/>
  <c r="R50" i="83"/>
  <c r="P51" i="83"/>
  <c r="Q51" i="83"/>
  <c r="R51" i="83"/>
  <c r="P52" i="83"/>
  <c r="Q52" i="83"/>
  <c r="R52" i="83"/>
  <c r="P53" i="83"/>
  <c r="Q53" i="83"/>
  <c r="R53" i="83"/>
  <c r="P54" i="83"/>
  <c r="Q54" i="83"/>
  <c r="R54" i="83"/>
  <c r="P55" i="83"/>
  <c r="Q55" i="83"/>
  <c r="R55" i="83"/>
  <c r="P56" i="83"/>
  <c r="Q56" i="83"/>
  <c r="R56" i="83"/>
  <c r="P57" i="83"/>
  <c r="Q57" i="83"/>
  <c r="R57" i="83"/>
  <c r="P58" i="83"/>
  <c r="Q58" i="83"/>
  <c r="R58" i="83"/>
  <c r="P59" i="83"/>
  <c r="Q59" i="83"/>
  <c r="R59" i="83"/>
  <c r="P60" i="83"/>
  <c r="Q60" i="83"/>
  <c r="R60" i="83"/>
  <c r="P61" i="83"/>
  <c r="Q61" i="83"/>
  <c r="R61" i="83"/>
  <c r="P62" i="83"/>
  <c r="Q62" i="83"/>
  <c r="R62" i="83"/>
  <c r="P63" i="83"/>
  <c r="Q63" i="83"/>
  <c r="R63" i="83"/>
  <c r="P64" i="83"/>
  <c r="Q64" i="83"/>
  <c r="R64" i="83"/>
  <c r="P65" i="83"/>
  <c r="Q65" i="83"/>
  <c r="R65" i="83"/>
  <c r="P66" i="83"/>
  <c r="Q66" i="83"/>
  <c r="R66" i="83"/>
  <c r="P67" i="83"/>
  <c r="Q67" i="83"/>
  <c r="R67" i="83"/>
  <c r="P68" i="83"/>
  <c r="Q68" i="83"/>
  <c r="R68" i="83"/>
  <c r="P69" i="83"/>
  <c r="Q69" i="83"/>
  <c r="R69" i="83"/>
  <c r="P70" i="83"/>
  <c r="Q70" i="83"/>
  <c r="R70" i="83"/>
  <c r="P71" i="83"/>
  <c r="Q71" i="83"/>
  <c r="R71" i="83"/>
  <c r="P72" i="83"/>
  <c r="Q72" i="83"/>
  <c r="R72" i="83"/>
  <c r="P73" i="83"/>
  <c r="Q73" i="83"/>
  <c r="R73" i="83"/>
  <c r="P74" i="83"/>
  <c r="Q74" i="83"/>
  <c r="R74" i="83"/>
  <c r="P75" i="83"/>
  <c r="Q75" i="83"/>
  <c r="R75" i="83"/>
  <c r="P76" i="83"/>
  <c r="Q76" i="83"/>
  <c r="R76" i="83"/>
  <c r="P77" i="83"/>
  <c r="Q77" i="83"/>
  <c r="R77" i="83"/>
  <c r="P78" i="83"/>
  <c r="Q78" i="83"/>
  <c r="R78" i="83"/>
  <c r="V49" i="82"/>
  <c r="U49" i="82" s="1"/>
  <c r="V50" i="82"/>
  <c r="V51" i="82"/>
  <c r="V52" i="82"/>
  <c r="U52" i="82" s="1"/>
  <c r="V53" i="82"/>
  <c r="U53" i="82" s="1"/>
  <c r="V54" i="82"/>
  <c r="U54" i="82" s="1"/>
  <c r="V55" i="82"/>
  <c r="V56" i="82"/>
  <c r="V57" i="82"/>
  <c r="U57" i="82" s="1"/>
  <c r="V58" i="82"/>
  <c r="U58" i="82" s="1"/>
  <c r="V59" i="82"/>
  <c r="V60" i="82"/>
  <c r="U60" i="82" s="1"/>
  <c r="V61" i="82"/>
  <c r="U61" i="82" s="1"/>
  <c r="V62" i="82"/>
  <c r="U62" i="82" s="1"/>
  <c r="V63" i="82"/>
  <c r="U63" i="82" s="1"/>
  <c r="V64" i="82"/>
  <c r="V65" i="82"/>
  <c r="U65" i="82" s="1"/>
  <c r="V66" i="82"/>
  <c r="U66" i="82" s="1"/>
  <c r="V67" i="82"/>
  <c r="V68" i="82"/>
  <c r="V69" i="82"/>
  <c r="U69" i="82" s="1"/>
  <c r="V70" i="82"/>
  <c r="U70" i="82" s="1"/>
  <c r="V71" i="82"/>
  <c r="V72" i="82"/>
  <c r="V73" i="82"/>
  <c r="U73" i="82" s="1"/>
  <c r="V74" i="82"/>
  <c r="U74" i="82" s="1"/>
  <c r="V75" i="82"/>
  <c r="U75" i="82" s="1"/>
  <c r="V76" i="82"/>
  <c r="U76" i="82" s="1"/>
  <c r="V77" i="82"/>
  <c r="U77" i="82" s="1"/>
  <c r="V78" i="82"/>
  <c r="U78" i="82" s="1"/>
  <c r="P49" i="82"/>
  <c r="Q49" i="82"/>
  <c r="R49" i="82"/>
  <c r="P50" i="82"/>
  <c r="Q50" i="82"/>
  <c r="R50" i="82"/>
  <c r="P51" i="82"/>
  <c r="Q51" i="82"/>
  <c r="R51" i="82"/>
  <c r="P52" i="82"/>
  <c r="Q52" i="82"/>
  <c r="R52" i="82"/>
  <c r="P53" i="82"/>
  <c r="Q53" i="82"/>
  <c r="R53" i="82"/>
  <c r="P54" i="82"/>
  <c r="Q54" i="82"/>
  <c r="R54" i="82"/>
  <c r="P55" i="82"/>
  <c r="Q55" i="82"/>
  <c r="R55" i="82"/>
  <c r="P56" i="82"/>
  <c r="Q56" i="82"/>
  <c r="R56" i="82"/>
  <c r="P57" i="82"/>
  <c r="Q57" i="82"/>
  <c r="R57" i="82"/>
  <c r="P58" i="82"/>
  <c r="Q58" i="82"/>
  <c r="R58" i="82"/>
  <c r="P59" i="82"/>
  <c r="Q59" i="82"/>
  <c r="R59" i="82"/>
  <c r="P60" i="82"/>
  <c r="Q60" i="82"/>
  <c r="R60" i="82"/>
  <c r="P61" i="82"/>
  <c r="Q61" i="82"/>
  <c r="R61" i="82"/>
  <c r="P62" i="82"/>
  <c r="Q62" i="82"/>
  <c r="R62" i="82"/>
  <c r="P63" i="82"/>
  <c r="Q63" i="82"/>
  <c r="R63" i="82"/>
  <c r="P64" i="82"/>
  <c r="Q64" i="82"/>
  <c r="R64" i="82"/>
  <c r="P65" i="82"/>
  <c r="Q65" i="82"/>
  <c r="R65" i="82"/>
  <c r="P66" i="82"/>
  <c r="Q66" i="82"/>
  <c r="R66" i="82"/>
  <c r="P67" i="82"/>
  <c r="Q67" i="82"/>
  <c r="R67" i="82"/>
  <c r="P68" i="82"/>
  <c r="Q68" i="82"/>
  <c r="R68" i="82"/>
  <c r="P69" i="82"/>
  <c r="Q69" i="82"/>
  <c r="R69" i="82"/>
  <c r="P70" i="82"/>
  <c r="Q70" i="82"/>
  <c r="R70" i="82"/>
  <c r="P71" i="82"/>
  <c r="Q71" i="82"/>
  <c r="R71" i="82"/>
  <c r="P72" i="82"/>
  <c r="Q72" i="82"/>
  <c r="R72" i="82"/>
  <c r="P73" i="82"/>
  <c r="Q73" i="82"/>
  <c r="R73" i="82"/>
  <c r="P74" i="82"/>
  <c r="Q74" i="82"/>
  <c r="R74" i="82"/>
  <c r="P75" i="82"/>
  <c r="Q75" i="82"/>
  <c r="R75" i="82"/>
  <c r="P76" i="82"/>
  <c r="Q76" i="82"/>
  <c r="R76" i="82"/>
  <c r="P77" i="82"/>
  <c r="Q77" i="82"/>
  <c r="R77" i="82"/>
  <c r="P78" i="82"/>
  <c r="Q78" i="82"/>
  <c r="R78" i="82"/>
  <c r="V49" i="84"/>
  <c r="U49" i="84" s="1"/>
  <c r="V50" i="84"/>
  <c r="V51" i="84"/>
  <c r="U51" i="84" s="1"/>
  <c r="V52" i="84"/>
  <c r="V53" i="84"/>
  <c r="U53" i="84" s="1"/>
  <c r="V54" i="84"/>
  <c r="U54" i="84" s="1"/>
  <c r="V55" i="84"/>
  <c r="V56" i="84"/>
  <c r="V57" i="84"/>
  <c r="U57" i="84" s="1"/>
  <c r="V58" i="84"/>
  <c r="U58" i="84" s="1"/>
  <c r="V59" i="84"/>
  <c r="U59" i="84" s="1"/>
  <c r="V60" i="84"/>
  <c r="V61" i="84"/>
  <c r="U61" i="84" s="1"/>
  <c r="V62" i="84"/>
  <c r="U62" i="84" s="1"/>
  <c r="V63" i="84"/>
  <c r="V64" i="84"/>
  <c r="U64" i="84" s="1"/>
  <c r="V65" i="84"/>
  <c r="U65" i="84" s="1"/>
  <c r="V66" i="84"/>
  <c r="U66" i="84" s="1"/>
  <c r="V67" i="84"/>
  <c r="U67" i="84" s="1"/>
  <c r="V68" i="84"/>
  <c r="U68" i="84" s="1"/>
  <c r="V69" i="84"/>
  <c r="U69" i="84" s="1"/>
  <c r="V70" i="84"/>
  <c r="U70" i="84" s="1"/>
  <c r="V71" i="84"/>
  <c r="U71" i="84" s="1"/>
  <c r="V72" i="84"/>
  <c r="V73" i="84"/>
  <c r="U73" i="84" s="1"/>
  <c r="V74" i="84"/>
  <c r="U74" i="84" s="1"/>
  <c r="V75" i="84"/>
  <c r="U75" i="84" s="1"/>
  <c r="V76" i="84"/>
  <c r="V77" i="84"/>
  <c r="U77" i="84" s="1"/>
  <c r="V78" i="84"/>
  <c r="U78" i="84" s="1"/>
  <c r="V79" i="84"/>
  <c r="P49" i="84"/>
  <c r="Q49" i="84"/>
  <c r="R49" i="84"/>
  <c r="P50" i="84"/>
  <c r="Q50" i="84"/>
  <c r="R50" i="84"/>
  <c r="P51" i="84"/>
  <c r="Q51" i="84"/>
  <c r="R51" i="84"/>
  <c r="P52" i="84"/>
  <c r="Q52" i="84"/>
  <c r="R52" i="84"/>
  <c r="P53" i="84"/>
  <c r="Q53" i="84"/>
  <c r="R53" i="84"/>
  <c r="P54" i="84"/>
  <c r="Q54" i="84"/>
  <c r="R54" i="84"/>
  <c r="P55" i="84"/>
  <c r="Q55" i="84"/>
  <c r="R55" i="84"/>
  <c r="P56" i="84"/>
  <c r="Q56" i="84"/>
  <c r="R56" i="84"/>
  <c r="P57" i="84"/>
  <c r="Q57" i="84"/>
  <c r="R57" i="84"/>
  <c r="P58" i="84"/>
  <c r="Q58" i="84"/>
  <c r="R58" i="84"/>
  <c r="P59" i="84"/>
  <c r="Q59" i="84"/>
  <c r="R59" i="84"/>
  <c r="P60" i="84"/>
  <c r="Q60" i="84"/>
  <c r="R60" i="84"/>
  <c r="P61" i="84"/>
  <c r="Q61" i="84"/>
  <c r="R61" i="84"/>
  <c r="P62" i="84"/>
  <c r="Q62" i="84"/>
  <c r="R62" i="84"/>
  <c r="P63" i="84"/>
  <c r="Q63" i="84"/>
  <c r="R63" i="84"/>
  <c r="P64" i="84"/>
  <c r="Q64" i="84"/>
  <c r="R64" i="84"/>
  <c r="P65" i="84"/>
  <c r="Q65" i="84"/>
  <c r="R65" i="84"/>
  <c r="P66" i="84"/>
  <c r="Q66" i="84"/>
  <c r="R66" i="84"/>
  <c r="P67" i="84"/>
  <c r="Q67" i="84"/>
  <c r="R67" i="84"/>
  <c r="P68" i="84"/>
  <c r="Q68" i="84"/>
  <c r="R68" i="84"/>
  <c r="P69" i="84"/>
  <c r="Q69" i="84"/>
  <c r="R69" i="84"/>
  <c r="P70" i="84"/>
  <c r="Q70" i="84"/>
  <c r="R70" i="84"/>
  <c r="P71" i="84"/>
  <c r="Q71" i="84"/>
  <c r="R71" i="84"/>
  <c r="P72" i="84"/>
  <c r="Q72" i="84"/>
  <c r="R72" i="84"/>
  <c r="P73" i="84"/>
  <c r="Q73" i="84"/>
  <c r="R73" i="84"/>
  <c r="P74" i="84"/>
  <c r="Q74" i="84"/>
  <c r="R74" i="84"/>
  <c r="P75" i="84"/>
  <c r="Q75" i="84"/>
  <c r="R75" i="84"/>
  <c r="P76" i="84"/>
  <c r="Q76" i="84"/>
  <c r="R76" i="84"/>
  <c r="P77" i="84"/>
  <c r="Q77" i="84"/>
  <c r="R77" i="84"/>
  <c r="P78" i="84"/>
  <c r="Q78" i="84"/>
  <c r="R78" i="84"/>
  <c r="P79" i="84"/>
  <c r="Q79" i="84"/>
  <c r="R79" i="84"/>
  <c r="V49" i="105"/>
  <c r="U49" i="105" s="1"/>
  <c r="V50" i="105"/>
  <c r="U50" i="105" s="1"/>
  <c r="V51" i="105"/>
  <c r="V52" i="105"/>
  <c r="V53" i="105"/>
  <c r="V54" i="105"/>
  <c r="U54" i="105" s="1"/>
  <c r="V55" i="105"/>
  <c r="V56" i="105"/>
  <c r="U56" i="105" s="1"/>
  <c r="V57" i="105"/>
  <c r="U57" i="105" s="1"/>
  <c r="V58" i="105"/>
  <c r="U58" i="105" s="1"/>
  <c r="V59" i="105"/>
  <c r="V60" i="105"/>
  <c r="U60" i="105" s="1"/>
  <c r="V61" i="105"/>
  <c r="U61" i="105" s="1"/>
  <c r="V62" i="105"/>
  <c r="U62" i="105" s="1"/>
  <c r="V63" i="105"/>
  <c r="V64" i="105"/>
  <c r="U64" i="105" s="1"/>
  <c r="V65" i="105"/>
  <c r="U65" i="105" s="1"/>
  <c r="V66" i="105"/>
  <c r="U66" i="105" s="1"/>
  <c r="V67" i="105"/>
  <c r="V68" i="105"/>
  <c r="U68" i="105" s="1"/>
  <c r="V69" i="105"/>
  <c r="U69" i="105" s="1"/>
  <c r="V70" i="105"/>
  <c r="U70" i="105" s="1"/>
  <c r="V71" i="105"/>
  <c r="V72" i="105"/>
  <c r="U72" i="105" s="1"/>
  <c r="V73" i="105"/>
  <c r="V74" i="105"/>
  <c r="U74" i="105" s="1"/>
  <c r="V75" i="105"/>
  <c r="V76" i="105"/>
  <c r="U76" i="105" s="1"/>
  <c r="V77" i="105"/>
  <c r="U77" i="105" s="1"/>
  <c r="V78" i="105"/>
  <c r="U78" i="105" s="1"/>
  <c r="P49" i="105"/>
  <c r="Q49" i="105"/>
  <c r="R49" i="105"/>
  <c r="P50" i="105"/>
  <c r="Q50" i="105"/>
  <c r="R50" i="105"/>
  <c r="P51" i="105"/>
  <c r="Q51" i="105"/>
  <c r="R51" i="105"/>
  <c r="P52" i="105"/>
  <c r="Q52" i="105"/>
  <c r="R52" i="105"/>
  <c r="P53" i="105"/>
  <c r="Q53" i="105"/>
  <c r="R53" i="105"/>
  <c r="P54" i="105"/>
  <c r="Q54" i="105"/>
  <c r="R54" i="105"/>
  <c r="P55" i="105"/>
  <c r="Q55" i="105"/>
  <c r="R55" i="105"/>
  <c r="P56" i="105"/>
  <c r="Q56" i="105"/>
  <c r="R56" i="105"/>
  <c r="P57" i="105"/>
  <c r="Q57" i="105"/>
  <c r="R57" i="105"/>
  <c r="P58" i="105"/>
  <c r="Q58" i="105"/>
  <c r="R58" i="105"/>
  <c r="P59" i="105"/>
  <c r="Q59" i="105"/>
  <c r="R59" i="105"/>
  <c r="P60" i="105"/>
  <c r="Q60" i="105"/>
  <c r="R60" i="105"/>
  <c r="P61" i="105"/>
  <c r="Q61" i="105"/>
  <c r="R61" i="105"/>
  <c r="P62" i="105"/>
  <c r="Q62" i="105"/>
  <c r="R62" i="105"/>
  <c r="P63" i="105"/>
  <c r="Q63" i="105"/>
  <c r="R63" i="105"/>
  <c r="P64" i="105"/>
  <c r="Q64" i="105"/>
  <c r="R64" i="105"/>
  <c r="P65" i="105"/>
  <c r="Q65" i="105"/>
  <c r="R65" i="105"/>
  <c r="P66" i="105"/>
  <c r="Q66" i="105"/>
  <c r="R66" i="105"/>
  <c r="P67" i="105"/>
  <c r="Q67" i="105"/>
  <c r="R67" i="105"/>
  <c r="P68" i="105"/>
  <c r="Q68" i="105"/>
  <c r="R68" i="105"/>
  <c r="P69" i="105"/>
  <c r="Q69" i="105"/>
  <c r="R69" i="105"/>
  <c r="P70" i="105"/>
  <c r="Q70" i="105"/>
  <c r="R70" i="105"/>
  <c r="P71" i="105"/>
  <c r="Q71" i="105"/>
  <c r="R71" i="105"/>
  <c r="P72" i="105"/>
  <c r="Q72" i="105"/>
  <c r="R72" i="105"/>
  <c r="P73" i="105"/>
  <c r="Q73" i="105"/>
  <c r="R73" i="105"/>
  <c r="P74" i="105"/>
  <c r="Q74" i="105"/>
  <c r="R74" i="105"/>
  <c r="P75" i="105"/>
  <c r="Q75" i="105"/>
  <c r="R75" i="105"/>
  <c r="P76" i="105"/>
  <c r="Q76" i="105"/>
  <c r="R76" i="105"/>
  <c r="P77" i="105"/>
  <c r="Q77" i="105"/>
  <c r="R77" i="105"/>
  <c r="P78" i="105"/>
  <c r="Q78" i="105"/>
  <c r="R78" i="105"/>
  <c r="V49" i="106"/>
  <c r="V50" i="106"/>
  <c r="U50" i="106" s="1"/>
  <c r="V51" i="106"/>
  <c r="V52" i="106"/>
  <c r="V53" i="106"/>
  <c r="U53" i="106" s="1"/>
  <c r="V54" i="106"/>
  <c r="U54" i="106" s="1"/>
  <c r="V55" i="106"/>
  <c r="V56" i="106"/>
  <c r="U56" i="106" s="1"/>
  <c r="V57" i="106"/>
  <c r="U57" i="106" s="1"/>
  <c r="V58" i="106"/>
  <c r="U58" i="106" s="1"/>
  <c r="V59" i="106"/>
  <c r="V60" i="106"/>
  <c r="V61" i="106"/>
  <c r="U61" i="106" s="1"/>
  <c r="V62" i="106"/>
  <c r="U62" i="106" s="1"/>
  <c r="V63" i="106"/>
  <c r="V64" i="106"/>
  <c r="U64" i="106" s="1"/>
  <c r="V65" i="106"/>
  <c r="U65" i="106" s="1"/>
  <c r="V66" i="106"/>
  <c r="U66" i="106" s="1"/>
  <c r="V67" i="106"/>
  <c r="V68" i="106"/>
  <c r="U68" i="106" s="1"/>
  <c r="V69" i="106"/>
  <c r="U69" i="106" s="1"/>
  <c r="V70" i="106"/>
  <c r="U70" i="106" s="1"/>
  <c r="V71" i="106"/>
  <c r="V72" i="106"/>
  <c r="U72" i="106" s="1"/>
  <c r="V73" i="106"/>
  <c r="V74" i="106"/>
  <c r="U74" i="106" s="1"/>
  <c r="V75" i="106"/>
  <c r="V76" i="106"/>
  <c r="U76" i="106" s="1"/>
  <c r="V77" i="106"/>
  <c r="U77" i="106" s="1"/>
  <c r="V78" i="106"/>
  <c r="U78" i="106"/>
  <c r="V79" i="106"/>
  <c r="P49" i="106"/>
  <c r="Q49" i="106"/>
  <c r="R49" i="106"/>
  <c r="P50" i="106"/>
  <c r="Q50" i="106"/>
  <c r="R50" i="106"/>
  <c r="P51" i="106"/>
  <c r="Q51" i="106"/>
  <c r="R51" i="106"/>
  <c r="P52" i="106"/>
  <c r="Q52" i="106"/>
  <c r="R52" i="106"/>
  <c r="P53" i="106"/>
  <c r="Q53" i="106"/>
  <c r="R53" i="106"/>
  <c r="P54" i="106"/>
  <c r="Q54" i="106"/>
  <c r="R54" i="106"/>
  <c r="P55" i="106"/>
  <c r="Q55" i="106"/>
  <c r="R55" i="106"/>
  <c r="P56" i="106"/>
  <c r="Q56" i="106"/>
  <c r="R56" i="106"/>
  <c r="P57" i="106"/>
  <c r="Q57" i="106"/>
  <c r="R57" i="106"/>
  <c r="P58" i="106"/>
  <c r="Q58" i="106"/>
  <c r="R58" i="106"/>
  <c r="P59" i="106"/>
  <c r="Q59" i="106"/>
  <c r="R59" i="106"/>
  <c r="P60" i="106"/>
  <c r="Q60" i="106"/>
  <c r="R60" i="106"/>
  <c r="P61" i="106"/>
  <c r="Q61" i="106"/>
  <c r="R61" i="106"/>
  <c r="P62" i="106"/>
  <c r="Q62" i="106"/>
  <c r="R62" i="106"/>
  <c r="P63" i="106"/>
  <c r="Q63" i="106"/>
  <c r="R63" i="106"/>
  <c r="P64" i="106"/>
  <c r="Q64" i="106"/>
  <c r="R64" i="106"/>
  <c r="P65" i="106"/>
  <c r="Q65" i="106"/>
  <c r="R65" i="106"/>
  <c r="P66" i="106"/>
  <c r="Q66" i="106"/>
  <c r="R66" i="106"/>
  <c r="P67" i="106"/>
  <c r="Q67" i="106"/>
  <c r="R67" i="106"/>
  <c r="P68" i="106"/>
  <c r="Q68" i="106"/>
  <c r="R68" i="106"/>
  <c r="P69" i="106"/>
  <c r="Q69" i="106"/>
  <c r="R69" i="106"/>
  <c r="P70" i="106"/>
  <c r="Q70" i="106"/>
  <c r="R70" i="106"/>
  <c r="P71" i="106"/>
  <c r="Q71" i="106"/>
  <c r="R71" i="106"/>
  <c r="P72" i="106"/>
  <c r="Q72" i="106"/>
  <c r="R72" i="106"/>
  <c r="P73" i="106"/>
  <c r="Q73" i="106"/>
  <c r="R73" i="106"/>
  <c r="P74" i="106"/>
  <c r="Q74" i="106"/>
  <c r="R74" i="106"/>
  <c r="P75" i="106"/>
  <c r="Q75" i="106"/>
  <c r="R75" i="106"/>
  <c r="P76" i="106"/>
  <c r="Q76" i="106"/>
  <c r="R76" i="106"/>
  <c r="P77" i="106"/>
  <c r="Q77" i="106"/>
  <c r="R77" i="106"/>
  <c r="P78" i="106"/>
  <c r="Q78" i="106"/>
  <c r="R78" i="106"/>
  <c r="P79" i="106"/>
  <c r="Q79" i="106"/>
  <c r="R79" i="106"/>
  <c r="V49" i="107"/>
  <c r="U49" i="107" s="1"/>
  <c r="V50" i="107"/>
  <c r="U50" i="107" s="1"/>
  <c r="V51" i="107"/>
  <c r="V52" i="107"/>
  <c r="V53" i="107"/>
  <c r="V54" i="107"/>
  <c r="U54" i="107" s="1"/>
  <c r="V55" i="107"/>
  <c r="V56" i="107"/>
  <c r="U56" i="107" s="1"/>
  <c r="V57" i="107"/>
  <c r="U57" i="107" s="1"/>
  <c r="V58" i="107"/>
  <c r="U58" i="107" s="1"/>
  <c r="V59" i="107"/>
  <c r="V60" i="107"/>
  <c r="U60" i="107" s="1"/>
  <c r="V61" i="107"/>
  <c r="U61" i="107" s="1"/>
  <c r="V62" i="107"/>
  <c r="U62" i="107" s="1"/>
  <c r="V63" i="107"/>
  <c r="U63" i="107" s="1"/>
  <c r="V64" i="107"/>
  <c r="U64" i="107" s="1"/>
  <c r="V65" i="107"/>
  <c r="U65" i="107" s="1"/>
  <c r="V66" i="107"/>
  <c r="U66" i="107" s="1"/>
  <c r="V67" i="107"/>
  <c r="V68" i="107"/>
  <c r="U68" i="107" s="1"/>
  <c r="V69" i="107"/>
  <c r="U69" i="107" s="1"/>
  <c r="V70" i="107"/>
  <c r="U70" i="107" s="1"/>
  <c r="V71" i="107"/>
  <c r="V72" i="107"/>
  <c r="U72" i="107" s="1"/>
  <c r="V73" i="107"/>
  <c r="U73" i="107" s="1"/>
  <c r="V74" i="107"/>
  <c r="U74" i="107" s="1"/>
  <c r="V75" i="107"/>
  <c r="V76" i="107"/>
  <c r="U76" i="107" s="1"/>
  <c r="V77" i="107"/>
  <c r="U77" i="107" s="1"/>
  <c r="V78" i="107"/>
  <c r="U78" i="107" s="1"/>
  <c r="P49" i="107"/>
  <c r="Q49" i="107"/>
  <c r="R49" i="107"/>
  <c r="P50" i="107"/>
  <c r="Q50" i="107"/>
  <c r="R50" i="107"/>
  <c r="P51" i="107"/>
  <c r="Q51" i="107"/>
  <c r="R51" i="107"/>
  <c r="P52" i="107"/>
  <c r="Q52" i="107"/>
  <c r="R52" i="107"/>
  <c r="P53" i="107"/>
  <c r="Q53" i="107"/>
  <c r="R53" i="107"/>
  <c r="P54" i="107"/>
  <c r="Q54" i="107"/>
  <c r="R54" i="107"/>
  <c r="P55" i="107"/>
  <c r="Q55" i="107"/>
  <c r="R55" i="107"/>
  <c r="P56" i="107"/>
  <c r="Q56" i="107"/>
  <c r="R56" i="107"/>
  <c r="P57" i="107"/>
  <c r="Q57" i="107"/>
  <c r="R57" i="107"/>
  <c r="P58" i="107"/>
  <c r="Q58" i="107"/>
  <c r="R58" i="107"/>
  <c r="P59" i="107"/>
  <c r="Q59" i="107"/>
  <c r="R59" i="107"/>
  <c r="P60" i="107"/>
  <c r="Q60" i="107"/>
  <c r="R60" i="107"/>
  <c r="P61" i="107"/>
  <c r="Q61" i="107"/>
  <c r="R61" i="107"/>
  <c r="P62" i="107"/>
  <c r="Q62" i="107"/>
  <c r="R62" i="107"/>
  <c r="P63" i="107"/>
  <c r="Q63" i="107"/>
  <c r="R63" i="107"/>
  <c r="P64" i="107"/>
  <c r="Q64" i="107"/>
  <c r="R64" i="107"/>
  <c r="P65" i="107"/>
  <c r="Q65" i="107"/>
  <c r="R65" i="107"/>
  <c r="P66" i="107"/>
  <c r="Q66" i="107"/>
  <c r="R66" i="107"/>
  <c r="P67" i="107"/>
  <c r="Q67" i="107"/>
  <c r="R67" i="107"/>
  <c r="P68" i="107"/>
  <c r="Q68" i="107"/>
  <c r="R68" i="107"/>
  <c r="P69" i="107"/>
  <c r="Q69" i="107"/>
  <c r="R69" i="107"/>
  <c r="P70" i="107"/>
  <c r="Q70" i="107"/>
  <c r="R70" i="107"/>
  <c r="P71" i="107"/>
  <c r="Q71" i="107"/>
  <c r="R71" i="107"/>
  <c r="P72" i="107"/>
  <c r="Q72" i="107"/>
  <c r="R72" i="107"/>
  <c r="P73" i="107"/>
  <c r="Q73" i="107"/>
  <c r="R73" i="107"/>
  <c r="P74" i="107"/>
  <c r="Q74" i="107"/>
  <c r="R74" i="107"/>
  <c r="P75" i="107"/>
  <c r="Q75" i="107"/>
  <c r="R75" i="107"/>
  <c r="P76" i="107"/>
  <c r="Q76" i="107"/>
  <c r="R76" i="107"/>
  <c r="P77" i="107"/>
  <c r="Q77" i="107"/>
  <c r="R77" i="107"/>
  <c r="P78" i="107"/>
  <c r="Q78" i="107"/>
  <c r="R78" i="107"/>
  <c r="V49" i="109"/>
  <c r="U49" i="109"/>
  <c r="V50" i="109"/>
  <c r="U50" i="109" s="1"/>
  <c r="V51" i="109"/>
  <c r="V52" i="109"/>
  <c r="V53" i="109"/>
  <c r="U53" i="109" s="1"/>
  <c r="V54" i="109"/>
  <c r="U54" i="109" s="1"/>
  <c r="V55" i="109"/>
  <c r="U55" i="109" s="1"/>
  <c r="V56" i="109"/>
  <c r="V57" i="109"/>
  <c r="U57" i="109" s="1"/>
  <c r="V58" i="109"/>
  <c r="U58" i="109" s="1"/>
  <c r="V59" i="109"/>
  <c r="V60" i="109"/>
  <c r="U60" i="109" s="1"/>
  <c r="V61" i="109"/>
  <c r="U61" i="109" s="1"/>
  <c r="V62" i="109"/>
  <c r="U62" i="109" s="1"/>
  <c r="V63" i="109"/>
  <c r="V64" i="109"/>
  <c r="U64" i="109" s="1"/>
  <c r="V65" i="109"/>
  <c r="U65" i="109" s="1"/>
  <c r="V66" i="109"/>
  <c r="U66" i="109" s="1"/>
  <c r="V67" i="109"/>
  <c r="V68" i="109"/>
  <c r="U68" i="109" s="1"/>
  <c r="V69" i="109"/>
  <c r="U69" i="109" s="1"/>
  <c r="V70" i="109"/>
  <c r="U70" i="109" s="1"/>
  <c r="V71" i="109"/>
  <c r="V72" i="109"/>
  <c r="V73" i="109"/>
  <c r="U73" i="109" s="1"/>
  <c r="V74" i="109"/>
  <c r="U74" i="109" s="1"/>
  <c r="V75" i="109"/>
  <c r="V76" i="109"/>
  <c r="V77" i="109"/>
  <c r="U77" i="109" s="1"/>
  <c r="V78" i="109"/>
  <c r="U78" i="109" s="1"/>
  <c r="V79" i="109"/>
  <c r="P49" i="109"/>
  <c r="Q49" i="109"/>
  <c r="R49" i="109"/>
  <c r="P50" i="109"/>
  <c r="Q50" i="109"/>
  <c r="R50" i="109"/>
  <c r="P51" i="109"/>
  <c r="Q51" i="109"/>
  <c r="R51" i="109"/>
  <c r="P52" i="109"/>
  <c r="Q52" i="109"/>
  <c r="R52" i="109"/>
  <c r="P53" i="109"/>
  <c r="Q53" i="109"/>
  <c r="R53" i="109"/>
  <c r="P54" i="109"/>
  <c r="Q54" i="109"/>
  <c r="R54" i="109"/>
  <c r="P55" i="109"/>
  <c r="Q55" i="109"/>
  <c r="R55" i="109"/>
  <c r="P56" i="109"/>
  <c r="Q56" i="109"/>
  <c r="R56" i="109"/>
  <c r="P57" i="109"/>
  <c r="Q57" i="109"/>
  <c r="R57" i="109"/>
  <c r="P58" i="109"/>
  <c r="Q58" i="109"/>
  <c r="R58" i="109"/>
  <c r="P59" i="109"/>
  <c r="Q59" i="109"/>
  <c r="R59" i="109"/>
  <c r="P60" i="109"/>
  <c r="Q60" i="109"/>
  <c r="R60" i="109"/>
  <c r="P61" i="109"/>
  <c r="Q61" i="109"/>
  <c r="R61" i="109"/>
  <c r="P62" i="109"/>
  <c r="Q62" i="109"/>
  <c r="R62" i="109"/>
  <c r="P63" i="109"/>
  <c r="Q63" i="109"/>
  <c r="R63" i="109"/>
  <c r="P64" i="109"/>
  <c r="Q64" i="109"/>
  <c r="R64" i="109"/>
  <c r="P65" i="109"/>
  <c r="Q65" i="109"/>
  <c r="R65" i="109"/>
  <c r="P66" i="109"/>
  <c r="Q66" i="109"/>
  <c r="R66" i="109"/>
  <c r="P67" i="109"/>
  <c r="Q67" i="109"/>
  <c r="R67" i="109"/>
  <c r="P68" i="109"/>
  <c r="Q68" i="109"/>
  <c r="R68" i="109"/>
  <c r="P69" i="109"/>
  <c r="Q69" i="109"/>
  <c r="R69" i="109"/>
  <c r="P70" i="109"/>
  <c r="Q70" i="109"/>
  <c r="R70" i="109"/>
  <c r="P71" i="109"/>
  <c r="Q71" i="109"/>
  <c r="R71" i="109"/>
  <c r="P72" i="109"/>
  <c r="Q72" i="109"/>
  <c r="R72" i="109"/>
  <c r="P73" i="109"/>
  <c r="Q73" i="109"/>
  <c r="R73" i="109"/>
  <c r="P74" i="109"/>
  <c r="Q74" i="109"/>
  <c r="R74" i="109"/>
  <c r="P75" i="109"/>
  <c r="Q75" i="109"/>
  <c r="R75" i="109"/>
  <c r="P76" i="109"/>
  <c r="Q76" i="109"/>
  <c r="R76" i="109"/>
  <c r="P77" i="109"/>
  <c r="Q77" i="109"/>
  <c r="R77" i="109"/>
  <c r="P78" i="109"/>
  <c r="Q78" i="109"/>
  <c r="R78" i="109"/>
  <c r="P79" i="109"/>
  <c r="Q79" i="109"/>
  <c r="R79" i="109"/>
  <c r="V60" i="91"/>
  <c r="U60" i="91" s="1"/>
  <c r="V61" i="91"/>
  <c r="U61" i="91" s="1"/>
  <c r="V62" i="91"/>
  <c r="V63" i="91"/>
  <c r="V64" i="91"/>
  <c r="U64" i="91" s="1"/>
  <c r="V65" i="91"/>
  <c r="U65" i="91" s="1"/>
  <c r="V66" i="91"/>
  <c r="V67" i="91"/>
  <c r="U67" i="91" s="1"/>
  <c r="V68" i="91"/>
  <c r="U68" i="91" s="1"/>
  <c r="V69" i="91"/>
  <c r="U69" i="91" s="1"/>
  <c r="V70" i="91"/>
  <c r="V71" i="91"/>
  <c r="U71" i="91" s="1"/>
  <c r="V72" i="91"/>
  <c r="U72" i="91" s="1"/>
  <c r="V73" i="91"/>
  <c r="U73" i="91" s="1"/>
  <c r="V74" i="91"/>
  <c r="V75" i="91"/>
  <c r="U75" i="91" s="1"/>
  <c r="V76" i="91"/>
  <c r="U76" i="91" s="1"/>
  <c r="V77" i="91"/>
  <c r="U77" i="91" s="1"/>
  <c r="V78" i="91"/>
  <c r="V79" i="91"/>
  <c r="U79" i="91" s="1"/>
  <c r="V80" i="91"/>
  <c r="U80" i="91" s="1"/>
  <c r="V81" i="91"/>
  <c r="U81" i="91" s="1"/>
  <c r="V82" i="91"/>
  <c r="V83" i="91"/>
  <c r="U83" i="91" s="1"/>
  <c r="V84" i="91"/>
  <c r="U84" i="91" s="1"/>
  <c r="V85" i="91"/>
  <c r="U85" i="91" s="1"/>
  <c r="V86" i="91"/>
  <c r="V87" i="91"/>
  <c r="U87" i="91" s="1"/>
  <c r="P60" i="91"/>
  <c r="R60" i="91"/>
  <c r="P61" i="91"/>
  <c r="R61" i="91"/>
  <c r="P62" i="91"/>
  <c r="R62" i="91"/>
  <c r="P63" i="91"/>
  <c r="R63" i="91"/>
  <c r="P64" i="91"/>
  <c r="R64" i="91"/>
  <c r="P65" i="91"/>
  <c r="R65" i="91"/>
  <c r="P66" i="91"/>
  <c r="R66" i="91"/>
  <c r="P67" i="91"/>
  <c r="R67" i="91"/>
  <c r="P68" i="91"/>
  <c r="R68" i="91"/>
  <c r="P69" i="91"/>
  <c r="R69" i="91"/>
  <c r="P70" i="91"/>
  <c r="R70" i="91"/>
  <c r="P71" i="91"/>
  <c r="R71" i="91"/>
  <c r="P72" i="91"/>
  <c r="R72" i="91"/>
  <c r="P73" i="91"/>
  <c r="R73" i="91"/>
  <c r="P74" i="91"/>
  <c r="R74" i="91"/>
  <c r="P75" i="91"/>
  <c r="R75" i="91"/>
  <c r="P76" i="91"/>
  <c r="R76" i="91"/>
  <c r="P77" i="91"/>
  <c r="R77" i="91"/>
  <c r="P78" i="91"/>
  <c r="R78" i="91"/>
  <c r="P79" i="91"/>
  <c r="R79" i="91"/>
  <c r="P80" i="91"/>
  <c r="R80" i="91"/>
  <c r="P81" i="91"/>
  <c r="R81" i="91"/>
  <c r="P82" i="91"/>
  <c r="R82" i="91"/>
  <c r="P83" i="91"/>
  <c r="R83" i="91"/>
  <c r="P84" i="91"/>
  <c r="R84" i="91"/>
  <c r="P85" i="91"/>
  <c r="R85" i="91"/>
  <c r="P86" i="91"/>
  <c r="R86" i="91"/>
  <c r="P87" i="91"/>
  <c r="R87" i="91"/>
  <c r="P88" i="91"/>
  <c r="R88" i="91"/>
  <c r="V58" i="110"/>
  <c r="U58" i="110" s="1"/>
  <c r="V59" i="110"/>
  <c r="U59" i="110" s="1"/>
  <c r="V60" i="110"/>
  <c r="U60" i="110" s="1"/>
  <c r="V61" i="110"/>
  <c r="V62" i="110"/>
  <c r="U62" i="110" s="1"/>
  <c r="V63" i="110"/>
  <c r="U63" i="110" s="1"/>
  <c r="V64" i="110"/>
  <c r="U64" i="110" s="1"/>
  <c r="V65" i="110"/>
  <c r="U65" i="110" s="1"/>
  <c r="V66" i="110"/>
  <c r="U66" i="110" s="1"/>
  <c r="V67" i="110"/>
  <c r="U67" i="110" s="1"/>
  <c r="V68" i="110"/>
  <c r="V69" i="110"/>
  <c r="U69" i="110" s="1"/>
  <c r="V70" i="110"/>
  <c r="V71" i="110"/>
  <c r="U71" i="110" s="1"/>
  <c r="V72" i="110"/>
  <c r="V73" i="110"/>
  <c r="U73" i="110" s="1"/>
  <c r="V74" i="110"/>
  <c r="U74" i="110" s="1"/>
  <c r="V75" i="110"/>
  <c r="U75" i="110" s="1"/>
  <c r="V76" i="110"/>
  <c r="U76" i="110" s="1"/>
  <c r="V77" i="110"/>
  <c r="U77" i="110" s="1"/>
  <c r="V78" i="110"/>
  <c r="U78" i="110" s="1"/>
  <c r="V79" i="110"/>
  <c r="U79" i="110" s="1"/>
  <c r="V80" i="110"/>
  <c r="U80" i="110" s="1"/>
  <c r="V81" i="110"/>
  <c r="U81" i="110" s="1"/>
  <c r="V82" i="110"/>
  <c r="U82" i="110" s="1"/>
  <c r="V83" i="110"/>
  <c r="U83" i="110" s="1"/>
  <c r="V84" i="110"/>
  <c r="V85" i="110"/>
  <c r="U85" i="110" s="1"/>
  <c r="P58" i="110"/>
  <c r="Q58" i="110"/>
  <c r="R58" i="110"/>
  <c r="P59" i="110"/>
  <c r="Q59" i="110"/>
  <c r="R59" i="110"/>
  <c r="P60" i="110"/>
  <c r="Q60" i="110"/>
  <c r="R60" i="110"/>
  <c r="P61" i="110"/>
  <c r="Q61" i="110"/>
  <c r="R61" i="110"/>
  <c r="P62" i="110"/>
  <c r="Q62" i="110"/>
  <c r="P63" i="110"/>
  <c r="Q63" i="110"/>
  <c r="R63" i="110"/>
  <c r="P64" i="110"/>
  <c r="Q64" i="110"/>
  <c r="R64" i="110"/>
  <c r="P65" i="110"/>
  <c r="Q65" i="110"/>
  <c r="R65" i="110"/>
  <c r="P66" i="110"/>
  <c r="Q66" i="110"/>
  <c r="R66" i="110"/>
  <c r="P67" i="110"/>
  <c r="Q67" i="110"/>
  <c r="R67" i="110"/>
  <c r="P68" i="110"/>
  <c r="Q68" i="110"/>
  <c r="R68" i="110"/>
  <c r="P69" i="110"/>
  <c r="Q69" i="110"/>
  <c r="R69" i="110"/>
  <c r="P70" i="110"/>
  <c r="Q70" i="110"/>
  <c r="R70" i="110"/>
  <c r="P71" i="110"/>
  <c r="Q71" i="110"/>
  <c r="R71" i="110"/>
  <c r="P72" i="110"/>
  <c r="Q72" i="110"/>
  <c r="R72" i="110"/>
  <c r="P73" i="110"/>
  <c r="Q73" i="110"/>
  <c r="R73" i="110"/>
  <c r="P74" i="110"/>
  <c r="Q74" i="110"/>
  <c r="R74" i="110"/>
  <c r="P75" i="110"/>
  <c r="Q75" i="110"/>
  <c r="R75" i="110"/>
  <c r="P76" i="110"/>
  <c r="Q76" i="110"/>
  <c r="R76" i="110"/>
  <c r="P77" i="110"/>
  <c r="Q77" i="110"/>
  <c r="R77" i="110"/>
  <c r="P78" i="110"/>
  <c r="Q78" i="110"/>
  <c r="R78" i="110"/>
  <c r="P79" i="110"/>
  <c r="Q79" i="110"/>
  <c r="R79" i="110"/>
  <c r="P80" i="110"/>
  <c r="Q80" i="110"/>
  <c r="R80" i="110"/>
  <c r="P81" i="110"/>
  <c r="Q81" i="110"/>
  <c r="R81" i="110"/>
  <c r="P82" i="110"/>
  <c r="Q82" i="110"/>
  <c r="R82" i="110"/>
  <c r="P83" i="110"/>
  <c r="Q83" i="110"/>
  <c r="R83" i="110"/>
  <c r="P84" i="110"/>
  <c r="Q84" i="110"/>
  <c r="R84" i="110"/>
  <c r="P85" i="110"/>
  <c r="Q85" i="110"/>
  <c r="R85" i="110"/>
  <c r="W86" i="110"/>
  <c r="W87" i="110"/>
  <c r="W88" i="110"/>
  <c r="V58" i="111"/>
  <c r="U58" i="111" s="1"/>
  <c r="V59" i="111"/>
  <c r="U59" i="111" s="1"/>
  <c r="V60" i="111"/>
  <c r="U60" i="111" s="1"/>
  <c r="V61" i="111"/>
  <c r="V62" i="111"/>
  <c r="U62" i="111" s="1"/>
  <c r="V63" i="111"/>
  <c r="U63" i="111" s="1"/>
  <c r="V64" i="111"/>
  <c r="U64" i="111" s="1"/>
  <c r="V65" i="111"/>
  <c r="V66" i="111"/>
  <c r="U66" i="111" s="1"/>
  <c r="V67" i="111"/>
  <c r="U67" i="111" s="1"/>
  <c r="V68" i="111"/>
  <c r="U68" i="111" s="1"/>
  <c r="V69" i="111"/>
  <c r="U69" i="111" s="1"/>
  <c r="V70" i="111"/>
  <c r="V71" i="111"/>
  <c r="U71" i="111" s="1"/>
  <c r="V72" i="111"/>
  <c r="U72" i="111" s="1"/>
  <c r="V73" i="111"/>
  <c r="V74" i="111"/>
  <c r="U74" i="111" s="1"/>
  <c r="V75" i="111"/>
  <c r="U75" i="111" s="1"/>
  <c r="V76" i="111"/>
  <c r="U76" i="111" s="1"/>
  <c r="V77" i="111"/>
  <c r="V78" i="111"/>
  <c r="U78" i="111" s="1"/>
  <c r="V79" i="111"/>
  <c r="U79" i="111" s="1"/>
  <c r="V80" i="111"/>
  <c r="U80" i="111" s="1"/>
  <c r="V81" i="111"/>
  <c r="V82" i="111"/>
  <c r="V83" i="111"/>
  <c r="U83" i="111" s="1"/>
  <c r="V84" i="111"/>
  <c r="U84" i="111" s="1"/>
  <c r="V85" i="111"/>
  <c r="V86" i="111"/>
  <c r="U86" i="111" s="1"/>
  <c r="V87" i="111"/>
  <c r="U87" i="111" s="1"/>
  <c r="V88" i="111"/>
  <c r="U88" i="111" s="1"/>
  <c r="P58" i="111"/>
  <c r="R58" i="111"/>
  <c r="P59" i="111"/>
  <c r="R59" i="111"/>
  <c r="P60" i="111"/>
  <c r="R60" i="111"/>
  <c r="P61" i="111"/>
  <c r="R61" i="111"/>
  <c r="P62" i="111"/>
  <c r="R62" i="111"/>
  <c r="P63" i="111"/>
  <c r="R63" i="111"/>
  <c r="P64" i="111"/>
  <c r="R64" i="111"/>
  <c r="P65" i="111"/>
  <c r="R65" i="111"/>
  <c r="P66" i="111"/>
  <c r="R66" i="111"/>
  <c r="P67" i="111"/>
  <c r="R67" i="111"/>
  <c r="P68" i="111"/>
  <c r="R68" i="111"/>
  <c r="P69" i="111"/>
  <c r="R69" i="111"/>
  <c r="P70" i="111"/>
  <c r="R70" i="111"/>
  <c r="P71" i="111"/>
  <c r="R71" i="111"/>
  <c r="P72" i="111"/>
  <c r="R72" i="111"/>
  <c r="P73" i="111"/>
  <c r="R73" i="111"/>
  <c r="P74" i="111"/>
  <c r="R74" i="111"/>
  <c r="P75" i="111"/>
  <c r="R75" i="111"/>
  <c r="P76" i="111"/>
  <c r="R76" i="111"/>
  <c r="P77" i="111"/>
  <c r="R77" i="111"/>
  <c r="P78" i="111"/>
  <c r="R78" i="111"/>
  <c r="P79" i="111"/>
  <c r="R79" i="111"/>
  <c r="P80" i="111"/>
  <c r="R80" i="111"/>
  <c r="P81" i="111"/>
  <c r="R81" i="111"/>
  <c r="P82" i="111"/>
  <c r="R82" i="111"/>
  <c r="P83" i="111"/>
  <c r="R83" i="111"/>
  <c r="P84" i="111"/>
  <c r="R84" i="111"/>
  <c r="P85" i="111"/>
  <c r="R85" i="111"/>
  <c r="P86" i="111"/>
  <c r="R86" i="111"/>
  <c r="P87" i="111"/>
  <c r="R87" i="111"/>
  <c r="P88" i="111"/>
  <c r="R88" i="111"/>
  <c r="V59" i="112"/>
  <c r="V60" i="112"/>
  <c r="U60" i="112" s="1"/>
  <c r="V61" i="112"/>
  <c r="U61" i="112" s="1"/>
  <c r="V62" i="112"/>
  <c r="U62" i="112" s="1"/>
  <c r="V63" i="112"/>
  <c r="V64" i="112"/>
  <c r="U64" i="112" s="1"/>
  <c r="V65" i="112"/>
  <c r="U65" i="112" s="1"/>
  <c r="V66" i="112"/>
  <c r="U66" i="112" s="1"/>
  <c r="V67" i="112"/>
  <c r="U67" i="112" s="1"/>
  <c r="V68" i="112"/>
  <c r="U68" i="112" s="1"/>
  <c r="V69" i="112"/>
  <c r="U69" i="112" s="1"/>
  <c r="V70" i="112"/>
  <c r="U70" i="112" s="1"/>
  <c r="V71" i="112"/>
  <c r="U71" i="112" s="1"/>
  <c r="V72" i="112"/>
  <c r="U72" i="112" s="1"/>
  <c r="V73" i="112"/>
  <c r="U73" i="112" s="1"/>
  <c r="V74" i="112"/>
  <c r="U74" i="112" s="1"/>
  <c r="V75" i="112"/>
  <c r="V76" i="112"/>
  <c r="U76" i="112" s="1"/>
  <c r="V77" i="112"/>
  <c r="U77" i="112" s="1"/>
  <c r="V78" i="112"/>
  <c r="U78" i="112" s="1"/>
  <c r="V79" i="112"/>
  <c r="V80" i="112"/>
  <c r="U80" i="112" s="1"/>
  <c r="V81" i="112"/>
  <c r="U81" i="112" s="1"/>
  <c r="V82" i="112"/>
  <c r="U82" i="112" s="1"/>
  <c r="V83" i="112"/>
  <c r="U83" i="112" s="1"/>
  <c r="V84" i="112"/>
  <c r="U84" i="112" s="1"/>
  <c r="V85" i="112"/>
  <c r="U85" i="112" s="1"/>
  <c r="V86" i="112"/>
  <c r="U86" i="112" s="1"/>
  <c r="V87" i="112"/>
  <c r="P58" i="112"/>
  <c r="Q58" i="112"/>
  <c r="R58" i="112"/>
  <c r="P59" i="112"/>
  <c r="Q59" i="112"/>
  <c r="R59" i="112"/>
  <c r="P60" i="112"/>
  <c r="Q60" i="112"/>
  <c r="R60" i="112"/>
  <c r="P61" i="112"/>
  <c r="Q61" i="112"/>
  <c r="R61" i="112"/>
  <c r="P62" i="112"/>
  <c r="Q62" i="112"/>
  <c r="R62" i="112"/>
  <c r="P63" i="112"/>
  <c r="Q63" i="112"/>
  <c r="R63" i="112"/>
  <c r="P64" i="112"/>
  <c r="Q64" i="112"/>
  <c r="R64" i="112"/>
  <c r="P65" i="112"/>
  <c r="Q65" i="112"/>
  <c r="R65" i="112"/>
  <c r="P66" i="112"/>
  <c r="Q66" i="112"/>
  <c r="R66" i="112"/>
  <c r="P67" i="112"/>
  <c r="Q67" i="112"/>
  <c r="R67" i="112"/>
  <c r="P68" i="112"/>
  <c r="Q68" i="112"/>
  <c r="R68" i="112"/>
  <c r="P69" i="112"/>
  <c r="Q69" i="112"/>
  <c r="R69" i="112"/>
  <c r="P70" i="112"/>
  <c r="Q70" i="112"/>
  <c r="R70" i="112"/>
  <c r="P71" i="112"/>
  <c r="Q71" i="112"/>
  <c r="R71" i="112"/>
  <c r="P72" i="112"/>
  <c r="Q72" i="112"/>
  <c r="R72" i="112"/>
  <c r="P73" i="112"/>
  <c r="Q73" i="112"/>
  <c r="R73" i="112"/>
  <c r="P74" i="112"/>
  <c r="Q74" i="112"/>
  <c r="R74" i="112"/>
  <c r="P75" i="112"/>
  <c r="Q75" i="112"/>
  <c r="R75" i="112"/>
  <c r="P76" i="112"/>
  <c r="Q76" i="112"/>
  <c r="R76" i="112"/>
  <c r="P77" i="112"/>
  <c r="Q77" i="112"/>
  <c r="R77" i="112"/>
  <c r="P78" i="112"/>
  <c r="Q78" i="112"/>
  <c r="R78" i="112"/>
  <c r="P79" i="112"/>
  <c r="Q79" i="112"/>
  <c r="R79" i="112"/>
  <c r="P80" i="112"/>
  <c r="Q80" i="112"/>
  <c r="R80" i="112"/>
  <c r="P81" i="112"/>
  <c r="Q81" i="112"/>
  <c r="R81" i="112"/>
  <c r="P82" i="112"/>
  <c r="Q82" i="112"/>
  <c r="E82" i="112" s="1"/>
  <c r="R82" i="112"/>
  <c r="P83" i="112"/>
  <c r="Q83" i="112"/>
  <c r="R83" i="112"/>
  <c r="P84" i="112"/>
  <c r="Q84" i="112"/>
  <c r="R84" i="112"/>
  <c r="P85" i="112"/>
  <c r="Q85" i="112"/>
  <c r="R85" i="112"/>
  <c r="P86" i="112"/>
  <c r="Q86" i="112"/>
  <c r="R86" i="112"/>
  <c r="P87" i="112"/>
  <c r="Q87" i="112"/>
  <c r="R87" i="112"/>
  <c r="W88" i="112"/>
  <c r="R61" i="47"/>
  <c r="C49" i="84"/>
  <c r="C47" i="84" s="1"/>
  <c r="E11" i="84"/>
  <c r="H61" i="47" s="1"/>
  <c r="E10" i="84"/>
  <c r="O43" i="84"/>
  <c r="L80" i="84"/>
  <c r="I44" i="84" s="1"/>
  <c r="M80" i="84"/>
  <c r="I41" i="84" s="1"/>
  <c r="N80" i="84"/>
  <c r="I42" i="84"/>
  <c r="O80" i="84"/>
  <c r="I43" i="84" s="1"/>
  <c r="O32" i="84"/>
  <c r="R49" i="47"/>
  <c r="S49" i="47"/>
  <c r="C49" i="40"/>
  <c r="E11" i="40"/>
  <c r="F11" i="40" s="1"/>
  <c r="G11" i="40" s="1"/>
  <c r="E10" i="40"/>
  <c r="M27" i="91"/>
  <c r="N27" i="91" s="1"/>
  <c r="Y27" i="91" s="1"/>
  <c r="M28" i="91"/>
  <c r="N28" i="91" s="1"/>
  <c r="Y28" i="91" s="1"/>
  <c r="M29" i="91"/>
  <c r="N29" i="91" s="1"/>
  <c r="Y29" i="91" s="1"/>
  <c r="I15" i="91"/>
  <c r="M30" i="91" s="1"/>
  <c r="M89" i="91"/>
  <c r="K37" i="91" s="1"/>
  <c r="I16" i="91"/>
  <c r="M40" i="91" s="1"/>
  <c r="N40" i="91" s="1"/>
  <c r="N89" i="91"/>
  <c r="K38" i="91" s="1"/>
  <c r="O89" i="91"/>
  <c r="K39" i="91" s="1"/>
  <c r="C58" i="91"/>
  <c r="C56" i="91" s="1"/>
  <c r="H21" i="91" s="1"/>
  <c r="D84" i="91" s="1"/>
  <c r="U99" i="123"/>
  <c r="W99" i="123"/>
  <c r="G71" i="132"/>
  <c r="G72" i="132"/>
  <c r="G73" i="132"/>
  <c r="G74" i="132"/>
  <c r="G75" i="132"/>
  <c r="G76" i="132"/>
  <c r="G77" i="132"/>
  <c r="G78" i="132"/>
  <c r="G79" i="132"/>
  <c r="G80" i="132"/>
  <c r="G81" i="132"/>
  <c r="G82" i="132"/>
  <c r="G83" i="132"/>
  <c r="G84" i="132"/>
  <c r="G85" i="132"/>
  <c r="G86" i="132"/>
  <c r="G87" i="132"/>
  <c r="G88" i="132"/>
  <c r="G89" i="132"/>
  <c r="G90" i="132"/>
  <c r="G91" i="132"/>
  <c r="G92" i="132"/>
  <c r="G93" i="132"/>
  <c r="G94" i="132"/>
  <c r="G95" i="132"/>
  <c r="G96" i="132"/>
  <c r="G97" i="132"/>
  <c r="G98" i="132"/>
  <c r="G99" i="132"/>
  <c r="G100" i="132"/>
  <c r="G101" i="132"/>
  <c r="G71" i="133"/>
  <c r="C69" i="133"/>
  <c r="S101" i="123"/>
  <c r="T101" i="123"/>
  <c r="O101" i="123"/>
  <c r="AP102" i="133"/>
  <c r="X102" i="133"/>
  <c r="Q102" i="133"/>
  <c r="K102" i="133"/>
  <c r="J102" i="133"/>
  <c r="W101" i="133"/>
  <c r="U101" i="133"/>
  <c r="R101" i="133"/>
  <c r="G101" i="133"/>
  <c r="F101" i="133"/>
  <c r="E101" i="133"/>
  <c r="W100" i="133"/>
  <c r="U100" i="133"/>
  <c r="R100" i="133"/>
  <c r="G100" i="133"/>
  <c r="F100" i="133"/>
  <c r="E100" i="133"/>
  <c r="W99" i="133"/>
  <c r="U99" i="133"/>
  <c r="R99" i="133"/>
  <c r="G99" i="133"/>
  <c r="F99" i="133"/>
  <c r="E99" i="133"/>
  <c r="W98" i="133"/>
  <c r="U98" i="133"/>
  <c r="R98" i="133"/>
  <c r="G98" i="133"/>
  <c r="F98" i="133"/>
  <c r="E98" i="133"/>
  <c r="W97" i="133"/>
  <c r="U97" i="133"/>
  <c r="R97" i="133"/>
  <c r="G97" i="133"/>
  <c r="F97" i="133"/>
  <c r="E97" i="133"/>
  <c r="W96" i="133"/>
  <c r="U96" i="133"/>
  <c r="R96" i="133"/>
  <c r="G96" i="133"/>
  <c r="F96" i="133"/>
  <c r="E96" i="133"/>
  <c r="W95" i="133"/>
  <c r="U95" i="133"/>
  <c r="R95" i="133"/>
  <c r="G95" i="133"/>
  <c r="F95" i="133"/>
  <c r="E95" i="133"/>
  <c r="W94" i="133"/>
  <c r="U94" i="133"/>
  <c r="R94" i="133"/>
  <c r="G94" i="133"/>
  <c r="F94" i="133"/>
  <c r="E94" i="133"/>
  <c r="W93" i="133"/>
  <c r="U93" i="133"/>
  <c r="R93" i="133"/>
  <c r="G93" i="133"/>
  <c r="F93" i="133"/>
  <c r="E93" i="133"/>
  <c r="W92" i="133"/>
  <c r="U92" i="133"/>
  <c r="R92" i="133"/>
  <c r="G92" i="133"/>
  <c r="F92" i="133"/>
  <c r="E92" i="133"/>
  <c r="W91" i="133"/>
  <c r="U91" i="133"/>
  <c r="R91" i="133"/>
  <c r="G91" i="133"/>
  <c r="F91" i="133"/>
  <c r="E91" i="133"/>
  <c r="W90" i="133"/>
  <c r="U90" i="133"/>
  <c r="R90" i="133"/>
  <c r="G90" i="133"/>
  <c r="F90" i="133"/>
  <c r="E90" i="133"/>
  <c r="W89" i="133"/>
  <c r="U89" i="133"/>
  <c r="R89" i="133"/>
  <c r="G89" i="133"/>
  <c r="F89" i="133"/>
  <c r="E89" i="133"/>
  <c r="W88" i="133"/>
  <c r="U88" i="133"/>
  <c r="R88" i="133"/>
  <c r="G88" i="133"/>
  <c r="F88" i="133"/>
  <c r="E88" i="133"/>
  <c r="W87" i="133"/>
  <c r="U87" i="133"/>
  <c r="R87" i="133"/>
  <c r="G87" i="133"/>
  <c r="F87" i="133"/>
  <c r="E87" i="133"/>
  <c r="W86" i="133"/>
  <c r="U86" i="133"/>
  <c r="R86" i="133"/>
  <c r="G86" i="133"/>
  <c r="F86" i="133"/>
  <c r="E86" i="133"/>
  <c r="W85" i="133"/>
  <c r="U85" i="133"/>
  <c r="R85" i="133"/>
  <c r="G85" i="133"/>
  <c r="F85" i="133"/>
  <c r="E85" i="133"/>
  <c r="W84" i="133"/>
  <c r="U84" i="133"/>
  <c r="R84" i="133"/>
  <c r="G84" i="133"/>
  <c r="F84" i="133"/>
  <c r="E84" i="133"/>
  <c r="R83" i="133"/>
  <c r="G83" i="133"/>
  <c r="F83" i="133"/>
  <c r="E83" i="133"/>
  <c r="W82" i="133"/>
  <c r="U82" i="133"/>
  <c r="R82" i="133"/>
  <c r="G82" i="133"/>
  <c r="F82" i="133"/>
  <c r="E82" i="133"/>
  <c r="W81" i="133"/>
  <c r="U81" i="133"/>
  <c r="U72" i="133"/>
  <c r="U73" i="133"/>
  <c r="U74" i="133"/>
  <c r="U75" i="133"/>
  <c r="U76" i="133"/>
  <c r="U77" i="133"/>
  <c r="U78" i="133"/>
  <c r="U79" i="133"/>
  <c r="U80" i="133"/>
  <c r="R81" i="133"/>
  <c r="G81" i="133"/>
  <c r="F81" i="133"/>
  <c r="E81" i="133"/>
  <c r="W80" i="133"/>
  <c r="R80" i="133"/>
  <c r="G80" i="133"/>
  <c r="F80" i="133"/>
  <c r="E80" i="133"/>
  <c r="W79" i="133"/>
  <c r="R79" i="133"/>
  <c r="G79" i="133"/>
  <c r="F79" i="133"/>
  <c r="E79" i="133"/>
  <c r="W78" i="133"/>
  <c r="R78" i="133"/>
  <c r="G78" i="133"/>
  <c r="F78" i="133"/>
  <c r="E78" i="133"/>
  <c r="W77" i="133"/>
  <c r="R77" i="133"/>
  <c r="G77" i="133"/>
  <c r="F77" i="133"/>
  <c r="E77" i="133"/>
  <c r="W76" i="133"/>
  <c r="R76" i="133"/>
  <c r="G76" i="133"/>
  <c r="F76" i="133"/>
  <c r="E76" i="133"/>
  <c r="W75" i="133"/>
  <c r="R75" i="133"/>
  <c r="G75" i="133"/>
  <c r="F75" i="133"/>
  <c r="E75" i="133"/>
  <c r="W74" i="133"/>
  <c r="R74" i="133"/>
  <c r="G74" i="133"/>
  <c r="F74" i="133"/>
  <c r="E74" i="133"/>
  <c r="W73" i="133"/>
  <c r="R73" i="133"/>
  <c r="G73" i="133"/>
  <c r="F73" i="133"/>
  <c r="E73" i="133"/>
  <c r="W72" i="133"/>
  <c r="R72" i="133"/>
  <c r="G72" i="133"/>
  <c r="F72" i="133"/>
  <c r="E72" i="133"/>
  <c r="C72" i="133"/>
  <c r="C73" i="133" s="1"/>
  <c r="C74" i="133" s="1"/>
  <c r="C75" i="133" s="1"/>
  <c r="C76" i="133" s="1"/>
  <c r="C77" i="133" s="1"/>
  <c r="C78" i="133" s="1"/>
  <c r="C79" i="133" s="1"/>
  <c r="C80" i="133" s="1"/>
  <c r="C81" i="133" s="1"/>
  <c r="C82" i="133" s="1"/>
  <c r="C83" i="133" s="1"/>
  <c r="C84" i="133" s="1"/>
  <c r="C85" i="133" s="1"/>
  <c r="C86" i="133" s="1"/>
  <c r="C87" i="133" s="1"/>
  <c r="C88" i="133" s="1"/>
  <c r="C89" i="133" s="1"/>
  <c r="C90" i="133" s="1"/>
  <c r="C91" i="133" s="1"/>
  <c r="C92" i="133" s="1"/>
  <c r="C93" i="133" s="1"/>
  <c r="C94" i="133" s="1"/>
  <c r="C95" i="133" s="1"/>
  <c r="C96" i="133" s="1"/>
  <c r="C97" i="133" s="1"/>
  <c r="C98" i="133" s="1"/>
  <c r="C99" i="133" s="1"/>
  <c r="C100" i="133" s="1"/>
  <c r="C101" i="133" s="1"/>
  <c r="F71" i="133"/>
  <c r="E71" i="133"/>
  <c r="V44" i="133"/>
  <c r="L33" i="133"/>
  <c r="K32" i="133"/>
  <c r="K33" i="133" s="1"/>
  <c r="W31" i="133"/>
  <c r="N51" i="124"/>
  <c r="Y51" i="124" s="1"/>
  <c r="G73" i="124"/>
  <c r="G74" i="124"/>
  <c r="G75" i="124"/>
  <c r="G77" i="124"/>
  <c r="G78" i="124"/>
  <c r="G79" i="124"/>
  <c r="G81" i="124"/>
  <c r="G82" i="124"/>
  <c r="G83" i="124"/>
  <c r="G85" i="124"/>
  <c r="G86" i="124"/>
  <c r="G87" i="124"/>
  <c r="G89" i="124"/>
  <c r="G90" i="124"/>
  <c r="G91" i="124"/>
  <c r="G93" i="124"/>
  <c r="G94" i="124"/>
  <c r="G95" i="124"/>
  <c r="G97" i="124"/>
  <c r="G98" i="124"/>
  <c r="G99" i="124"/>
  <c r="E79" i="124"/>
  <c r="E86" i="124"/>
  <c r="E93" i="124"/>
  <c r="E95" i="124"/>
  <c r="N101" i="123"/>
  <c r="K52" i="123" s="1"/>
  <c r="P101" i="123"/>
  <c r="Y30" i="123" s="1"/>
  <c r="I15" i="123"/>
  <c r="I16" i="123"/>
  <c r="J16" i="133"/>
  <c r="K16" i="133" s="1"/>
  <c r="R70" i="47"/>
  <c r="R69" i="47"/>
  <c r="F100" i="123"/>
  <c r="F99" i="123"/>
  <c r="F98" i="123"/>
  <c r="F97" i="123"/>
  <c r="F96" i="123"/>
  <c r="F95" i="123"/>
  <c r="F94" i="123"/>
  <c r="F93" i="123"/>
  <c r="F92" i="123"/>
  <c r="F91" i="123"/>
  <c r="F90" i="123"/>
  <c r="F89" i="123"/>
  <c r="F88" i="123"/>
  <c r="F87" i="123"/>
  <c r="F86" i="123"/>
  <c r="F85" i="123"/>
  <c r="F84" i="123"/>
  <c r="F83" i="123"/>
  <c r="F82" i="123"/>
  <c r="F81" i="123"/>
  <c r="F80" i="123"/>
  <c r="F79" i="123"/>
  <c r="F78" i="123"/>
  <c r="F77" i="123"/>
  <c r="F76" i="123"/>
  <c r="F75" i="123"/>
  <c r="F74" i="123"/>
  <c r="F73" i="123"/>
  <c r="F72" i="123"/>
  <c r="F71" i="123"/>
  <c r="F70" i="123"/>
  <c r="R101" i="132"/>
  <c r="R100" i="132"/>
  <c r="R99" i="132"/>
  <c r="R98" i="132"/>
  <c r="R97" i="132"/>
  <c r="R96" i="132"/>
  <c r="R95" i="132"/>
  <c r="R94" i="132"/>
  <c r="R93" i="132"/>
  <c r="R92" i="132"/>
  <c r="R91" i="132"/>
  <c r="R90" i="132"/>
  <c r="R89" i="132"/>
  <c r="R88" i="132"/>
  <c r="R87" i="132"/>
  <c r="R86" i="132"/>
  <c r="R85" i="132"/>
  <c r="R84" i="132"/>
  <c r="R83" i="132"/>
  <c r="R82" i="132"/>
  <c r="R81" i="132"/>
  <c r="R80" i="132"/>
  <c r="R79" i="132"/>
  <c r="R78" i="132"/>
  <c r="R77" i="132"/>
  <c r="R76" i="132"/>
  <c r="R75" i="132"/>
  <c r="R74" i="132"/>
  <c r="R73" i="132"/>
  <c r="R72" i="132"/>
  <c r="R71" i="132"/>
  <c r="U100" i="124"/>
  <c r="U99" i="124"/>
  <c r="U98" i="124"/>
  <c r="U97" i="124"/>
  <c r="U96" i="124"/>
  <c r="U95" i="124"/>
  <c r="U94" i="124"/>
  <c r="U93" i="124"/>
  <c r="U92" i="124"/>
  <c r="U91" i="124"/>
  <c r="U90" i="124"/>
  <c r="U89" i="124"/>
  <c r="U88" i="124"/>
  <c r="U87" i="124"/>
  <c r="U86" i="124"/>
  <c r="U85" i="124"/>
  <c r="U84" i="124"/>
  <c r="U83" i="124"/>
  <c r="U82" i="124"/>
  <c r="U81" i="124"/>
  <c r="U80" i="124"/>
  <c r="U79" i="124"/>
  <c r="U78" i="124"/>
  <c r="U77" i="124"/>
  <c r="U76" i="124"/>
  <c r="U75" i="124"/>
  <c r="U74" i="124"/>
  <c r="U73" i="124"/>
  <c r="U72" i="124"/>
  <c r="U71" i="124"/>
  <c r="R100" i="124"/>
  <c r="R99" i="124"/>
  <c r="R98" i="124"/>
  <c r="R97" i="124"/>
  <c r="R96" i="124"/>
  <c r="R95" i="124"/>
  <c r="R94" i="124"/>
  <c r="R93" i="124"/>
  <c r="R92" i="124"/>
  <c r="R91" i="124"/>
  <c r="R90" i="124"/>
  <c r="R89" i="124"/>
  <c r="R88" i="124"/>
  <c r="R87" i="124"/>
  <c r="R86" i="124"/>
  <c r="R85" i="124"/>
  <c r="R84" i="124"/>
  <c r="R83" i="124"/>
  <c r="R82" i="124"/>
  <c r="R81" i="124"/>
  <c r="R80" i="124"/>
  <c r="R79" i="124"/>
  <c r="R78" i="124"/>
  <c r="R77" i="124"/>
  <c r="R76" i="124"/>
  <c r="W76" i="124"/>
  <c r="R75" i="124"/>
  <c r="R74" i="124"/>
  <c r="R73" i="124"/>
  <c r="R72" i="124"/>
  <c r="R100" i="123"/>
  <c r="R99" i="123"/>
  <c r="R98" i="123"/>
  <c r="R97" i="123"/>
  <c r="R96" i="123"/>
  <c r="R95" i="123"/>
  <c r="R94" i="123"/>
  <c r="R93" i="123"/>
  <c r="R92" i="123"/>
  <c r="R91" i="123"/>
  <c r="R90" i="123"/>
  <c r="R89" i="123"/>
  <c r="R88" i="123"/>
  <c r="R87" i="123"/>
  <c r="R86" i="123"/>
  <c r="R85" i="123"/>
  <c r="R84" i="123"/>
  <c r="R83" i="123"/>
  <c r="R82" i="123"/>
  <c r="R81" i="123"/>
  <c r="R80" i="123"/>
  <c r="R79" i="123"/>
  <c r="R78" i="123"/>
  <c r="R77" i="123"/>
  <c r="R76" i="123"/>
  <c r="R75" i="123"/>
  <c r="R74" i="123"/>
  <c r="R73" i="123"/>
  <c r="R72" i="123"/>
  <c r="R71" i="123"/>
  <c r="R70" i="123"/>
  <c r="Q102" i="132"/>
  <c r="T101" i="124"/>
  <c r="S101" i="124"/>
  <c r="Q101" i="124"/>
  <c r="W100" i="124"/>
  <c r="W99" i="124"/>
  <c r="W98" i="124"/>
  <c r="W97" i="124"/>
  <c r="W96" i="124"/>
  <c r="W95" i="124"/>
  <c r="W94" i="124"/>
  <c r="W93" i="124"/>
  <c r="W92" i="124"/>
  <c r="W91" i="124"/>
  <c r="W90" i="124"/>
  <c r="W89" i="124"/>
  <c r="W88" i="124"/>
  <c r="W87" i="124"/>
  <c r="W86" i="124"/>
  <c r="W85" i="124"/>
  <c r="W84" i="124"/>
  <c r="W83" i="124"/>
  <c r="W82" i="124"/>
  <c r="W81" i="124"/>
  <c r="W80" i="124"/>
  <c r="W79" i="124"/>
  <c r="W78" i="124"/>
  <c r="W77" i="124"/>
  <c r="W75" i="124"/>
  <c r="W74" i="124"/>
  <c r="W73" i="124"/>
  <c r="W72" i="124"/>
  <c r="K32" i="132"/>
  <c r="K33" i="132" s="1"/>
  <c r="E100" i="132"/>
  <c r="AP102" i="132"/>
  <c r="X102" i="132"/>
  <c r="M102" i="132"/>
  <c r="K102" i="132"/>
  <c r="J102" i="132"/>
  <c r="E101" i="132"/>
  <c r="E99" i="132"/>
  <c r="E98" i="132"/>
  <c r="E97" i="132"/>
  <c r="E96" i="132"/>
  <c r="E95" i="132"/>
  <c r="E94" i="132"/>
  <c r="E93" i="132"/>
  <c r="E92" i="132"/>
  <c r="E91" i="132"/>
  <c r="E90" i="132"/>
  <c r="E89" i="132"/>
  <c r="E88" i="132"/>
  <c r="E87" i="132"/>
  <c r="E86" i="132"/>
  <c r="E85" i="132"/>
  <c r="E84" i="132"/>
  <c r="E83" i="132"/>
  <c r="E82" i="132"/>
  <c r="E81" i="132"/>
  <c r="E80" i="132"/>
  <c r="E79" i="132"/>
  <c r="E78" i="132"/>
  <c r="E77" i="132"/>
  <c r="E76" i="132"/>
  <c r="E75" i="132"/>
  <c r="E74" i="132"/>
  <c r="E73" i="132"/>
  <c r="E72" i="132"/>
  <c r="C72" i="132"/>
  <c r="C73" i="132" s="1"/>
  <c r="C74" i="132" s="1"/>
  <c r="C75" i="132" s="1"/>
  <c r="C76" i="132" s="1"/>
  <c r="C77" i="132" s="1"/>
  <c r="C78" i="132" s="1"/>
  <c r="C79" i="132" s="1"/>
  <c r="C80" i="132" s="1"/>
  <c r="C81" i="132" s="1"/>
  <c r="C82" i="132" s="1"/>
  <c r="C83" i="132" s="1"/>
  <c r="C84" i="132" s="1"/>
  <c r="C85" i="132" s="1"/>
  <c r="C86" i="132" s="1"/>
  <c r="C87" i="132" s="1"/>
  <c r="C88" i="132" s="1"/>
  <c r="C89" i="132" s="1"/>
  <c r="C90" i="132" s="1"/>
  <c r="C91" i="132" s="1"/>
  <c r="C92" i="132" s="1"/>
  <c r="C93" i="132" s="1"/>
  <c r="C94" i="132" s="1"/>
  <c r="C95" i="132" s="1"/>
  <c r="C96" i="132" s="1"/>
  <c r="C97" i="132" s="1"/>
  <c r="C98" i="132" s="1"/>
  <c r="C99" i="132" s="1"/>
  <c r="C100" i="132" s="1"/>
  <c r="C101" i="132" s="1"/>
  <c r="E71" i="132"/>
  <c r="W31" i="132"/>
  <c r="L33" i="132"/>
  <c r="V44" i="132"/>
  <c r="E76" i="123"/>
  <c r="E77" i="123"/>
  <c r="E78" i="123"/>
  <c r="E79" i="123"/>
  <c r="E80" i="123"/>
  <c r="E81" i="123"/>
  <c r="E82" i="123"/>
  <c r="E83" i="123"/>
  <c r="E84" i="123"/>
  <c r="E85" i="123"/>
  <c r="E86" i="123"/>
  <c r="E87" i="123"/>
  <c r="E88" i="123"/>
  <c r="E89" i="123"/>
  <c r="E90" i="123"/>
  <c r="E91" i="123"/>
  <c r="E92" i="123"/>
  <c r="E93" i="123"/>
  <c r="E94" i="123"/>
  <c r="E95" i="123"/>
  <c r="E96" i="123"/>
  <c r="E97" i="123"/>
  <c r="E98" i="123"/>
  <c r="E99" i="123"/>
  <c r="E100" i="123"/>
  <c r="I16" i="124"/>
  <c r="I15" i="124"/>
  <c r="M31" i="124" s="1"/>
  <c r="E100" i="124"/>
  <c r="E99" i="124"/>
  <c r="E98" i="124"/>
  <c r="E97" i="124"/>
  <c r="E96" i="124"/>
  <c r="E94" i="124"/>
  <c r="E92" i="124"/>
  <c r="E91" i="124"/>
  <c r="E90" i="124"/>
  <c r="E89" i="124"/>
  <c r="E88" i="124"/>
  <c r="E87" i="124"/>
  <c r="E85" i="124"/>
  <c r="E83" i="124"/>
  <c r="E82" i="124"/>
  <c r="E81" i="124"/>
  <c r="E80" i="124"/>
  <c r="E78" i="124"/>
  <c r="E77" i="124"/>
  <c r="E76" i="124"/>
  <c r="E75" i="124"/>
  <c r="E74" i="124"/>
  <c r="E73" i="124"/>
  <c r="E72" i="124"/>
  <c r="E71" i="124"/>
  <c r="W31" i="124"/>
  <c r="K44" i="124"/>
  <c r="Q101" i="123"/>
  <c r="Y43" i="123"/>
  <c r="K303" i="1"/>
  <c r="L303" i="1" s="1"/>
  <c r="J5" i="1"/>
  <c r="K5" i="1" s="1"/>
  <c r="L5" i="1" s="1"/>
  <c r="J6" i="1"/>
  <c r="K6" i="1" s="1"/>
  <c r="L6" i="1" s="1"/>
  <c r="J7" i="1"/>
  <c r="K7" i="1" s="1"/>
  <c r="L7" i="1" s="1"/>
  <c r="J8" i="1"/>
  <c r="K8" i="1" s="1"/>
  <c r="L8" i="1" s="1"/>
  <c r="J9" i="1"/>
  <c r="K9" i="1" s="1"/>
  <c r="L9" i="1" s="1"/>
  <c r="J10" i="1"/>
  <c r="K10" i="1" s="1"/>
  <c r="L10" i="1" s="1"/>
  <c r="J11" i="1"/>
  <c r="K11" i="1" s="1"/>
  <c r="L11" i="1" s="1"/>
  <c r="J12" i="1"/>
  <c r="K12" i="1" s="1"/>
  <c r="L12" i="1" s="1"/>
  <c r="J13" i="1"/>
  <c r="K13" i="1" s="1"/>
  <c r="L13" i="1" s="1"/>
  <c r="J14" i="1"/>
  <c r="K14" i="1" s="1"/>
  <c r="L14" i="1" s="1"/>
  <c r="J15" i="1"/>
  <c r="K15" i="1" s="1"/>
  <c r="L15" i="1" s="1"/>
  <c r="J16" i="1"/>
  <c r="K16" i="1" s="1"/>
  <c r="L16" i="1" s="1"/>
  <c r="J17" i="1"/>
  <c r="K17" i="1" s="1"/>
  <c r="L17" i="1" s="1"/>
  <c r="J18" i="1"/>
  <c r="K18" i="1" s="1"/>
  <c r="L18" i="1" s="1"/>
  <c r="J19" i="1"/>
  <c r="K19" i="1" s="1"/>
  <c r="L19" i="1" s="1"/>
  <c r="J20" i="1"/>
  <c r="K20" i="1" s="1"/>
  <c r="L20" i="1" s="1"/>
  <c r="J21" i="1"/>
  <c r="K21" i="1" s="1"/>
  <c r="L21" i="1" s="1"/>
  <c r="J22" i="1"/>
  <c r="K22" i="1" s="1"/>
  <c r="L22" i="1" s="1"/>
  <c r="J23" i="1"/>
  <c r="K23" i="1" s="1"/>
  <c r="L23" i="1" s="1"/>
  <c r="J24" i="1"/>
  <c r="K24" i="1" s="1"/>
  <c r="L24" i="1" s="1"/>
  <c r="J25" i="1"/>
  <c r="K25" i="1" s="1"/>
  <c r="L25" i="1" s="1"/>
  <c r="J26" i="1"/>
  <c r="K26" i="1" s="1"/>
  <c r="L26" i="1" s="1"/>
  <c r="J27" i="1"/>
  <c r="K27" i="1" s="1"/>
  <c r="L27" i="1" s="1"/>
  <c r="J28" i="1"/>
  <c r="K28" i="1" s="1"/>
  <c r="L28" i="1" s="1"/>
  <c r="J29" i="1"/>
  <c r="K29" i="1" s="1"/>
  <c r="L29" i="1" s="1"/>
  <c r="J30" i="1"/>
  <c r="K30" i="1" s="1"/>
  <c r="L30" i="1" s="1"/>
  <c r="J31" i="1"/>
  <c r="K31" i="1" s="1"/>
  <c r="L31" i="1" s="1"/>
  <c r="J32" i="1"/>
  <c r="K32" i="1" s="1"/>
  <c r="L32" i="1" s="1"/>
  <c r="J33" i="1"/>
  <c r="K33" i="1" s="1"/>
  <c r="L33" i="1" s="1"/>
  <c r="J34" i="1"/>
  <c r="K34" i="1" s="1"/>
  <c r="L34" i="1" s="1"/>
  <c r="J35" i="1"/>
  <c r="K35" i="1" s="1"/>
  <c r="L35" i="1" s="1"/>
  <c r="J36" i="1"/>
  <c r="K36" i="1" s="1"/>
  <c r="L36" i="1" s="1"/>
  <c r="J37" i="1"/>
  <c r="K37" i="1" s="1"/>
  <c r="L37" i="1" s="1"/>
  <c r="J38" i="1"/>
  <c r="K38" i="1" s="1"/>
  <c r="L38" i="1" s="1"/>
  <c r="J39" i="1"/>
  <c r="K39" i="1" s="1"/>
  <c r="L39" i="1" s="1"/>
  <c r="J40" i="1"/>
  <c r="K40" i="1" s="1"/>
  <c r="L40" i="1" s="1"/>
  <c r="J41" i="1"/>
  <c r="K41" i="1" s="1"/>
  <c r="L41" i="1" s="1"/>
  <c r="J42" i="1"/>
  <c r="K42" i="1" s="1"/>
  <c r="L42" i="1" s="1"/>
  <c r="J43" i="1"/>
  <c r="K43" i="1" s="1"/>
  <c r="L43" i="1" s="1"/>
  <c r="J44" i="1"/>
  <c r="K44" i="1" s="1"/>
  <c r="L44" i="1" s="1"/>
  <c r="J45" i="1"/>
  <c r="K45" i="1" s="1"/>
  <c r="L45" i="1" s="1"/>
  <c r="J46" i="1"/>
  <c r="K46" i="1" s="1"/>
  <c r="L46" i="1" s="1"/>
  <c r="J47" i="1"/>
  <c r="K47" i="1" s="1"/>
  <c r="L47" i="1" s="1"/>
  <c r="J48" i="1"/>
  <c r="K48" i="1" s="1"/>
  <c r="L48" i="1" s="1"/>
  <c r="J49" i="1"/>
  <c r="K49" i="1" s="1"/>
  <c r="L49" i="1" s="1"/>
  <c r="J50" i="1"/>
  <c r="K50" i="1" s="1"/>
  <c r="L50" i="1" s="1"/>
  <c r="J51" i="1"/>
  <c r="K51" i="1" s="1"/>
  <c r="L51" i="1" s="1"/>
  <c r="J52" i="1"/>
  <c r="K52" i="1" s="1"/>
  <c r="L52" i="1" s="1"/>
  <c r="J53" i="1"/>
  <c r="K53" i="1" s="1"/>
  <c r="L53" i="1" s="1"/>
  <c r="J54" i="1"/>
  <c r="K54" i="1" s="1"/>
  <c r="L54" i="1" s="1"/>
  <c r="J55" i="1"/>
  <c r="K55" i="1" s="1"/>
  <c r="L55" i="1" s="1"/>
  <c r="J56" i="1"/>
  <c r="K56" i="1" s="1"/>
  <c r="L56" i="1" s="1"/>
  <c r="J57" i="1"/>
  <c r="K57" i="1" s="1"/>
  <c r="L57" i="1" s="1"/>
  <c r="J58" i="1"/>
  <c r="K58" i="1" s="1"/>
  <c r="L58" i="1" s="1"/>
  <c r="J59" i="1"/>
  <c r="K59" i="1" s="1"/>
  <c r="L59" i="1" s="1"/>
  <c r="J60" i="1"/>
  <c r="K60" i="1" s="1"/>
  <c r="L60" i="1" s="1"/>
  <c r="J61" i="1"/>
  <c r="K61" i="1" s="1"/>
  <c r="L61" i="1" s="1"/>
  <c r="J62" i="1"/>
  <c r="K62" i="1" s="1"/>
  <c r="L62" i="1" s="1"/>
  <c r="J63" i="1"/>
  <c r="K63" i="1" s="1"/>
  <c r="L63" i="1" s="1"/>
  <c r="J64" i="1"/>
  <c r="K64" i="1" s="1"/>
  <c r="L64" i="1" s="1"/>
  <c r="J65" i="1"/>
  <c r="K65" i="1" s="1"/>
  <c r="L65" i="1" s="1"/>
  <c r="J66" i="1"/>
  <c r="K66" i="1" s="1"/>
  <c r="L66" i="1" s="1"/>
  <c r="J67" i="1"/>
  <c r="K67" i="1" s="1"/>
  <c r="L67" i="1" s="1"/>
  <c r="J68" i="1"/>
  <c r="K68" i="1" s="1"/>
  <c r="L68" i="1" s="1"/>
  <c r="J69" i="1"/>
  <c r="K69" i="1" s="1"/>
  <c r="L69" i="1" s="1"/>
  <c r="J70" i="1"/>
  <c r="K70" i="1" s="1"/>
  <c r="L70" i="1" s="1"/>
  <c r="J71" i="1"/>
  <c r="K71" i="1" s="1"/>
  <c r="L71" i="1" s="1"/>
  <c r="J72" i="1"/>
  <c r="K72" i="1" s="1"/>
  <c r="L72" i="1" s="1"/>
  <c r="J73" i="1"/>
  <c r="K73" i="1" s="1"/>
  <c r="L73" i="1" s="1"/>
  <c r="J74" i="1"/>
  <c r="K74" i="1" s="1"/>
  <c r="L74" i="1" s="1"/>
  <c r="J75" i="1"/>
  <c r="K75" i="1"/>
  <c r="L75" i="1" s="1"/>
  <c r="J76" i="1"/>
  <c r="K76" i="1" s="1"/>
  <c r="L76" i="1" s="1"/>
  <c r="J77" i="1"/>
  <c r="K77" i="1" s="1"/>
  <c r="L77" i="1" s="1"/>
  <c r="J78" i="1"/>
  <c r="K78" i="1" s="1"/>
  <c r="L78" i="1" s="1"/>
  <c r="J79" i="1"/>
  <c r="K79" i="1" s="1"/>
  <c r="L79" i="1" s="1"/>
  <c r="J80" i="1"/>
  <c r="K80" i="1" s="1"/>
  <c r="L80" i="1" s="1"/>
  <c r="J81" i="1"/>
  <c r="K81" i="1" s="1"/>
  <c r="L81" i="1" s="1"/>
  <c r="J82" i="1"/>
  <c r="K82" i="1" s="1"/>
  <c r="L82" i="1" s="1"/>
  <c r="J83" i="1"/>
  <c r="K83" i="1" s="1"/>
  <c r="L83" i="1" s="1"/>
  <c r="J84" i="1"/>
  <c r="K84" i="1" s="1"/>
  <c r="L84" i="1" s="1"/>
  <c r="J85" i="1"/>
  <c r="K85" i="1" s="1"/>
  <c r="L85" i="1" s="1"/>
  <c r="J86" i="1"/>
  <c r="K86" i="1" s="1"/>
  <c r="L86" i="1" s="1"/>
  <c r="J87" i="1"/>
  <c r="K87" i="1" s="1"/>
  <c r="L87" i="1"/>
  <c r="J88" i="1"/>
  <c r="K88" i="1" s="1"/>
  <c r="L88" i="1" s="1"/>
  <c r="J89" i="1"/>
  <c r="K89" i="1" s="1"/>
  <c r="L89" i="1" s="1"/>
  <c r="J90" i="1"/>
  <c r="K90" i="1" s="1"/>
  <c r="L90" i="1" s="1"/>
  <c r="J91" i="1"/>
  <c r="K91" i="1" s="1"/>
  <c r="L91" i="1" s="1"/>
  <c r="J92" i="1"/>
  <c r="K92" i="1" s="1"/>
  <c r="L92" i="1" s="1"/>
  <c r="J93" i="1"/>
  <c r="K93" i="1" s="1"/>
  <c r="L93" i="1" s="1"/>
  <c r="J94" i="1"/>
  <c r="K94" i="1" s="1"/>
  <c r="L94" i="1" s="1"/>
  <c r="J95" i="1"/>
  <c r="K95" i="1" s="1"/>
  <c r="L95" i="1" s="1"/>
  <c r="J96" i="1"/>
  <c r="K96" i="1" s="1"/>
  <c r="L96" i="1" s="1"/>
  <c r="J97" i="1"/>
  <c r="K97" i="1" s="1"/>
  <c r="L97" i="1" s="1"/>
  <c r="J98" i="1"/>
  <c r="K98" i="1" s="1"/>
  <c r="L98" i="1" s="1"/>
  <c r="J99" i="1"/>
  <c r="K99" i="1" s="1"/>
  <c r="L99" i="1" s="1"/>
  <c r="J100" i="1"/>
  <c r="K100" i="1" s="1"/>
  <c r="L100" i="1" s="1"/>
  <c r="J101" i="1"/>
  <c r="K101" i="1" s="1"/>
  <c r="L101" i="1" s="1"/>
  <c r="J102" i="1"/>
  <c r="K102" i="1" s="1"/>
  <c r="L102" i="1" s="1"/>
  <c r="J103" i="1"/>
  <c r="K103" i="1" s="1"/>
  <c r="L103" i="1" s="1"/>
  <c r="J104" i="1"/>
  <c r="K104" i="1" s="1"/>
  <c r="L104" i="1" s="1"/>
  <c r="J105" i="1"/>
  <c r="K105" i="1" s="1"/>
  <c r="L105" i="1" s="1"/>
  <c r="J106" i="1"/>
  <c r="K106" i="1"/>
  <c r="L106" i="1" s="1"/>
  <c r="J107" i="1"/>
  <c r="K107" i="1" s="1"/>
  <c r="L107" i="1" s="1"/>
  <c r="J108" i="1"/>
  <c r="K108" i="1" s="1"/>
  <c r="L108" i="1" s="1"/>
  <c r="J109" i="1"/>
  <c r="K109" i="1" s="1"/>
  <c r="L109" i="1" s="1"/>
  <c r="J110" i="1"/>
  <c r="K110" i="1" s="1"/>
  <c r="L110" i="1" s="1"/>
  <c r="J111" i="1"/>
  <c r="K111" i="1" s="1"/>
  <c r="L111" i="1" s="1"/>
  <c r="J112" i="1"/>
  <c r="K112" i="1" s="1"/>
  <c r="L112" i="1" s="1"/>
  <c r="J113" i="1"/>
  <c r="K113" i="1" s="1"/>
  <c r="L113" i="1" s="1"/>
  <c r="J114" i="1"/>
  <c r="K114" i="1" s="1"/>
  <c r="L114" i="1" s="1"/>
  <c r="J115" i="1"/>
  <c r="K115" i="1" s="1"/>
  <c r="L115" i="1" s="1"/>
  <c r="J116" i="1"/>
  <c r="K116" i="1" s="1"/>
  <c r="L116" i="1" s="1"/>
  <c r="J117" i="1"/>
  <c r="K117" i="1" s="1"/>
  <c r="L117" i="1" s="1"/>
  <c r="J118" i="1"/>
  <c r="K118" i="1" s="1"/>
  <c r="L118" i="1" s="1"/>
  <c r="J119" i="1"/>
  <c r="K119" i="1" s="1"/>
  <c r="L119" i="1" s="1"/>
  <c r="J120" i="1"/>
  <c r="K120" i="1" s="1"/>
  <c r="L120" i="1" s="1"/>
  <c r="J121" i="1"/>
  <c r="K121" i="1" s="1"/>
  <c r="L121" i="1" s="1"/>
  <c r="J122" i="1"/>
  <c r="K122" i="1" s="1"/>
  <c r="L122" i="1" s="1"/>
  <c r="J123" i="1"/>
  <c r="K123" i="1" s="1"/>
  <c r="L123" i="1" s="1"/>
  <c r="J124" i="1"/>
  <c r="K124" i="1" s="1"/>
  <c r="L124" i="1" s="1"/>
  <c r="J125" i="1"/>
  <c r="K125" i="1" s="1"/>
  <c r="L125" i="1" s="1"/>
  <c r="J126" i="1"/>
  <c r="K126" i="1" s="1"/>
  <c r="L126" i="1" s="1"/>
  <c r="J127" i="1"/>
  <c r="K127" i="1" s="1"/>
  <c r="L127" i="1" s="1"/>
  <c r="J128" i="1"/>
  <c r="K128" i="1" s="1"/>
  <c r="L128" i="1" s="1"/>
  <c r="J129" i="1"/>
  <c r="K129" i="1" s="1"/>
  <c r="L129" i="1" s="1"/>
  <c r="J130" i="1"/>
  <c r="K130" i="1" s="1"/>
  <c r="L130" i="1" s="1"/>
  <c r="J131" i="1"/>
  <c r="K131" i="1" s="1"/>
  <c r="L131" i="1" s="1"/>
  <c r="J132" i="1"/>
  <c r="K132" i="1" s="1"/>
  <c r="L132" i="1" s="1"/>
  <c r="J133" i="1"/>
  <c r="K133" i="1" s="1"/>
  <c r="L133" i="1" s="1"/>
  <c r="J134" i="1"/>
  <c r="K134" i="1" s="1"/>
  <c r="L134" i="1" s="1"/>
  <c r="J135" i="1"/>
  <c r="K135" i="1" s="1"/>
  <c r="L135" i="1" s="1"/>
  <c r="J136" i="1"/>
  <c r="K136" i="1" s="1"/>
  <c r="L136" i="1" s="1"/>
  <c r="J137" i="1"/>
  <c r="K137" i="1" s="1"/>
  <c r="L137" i="1" s="1"/>
  <c r="J138" i="1"/>
  <c r="K138" i="1" s="1"/>
  <c r="L138" i="1" s="1"/>
  <c r="J139" i="1"/>
  <c r="K139" i="1" s="1"/>
  <c r="L139" i="1" s="1"/>
  <c r="J140" i="1"/>
  <c r="K140" i="1" s="1"/>
  <c r="L140" i="1" s="1"/>
  <c r="J141" i="1"/>
  <c r="K141" i="1" s="1"/>
  <c r="L141" i="1" s="1"/>
  <c r="J142" i="1"/>
  <c r="K142" i="1" s="1"/>
  <c r="L142" i="1" s="1"/>
  <c r="J143" i="1"/>
  <c r="K143" i="1" s="1"/>
  <c r="L143" i="1" s="1"/>
  <c r="J144" i="1"/>
  <c r="K144" i="1" s="1"/>
  <c r="L144" i="1" s="1"/>
  <c r="J145" i="1"/>
  <c r="K145" i="1" s="1"/>
  <c r="L145" i="1" s="1"/>
  <c r="J146" i="1"/>
  <c r="K146" i="1" s="1"/>
  <c r="L146" i="1" s="1"/>
  <c r="J147" i="1"/>
  <c r="K147" i="1" s="1"/>
  <c r="L147" i="1" s="1"/>
  <c r="J148" i="1"/>
  <c r="K148" i="1" s="1"/>
  <c r="L148" i="1" s="1"/>
  <c r="J149" i="1"/>
  <c r="K149" i="1" s="1"/>
  <c r="L149" i="1" s="1"/>
  <c r="J150" i="1"/>
  <c r="K150" i="1" s="1"/>
  <c r="L150" i="1" s="1"/>
  <c r="J151" i="1"/>
  <c r="K151" i="1" s="1"/>
  <c r="L151" i="1" s="1"/>
  <c r="J152" i="1"/>
  <c r="K152" i="1" s="1"/>
  <c r="L152" i="1" s="1"/>
  <c r="J153" i="1"/>
  <c r="K153" i="1" s="1"/>
  <c r="L153" i="1" s="1"/>
  <c r="J154" i="1"/>
  <c r="K154" i="1" s="1"/>
  <c r="L154" i="1" s="1"/>
  <c r="J155" i="1"/>
  <c r="K155" i="1" s="1"/>
  <c r="L155" i="1" s="1"/>
  <c r="J156" i="1"/>
  <c r="K156" i="1" s="1"/>
  <c r="L156" i="1" s="1"/>
  <c r="J157" i="1"/>
  <c r="K157" i="1" s="1"/>
  <c r="L157" i="1" s="1"/>
  <c r="J158" i="1"/>
  <c r="K158" i="1" s="1"/>
  <c r="L158" i="1" s="1"/>
  <c r="J159" i="1"/>
  <c r="K159" i="1" s="1"/>
  <c r="L159" i="1" s="1"/>
  <c r="J160" i="1"/>
  <c r="K160" i="1" s="1"/>
  <c r="L160" i="1" s="1"/>
  <c r="J161" i="1"/>
  <c r="K161" i="1" s="1"/>
  <c r="L161" i="1" s="1"/>
  <c r="J162" i="1"/>
  <c r="K162" i="1" s="1"/>
  <c r="L162" i="1" s="1"/>
  <c r="J163" i="1"/>
  <c r="K163" i="1" s="1"/>
  <c r="L163" i="1" s="1"/>
  <c r="J164" i="1"/>
  <c r="K164" i="1" s="1"/>
  <c r="L164" i="1" s="1"/>
  <c r="J165" i="1"/>
  <c r="K165" i="1" s="1"/>
  <c r="L165" i="1" s="1"/>
  <c r="J166" i="1"/>
  <c r="K166" i="1" s="1"/>
  <c r="L166" i="1" s="1"/>
  <c r="J167" i="1"/>
  <c r="K167" i="1" s="1"/>
  <c r="L167" i="1" s="1"/>
  <c r="J168" i="1"/>
  <c r="K168" i="1" s="1"/>
  <c r="L168" i="1" s="1"/>
  <c r="J169" i="1"/>
  <c r="K169" i="1" s="1"/>
  <c r="L169" i="1" s="1"/>
  <c r="J170" i="1"/>
  <c r="K170" i="1" s="1"/>
  <c r="L170" i="1" s="1"/>
  <c r="J171" i="1"/>
  <c r="K171" i="1" s="1"/>
  <c r="L171" i="1" s="1"/>
  <c r="J172" i="1"/>
  <c r="K172" i="1" s="1"/>
  <c r="L172" i="1" s="1"/>
  <c r="J173" i="1"/>
  <c r="K173" i="1" s="1"/>
  <c r="L173" i="1" s="1"/>
  <c r="J174" i="1"/>
  <c r="K174" i="1" s="1"/>
  <c r="L174" i="1" s="1"/>
  <c r="J175" i="1"/>
  <c r="K175" i="1" s="1"/>
  <c r="L175" i="1" s="1"/>
  <c r="J176" i="1"/>
  <c r="K176" i="1" s="1"/>
  <c r="L176" i="1" s="1"/>
  <c r="J177" i="1"/>
  <c r="K177" i="1" s="1"/>
  <c r="L177" i="1" s="1"/>
  <c r="J178" i="1"/>
  <c r="K178" i="1" s="1"/>
  <c r="L178" i="1" s="1"/>
  <c r="J179" i="1"/>
  <c r="K179" i="1" s="1"/>
  <c r="L179" i="1" s="1"/>
  <c r="J180" i="1"/>
  <c r="K180" i="1" s="1"/>
  <c r="L180" i="1" s="1"/>
  <c r="J181" i="1"/>
  <c r="K181" i="1" s="1"/>
  <c r="L181" i="1" s="1"/>
  <c r="J182" i="1"/>
  <c r="K182" i="1" s="1"/>
  <c r="L182" i="1" s="1"/>
  <c r="J183" i="1"/>
  <c r="K183" i="1" s="1"/>
  <c r="L183" i="1" s="1"/>
  <c r="J184" i="1"/>
  <c r="K184" i="1" s="1"/>
  <c r="L184" i="1" s="1"/>
  <c r="J185" i="1"/>
  <c r="K185" i="1" s="1"/>
  <c r="L185" i="1" s="1"/>
  <c r="J186" i="1"/>
  <c r="K186" i="1" s="1"/>
  <c r="L186" i="1" s="1"/>
  <c r="J187" i="1"/>
  <c r="K187" i="1" s="1"/>
  <c r="L187" i="1" s="1"/>
  <c r="J188" i="1"/>
  <c r="K188" i="1" s="1"/>
  <c r="L188" i="1" s="1"/>
  <c r="J189" i="1"/>
  <c r="K189" i="1" s="1"/>
  <c r="L189" i="1" s="1"/>
  <c r="J190" i="1"/>
  <c r="K190" i="1" s="1"/>
  <c r="L190" i="1" s="1"/>
  <c r="J191" i="1"/>
  <c r="K191" i="1" s="1"/>
  <c r="L191" i="1" s="1"/>
  <c r="J192" i="1"/>
  <c r="K192" i="1" s="1"/>
  <c r="L192" i="1" s="1"/>
  <c r="J193" i="1"/>
  <c r="K193" i="1" s="1"/>
  <c r="L193" i="1" s="1"/>
  <c r="J194" i="1"/>
  <c r="K194" i="1" s="1"/>
  <c r="L194" i="1" s="1"/>
  <c r="J195" i="1"/>
  <c r="K195" i="1" s="1"/>
  <c r="L195" i="1" s="1"/>
  <c r="J196" i="1"/>
  <c r="K196" i="1" s="1"/>
  <c r="L196" i="1" s="1"/>
  <c r="J197" i="1"/>
  <c r="K197" i="1" s="1"/>
  <c r="L197" i="1" s="1"/>
  <c r="J198" i="1"/>
  <c r="K198" i="1" s="1"/>
  <c r="L198" i="1" s="1"/>
  <c r="J199" i="1"/>
  <c r="K199" i="1" s="1"/>
  <c r="L199" i="1" s="1"/>
  <c r="J200" i="1"/>
  <c r="K200" i="1" s="1"/>
  <c r="L200" i="1" s="1"/>
  <c r="J201" i="1"/>
  <c r="K201" i="1" s="1"/>
  <c r="L201" i="1" s="1"/>
  <c r="J202" i="1"/>
  <c r="K202" i="1" s="1"/>
  <c r="L202" i="1" s="1"/>
  <c r="J203" i="1"/>
  <c r="K203" i="1" s="1"/>
  <c r="L203" i="1" s="1"/>
  <c r="J204" i="1"/>
  <c r="K204" i="1" s="1"/>
  <c r="L204" i="1" s="1"/>
  <c r="J205" i="1"/>
  <c r="K205" i="1" s="1"/>
  <c r="L205" i="1" s="1"/>
  <c r="J206" i="1"/>
  <c r="K206" i="1" s="1"/>
  <c r="L206" i="1" s="1"/>
  <c r="J207" i="1"/>
  <c r="K207" i="1" s="1"/>
  <c r="L207" i="1" s="1"/>
  <c r="J208" i="1"/>
  <c r="K208" i="1" s="1"/>
  <c r="L208" i="1" s="1"/>
  <c r="J209" i="1"/>
  <c r="K209" i="1" s="1"/>
  <c r="L209" i="1" s="1"/>
  <c r="J210" i="1"/>
  <c r="K210" i="1" s="1"/>
  <c r="L210" i="1" s="1"/>
  <c r="J211" i="1"/>
  <c r="K211" i="1" s="1"/>
  <c r="L211" i="1" s="1"/>
  <c r="J212" i="1"/>
  <c r="K212" i="1" s="1"/>
  <c r="L212" i="1" s="1"/>
  <c r="J213" i="1"/>
  <c r="K213" i="1" s="1"/>
  <c r="L213" i="1" s="1"/>
  <c r="J214" i="1"/>
  <c r="K214" i="1" s="1"/>
  <c r="L214" i="1" s="1"/>
  <c r="J215" i="1"/>
  <c r="K215" i="1" s="1"/>
  <c r="L215" i="1" s="1"/>
  <c r="J216" i="1"/>
  <c r="K216" i="1" s="1"/>
  <c r="L216" i="1" s="1"/>
  <c r="J217" i="1"/>
  <c r="K217" i="1" s="1"/>
  <c r="L217" i="1" s="1"/>
  <c r="J218" i="1"/>
  <c r="K218" i="1" s="1"/>
  <c r="L218" i="1" s="1"/>
  <c r="J219" i="1"/>
  <c r="K219" i="1" s="1"/>
  <c r="L219" i="1" s="1"/>
  <c r="J220" i="1"/>
  <c r="K220" i="1" s="1"/>
  <c r="L220" i="1" s="1"/>
  <c r="J221" i="1"/>
  <c r="K221" i="1" s="1"/>
  <c r="L221" i="1" s="1"/>
  <c r="J222" i="1"/>
  <c r="K222" i="1" s="1"/>
  <c r="L222" i="1" s="1"/>
  <c r="J223" i="1"/>
  <c r="K223" i="1" s="1"/>
  <c r="L223" i="1" s="1"/>
  <c r="J224" i="1"/>
  <c r="K224" i="1" s="1"/>
  <c r="L224" i="1" s="1"/>
  <c r="J225" i="1"/>
  <c r="K225" i="1" s="1"/>
  <c r="L225" i="1" s="1"/>
  <c r="J226" i="1"/>
  <c r="K226" i="1" s="1"/>
  <c r="L226" i="1" s="1"/>
  <c r="J227" i="1"/>
  <c r="K227" i="1" s="1"/>
  <c r="L227" i="1" s="1"/>
  <c r="J228" i="1"/>
  <c r="K228" i="1" s="1"/>
  <c r="L228" i="1" s="1"/>
  <c r="J229" i="1"/>
  <c r="K229" i="1" s="1"/>
  <c r="L229" i="1" s="1"/>
  <c r="J230" i="1"/>
  <c r="K230" i="1" s="1"/>
  <c r="L230" i="1" s="1"/>
  <c r="J231" i="1"/>
  <c r="K231" i="1" s="1"/>
  <c r="L231" i="1" s="1"/>
  <c r="J232" i="1"/>
  <c r="K232" i="1" s="1"/>
  <c r="L232" i="1" s="1"/>
  <c r="J233" i="1"/>
  <c r="K233" i="1" s="1"/>
  <c r="L233" i="1" s="1"/>
  <c r="J234" i="1"/>
  <c r="K234" i="1" s="1"/>
  <c r="L234" i="1" s="1"/>
  <c r="J235" i="1"/>
  <c r="K235" i="1" s="1"/>
  <c r="L235" i="1" s="1"/>
  <c r="J236" i="1"/>
  <c r="K236" i="1" s="1"/>
  <c r="L236" i="1" s="1"/>
  <c r="J237" i="1"/>
  <c r="K237" i="1" s="1"/>
  <c r="L237" i="1" s="1"/>
  <c r="J238" i="1"/>
  <c r="K238" i="1" s="1"/>
  <c r="L238" i="1" s="1"/>
  <c r="J239" i="1"/>
  <c r="K239" i="1" s="1"/>
  <c r="L239" i="1" s="1"/>
  <c r="J240" i="1"/>
  <c r="K240" i="1" s="1"/>
  <c r="L240" i="1" s="1"/>
  <c r="J241" i="1"/>
  <c r="K241" i="1" s="1"/>
  <c r="L241" i="1" s="1"/>
  <c r="J242" i="1"/>
  <c r="K242" i="1" s="1"/>
  <c r="L242" i="1" s="1"/>
  <c r="J243" i="1"/>
  <c r="K243" i="1" s="1"/>
  <c r="L243" i="1" s="1"/>
  <c r="J244" i="1"/>
  <c r="K244" i="1" s="1"/>
  <c r="L244" i="1" s="1"/>
  <c r="J245" i="1"/>
  <c r="K245" i="1" s="1"/>
  <c r="L245" i="1" s="1"/>
  <c r="J246" i="1"/>
  <c r="K246" i="1" s="1"/>
  <c r="L246" i="1" s="1"/>
  <c r="J247" i="1"/>
  <c r="K247" i="1" s="1"/>
  <c r="L247" i="1" s="1"/>
  <c r="J248" i="1"/>
  <c r="K248" i="1" s="1"/>
  <c r="L248" i="1" s="1"/>
  <c r="J249" i="1"/>
  <c r="K249" i="1" s="1"/>
  <c r="L249" i="1" s="1"/>
  <c r="J250" i="1"/>
  <c r="K250" i="1" s="1"/>
  <c r="L250" i="1" s="1"/>
  <c r="J251" i="1"/>
  <c r="K251" i="1" s="1"/>
  <c r="L251" i="1" s="1"/>
  <c r="J252" i="1"/>
  <c r="K252" i="1" s="1"/>
  <c r="L252" i="1" s="1"/>
  <c r="J253" i="1"/>
  <c r="K253" i="1" s="1"/>
  <c r="L253" i="1" s="1"/>
  <c r="J254" i="1"/>
  <c r="K254" i="1" s="1"/>
  <c r="L254" i="1" s="1"/>
  <c r="J255" i="1"/>
  <c r="K255" i="1"/>
  <c r="L255" i="1" s="1"/>
  <c r="J256" i="1"/>
  <c r="K256" i="1" s="1"/>
  <c r="L256" i="1" s="1"/>
  <c r="J257" i="1"/>
  <c r="K257" i="1" s="1"/>
  <c r="L257" i="1" s="1"/>
  <c r="J258" i="1"/>
  <c r="K258" i="1"/>
  <c r="L258" i="1" s="1"/>
  <c r="J259" i="1"/>
  <c r="K259" i="1" s="1"/>
  <c r="L259" i="1" s="1"/>
  <c r="J260" i="1"/>
  <c r="K260" i="1" s="1"/>
  <c r="L260" i="1" s="1"/>
  <c r="J261" i="1"/>
  <c r="K261" i="1" s="1"/>
  <c r="L261" i="1" s="1"/>
  <c r="J262" i="1"/>
  <c r="K262" i="1" s="1"/>
  <c r="L262" i="1" s="1"/>
  <c r="J263" i="1"/>
  <c r="K263" i="1" s="1"/>
  <c r="L263" i="1" s="1"/>
  <c r="J264" i="1"/>
  <c r="K264" i="1" s="1"/>
  <c r="L264" i="1" s="1"/>
  <c r="J265" i="1"/>
  <c r="K265" i="1" s="1"/>
  <c r="L265" i="1" s="1"/>
  <c r="J266" i="1"/>
  <c r="K266" i="1" s="1"/>
  <c r="L266" i="1" s="1"/>
  <c r="J267" i="1"/>
  <c r="K267" i="1" s="1"/>
  <c r="L267" i="1" s="1"/>
  <c r="J268" i="1"/>
  <c r="K268" i="1" s="1"/>
  <c r="L268" i="1" s="1"/>
  <c r="J269" i="1"/>
  <c r="K269" i="1" s="1"/>
  <c r="L269" i="1" s="1"/>
  <c r="J270" i="1"/>
  <c r="K270" i="1" s="1"/>
  <c r="L270" i="1" s="1"/>
  <c r="J271" i="1"/>
  <c r="K271" i="1" s="1"/>
  <c r="L271" i="1" s="1"/>
  <c r="J272" i="1"/>
  <c r="K272" i="1" s="1"/>
  <c r="L272" i="1" s="1"/>
  <c r="J273" i="1"/>
  <c r="K273" i="1" s="1"/>
  <c r="L273" i="1" s="1"/>
  <c r="J274" i="1"/>
  <c r="K274" i="1" s="1"/>
  <c r="L274" i="1" s="1"/>
  <c r="J275" i="1"/>
  <c r="K275" i="1" s="1"/>
  <c r="L275" i="1" s="1"/>
  <c r="J276" i="1"/>
  <c r="K276" i="1" s="1"/>
  <c r="L276" i="1" s="1"/>
  <c r="J277" i="1"/>
  <c r="K277" i="1" s="1"/>
  <c r="L277" i="1" s="1"/>
  <c r="J278" i="1"/>
  <c r="K278" i="1" s="1"/>
  <c r="L278" i="1" s="1"/>
  <c r="J279" i="1"/>
  <c r="K279" i="1" s="1"/>
  <c r="L279" i="1" s="1"/>
  <c r="J280" i="1"/>
  <c r="K280" i="1" s="1"/>
  <c r="L280" i="1" s="1"/>
  <c r="J281" i="1"/>
  <c r="K281" i="1" s="1"/>
  <c r="L281" i="1" s="1"/>
  <c r="J282" i="1"/>
  <c r="K282" i="1" s="1"/>
  <c r="L282" i="1" s="1"/>
  <c r="J283" i="1"/>
  <c r="K283" i="1" s="1"/>
  <c r="L283" i="1" s="1"/>
  <c r="J284" i="1"/>
  <c r="K284" i="1" s="1"/>
  <c r="L284" i="1" s="1"/>
  <c r="J285" i="1"/>
  <c r="K285" i="1" s="1"/>
  <c r="L285" i="1" s="1"/>
  <c r="J286" i="1"/>
  <c r="K286" i="1" s="1"/>
  <c r="L286" i="1" s="1"/>
  <c r="J287" i="1"/>
  <c r="K287" i="1" s="1"/>
  <c r="L287" i="1" s="1"/>
  <c r="J288" i="1"/>
  <c r="K288" i="1" s="1"/>
  <c r="L288" i="1" s="1"/>
  <c r="J289" i="1"/>
  <c r="K289" i="1" s="1"/>
  <c r="L289" i="1" s="1"/>
  <c r="J290" i="1"/>
  <c r="K290" i="1" s="1"/>
  <c r="L290" i="1" s="1"/>
  <c r="J291" i="1"/>
  <c r="K291" i="1" s="1"/>
  <c r="L291" i="1" s="1"/>
  <c r="J292" i="1"/>
  <c r="K292" i="1" s="1"/>
  <c r="L292" i="1" s="1"/>
  <c r="J293" i="1"/>
  <c r="K293" i="1" s="1"/>
  <c r="L293" i="1" s="1"/>
  <c r="J294" i="1"/>
  <c r="K294" i="1" s="1"/>
  <c r="L294" i="1" s="1"/>
  <c r="J295" i="1"/>
  <c r="K295" i="1" s="1"/>
  <c r="L295" i="1" s="1"/>
  <c r="J296" i="1"/>
  <c r="K296" i="1" s="1"/>
  <c r="L296" i="1" s="1"/>
  <c r="J297" i="1"/>
  <c r="K297" i="1" s="1"/>
  <c r="L297" i="1" s="1"/>
  <c r="J298" i="1"/>
  <c r="K298" i="1" s="1"/>
  <c r="L298" i="1" s="1"/>
  <c r="J299" i="1"/>
  <c r="K299" i="1" s="1"/>
  <c r="L299" i="1" s="1"/>
  <c r="J300" i="1"/>
  <c r="K300" i="1" s="1"/>
  <c r="L300" i="1" s="1"/>
  <c r="J301" i="1"/>
  <c r="K301" i="1" s="1"/>
  <c r="L301" i="1" s="1"/>
  <c r="J302" i="1"/>
  <c r="K302" i="1" s="1"/>
  <c r="L302" i="1" s="1"/>
  <c r="J4" i="1"/>
  <c r="K4" i="1" s="1"/>
  <c r="L4" i="1" s="1"/>
  <c r="C71" i="123"/>
  <c r="C72" i="123" s="1"/>
  <c r="C73" i="123" s="1"/>
  <c r="C74" i="123" s="1"/>
  <c r="C75" i="123" s="1"/>
  <c r="C76" i="123" s="1"/>
  <c r="C77" i="123" s="1"/>
  <c r="C78" i="123" s="1"/>
  <c r="C79" i="123" s="1"/>
  <c r="C80" i="123" s="1"/>
  <c r="C81" i="123" s="1"/>
  <c r="C82" i="123" s="1"/>
  <c r="C83" i="123" s="1"/>
  <c r="C84" i="123" s="1"/>
  <c r="C85" i="123" s="1"/>
  <c r="C86" i="123" s="1"/>
  <c r="C87" i="123" s="1"/>
  <c r="C88" i="123" s="1"/>
  <c r="C89" i="123" s="1"/>
  <c r="C90" i="123" s="1"/>
  <c r="C91" i="123" s="1"/>
  <c r="C92" i="123" s="1"/>
  <c r="C93" i="123" s="1"/>
  <c r="C94" i="123" s="1"/>
  <c r="C95" i="123" s="1"/>
  <c r="C96" i="123" s="1"/>
  <c r="C97" i="123" s="1"/>
  <c r="C98" i="123" s="1"/>
  <c r="C99" i="123" s="1"/>
  <c r="C100" i="123" s="1"/>
  <c r="C68" i="123"/>
  <c r="H22" i="123" s="1"/>
  <c r="J71" i="47" s="1"/>
  <c r="G99" i="123"/>
  <c r="C56" i="112"/>
  <c r="I21" i="112" s="1"/>
  <c r="P79" i="83"/>
  <c r="Q79" i="83"/>
  <c r="R79" i="83"/>
  <c r="U50" i="35"/>
  <c r="U58" i="35"/>
  <c r="U62" i="35"/>
  <c r="U63" i="35"/>
  <c r="U66" i="35"/>
  <c r="U71" i="35"/>
  <c r="U74" i="35"/>
  <c r="U75" i="35"/>
  <c r="U51" i="109"/>
  <c r="U52" i="109"/>
  <c r="U63" i="109"/>
  <c r="U67" i="109"/>
  <c r="U71" i="109"/>
  <c r="U75" i="109"/>
  <c r="U76" i="109"/>
  <c r="U79" i="109"/>
  <c r="AP101" i="124"/>
  <c r="X101" i="124"/>
  <c r="P101" i="124"/>
  <c r="N101" i="124"/>
  <c r="K53" i="124" s="1"/>
  <c r="K101" i="124"/>
  <c r="J101" i="124"/>
  <c r="C72" i="124"/>
  <c r="C73" i="124" s="1"/>
  <c r="C74" i="124" s="1"/>
  <c r="C75" i="124" s="1"/>
  <c r="C76" i="124" s="1"/>
  <c r="C77" i="124" s="1"/>
  <c r="C78" i="124" s="1"/>
  <c r="C79" i="124" s="1"/>
  <c r="C80" i="124" s="1"/>
  <c r="C81" i="124" s="1"/>
  <c r="C82" i="124" s="1"/>
  <c r="C83" i="124" s="1"/>
  <c r="C84" i="124" s="1"/>
  <c r="C85" i="124" s="1"/>
  <c r="C86" i="124" s="1"/>
  <c r="C87" i="124" s="1"/>
  <c r="C88" i="124" s="1"/>
  <c r="C89" i="124" s="1"/>
  <c r="C90" i="124" s="1"/>
  <c r="C91" i="124" s="1"/>
  <c r="C92" i="124" s="1"/>
  <c r="C93" i="124" s="1"/>
  <c r="C94" i="124" s="1"/>
  <c r="C95" i="124" s="1"/>
  <c r="C96" i="124" s="1"/>
  <c r="C97" i="124" s="1"/>
  <c r="C98" i="124" s="1"/>
  <c r="C99" i="124" s="1"/>
  <c r="C100" i="124" s="1"/>
  <c r="X53" i="124"/>
  <c r="W50" i="124"/>
  <c r="M28" i="124"/>
  <c r="N28" i="124" s="1"/>
  <c r="M29" i="124"/>
  <c r="N29" i="124" s="1"/>
  <c r="M30" i="124"/>
  <c r="N30" i="124" s="1"/>
  <c r="L33" i="124"/>
  <c r="K33" i="124"/>
  <c r="G70" i="123"/>
  <c r="G71" i="123"/>
  <c r="G72" i="123"/>
  <c r="G73" i="123"/>
  <c r="G74" i="123"/>
  <c r="G75" i="123"/>
  <c r="G76" i="123"/>
  <c r="G77" i="123"/>
  <c r="G78" i="123"/>
  <c r="G79" i="123"/>
  <c r="G80" i="123"/>
  <c r="G81" i="123"/>
  <c r="G82" i="123"/>
  <c r="G83" i="123"/>
  <c r="G84" i="123"/>
  <c r="G85" i="123"/>
  <c r="G86" i="123"/>
  <c r="G87" i="123"/>
  <c r="G88" i="123"/>
  <c r="G89" i="123"/>
  <c r="G90" i="123"/>
  <c r="G91" i="123"/>
  <c r="G92" i="123"/>
  <c r="G93" i="123"/>
  <c r="G94" i="123"/>
  <c r="G95" i="123"/>
  <c r="G96" i="123"/>
  <c r="G97" i="123"/>
  <c r="G98" i="123"/>
  <c r="G100" i="123"/>
  <c r="AP101" i="123"/>
  <c r="X101" i="123"/>
  <c r="K101" i="123"/>
  <c r="J101" i="123"/>
  <c r="L33" i="123"/>
  <c r="X40" i="111"/>
  <c r="V39" i="111"/>
  <c r="C58" i="111"/>
  <c r="C56" i="111" s="1"/>
  <c r="I21" i="111" s="1"/>
  <c r="F58" i="111"/>
  <c r="F59" i="111"/>
  <c r="F60" i="111"/>
  <c r="F61" i="111"/>
  <c r="F62" i="111"/>
  <c r="F63" i="111"/>
  <c r="F64" i="111"/>
  <c r="F65" i="111"/>
  <c r="F66" i="111"/>
  <c r="F67" i="111"/>
  <c r="F68" i="111"/>
  <c r="F69" i="111"/>
  <c r="F70" i="111"/>
  <c r="F71" i="111"/>
  <c r="F72" i="111"/>
  <c r="F73" i="111"/>
  <c r="F74" i="111"/>
  <c r="F75" i="111"/>
  <c r="F76" i="111"/>
  <c r="F77" i="111"/>
  <c r="F78" i="111"/>
  <c r="F79" i="111"/>
  <c r="F80" i="111"/>
  <c r="F81" i="111"/>
  <c r="F82" i="111"/>
  <c r="F83" i="111"/>
  <c r="F84" i="111"/>
  <c r="F85" i="111"/>
  <c r="F86" i="111"/>
  <c r="F87" i="111"/>
  <c r="F88" i="111"/>
  <c r="V38" i="111"/>
  <c r="V37" i="111"/>
  <c r="W32" i="111"/>
  <c r="V32" i="111"/>
  <c r="X31" i="111"/>
  <c r="X30" i="111"/>
  <c r="X29" i="111"/>
  <c r="X28" i="111"/>
  <c r="X27" i="111"/>
  <c r="X40" i="110"/>
  <c r="V40" i="110"/>
  <c r="V39" i="110"/>
  <c r="C58" i="110"/>
  <c r="F58" i="110"/>
  <c r="F59" i="110"/>
  <c r="F60" i="110"/>
  <c r="F61" i="110"/>
  <c r="F62" i="110"/>
  <c r="F63" i="110"/>
  <c r="F64" i="110"/>
  <c r="F65" i="110"/>
  <c r="F66" i="110"/>
  <c r="F67" i="110"/>
  <c r="F68" i="110"/>
  <c r="F69" i="110"/>
  <c r="F70" i="110"/>
  <c r="F71" i="110"/>
  <c r="F72" i="110"/>
  <c r="F73" i="110"/>
  <c r="F74" i="110"/>
  <c r="F75" i="110"/>
  <c r="F76" i="110"/>
  <c r="F77" i="110"/>
  <c r="F78" i="110"/>
  <c r="F79" i="110"/>
  <c r="F80" i="110"/>
  <c r="F81" i="110"/>
  <c r="F82" i="110"/>
  <c r="F83" i="110"/>
  <c r="F84" i="110"/>
  <c r="F85" i="110"/>
  <c r="V38" i="110"/>
  <c r="V37" i="110"/>
  <c r="W32" i="110"/>
  <c r="V32" i="110"/>
  <c r="X31" i="110"/>
  <c r="X30" i="110"/>
  <c r="X29" i="110"/>
  <c r="X28" i="110"/>
  <c r="X27" i="110"/>
  <c r="X40" i="112"/>
  <c r="W39" i="112"/>
  <c r="W38" i="112"/>
  <c r="W37" i="112"/>
  <c r="W32" i="112"/>
  <c r="V32" i="112"/>
  <c r="X31" i="112"/>
  <c r="X30" i="112"/>
  <c r="X29" i="112"/>
  <c r="X28" i="112"/>
  <c r="X27" i="112"/>
  <c r="R68" i="47"/>
  <c r="S89" i="112"/>
  <c r="O89" i="112"/>
  <c r="K39" i="112" s="1"/>
  <c r="N89" i="112"/>
  <c r="K38" i="112" s="1"/>
  <c r="M89" i="112"/>
  <c r="K37" i="112" s="1"/>
  <c r="L89" i="112"/>
  <c r="K40" i="112" s="1"/>
  <c r="K89" i="112"/>
  <c r="J89" i="112"/>
  <c r="I89" i="112"/>
  <c r="U87" i="112"/>
  <c r="U79" i="112"/>
  <c r="U63" i="112"/>
  <c r="U58" i="112"/>
  <c r="C59" i="112"/>
  <c r="C60" i="112" s="1"/>
  <c r="C61" i="112" s="1"/>
  <c r="C62" i="112" s="1"/>
  <c r="C63" i="112" s="1"/>
  <c r="C64" i="112" s="1"/>
  <c r="C65" i="112" s="1"/>
  <c r="C66" i="112" s="1"/>
  <c r="C67" i="112" s="1"/>
  <c r="C68" i="112" s="1"/>
  <c r="C69" i="112" s="1"/>
  <c r="C70" i="112" s="1"/>
  <c r="C71" i="112" s="1"/>
  <c r="C72" i="112" s="1"/>
  <c r="C73" i="112" s="1"/>
  <c r="C74" i="112" s="1"/>
  <c r="C75" i="112" s="1"/>
  <c r="C76" i="112" s="1"/>
  <c r="C77" i="112" s="1"/>
  <c r="C78" i="112" s="1"/>
  <c r="C79" i="112" s="1"/>
  <c r="C80" i="112" s="1"/>
  <c r="C81" i="112" s="1"/>
  <c r="C82" i="112" s="1"/>
  <c r="C83" i="112" s="1"/>
  <c r="C84" i="112" s="1"/>
  <c r="C85" i="112" s="1"/>
  <c r="C86" i="112" s="1"/>
  <c r="C87" i="112" s="1"/>
  <c r="M40" i="112"/>
  <c r="N40" i="112" s="1"/>
  <c r="Y40" i="112" s="1"/>
  <c r="L32" i="112"/>
  <c r="K32" i="112"/>
  <c r="M29" i="112"/>
  <c r="N29" i="112" s="1"/>
  <c r="Y29" i="112" s="1"/>
  <c r="M28" i="112"/>
  <c r="N28" i="112" s="1"/>
  <c r="Y28" i="112" s="1"/>
  <c r="M27" i="112"/>
  <c r="N27" i="112" s="1"/>
  <c r="Y27" i="112" s="1"/>
  <c r="S89" i="111"/>
  <c r="O89" i="111"/>
  <c r="K39" i="111" s="1"/>
  <c r="N89" i="111"/>
  <c r="K38" i="111" s="1"/>
  <c r="M89" i="111"/>
  <c r="K37" i="111" s="1"/>
  <c r="L89" i="111"/>
  <c r="K40" i="111" s="1"/>
  <c r="K89" i="111"/>
  <c r="J89" i="111"/>
  <c r="I89" i="111"/>
  <c r="U85" i="111"/>
  <c r="U70" i="111"/>
  <c r="M40" i="111"/>
  <c r="N40" i="111" s="1"/>
  <c r="Y40" i="111" s="1"/>
  <c r="L32" i="111"/>
  <c r="K32" i="111"/>
  <c r="M29" i="111"/>
  <c r="N29" i="111" s="1"/>
  <c r="Y29" i="111" s="1"/>
  <c r="M28" i="111"/>
  <c r="N28" i="111" s="1"/>
  <c r="Y28" i="111" s="1"/>
  <c r="M27" i="111"/>
  <c r="N27" i="111" s="1"/>
  <c r="Y27" i="111" s="1"/>
  <c r="U70" i="110"/>
  <c r="S89" i="110"/>
  <c r="O89" i="110"/>
  <c r="K39" i="110" s="1"/>
  <c r="N89" i="110"/>
  <c r="K38" i="110" s="1"/>
  <c r="M89" i="110"/>
  <c r="K37" i="110" s="1"/>
  <c r="L89" i="110"/>
  <c r="K40" i="110" s="1"/>
  <c r="K89" i="110"/>
  <c r="J89" i="110"/>
  <c r="I89" i="110"/>
  <c r="M40" i="110"/>
  <c r="N40" i="110" s="1"/>
  <c r="Y40" i="110" s="1"/>
  <c r="M27" i="110"/>
  <c r="N27" i="110" s="1"/>
  <c r="Y27" i="110" s="1"/>
  <c r="M28" i="110"/>
  <c r="N28" i="110" s="1"/>
  <c r="Y28" i="110" s="1"/>
  <c r="M29" i="110"/>
  <c r="N29" i="110" s="1"/>
  <c r="Y29" i="110" s="1"/>
  <c r="L32" i="110"/>
  <c r="K32" i="110"/>
  <c r="X40" i="91"/>
  <c r="V40" i="91"/>
  <c r="V39" i="91"/>
  <c r="U62" i="91"/>
  <c r="U86" i="91"/>
  <c r="V38" i="91"/>
  <c r="V37" i="91"/>
  <c r="X27" i="91"/>
  <c r="X29" i="91"/>
  <c r="W32" i="91"/>
  <c r="V32" i="91"/>
  <c r="L89" i="91"/>
  <c r="K40" i="91" s="1"/>
  <c r="K32" i="91"/>
  <c r="I89" i="91"/>
  <c r="P39" i="109"/>
  <c r="C49" i="109"/>
  <c r="F79" i="109"/>
  <c r="S80" i="109"/>
  <c r="O80" i="109"/>
  <c r="N80" i="109"/>
  <c r="M80" i="109"/>
  <c r="L80" i="109"/>
  <c r="I44" i="109" s="1"/>
  <c r="I45" i="109" s="1"/>
  <c r="K80" i="109"/>
  <c r="J80" i="109"/>
  <c r="I80" i="109"/>
  <c r="F49" i="109"/>
  <c r="F50" i="109"/>
  <c r="F51" i="109"/>
  <c r="F52" i="109"/>
  <c r="F53" i="109"/>
  <c r="F54" i="109"/>
  <c r="F55" i="109"/>
  <c r="F56" i="109"/>
  <c r="F57" i="109"/>
  <c r="F58" i="109"/>
  <c r="F59" i="109"/>
  <c r="F60" i="109"/>
  <c r="F61" i="109"/>
  <c r="F62" i="109"/>
  <c r="F63" i="109"/>
  <c r="F64" i="109"/>
  <c r="F65" i="109"/>
  <c r="F66" i="109"/>
  <c r="F67" i="109"/>
  <c r="F68" i="109"/>
  <c r="F69" i="109"/>
  <c r="F70" i="109"/>
  <c r="F71" i="109"/>
  <c r="F72" i="109"/>
  <c r="F73" i="109"/>
  <c r="F74" i="109"/>
  <c r="F75" i="109"/>
  <c r="F76" i="109"/>
  <c r="F77" i="109"/>
  <c r="F78" i="109"/>
  <c r="E11" i="109"/>
  <c r="L24" i="109"/>
  <c r="E10" i="109"/>
  <c r="K35" i="109"/>
  <c r="I35" i="109"/>
  <c r="P39" i="107"/>
  <c r="E11" i="107"/>
  <c r="E10" i="107"/>
  <c r="L32" i="104"/>
  <c r="E10" i="106"/>
  <c r="E11" i="106"/>
  <c r="F79" i="83"/>
  <c r="C49" i="83"/>
  <c r="E10" i="83"/>
  <c r="I44" i="106"/>
  <c r="I45" i="106" s="1"/>
  <c r="L80" i="105"/>
  <c r="I44" i="105" s="1"/>
  <c r="E10" i="80"/>
  <c r="G57" i="47" s="1"/>
  <c r="U51" i="77"/>
  <c r="U55" i="77"/>
  <c r="U59" i="77"/>
  <c r="U63" i="77"/>
  <c r="U73" i="77"/>
  <c r="R56" i="47"/>
  <c r="E10" i="77"/>
  <c r="L31" i="77" s="1"/>
  <c r="C49" i="77"/>
  <c r="C47" i="77" s="1"/>
  <c r="E11" i="77"/>
  <c r="H56" i="47" s="1"/>
  <c r="L80" i="77"/>
  <c r="I44" i="77" s="1"/>
  <c r="M80" i="77"/>
  <c r="I41" i="77" s="1"/>
  <c r="N80" i="77"/>
  <c r="I42" i="77" s="1"/>
  <c r="O80" i="77"/>
  <c r="I43" i="77" s="1"/>
  <c r="U51" i="76"/>
  <c r="U63" i="76"/>
  <c r="U71" i="76"/>
  <c r="U75" i="76"/>
  <c r="U76" i="76"/>
  <c r="R55" i="47"/>
  <c r="C49" i="76"/>
  <c r="E11" i="76"/>
  <c r="E10" i="76"/>
  <c r="O43" i="76"/>
  <c r="L80" i="76"/>
  <c r="I44" i="76" s="1"/>
  <c r="M80" i="76"/>
  <c r="I41" i="76" s="1"/>
  <c r="N80" i="76"/>
  <c r="I42" i="76" s="1"/>
  <c r="O80" i="76"/>
  <c r="I43" i="76" s="1"/>
  <c r="O32" i="76"/>
  <c r="E11" i="105"/>
  <c r="M80" i="105"/>
  <c r="I41" i="105" s="1"/>
  <c r="N80" i="105"/>
  <c r="I42" i="105" s="1"/>
  <c r="O80" i="105"/>
  <c r="I43" i="105" s="1"/>
  <c r="E10" i="105"/>
  <c r="M80" i="106"/>
  <c r="N80" i="106"/>
  <c r="O80" i="106"/>
  <c r="L80" i="107"/>
  <c r="I44" i="107" s="1"/>
  <c r="I45" i="107" s="1"/>
  <c r="M80" i="107"/>
  <c r="N80" i="107"/>
  <c r="O80" i="107"/>
  <c r="U66" i="91"/>
  <c r="U70" i="91"/>
  <c r="U74" i="91"/>
  <c r="U78" i="91"/>
  <c r="U82" i="91"/>
  <c r="U51" i="107"/>
  <c r="U52" i="107"/>
  <c r="U53" i="107"/>
  <c r="U55" i="107"/>
  <c r="U59" i="107"/>
  <c r="U67" i="107"/>
  <c r="U71" i="107"/>
  <c r="U75" i="107"/>
  <c r="U49" i="106"/>
  <c r="U51" i="106"/>
  <c r="U52" i="106"/>
  <c r="U55" i="106"/>
  <c r="U59" i="106"/>
  <c r="U63" i="106"/>
  <c r="U67" i="106"/>
  <c r="U71" i="106"/>
  <c r="U73" i="106"/>
  <c r="U75" i="106"/>
  <c r="U79" i="106"/>
  <c r="U51" i="105"/>
  <c r="U55" i="105"/>
  <c r="U59" i="105"/>
  <c r="U67" i="105"/>
  <c r="U71" i="105"/>
  <c r="U75" i="105"/>
  <c r="U49" i="104"/>
  <c r="U51" i="104"/>
  <c r="U53" i="104"/>
  <c r="U55" i="104"/>
  <c r="U57" i="104"/>
  <c r="U61" i="104"/>
  <c r="U63" i="104"/>
  <c r="U65" i="104"/>
  <c r="U69" i="104"/>
  <c r="U71" i="104"/>
  <c r="U73" i="104"/>
  <c r="U77" i="104"/>
  <c r="U79" i="104"/>
  <c r="R63" i="47"/>
  <c r="R65" i="47"/>
  <c r="R64" i="47"/>
  <c r="U49" i="36"/>
  <c r="U51" i="36"/>
  <c r="U53" i="36"/>
  <c r="U55" i="36"/>
  <c r="U57" i="36"/>
  <c r="U59" i="36"/>
  <c r="U61" i="36"/>
  <c r="U63" i="36"/>
  <c r="U65" i="36"/>
  <c r="U69" i="36"/>
  <c r="U71" i="36"/>
  <c r="U73" i="36"/>
  <c r="U79" i="36"/>
  <c r="U50" i="37"/>
  <c r="U57" i="37"/>
  <c r="U65" i="37"/>
  <c r="U66" i="37"/>
  <c r="U73" i="37"/>
  <c r="U75" i="37"/>
  <c r="U50" i="38"/>
  <c r="U53" i="38"/>
  <c r="U55" i="38"/>
  <c r="U59" i="38"/>
  <c r="U62" i="38"/>
  <c r="U63" i="38"/>
  <c r="U65" i="38"/>
  <c r="U66" i="38"/>
  <c r="U67" i="38"/>
  <c r="U70" i="38"/>
  <c r="U71" i="38"/>
  <c r="U73" i="38"/>
  <c r="U74" i="38"/>
  <c r="U78" i="38"/>
  <c r="U79" i="38"/>
  <c r="U50" i="39"/>
  <c r="U51" i="39"/>
  <c r="U53" i="39"/>
  <c r="U55" i="39"/>
  <c r="U58" i="39"/>
  <c r="U59" i="39"/>
  <c r="U61" i="39"/>
  <c r="U63" i="39"/>
  <c r="U65" i="39"/>
  <c r="U69" i="39"/>
  <c r="U71" i="39"/>
  <c r="U73" i="39"/>
  <c r="U75" i="39"/>
  <c r="U77" i="39"/>
  <c r="U50" i="40"/>
  <c r="U51" i="40"/>
  <c r="U53" i="40"/>
  <c r="U57" i="40"/>
  <c r="U58" i="40"/>
  <c r="U59" i="40"/>
  <c r="U61" i="40"/>
  <c r="U62" i="40"/>
  <c r="U66" i="40"/>
  <c r="U67" i="40"/>
  <c r="U71" i="40"/>
  <c r="U73" i="40"/>
  <c r="U74" i="40"/>
  <c r="U75" i="40"/>
  <c r="U78" i="40"/>
  <c r="U79" i="40"/>
  <c r="U55" i="41"/>
  <c r="U59" i="41"/>
  <c r="U62" i="41"/>
  <c r="U66" i="41"/>
  <c r="U67" i="41"/>
  <c r="U70" i="41"/>
  <c r="U71" i="41"/>
  <c r="U74" i="41"/>
  <c r="U75" i="41"/>
  <c r="U78" i="41"/>
  <c r="U79" i="41"/>
  <c r="U52" i="42"/>
  <c r="U56" i="42"/>
  <c r="U60" i="42"/>
  <c r="U63" i="42"/>
  <c r="U64" i="42"/>
  <c r="U65" i="42"/>
  <c r="U67" i="42"/>
  <c r="U68" i="42"/>
  <c r="U71" i="42"/>
  <c r="U72" i="42"/>
  <c r="U76" i="42"/>
  <c r="U51" i="43"/>
  <c r="U52" i="43"/>
  <c r="U55" i="43"/>
  <c r="U59" i="43"/>
  <c r="U60" i="43"/>
  <c r="U63" i="43"/>
  <c r="U65" i="43"/>
  <c r="U67" i="43"/>
  <c r="U68" i="43"/>
  <c r="U71" i="43"/>
  <c r="U75" i="43"/>
  <c r="U79" i="43"/>
  <c r="U52" i="44"/>
  <c r="U55" i="44"/>
  <c r="U56" i="44"/>
  <c r="U60" i="44"/>
  <c r="U63" i="44"/>
  <c r="U64" i="44"/>
  <c r="U67" i="44"/>
  <c r="U68" i="44"/>
  <c r="U71" i="44"/>
  <c r="U72" i="44"/>
  <c r="U76" i="44"/>
  <c r="U79" i="44"/>
  <c r="U51" i="45"/>
  <c r="U52" i="45"/>
  <c r="U55" i="45"/>
  <c r="U56" i="45"/>
  <c r="U57" i="45"/>
  <c r="U63" i="45"/>
  <c r="U64" i="45"/>
  <c r="U51" i="80"/>
  <c r="U55" i="80"/>
  <c r="U59" i="80"/>
  <c r="U63" i="80"/>
  <c r="U71" i="80"/>
  <c r="U51" i="81"/>
  <c r="U52" i="81"/>
  <c r="U55" i="81"/>
  <c r="U59" i="81"/>
  <c r="U60" i="81"/>
  <c r="U63" i="81"/>
  <c r="U67" i="81"/>
  <c r="U71" i="81"/>
  <c r="U51" i="83"/>
  <c r="U55" i="83"/>
  <c r="U67" i="83"/>
  <c r="U68" i="83"/>
  <c r="U71" i="83"/>
  <c r="U75" i="83"/>
  <c r="U76" i="83"/>
  <c r="U51" i="82"/>
  <c r="U55" i="82"/>
  <c r="U56" i="82"/>
  <c r="U59" i="82"/>
  <c r="U64" i="82"/>
  <c r="U67" i="82"/>
  <c r="U71" i="82"/>
  <c r="U72" i="82"/>
  <c r="U60" i="84"/>
  <c r="U72" i="84"/>
  <c r="U76" i="84"/>
  <c r="C49" i="107"/>
  <c r="C49" i="106"/>
  <c r="C49" i="105"/>
  <c r="F49" i="107"/>
  <c r="F50" i="107"/>
  <c r="F51" i="107"/>
  <c r="F52" i="107"/>
  <c r="F53" i="107"/>
  <c r="F54" i="107"/>
  <c r="F55" i="107"/>
  <c r="F56" i="107"/>
  <c r="F57" i="107"/>
  <c r="F58" i="107"/>
  <c r="F59" i="107"/>
  <c r="F60" i="107"/>
  <c r="F61" i="107"/>
  <c r="F62" i="107"/>
  <c r="F63" i="107"/>
  <c r="F64" i="107"/>
  <c r="F65" i="107"/>
  <c r="F66" i="107"/>
  <c r="F67" i="107"/>
  <c r="F68" i="107"/>
  <c r="F69" i="107"/>
  <c r="F70" i="107"/>
  <c r="F71" i="107"/>
  <c r="F72" i="107"/>
  <c r="F73" i="107"/>
  <c r="F74" i="107"/>
  <c r="F75" i="107"/>
  <c r="F76" i="107"/>
  <c r="F77" i="107"/>
  <c r="F78" i="107"/>
  <c r="F50" i="106"/>
  <c r="F51" i="106"/>
  <c r="F52" i="106"/>
  <c r="F53" i="106"/>
  <c r="F54" i="106"/>
  <c r="F55" i="106"/>
  <c r="F56" i="106"/>
  <c r="F57" i="106"/>
  <c r="F58" i="106"/>
  <c r="F59" i="106"/>
  <c r="F60" i="106"/>
  <c r="F61" i="106"/>
  <c r="F62" i="106"/>
  <c r="F63" i="106"/>
  <c r="F64" i="106"/>
  <c r="F65" i="106"/>
  <c r="F66" i="106"/>
  <c r="F67" i="106"/>
  <c r="F68" i="106"/>
  <c r="F69" i="106"/>
  <c r="F70" i="106"/>
  <c r="F71" i="106"/>
  <c r="F72" i="106"/>
  <c r="F73" i="106"/>
  <c r="F74" i="106"/>
  <c r="F75" i="106"/>
  <c r="F76" i="106"/>
  <c r="F77" i="106"/>
  <c r="F78" i="106"/>
  <c r="F79" i="106"/>
  <c r="F49" i="105"/>
  <c r="F50" i="105"/>
  <c r="F51" i="105"/>
  <c r="F52" i="105"/>
  <c r="F53" i="105"/>
  <c r="F54" i="105"/>
  <c r="F55" i="105"/>
  <c r="F56" i="105"/>
  <c r="F57" i="105"/>
  <c r="F58" i="105"/>
  <c r="F59" i="105"/>
  <c r="F60" i="105"/>
  <c r="F61" i="105"/>
  <c r="F62" i="105"/>
  <c r="F63" i="105"/>
  <c r="F64" i="105"/>
  <c r="F65" i="105"/>
  <c r="F66" i="105"/>
  <c r="F67" i="105"/>
  <c r="F68" i="105"/>
  <c r="F69" i="105"/>
  <c r="F70" i="105"/>
  <c r="F71" i="105"/>
  <c r="F72" i="105"/>
  <c r="F73" i="105"/>
  <c r="F74" i="105"/>
  <c r="F75" i="105"/>
  <c r="F76" i="105"/>
  <c r="F77" i="105"/>
  <c r="F78" i="105"/>
  <c r="F49" i="104"/>
  <c r="F50" i="104"/>
  <c r="F51" i="104"/>
  <c r="F52" i="104"/>
  <c r="F53" i="104"/>
  <c r="F54" i="104"/>
  <c r="F55" i="104"/>
  <c r="F56" i="104"/>
  <c r="F57" i="104"/>
  <c r="F58" i="104"/>
  <c r="F59" i="104"/>
  <c r="F60" i="104"/>
  <c r="F61" i="104"/>
  <c r="F62" i="104"/>
  <c r="F63" i="104"/>
  <c r="F64" i="104"/>
  <c r="F65" i="104"/>
  <c r="F66" i="104"/>
  <c r="F67" i="104"/>
  <c r="F68" i="104"/>
  <c r="F69" i="104"/>
  <c r="F70" i="104"/>
  <c r="F71" i="104"/>
  <c r="F72" i="104"/>
  <c r="F73" i="104"/>
  <c r="F74" i="104"/>
  <c r="F75" i="104"/>
  <c r="F76" i="104"/>
  <c r="F77" i="104"/>
  <c r="F78" i="104"/>
  <c r="F79" i="104"/>
  <c r="L24" i="107"/>
  <c r="L24" i="106"/>
  <c r="S80" i="107"/>
  <c r="K80" i="107"/>
  <c r="J80" i="107"/>
  <c r="I80" i="107"/>
  <c r="K35" i="107"/>
  <c r="I35" i="107"/>
  <c r="S80" i="106"/>
  <c r="J80" i="106"/>
  <c r="I80" i="106"/>
  <c r="U60" i="106"/>
  <c r="K35" i="106"/>
  <c r="I35" i="106"/>
  <c r="AL80" i="105"/>
  <c r="Y80" i="105"/>
  <c r="S80" i="105"/>
  <c r="K80" i="105"/>
  <c r="J80" i="105"/>
  <c r="I80" i="105"/>
  <c r="U63" i="105"/>
  <c r="K35" i="105"/>
  <c r="I34" i="105"/>
  <c r="I35" i="105" s="1"/>
  <c r="S80" i="104"/>
  <c r="K80" i="104"/>
  <c r="J80" i="104"/>
  <c r="I80" i="104"/>
  <c r="K35" i="104"/>
  <c r="I34" i="104"/>
  <c r="I35" i="104" s="1"/>
  <c r="E11" i="36"/>
  <c r="F11" i="36" s="1"/>
  <c r="G11" i="36" s="1"/>
  <c r="S45" i="47"/>
  <c r="E11" i="37"/>
  <c r="F11" i="37" s="1"/>
  <c r="S46" i="47"/>
  <c r="E11" i="38"/>
  <c r="E11" i="39"/>
  <c r="E10" i="39"/>
  <c r="L31" i="39" s="1"/>
  <c r="M31" i="39" s="1"/>
  <c r="S48" i="47"/>
  <c r="E11" i="41"/>
  <c r="F11" i="41" s="1"/>
  <c r="E11" i="43"/>
  <c r="E11" i="44"/>
  <c r="F11" i="44" s="1"/>
  <c r="G11" i="44" s="1"/>
  <c r="E11" i="45"/>
  <c r="E11" i="80"/>
  <c r="E11" i="81"/>
  <c r="F11" i="81" s="1"/>
  <c r="G11" i="81" s="1"/>
  <c r="E11" i="83"/>
  <c r="E11" i="82"/>
  <c r="H60" i="47" s="1"/>
  <c r="E10" i="37"/>
  <c r="F10" i="37" s="1"/>
  <c r="G10" i="37" s="1"/>
  <c r="E10" i="38"/>
  <c r="E10" i="41"/>
  <c r="E10" i="43"/>
  <c r="E10" i="44"/>
  <c r="E10" i="45"/>
  <c r="E10" i="81"/>
  <c r="E10" i="82"/>
  <c r="S89" i="91"/>
  <c r="K89" i="91"/>
  <c r="J89" i="91"/>
  <c r="L32" i="91"/>
  <c r="O43" i="82"/>
  <c r="L80" i="82"/>
  <c r="I44" i="82" s="1"/>
  <c r="M80" i="82"/>
  <c r="I41" i="82" s="1"/>
  <c r="N80" i="82"/>
  <c r="I42" i="82" s="1"/>
  <c r="O80" i="82"/>
  <c r="I43" i="82" s="1"/>
  <c r="O32" i="82"/>
  <c r="O43" i="83"/>
  <c r="L80" i="83"/>
  <c r="I44" i="83" s="1"/>
  <c r="M80" i="83"/>
  <c r="I41" i="83" s="1"/>
  <c r="N80" i="83"/>
  <c r="I42" i="83" s="1"/>
  <c r="O80" i="83"/>
  <c r="I43" i="83" s="1"/>
  <c r="O32" i="83"/>
  <c r="O43" i="81"/>
  <c r="L80" i="81"/>
  <c r="I44" i="81" s="1"/>
  <c r="M80" i="81"/>
  <c r="I41" i="81" s="1"/>
  <c r="N80" i="81"/>
  <c r="I42" i="81" s="1"/>
  <c r="O80" i="81"/>
  <c r="I43" i="81" s="1"/>
  <c r="O32" i="81"/>
  <c r="L80" i="80"/>
  <c r="I44" i="80" s="1"/>
  <c r="M80" i="80"/>
  <c r="I41" i="80" s="1"/>
  <c r="N80" i="80"/>
  <c r="I42" i="80" s="1"/>
  <c r="O80" i="80"/>
  <c r="I43" i="80" s="1"/>
  <c r="F79" i="84"/>
  <c r="S80" i="84"/>
  <c r="K80" i="84"/>
  <c r="J80" i="84"/>
  <c r="I80" i="84"/>
  <c r="F78" i="84"/>
  <c r="F77" i="84"/>
  <c r="F76" i="84"/>
  <c r="F75" i="84"/>
  <c r="F74" i="84"/>
  <c r="F73" i="84"/>
  <c r="F72" i="84"/>
  <c r="F71" i="84"/>
  <c r="F70" i="84"/>
  <c r="F69" i="84"/>
  <c r="F68" i="84"/>
  <c r="F67" i="84"/>
  <c r="F66" i="84"/>
  <c r="F65" i="84"/>
  <c r="F64" i="84"/>
  <c r="F63" i="84"/>
  <c r="F62" i="84"/>
  <c r="F61" i="84"/>
  <c r="F60" i="84"/>
  <c r="F59" i="84"/>
  <c r="F58" i="84"/>
  <c r="F57" i="84"/>
  <c r="F56" i="84"/>
  <c r="F55" i="84"/>
  <c r="F54" i="84"/>
  <c r="F53" i="84"/>
  <c r="F52" i="84"/>
  <c r="F51" i="84"/>
  <c r="F50" i="84"/>
  <c r="F49" i="84"/>
  <c r="K35" i="84"/>
  <c r="I34" i="84"/>
  <c r="I35" i="84" s="1"/>
  <c r="AL80" i="83"/>
  <c r="Y80" i="83"/>
  <c r="S80" i="83"/>
  <c r="K80" i="83"/>
  <c r="J80" i="83"/>
  <c r="I80" i="83"/>
  <c r="F78" i="83"/>
  <c r="F77" i="83"/>
  <c r="F76" i="83"/>
  <c r="F75" i="83"/>
  <c r="F74" i="83"/>
  <c r="F73" i="83"/>
  <c r="F72" i="83"/>
  <c r="F71" i="83"/>
  <c r="F70" i="83"/>
  <c r="F69" i="83"/>
  <c r="F68" i="83"/>
  <c r="F67" i="83"/>
  <c r="F66" i="83"/>
  <c r="F65" i="83"/>
  <c r="F64" i="83"/>
  <c r="F63" i="83"/>
  <c r="F62" i="83"/>
  <c r="F61" i="83"/>
  <c r="F60" i="83"/>
  <c r="F59" i="83"/>
  <c r="F58" i="83"/>
  <c r="F57" i="83"/>
  <c r="F56" i="83"/>
  <c r="F55" i="83"/>
  <c r="F54" i="83"/>
  <c r="F53" i="83"/>
  <c r="F52" i="83"/>
  <c r="F51" i="83"/>
  <c r="F50" i="83"/>
  <c r="F49" i="83"/>
  <c r="K35" i="83"/>
  <c r="I34" i="83"/>
  <c r="I35" i="83" s="1"/>
  <c r="R60" i="47"/>
  <c r="C49" i="82"/>
  <c r="R58" i="47"/>
  <c r="C49" i="81"/>
  <c r="C47" i="81" s="1"/>
  <c r="R57" i="47"/>
  <c r="C49" i="80"/>
  <c r="E10" i="34"/>
  <c r="E11" i="34"/>
  <c r="F11" i="34" s="1"/>
  <c r="L24" i="76"/>
  <c r="AL80" i="82"/>
  <c r="Y80" i="82"/>
  <c r="S80" i="82"/>
  <c r="K80" i="82"/>
  <c r="J80" i="82"/>
  <c r="I80" i="82"/>
  <c r="F78" i="82"/>
  <c r="F77" i="82"/>
  <c r="F76" i="82"/>
  <c r="F75" i="82"/>
  <c r="F74" i="82"/>
  <c r="F73" i="82"/>
  <c r="F72" i="82"/>
  <c r="F71" i="82"/>
  <c r="F70" i="82"/>
  <c r="F69" i="82"/>
  <c r="F68" i="82"/>
  <c r="F67" i="82"/>
  <c r="F66" i="82"/>
  <c r="F65" i="82"/>
  <c r="F64" i="82"/>
  <c r="F63" i="82"/>
  <c r="F62" i="82"/>
  <c r="F61" i="82"/>
  <c r="F60" i="82"/>
  <c r="F59" i="82"/>
  <c r="F58" i="82"/>
  <c r="F57" i="82"/>
  <c r="F56" i="82"/>
  <c r="F55" i="82"/>
  <c r="F54" i="82"/>
  <c r="F53" i="82"/>
  <c r="F52" i="82"/>
  <c r="F51" i="82"/>
  <c r="F50" i="82"/>
  <c r="F49" i="82"/>
  <c r="K35" i="82"/>
  <c r="I34" i="82"/>
  <c r="I35" i="82" s="1"/>
  <c r="S80" i="43"/>
  <c r="S80" i="40"/>
  <c r="S80" i="39"/>
  <c r="S80" i="38"/>
  <c r="S80" i="37"/>
  <c r="AL80" i="81"/>
  <c r="Y80" i="81"/>
  <c r="S80" i="81"/>
  <c r="K80" i="81"/>
  <c r="J80" i="81"/>
  <c r="I80" i="81"/>
  <c r="F49" i="81"/>
  <c r="F50" i="81"/>
  <c r="F51" i="81"/>
  <c r="F52" i="81"/>
  <c r="F53" i="81"/>
  <c r="F54" i="81"/>
  <c r="F55" i="81"/>
  <c r="F56" i="81"/>
  <c r="F57" i="81"/>
  <c r="F58" i="81"/>
  <c r="F59" i="81"/>
  <c r="F60" i="81"/>
  <c r="F61" i="81"/>
  <c r="F62" i="81"/>
  <c r="F63" i="81"/>
  <c r="F64" i="81"/>
  <c r="F65" i="81"/>
  <c r="F66" i="81"/>
  <c r="F67" i="81"/>
  <c r="F68" i="81"/>
  <c r="F69" i="81"/>
  <c r="F70" i="81"/>
  <c r="F71" i="81"/>
  <c r="F72" i="81"/>
  <c r="F73" i="81"/>
  <c r="F74" i="81"/>
  <c r="F75" i="81"/>
  <c r="F76" i="81"/>
  <c r="F77" i="81"/>
  <c r="F78" i="81"/>
  <c r="K35" i="81"/>
  <c r="I34" i="81"/>
  <c r="I35" i="81" s="1"/>
  <c r="S80" i="80"/>
  <c r="F49" i="80"/>
  <c r="K80" i="80"/>
  <c r="J80" i="80"/>
  <c r="I80" i="80"/>
  <c r="F50" i="80"/>
  <c r="F51" i="80"/>
  <c r="F52" i="80"/>
  <c r="F53" i="80"/>
  <c r="F54" i="80"/>
  <c r="F55" i="80"/>
  <c r="F56" i="80"/>
  <c r="F57" i="80"/>
  <c r="F58" i="80"/>
  <c r="F59" i="80"/>
  <c r="F60" i="80"/>
  <c r="F61" i="80"/>
  <c r="F62" i="80"/>
  <c r="F63" i="80"/>
  <c r="F64" i="80"/>
  <c r="F65" i="80"/>
  <c r="F66" i="80"/>
  <c r="F67" i="80"/>
  <c r="F68" i="80"/>
  <c r="F69" i="80"/>
  <c r="F70" i="80"/>
  <c r="F71" i="80"/>
  <c r="F72" i="80"/>
  <c r="F73" i="80"/>
  <c r="F74" i="80"/>
  <c r="F75" i="80"/>
  <c r="F76" i="80"/>
  <c r="F77" i="80"/>
  <c r="F78" i="80"/>
  <c r="F79" i="80"/>
  <c r="K35" i="80"/>
  <c r="I34" i="80"/>
  <c r="I35" i="80" s="1"/>
  <c r="F63" i="77"/>
  <c r="K80" i="77"/>
  <c r="J80" i="77"/>
  <c r="I80" i="77"/>
  <c r="F49" i="77"/>
  <c r="F50" i="77"/>
  <c r="F51" i="77"/>
  <c r="F52" i="77"/>
  <c r="F53" i="77"/>
  <c r="F54" i="77"/>
  <c r="F55" i="77"/>
  <c r="F56" i="77"/>
  <c r="F57" i="77"/>
  <c r="F58" i="77"/>
  <c r="F59" i="77"/>
  <c r="F60" i="77"/>
  <c r="F61" i="77"/>
  <c r="F62" i="77"/>
  <c r="F64" i="77"/>
  <c r="F65" i="77"/>
  <c r="F66" i="77"/>
  <c r="F67" i="77"/>
  <c r="F68" i="77"/>
  <c r="F69" i="77"/>
  <c r="F70" i="77"/>
  <c r="F71" i="77"/>
  <c r="F72" i="77"/>
  <c r="F73" i="77"/>
  <c r="F74" i="77"/>
  <c r="F75" i="77"/>
  <c r="F76" i="77"/>
  <c r="K35" i="77"/>
  <c r="I34" i="77"/>
  <c r="I35" i="77" s="1"/>
  <c r="K80" i="76"/>
  <c r="J80" i="76"/>
  <c r="I80" i="76"/>
  <c r="F79" i="76"/>
  <c r="F78" i="76"/>
  <c r="F77" i="76"/>
  <c r="F76" i="76"/>
  <c r="F75" i="76"/>
  <c r="F74" i="76"/>
  <c r="F73" i="76"/>
  <c r="F72" i="76"/>
  <c r="F71" i="76"/>
  <c r="F70" i="76"/>
  <c r="F69" i="76"/>
  <c r="F68" i="76"/>
  <c r="F67" i="76"/>
  <c r="F66" i="76"/>
  <c r="F65" i="76"/>
  <c r="F64" i="76"/>
  <c r="F63" i="76"/>
  <c r="F62" i="76"/>
  <c r="F61" i="76"/>
  <c r="F60" i="76"/>
  <c r="F59" i="76"/>
  <c r="F58" i="76"/>
  <c r="F57" i="76"/>
  <c r="F56" i="76"/>
  <c r="F55" i="76"/>
  <c r="F54" i="76"/>
  <c r="F53" i="76"/>
  <c r="F52" i="76"/>
  <c r="F51" i="76"/>
  <c r="F50" i="76"/>
  <c r="F49" i="76"/>
  <c r="I34" i="76"/>
  <c r="I35" i="76"/>
  <c r="K35" i="76"/>
  <c r="I34" i="44"/>
  <c r="I35" i="44" s="1"/>
  <c r="I34" i="43"/>
  <c r="I35" i="43" s="1"/>
  <c r="L24" i="43"/>
  <c r="K35" i="42"/>
  <c r="L34" i="42"/>
  <c r="M34" i="42" s="1"/>
  <c r="I34" i="42"/>
  <c r="I35" i="42" s="1"/>
  <c r="L33" i="42"/>
  <c r="M33" i="42" s="1"/>
  <c r="L32" i="42"/>
  <c r="M32" i="42" s="1"/>
  <c r="L31" i="42"/>
  <c r="L30" i="42"/>
  <c r="M30" i="42" s="1"/>
  <c r="I34" i="41"/>
  <c r="I35" i="41" s="1"/>
  <c r="I34" i="40"/>
  <c r="I35" i="40" s="1"/>
  <c r="I34" i="39"/>
  <c r="I35" i="39" s="1"/>
  <c r="F12" i="48"/>
  <c r="F13" i="48"/>
  <c r="F14" i="48"/>
  <c r="F15" i="48"/>
  <c r="F16" i="48"/>
  <c r="F17" i="48"/>
  <c r="F19" i="48"/>
  <c r="F20" i="48"/>
  <c r="F21" i="48"/>
  <c r="F22" i="48"/>
  <c r="F23" i="48"/>
  <c r="F24" i="48"/>
  <c r="F25" i="48"/>
  <c r="F26" i="48"/>
  <c r="F27" i="48"/>
  <c r="F28" i="48"/>
  <c r="F29" i="48"/>
  <c r="F30" i="48"/>
  <c r="F31" i="48"/>
  <c r="F32" i="48"/>
  <c r="F33" i="48"/>
  <c r="F34" i="48"/>
  <c r="F35" i="48"/>
  <c r="F36" i="48"/>
  <c r="F37" i="48"/>
  <c r="F38" i="48"/>
  <c r="F39" i="48"/>
  <c r="F40" i="48"/>
  <c r="F41" i="48"/>
  <c r="F42" i="48"/>
  <c r="F43" i="48"/>
  <c r="F44" i="48"/>
  <c r="F45" i="48"/>
  <c r="F46" i="48"/>
  <c r="F47" i="48"/>
  <c r="F48" i="48"/>
  <c r="F49" i="48"/>
  <c r="F50" i="48"/>
  <c r="F51" i="48"/>
  <c r="F52" i="48"/>
  <c r="F53" i="48"/>
  <c r="F54" i="48"/>
  <c r="F55" i="48"/>
  <c r="F56" i="48"/>
  <c r="F57" i="48"/>
  <c r="F58" i="48"/>
  <c r="F59" i="48"/>
  <c r="F60" i="48"/>
  <c r="F61" i="48"/>
  <c r="F62" i="48"/>
  <c r="F63" i="48"/>
  <c r="F64" i="48"/>
  <c r="F65" i="48"/>
  <c r="F66" i="48"/>
  <c r="F67" i="48"/>
  <c r="F68" i="48"/>
  <c r="F69" i="48"/>
  <c r="F70" i="48"/>
  <c r="F71" i="48"/>
  <c r="F72" i="48"/>
  <c r="F73" i="48"/>
  <c r="F74" i="48"/>
  <c r="F75" i="48"/>
  <c r="F76" i="48"/>
  <c r="F77" i="48"/>
  <c r="F78" i="48"/>
  <c r="F79" i="48"/>
  <c r="F80" i="48"/>
  <c r="F81" i="48"/>
  <c r="F82" i="48"/>
  <c r="F83" i="48"/>
  <c r="F84" i="48"/>
  <c r="F85" i="48"/>
  <c r="F86" i="48"/>
  <c r="F87" i="48"/>
  <c r="F88" i="48"/>
  <c r="F89" i="48"/>
  <c r="F90" i="48"/>
  <c r="F91" i="48"/>
  <c r="F92" i="48"/>
  <c r="F93" i="48"/>
  <c r="F94" i="48"/>
  <c r="F95" i="48"/>
  <c r="F96" i="48"/>
  <c r="F97" i="48"/>
  <c r="F98" i="48"/>
  <c r="F99" i="48"/>
  <c r="F100" i="48"/>
  <c r="F101" i="48"/>
  <c r="F102" i="48"/>
  <c r="F103" i="48"/>
  <c r="F104" i="48"/>
  <c r="F105" i="48"/>
  <c r="F106" i="48"/>
  <c r="F107" i="48"/>
  <c r="F108" i="48"/>
  <c r="F109" i="48"/>
  <c r="F110" i="48"/>
  <c r="F111" i="48"/>
  <c r="F112" i="48"/>
  <c r="F113" i="48"/>
  <c r="F114" i="48"/>
  <c r="F115" i="48"/>
  <c r="F116" i="48"/>
  <c r="F117" i="48"/>
  <c r="F118" i="48"/>
  <c r="F119" i="48"/>
  <c r="F120" i="48"/>
  <c r="F121" i="48"/>
  <c r="F122" i="48"/>
  <c r="F123" i="48"/>
  <c r="F124" i="48"/>
  <c r="F125" i="48"/>
  <c r="F126" i="48"/>
  <c r="F127" i="48"/>
  <c r="F128" i="48"/>
  <c r="F129" i="48"/>
  <c r="F130" i="48"/>
  <c r="F131" i="48"/>
  <c r="F132" i="48"/>
  <c r="F133" i="48"/>
  <c r="F134" i="48"/>
  <c r="F135" i="48"/>
  <c r="F136" i="48"/>
  <c r="F137" i="48"/>
  <c r="F138" i="48"/>
  <c r="F139" i="48"/>
  <c r="F140" i="48"/>
  <c r="F141" i="48"/>
  <c r="F142" i="48"/>
  <c r="F143" i="48"/>
  <c r="F144" i="48"/>
  <c r="F145" i="48"/>
  <c r="F146" i="48"/>
  <c r="F147" i="48"/>
  <c r="F148" i="48"/>
  <c r="F149" i="48"/>
  <c r="F150" i="48"/>
  <c r="F151" i="48"/>
  <c r="F152" i="48"/>
  <c r="F153" i="48"/>
  <c r="F154" i="48"/>
  <c r="F155" i="48"/>
  <c r="F156" i="48"/>
  <c r="F157" i="48"/>
  <c r="F158" i="48"/>
  <c r="F159" i="48"/>
  <c r="F160" i="48"/>
  <c r="F161" i="48"/>
  <c r="F162" i="48"/>
  <c r="F163" i="48"/>
  <c r="F164" i="48"/>
  <c r="F165" i="48"/>
  <c r="F166" i="48"/>
  <c r="F167" i="48"/>
  <c r="F168" i="48"/>
  <c r="F169" i="48"/>
  <c r="F170" i="48"/>
  <c r="F171" i="48"/>
  <c r="F172" i="48"/>
  <c r="F173" i="48"/>
  <c r="F174" i="48"/>
  <c r="F175" i="48"/>
  <c r="F176" i="48"/>
  <c r="F177" i="48"/>
  <c r="F178" i="48"/>
  <c r="F179" i="48"/>
  <c r="F180" i="48"/>
  <c r="F181" i="48"/>
  <c r="F182" i="48"/>
  <c r="F183" i="48"/>
  <c r="F184" i="48"/>
  <c r="F185" i="48"/>
  <c r="F186" i="48"/>
  <c r="F187" i="48"/>
  <c r="F188" i="48"/>
  <c r="F189" i="48"/>
  <c r="F190" i="48"/>
  <c r="F191" i="48"/>
  <c r="F192" i="48"/>
  <c r="F193" i="48"/>
  <c r="F194" i="48"/>
  <c r="F195" i="48"/>
  <c r="F196" i="48"/>
  <c r="F197" i="48"/>
  <c r="F198" i="48"/>
  <c r="F199" i="48"/>
  <c r="F200" i="48"/>
  <c r="F201" i="48"/>
  <c r="F202" i="48"/>
  <c r="F203" i="48"/>
  <c r="F204" i="48"/>
  <c r="F205" i="48"/>
  <c r="F206" i="48"/>
  <c r="F207" i="48"/>
  <c r="F208" i="48"/>
  <c r="F209" i="48"/>
  <c r="F210" i="48"/>
  <c r="F211" i="48"/>
  <c r="F212" i="48"/>
  <c r="F213" i="48"/>
  <c r="F214" i="48"/>
  <c r="F215" i="48"/>
  <c r="F216" i="48"/>
  <c r="F217" i="48"/>
  <c r="F218" i="48"/>
  <c r="F219" i="48"/>
  <c r="F220" i="48"/>
  <c r="F221" i="48"/>
  <c r="F222" i="48"/>
  <c r="F223" i="48"/>
  <c r="F224" i="48"/>
  <c r="F225" i="48"/>
  <c r="F226" i="48"/>
  <c r="F227" i="48"/>
  <c r="F228" i="48"/>
  <c r="F229" i="48"/>
  <c r="F230" i="48"/>
  <c r="F231" i="48"/>
  <c r="F232" i="48"/>
  <c r="F233" i="48"/>
  <c r="F234" i="48"/>
  <c r="F235" i="48"/>
  <c r="F236" i="48"/>
  <c r="F237" i="48"/>
  <c r="F238" i="48"/>
  <c r="F239" i="48"/>
  <c r="F240" i="48"/>
  <c r="F241" i="48"/>
  <c r="F242" i="48"/>
  <c r="F243" i="48"/>
  <c r="F244" i="48"/>
  <c r="F245" i="48"/>
  <c r="F246" i="48"/>
  <c r="F247" i="48"/>
  <c r="F248" i="48"/>
  <c r="F249" i="48"/>
  <c r="F250" i="48"/>
  <c r="F251" i="48"/>
  <c r="F252" i="48"/>
  <c r="F253" i="48"/>
  <c r="F254" i="48"/>
  <c r="F255" i="48"/>
  <c r="F256" i="48"/>
  <c r="F257" i="48"/>
  <c r="F258" i="48"/>
  <c r="F259" i="48"/>
  <c r="F260" i="48"/>
  <c r="F261" i="48"/>
  <c r="F262" i="48"/>
  <c r="F263" i="48"/>
  <c r="F264" i="48"/>
  <c r="F265" i="48"/>
  <c r="F266" i="48"/>
  <c r="F267" i="48"/>
  <c r="F268" i="48"/>
  <c r="F269" i="48"/>
  <c r="F270" i="48"/>
  <c r="F271" i="48"/>
  <c r="F272" i="48"/>
  <c r="F273" i="48"/>
  <c r="F274" i="48"/>
  <c r="F275" i="48"/>
  <c r="F276" i="48"/>
  <c r="F277" i="48"/>
  <c r="F278" i="48"/>
  <c r="F279" i="48"/>
  <c r="F280" i="48"/>
  <c r="F281" i="48"/>
  <c r="F282" i="48"/>
  <c r="F283" i="48"/>
  <c r="F284" i="48"/>
  <c r="F285" i="48"/>
  <c r="F286" i="48"/>
  <c r="F287" i="48"/>
  <c r="F288" i="48"/>
  <c r="F289" i="48"/>
  <c r="F290" i="48"/>
  <c r="F291" i="48"/>
  <c r="F292" i="48"/>
  <c r="F293" i="48"/>
  <c r="F294" i="48"/>
  <c r="F295" i="48"/>
  <c r="F296" i="48"/>
  <c r="F297" i="48"/>
  <c r="F298" i="48"/>
  <c r="F299" i="48"/>
  <c r="F300" i="48"/>
  <c r="F301" i="48"/>
  <c r="F302" i="48"/>
  <c r="F303" i="48"/>
  <c r="F304" i="48"/>
  <c r="F305" i="48"/>
  <c r="F306" i="48"/>
  <c r="F307" i="48"/>
  <c r="F308" i="48"/>
  <c r="F309" i="48"/>
  <c r="F310" i="48"/>
  <c r="F311" i="48"/>
  <c r="F312" i="48"/>
  <c r="F313" i="48"/>
  <c r="F314" i="48"/>
  <c r="F315" i="48"/>
  <c r="F316" i="48"/>
  <c r="F317" i="48"/>
  <c r="F318" i="48"/>
  <c r="F319" i="48"/>
  <c r="F320" i="48"/>
  <c r="F321" i="48"/>
  <c r="F322" i="48"/>
  <c r="F323" i="48"/>
  <c r="F324" i="48"/>
  <c r="F325" i="48"/>
  <c r="F326" i="48"/>
  <c r="F327" i="48"/>
  <c r="F328" i="48"/>
  <c r="F329" i="48"/>
  <c r="F330" i="48"/>
  <c r="F331" i="48"/>
  <c r="F332" i="48"/>
  <c r="F333" i="48"/>
  <c r="F334" i="48"/>
  <c r="F335" i="48"/>
  <c r="F336" i="48"/>
  <c r="F337" i="48"/>
  <c r="F338" i="48"/>
  <c r="F339" i="48"/>
  <c r="F340" i="48"/>
  <c r="F341" i="48"/>
  <c r="F342" i="48"/>
  <c r="F343" i="48"/>
  <c r="F344" i="48"/>
  <c r="F345" i="48"/>
  <c r="F346" i="48"/>
  <c r="F347" i="48"/>
  <c r="F348" i="48"/>
  <c r="F349" i="48"/>
  <c r="F350" i="48"/>
  <c r="F351" i="48"/>
  <c r="F352" i="48"/>
  <c r="F353" i="48"/>
  <c r="F354" i="48"/>
  <c r="F355" i="48"/>
  <c r="F356" i="48"/>
  <c r="F357" i="48"/>
  <c r="F358" i="48"/>
  <c r="F359" i="48"/>
  <c r="F360" i="48"/>
  <c r="F361" i="48"/>
  <c r="F362" i="48"/>
  <c r="F363" i="48"/>
  <c r="F364" i="48"/>
  <c r="F365" i="48"/>
  <c r="F366" i="48"/>
  <c r="F367" i="48"/>
  <c r="F368" i="48"/>
  <c r="F369" i="48"/>
  <c r="F370" i="48"/>
  <c r="F371" i="48"/>
  <c r="F372" i="48"/>
  <c r="F373" i="48"/>
  <c r="F374" i="48"/>
  <c r="F375" i="48"/>
  <c r="F376" i="48"/>
  <c r="F377" i="48"/>
  <c r="F378" i="48"/>
  <c r="F379" i="48"/>
  <c r="F380" i="48"/>
  <c r="F381" i="48"/>
  <c r="F382" i="48"/>
  <c r="F383" i="48"/>
  <c r="F384" i="48"/>
  <c r="F385" i="48"/>
  <c r="F386" i="48"/>
  <c r="F387" i="48"/>
  <c r="F388" i="48"/>
  <c r="F389" i="48"/>
  <c r="F390" i="48"/>
  <c r="F391" i="48"/>
  <c r="F392" i="48"/>
  <c r="F393" i="48"/>
  <c r="F394" i="48"/>
  <c r="F395" i="48"/>
  <c r="F396" i="48"/>
  <c r="F397" i="48"/>
  <c r="F398" i="48"/>
  <c r="F399" i="48"/>
  <c r="F400" i="48"/>
  <c r="F401" i="48"/>
  <c r="F402" i="48"/>
  <c r="F403" i="48"/>
  <c r="F404" i="48"/>
  <c r="F405" i="48"/>
  <c r="F406" i="48"/>
  <c r="F407" i="48"/>
  <c r="F408" i="48"/>
  <c r="F409" i="48"/>
  <c r="F410" i="48"/>
  <c r="F411" i="48"/>
  <c r="F412" i="48"/>
  <c r="F413" i="48"/>
  <c r="F414" i="48"/>
  <c r="F415" i="48"/>
  <c r="F416" i="48"/>
  <c r="F417" i="48"/>
  <c r="F418" i="48"/>
  <c r="F419" i="48"/>
  <c r="F420" i="48"/>
  <c r="F421" i="48"/>
  <c r="F422" i="48"/>
  <c r="F423" i="48"/>
  <c r="F424" i="48"/>
  <c r="F425" i="48"/>
  <c r="F426" i="48"/>
  <c r="F427" i="48"/>
  <c r="F428" i="48"/>
  <c r="F429" i="48"/>
  <c r="F430" i="48"/>
  <c r="F431" i="48"/>
  <c r="F432" i="48"/>
  <c r="F433" i="48"/>
  <c r="F434" i="48"/>
  <c r="F435" i="48"/>
  <c r="F436" i="48"/>
  <c r="F437" i="48"/>
  <c r="F438" i="48"/>
  <c r="F439" i="48"/>
  <c r="F440" i="48"/>
  <c r="F441" i="48"/>
  <c r="F442" i="48"/>
  <c r="F443" i="48"/>
  <c r="F444" i="48"/>
  <c r="F445" i="48"/>
  <c r="F446" i="48"/>
  <c r="F447" i="48"/>
  <c r="F448" i="48"/>
  <c r="F449" i="48"/>
  <c r="F450" i="48"/>
  <c r="F451" i="48"/>
  <c r="F452" i="48"/>
  <c r="F453" i="48"/>
  <c r="F454" i="48"/>
  <c r="F455" i="48"/>
  <c r="F456" i="48"/>
  <c r="F457" i="48"/>
  <c r="F458" i="48"/>
  <c r="F459" i="48"/>
  <c r="F460" i="48"/>
  <c r="F461" i="48"/>
  <c r="F462" i="48"/>
  <c r="F463" i="48"/>
  <c r="F464" i="48"/>
  <c r="F465" i="48"/>
  <c r="F466" i="48"/>
  <c r="F467" i="48"/>
  <c r="F468" i="48"/>
  <c r="F469" i="48"/>
  <c r="F470" i="48"/>
  <c r="F471" i="48"/>
  <c r="F472" i="48"/>
  <c r="F473" i="48"/>
  <c r="F474" i="48"/>
  <c r="F475" i="48"/>
  <c r="F476" i="48"/>
  <c r="F477" i="48"/>
  <c r="F478" i="48"/>
  <c r="F479" i="48"/>
  <c r="F480" i="48"/>
  <c r="F481" i="48"/>
  <c r="F482" i="48"/>
  <c r="F483" i="48"/>
  <c r="F484" i="48"/>
  <c r="F485" i="48"/>
  <c r="F486" i="48"/>
  <c r="F487" i="48"/>
  <c r="F488" i="48"/>
  <c r="F489" i="48"/>
  <c r="F490" i="48"/>
  <c r="F491" i="48"/>
  <c r="F492" i="48"/>
  <c r="F493" i="48"/>
  <c r="F494" i="48"/>
  <c r="F495" i="48"/>
  <c r="F496" i="48"/>
  <c r="F497" i="48"/>
  <c r="F498" i="48"/>
  <c r="F499" i="48"/>
  <c r="F500" i="48"/>
  <c r="F501" i="48"/>
  <c r="F502" i="48"/>
  <c r="F503" i="48"/>
  <c r="F504" i="48"/>
  <c r="F505" i="48"/>
  <c r="F506" i="48"/>
  <c r="F507" i="48"/>
  <c r="F508" i="48"/>
  <c r="F509" i="48"/>
  <c r="F510" i="48"/>
  <c r="F511" i="48"/>
  <c r="F512" i="48"/>
  <c r="F513" i="48"/>
  <c r="F514" i="48"/>
  <c r="F515" i="48"/>
  <c r="F516" i="48"/>
  <c r="F517" i="48"/>
  <c r="F518" i="48"/>
  <c r="F519" i="48"/>
  <c r="F520" i="48"/>
  <c r="F521" i="48"/>
  <c r="F522" i="48"/>
  <c r="F523" i="48"/>
  <c r="F524" i="48"/>
  <c r="F525" i="48"/>
  <c r="F526" i="48"/>
  <c r="F527" i="48"/>
  <c r="F528" i="48"/>
  <c r="F529" i="48"/>
  <c r="F530" i="48"/>
  <c r="F531" i="48"/>
  <c r="F532" i="48"/>
  <c r="F533" i="48"/>
  <c r="F534" i="48"/>
  <c r="F535" i="48"/>
  <c r="F536" i="48"/>
  <c r="F537" i="48"/>
  <c r="F538" i="48"/>
  <c r="F539" i="48"/>
  <c r="F540" i="48"/>
  <c r="F541" i="48"/>
  <c r="F542" i="48"/>
  <c r="F543" i="48"/>
  <c r="F544" i="48"/>
  <c r="F545" i="48"/>
  <c r="F546" i="48"/>
  <c r="F547" i="48"/>
  <c r="F548" i="48"/>
  <c r="F549" i="48"/>
  <c r="F550" i="48"/>
  <c r="F551" i="48"/>
  <c r="F552" i="48"/>
  <c r="F553" i="48"/>
  <c r="F554" i="48"/>
  <c r="F555" i="48"/>
  <c r="F556" i="48"/>
  <c r="F557" i="48"/>
  <c r="F558" i="48"/>
  <c r="F559" i="48"/>
  <c r="F560" i="48"/>
  <c r="F561" i="48"/>
  <c r="F562" i="48"/>
  <c r="F563" i="48"/>
  <c r="F564" i="48"/>
  <c r="F565" i="48"/>
  <c r="F566" i="48"/>
  <c r="F567" i="48"/>
  <c r="F568" i="48"/>
  <c r="F569" i="48"/>
  <c r="F570" i="48"/>
  <c r="F571" i="48"/>
  <c r="F572" i="48"/>
  <c r="F573" i="48"/>
  <c r="F574" i="48"/>
  <c r="F575" i="48"/>
  <c r="F576" i="48"/>
  <c r="F577" i="48"/>
  <c r="F578" i="48"/>
  <c r="F579" i="48"/>
  <c r="F580" i="48"/>
  <c r="F581" i="48"/>
  <c r="F582" i="48"/>
  <c r="F583" i="48"/>
  <c r="F584" i="48"/>
  <c r="F585" i="48"/>
  <c r="F586" i="48"/>
  <c r="F587" i="48"/>
  <c r="F588" i="48"/>
  <c r="F589" i="48"/>
  <c r="F590" i="48"/>
  <c r="F591" i="48"/>
  <c r="F592" i="48"/>
  <c r="F593" i="48"/>
  <c r="F594" i="48"/>
  <c r="F595" i="48"/>
  <c r="F596" i="48"/>
  <c r="F597" i="48"/>
  <c r="F598" i="48"/>
  <c r="F599" i="48"/>
  <c r="F600" i="48"/>
  <c r="F601" i="48"/>
  <c r="F602" i="48"/>
  <c r="F603" i="48"/>
  <c r="F604" i="48"/>
  <c r="F605" i="48"/>
  <c r="F606" i="48"/>
  <c r="F607" i="48"/>
  <c r="F608" i="48"/>
  <c r="F609" i="48"/>
  <c r="F610" i="48"/>
  <c r="F611" i="48"/>
  <c r="F612" i="48"/>
  <c r="F613" i="48"/>
  <c r="F614" i="48"/>
  <c r="F615" i="48"/>
  <c r="F616" i="48"/>
  <c r="F617" i="48"/>
  <c r="F618" i="48"/>
  <c r="F619" i="48"/>
  <c r="F620" i="48"/>
  <c r="F621" i="48"/>
  <c r="F622" i="48"/>
  <c r="F623" i="48"/>
  <c r="F624" i="48"/>
  <c r="F625" i="48"/>
  <c r="F626" i="48"/>
  <c r="F627" i="48"/>
  <c r="F628" i="48"/>
  <c r="F629" i="48"/>
  <c r="F630" i="48"/>
  <c r="F631" i="48"/>
  <c r="F632" i="48"/>
  <c r="F633" i="48"/>
  <c r="F634" i="48"/>
  <c r="F635" i="48"/>
  <c r="F636" i="48"/>
  <c r="F637" i="48"/>
  <c r="F638" i="48"/>
  <c r="F639" i="48"/>
  <c r="F640" i="48"/>
  <c r="F641" i="48"/>
  <c r="F642" i="48"/>
  <c r="F643" i="48"/>
  <c r="F644" i="48"/>
  <c r="F645" i="48"/>
  <c r="F646" i="48"/>
  <c r="F647" i="48"/>
  <c r="F648" i="48"/>
  <c r="F649" i="48"/>
  <c r="F650" i="48"/>
  <c r="F651" i="48"/>
  <c r="F652" i="48"/>
  <c r="F653" i="48"/>
  <c r="F654" i="48"/>
  <c r="F655" i="48"/>
  <c r="F656" i="48"/>
  <c r="F657" i="48"/>
  <c r="F658" i="48"/>
  <c r="F659" i="48"/>
  <c r="F660" i="48"/>
  <c r="F661" i="48"/>
  <c r="F662" i="48"/>
  <c r="F663" i="48"/>
  <c r="F664" i="48"/>
  <c r="F665" i="48"/>
  <c r="F666" i="48"/>
  <c r="F667" i="48"/>
  <c r="F668" i="48"/>
  <c r="F669" i="48"/>
  <c r="F670" i="48"/>
  <c r="F671" i="48"/>
  <c r="F672" i="48"/>
  <c r="F673" i="48"/>
  <c r="F674" i="48"/>
  <c r="F675" i="48"/>
  <c r="F676" i="48"/>
  <c r="F677" i="48"/>
  <c r="F678" i="48"/>
  <c r="F679" i="48"/>
  <c r="F680" i="48"/>
  <c r="F681" i="48"/>
  <c r="F682" i="48"/>
  <c r="F683" i="48"/>
  <c r="F684" i="48"/>
  <c r="F685" i="48"/>
  <c r="F686" i="48"/>
  <c r="F687" i="48"/>
  <c r="F688" i="48"/>
  <c r="F689" i="48"/>
  <c r="F690" i="48"/>
  <c r="F691" i="48"/>
  <c r="F692" i="48"/>
  <c r="F693" i="48"/>
  <c r="F694" i="48"/>
  <c r="F695" i="48"/>
  <c r="F696" i="48"/>
  <c r="F697" i="48"/>
  <c r="F698" i="48"/>
  <c r="F699" i="48"/>
  <c r="F700" i="48"/>
  <c r="F701" i="48"/>
  <c r="F702" i="48"/>
  <c r="F703" i="48"/>
  <c r="F704" i="48"/>
  <c r="F705" i="48"/>
  <c r="F706" i="48"/>
  <c r="F707" i="48"/>
  <c r="F708" i="48"/>
  <c r="F709" i="48"/>
  <c r="F710" i="48"/>
  <c r="F711" i="48"/>
  <c r="F712" i="48"/>
  <c r="F713" i="48"/>
  <c r="F714" i="48"/>
  <c r="F715" i="48"/>
  <c r="F716" i="48"/>
  <c r="F717" i="48"/>
  <c r="F718" i="48"/>
  <c r="F719" i="48"/>
  <c r="F720" i="48"/>
  <c r="F721" i="48"/>
  <c r="F722" i="48"/>
  <c r="F723" i="48"/>
  <c r="F724" i="48"/>
  <c r="F725" i="48"/>
  <c r="F726" i="48"/>
  <c r="F727" i="48"/>
  <c r="F728" i="48"/>
  <c r="F729" i="48"/>
  <c r="F730" i="48"/>
  <c r="F731" i="48"/>
  <c r="F732" i="48"/>
  <c r="F733" i="48"/>
  <c r="F734" i="48"/>
  <c r="F735" i="48"/>
  <c r="F736" i="48"/>
  <c r="F737" i="48"/>
  <c r="F738" i="48"/>
  <c r="F739" i="48"/>
  <c r="F740" i="48"/>
  <c r="F741" i="48"/>
  <c r="F742" i="48"/>
  <c r="F743" i="48"/>
  <c r="F744" i="48"/>
  <c r="F745" i="48"/>
  <c r="F746" i="48"/>
  <c r="F747" i="48"/>
  <c r="F748" i="48"/>
  <c r="F749" i="48"/>
  <c r="F750" i="48"/>
  <c r="F751" i="48"/>
  <c r="F752" i="48"/>
  <c r="F753" i="48"/>
  <c r="F754" i="48"/>
  <c r="F755" i="48"/>
  <c r="F756" i="48"/>
  <c r="F757" i="48"/>
  <c r="F758" i="48"/>
  <c r="F759" i="48"/>
  <c r="F760" i="48"/>
  <c r="F761" i="48"/>
  <c r="F762" i="48"/>
  <c r="F763" i="48"/>
  <c r="F764" i="48"/>
  <c r="F765" i="48"/>
  <c r="F766" i="48"/>
  <c r="F767" i="48"/>
  <c r="F768" i="48"/>
  <c r="F769" i="48"/>
  <c r="F770" i="48"/>
  <c r="F771" i="48"/>
  <c r="F772" i="48"/>
  <c r="F773" i="48"/>
  <c r="F774" i="48"/>
  <c r="F775" i="48"/>
  <c r="F776" i="48"/>
  <c r="F777" i="48"/>
  <c r="F778" i="48"/>
  <c r="F779" i="48"/>
  <c r="F780" i="48"/>
  <c r="F781" i="48"/>
  <c r="F782" i="48"/>
  <c r="F783" i="48"/>
  <c r="F784" i="48"/>
  <c r="F785" i="48"/>
  <c r="F786" i="48"/>
  <c r="F787" i="48"/>
  <c r="F788" i="48"/>
  <c r="F789" i="48"/>
  <c r="F790" i="48"/>
  <c r="F791" i="48"/>
  <c r="F792" i="48"/>
  <c r="F793" i="48"/>
  <c r="F794" i="48"/>
  <c r="F795" i="48"/>
  <c r="F796" i="48"/>
  <c r="F797" i="48"/>
  <c r="F798" i="48"/>
  <c r="F799" i="48"/>
  <c r="F800" i="48"/>
  <c r="F801" i="48"/>
  <c r="F802" i="48"/>
  <c r="F803" i="48"/>
  <c r="F804" i="48"/>
  <c r="F805" i="48"/>
  <c r="F806" i="48"/>
  <c r="F807" i="48"/>
  <c r="F808" i="48"/>
  <c r="F809" i="48"/>
  <c r="F810" i="48"/>
  <c r="F811" i="48"/>
  <c r="F812" i="48"/>
  <c r="F813" i="48"/>
  <c r="F814" i="48"/>
  <c r="F815" i="48"/>
  <c r="F816" i="48"/>
  <c r="F817" i="48"/>
  <c r="F818" i="48"/>
  <c r="F819" i="48"/>
  <c r="F820" i="48"/>
  <c r="F821" i="48"/>
  <c r="F822" i="48"/>
  <c r="F823" i="48"/>
  <c r="F824" i="48"/>
  <c r="F825" i="48"/>
  <c r="F826" i="48"/>
  <c r="F827" i="48"/>
  <c r="F828" i="48"/>
  <c r="F829" i="48"/>
  <c r="F830" i="48"/>
  <c r="F831" i="48"/>
  <c r="F832" i="48"/>
  <c r="F833" i="48"/>
  <c r="F834" i="48"/>
  <c r="F835" i="48"/>
  <c r="F836" i="48"/>
  <c r="F837" i="48"/>
  <c r="F838" i="48"/>
  <c r="F839" i="48"/>
  <c r="F840" i="48"/>
  <c r="F841" i="48"/>
  <c r="F842" i="48"/>
  <c r="F843" i="48"/>
  <c r="F844" i="48"/>
  <c r="F845" i="48"/>
  <c r="F846" i="48"/>
  <c r="F847" i="48"/>
  <c r="F848" i="48"/>
  <c r="F849" i="48"/>
  <c r="F850" i="48"/>
  <c r="F851" i="48"/>
  <c r="F852" i="48"/>
  <c r="F853" i="48"/>
  <c r="F854" i="48"/>
  <c r="F855" i="48"/>
  <c r="F856" i="48"/>
  <c r="F857" i="48"/>
  <c r="F858" i="48"/>
  <c r="F859" i="48"/>
  <c r="F860" i="48"/>
  <c r="F861" i="48"/>
  <c r="F862" i="48"/>
  <c r="F863" i="48"/>
  <c r="F864" i="48"/>
  <c r="F865" i="48"/>
  <c r="F866" i="48"/>
  <c r="F867" i="48"/>
  <c r="F868" i="48"/>
  <c r="F869" i="48"/>
  <c r="F870" i="48"/>
  <c r="F871" i="48"/>
  <c r="F872" i="48"/>
  <c r="F873" i="48"/>
  <c r="F874" i="48"/>
  <c r="F875" i="48"/>
  <c r="F876" i="48"/>
  <c r="F877" i="48"/>
  <c r="F878" i="48"/>
  <c r="F879" i="48"/>
  <c r="F880" i="48"/>
  <c r="F881" i="48"/>
  <c r="F882" i="48"/>
  <c r="F883" i="48"/>
  <c r="F884" i="48"/>
  <c r="F885" i="48"/>
  <c r="F886" i="48"/>
  <c r="F887" i="48"/>
  <c r="F888" i="48"/>
  <c r="F889" i="48"/>
  <c r="F890" i="48"/>
  <c r="F891" i="48"/>
  <c r="F892" i="48"/>
  <c r="F893" i="48"/>
  <c r="F894" i="48"/>
  <c r="F895" i="48"/>
  <c r="F896" i="48"/>
  <c r="F897" i="48"/>
  <c r="F898" i="48"/>
  <c r="F899" i="48"/>
  <c r="F900" i="48"/>
  <c r="F901" i="48"/>
  <c r="F902" i="48"/>
  <c r="F903" i="48"/>
  <c r="F904" i="48"/>
  <c r="F905" i="48"/>
  <c r="F906" i="48"/>
  <c r="F907" i="48"/>
  <c r="F908" i="48"/>
  <c r="F909" i="48"/>
  <c r="F910" i="48"/>
  <c r="F911" i="48"/>
  <c r="F912" i="48"/>
  <c r="F913" i="48"/>
  <c r="F914" i="48"/>
  <c r="F915" i="48"/>
  <c r="F916" i="48"/>
  <c r="F917" i="48"/>
  <c r="F918" i="48"/>
  <c r="F919" i="48"/>
  <c r="F920" i="48"/>
  <c r="F921" i="48"/>
  <c r="F922" i="48"/>
  <c r="F923" i="48"/>
  <c r="F924" i="48"/>
  <c r="F925" i="48"/>
  <c r="F926" i="48"/>
  <c r="F927" i="48"/>
  <c r="F928" i="48"/>
  <c r="F929" i="48"/>
  <c r="F930" i="48"/>
  <c r="F931" i="48"/>
  <c r="F932" i="48"/>
  <c r="F933" i="48"/>
  <c r="F934" i="48"/>
  <c r="F935" i="48"/>
  <c r="F936" i="48"/>
  <c r="F937" i="48"/>
  <c r="F938" i="48"/>
  <c r="F939" i="48"/>
  <c r="F940" i="48"/>
  <c r="F941" i="48"/>
  <c r="F942" i="48"/>
  <c r="F943" i="48"/>
  <c r="F944" i="48"/>
  <c r="F945" i="48"/>
  <c r="F946" i="48"/>
  <c r="F947" i="48"/>
  <c r="F948" i="48"/>
  <c r="F949" i="48"/>
  <c r="F950" i="48"/>
  <c r="F951" i="48"/>
  <c r="F952" i="48"/>
  <c r="F953" i="48"/>
  <c r="F954" i="48"/>
  <c r="F955" i="48"/>
  <c r="F956" i="48"/>
  <c r="F957" i="48"/>
  <c r="F958" i="48"/>
  <c r="F959" i="48"/>
  <c r="F960" i="48"/>
  <c r="F961" i="48"/>
  <c r="F962" i="48"/>
  <c r="F963" i="48"/>
  <c r="F964" i="48"/>
  <c r="F965" i="48"/>
  <c r="F966" i="48"/>
  <c r="F967" i="48"/>
  <c r="F968" i="48"/>
  <c r="F969" i="48"/>
  <c r="F970" i="48"/>
  <c r="F971" i="48"/>
  <c r="F972" i="48"/>
  <c r="F973" i="48"/>
  <c r="F974" i="48"/>
  <c r="F975" i="48"/>
  <c r="F976" i="48"/>
  <c r="F977" i="48"/>
  <c r="F978" i="48"/>
  <c r="F979" i="48"/>
  <c r="F980" i="48"/>
  <c r="F981" i="48"/>
  <c r="F982" i="48"/>
  <c r="F983" i="48"/>
  <c r="F984" i="48"/>
  <c r="F985" i="48"/>
  <c r="F986" i="48"/>
  <c r="F987" i="48"/>
  <c r="F988" i="48"/>
  <c r="F989" i="48"/>
  <c r="F990" i="48"/>
  <c r="F991" i="48"/>
  <c r="F992" i="48"/>
  <c r="F993" i="48"/>
  <c r="F994" i="48"/>
  <c r="F995" i="48"/>
  <c r="F996" i="48"/>
  <c r="F997" i="48"/>
  <c r="F998" i="48"/>
  <c r="F999" i="48"/>
  <c r="F1000" i="48"/>
  <c r="F1001" i="48"/>
  <c r="F11" i="48"/>
  <c r="B1042" i="48"/>
  <c r="C1042" i="48"/>
  <c r="D1042" i="48"/>
  <c r="B1043" i="48"/>
  <c r="C1043" i="48"/>
  <c r="D1043" i="48"/>
  <c r="B1044" i="48"/>
  <c r="C1044" i="48"/>
  <c r="D1044" i="48"/>
  <c r="B1045" i="48"/>
  <c r="C1045" i="48"/>
  <c r="D1045" i="48"/>
  <c r="B1046" i="48"/>
  <c r="C1046" i="48"/>
  <c r="D1046" i="48"/>
  <c r="B1047" i="48"/>
  <c r="C1047" i="48"/>
  <c r="D1047" i="48"/>
  <c r="B1048" i="48"/>
  <c r="C1048" i="48"/>
  <c r="D1048" i="48"/>
  <c r="B1049" i="48"/>
  <c r="C1049" i="48"/>
  <c r="D1049" i="48"/>
  <c r="B1050" i="48"/>
  <c r="C1050" i="48"/>
  <c r="D1050" i="48"/>
  <c r="B1051" i="48"/>
  <c r="C1051" i="48"/>
  <c r="D1051" i="48"/>
  <c r="B1052" i="48"/>
  <c r="C1052" i="48"/>
  <c r="D1052" i="48"/>
  <c r="B1053" i="48"/>
  <c r="C1053" i="48"/>
  <c r="D1053" i="48"/>
  <c r="B1054" i="48"/>
  <c r="C1054" i="48"/>
  <c r="D1054" i="48"/>
  <c r="B1055" i="48"/>
  <c r="C1055" i="48"/>
  <c r="D1055" i="48"/>
  <c r="B1056" i="48"/>
  <c r="C1056" i="48"/>
  <c r="D1056" i="48"/>
  <c r="B1057" i="48"/>
  <c r="C1057" i="48"/>
  <c r="D1057" i="48"/>
  <c r="B1058" i="48"/>
  <c r="C1058" i="48"/>
  <c r="D1058" i="48"/>
  <c r="B1059" i="48"/>
  <c r="C1059" i="48"/>
  <c r="D1059" i="48"/>
  <c r="B1060" i="48"/>
  <c r="C1060" i="48"/>
  <c r="D1060" i="48"/>
  <c r="B1061" i="48"/>
  <c r="C1061" i="48"/>
  <c r="D1061" i="48"/>
  <c r="B1062" i="48"/>
  <c r="C1062" i="48"/>
  <c r="D1062" i="48"/>
  <c r="B1063" i="48"/>
  <c r="C1063" i="48"/>
  <c r="D1063" i="48"/>
  <c r="B1064" i="48"/>
  <c r="C1064" i="48"/>
  <c r="D1064" i="48"/>
  <c r="B1065" i="48"/>
  <c r="C1065" i="48"/>
  <c r="D1065" i="48"/>
  <c r="B1066" i="48"/>
  <c r="C1066" i="48"/>
  <c r="D1066" i="48"/>
  <c r="B1067" i="48"/>
  <c r="C1067" i="48"/>
  <c r="D1067" i="48"/>
  <c r="B1068" i="48"/>
  <c r="C1068" i="48"/>
  <c r="D1068" i="48"/>
  <c r="B1069" i="48"/>
  <c r="C1069" i="48"/>
  <c r="D1069" i="48"/>
  <c r="B1070" i="48"/>
  <c r="C1070" i="48"/>
  <c r="D1070" i="48"/>
  <c r="B1071" i="48"/>
  <c r="C1071" i="48"/>
  <c r="D1071" i="48"/>
  <c r="B1072" i="48"/>
  <c r="C1072" i="48"/>
  <c r="D1072" i="48"/>
  <c r="B1073" i="48"/>
  <c r="C1073" i="48"/>
  <c r="D1073" i="48"/>
  <c r="B1074" i="48"/>
  <c r="C1074" i="48"/>
  <c r="D1074" i="48"/>
  <c r="B1023" i="48"/>
  <c r="C1023" i="48"/>
  <c r="D1023" i="48"/>
  <c r="B1024" i="48"/>
  <c r="C1024" i="48"/>
  <c r="D1024" i="48"/>
  <c r="B1025" i="48"/>
  <c r="C1025" i="48"/>
  <c r="D1025" i="48"/>
  <c r="B1026" i="48"/>
  <c r="C1026" i="48"/>
  <c r="D1026" i="48"/>
  <c r="B1027" i="48"/>
  <c r="C1027" i="48"/>
  <c r="D1027" i="48"/>
  <c r="B1028" i="48"/>
  <c r="C1028" i="48"/>
  <c r="D1028" i="48"/>
  <c r="B1029" i="48"/>
  <c r="C1029" i="48"/>
  <c r="D1029" i="48"/>
  <c r="B1030" i="48"/>
  <c r="C1030" i="48"/>
  <c r="D1030" i="48"/>
  <c r="B1031" i="48"/>
  <c r="C1031" i="48"/>
  <c r="D1031" i="48"/>
  <c r="B1032" i="48"/>
  <c r="C1032" i="48"/>
  <c r="D1032" i="48"/>
  <c r="B1033" i="48"/>
  <c r="C1033" i="48"/>
  <c r="D1033" i="48"/>
  <c r="B1034" i="48"/>
  <c r="C1034" i="48"/>
  <c r="D1034" i="48"/>
  <c r="B1035" i="48"/>
  <c r="C1035" i="48"/>
  <c r="D1035" i="48"/>
  <c r="B1036" i="48"/>
  <c r="C1036" i="48"/>
  <c r="D1036" i="48"/>
  <c r="B1037" i="48"/>
  <c r="C1037" i="48"/>
  <c r="D1037" i="48"/>
  <c r="B1038" i="48"/>
  <c r="C1038" i="48"/>
  <c r="D1038" i="48"/>
  <c r="B1039" i="48"/>
  <c r="C1039" i="48"/>
  <c r="D1039" i="48"/>
  <c r="B1040" i="48"/>
  <c r="C1040" i="48"/>
  <c r="D1040" i="48"/>
  <c r="B1041" i="48"/>
  <c r="C1041" i="48"/>
  <c r="D1041" i="48"/>
  <c r="B1004" i="48"/>
  <c r="C1004" i="48"/>
  <c r="D1004" i="48"/>
  <c r="B1005" i="48"/>
  <c r="C1005" i="48"/>
  <c r="D1005" i="48"/>
  <c r="B1006" i="48"/>
  <c r="C1006" i="48"/>
  <c r="D1006" i="48"/>
  <c r="B1007" i="48"/>
  <c r="C1007" i="48"/>
  <c r="D1007" i="48"/>
  <c r="B1008" i="48"/>
  <c r="C1008" i="48"/>
  <c r="D1008" i="48"/>
  <c r="B1009" i="48"/>
  <c r="C1009" i="48"/>
  <c r="D1009" i="48"/>
  <c r="B1010" i="48"/>
  <c r="C1010" i="48"/>
  <c r="D1010" i="48"/>
  <c r="B1011" i="48"/>
  <c r="C1011" i="48"/>
  <c r="D1011" i="48"/>
  <c r="B1012" i="48"/>
  <c r="C1012" i="48"/>
  <c r="D1012" i="48"/>
  <c r="B1013" i="48"/>
  <c r="C1013" i="48"/>
  <c r="D1013" i="48"/>
  <c r="B1014" i="48"/>
  <c r="C1014" i="48"/>
  <c r="D1014" i="48"/>
  <c r="B1015" i="48"/>
  <c r="C1015" i="48"/>
  <c r="D1015" i="48"/>
  <c r="B1016" i="48"/>
  <c r="C1016" i="48"/>
  <c r="D1016" i="48"/>
  <c r="B1017" i="48"/>
  <c r="C1017" i="48"/>
  <c r="D1017" i="48"/>
  <c r="B1018" i="48"/>
  <c r="C1018" i="48"/>
  <c r="D1018" i="48"/>
  <c r="B1019" i="48"/>
  <c r="C1019" i="48"/>
  <c r="D1019" i="48"/>
  <c r="B1020" i="48"/>
  <c r="C1020" i="48"/>
  <c r="D1020" i="48"/>
  <c r="B1021" i="48"/>
  <c r="C1021" i="48"/>
  <c r="D1021" i="48"/>
  <c r="B1022" i="48"/>
  <c r="C1022" i="48"/>
  <c r="D1022" i="48"/>
  <c r="B971" i="48"/>
  <c r="C971" i="48"/>
  <c r="D971" i="48"/>
  <c r="B972" i="48"/>
  <c r="C972" i="48"/>
  <c r="D972" i="48"/>
  <c r="B973" i="48"/>
  <c r="C973" i="48"/>
  <c r="D973" i="48"/>
  <c r="B974" i="48"/>
  <c r="C974" i="48"/>
  <c r="D974" i="48"/>
  <c r="B975" i="48"/>
  <c r="C975" i="48"/>
  <c r="D975" i="48"/>
  <c r="B976" i="48"/>
  <c r="C976" i="48"/>
  <c r="D976" i="48"/>
  <c r="B977" i="48"/>
  <c r="C977" i="48"/>
  <c r="D977" i="48"/>
  <c r="B978" i="48"/>
  <c r="C978" i="48"/>
  <c r="D978" i="48"/>
  <c r="B979" i="48"/>
  <c r="C979" i="48"/>
  <c r="D979" i="48"/>
  <c r="B980" i="48"/>
  <c r="C980" i="48"/>
  <c r="D980" i="48"/>
  <c r="B981" i="48"/>
  <c r="C981" i="48"/>
  <c r="D981" i="48"/>
  <c r="B982" i="48"/>
  <c r="C982" i="48"/>
  <c r="D982" i="48"/>
  <c r="B983" i="48"/>
  <c r="C983" i="48"/>
  <c r="D983" i="48"/>
  <c r="B984" i="48"/>
  <c r="C984" i="48"/>
  <c r="D984" i="48"/>
  <c r="B985" i="48"/>
  <c r="C985" i="48"/>
  <c r="D985" i="48"/>
  <c r="B986" i="48"/>
  <c r="C986" i="48"/>
  <c r="D986" i="48"/>
  <c r="B987" i="48"/>
  <c r="C987" i="48"/>
  <c r="D987" i="48"/>
  <c r="B988" i="48"/>
  <c r="C988" i="48"/>
  <c r="D988" i="48"/>
  <c r="B989" i="48"/>
  <c r="C989" i="48"/>
  <c r="D989" i="48"/>
  <c r="B990" i="48"/>
  <c r="C990" i="48"/>
  <c r="D990" i="48"/>
  <c r="B991" i="48"/>
  <c r="C991" i="48"/>
  <c r="D991" i="48"/>
  <c r="B992" i="48"/>
  <c r="C992" i="48"/>
  <c r="D992" i="48"/>
  <c r="B993" i="48"/>
  <c r="C993" i="48"/>
  <c r="D993" i="48"/>
  <c r="B994" i="48"/>
  <c r="C994" i="48"/>
  <c r="D994" i="48"/>
  <c r="B995" i="48"/>
  <c r="C995" i="48"/>
  <c r="D995" i="48"/>
  <c r="B996" i="48"/>
  <c r="C996" i="48"/>
  <c r="D996" i="48"/>
  <c r="B997" i="48"/>
  <c r="C997" i="48"/>
  <c r="D997" i="48"/>
  <c r="B998" i="48"/>
  <c r="C998" i="48"/>
  <c r="D998" i="48"/>
  <c r="B999" i="48"/>
  <c r="C999" i="48"/>
  <c r="D999" i="48"/>
  <c r="B1000" i="48"/>
  <c r="C1000" i="48"/>
  <c r="D1000" i="48"/>
  <c r="B1001" i="48"/>
  <c r="C1001" i="48"/>
  <c r="D1001" i="48"/>
  <c r="B1002" i="48"/>
  <c r="C1002" i="48"/>
  <c r="D1002" i="48"/>
  <c r="B1003" i="48"/>
  <c r="C1003" i="48"/>
  <c r="D1003" i="48"/>
  <c r="B11" i="48"/>
  <c r="C11" i="48"/>
  <c r="B12" i="48"/>
  <c r="C12" i="48"/>
  <c r="B13" i="48"/>
  <c r="C13" i="48"/>
  <c r="B14" i="48"/>
  <c r="C14" i="48"/>
  <c r="B15" i="48"/>
  <c r="C15" i="48"/>
  <c r="B16" i="48"/>
  <c r="C16" i="48"/>
  <c r="B17" i="48"/>
  <c r="C17" i="48"/>
  <c r="B18" i="48"/>
  <c r="C18" i="48"/>
  <c r="B19" i="48"/>
  <c r="C19" i="48"/>
  <c r="B20" i="48"/>
  <c r="C20" i="48"/>
  <c r="B21" i="48"/>
  <c r="C21" i="48"/>
  <c r="B22" i="48"/>
  <c r="C22" i="48"/>
  <c r="B23" i="48"/>
  <c r="C23" i="48"/>
  <c r="B24" i="48"/>
  <c r="C24" i="48"/>
  <c r="B25" i="48"/>
  <c r="C25" i="48"/>
  <c r="B26" i="48"/>
  <c r="C26" i="48"/>
  <c r="B27" i="48"/>
  <c r="C27" i="48"/>
  <c r="D12" i="48"/>
  <c r="D13" i="48"/>
  <c r="D14" i="48"/>
  <c r="D15" i="48"/>
  <c r="D16" i="48"/>
  <c r="D17" i="48"/>
  <c r="D18" i="48"/>
  <c r="D19" i="48"/>
  <c r="D20" i="48"/>
  <c r="D21" i="48"/>
  <c r="D22" i="48"/>
  <c r="D23" i="48"/>
  <c r="D24" i="48"/>
  <c r="D25" i="48"/>
  <c r="D26" i="48"/>
  <c r="D27" i="48"/>
  <c r="L24" i="39"/>
  <c r="V49" i="71"/>
  <c r="I34" i="70"/>
  <c r="I35" i="70" s="1"/>
  <c r="I34" i="71"/>
  <c r="I35" i="71" s="1"/>
  <c r="O80" i="75"/>
  <c r="I43" i="75" s="1"/>
  <c r="N80" i="75"/>
  <c r="I42" i="75" s="1"/>
  <c r="M80" i="75"/>
  <c r="I41" i="75" s="1"/>
  <c r="L80" i="75"/>
  <c r="I44" i="75" s="1"/>
  <c r="K80" i="75"/>
  <c r="J80" i="75"/>
  <c r="I80" i="75"/>
  <c r="V79" i="75"/>
  <c r="U79" i="75" s="1"/>
  <c r="R79" i="75"/>
  <c r="Q79" i="75"/>
  <c r="P79" i="75"/>
  <c r="F79" i="75"/>
  <c r="V78" i="75"/>
  <c r="U78" i="75" s="1"/>
  <c r="R78" i="75"/>
  <c r="Q78" i="75"/>
  <c r="P78" i="75"/>
  <c r="F78" i="75"/>
  <c r="V77" i="75"/>
  <c r="U77" i="75" s="1"/>
  <c r="R77" i="75"/>
  <c r="Q77" i="75"/>
  <c r="P77" i="75"/>
  <c r="F77" i="75"/>
  <c r="V76" i="75"/>
  <c r="U76" i="75" s="1"/>
  <c r="R76" i="75"/>
  <c r="Q76" i="75"/>
  <c r="P76" i="75"/>
  <c r="F76" i="75"/>
  <c r="V75" i="75"/>
  <c r="U75" i="75" s="1"/>
  <c r="R75" i="75"/>
  <c r="Q75" i="75"/>
  <c r="P75" i="75"/>
  <c r="F75" i="75"/>
  <c r="V74" i="75"/>
  <c r="U74" i="75" s="1"/>
  <c r="R74" i="75"/>
  <c r="Q74" i="75"/>
  <c r="P74" i="75"/>
  <c r="F74" i="75"/>
  <c r="V73" i="75"/>
  <c r="U73" i="75" s="1"/>
  <c r="R73" i="75"/>
  <c r="Q73" i="75"/>
  <c r="P73" i="75"/>
  <c r="F73" i="75"/>
  <c r="V72" i="75"/>
  <c r="R72" i="75"/>
  <c r="Q72" i="75"/>
  <c r="P72" i="75"/>
  <c r="F72" i="75"/>
  <c r="V71" i="75"/>
  <c r="U71" i="75" s="1"/>
  <c r="R71" i="75"/>
  <c r="Q71" i="75"/>
  <c r="P71" i="75"/>
  <c r="F71" i="75"/>
  <c r="V70" i="75"/>
  <c r="U70" i="75" s="1"/>
  <c r="R70" i="75"/>
  <c r="Q70" i="75"/>
  <c r="P70" i="75"/>
  <c r="F70" i="75"/>
  <c r="V69" i="75"/>
  <c r="R69" i="75"/>
  <c r="Q69" i="75"/>
  <c r="P69" i="75"/>
  <c r="F69" i="75"/>
  <c r="V68" i="75"/>
  <c r="U68" i="75" s="1"/>
  <c r="R68" i="75"/>
  <c r="Q68" i="75"/>
  <c r="P68" i="75"/>
  <c r="F68" i="75"/>
  <c r="V67" i="75"/>
  <c r="U67" i="75" s="1"/>
  <c r="R67" i="75"/>
  <c r="P67" i="75"/>
  <c r="Q67" i="75"/>
  <c r="F67" i="75"/>
  <c r="V66" i="75"/>
  <c r="R66" i="75"/>
  <c r="Q66" i="75"/>
  <c r="P66" i="75"/>
  <c r="F66" i="75"/>
  <c r="V65" i="75"/>
  <c r="U65" i="75" s="1"/>
  <c r="R65" i="75"/>
  <c r="Q65" i="75"/>
  <c r="P65" i="75"/>
  <c r="F65" i="75"/>
  <c r="V64" i="75"/>
  <c r="R64" i="75"/>
  <c r="Q64" i="75"/>
  <c r="P64" i="75"/>
  <c r="C49" i="75"/>
  <c r="C50" i="75" s="1"/>
  <c r="C51" i="75" s="1"/>
  <c r="C52" i="75" s="1"/>
  <c r="C53" i="75" s="1"/>
  <c r="C54" i="75" s="1"/>
  <c r="C55" i="75" s="1"/>
  <c r="C56" i="75" s="1"/>
  <c r="C57" i="75" s="1"/>
  <c r="C58" i="75" s="1"/>
  <c r="C59" i="75" s="1"/>
  <c r="C60" i="75" s="1"/>
  <c r="C61" i="75" s="1"/>
  <c r="C62" i="75" s="1"/>
  <c r="C63" i="75" s="1"/>
  <c r="C64" i="75" s="1"/>
  <c r="C65" i="75" s="1"/>
  <c r="C66" i="75" s="1"/>
  <c r="C67" i="75" s="1"/>
  <c r="C68" i="75" s="1"/>
  <c r="C69" i="75" s="1"/>
  <c r="C70" i="75" s="1"/>
  <c r="C71" i="75" s="1"/>
  <c r="C72" i="75" s="1"/>
  <c r="C73" i="75" s="1"/>
  <c r="C74" i="75" s="1"/>
  <c r="C75" i="75" s="1"/>
  <c r="C76" i="75" s="1"/>
  <c r="C77" i="75" s="1"/>
  <c r="C78" i="75" s="1"/>
  <c r="C79" i="75" s="1"/>
  <c r="F64" i="75"/>
  <c r="V63" i="75"/>
  <c r="U63" i="75" s="1"/>
  <c r="R63" i="75"/>
  <c r="Q63" i="75"/>
  <c r="P63" i="75"/>
  <c r="F63" i="75"/>
  <c r="V62" i="75"/>
  <c r="R62" i="75"/>
  <c r="Q62" i="75"/>
  <c r="P62" i="75"/>
  <c r="F62" i="75"/>
  <c r="V61" i="75"/>
  <c r="U61" i="75" s="1"/>
  <c r="R61" i="75"/>
  <c r="Q61" i="75"/>
  <c r="P61" i="75"/>
  <c r="F61" i="75"/>
  <c r="V60" i="75"/>
  <c r="U60" i="75" s="1"/>
  <c r="R60" i="75"/>
  <c r="Q60" i="75"/>
  <c r="P60" i="75"/>
  <c r="F60" i="75"/>
  <c r="V59" i="75"/>
  <c r="U59" i="75" s="1"/>
  <c r="R59" i="75"/>
  <c r="Q59" i="75"/>
  <c r="P59" i="75"/>
  <c r="F59" i="75"/>
  <c r="V58" i="75"/>
  <c r="U58" i="75" s="1"/>
  <c r="R58" i="75"/>
  <c r="Q58" i="75"/>
  <c r="P58" i="75"/>
  <c r="F58" i="75"/>
  <c r="V57" i="75"/>
  <c r="U57" i="75" s="1"/>
  <c r="R57" i="75"/>
  <c r="P57" i="75"/>
  <c r="Q57" i="75"/>
  <c r="F57" i="75"/>
  <c r="V56" i="75"/>
  <c r="U56" i="75" s="1"/>
  <c r="R56" i="75"/>
  <c r="Q56" i="75"/>
  <c r="P56" i="75"/>
  <c r="F56" i="75"/>
  <c r="V55" i="75"/>
  <c r="U55" i="75" s="1"/>
  <c r="R55" i="75"/>
  <c r="P55" i="75"/>
  <c r="Q55" i="75"/>
  <c r="F55" i="75"/>
  <c r="V54" i="75"/>
  <c r="U54" i="75" s="1"/>
  <c r="R54" i="75"/>
  <c r="P54" i="75"/>
  <c r="Q54" i="75"/>
  <c r="F54" i="75"/>
  <c r="V53" i="75"/>
  <c r="U53" i="75" s="1"/>
  <c r="R53" i="75"/>
  <c r="P53" i="75"/>
  <c r="Q53" i="75"/>
  <c r="F53" i="75"/>
  <c r="V52" i="75"/>
  <c r="U52" i="75" s="1"/>
  <c r="R52" i="75"/>
  <c r="Q52" i="75"/>
  <c r="P52" i="75"/>
  <c r="F52" i="75"/>
  <c r="V51" i="75"/>
  <c r="U51" i="75" s="1"/>
  <c r="P51" i="75"/>
  <c r="Q51" i="75"/>
  <c r="R51" i="75"/>
  <c r="F51" i="75"/>
  <c r="V50" i="75"/>
  <c r="U50" i="75" s="1"/>
  <c r="R50" i="75"/>
  <c r="Q50" i="75"/>
  <c r="P50" i="75"/>
  <c r="F50" i="75"/>
  <c r="V49" i="75"/>
  <c r="U49" i="75" s="1"/>
  <c r="R49" i="75"/>
  <c r="Q49" i="75"/>
  <c r="P49" i="75"/>
  <c r="F49" i="75"/>
  <c r="I34" i="75"/>
  <c r="I35" i="75" s="1"/>
  <c r="K33" i="75" s="1"/>
  <c r="L24" i="75"/>
  <c r="E11" i="75"/>
  <c r="F11" i="75" s="1"/>
  <c r="E10" i="75"/>
  <c r="F10" i="75" s="1"/>
  <c r="O80" i="74"/>
  <c r="I43" i="74" s="1"/>
  <c r="N80" i="74"/>
  <c r="I42" i="74" s="1"/>
  <c r="M80" i="74"/>
  <c r="I41" i="74" s="1"/>
  <c r="L80" i="74"/>
  <c r="I44" i="74" s="1"/>
  <c r="E11" i="74"/>
  <c r="F11" i="74" s="1"/>
  <c r="K80" i="74"/>
  <c r="J80" i="74"/>
  <c r="I80" i="74"/>
  <c r="V79" i="74"/>
  <c r="U79" i="74" s="1"/>
  <c r="R79" i="74"/>
  <c r="Q79" i="74"/>
  <c r="P79" i="74"/>
  <c r="F79" i="74"/>
  <c r="V78" i="74"/>
  <c r="U78" i="74" s="1"/>
  <c r="R78" i="74"/>
  <c r="Q78" i="74"/>
  <c r="P78" i="74"/>
  <c r="F78" i="74"/>
  <c r="V77" i="74"/>
  <c r="R77" i="74"/>
  <c r="Q77" i="74"/>
  <c r="P77" i="74"/>
  <c r="F77" i="74"/>
  <c r="V76" i="74"/>
  <c r="U76" i="74" s="1"/>
  <c r="R76" i="74"/>
  <c r="Q76" i="74"/>
  <c r="P76" i="74"/>
  <c r="F76" i="74"/>
  <c r="V75" i="74"/>
  <c r="U75" i="74" s="1"/>
  <c r="R75" i="74"/>
  <c r="Q75" i="74"/>
  <c r="P75" i="74"/>
  <c r="F75" i="74"/>
  <c r="V74" i="74"/>
  <c r="U74" i="74" s="1"/>
  <c r="R74" i="74"/>
  <c r="Q74" i="74"/>
  <c r="P74" i="74"/>
  <c r="F74" i="74"/>
  <c r="V73" i="74"/>
  <c r="U73" i="74" s="1"/>
  <c r="R73" i="74"/>
  <c r="Q73" i="74"/>
  <c r="P73" i="74"/>
  <c r="F73" i="74"/>
  <c r="V72" i="74"/>
  <c r="U72" i="74" s="1"/>
  <c r="R72" i="74"/>
  <c r="Q72" i="74"/>
  <c r="P72" i="74"/>
  <c r="F72" i="74"/>
  <c r="V71" i="74"/>
  <c r="U71" i="74" s="1"/>
  <c r="R71" i="74"/>
  <c r="P71" i="74"/>
  <c r="Q71" i="74"/>
  <c r="F71" i="74"/>
  <c r="V70" i="74"/>
  <c r="R70" i="74"/>
  <c r="Q70" i="74"/>
  <c r="P70" i="74"/>
  <c r="F70" i="74"/>
  <c r="V69" i="74"/>
  <c r="U69" i="74" s="1"/>
  <c r="R69" i="74"/>
  <c r="P69" i="74"/>
  <c r="Q69" i="74"/>
  <c r="F69" i="74"/>
  <c r="V68" i="74"/>
  <c r="U68" i="74" s="1"/>
  <c r="R68" i="74"/>
  <c r="Q68" i="74"/>
  <c r="P68" i="74"/>
  <c r="F68" i="74"/>
  <c r="V67" i="74"/>
  <c r="U67" i="74" s="1"/>
  <c r="R67" i="74"/>
  <c r="Q67" i="74"/>
  <c r="P67" i="74"/>
  <c r="F67" i="74"/>
  <c r="V66" i="74"/>
  <c r="U66" i="74" s="1"/>
  <c r="R66" i="74"/>
  <c r="P66" i="74"/>
  <c r="Q66" i="74"/>
  <c r="F66" i="74"/>
  <c r="V65" i="74"/>
  <c r="U65" i="74" s="1"/>
  <c r="R65" i="74"/>
  <c r="P65" i="74"/>
  <c r="Q65" i="74"/>
  <c r="F65" i="74"/>
  <c r="V64" i="74"/>
  <c r="U64" i="74" s="1"/>
  <c r="R64" i="74"/>
  <c r="Q64" i="74"/>
  <c r="P64" i="74"/>
  <c r="F64" i="74"/>
  <c r="V63" i="74"/>
  <c r="U63" i="74" s="1"/>
  <c r="R63" i="74"/>
  <c r="Q63" i="74"/>
  <c r="P63" i="74"/>
  <c r="F63" i="74"/>
  <c r="V62" i="74"/>
  <c r="U62" i="74" s="1"/>
  <c r="R62" i="74"/>
  <c r="P62" i="74"/>
  <c r="Q62" i="74"/>
  <c r="F62" i="74"/>
  <c r="V61" i="74"/>
  <c r="U61" i="74" s="1"/>
  <c r="R61" i="74"/>
  <c r="P61" i="74"/>
  <c r="Q61" i="74"/>
  <c r="F61" i="74"/>
  <c r="V60" i="74"/>
  <c r="U60" i="74" s="1"/>
  <c r="R60" i="74"/>
  <c r="Q60" i="74"/>
  <c r="P60" i="74"/>
  <c r="F60" i="74"/>
  <c r="V59" i="74"/>
  <c r="U59" i="74" s="1"/>
  <c r="R59" i="74"/>
  <c r="P59" i="74"/>
  <c r="Q59" i="74"/>
  <c r="F59" i="74"/>
  <c r="V58" i="74"/>
  <c r="U58" i="74" s="1"/>
  <c r="R58" i="74"/>
  <c r="Q58" i="74"/>
  <c r="P58" i="74"/>
  <c r="F58" i="74"/>
  <c r="V57" i="74"/>
  <c r="R57" i="74"/>
  <c r="Q57" i="74"/>
  <c r="P57" i="74"/>
  <c r="F57" i="74"/>
  <c r="V56" i="74"/>
  <c r="R56" i="74"/>
  <c r="P56" i="74"/>
  <c r="Q56" i="74"/>
  <c r="F56" i="74"/>
  <c r="V55" i="74"/>
  <c r="U55" i="74" s="1"/>
  <c r="R55" i="74"/>
  <c r="Q55" i="74"/>
  <c r="P55" i="74"/>
  <c r="F55" i="74"/>
  <c r="V54" i="74"/>
  <c r="U54" i="74" s="1"/>
  <c r="R54" i="74"/>
  <c r="Q54" i="74"/>
  <c r="Q49" i="74"/>
  <c r="Q50" i="74"/>
  <c r="Q51" i="74"/>
  <c r="P51" i="74"/>
  <c r="R51" i="74"/>
  <c r="Q52" i="74"/>
  <c r="Q53" i="74"/>
  <c r="P53" i="74"/>
  <c r="R53" i="74"/>
  <c r="P54" i="74"/>
  <c r="F54" i="74"/>
  <c r="V53" i="74"/>
  <c r="U53" i="74" s="1"/>
  <c r="F53" i="74"/>
  <c r="V52" i="74"/>
  <c r="U52" i="74" s="1"/>
  <c r="R52" i="74"/>
  <c r="P52" i="74"/>
  <c r="F52" i="74"/>
  <c r="V51" i="74"/>
  <c r="U51" i="74" s="1"/>
  <c r="F51" i="74"/>
  <c r="V50" i="74"/>
  <c r="U50" i="74" s="1"/>
  <c r="R50" i="74"/>
  <c r="P50" i="74"/>
  <c r="F50" i="74"/>
  <c r="V49" i="74"/>
  <c r="P49" i="74"/>
  <c r="R49" i="74"/>
  <c r="F49" i="74"/>
  <c r="C49" i="74"/>
  <c r="I34" i="74"/>
  <c r="I35" i="74" s="1"/>
  <c r="L24" i="74"/>
  <c r="E10" i="74"/>
  <c r="F10" i="74" s="1"/>
  <c r="O80" i="73"/>
  <c r="I43" i="73" s="1"/>
  <c r="N80" i="73"/>
  <c r="I42" i="73" s="1"/>
  <c r="M80" i="73"/>
  <c r="I41" i="73" s="1"/>
  <c r="L80" i="73"/>
  <c r="I44" i="73" s="1"/>
  <c r="K80" i="73"/>
  <c r="J80" i="73"/>
  <c r="I80" i="73"/>
  <c r="V79" i="73"/>
  <c r="U79" i="73" s="1"/>
  <c r="R79" i="73"/>
  <c r="P79" i="73"/>
  <c r="Q79" i="73"/>
  <c r="F79" i="73"/>
  <c r="V78" i="73"/>
  <c r="U78" i="73" s="1"/>
  <c r="R78" i="73"/>
  <c r="Q78" i="73"/>
  <c r="P78" i="73"/>
  <c r="F78" i="73"/>
  <c r="V77" i="73"/>
  <c r="U77" i="73" s="1"/>
  <c r="R77" i="73"/>
  <c r="Q77" i="73"/>
  <c r="P77" i="73"/>
  <c r="F77" i="73"/>
  <c r="V76" i="73"/>
  <c r="U76" i="73" s="1"/>
  <c r="R76" i="73"/>
  <c r="Q76" i="73"/>
  <c r="P76" i="73"/>
  <c r="F76" i="73"/>
  <c r="V75" i="73"/>
  <c r="U75" i="73" s="1"/>
  <c r="R75" i="73"/>
  <c r="Q75" i="73"/>
  <c r="P75" i="73"/>
  <c r="F75" i="73"/>
  <c r="V74" i="73"/>
  <c r="U74" i="73" s="1"/>
  <c r="R74" i="73"/>
  <c r="Q74" i="73"/>
  <c r="P74" i="73"/>
  <c r="F74" i="73"/>
  <c r="V73" i="73"/>
  <c r="R73" i="73"/>
  <c r="P73" i="73"/>
  <c r="Q73" i="73"/>
  <c r="C49" i="73"/>
  <c r="F73" i="73"/>
  <c r="V72" i="73"/>
  <c r="U72" i="73" s="1"/>
  <c r="R72" i="73"/>
  <c r="Q72" i="73"/>
  <c r="P72" i="73"/>
  <c r="F72" i="73"/>
  <c r="V71" i="73"/>
  <c r="U71" i="73" s="1"/>
  <c r="R71" i="73"/>
  <c r="Q71" i="73"/>
  <c r="P71" i="73"/>
  <c r="F71" i="73"/>
  <c r="V70" i="73"/>
  <c r="U70" i="73" s="1"/>
  <c r="R70" i="73"/>
  <c r="P70" i="73"/>
  <c r="Q70" i="73"/>
  <c r="F70" i="73"/>
  <c r="V69" i="73"/>
  <c r="U69" i="73" s="1"/>
  <c r="R69" i="73"/>
  <c r="Q69" i="73"/>
  <c r="P69" i="73"/>
  <c r="F69" i="73"/>
  <c r="V68" i="73"/>
  <c r="U68" i="73" s="1"/>
  <c r="R68" i="73"/>
  <c r="P68" i="73"/>
  <c r="Q68" i="73"/>
  <c r="F68" i="73"/>
  <c r="V67" i="73"/>
  <c r="U67" i="73" s="1"/>
  <c r="R67" i="73"/>
  <c r="P67" i="73"/>
  <c r="Q67" i="73"/>
  <c r="F67" i="73"/>
  <c r="V66" i="73"/>
  <c r="R66" i="73"/>
  <c r="P66" i="73"/>
  <c r="Q66" i="73"/>
  <c r="F66" i="73"/>
  <c r="V65" i="73"/>
  <c r="U65" i="73" s="1"/>
  <c r="R65" i="73"/>
  <c r="P65" i="73"/>
  <c r="Q65" i="73"/>
  <c r="F65" i="73"/>
  <c r="V64" i="73"/>
  <c r="U64" i="73" s="1"/>
  <c r="R64" i="73"/>
  <c r="P64" i="73"/>
  <c r="Q64" i="73"/>
  <c r="F64" i="73"/>
  <c r="V63" i="73"/>
  <c r="U63" i="73" s="1"/>
  <c r="R63" i="73"/>
  <c r="Q63" i="73"/>
  <c r="P63" i="73"/>
  <c r="F63" i="73"/>
  <c r="V62" i="73"/>
  <c r="U62" i="73" s="1"/>
  <c r="R62" i="73"/>
  <c r="Q62" i="73"/>
  <c r="P62" i="73"/>
  <c r="F62" i="73"/>
  <c r="V61" i="73"/>
  <c r="U61" i="73" s="1"/>
  <c r="R61" i="73"/>
  <c r="P61" i="73"/>
  <c r="Q61" i="73"/>
  <c r="F61" i="73"/>
  <c r="V60" i="73"/>
  <c r="U60" i="73" s="1"/>
  <c r="R60" i="73"/>
  <c r="Q60" i="73"/>
  <c r="P60" i="73"/>
  <c r="F60" i="73"/>
  <c r="V59" i="73"/>
  <c r="U59" i="73" s="1"/>
  <c r="R59" i="73"/>
  <c r="P59" i="73"/>
  <c r="Q59" i="73"/>
  <c r="F59" i="73"/>
  <c r="V58" i="73"/>
  <c r="U58" i="73" s="1"/>
  <c r="R58" i="73"/>
  <c r="Q58" i="73"/>
  <c r="P58" i="73"/>
  <c r="F58" i="73"/>
  <c r="V57" i="73"/>
  <c r="U57" i="73" s="1"/>
  <c r="R57" i="73"/>
  <c r="P57" i="73"/>
  <c r="Q57" i="73"/>
  <c r="F57" i="73"/>
  <c r="V56" i="73"/>
  <c r="R56" i="73"/>
  <c r="P56" i="73"/>
  <c r="Q56" i="73"/>
  <c r="F56" i="73"/>
  <c r="V55" i="73"/>
  <c r="U55" i="73" s="1"/>
  <c r="R55" i="73"/>
  <c r="P55" i="73"/>
  <c r="Q55" i="73"/>
  <c r="F55" i="73"/>
  <c r="V54" i="73"/>
  <c r="U54" i="73" s="1"/>
  <c r="R54" i="73"/>
  <c r="Q54" i="73"/>
  <c r="P54" i="73"/>
  <c r="F54" i="73"/>
  <c r="V53" i="73"/>
  <c r="U53" i="73" s="1"/>
  <c r="R53" i="73"/>
  <c r="P53" i="73"/>
  <c r="Q53" i="73"/>
  <c r="F53" i="73"/>
  <c r="V52" i="73"/>
  <c r="R52" i="73"/>
  <c r="Q52" i="73"/>
  <c r="P52" i="73"/>
  <c r="F52" i="73"/>
  <c r="V51" i="73"/>
  <c r="U51" i="73" s="1"/>
  <c r="R51" i="73"/>
  <c r="Q51" i="73"/>
  <c r="P51" i="73"/>
  <c r="F51" i="73"/>
  <c r="V50" i="73"/>
  <c r="U50" i="73" s="1"/>
  <c r="R50" i="73"/>
  <c r="Q50" i="73"/>
  <c r="P50" i="73"/>
  <c r="F50" i="73"/>
  <c r="V49" i="73"/>
  <c r="U49" i="73" s="1"/>
  <c r="R49" i="73"/>
  <c r="Q49" i="73"/>
  <c r="P49" i="73"/>
  <c r="F49" i="73"/>
  <c r="I34" i="73"/>
  <c r="L24" i="73"/>
  <c r="E11" i="73"/>
  <c r="E10" i="73"/>
  <c r="F10" i="73" s="1"/>
  <c r="O80" i="72"/>
  <c r="I43" i="72" s="1"/>
  <c r="N80" i="72"/>
  <c r="I42" i="72" s="1"/>
  <c r="M80" i="72"/>
  <c r="I41" i="72" s="1"/>
  <c r="L80" i="72"/>
  <c r="I44" i="72" s="1"/>
  <c r="E11" i="72"/>
  <c r="F11" i="72" s="1"/>
  <c r="K80" i="72"/>
  <c r="J80" i="72"/>
  <c r="I80" i="72"/>
  <c r="V79" i="72"/>
  <c r="U79" i="72" s="1"/>
  <c r="R79" i="72"/>
  <c r="Q79" i="72"/>
  <c r="P79" i="72"/>
  <c r="C49" i="72"/>
  <c r="C47" i="72" s="1"/>
  <c r="F79" i="72"/>
  <c r="V78" i="72"/>
  <c r="U78" i="72" s="1"/>
  <c r="R78" i="72"/>
  <c r="Q78" i="72"/>
  <c r="P78" i="72"/>
  <c r="F78" i="72"/>
  <c r="V77" i="72"/>
  <c r="U77" i="72" s="1"/>
  <c r="R77" i="72"/>
  <c r="P77" i="72"/>
  <c r="Q77" i="72"/>
  <c r="F77" i="72"/>
  <c r="V76" i="72"/>
  <c r="R76" i="72"/>
  <c r="Q76" i="72"/>
  <c r="P76" i="72"/>
  <c r="F76" i="72"/>
  <c r="V75" i="72"/>
  <c r="U75" i="72" s="1"/>
  <c r="R75" i="72"/>
  <c r="Q75" i="72"/>
  <c r="P75" i="72"/>
  <c r="F75" i="72"/>
  <c r="V74" i="72"/>
  <c r="U74" i="72" s="1"/>
  <c r="R74" i="72"/>
  <c r="P74" i="72"/>
  <c r="Q74" i="72"/>
  <c r="F74" i="72"/>
  <c r="V73" i="72"/>
  <c r="U73" i="72" s="1"/>
  <c r="R73" i="72"/>
  <c r="Q73" i="72"/>
  <c r="P73" i="72"/>
  <c r="F73" i="72"/>
  <c r="V72" i="72"/>
  <c r="U72" i="72" s="1"/>
  <c r="R72" i="72"/>
  <c r="Q72" i="72"/>
  <c r="P72" i="72"/>
  <c r="F72" i="72"/>
  <c r="V71" i="72"/>
  <c r="U71" i="72" s="1"/>
  <c r="R71" i="72"/>
  <c r="P71" i="72"/>
  <c r="Q71" i="72"/>
  <c r="F71" i="72"/>
  <c r="V70" i="72"/>
  <c r="R70" i="72"/>
  <c r="Q70" i="72"/>
  <c r="P70" i="72"/>
  <c r="F70" i="72"/>
  <c r="V69" i="72"/>
  <c r="U69" i="72" s="1"/>
  <c r="R69" i="72"/>
  <c r="Q69" i="72"/>
  <c r="P69" i="72"/>
  <c r="F69" i="72"/>
  <c r="V68" i="72"/>
  <c r="U68" i="72" s="1"/>
  <c r="R68" i="72"/>
  <c r="Q68" i="72"/>
  <c r="P68" i="72"/>
  <c r="F68" i="72"/>
  <c r="V67" i="72"/>
  <c r="U67" i="72" s="1"/>
  <c r="R67" i="72"/>
  <c r="Q67" i="72"/>
  <c r="P67" i="72"/>
  <c r="F67" i="72"/>
  <c r="V66" i="72"/>
  <c r="U66" i="72" s="1"/>
  <c r="R66" i="72"/>
  <c r="P66" i="72"/>
  <c r="Q66" i="72"/>
  <c r="F66" i="72"/>
  <c r="V65" i="72"/>
  <c r="U65" i="72" s="1"/>
  <c r="R65" i="72"/>
  <c r="Q65" i="72"/>
  <c r="P65" i="72"/>
  <c r="E65" i="72" s="1"/>
  <c r="F65" i="72"/>
  <c r="V64" i="72"/>
  <c r="U64" i="72" s="1"/>
  <c r="R64" i="72"/>
  <c r="Q64" i="72"/>
  <c r="P64" i="72"/>
  <c r="F64" i="72"/>
  <c r="V63" i="72"/>
  <c r="U63" i="72" s="1"/>
  <c r="R63" i="72"/>
  <c r="P63" i="72"/>
  <c r="Q63" i="72"/>
  <c r="F63" i="72"/>
  <c r="V62" i="72"/>
  <c r="U62" i="72" s="1"/>
  <c r="R62" i="72"/>
  <c r="Q62" i="72"/>
  <c r="P62" i="72"/>
  <c r="F62" i="72"/>
  <c r="V61" i="72"/>
  <c r="U61" i="72" s="1"/>
  <c r="R61" i="72"/>
  <c r="P61" i="72"/>
  <c r="Q61" i="72"/>
  <c r="F61" i="72"/>
  <c r="V60" i="72"/>
  <c r="R60" i="72"/>
  <c r="P60" i="72"/>
  <c r="W60" i="72" s="1"/>
  <c r="X60" i="72" s="1"/>
  <c r="Q60" i="72"/>
  <c r="F60" i="72"/>
  <c r="V59" i="72"/>
  <c r="U59" i="72" s="1"/>
  <c r="R59" i="72"/>
  <c r="Q59" i="72"/>
  <c r="P59" i="72"/>
  <c r="F59" i="72"/>
  <c r="V58" i="72"/>
  <c r="U58" i="72" s="1"/>
  <c r="R58" i="72"/>
  <c r="Q58" i="72"/>
  <c r="P58" i="72"/>
  <c r="F58" i="72"/>
  <c r="V57" i="72"/>
  <c r="R57" i="72"/>
  <c r="P57" i="72"/>
  <c r="Q57" i="72"/>
  <c r="F57" i="72"/>
  <c r="V56" i="72"/>
  <c r="R56" i="72"/>
  <c r="Q56" i="72"/>
  <c r="P56" i="72"/>
  <c r="F56" i="72"/>
  <c r="V55" i="72"/>
  <c r="U55" i="72" s="1"/>
  <c r="R55" i="72"/>
  <c r="P55" i="72"/>
  <c r="Q55" i="72"/>
  <c r="F55" i="72"/>
  <c r="V54" i="72"/>
  <c r="U54" i="72" s="1"/>
  <c r="R54" i="72"/>
  <c r="Q54" i="72"/>
  <c r="P54" i="72"/>
  <c r="F54" i="72"/>
  <c r="V53" i="72"/>
  <c r="U53" i="72" s="1"/>
  <c r="R53" i="72"/>
  <c r="Q53" i="72"/>
  <c r="P53" i="72"/>
  <c r="F53" i="72"/>
  <c r="V52" i="72"/>
  <c r="R52" i="72"/>
  <c r="P52" i="72"/>
  <c r="E52" i="72" s="1"/>
  <c r="Q52" i="72"/>
  <c r="Q49" i="72"/>
  <c r="Q50" i="72"/>
  <c r="Q51" i="72"/>
  <c r="F52" i="72"/>
  <c r="V51" i="72"/>
  <c r="U51" i="72" s="1"/>
  <c r="R51" i="72"/>
  <c r="R49" i="72"/>
  <c r="R50" i="72"/>
  <c r="P51" i="72"/>
  <c r="F51" i="72"/>
  <c r="V50" i="72"/>
  <c r="U50" i="72" s="1"/>
  <c r="P50" i="72"/>
  <c r="F50" i="72"/>
  <c r="V49" i="72"/>
  <c r="P49" i="72"/>
  <c r="F49" i="72"/>
  <c r="I34" i="72"/>
  <c r="L24" i="72"/>
  <c r="E10" i="72"/>
  <c r="O80" i="71"/>
  <c r="I43" i="71" s="1"/>
  <c r="N80" i="71"/>
  <c r="I42" i="71" s="1"/>
  <c r="M80" i="71"/>
  <c r="I41" i="71" s="1"/>
  <c r="L80" i="71"/>
  <c r="I44" i="71" s="1"/>
  <c r="K80" i="71"/>
  <c r="J80" i="71"/>
  <c r="I80" i="71"/>
  <c r="V79" i="71"/>
  <c r="U79" i="71" s="1"/>
  <c r="R79" i="71"/>
  <c r="Q79" i="71"/>
  <c r="P79" i="71"/>
  <c r="F79" i="71"/>
  <c r="V78" i="71"/>
  <c r="U78" i="71"/>
  <c r="R78" i="71"/>
  <c r="P78" i="71"/>
  <c r="Q78" i="71"/>
  <c r="F78" i="71"/>
  <c r="V77" i="71"/>
  <c r="U77" i="71" s="1"/>
  <c r="R77" i="71"/>
  <c r="P77" i="71"/>
  <c r="Q77" i="71"/>
  <c r="F77" i="71"/>
  <c r="V76" i="71"/>
  <c r="R76" i="71"/>
  <c r="P76" i="71"/>
  <c r="Q76" i="71"/>
  <c r="F76" i="71"/>
  <c r="V75" i="71"/>
  <c r="U75" i="71" s="1"/>
  <c r="R75" i="71"/>
  <c r="P75" i="71"/>
  <c r="Q75" i="71"/>
  <c r="F75" i="71"/>
  <c r="V74" i="71"/>
  <c r="U74" i="71" s="1"/>
  <c r="R74" i="71"/>
  <c r="Q74" i="71"/>
  <c r="P74" i="71"/>
  <c r="F74" i="71"/>
  <c r="V73" i="71"/>
  <c r="U73" i="71" s="1"/>
  <c r="R73" i="71"/>
  <c r="Q73" i="71"/>
  <c r="P73" i="71"/>
  <c r="F73" i="71"/>
  <c r="V72" i="71"/>
  <c r="U72" i="71" s="1"/>
  <c r="R72" i="71"/>
  <c r="Q72" i="71"/>
  <c r="P72" i="71"/>
  <c r="F72" i="71"/>
  <c r="V71" i="71"/>
  <c r="R71" i="71"/>
  <c r="Q71" i="71"/>
  <c r="P71" i="71"/>
  <c r="F71" i="71"/>
  <c r="V70" i="71"/>
  <c r="U70" i="71" s="1"/>
  <c r="R70" i="71"/>
  <c r="Q70" i="71"/>
  <c r="P70" i="71"/>
  <c r="F70" i="71"/>
  <c r="V69" i="71"/>
  <c r="U69" i="71" s="1"/>
  <c r="R69" i="71"/>
  <c r="Q69" i="71"/>
  <c r="P69" i="71"/>
  <c r="F69" i="71"/>
  <c r="V68" i="71"/>
  <c r="U68" i="71" s="1"/>
  <c r="R68" i="71"/>
  <c r="Q68" i="71"/>
  <c r="P68" i="71"/>
  <c r="F68" i="71"/>
  <c r="V67" i="71"/>
  <c r="R67" i="71"/>
  <c r="Q67" i="71"/>
  <c r="P67" i="71"/>
  <c r="F67" i="71"/>
  <c r="V66" i="71"/>
  <c r="U66" i="71" s="1"/>
  <c r="R66" i="71"/>
  <c r="Q66" i="71"/>
  <c r="P66" i="71"/>
  <c r="F66" i="71"/>
  <c r="V65" i="71"/>
  <c r="U65" i="71"/>
  <c r="R65" i="71"/>
  <c r="P65" i="71"/>
  <c r="Q65" i="71"/>
  <c r="F65" i="71"/>
  <c r="V64" i="71"/>
  <c r="R64" i="71"/>
  <c r="Q64" i="71"/>
  <c r="P64" i="71"/>
  <c r="F64" i="71"/>
  <c r="V63" i="71"/>
  <c r="U63" i="71" s="1"/>
  <c r="R63" i="71"/>
  <c r="Q63" i="71"/>
  <c r="P63" i="71"/>
  <c r="F63" i="71"/>
  <c r="V62" i="71"/>
  <c r="U62" i="71"/>
  <c r="R62" i="71"/>
  <c r="Q62" i="71"/>
  <c r="P62" i="71"/>
  <c r="F62" i="71"/>
  <c r="V61" i="71"/>
  <c r="R61" i="71"/>
  <c r="Q61" i="71"/>
  <c r="P61" i="71"/>
  <c r="F61" i="71"/>
  <c r="V60" i="71"/>
  <c r="U60" i="71" s="1"/>
  <c r="R60" i="71"/>
  <c r="Q60" i="71"/>
  <c r="P60" i="71"/>
  <c r="F60" i="71"/>
  <c r="V59" i="71"/>
  <c r="U59" i="71" s="1"/>
  <c r="R59" i="71"/>
  <c r="Q59" i="71"/>
  <c r="P59" i="71"/>
  <c r="F59" i="71"/>
  <c r="V58" i="71"/>
  <c r="U58" i="71" s="1"/>
  <c r="R58" i="71"/>
  <c r="Q58" i="71"/>
  <c r="P58" i="71"/>
  <c r="F58" i="71"/>
  <c r="V57" i="71"/>
  <c r="U57" i="71" s="1"/>
  <c r="R57" i="71"/>
  <c r="Q57" i="71"/>
  <c r="P57" i="71"/>
  <c r="F57" i="71"/>
  <c r="V56" i="71"/>
  <c r="R56" i="71"/>
  <c r="Q56" i="71"/>
  <c r="W56" i="71" s="1"/>
  <c r="P56" i="71"/>
  <c r="F56" i="71"/>
  <c r="V55" i="71"/>
  <c r="U55" i="71" s="1"/>
  <c r="R55" i="71"/>
  <c r="Q55" i="71"/>
  <c r="P55" i="71"/>
  <c r="F55" i="71"/>
  <c r="V54" i="71"/>
  <c r="U54" i="71" s="1"/>
  <c r="R54" i="71"/>
  <c r="Q54" i="71"/>
  <c r="P54" i="71"/>
  <c r="F54" i="71"/>
  <c r="V53" i="71"/>
  <c r="R53" i="71"/>
  <c r="P53" i="71"/>
  <c r="Q53" i="71"/>
  <c r="F53" i="71"/>
  <c r="V52" i="71"/>
  <c r="U52" i="71" s="1"/>
  <c r="R52" i="71"/>
  <c r="Q52" i="71"/>
  <c r="P52" i="71"/>
  <c r="F52" i="71"/>
  <c r="V51" i="71"/>
  <c r="U51" i="71" s="1"/>
  <c r="R51" i="71"/>
  <c r="E51" i="71" s="1"/>
  <c r="Q51" i="71"/>
  <c r="P51" i="71"/>
  <c r="F51" i="71"/>
  <c r="V50" i="71"/>
  <c r="R50" i="71"/>
  <c r="P50" i="71"/>
  <c r="Q50" i="71"/>
  <c r="F50" i="71"/>
  <c r="R49" i="71"/>
  <c r="P49" i="71"/>
  <c r="Q49" i="71"/>
  <c r="F49" i="71"/>
  <c r="C49" i="71"/>
  <c r="C50" i="71" s="1"/>
  <c r="C51" i="71" s="1"/>
  <c r="C52" i="71" s="1"/>
  <c r="C53" i="71" s="1"/>
  <c r="C54" i="71" s="1"/>
  <c r="C55" i="71" s="1"/>
  <c r="C56" i="71" s="1"/>
  <c r="C57" i="71" s="1"/>
  <c r="C58" i="71" s="1"/>
  <c r="C59" i="71" s="1"/>
  <c r="C60" i="71" s="1"/>
  <c r="C61" i="71" s="1"/>
  <c r="C62" i="71" s="1"/>
  <c r="C63" i="71" s="1"/>
  <c r="C64" i="71" s="1"/>
  <c r="C65" i="71" s="1"/>
  <c r="C66" i="71" s="1"/>
  <c r="C67" i="71" s="1"/>
  <c r="C68" i="71" s="1"/>
  <c r="C69" i="71" s="1"/>
  <c r="C70" i="71" s="1"/>
  <c r="C71" i="71" s="1"/>
  <c r="C72" i="71" s="1"/>
  <c r="C73" i="71" s="1"/>
  <c r="C74" i="71" s="1"/>
  <c r="C75" i="71" s="1"/>
  <c r="C76" i="71" s="1"/>
  <c r="C77" i="71" s="1"/>
  <c r="C78" i="71" s="1"/>
  <c r="C79" i="71" s="1"/>
  <c r="L24" i="71"/>
  <c r="E11" i="71"/>
  <c r="F11" i="71" s="1"/>
  <c r="E10" i="71"/>
  <c r="AL80" i="70"/>
  <c r="O80" i="70"/>
  <c r="I43" i="70" s="1"/>
  <c r="N80" i="70"/>
  <c r="I42" i="70" s="1"/>
  <c r="M80" i="70"/>
  <c r="I41" i="70" s="1"/>
  <c r="L80" i="70"/>
  <c r="I44" i="70" s="1"/>
  <c r="K80" i="70"/>
  <c r="J80" i="70"/>
  <c r="I80" i="70"/>
  <c r="V78" i="70"/>
  <c r="R78" i="70"/>
  <c r="P78" i="70"/>
  <c r="Q78" i="70"/>
  <c r="F78" i="70"/>
  <c r="V77" i="70"/>
  <c r="U77" i="70" s="1"/>
  <c r="R77" i="70"/>
  <c r="Q77" i="70"/>
  <c r="E77" i="70" s="1"/>
  <c r="P77" i="70"/>
  <c r="F77" i="70"/>
  <c r="V76" i="70"/>
  <c r="R76" i="70"/>
  <c r="Q76" i="70"/>
  <c r="P76" i="70"/>
  <c r="F76" i="70"/>
  <c r="V75" i="70"/>
  <c r="U75" i="70" s="1"/>
  <c r="R75" i="70"/>
  <c r="Q75" i="70"/>
  <c r="P75" i="70"/>
  <c r="F75" i="70"/>
  <c r="V74" i="70"/>
  <c r="R74" i="70"/>
  <c r="Q74" i="70"/>
  <c r="P74" i="70"/>
  <c r="F74" i="70"/>
  <c r="V73" i="70"/>
  <c r="U73" i="70" s="1"/>
  <c r="R73" i="70"/>
  <c r="Q73" i="70"/>
  <c r="P73" i="70"/>
  <c r="F73" i="70"/>
  <c r="V72" i="70"/>
  <c r="U72" i="70" s="1"/>
  <c r="R72" i="70"/>
  <c r="Q72" i="70"/>
  <c r="P72" i="70"/>
  <c r="F72" i="70"/>
  <c r="V71" i="70"/>
  <c r="U71" i="70" s="1"/>
  <c r="R71" i="70"/>
  <c r="P71" i="70"/>
  <c r="Q71" i="70"/>
  <c r="F71" i="70"/>
  <c r="V70" i="70"/>
  <c r="U70" i="70"/>
  <c r="R70" i="70"/>
  <c r="Q70" i="70"/>
  <c r="P70" i="70"/>
  <c r="F70" i="70"/>
  <c r="V69" i="70"/>
  <c r="U69" i="70" s="1"/>
  <c r="R69" i="70"/>
  <c r="Q69" i="70"/>
  <c r="P69" i="70"/>
  <c r="F69" i="70"/>
  <c r="V68" i="70"/>
  <c r="R68" i="70"/>
  <c r="Q68" i="70"/>
  <c r="P68" i="70"/>
  <c r="F68" i="70"/>
  <c r="V67" i="70"/>
  <c r="U67" i="70"/>
  <c r="R67" i="70"/>
  <c r="P67" i="70"/>
  <c r="Q67" i="70"/>
  <c r="F67" i="70"/>
  <c r="V66" i="70"/>
  <c r="U66" i="70" s="1"/>
  <c r="P66" i="70"/>
  <c r="Q66" i="70"/>
  <c r="R66" i="70"/>
  <c r="F66" i="70"/>
  <c r="V65" i="70"/>
  <c r="U65" i="70" s="1"/>
  <c r="R65" i="70"/>
  <c r="P65" i="70"/>
  <c r="Q65" i="70"/>
  <c r="F65" i="70"/>
  <c r="V64" i="70"/>
  <c r="U64" i="70"/>
  <c r="R64" i="70"/>
  <c r="Q64" i="70"/>
  <c r="P64" i="70"/>
  <c r="F64" i="70"/>
  <c r="V63" i="70"/>
  <c r="U63" i="70" s="1"/>
  <c r="R63" i="70"/>
  <c r="Q63" i="70"/>
  <c r="P63" i="70"/>
  <c r="F63" i="70"/>
  <c r="V62" i="70"/>
  <c r="R62" i="70"/>
  <c r="Q62" i="70"/>
  <c r="P62" i="70"/>
  <c r="F62" i="70"/>
  <c r="V61" i="70"/>
  <c r="U61" i="70"/>
  <c r="V49" i="70"/>
  <c r="U49" i="70" s="1"/>
  <c r="V50" i="70"/>
  <c r="U50" i="70" s="1"/>
  <c r="V51" i="70"/>
  <c r="V52" i="70"/>
  <c r="U52" i="70" s="1"/>
  <c r="V53" i="70"/>
  <c r="U53" i="70" s="1"/>
  <c r="V54" i="70"/>
  <c r="U54" i="70" s="1"/>
  <c r="V55" i="70"/>
  <c r="U55" i="70" s="1"/>
  <c r="V56" i="70"/>
  <c r="V57" i="70"/>
  <c r="U57" i="70" s="1"/>
  <c r="V58" i="70"/>
  <c r="V59" i="70"/>
  <c r="U59" i="70" s="1"/>
  <c r="V60" i="70"/>
  <c r="U60" i="70" s="1"/>
  <c r="R61" i="70"/>
  <c r="P61" i="70"/>
  <c r="Q61" i="70"/>
  <c r="F61" i="70"/>
  <c r="R60" i="70"/>
  <c r="Q60" i="70"/>
  <c r="P60" i="70"/>
  <c r="F60" i="70"/>
  <c r="R59" i="70"/>
  <c r="Q59" i="70"/>
  <c r="P59" i="70"/>
  <c r="F59" i="70"/>
  <c r="R58" i="70"/>
  <c r="Q58" i="70"/>
  <c r="P58" i="70"/>
  <c r="F58" i="70"/>
  <c r="R57" i="70"/>
  <c r="Q57" i="70"/>
  <c r="P57" i="70"/>
  <c r="F57" i="70"/>
  <c r="R56" i="70"/>
  <c r="Q56" i="70"/>
  <c r="P56" i="70"/>
  <c r="F56" i="70"/>
  <c r="R55" i="70"/>
  <c r="Q55" i="70"/>
  <c r="P55" i="70"/>
  <c r="F55" i="70"/>
  <c r="R54" i="70"/>
  <c r="Q54" i="70"/>
  <c r="P54" i="70"/>
  <c r="F54" i="70"/>
  <c r="R53" i="70"/>
  <c r="Q53" i="70"/>
  <c r="P53" i="70"/>
  <c r="F53" i="70"/>
  <c r="R52" i="70"/>
  <c r="Q52" i="70"/>
  <c r="P52" i="70"/>
  <c r="F52" i="70"/>
  <c r="R51" i="70"/>
  <c r="Q51" i="70"/>
  <c r="P51" i="70"/>
  <c r="F51" i="70"/>
  <c r="R50" i="70"/>
  <c r="P50" i="70"/>
  <c r="Q50" i="70"/>
  <c r="F50" i="70"/>
  <c r="R49" i="70"/>
  <c r="Q49" i="70"/>
  <c r="P49" i="70"/>
  <c r="F49" i="70"/>
  <c r="C49" i="70"/>
  <c r="L24" i="70"/>
  <c r="E11" i="70"/>
  <c r="L44" i="70" s="1"/>
  <c r="E10" i="70"/>
  <c r="O80" i="69"/>
  <c r="I43" i="69" s="1"/>
  <c r="N80" i="69"/>
  <c r="I42" i="69" s="1"/>
  <c r="M80" i="69"/>
  <c r="I41" i="69" s="1"/>
  <c r="L80" i="69"/>
  <c r="I44" i="69" s="1"/>
  <c r="K80" i="69"/>
  <c r="J80" i="69"/>
  <c r="I80" i="69"/>
  <c r="V79" i="69"/>
  <c r="U79" i="69" s="1"/>
  <c r="R79" i="69"/>
  <c r="Q79" i="69"/>
  <c r="P79" i="69"/>
  <c r="F79" i="69"/>
  <c r="V78" i="69"/>
  <c r="U78" i="69" s="1"/>
  <c r="R78" i="69"/>
  <c r="Q78" i="69"/>
  <c r="P78" i="69"/>
  <c r="F78" i="69"/>
  <c r="V77" i="69"/>
  <c r="U77" i="69" s="1"/>
  <c r="R77" i="69"/>
  <c r="Q77" i="69"/>
  <c r="P77" i="69"/>
  <c r="F77" i="69"/>
  <c r="V76" i="69"/>
  <c r="U76" i="69"/>
  <c r="R76" i="69"/>
  <c r="P76" i="69"/>
  <c r="Q76" i="69"/>
  <c r="F76" i="69"/>
  <c r="V75" i="69"/>
  <c r="U75" i="69" s="1"/>
  <c r="R75" i="69"/>
  <c r="P75" i="69"/>
  <c r="Q75" i="69"/>
  <c r="F75" i="69"/>
  <c r="V74" i="69"/>
  <c r="U74" i="69" s="1"/>
  <c r="R74" i="69"/>
  <c r="Q74" i="69"/>
  <c r="P74" i="69"/>
  <c r="F74" i="69"/>
  <c r="V73" i="69"/>
  <c r="U73" i="69" s="1"/>
  <c r="R73" i="69"/>
  <c r="Q73" i="69"/>
  <c r="P73" i="69"/>
  <c r="F73" i="69"/>
  <c r="V72" i="69"/>
  <c r="U72" i="69" s="1"/>
  <c r="R72" i="69"/>
  <c r="Q72" i="69"/>
  <c r="P72" i="69"/>
  <c r="F72" i="69"/>
  <c r="V71" i="69"/>
  <c r="U71" i="69" s="1"/>
  <c r="P71" i="69"/>
  <c r="Q71" i="69"/>
  <c r="R71" i="69"/>
  <c r="F71" i="69"/>
  <c r="V70" i="69"/>
  <c r="U70" i="69" s="1"/>
  <c r="R70" i="69"/>
  <c r="P70" i="69"/>
  <c r="Q70" i="69"/>
  <c r="F70" i="69"/>
  <c r="V69" i="69"/>
  <c r="U69" i="69" s="1"/>
  <c r="R69" i="69"/>
  <c r="Q69" i="69"/>
  <c r="P69" i="69"/>
  <c r="F69" i="69"/>
  <c r="V68" i="69"/>
  <c r="U68" i="69" s="1"/>
  <c r="R68" i="69"/>
  <c r="Q68" i="69"/>
  <c r="P68" i="69"/>
  <c r="F68" i="69"/>
  <c r="V67" i="69"/>
  <c r="U67" i="69" s="1"/>
  <c r="R67" i="69"/>
  <c r="Q67" i="69"/>
  <c r="P67" i="69"/>
  <c r="F67" i="69"/>
  <c r="V66" i="69"/>
  <c r="U66" i="69" s="1"/>
  <c r="R66" i="69"/>
  <c r="Q66" i="69"/>
  <c r="P66" i="69"/>
  <c r="F66" i="69"/>
  <c r="V65" i="69"/>
  <c r="R65" i="69"/>
  <c r="Q65" i="69"/>
  <c r="P65" i="69"/>
  <c r="F65" i="69"/>
  <c r="V64" i="69"/>
  <c r="U64" i="69" s="1"/>
  <c r="R64" i="69"/>
  <c r="Q64" i="69"/>
  <c r="P64" i="69"/>
  <c r="F64" i="69"/>
  <c r="V63" i="69"/>
  <c r="U63" i="69" s="1"/>
  <c r="R63" i="69"/>
  <c r="Q63" i="69"/>
  <c r="P63" i="69"/>
  <c r="F63" i="69"/>
  <c r="V62" i="69"/>
  <c r="U62" i="69" s="1"/>
  <c r="R62" i="69"/>
  <c r="Q62" i="69"/>
  <c r="P62" i="69"/>
  <c r="F62" i="69"/>
  <c r="V61" i="69"/>
  <c r="U61" i="69" s="1"/>
  <c r="R61" i="69"/>
  <c r="Q61" i="69"/>
  <c r="P61" i="69"/>
  <c r="F61" i="69"/>
  <c r="V60" i="69"/>
  <c r="U60" i="69" s="1"/>
  <c r="R60" i="69"/>
  <c r="Q60" i="69"/>
  <c r="P60" i="69"/>
  <c r="F60" i="69"/>
  <c r="V59" i="69"/>
  <c r="U59" i="69" s="1"/>
  <c r="R59" i="69"/>
  <c r="Q59" i="69"/>
  <c r="P59" i="69"/>
  <c r="F59" i="69"/>
  <c r="V58" i="69"/>
  <c r="U58" i="69" s="1"/>
  <c r="R58" i="69"/>
  <c r="Q58" i="69"/>
  <c r="P58" i="69"/>
  <c r="F58" i="69"/>
  <c r="V57" i="69"/>
  <c r="U57" i="69" s="1"/>
  <c r="R57" i="69"/>
  <c r="P57" i="69"/>
  <c r="Q57" i="69"/>
  <c r="F57" i="69"/>
  <c r="V56" i="69"/>
  <c r="R56" i="69"/>
  <c r="P56" i="69"/>
  <c r="Q56" i="69"/>
  <c r="F56" i="69"/>
  <c r="V55" i="69"/>
  <c r="U55" i="69" s="1"/>
  <c r="R55" i="69"/>
  <c r="P55" i="69"/>
  <c r="Q55" i="69"/>
  <c r="F55" i="69"/>
  <c r="V54" i="69"/>
  <c r="U54" i="69" s="1"/>
  <c r="R54" i="69"/>
  <c r="P54" i="69"/>
  <c r="Q54" i="69"/>
  <c r="F54" i="69"/>
  <c r="V53" i="69"/>
  <c r="U53" i="69" s="1"/>
  <c r="R53" i="69"/>
  <c r="Q53" i="69"/>
  <c r="P53" i="69"/>
  <c r="F53" i="69"/>
  <c r="V52" i="69"/>
  <c r="R52" i="69"/>
  <c r="P52" i="69"/>
  <c r="Q52" i="69"/>
  <c r="F52" i="69"/>
  <c r="V51" i="69"/>
  <c r="U51" i="69" s="1"/>
  <c r="R51" i="69"/>
  <c r="Q51" i="69"/>
  <c r="P51" i="69"/>
  <c r="F51" i="69"/>
  <c r="V50" i="69"/>
  <c r="R50" i="69"/>
  <c r="P50" i="69"/>
  <c r="Q50" i="69"/>
  <c r="F50" i="69"/>
  <c r="V49" i="69"/>
  <c r="U49" i="69" s="1"/>
  <c r="R49" i="69"/>
  <c r="Q49" i="69"/>
  <c r="P49" i="69"/>
  <c r="F49" i="69"/>
  <c r="C49" i="69"/>
  <c r="C50" i="69" s="1"/>
  <c r="C51" i="69" s="1"/>
  <c r="C52" i="69" s="1"/>
  <c r="C53" i="69" s="1"/>
  <c r="C54" i="69" s="1"/>
  <c r="C55" i="69" s="1"/>
  <c r="C56" i="69" s="1"/>
  <c r="C57" i="69" s="1"/>
  <c r="C58" i="69" s="1"/>
  <c r="C59" i="69" s="1"/>
  <c r="C60" i="69" s="1"/>
  <c r="C61" i="69" s="1"/>
  <c r="C62" i="69" s="1"/>
  <c r="C63" i="69" s="1"/>
  <c r="C64" i="69" s="1"/>
  <c r="C65" i="69" s="1"/>
  <c r="C66" i="69" s="1"/>
  <c r="C67" i="69" s="1"/>
  <c r="C68" i="69" s="1"/>
  <c r="C69" i="69" s="1"/>
  <c r="C70" i="69" s="1"/>
  <c r="C71" i="69" s="1"/>
  <c r="C72" i="69" s="1"/>
  <c r="C73" i="69" s="1"/>
  <c r="C74" i="69" s="1"/>
  <c r="C75" i="69" s="1"/>
  <c r="C76" i="69" s="1"/>
  <c r="C77" i="69" s="1"/>
  <c r="C78" i="69" s="1"/>
  <c r="C79" i="69" s="1"/>
  <c r="K35" i="69"/>
  <c r="I34" i="69"/>
  <c r="I35" i="69" s="1"/>
  <c r="L24" i="69"/>
  <c r="E11" i="69"/>
  <c r="E10" i="69"/>
  <c r="L30" i="69" s="1"/>
  <c r="M30" i="69" s="1"/>
  <c r="AL80" i="68"/>
  <c r="O80" i="68"/>
  <c r="I43" i="68" s="1"/>
  <c r="N80" i="68"/>
  <c r="I42" i="68" s="1"/>
  <c r="M80" i="68"/>
  <c r="I41" i="68" s="1"/>
  <c r="L80" i="68"/>
  <c r="I44" i="68" s="1"/>
  <c r="K80" i="68"/>
  <c r="J80" i="68"/>
  <c r="I80" i="68"/>
  <c r="V78" i="68"/>
  <c r="U78" i="68" s="1"/>
  <c r="R78" i="68"/>
  <c r="Q78" i="68"/>
  <c r="P78" i="68"/>
  <c r="F78" i="68"/>
  <c r="V77" i="68"/>
  <c r="U77" i="68" s="1"/>
  <c r="R77" i="68"/>
  <c r="P77" i="68"/>
  <c r="Q77" i="68"/>
  <c r="F77" i="68"/>
  <c r="V76" i="68"/>
  <c r="U76" i="68" s="1"/>
  <c r="R76" i="68"/>
  <c r="Q76" i="68"/>
  <c r="P76" i="68"/>
  <c r="F76" i="68"/>
  <c r="V75" i="68"/>
  <c r="U75" i="68" s="1"/>
  <c r="R75" i="68"/>
  <c r="Q75" i="68"/>
  <c r="P75" i="68"/>
  <c r="F75" i="68"/>
  <c r="V74" i="68"/>
  <c r="U74" i="68" s="1"/>
  <c r="R74" i="68"/>
  <c r="P74" i="68"/>
  <c r="Q74" i="68"/>
  <c r="F74" i="68"/>
  <c r="V73" i="68"/>
  <c r="U73" i="68" s="1"/>
  <c r="R73" i="68"/>
  <c r="Q73" i="68"/>
  <c r="P73" i="68"/>
  <c r="F73" i="68"/>
  <c r="V72" i="68"/>
  <c r="U72" i="68" s="1"/>
  <c r="R72" i="68"/>
  <c r="P72" i="68"/>
  <c r="Q72" i="68"/>
  <c r="F72" i="68"/>
  <c r="V71" i="68"/>
  <c r="U71" i="68" s="1"/>
  <c r="R71" i="68"/>
  <c r="Q71" i="68"/>
  <c r="P71" i="68"/>
  <c r="F71" i="68"/>
  <c r="V70" i="68"/>
  <c r="U70" i="68" s="1"/>
  <c r="R70" i="68"/>
  <c r="Q70" i="68"/>
  <c r="P70" i="68"/>
  <c r="F70" i="68"/>
  <c r="V69" i="68"/>
  <c r="U69" i="68" s="1"/>
  <c r="R69" i="68"/>
  <c r="P69" i="68"/>
  <c r="Q69" i="68"/>
  <c r="F69" i="68"/>
  <c r="V68" i="68"/>
  <c r="U68" i="68"/>
  <c r="R68" i="68"/>
  <c r="Q68" i="68"/>
  <c r="P68" i="68"/>
  <c r="F68" i="68"/>
  <c r="V67" i="68"/>
  <c r="U67" i="68" s="1"/>
  <c r="R67" i="68"/>
  <c r="Q67" i="68"/>
  <c r="P67" i="68"/>
  <c r="F67" i="68"/>
  <c r="V66" i="68"/>
  <c r="R66" i="68"/>
  <c r="Q66" i="68"/>
  <c r="P66" i="68"/>
  <c r="F66" i="68"/>
  <c r="V65" i="68"/>
  <c r="U65" i="68"/>
  <c r="R65" i="68"/>
  <c r="Q65" i="68"/>
  <c r="P65" i="68"/>
  <c r="F65" i="68"/>
  <c r="V64" i="68"/>
  <c r="U64" i="68" s="1"/>
  <c r="R64" i="68"/>
  <c r="Q64" i="68"/>
  <c r="P64" i="68"/>
  <c r="F64" i="68"/>
  <c r="V63" i="68"/>
  <c r="U63" i="68" s="1"/>
  <c r="P63" i="68"/>
  <c r="Q63" i="68"/>
  <c r="R63" i="68"/>
  <c r="F63" i="68"/>
  <c r="V62" i="68"/>
  <c r="U62" i="68" s="1"/>
  <c r="R62" i="68"/>
  <c r="Q62" i="68"/>
  <c r="P62" i="68"/>
  <c r="F62" i="68"/>
  <c r="V61" i="68"/>
  <c r="U61" i="68" s="1"/>
  <c r="R61" i="68"/>
  <c r="Q61" i="68"/>
  <c r="P61" i="68"/>
  <c r="F61" i="68"/>
  <c r="V60" i="68"/>
  <c r="U60" i="68" s="1"/>
  <c r="R60" i="68"/>
  <c r="Q60" i="68"/>
  <c r="P60" i="68"/>
  <c r="Q49" i="68"/>
  <c r="Q50" i="68"/>
  <c r="Q51" i="68"/>
  <c r="Q52" i="68"/>
  <c r="Q53" i="68"/>
  <c r="P53" i="68"/>
  <c r="R53" i="68"/>
  <c r="Q54" i="68"/>
  <c r="Q55" i="68"/>
  <c r="Q56" i="68"/>
  <c r="Q57" i="68"/>
  <c r="Q58" i="68"/>
  <c r="Q59" i="68"/>
  <c r="F60" i="68"/>
  <c r="V59" i="68"/>
  <c r="U59" i="68" s="1"/>
  <c r="R59" i="68"/>
  <c r="P59" i="68"/>
  <c r="F59" i="68"/>
  <c r="V58" i="68"/>
  <c r="U58" i="68" s="1"/>
  <c r="R58" i="68"/>
  <c r="P58" i="68"/>
  <c r="F58" i="68"/>
  <c r="V57" i="68"/>
  <c r="U57" i="68" s="1"/>
  <c r="R57" i="68"/>
  <c r="P57" i="68"/>
  <c r="F57" i="68"/>
  <c r="V56" i="68"/>
  <c r="T22" i="47" s="1"/>
  <c r="R56" i="68"/>
  <c r="P56" i="68"/>
  <c r="F56" i="68"/>
  <c r="V55" i="68"/>
  <c r="U55" i="68"/>
  <c r="R55" i="68"/>
  <c r="P55" i="68"/>
  <c r="F55" i="68"/>
  <c r="V54" i="68"/>
  <c r="R54" i="68"/>
  <c r="P54" i="68"/>
  <c r="F54" i="68"/>
  <c r="V53" i="68"/>
  <c r="U53" i="68" s="1"/>
  <c r="F53" i="68"/>
  <c r="V52" i="68"/>
  <c r="U52" i="68" s="1"/>
  <c r="R52" i="68"/>
  <c r="P52" i="68"/>
  <c r="F52" i="68"/>
  <c r="V51" i="68"/>
  <c r="U51" i="68" s="1"/>
  <c r="R51" i="68"/>
  <c r="P51" i="68"/>
  <c r="F51" i="68"/>
  <c r="V50" i="68"/>
  <c r="U50" i="68" s="1"/>
  <c r="R50" i="68"/>
  <c r="P50" i="68"/>
  <c r="F50" i="68"/>
  <c r="V49" i="68"/>
  <c r="U49" i="68" s="1"/>
  <c r="R49" i="68"/>
  <c r="P49" i="68"/>
  <c r="F49" i="68"/>
  <c r="C49" i="68"/>
  <c r="I34" i="68"/>
  <c r="L24" i="68"/>
  <c r="E11" i="68"/>
  <c r="E10" i="68"/>
  <c r="O80" i="67"/>
  <c r="I43" i="67" s="1"/>
  <c r="N80" i="67"/>
  <c r="I42" i="67" s="1"/>
  <c r="M80" i="67"/>
  <c r="I41" i="67" s="1"/>
  <c r="L80" i="67"/>
  <c r="I44" i="67" s="1"/>
  <c r="K80" i="67"/>
  <c r="J80" i="67"/>
  <c r="I80" i="67"/>
  <c r="V79" i="67"/>
  <c r="U79" i="67" s="1"/>
  <c r="R79" i="67"/>
  <c r="Q79" i="67"/>
  <c r="P79" i="67"/>
  <c r="F79" i="67"/>
  <c r="V78" i="67"/>
  <c r="P78" i="67"/>
  <c r="Q78" i="67"/>
  <c r="R78" i="67"/>
  <c r="F78" i="67"/>
  <c r="V77" i="67"/>
  <c r="R77" i="67"/>
  <c r="P77" i="67"/>
  <c r="Q77" i="67"/>
  <c r="F77" i="67"/>
  <c r="V76" i="67"/>
  <c r="U76" i="67" s="1"/>
  <c r="R76" i="67"/>
  <c r="Q76" i="67"/>
  <c r="P76" i="67"/>
  <c r="F76" i="67"/>
  <c r="V75" i="67"/>
  <c r="U75" i="67" s="1"/>
  <c r="R75" i="67"/>
  <c r="Q75" i="67"/>
  <c r="P75" i="67"/>
  <c r="F75" i="67"/>
  <c r="V74" i="67"/>
  <c r="R74" i="67"/>
  <c r="Q74" i="67"/>
  <c r="P74" i="67"/>
  <c r="F74" i="67"/>
  <c r="V73" i="67"/>
  <c r="U73" i="67" s="1"/>
  <c r="R73" i="67"/>
  <c r="P73" i="67"/>
  <c r="Q73" i="67"/>
  <c r="F73" i="67"/>
  <c r="V72" i="67"/>
  <c r="U72" i="67" s="1"/>
  <c r="R72" i="67"/>
  <c r="Q72" i="67"/>
  <c r="P72" i="67"/>
  <c r="F72" i="67"/>
  <c r="V71" i="67"/>
  <c r="U71" i="67" s="1"/>
  <c r="R71" i="67"/>
  <c r="P71" i="67"/>
  <c r="Q71" i="67"/>
  <c r="F71" i="67"/>
  <c r="V70" i="67"/>
  <c r="R70" i="67"/>
  <c r="Q70" i="67"/>
  <c r="P70" i="67"/>
  <c r="F70" i="67"/>
  <c r="V69" i="67"/>
  <c r="U69" i="67" s="1"/>
  <c r="R69" i="67"/>
  <c r="Q69" i="67"/>
  <c r="P69" i="67"/>
  <c r="F69" i="67"/>
  <c r="V68" i="67"/>
  <c r="U68" i="67" s="1"/>
  <c r="R68" i="67"/>
  <c r="Q68" i="67"/>
  <c r="P68" i="67"/>
  <c r="F68" i="67"/>
  <c r="V67" i="67"/>
  <c r="U67" i="67" s="1"/>
  <c r="R67" i="67"/>
  <c r="Q67" i="67"/>
  <c r="P67" i="67"/>
  <c r="F67" i="67"/>
  <c r="V66" i="67"/>
  <c r="U66" i="67" s="1"/>
  <c r="R66" i="67"/>
  <c r="Q66" i="67"/>
  <c r="P66" i="67"/>
  <c r="F66" i="67"/>
  <c r="V65" i="67"/>
  <c r="U65" i="67" s="1"/>
  <c r="R65" i="67"/>
  <c r="P65" i="67"/>
  <c r="Q65" i="67"/>
  <c r="F65" i="67"/>
  <c r="V64" i="67"/>
  <c r="U64" i="67" s="1"/>
  <c r="R64" i="67"/>
  <c r="Q64" i="67"/>
  <c r="P64" i="67"/>
  <c r="F64" i="67"/>
  <c r="V63" i="67"/>
  <c r="U63" i="67" s="1"/>
  <c r="R63" i="67"/>
  <c r="Q63" i="67"/>
  <c r="P63" i="67"/>
  <c r="F63" i="67"/>
  <c r="V62" i="67"/>
  <c r="U62" i="67" s="1"/>
  <c r="P62" i="67"/>
  <c r="Q62" i="67"/>
  <c r="R62" i="67"/>
  <c r="F62" i="67"/>
  <c r="V61" i="67"/>
  <c r="U61" i="67" s="1"/>
  <c r="R61" i="67"/>
  <c r="Q61" i="67"/>
  <c r="P61" i="67"/>
  <c r="F61" i="67"/>
  <c r="V60" i="67"/>
  <c r="U60" i="67" s="1"/>
  <c r="R60" i="67"/>
  <c r="P60" i="67"/>
  <c r="Q60" i="67"/>
  <c r="F60" i="67"/>
  <c r="V59" i="67"/>
  <c r="U59" i="67" s="1"/>
  <c r="R59" i="67"/>
  <c r="Q59" i="67"/>
  <c r="P59" i="67"/>
  <c r="F59" i="67"/>
  <c r="V58" i="67"/>
  <c r="U58" i="67" s="1"/>
  <c r="R58" i="67"/>
  <c r="P58" i="67"/>
  <c r="Q58" i="67"/>
  <c r="F58" i="67"/>
  <c r="V57" i="67"/>
  <c r="U57" i="67" s="1"/>
  <c r="R57" i="67"/>
  <c r="Q57" i="67"/>
  <c r="P57" i="67"/>
  <c r="F57" i="67"/>
  <c r="V56" i="67"/>
  <c r="R56" i="67"/>
  <c r="Q56" i="67"/>
  <c r="P56" i="67"/>
  <c r="F56" i="67"/>
  <c r="V55" i="67"/>
  <c r="U55" i="67" s="1"/>
  <c r="R55" i="67"/>
  <c r="Q55" i="67"/>
  <c r="P55" i="67"/>
  <c r="F55" i="67"/>
  <c r="V54" i="67"/>
  <c r="U54" i="67" s="1"/>
  <c r="R54" i="67"/>
  <c r="Q54" i="67"/>
  <c r="P54" i="67"/>
  <c r="F54" i="67"/>
  <c r="V53" i="67"/>
  <c r="U53" i="67" s="1"/>
  <c r="R53" i="67"/>
  <c r="P53" i="67"/>
  <c r="Q53" i="67"/>
  <c r="F53" i="67"/>
  <c r="V52" i="67"/>
  <c r="U52" i="67" s="1"/>
  <c r="P52" i="67"/>
  <c r="Q52" i="67"/>
  <c r="R52" i="67"/>
  <c r="F52" i="67"/>
  <c r="V51" i="67"/>
  <c r="U51" i="67" s="1"/>
  <c r="R51" i="67"/>
  <c r="Q51" i="67"/>
  <c r="P51" i="67"/>
  <c r="F51" i="67"/>
  <c r="V50" i="67"/>
  <c r="R50" i="67"/>
  <c r="P50" i="67"/>
  <c r="Q50" i="67"/>
  <c r="F50" i="67"/>
  <c r="V49" i="67"/>
  <c r="R49" i="67"/>
  <c r="P49" i="67"/>
  <c r="Q49" i="67"/>
  <c r="F49" i="67"/>
  <c r="C49" i="67"/>
  <c r="I34" i="67"/>
  <c r="E10" i="67"/>
  <c r="F10" i="67" s="1"/>
  <c r="G10" i="67" s="1"/>
  <c r="L24" i="67"/>
  <c r="E11" i="67"/>
  <c r="F11" i="67" s="1"/>
  <c r="AL80" i="66"/>
  <c r="O80" i="66"/>
  <c r="I43" i="66" s="1"/>
  <c r="N80" i="66"/>
  <c r="I42" i="66" s="1"/>
  <c r="M80" i="66"/>
  <c r="I41" i="66" s="1"/>
  <c r="L80" i="66"/>
  <c r="I44" i="66" s="1"/>
  <c r="K80" i="66"/>
  <c r="J80" i="66"/>
  <c r="I80" i="66"/>
  <c r="V77" i="66"/>
  <c r="U77" i="66" s="1"/>
  <c r="R77" i="66"/>
  <c r="Q77" i="66"/>
  <c r="P77" i="66"/>
  <c r="F77" i="66"/>
  <c r="V76" i="66"/>
  <c r="U76" i="66" s="1"/>
  <c r="R76" i="66"/>
  <c r="Q76" i="66"/>
  <c r="P76" i="66"/>
  <c r="F76" i="66"/>
  <c r="V75" i="66"/>
  <c r="U75" i="66" s="1"/>
  <c r="R75" i="66"/>
  <c r="P75" i="66"/>
  <c r="Q75" i="66"/>
  <c r="C49" i="66"/>
  <c r="F75" i="66"/>
  <c r="V74" i="66"/>
  <c r="U74" i="66" s="1"/>
  <c r="R74" i="66"/>
  <c r="Q74" i="66"/>
  <c r="P74" i="66"/>
  <c r="F74" i="66"/>
  <c r="V73" i="66"/>
  <c r="U73" i="66" s="1"/>
  <c r="R73" i="66"/>
  <c r="P73" i="66"/>
  <c r="Q73" i="66"/>
  <c r="F73" i="66"/>
  <c r="V72" i="66"/>
  <c r="R72" i="66"/>
  <c r="Q72" i="66"/>
  <c r="P72" i="66"/>
  <c r="F72" i="66"/>
  <c r="V71" i="66"/>
  <c r="U71" i="66" s="1"/>
  <c r="R71" i="66"/>
  <c r="P71" i="66"/>
  <c r="Q71" i="66"/>
  <c r="F71" i="66"/>
  <c r="V70" i="66"/>
  <c r="U70" i="66" s="1"/>
  <c r="R70" i="66"/>
  <c r="P70" i="66"/>
  <c r="Q70" i="66"/>
  <c r="F70" i="66"/>
  <c r="V69" i="66"/>
  <c r="U69" i="66" s="1"/>
  <c r="R69" i="66"/>
  <c r="Q69" i="66"/>
  <c r="P69" i="66"/>
  <c r="F69" i="66"/>
  <c r="V68" i="66"/>
  <c r="R68" i="66"/>
  <c r="Q68" i="66"/>
  <c r="P68" i="66"/>
  <c r="F68" i="66"/>
  <c r="V67" i="66"/>
  <c r="U67" i="66" s="1"/>
  <c r="R67" i="66"/>
  <c r="Q67" i="66"/>
  <c r="P67" i="66"/>
  <c r="F67" i="66"/>
  <c r="V66" i="66"/>
  <c r="U66" i="66" s="1"/>
  <c r="R66" i="66"/>
  <c r="Q66" i="66"/>
  <c r="P66" i="66"/>
  <c r="F66" i="66"/>
  <c r="V65" i="66"/>
  <c r="R65" i="66"/>
  <c r="P65" i="66"/>
  <c r="Q65" i="66"/>
  <c r="F65" i="66"/>
  <c r="V64" i="66"/>
  <c r="U64" i="66" s="1"/>
  <c r="R64" i="66"/>
  <c r="P64" i="66"/>
  <c r="Q64" i="66"/>
  <c r="F64" i="66"/>
  <c r="V63" i="66"/>
  <c r="U63" i="66" s="1"/>
  <c r="R63" i="66"/>
  <c r="Q63" i="66"/>
  <c r="P63" i="66"/>
  <c r="F63" i="66"/>
  <c r="V62" i="66"/>
  <c r="U62" i="66" s="1"/>
  <c r="R62" i="66"/>
  <c r="Q62" i="66"/>
  <c r="P62" i="66"/>
  <c r="F62" i="66"/>
  <c r="V61" i="66"/>
  <c r="U61" i="66" s="1"/>
  <c r="R61" i="66"/>
  <c r="Q61" i="66"/>
  <c r="P61" i="66"/>
  <c r="F61" i="66"/>
  <c r="V60" i="66"/>
  <c r="U60" i="66" s="1"/>
  <c r="R60" i="66"/>
  <c r="Q60" i="66"/>
  <c r="P60" i="66"/>
  <c r="F60" i="66"/>
  <c r="V59" i="66"/>
  <c r="U59" i="66" s="1"/>
  <c r="R59" i="66"/>
  <c r="Q59" i="66"/>
  <c r="P59" i="66"/>
  <c r="F59" i="66"/>
  <c r="V58" i="66"/>
  <c r="U58" i="66" s="1"/>
  <c r="R58" i="66"/>
  <c r="Q58" i="66"/>
  <c r="P58" i="66"/>
  <c r="F58" i="66"/>
  <c r="V57" i="66"/>
  <c r="U57" i="66" s="1"/>
  <c r="R57" i="66"/>
  <c r="Q57" i="66"/>
  <c r="P57" i="66"/>
  <c r="F57" i="66"/>
  <c r="V56" i="66"/>
  <c r="R56" i="66"/>
  <c r="Q56" i="66"/>
  <c r="P56" i="66"/>
  <c r="F56" i="66"/>
  <c r="V55" i="66"/>
  <c r="U55" i="66" s="1"/>
  <c r="R55" i="66"/>
  <c r="P55" i="66"/>
  <c r="Q55" i="66"/>
  <c r="F55" i="66"/>
  <c r="V54" i="66"/>
  <c r="U54" i="66" s="1"/>
  <c r="R54" i="66"/>
  <c r="P54" i="66"/>
  <c r="Q54" i="66"/>
  <c r="F54" i="66"/>
  <c r="V53" i="66"/>
  <c r="R53" i="66"/>
  <c r="P53" i="66"/>
  <c r="Q53" i="66"/>
  <c r="F53" i="66"/>
  <c r="V52" i="66"/>
  <c r="U52" i="66" s="1"/>
  <c r="R52" i="66"/>
  <c r="Q52" i="66"/>
  <c r="P52" i="66"/>
  <c r="F52" i="66"/>
  <c r="V51" i="66"/>
  <c r="R51" i="66"/>
  <c r="Q51" i="66"/>
  <c r="P51" i="66"/>
  <c r="F51" i="66"/>
  <c r="V50" i="66"/>
  <c r="U50" i="66" s="1"/>
  <c r="R50" i="66"/>
  <c r="Q50" i="66"/>
  <c r="P50" i="66"/>
  <c r="F50" i="66"/>
  <c r="V49" i="66"/>
  <c r="R49" i="66"/>
  <c r="Q49" i="66"/>
  <c r="P49" i="66"/>
  <c r="F49" i="66"/>
  <c r="I34" i="66"/>
  <c r="I35" i="66" s="1"/>
  <c r="K33" i="66" s="1"/>
  <c r="E11" i="66"/>
  <c r="F11" i="66" s="1"/>
  <c r="E10" i="66"/>
  <c r="Y79" i="65"/>
  <c r="O79" i="65"/>
  <c r="H42" i="65" s="1"/>
  <c r="N79" i="65"/>
  <c r="H41" i="65" s="1"/>
  <c r="M79" i="65"/>
  <c r="H40" i="65" s="1"/>
  <c r="L79" i="65"/>
  <c r="H43" i="65" s="1"/>
  <c r="K79" i="65"/>
  <c r="J79" i="65"/>
  <c r="I79" i="65"/>
  <c r="V78" i="65"/>
  <c r="R78" i="65"/>
  <c r="P78" i="65"/>
  <c r="Q78" i="65"/>
  <c r="F78" i="65"/>
  <c r="V77" i="65"/>
  <c r="U77" i="65" s="1"/>
  <c r="R77" i="65"/>
  <c r="Q77" i="65"/>
  <c r="P77" i="65"/>
  <c r="F77" i="65"/>
  <c r="V76" i="65"/>
  <c r="U76" i="65" s="1"/>
  <c r="R76" i="65"/>
  <c r="Q76" i="65"/>
  <c r="P76" i="65"/>
  <c r="F76" i="65"/>
  <c r="V75" i="65"/>
  <c r="U75" i="65" s="1"/>
  <c r="R75" i="65"/>
  <c r="Q75" i="65"/>
  <c r="P75" i="65"/>
  <c r="F75" i="65"/>
  <c r="V74" i="65"/>
  <c r="U74" i="65" s="1"/>
  <c r="R74" i="65"/>
  <c r="Q74" i="65"/>
  <c r="P74" i="65"/>
  <c r="F74" i="65"/>
  <c r="V73" i="65"/>
  <c r="U73" i="65" s="1"/>
  <c r="R73" i="65"/>
  <c r="Q73" i="65"/>
  <c r="P73" i="65"/>
  <c r="F73" i="65"/>
  <c r="V72" i="65"/>
  <c r="U72" i="65" s="1"/>
  <c r="R72" i="65"/>
  <c r="Q72" i="65"/>
  <c r="P72" i="65"/>
  <c r="F72" i="65"/>
  <c r="V71" i="65"/>
  <c r="U71" i="65" s="1"/>
  <c r="R71" i="65"/>
  <c r="Q71" i="65"/>
  <c r="P71" i="65"/>
  <c r="F71" i="65"/>
  <c r="V70" i="65"/>
  <c r="U70" i="65" s="1"/>
  <c r="R70" i="65"/>
  <c r="Q70" i="65"/>
  <c r="P70" i="65"/>
  <c r="F70" i="65"/>
  <c r="V69" i="65"/>
  <c r="U69" i="65" s="1"/>
  <c r="R69" i="65"/>
  <c r="P69" i="65"/>
  <c r="Q69" i="65"/>
  <c r="F69" i="65"/>
  <c r="V68" i="65"/>
  <c r="R68" i="65"/>
  <c r="P68" i="65"/>
  <c r="Q68" i="65"/>
  <c r="F68" i="65"/>
  <c r="V67" i="65"/>
  <c r="U67" i="65" s="1"/>
  <c r="R67" i="65"/>
  <c r="P67" i="65"/>
  <c r="Q67" i="65"/>
  <c r="F67" i="65"/>
  <c r="V66" i="65"/>
  <c r="R66" i="65"/>
  <c r="Q66" i="65"/>
  <c r="P66" i="65"/>
  <c r="F66" i="65"/>
  <c r="V65" i="65"/>
  <c r="U65" i="65" s="1"/>
  <c r="R65" i="65"/>
  <c r="Q65" i="65"/>
  <c r="P65" i="65"/>
  <c r="F65" i="65"/>
  <c r="V64" i="65"/>
  <c r="U64" i="65" s="1"/>
  <c r="R64" i="65"/>
  <c r="P64" i="65"/>
  <c r="Q64" i="65"/>
  <c r="F64" i="65"/>
  <c r="V63" i="65"/>
  <c r="U63" i="65" s="1"/>
  <c r="R63" i="65"/>
  <c r="Q63" i="65"/>
  <c r="P63" i="65"/>
  <c r="F63" i="65"/>
  <c r="V62" i="65"/>
  <c r="U62" i="65" s="1"/>
  <c r="R62" i="65"/>
  <c r="Q62" i="65"/>
  <c r="P62" i="65"/>
  <c r="F62" i="65"/>
  <c r="V61" i="65"/>
  <c r="U61" i="65" s="1"/>
  <c r="R61" i="65"/>
  <c r="P61" i="65"/>
  <c r="Q61" i="65"/>
  <c r="F61" i="65"/>
  <c r="V60" i="65"/>
  <c r="R60" i="65"/>
  <c r="P60" i="65"/>
  <c r="Q60" i="65"/>
  <c r="F60" i="65"/>
  <c r="V59" i="65"/>
  <c r="U59" i="65" s="1"/>
  <c r="R59" i="65"/>
  <c r="Q59" i="65"/>
  <c r="P59" i="65"/>
  <c r="F59" i="65"/>
  <c r="V58" i="65"/>
  <c r="U58" i="65" s="1"/>
  <c r="R58" i="65"/>
  <c r="Q58" i="65"/>
  <c r="P58" i="65"/>
  <c r="F58" i="65"/>
  <c r="V57" i="65"/>
  <c r="R57" i="65"/>
  <c r="P57" i="65"/>
  <c r="Q57" i="65"/>
  <c r="F57" i="65"/>
  <c r="V56" i="65"/>
  <c r="U56" i="65" s="1"/>
  <c r="R56" i="65"/>
  <c r="Q56" i="65"/>
  <c r="P56" i="65"/>
  <c r="F56" i="65"/>
  <c r="V55" i="65"/>
  <c r="R55" i="65"/>
  <c r="P55" i="65"/>
  <c r="Q55" i="65"/>
  <c r="F55" i="65"/>
  <c r="V54" i="65"/>
  <c r="U54" i="65" s="1"/>
  <c r="R54" i="65"/>
  <c r="Q54" i="65"/>
  <c r="P54" i="65"/>
  <c r="F54" i="65"/>
  <c r="V53" i="65"/>
  <c r="U53" i="65" s="1"/>
  <c r="R53" i="65"/>
  <c r="Q53" i="65"/>
  <c r="P53" i="65"/>
  <c r="F53" i="65"/>
  <c r="V52" i="65"/>
  <c r="U52" i="65" s="1"/>
  <c r="R52" i="65"/>
  <c r="Q52" i="65"/>
  <c r="P52" i="65"/>
  <c r="F52" i="65"/>
  <c r="V51" i="65"/>
  <c r="U51" i="65" s="1"/>
  <c r="R51" i="65"/>
  <c r="Q51" i="65"/>
  <c r="P51" i="65"/>
  <c r="F51" i="65"/>
  <c r="V50" i="65"/>
  <c r="U50" i="65" s="1"/>
  <c r="R50" i="65"/>
  <c r="Q50" i="65"/>
  <c r="P50" i="65"/>
  <c r="P48" i="65"/>
  <c r="P49" i="65"/>
  <c r="Q49" i="65"/>
  <c r="R49" i="65"/>
  <c r="F50" i="65"/>
  <c r="V49" i="65"/>
  <c r="U49" i="65" s="1"/>
  <c r="F49" i="65"/>
  <c r="V48" i="65"/>
  <c r="U48" i="65" s="1"/>
  <c r="R48" i="65"/>
  <c r="Q48" i="65"/>
  <c r="F48" i="65"/>
  <c r="C48" i="65"/>
  <c r="H34" i="65"/>
  <c r="E11" i="65"/>
  <c r="E10" i="65"/>
  <c r="O80" i="64"/>
  <c r="I43" i="64" s="1"/>
  <c r="N80" i="64"/>
  <c r="I42" i="64" s="1"/>
  <c r="M80" i="64"/>
  <c r="I41" i="64" s="1"/>
  <c r="L80" i="64"/>
  <c r="I44" i="64" s="1"/>
  <c r="K80" i="64"/>
  <c r="J80" i="64"/>
  <c r="I80" i="64"/>
  <c r="V79" i="64"/>
  <c r="U79" i="64" s="1"/>
  <c r="R79" i="64"/>
  <c r="P79" i="64"/>
  <c r="Q79" i="64"/>
  <c r="F79" i="64"/>
  <c r="V78" i="64"/>
  <c r="U78" i="64" s="1"/>
  <c r="R78" i="64"/>
  <c r="Q78" i="64"/>
  <c r="P78" i="64"/>
  <c r="F78" i="64"/>
  <c r="V77" i="64"/>
  <c r="U77" i="64" s="1"/>
  <c r="R77" i="64"/>
  <c r="Q77" i="64"/>
  <c r="P77" i="64"/>
  <c r="F77" i="64"/>
  <c r="V76" i="64"/>
  <c r="U76" i="64" s="1"/>
  <c r="R76" i="64"/>
  <c r="Q76" i="64"/>
  <c r="P76" i="64"/>
  <c r="F76" i="64"/>
  <c r="V75" i="64"/>
  <c r="P75" i="64"/>
  <c r="Q75" i="64"/>
  <c r="R75" i="64"/>
  <c r="F75" i="64"/>
  <c r="V74" i="64"/>
  <c r="U74" i="64" s="1"/>
  <c r="R74" i="64"/>
  <c r="P74" i="64"/>
  <c r="Q74" i="64"/>
  <c r="F74" i="64"/>
  <c r="V73" i="64"/>
  <c r="U73" i="64" s="1"/>
  <c r="R73" i="64"/>
  <c r="Q73" i="64"/>
  <c r="P73" i="64"/>
  <c r="E73" i="64" s="1"/>
  <c r="F73" i="64"/>
  <c r="V72" i="64"/>
  <c r="U72" i="64" s="1"/>
  <c r="P72" i="64"/>
  <c r="Q72" i="64"/>
  <c r="E72" i="64" s="1"/>
  <c r="R72" i="64"/>
  <c r="F72" i="64"/>
  <c r="V71" i="64"/>
  <c r="P71" i="64"/>
  <c r="W71" i="64" s="1"/>
  <c r="X71" i="64" s="1"/>
  <c r="Q71" i="64"/>
  <c r="R71" i="64"/>
  <c r="F71" i="64"/>
  <c r="V70" i="64"/>
  <c r="U70" i="64" s="1"/>
  <c r="R70" i="64"/>
  <c r="P70" i="64"/>
  <c r="Q70" i="64"/>
  <c r="F70" i="64"/>
  <c r="V69" i="64"/>
  <c r="U69" i="64" s="1"/>
  <c r="R69" i="64"/>
  <c r="Q69" i="64"/>
  <c r="P69" i="64"/>
  <c r="F69" i="64"/>
  <c r="V68" i="64"/>
  <c r="U68" i="64" s="1"/>
  <c r="R68" i="64"/>
  <c r="P68" i="64"/>
  <c r="Q68" i="64"/>
  <c r="F68" i="64"/>
  <c r="V67" i="64"/>
  <c r="U67" i="64" s="1"/>
  <c r="R67" i="64"/>
  <c r="Q67" i="64"/>
  <c r="P67" i="64"/>
  <c r="F67" i="64"/>
  <c r="V66" i="64"/>
  <c r="U66" i="64" s="1"/>
  <c r="R66" i="64"/>
  <c r="Q66" i="64"/>
  <c r="P66" i="64"/>
  <c r="F66" i="64"/>
  <c r="V65" i="64"/>
  <c r="U65" i="64" s="1"/>
  <c r="R65" i="64"/>
  <c r="Q65" i="64"/>
  <c r="P65" i="64"/>
  <c r="W65" i="64" s="1"/>
  <c r="F65" i="64"/>
  <c r="V64" i="64"/>
  <c r="U64" i="64" s="1"/>
  <c r="R64" i="64"/>
  <c r="Q64" i="64"/>
  <c r="E64" i="64" s="1"/>
  <c r="P64" i="64"/>
  <c r="F64" i="64"/>
  <c r="V63" i="64"/>
  <c r="U63" i="64" s="1"/>
  <c r="R63" i="64"/>
  <c r="P63" i="64"/>
  <c r="Q63" i="64"/>
  <c r="C49" i="64"/>
  <c r="C50" i="64" s="1"/>
  <c r="C51" i="64" s="1"/>
  <c r="C52" i="64" s="1"/>
  <c r="C53" i="64" s="1"/>
  <c r="C54" i="64" s="1"/>
  <c r="C55" i="64" s="1"/>
  <c r="C56" i="64" s="1"/>
  <c r="C57" i="64" s="1"/>
  <c r="C58" i="64" s="1"/>
  <c r="C59" i="64" s="1"/>
  <c r="C60" i="64" s="1"/>
  <c r="C61" i="64" s="1"/>
  <c r="C62" i="64" s="1"/>
  <c r="C63" i="64" s="1"/>
  <c r="C64" i="64" s="1"/>
  <c r="C65" i="64" s="1"/>
  <c r="C66" i="64" s="1"/>
  <c r="C67" i="64" s="1"/>
  <c r="C68" i="64" s="1"/>
  <c r="C69" i="64" s="1"/>
  <c r="C70" i="64" s="1"/>
  <c r="C71" i="64" s="1"/>
  <c r="C72" i="64" s="1"/>
  <c r="C73" i="64" s="1"/>
  <c r="C74" i="64" s="1"/>
  <c r="C75" i="64" s="1"/>
  <c r="C76" i="64" s="1"/>
  <c r="C77" i="64" s="1"/>
  <c r="C78" i="64" s="1"/>
  <c r="C79" i="64" s="1"/>
  <c r="F63" i="64"/>
  <c r="V62" i="64"/>
  <c r="U62" i="64" s="1"/>
  <c r="R62" i="64"/>
  <c r="Q62" i="64"/>
  <c r="P62" i="64"/>
  <c r="F62" i="64"/>
  <c r="V61" i="64"/>
  <c r="U61" i="64" s="1"/>
  <c r="R61" i="64"/>
  <c r="Q61" i="64"/>
  <c r="P61" i="64"/>
  <c r="F61" i="64"/>
  <c r="V60" i="64"/>
  <c r="U60" i="64" s="1"/>
  <c r="R60" i="64"/>
  <c r="Q60" i="64"/>
  <c r="P60" i="64"/>
  <c r="F60" i="64"/>
  <c r="V59" i="64"/>
  <c r="U59" i="64" s="1"/>
  <c r="R59" i="64"/>
  <c r="Q59" i="64"/>
  <c r="P59" i="64"/>
  <c r="F59" i="64"/>
  <c r="V58" i="64"/>
  <c r="U58" i="64" s="1"/>
  <c r="R58" i="64"/>
  <c r="P58" i="64"/>
  <c r="Q58" i="64"/>
  <c r="F58" i="64"/>
  <c r="V57" i="64"/>
  <c r="U57" i="64" s="1"/>
  <c r="R57" i="64"/>
  <c r="Q57" i="64"/>
  <c r="P57" i="64"/>
  <c r="F57" i="64"/>
  <c r="V56" i="64"/>
  <c r="U56" i="64" s="1"/>
  <c r="R56" i="64"/>
  <c r="P56" i="64"/>
  <c r="Q56" i="64"/>
  <c r="F56" i="64"/>
  <c r="V55" i="64"/>
  <c r="R55" i="64"/>
  <c r="Q55" i="64"/>
  <c r="P55" i="64"/>
  <c r="F55" i="64"/>
  <c r="V54" i="64"/>
  <c r="U54" i="64" s="1"/>
  <c r="R54" i="64"/>
  <c r="Q54" i="64"/>
  <c r="P54" i="64"/>
  <c r="F54" i="64"/>
  <c r="V53" i="64"/>
  <c r="U53" i="64" s="1"/>
  <c r="R53" i="64"/>
  <c r="Q53" i="64"/>
  <c r="P53" i="64"/>
  <c r="F53" i="64"/>
  <c r="V52" i="64"/>
  <c r="U52" i="64" s="1"/>
  <c r="R52" i="64"/>
  <c r="P52" i="64"/>
  <c r="Q52" i="64"/>
  <c r="F52" i="64"/>
  <c r="V51" i="64"/>
  <c r="R51" i="64"/>
  <c r="Q51" i="64"/>
  <c r="P51" i="64"/>
  <c r="F51" i="64"/>
  <c r="V50" i="64"/>
  <c r="U50" i="64" s="1"/>
  <c r="R50" i="64"/>
  <c r="Q50" i="64"/>
  <c r="P50" i="64"/>
  <c r="P49" i="64"/>
  <c r="F50" i="64"/>
  <c r="V49" i="64"/>
  <c r="R49" i="64"/>
  <c r="Q49" i="64"/>
  <c r="F49" i="64"/>
  <c r="I34" i="64"/>
  <c r="I35" i="64" s="1"/>
  <c r="L24" i="64"/>
  <c r="E11" i="64"/>
  <c r="E10" i="64"/>
  <c r="F10" i="64" s="1"/>
  <c r="O80" i="63"/>
  <c r="I43" i="63" s="1"/>
  <c r="N80" i="63"/>
  <c r="I42" i="63" s="1"/>
  <c r="M80" i="63"/>
  <c r="I41" i="63" s="1"/>
  <c r="L80" i="63"/>
  <c r="I44" i="63" s="1"/>
  <c r="K80" i="63"/>
  <c r="J80" i="63"/>
  <c r="I80" i="63"/>
  <c r="V79" i="63"/>
  <c r="U79" i="63" s="1"/>
  <c r="R79" i="63"/>
  <c r="Q79" i="63"/>
  <c r="P79" i="63"/>
  <c r="F79" i="63"/>
  <c r="V78" i="63"/>
  <c r="U78" i="63" s="1"/>
  <c r="R78" i="63"/>
  <c r="P78" i="63"/>
  <c r="Q78" i="63"/>
  <c r="F78" i="63"/>
  <c r="V77" i="63"/>
  <c r="R77" i="63"/>
  <c r="Q77" i="63"/>
  <c r="P77" i="63"/>
  <c r="F77" i="63"/>
  <c r="V76" i="63"/>
  <c r="U76" i="63" s="1"/>
  <c r="R76" i="63"/>
  <c r="Q76" i="63"/>
  <c r="P76" i="63"/>
  <c r="F76" i="63"/>
  <c r="V75" i="63"/>
  <c r="U75" i="63" s="1"/>
  <c r="R75" i="63"/>
  <c r="P75" i="63"/>
  <c r="Q75" i="63"/>
  <c r="F75" i="63"/>
  <c r="V74" i="63"/>
  <c r="U74" i="63" s="1"/>
  <c r="R74" i="63"/>
  <c r="Q74" i="63"/>
  <c r="P74" i="63"/>
  <c r="F74" i="63"/>
  <c r="V73" i="63"/>
  <c r="U73" i="63" s="1"/>
  <c r="P73" i="63"/>
  <c r="Q73" i="63"/>
  <c r="R73" i="63"/>
  <c r="F73" i="63"/>
  <c r="V72" i="63"/>
  <c r="U72" i="63" s="1"/>
  <c r="R72" i="63"/>
  <c r="Q72" i="63"/>
  <c r="P72" i="63"/>
  <c r="F72" i="63"/>
  <c r="V71" i="63"/>
  <c r="U71" i="63" s="1"/>
  <c r="R71" i="63"/>
  <c r="Q71" i="63"/>
  <c r="P71" i="63"/>
  <c r="F71" i="63"/>
  <c r="V70" i="63"/>
  <c r="R70" i="63"/>
  <c r="Q70" i="63"/>
  <c r="P70" i="63"/>
  <c r="F70" i="63"/>
  <c r="V69" i="63"/>
  <c r="U69" i="63" s="1"/>
  <c r="R69" i="63"/>
  <c r="Q69" i="63"/>
  <c r="P69" i="63"/>
  <c r="F69" i="63"/>
  <c r="V68" i="63"/>
  <c r="U68" i="63" s="1"/>
  <c r="R68" i="63"/>
  <c r="Q68" i="63"/>
  <c r="P68" i="63"/>
  <c r="F68" i="63"/>
  <c r="V67" i="63"/>
  <c r="U67" i="63" s="1"/>
  <c r="R67" i="63"/>
  <c r="P67" i="63"/>
  <c r="Q67" i="63"/>
  <c r="F67" i="63"/>
  <c r="V66" i="63"/>
  <c r="U66" i="63" s="1"/>
  <c r="R66" i="63"/>
  <c r="Q66" i="63"/>
  <c r="P66" i="63"/>
  <c r="F66" i="63"/>
  <c r="V65" i="63"/>
  <c r="U65" i="63" s="1"/>
  <c r="R65" i="63"/>
  <c r="Q65" i="63"/>
  <c r="P65" i="63"/>
  <c r="F65" i="63"/>
  <c r="V64" i="63"/>
  <c r="R64" i="63"/>
  <c r="Q64" i="63"/>
  <c r="P64" i="63"/>
  <c r="F64" i="63"/>
  <c r="V63" i="63"/>
  <c r="U63" i="63" s="1"/>
  <c r="R63" i="63"/>
  <c r="Q63" i="63"/>
  <c r="P63" i="63"/>
  <c r="F63" i="63"/>
  <c r="V62" i="63"/>
  <c r="U62" i="63" s="1"/>
  <c r="R62" i="63"/>
  <c r="P62" i="63"/>
  <c r="Q62" i="63"/>
  <c r="F62" i="63"/>
  <c r="V61" i="63"/>
  <c r="R61" i="63"/>
  <c r="P61" i="63"/>
  <c r="Q61" i="63"/>
  <c r="F61" i="63"/>
  <c r="V60" i="63"/>
  <c r="U60" i="63" s="1"/>
  <c r="R60" i="63"/>
  <c r="Q60" i="63"/>
  <c r="P60" i="63"/>
  <c r="F60" i="63"/>
  <c r="V59" i="63"/>
  <c r="U59" i="63" s="1"/>
  <c r="R59" i="63"/>
  <c r="Q59" i="63"/>
  <c r="P59" i="63"/>
  <c r="F59" i="63"/>
  <c r="V58" i="63"/>
  <c r="R58" i="63"/>
  <c r="Q58" i="63"/>
  <c r="P58" i="63"/>
  <c r="F58" i="63"/>
  <c r="V57" i="63"/>
  <c r="U57" i="63" s="1"/>
  <c r="R57" i="63"/>
  <c r="Q57" i="63"/>
  <c r="P57" i="63"/>
  <c r="F57" i="63"/>
  <c r="V56" i="63"/>
  <c r="U56" i="63" s="1"/>
  <c r="V49" i="63"/>
  <c r="V50" i="63"/>
  <c r="U50" i="63" s="1"/>
  <c r="V51" i="63"/>
  <c r="V52" i="63"/>
  <c r="V53" i="63"/>
  <c r="U53" i="63" s="1"/>
  <c r="V54" i="63"/>
  <c r="U54" i="63" s="1"/>
  <c r="V55" i="63"/>
  <c r="U55" i="63" s="1"/>
  <c r="R56" i="63"/>
  <c r="P56" i="63"/>
  <c r="Q56" i="63"/>
  <c r="F56" i="63"/>
  <c r="R55" i="63"/>
  <c r="P55" i="63"/>
  <c r="Q55" i="63"/>
  <c r="F55" i="63"/>
  <c r="R54" i="63"/>
  <c r="Q54" i="63"/>
  <c r="P54" i="63"/>
  <c r="F54" i="63"/>
  <c r="R53" i="63"/>
  <c r="P53" i="63"/>
  <c r="Q53" i="63"/>
  <c r="F53" i="63"/>
  <c r="R52" i="63"/>
  <c r="Q52" i="63"/>
  <c r="P52" i="63"/>
  <c r="F52" i="63"/>
  <c r="R51" i="63"/>
  <c r="Q51" i="63"/>
  <c r="P51" i="63"/>
  <c r="F51" i="63"/>
  <c r="R50" i="63"/>
  <c r="Q50" i="63"/>
  <c r="P50" i="63"/>
  <c r="F50" i="63"/>
  <c r="R49" i="63"/>
  <c r="Q49" i="63"/>
  <c r="P49" i="63"/>
  <c r="F49" i="63"/>
  <c r="C49" i="63"/>
  <c r="C50" i="63" s="1"/>
  <c r="C51" i="63" s="1"/>
  <c r="C52" i="63" s="1"/>
  <c r="C53" i="63" s="1"/>
  <c r="C54" i="63" s="1"/>
  <c r="C55" i="63" s="1"/>
  <c r="C56" i="63" s="1"/>
  <c r="C57" i="63" s="1"/>
  <c r="C58" i="63" s="1"/>
  <c r="C59" i="63" s="1"/>
  <c r="C60" i="63" s="1"/>
  <c r="C61" i="63" s="1"/>
  <c r="C62" i="63" s="1"/>
  <c r="C63" i="63" s="1"/>
  <c r="C64" i="63" s="1"/>
  <c r="C65" i="63" s="1"/>
  <c r="C66" i="63" s="1"/>
  <c r="C67" i="63" s="1"/>
  <c r="C68" i="63" s="1"/>
  <c r="C69" i="63" s="1"/>
  <c r="C70" i="63" s="1"/>
  <c r="C71" i="63" s="1"/>
  <c r="C72" i="63" s="1"/>
  <c r="C73" i="63" s="1"/>
  <c r="C74" i="63" s="1"/>
  <c r="C75" i="63" s="1"/>
  <c r="C76" i="63" s="1"/>
  <c r="C77" i="63" s="1"/>
  <c r="C78" i="63" s="1"/>
  <c r="C79" i="63" s="1"/>
  <c r="I34" i="63"/>
  <c r="L24" i="63"/>
  <c r="E11" i="63"/>
  <c r="E10" i="63"/>
  <c r="O80" i="62"/>
  <c r="I43" i="62" s="1"/>
  <c r="N80" i="62"/>
  <c r="I42" i="62" s="1"/>
  <c r="M80" i="62"/>
  <c r="I41" i="62" s="1"/>
  <c r="L80" i="62"/>
  <c r="I44" i="62" s="1"/>
  <c r="K80" i="62"/>
  <c r="J80" i="62"/>
  <c r="I80" i="62"/>
  <c r="V79" i="62"/>
  <c r="U79" i="62" s="1"/>
  <c r="R79" i="62"/>
  <c r="Q79" i="62"/>
  <c r="P79" i="62"/>
  <c r="F79" i="62"/>
  <c r="V78" i="62"/>
  <c r="R78" i="62"/>
  <c r="Q78" i="62"/>
  <c r="P78" i="62"/>
  <c r="F78" i="62"/>
  <c r="V77" i="62"/>
  <c r="U77" i="62" s="1"/>
  <c r="R77" i="62"/>
  <c r="Q77" i="62"/>
  <c r="P77" i="62"/>
  <c r="F77" i="62"/>
  <c r="V76" i="62"/>
  <c r="U76" i="62" s="1"/>
  <c r="R76" i="62"/>
  <c r="Q76" i="62"/>
  <c r="P76" i="62"/>
  <c r="F76" i="62"/>
  <c r="V75" i="62"/>
  <c r="U75" i="62" s="1"/>
  <c r="R75" i="62"/>
  <c r="P75" i="62"/>
  <c r="Q75" i="62"/>
  <c r="F75" i="62"/>
  <c r="C49" i="62"/>
  <c r="C47" i="62" s="1"/>
  <c r="H24" i="62" s="1"/>
  <c r="V74" i="62"/>
  <c r="U74" i="62" s="1"/>
  <c r="R74" i="62"/>
  <c r="Q74" i="62"/>
  <c r="P74" i="62"/>
  <c r="F74" i="62"/>
  <c r="V73" i="62"/>
  <c r="U73" i="62" s="1"/>
  <c r="R73" i="62"/>
  <c r="P73" i="62"/>
  <c r="Q73" i="62"/>
  <c r="F73" i="62"/>
  <c r="V72" i="62"/>
  <c r="U72" i="62" s="1"/>
  <c r="R72" i="62"/>
  <c r="Q72" i="62"/>
  <c r="P72" i="62"/>
  <c r="F72" i="62"/>
  <c r="V71" i="62"/>
  <c r="U71" i="62" s="1"/>
  <c r="R71" i="62"/>
  <c r="Q71" i="62"/>
  <c r="P71" i="62"/>
  <c r="F71" i="62"/>
  <c r="V70" i="62"/>
  <c r="R70" i="62"/>
  <c r="P70" i="62"/>
  <c r="Q70" i="62"/>
  <c r="F70" i="62"/>
  <c r="V69" i="62"/>
  <c r="R69" i="62"/>
  <c r="P69" i="62"/>
  <c r="Q69" i="62"/>
  <c r="F69" i="62"/>
  <c r="V68" i="62"/>
  <c r="U68" i="62" s="1"/>
  <c r="R68" i="62"/>
  <c r="P68" i="62"/>
  <c r="Q68" i="62"/>
  <c r="F68" i="62"/>
  <c r="V67" i="62"/>
  <c r="U67" i="62" s="1"/>
  <c r="R67" i="62"/>
  <c r="Q67" i="62"/>
  <c r="P67" i="62"/>
  <c r="F67" i="62"/>
  <c r="V66" i="62"/>
  <c r="U66" i="62" s="1"/>
  <c r="R66" i="62"/>
  <c r="Q66" i="62"/>
  <c r="P66" i="62"/>
  <c r="F66" i="62"/>
  <c r="V65" i="62"/>
  <c r="U65" i="62" s="1"/>
  <c r="R65" i="62"/>
  <c r="P65" i="62"/>
  <c r="Q65" i="62"/>
  <c r="F65" i="62"/>
  <c r="V64" i="62"/>
  <c r="U64" i="62" s="1"/>
  <c r="R64" i="62"/>
  <c r="Q64" i="62"/>
  <c r="P64" i="62"/>
  <c r="F64" i="62"/>
  <c r="V63" i="62"/>
  <c r="U63" i="62" s="1"/>
  <c r="R63" i="62"/>
  <c r="Q63" i="62"/>
  <c r="P63" i="62"/>
  <c r="F63" i="62"/>
  <c r="V62" i="62"/>
  <c r="R62" i="62"/>
  <c r="Q62" i="62"/>
  <c r="P62" i="62"/>
  <c r="F62" i="62"/>
  <c r="V61" i="62"/>
  <c r="U61" i="62" s="1"/>
  <c r="R61" i="62"/>
  <c r="Q61" i="62"/>
  <c r="P61" i="62"/>
  <c r="F61" i="62"/>
  <c r="V60" i="62"/>
  <c r="U60" i="62" s="1"/>
  <c r="R60" i="62"/>
  <c r="P60" i="62"/>
  <c r="Q60" i="62"/>
  <c r="F60" i="62"/>
  <c r="V59" i="62"/>
  <c r="U59" i="62" s="1"/>
  <c r="R59" i="62"/>
  <c r="Q59" i="62"/>
  <c r="P59" i="62"/>
  <c r="F59" i="62"/>
  <c r="V58" i="62"/>
  <c r="U58" i="62" s="1"/>
  <c r="R58" i="62"/>
  <c r="Q58" i="62"/>
  <c r="P58" i="62"/>
  <c r="F58" i="62"/>
  <c r="V57" i="62"/>
  <c r="U57" i="62" s="1"/>
  <c r="R57" i="62"/>
  <c r="Q57" i="62"/>
  <c r="P57" i="62"/>
  <c r="F57" i="62"/>
  <c r="V56" i="62"/>
  <c r="U56" i="62" s="1"/>
  <c r="R56" i="62"/>
  <c r="Q56" i="62"/>
  <c r="P56" i="62"/>
  <c r="F56" i="62"/>
  <c r="V55" i="62"/>
  <c r="U55" i="62" s="1"/>
  <c r="R55" i="62"/>
  <c r="Q55" i="62"/>
  <c r="P55" i="62"/>
  <c r="F55" i="62"/>
  <c r="V54" i="62"/>
  <c r="U54" i="62" s="1"/>
  <c r="R54" i="62"/>
  <c r="Q54" i="62"/>
  <c r="P54" i="62"/>
  <c r="F54" i="62"/>
  <c r="V53" i="62"/>
  <c r="U53" i="62" s="1"/>
  <c r="R53" i="62"/>
  <c r="Q53" i="62"/>
  <c r="P53" i="62"/>
  <c r="F53" i="62"/>
  <c r="V52" i="62"/>
  <c r="U52" i="62" s="1"/>
  <c r="R52" i="62"/>
  <c r="P52" i="62"/>
  <c r="Q52" i="62"/>
  <c r="F52" i="62"/>
  <c r="V51" i="62"/>
  <c r="R51" i="62"/>
  <c r="Q51" i="62"/>
  <c r="P51" i="62"/>
  <c r="F51" i="62"/>
  <c r="V50" i="62"/>
  <c r="U50" i="62" s="1"/>
  <c r="R50" i="62"/>
  <c r="Q50" i="62"/>
  <c r="P50" i="62"/>
  <c r="F50" i="62"/>
  <c r="V49" i="62"/>
  <c r="U49" i="62" s="1"/>
  <c r="R49" i="62"/>
  <c r="Q49" i="62"/>
  <c r="P49" i="62"/>
  <c r="F49" i="62"/>
  <c r="I34" i="62"/>
  <c r="O80" i="61"/>
  <c r="I43" i="61" s="1"/>
  <c r="N80" i="61"/>
  <c r="I42" i="61" s="1"/>
  <c r="M80" i="61"/>
  <c r="I41" i="61" s="1"/>
  <c r="L80" i="61"/>
  <c r="I44" i="61" s="1"/>
  <c r="K80" i="61"/>
  <c r="J80" i="61"/>
  <c r="I80" i="61"/>
  <c r="V79" i="61"/>
  <c r="U79" i="61" s="1"/>
  <c r="R79" i="61"/>
  <c r="Q79" i="61"/>
  <c r="P79" i="61"/>
  <c r="F79" i="61"/>
  <c r="V78" i="61"/>
  <c r="R78" i="61"/>
  <c r="P78" i="61"/>
  <c r="Q78" i="61"/>
  <c r="F78" i="61"/>
  <c r="V77" i="61"/>
  <c r="U77" i="61" s="1"/>
  <c r="R77" i="61"/>
  <c r="Q77" i="61"/>
  <c r="P77" i="61"/>
  <c r="F77" i="61"/>
  <c r="V76" i="61"/>
  <c r="U76" i="61" s="1"/>
  <c r="R76" i="61"/>
  <c r="Q76" i="61"/>
  <c r="P76" i="61"/>
  <c r="F76" i="61"/>
  <c r="V75" i="61"/>
  <c r="U75" i="61" s="1"/>
  <c r="R75" i="61"/>
  <c r="P75" i="61"/>
  <c r="Q75" i="61"/>
  <c r="F75" i="61"/>
  <c r="V74" i="61"/>
  <c r="U74" i="61" s="1"/>
  <c r="R74" i="61"/>
  <c r="P74" i="61"/>
  <c r="Q74" i="61"/>
  <c r="C49" i="61"/>
  <c r="C47" i="61" s="1"/>
  <c r="F74" i="61"/>
  <c r="V73" i="61"/>
  <c r="U73" i="61" s="1"/>
  <c r="R73" i="61"/>
  <c r="Q73" i="61"/>
  <c r="P73" i="61"/>
  <c r="F73" i="61"/>
  <c r="V72" i="61"/>
  <c r="U72" i="61" s="1"/>
  <c r="R72" i="61"/>
  <c r="Q72" i="61"/>
  <c r="P72" i="61"/>
  <c r="F72" i="61"/>
  <c r="V71" i="61"/>
  <c r="U71" i="61" s="1"/>
  <c r="R71" i="61"/>
  <c r="P71" i="61"/>
  <c r="Q71" i="61"/>
  <c r="F71" i="61"/>
  <c r="V70" i="61"/>
  <c r="U70" i="61" s="1"/>
  <c r="R70" i="61"/>
  <c r="Q70" i="61"/>
  <c r="P70" i="61"/>
  <c r="F70" i="61"/>
  <c r="V69" i="61"/>
  <c r="U69" i="61" s="1"/>
  <c r="R69" i="61"/>
  <c r="Q69" i="61"/>
  <c r="P69" i="61"/>
  <c r="F69" i="61"/>
  <c r="V68" i="61"/>
  <c r="U68" i="61" s="1"/>
  <c r="R68" i="61"/>
  <c r="Q68" i="61"/>
  <c r="P68" i="61"/>
  <c r="F68" i="61"/>
  <c r="V67" i="61"/>
  <c r="U67" i="61" s="1"/>
  <c r="R67" i="61"/>
  <c r="P67" i="61"/>
  <c r="Q67" i="61"/>
  <c r="F67" i="61"/>
  <c r="V66" i="61"/>
  <c r="U66" i="61" s="1"/>
  <c r="R66" i="61"/>
  <c r="Q66" i="61"/>
  <c r="P66" i="61"/>
  <c r="F66" i="61"/>
  <c r="V65" i="61"/>
  <c r="U65" i="61" s="1"/>
  <c r="R65" i="61"/>
  <c r="P65" i="61"/>
  <c r="Q65" i="61"/>
  <c r="F65" i="61"/>
  <c r="V64" i="61"/>
  <c r="U64" i="61" s="1"/>
  <c r="R64" i="61"/>
  <c r="P64" i="61"/>
  <c r="Q64" i="61"/>
  <c r="F64" i="61"/>
  <c r="V63" i="61"/>
  <c r="U63" i="61" s="1"/>
  <c r="R63" i="61"/>
  <c r="Q63" i="61"/>
  <c r="P63" i="61"/>
  <c r="F63" i="61"/>
  <c r="V62" i="61"/>
  <c r="U62" i="61" s="1"/>
  <c r="R62" i="61"/>
  <c r="Q62" i="61"/>
  <c r="P62" i="61"/>
  <c r="F62" i="61"/>
  <c r="V61" i="61"/>
  <c r="U61" i="61" s="1"/>
  <c r="R61" i="61"/>
  <c r="Q61" i="61"/>
  <c r="P61" i="61"/>
  <c r="F61" i="61"/>
  <c r="V60" i="61"/>
  <c r="U60" i="61" s="1"/>
  <c r="R60" i="61"/>
  <c r="Q60" i="61"/>
  <c r="P60" i="61"/>
  <c r="F60" i="61"/>
  <c r="V59" i="61"/>
  <c r="U59" i="61" s="1"/>
  <c r="R59" i="61"/>
  <c r="Q59" i="61"/>
  <c r="P59" i="61"/>
  <c r="F59" i="61"/>
  <c r="V58" i="61"/>
  <c r="U58" i="61" s="1"/>
  <c r="R58" i="61"/>
  <c r="Q58" i="61"/>
  <c r="P58" i="61"/>
  <c r="F58" i="61"/>
  <c r="V57" i="61"/>
  <c r="U57" i="61" s="1"/>
  <c r="R57" i="61"/>
  <c r="Q57" i="61"/>
  <c r="P57" i="61"/>
  <c r="F57" i="61"/>
  <c r="V56" i="61"/>
  <c r="U56" i="61" s="1"/>
  <c r="R56" i="61"/>
  <c r="Q56" i="61"/>
  <c r="P56" i="61"/>
  <c r="F56" i="61"/>
  <c r="V55" i="61"/>
  <c r="R55" i="61"/>
  <c r="Q55" i="61"/>
  <c r="P55" i="61"/>
  <c r="F55" i="61"/>
  <c r="V54" i="61"/>
  <c r="U54" i="61" s="1"/>
  <c r="R54" i="61"/>
  <c r="Q54" i="61"/>
  <c r="P54" i="61"/>
  <c r="F54" i="61"/>
  <c r="V53" i="61"/>
  <c r="U53" i="61" s="1"/>
  <c r="R53" i="61"/>
  <c r="Q53" i="61"/>
  <c r="P53" i="61"/>
  <c r="F53" i="61"/>
  <c r="V52" i="61"/>
  <c r="U52" i="61" s="1"/>
  <c r="P52" i="61"/>
  <c r="Q52" i="61"/>
  <c r="R52" i="61"/>
  <c r="F52" i="61"/>
  <c r="V51" i="61"/>
  <c r="U51" i="61" s="1"/>
  <c r="R51" i="61"/>
  <c r="Q51" i="61"/>
  <c r="P51" i="61"/>
  <c r="F51" i="61"/>
  <c r="V50" i="61"/>
  <c r="U50" i="61" s="1"/>
  <c r="R50" i="61"/>
  <c r="R49" i="61"/>
  <c r="Q50" i="61"/>
  <c r="P50" i="61"/>
  <c r="F50" i="61"/>
  <c r="V49" i="61"/>
  <c r="U49" i="61" s="1"/>
  <c r="Q49" i="61"/>
  <c r="P49" i="61"/>
  <c r="F49" i="61"/>
  <c r="I34" i="61"/>
  <c r="L24" i="61"/>
  <c r="E11" i="61"/>
  <c r="F11" i="61" s="1"/>
  <c r="E10" i="61"/>
  <c r="O80" i="60"/>
  <c r="I43" i="60" s="1"/>
  <c r="N80" i="60"/>
  <c r="I42" i="60" s="1"/>
  <c r="M80" i="60"/>
  <c r="I41" i="60" s="1"/>
  <c r="L80" i="60"/>
  <c r="I44" i="60" s="1"/>
  <c r="K80" i="60"/>
  <c r="J80" i="60"/>
  <c r="I80" i="60"/>
  <c r="V78" i="60"/>
  <c r="U78" i="60" s="1"/>
  <c r="P78" i="60"/>
  <c r="Q78" i="60"/>
  <c r="R78" i="60"/>
  <c r="F78" i="60"/>
  <c r="V77" i="60"/>
  <c r="R77" i="60"/>
  <c r="Q77" i="60"/>
  <c r="P77" i="60"/>
  <c r="F77" i="60"/>
  <c r="V76" i="60"/>
  <c r="R76" i="60"/>
  <c r="E76" i="60" s="1"/>
  <c r="Q76" i="60"/>
  <c r="P76" i="60"/>
  <c r="F76" i="60"/>
  <c r="V75" i="60"/>
  <c r="U75" i="60" s="1"/>
  <c r="R75" i="60"/>
  <c r="P75" i="60"/>
  <c r="Q75" i="60"/>
  <c r="F75" i="60"/>
  <c r="V74" i="60"/>
  <c r="U74" i="60" s="1"/>
  <c r="R74" i="60"/>
  <c r="Q74" i="60"/>
  <c r="P74" i="60"/>
  <c r="F74" i="60"/>
  <c r="V73" i="60"/>
  <c r="U73" i="60" s="1"/>
  <c r="R73" i="60"/>
  <c r="Q73" i="60"/>
  <c r="P73" i="60"/>
  <c r="F73" i="60"/>
  <c r="V72" i="60"/>
  <c r="U72" i="60" s="1"/>
  <c r="R72" i="60"/>
  <c r="P72" i="60"/>
  <c r="Q72" i="60"/>
  <c r="F72" i="60"/>
  <c r="V71" i="60"/>
  <c r="U71" i="60" s="1"/>
  <c r="R71" i="60"/>
  <c r="P71" i="60"/>
  <c r="Q71" i="60"/>
  <c r="F71" i="60"/>
  <c r="V70" i="60"/>
  <c r="U70" i="60" s="1"/>
  <c r="R70" i="60"/>
  <c r="Q70" i="60"/>
  <c r="P70" i="60"/>
  <c r="F70" i="60"/>
  <c r="V69" i="60"/>
  <c r="U69" i="60" s="1"/>
  <c r="R69" i="60"/>
  <c r="Q69" i="60"/>
  <c r="P69" i="60"/>
  <c r="F69" i="60"/>
  <c r="V68" i="60"/>
  <c r="U68" i="60" s="1"/>
  <c r="R68" i="60"/>
  <c r="Q68" i="60"/>
  <c r="P68" i="60"/>
  <c r="F68" i="60"/>
  <c r="V67" i="60"/>
  <c r="U67" i="60" s="1"/>
  <c r="R67" i="60"/>
  <c r="Q67" i="60"/>
  <c r="P67" i="60"/>
  <c r="F67" i="60"/>
  <c r="V66" i="60"/>
  <c r="U66" i="60" s="1"/>
  <c r="R66" i="60"/>
  <c r="Q66" i="60"/>
  <c r="P66" i="60"/>
  <c r="F66" i="60"/>
  <c r="V65" i="60"/>
  <c r="U65" i="60" s="1"/>
  <c r="R65" i="60"/>
  <c r="Q65" i="60"/>
  <c r="P65" i="60"/>
  <c r="F65" i="60"/>
  <c r="V64" i="60"/>
  <c r="U64" i="60" s="1"/>
  <c r="R64" i="60"/>
  <c r="Q64" i="60"/>
  <c r="P64" i="60"/>
  <c r="F64" i="60"/>
  <c r="V63" i="60"/>
  <c r="U63" i="60" s="1"/>
  <c r="R63" i="60"/>
  <c r="P63" i="60"/>
  <c r="Q63" i="60"/>
  <c r="F63" i="60"/>
  <c r="V62" i="60"/>
  <c r="U62" i="60" s="1"/>
  <c r="R62" i="60"/>
  <c r="Q62" i="60"/>
  <c r="P62" i="60"/>
  <c r="F62" i="60"/>
  <c r="V61" i="60"/>
  <c r="U61" i="60" s="1"/>
  <c r="R61" i="60"/>
  <c r="Q61" i="60"/>
  <c r="P61" i="60"/>
  <c r="F61" i="60"/>
  <c r="V60" i="60"/>
  <c r="U60" i="60" s="1"/>
  <c r="R60" i="60"/>
  <c r="Q60" i="60"/>
  <c r="P60" i="60"/>
  <c r="F60" i="60"/>
  <c r="V59" i="60"/>
  <c r="U59" i="60" s="1"/>
  <c r="R59" i="60"/>
  <c r="Q59" i="60"/>
  <c r="P59" i="60"/>
  <c r="F59" i="60"/>
  <c r="V58" i="60"/>
  <c r="U58" i="60" s="1"/>
  <c r="R58" i="60"/>
  <c r="P58" i="60"/>
  <c r="Q58" i="60"/>
  <c r="F58" i="60"/>
  <c r="V57" i="60"/>
  <c r="U57" i="60" s="1"/>
  <c r="R57" i="60"/>
  <c r="Q57" i="60"/>
  <c r="P57" i="60"/>
  <c r="F57" i="60"/>
  <c r="V56" i="60"/>
  <c r="U56" i="60" s="1"/>
  <c r="P56" i="60"/>
  <c r="Q56" i="60"/>
  <c r="R56" i="60"/>
  <c r="Q49" i="60"/>
  <c r="Q50" i="60"/>
  <c r="P50" i="60"/>
  <c r="R50" i="60"/>
  <c r="Q51" i="60"/>
  <c r="Q52" i="60"/>
  <c r="Q53" i="60"/>
  <c r="Q54" i="60"/>
  <c r="P54" i="60"/>
  <c r="R54" i="60"/>
  <c r="V54" i="60"/>
  <c r="U54" i="60" s="1"/>
  <c r="Q55" i="60"/>
  <c r="F56" i="60"/>
  <c r="V55" i="60"/>
  <c r="R55" i="60"/>
  <c r="P55" i="60"/>
  <c r="F55" i="60"/>
  <c r="F54" i="60"/>
  <c r="V53" i="60"/>
  <c r="U53" i="60" s="1"/>
  <c r="R53" i="60"/>
  <c r="P53" i="60"/>
  <c r="F53" i="60"/>
  <c r="V52" i="60"/>
  <c r="U52" i="60" s="1"/>
  <c r="R52" i="60"/>
  <c r="P52" i="60"/>
  <c r="F52" i="60"/>
  <c r="V51" i="60"/>
  <c r="U51" i="60" s="1"/>
  <c r="R51" i="60"/>
  <c r="P51" i="60"/>
  <c r="F51" i="60"/>
  <c r="V50" i="60"/>
  <c r="U50" i="60" s="1"/>
  <c r="F50" i="60"/>
  <c r="V49" i="60"/>
  <c r="U49" i="60" s="1"/>
  <c r="R49" i="60"/>
  <c r="P49" i="60"/>
  <c r="F49" i="60"/>
  <c r="C49" i="60"/>
  <c r="C47" i="60" s="1"/>
  <c r="I34" i="60"/>
  <c r="E10" i="60"/>
  <c r="L24" i="60"/>
  <c r="E11" i="60"/>
  <c r="F11" i="60" s="1"/>
  <c r="O80" i="59"/>
  <c r="I43" i="59" s="1"/>
  <c r="N80" i="59"/>
  <c r="I42" i="59" s="1"/>
  <c r="M80" i="59"/>
  <c r="I41" i="59" s="1"/>
  <c r="L80" i="59"/>
  <c r="I44" i="59" s="1"/>
  <c r="K80" i="59"/>
  <c r="J80" i="59"/>
  <c r="I80" i="59"/>
  <c r="V79" i="59"/>
  <c r="U79" i="59" s="1"/>
  <c r="R79" i="59"/>
  <c r="Q79" i="59"/>
  <c r="P79" i="59"/>
  <c r="F79" i="59"/>
  <c r="V78" i="59"/>
  <c r="R78" i="59"/>
  <c r="P78" i="59"/>
  <c r="Q78" i="59"/>
  <c r="F78" i="59"/>
  <c r="V77" i="59"/>
  <c r="U77" i="59" s="1"/>
  <c r="R77" i="59"/>
  <c r="Q77" i="59"/>
  <c r="P77" i="59"/>
  <c r="F77" i="59"/>
  <c r="V76" i="59"/>
  <c r="U76" i="59" s="1"/>
  <c r="R76" i="59"/>
  <c r="P76" i="59"/>
  <c r="Q76" i="59"/>
  <c r="F76" i="59"/>
  <c r="V75" i="59"/>
  <c r="U75" i="59" s="1"/>
  <c r="R75" i="59"/>
  <c r="Q75" i="59"/>
  <c r="P75" i="59"/>
  <c r="F75" i="59"/>
  <c r="V74" i="59"/>
  <c r="U74" i="59" s="1"/>
  <c r="R74" i="59"/>
  <c r="Q74" i="59"/>
  <c r="P74" i="59"/>
  <c r="F74" i="59"/>
  <c r="V73" i="59"/>
  <c r="U73" i="59" s="1"/>
  <c r="R73" i="59"/>
  <c r="P73" i="59"/>
  <c r="Q73" i="59"/>
  <c r="F73" i="59"/>
  <c r="V72" i="59"/>
  <c r="U72" i="59" s="1"/>
  <c r="R72" i="59"/>
  <c r="Q72" i="59"/>
  <c r="P72" i="59"/>
  <c r="F72" i="59"/>
  <c r="V71" i="59"/>
  <c r="U71" i="59" s="1"/>
  <c r="R71" i="59"/>
  <c r="Q71" i="59"/>
  <c r="P71" i="59"/>
  <c r="F71" i="59"/>
  <c r="V70" i="59"/>
  <c r="U70" i="59" s="1"/>
  <c r="P70" i="59"/>
  <c r="Q70" i="59"/>
  <c r="R70" i="59"/>
  <c r="F70" i="59"/>
  <c r="V69" i="59"/>
  <c r="U69" i="59" s="1"/>
  <c r="R69" i="59"/>
  <c r="Q69" i="59"/>
  <c r="P69" i="59"/>
  <c r="F69" i="59"/>
  <c r="V68" i="59"/>
  <c r="U68" i="59" s="1"/>
  <c r="R68" i="59"/>
  <c r="Q68" i="59"/>
  <c r="P68" i="59"/>
  <c r="F68" i="59"/>
  <c r="V67" i="59"/>
  <c r="T40" i="47" s="1"/>
  <c r="R67" i="59"/>
  <c r="Q67" i="59"/>
  <c r="P67" i="59"/>
  <c r="F67" i="59"/>
  <c r="V66" i="59"/>
  <c r="U66" i="59" s="1"/>
  <c r="R66" i="59"/>
  <c r="Q66" i="59"/>
  <c r="P66" i="59"/>
  <c r="F66" i="59"/>
  <c r="V65" i="59"/>
  <c r="U65" i="59" s="1"/>
  <c r="R65" i="59"/>
  <c r="P65" i="59"/>
  <c r="Q65" i="59"/>
  <c r="F65" i="59"/>
  <c r="V64" i="59"/>
  <c r="U64" i="59" s="1"/>
  <c r="R64" i="59"/>
  <c r="Q64" i="59"/>
  <c r="P64" i="59"/>
  <c r="F64" i="59"/>
  <c r="V63" i="59"/>
  <c r="U63" i="59" s="1"/>
  <c r="R63" i="59"/>
  <c r="P63" i="59"/>
  <c r="Q63" i="59"/>
  <c r="F63" i="59"/>
  <c r="V62" i="59"/>
  <c r="U62" i="59" s="1"/>
  <c r="R62" i="59"/>
  <c r="Q62" i="59"/>
  <c r="P62" i="59"/>
  <c r="F62" i="59"/>
  <c r="V61" i="59"/>
  <c r="U61" i="59" s="1"/>
  <c r="R61" i="59"/>
  <c r="Q61" i="59"/>
  <c r="P61" i="59"/>
  <c r="F61" i="59"/>
  <c r="V60" i="59"/>
  <c r="U60" i="59" s="1"/>
  <c r="R60" i="59"/>
  <c r="Q60" i="59"/>
  <c r="P60" i="59"/>
  <c r="F60" i="59"/>
  <c r="V59" i="59"/>
  <c r="U59" i="59" s="1"/>
  <c r="R59" i="59"/>
  <c r="Q59" i="59"/>
  <c r="P59" i="59"/>
  <c r="F59" i="59"/>
  <c r="V58" i="59"/>
  <c r="U58" i="59"/>
  <c r="R58" i="59"/>
  <c r="Q58" i="59"/>
  <c r="P58" i="59"/>
  <c r="F58" i="59"/>
  <c r="C49" i="59"/>
  <c r="C47" i="59" s="1"/>
  <c r="V57" i="59"/>
  <c r="U57" i="59" s="1"/>
  <c r="R57" i="59"/>
  <c r="Q57" i="59"/>
  <c r="P57" i="59"/>
  <c r="F57" i="59"/>
  <c r="V56" i="59"/>
  <c r="U56" i="59" s="1"/>
  <c r="R56" i="59"/>
  <c r="P56" i="59"/>
  <c r="Q56" i="59"/>
  <c r="F56" i="59"/>
  <c r="V55" i="59"/>
  <c r="R55" i="59"/>
  <c r="Q55" i="59"/>
  <c r="P55" i="59"/>
  <c r="F55" i="59"/>
  <c r="V54" i="59"/>
  <c r="U54" i="59" s="1"/>
  <c r="R54" i="59"/>
  <c r="Q54" i="59"/>
  <c r="P54" i="59"/>
  <c r="F54" i="59"/>
  <c r="V53" i="59"/>
  <c r="U53" i="59" s="1"/>
  <c r="R53" i="59"/>
  <c r="Q53" i="59"/>
  <c r="P53" i="59"/>
  <c r="F53" i="59"/>
  <c r="V52" i="59"/>
  <c r="R52" i="59"/>
  <c r="Q52" i="59"/>
  <c r="P52" i="59"/>
  <c r="F52" i="59"/>
  <c r="V51" i="59"/>
  <c r="U51" i="59" s="1"/>
  <c r="R51" i="59"/>
  <c r="P51" i="59"/>
  <c r="Q51" i="59"/>
  <c r="F51" i="59"/>
  <c r="V50" i="59"/>
  <c r="U50" i="59" s="1"/>
  <c r="R50" i="59"/>
  <c r="Q50" i="59"/>
  <c r="P50" i="59"/>
  <c r="F50" i="59"/>
  <c r="V49" i="59"/>
  <c r="R49" i="59"/>
  <c r="Q49" i="59"/>
  <c r="P49" i="59"/>
  <c r="F49" i="59"/>
  <c r="I34" i="59"/>
  <c r="I35" i="59" s="1"/>
  <c r="L24" i="59"/>
  <c r="E11" i="59"/>
  <c r="F11" i="59" s="1"/>
  <c r="E10" i="59"/>
  <c r="AL80" i="58"/>
  <c r="O80" i="58"/>
  <c r="I43" i="58" s="1"/>
  <c r="N80" i="58"/>
  <c r="I42" i="58" s="1"/>
  <c r="M80" i="58"/>
  <c r="I41" i="58" s="1"/>
  <c r="L80" i="58"/>
  <c r="I44" i="58" s="1"/>
  <c r="K80" i="58"/>
  <c r="J80" i="58"/>
  <c r="I80" i="58"/>
  <c r="V78" i="58"/>
  <c r="U78" i="58" s="1"/>
  <c r="R78" i="58"/>
  <c r="P78" i="58"/>
  <c r="Q78" i="58"/>
  <c r="F78" i="58"/>
  <c r="V77" i="58"/>
  <c r="U77" i="58" s="1"/>
  <c r="R77" i="58"/>
  <c r="Q77" i="58"/>
  <c r="P77" i="58"/>
  <c r="F77" i="58"/>
  <c r="V76" i="58"/>
  <c r="U76" i="58" s="1"/>
  <c r="R76" i="58"/>
  <c r="Q76" i="58"/>
  <c r="P76" i="58"/>
  <c r="F76" i="58"/>
  <c r="V75" i="58"/>
  <c r="P75" i="58"/>
  <c r="Q75" i="58"/>
  <c r="R75" i="58"/>
  <c r="F75" i="58"/>
  <c r="V74" i="58"/>
  <c r="U74" i="58" s="1"/>
  <c r="R74" i="58"/>
  <c r="Q74" i="58"/>
  <c r="P74" i="58"/>
  <c r="F74" i="58"/>
  <c r="V73" i="58"/>
  <c r="U73" i="58" s="1"/>
  <c r="R73" i="58"/>
  <c r="Q73" i="58"/>
  <c r="P73" i="58"/>
  <c r="F73" i="58"/>
  <c r="V72" i="58"/>
  <c r="U72" i="58" s="1"/>
  <c r="R72" i="58"/>
  <c r="P72" i="58"/>
  <c r="Q72" i="58"/>
  <c r="F72" i="58"/>
  <c r="V71" i="58"/>
  <c r="U71" i="58" s="1"/>
  <c r="R71" i="58"/>
  <c r="P71" i="58"/>
  <c r="Q71" i="58"/>
  <c r="F71" i="58"/>
  <c r="V70" i="58"/>
  <c r="U70" i="58" s="1"/>
  <c r="P70" i="58"/>
  <c r="Q70" i="58"/>
  <c r="R70" i="58"/>
  <c r="F70" i="58"/>
  <c r="V69" i="58"/>
  <c r="U69" i="58" s="1"/>
  <c r="R69" i="58"/>
  <c r="Q69" i="58"/>
  <c r="P69" i="58"/>
  <c r="F69" i="58"/>
  <c r="V68" i="58"/>
  <c r="U68" i="58" s="1"/>
  <c r="R68" i="58"/>
  <c r="Q68" i="58"/>
  <c r="P68" i="58"/>
  <c r="F68" i="58"/>
  <c r="V67" i="58"/>
  <c r="U67" i="58" s="1"/>
  <c r="R67" i="58"/>
  <c r="Q67" i="58"/>
  <c r="P67" i="58"/>
  <c r="F67" i="58"/>
  <c r="V66" i="58"/>
  <c r="U66" i="58" s="1"/>
  <c r="R66" i="58"/>
  <c r="Q66" i="58"/>
  <c r="P66" i="58"/>
  <c r="F66" i="58"/>
  <c r="V65" i="58"/>
  <c r="R65" i="58"/>
  <c r="P65" i="58"/>
  <c r="Q65" i="58"/>
  <c r="F65" i="58"/>
  <c r="V64" i="58"/>
  <c r="U64" i="58" s="1"/>
  <c r="R64" i="58"/>
  <c r="Q64" i="58"/>
  <c r="P64" i="58"/>
  <c r="F64" i="58"/>
  <c r="V63" i="58"/>
  <c r="U63" i="58" s="1"/>
  <c r="R63" i="58"/>
  <c r="Q63" i="58"/>
  <c r="P63" i="58"/>
  <c r="F63" i="58"/>
  <c r="V62" i="58"/>
  <c r="U62" i="58" s="1"/>
  <c r="R62" i="58"/>
  <c r="P62" i="58"/>
  <c r="Q62" i="58"/>
  <c r="F62" i="58"/>
  <c r="V61" i="58"/>
  <c r="U61" i="58" s="1"/>
  <c r="R61" i="58"/>
  <c r="Q61" i="58"/>
  <c r="P61" i="58"/>
  <c r="F61" i="58"/>
  <c r="V60" i="58"/>
  <c r="U60" i="58" s="1"/>
  <c r="R60" i="58"/>
  <c r="Q60" i="58"/>
  <c r="P60" i="58"/>
  <c r="F60" i="58"/>
  <c r="V59" i="58"/>
  <c r="U59" i="58" s="1"/>
  <c r="R59" i="58"/>
  <c r="P59" i="58"/>
  <c r="Q59" i="58"/>
  <c r="F59" i="58"/>
  <c r="V58" i="58"/>
  <c r="U58" i="58" s="1"/>
  <c r="R58" i="58"/>
  <c r="P58" i="58"/>
  <c r="Q58" i="58"/>
  <c r="F58" i="58"/>
  <c r="V57" i="58"/>
  <c r="U57" i="58" s="1"/>
  <c r="R57" i="58"/>
  <c r="Q57" i="58"/>
  <c r="P57" i="58"/>
  <c r="F57" i="58"/>
  <c r="V56" i="58"/>
  <c r="U56" i="58" s="1"/>
  <c r="R56" i="58"/>
  <c r="P56" i="58"/>
  <c r="Q56" i="58"/>
  <c r="F56" i="58"/>
  <c r="V55" i="58"/>
  <c r="U55" i="58" s="1"/>
  <c r="R55" i="58"/>
  <c r="Q55" i="58"/>
  <c r="P55" i="58"/>
  <c r="F55" i="58"/>
  <c r="V54" i="58"/>
  <c r="R54" i="58"/>
  <c r="P54" i="58"/>
  <c r="Q54" i="58"/>
  <c r="F54" i="58"/>
  <c r="V53" i="58"/>
  <c r="U53" i="58" s="1"/>
  <c r="R53" i="58"/>
  <c r="E53" i="58" s="1"/>
  <c r="P53" i="58"/>
  <c r="Q53" i="58"/>
  <c r="F53" i="58"/>
  <c r="V52" i="58"/>
  <c r="U52" i="58" s="1"/>
  <c r="R52" i="58"/>
  <c r="Q52" i="58"/>
  <c r="P52" i="58"/>
  <c r="F52" i="58"/>
  <c r="V51" i="58"/>
  <c r="U51" i="58" s="1"/>
  <c r="R51" i="58"/>
  <c r="Q51" i="58"/>
  <c r="P51" i="58"/>
  <c r="W51" i="58" s="1"/>
  <c r="X51" i="58" s="1"/>
  <c r="F51" i="58"/>
  <c r="V50" i="58"/>
  <c r="U50" i="58" s="1"/>
  <c r="R50" i="58"/>
  <c r="Q50" i="58"/>
  <c r="P50" i="58"/>
  <c r="F50" i="58"/>
  <c r="V49" i="58"/>
  <c r="U49" i="58" s="1"/>
  <c r="R49" i="58"/>
  <c r="E49" i="58" s="1"/>
  <c r="Q49" i="58"/>
  <c r="P49" i="58"/>
  <c r="F49" i="58"/>
  <c r="C49" i="58"/>
  <c r="I34" i="58"/>
  <c r="L24" i="58"/>
  <c r="E11" i="58"/>
  <c r="F11" i="58" s="1"/>
  <c r="E10" i="58"/>
  <c r="F10" i="58" s="1"/>
  <c r="O80" i="57"/>
  <c r="I43" i="57" s="1"/>
  <c r="N80" i="57"/>
  <c r="I42" i="57" s="1"/>
  <c r="M80" i="57"/>
  <c r="I41" i="57" s="1"/>
  <c r="L80" i="57"/>
  <c r="I44" i="57" s="1"/>
  <c r="K80" i="57"/>
  <c r="J80" i="57"/>
  <c r="I80" i="57"/>
  <c r="V79" i="57"/>
  <c r="U79" i="57" s="1"/>
  <c r="R79" i="57"/>
  <c r="Q79" i="57"/>
  <c r="P79" i="57"/>
  <c r="F79" i="57"/>
  <c r="V78" i="57"/>
  <c r="U78" i="57" s="1"/>
  <c r="R78" i="57"/>
  <c r="Q78" i="57"/>
  <c r="P78" i="57"/>
  <c r="F78" i="57"/>
  <c r="V77" i="57"/>
  <c r="U77" i="57" s="1"/>
  <c r="P77" i="57"/>
  <c r="Q77" i="57"/>
  <c r="R77" i="57"/>
  <c r="F77" i="57"/>
  <c r="V76" i="57"/>
  <c r="U76" i="57" s="1"/>
  <c r="R76" i="57"/>
  <c r="P76" i="57"/>
  <c r="Q76" i="57"/>
  <c r="F76" i="57"/>
  <c r="V75" i="57"/>
  <c r="U75" i="57" s="1"/>
  <c r="R75" i="57"/>
  <c r="Q75" i="57"/>
  <c r="P75" i="57"/>
  <c r="F75" i="57"/>
  <c r="V74" i="57"/>
  <c r="U74" i="57" s="1"/>
  <c r="R74" i="57"/>
  <c r="Q74" i="57"/>
  <c r="P74" i="57"/>
  <c r="F74" i="57"/>
  <c r="V73" i="57"/>
  <c r="U73" i="57" s="1"/>
  <c r="R73" i="57"/>
  <c r="Q73" i="57"/>
  <c r="P73" i="57"/>
  <c r="F73" i="57"/>
  <c r="V72" i="57"/>
  <c r="U72" i="57" s="1"/>
  <c r="R72" i="57"/>
  <c r="Q72" i="57"/>
  <c r="P72" i="57"/>
  <c r="F72" i="57"/>
  <c r="V71" i="57"/>
  <c r="U71" i="57" s="1"/>
  <c r="R71" i="57"/>
  <c r="Q71" i="57"/>
  <c r="P71" i="57"/>
  <c r="F71" i="57"/>
  <c r="V70" i="57"/>
  <c r="U70" i="57" s="1"/>
  <c r="R70" i="57"/>
  <c r="Q70" i="57"/>
  <c r="P70" i="57"/>
  <c r="F70" i="57"/>
  <c r="V69" i="57"/>
  <c r="U69" i="57" s="1"/>
  <c r="R69" i="57"/>
  <c r="P69" i="57"/>
  <c r="Q69" i="57"/>
  <c r="F69" i="57"/>
  <c r="V68" i="57"/>
  <c r="U68" i="57" s="1"/>
  <c r="R68" i="57"/>
  <c r="Q68" i="57"/>
  <c r="P68" i="57"/>
  <c r="F68" i="57"/>
  <c r="V67" i="57"/>
  <c r="T38" i="47" s="1"/>
  <c r="R67" i="57"/>
  <c r="P67" i="57"/>
  <c r="Q67" i="57"/>
  <c r="F67" i="57"/>
  <c r="V66" i="57"/>
  <c r="U66" i="57" s="1"/>
  <c r="R66" i="57"/>
  <c r="Q66" i="57"/>
  <c r="P66" i="57"/>
  <c r="F66" i="57"/>
  <c r="V65" i="57"/>
  <c r="U65" i="57" s="1"/>
  <c r="R65" i="57"/>
  <c r="Q65" i="57"/>
  <c r="P65" i="57"/>
  <c r="F65" i="57"/>
  <c r="V64" i="57"/>
  <c r="U64" i="57" s="1"/>
  <c r="R64" i="57"/>
  <c r="P64" i="57"/>
  <c r="Q64" i="57"/>
  <c r="F64" i="57"/>
  <c r="V63" i="57"/>
  <c r="U63" i="57" s="1"/>
  <c r="R63" i="57"/>
  <c r="P63" i="57"/>
  <c r="Q63" i="57"/>
  <c r="F63" i="57"/>
  <c r="V62" i="57"/>
  <c r="U62" i="57" s="1"/>
  <c r="R62" i="57"/>
  <c r="Q62" i="57"/>
  <c r="P62" i="57"/>
  <c r="F62" i="57"/>
  <c r="V61" i="57"/>
  <c r="U61" i="57" s="1"/>
  <c r="R61" i="57"/>
  <c r="P61" i="57"/>
  <c r="Q61" i="57"/>
  <c r="F61" i="57"/>
  <c r="V60" i="57"/>
  <c r="U60" i="57" s="1"/>
  <c r="R60" i="57"/>
  <c r="Q60" i="57"/>
  <c r="P60" i="57"/>
  <c r="F60" i="57"/>
  <c r="V59" i="57"/>
  <c r="U59" i="57" s="1"/>
  <c r="R59" i="57"/>
  <c r="Q59" i="57"/>
  <c r="P59" i="57"/>
  <c r="F59" i="57"/>
  <c r="V58" i="57"/>
  <c r="U58" i="57" s="1"/>
  <c r="R58" i="57"/>
  <c r="Q58" i="57"/>
  <c r="P58" i="57"/>
  <c r="F58" i="57"/>
  <c r="V57" i="57"/>
  <c r="U57" i="57" s="1"/>
  <c r="R57" i="57"/>
  <c r="P57" i="57"/>
  <c r="Q57" i="57"/>
  <c r="F57" i="57"/>
  <c r="V56" i="57"/>
  <c r="U56" i="57" s="1"/>
  <c r="R56" i="57"/>
  <c r="Q56" i="57"/>
  <c r="P56" i="57"/>
  <c r="F56" i="57"/>
  <c r="V55" i="57"/>
  <c r="U55" i="57" s="1"/>
  <c r="R55" i="57"/>
  <c r="Q55" i="57"/>
  <c r="P55" i="57"/>
  <c r="F55" i="57"/>
  <c r="V54" i="57"/>
  <c r="U54" i="57" s="1"/>
  <c r="R54" i="57"/>
  <c r="Q54" i="57"/>
  <c r="P54" i="57"/>
  <c r="F54" i="57"/>
  <c r="V53" i="57"/>
  <c r="U53" i="57" s="1"/>
  <c r="R53" i="57"/>
  <c r="P53" i="57"/>
  <c r="Q53" i="57"/>
  <c r="F53" i="57"/>
  <c r="V52" i="57"/>
  <c r="U52" i="57" s="1"/>
  <c r="R52" i="57"/>
  <c r="Q52" i="57"/>
  <c r="P52" i="57"/>
  <c r="F52" i="57"/>
  <c r="V51" i="57"/>
  <c r="R51" i="57"/>
  <c r="Q51" i="57"/>
  <c r="P51" i="57"/>
  <c r="F51" i="57"/>
  <c r="V50" i="57"/>
  <c r="U50" i="57" s="1"/>
  <c r="R50" i="57"/>
  <c r="P50" i="57"/>
  <c r="Q50" i="57"/>
  <c r="F50" i="57"/>
  <c r="V49" i="57"/>
  <c r="U49" i="57" s="1"/>
  <c r="R49" i="57"/>
  <c r="Q49" i="57"/>
  <c r="P49" i="57"/>
  <c r="F49" i="57"/>
  <c r="C49" i="57"/>
  <c r="I34" i="57"/>
  <c r="L24" i="57"/>
  <c r="E11" i="57"/>
  <c r="F11" i="57" s="1"/>
  <c r="E10" i="57"/>
  <c r="O80" i="56"/>
  <c r="I43" i="56" s="1"/>
  <c r="N80" i="56"/>
  <c r="I42" i="56" s="1"/>
  <c r="M80" i="56"/>
  <c r="I41" i="56" s="1"/>
  <c r="L80" i="56"/>
  <c r="I44" i="56" s="1"/>
  <c r="E11" i="56"/>
  <c r="F11" i="56" s="1"/>
  <c r="K80" i="56"/>
  <c r="J80" i="56"/>
  <c r="I80" i="56"/>
  <c r="V79" i="56"/>
  <c r="U79" i="56" s="1"/>
  <c r="R79" i="56"/>
  <c r="Q79" i="56"/>
  <c r="P79" i="56"/>
  <c r="F79" i="56"/>
  <c r="V78" i="56"/>
  <c r="U78" i="56" s="1"/>
  <c r="R78" i="56"/>
  <c r="Q78" i="56"/>
  <c r="P78" i="56"/>
  <c r="F78" i="56"/>
  <c r="V77" i="56"/>
  <c r="U77" i="56" s="1"/>
  <c r="R77" i="56"/>
  <c r="Q77" i="56"/>
  <c r="P77" i="56"/>
  <c r="F77" i="56"/>
  <c r="V76" i="56"/>
  <c r="U76" i="56" s="1"/>
  <c r="R76" i="56"/>
  <c r="Q76" i="56"/>
  <c r="P76" i="56"/>
  <c r="F76" i="56"/>
  <c r="V75" i="56"/>
  <c r="U75" i="56" s="1"/>
  <c r="R75" i="56"/>
  <c r="P75" i="56"/>
  <c r="Q75" i="56"/>
  <c r="F75" i="56"/>
  <c r="V74" i="56"/>
  <c r="U74" i="56" s="1"/>
  <c r="R74" i="56"/>
  <c r="P74" i="56"/>
  <c r="Q74" i="56"/>
  <c r="F74" i="56"/>
  <c r="V73" i="56"/>
  <c r="U73" i="56" s="1"/>
  <c r="R73" i="56"/>
  <c r="Q73" i="56"/>
  <c r="P73" i="56"/>
  <c r="F73" i="56"/>
  <c r="V72" i="56"/>
  <c r="U72" i="56" s="1"/>
  <c r="R72" i="56"/>
  <c r="Q72" i="56"/>
  <c r="P72" i="56"/>
  <c r="F72" i="56"/>
  <c r="V71" i="56"/>
  <c r="U71" i="56" s="1"/>
  <c r="R71" i="56"/>
  <c r="Q71" i="56"/>
  <c r="P71" i="56"/>
  <c r="F71" i="56"/>
  <c r="V70" i="56"/>
  <c r="U70" i="56" s="1"/>
  <c r="R70" i="56"/>
  <c r="Q70" i="56"/>
  <c r="P70" i="56"/>
  <c r="F70" i="56"/>
  <c r="V69" i="56"/>
  <c r="U69" i="56"/>
  <c r="R69" i="56"/>
  <c r="Q69" i="56"/>
  <c r="P69" i="56"/>
  <c r="F69" i="56"/>
  <c r="V68" i="56"/>
  <c r="U68" i="56" s="1"/>
  <c r="R68" i="56"/>
  <c r="Q68" i="56"/>
  <c r="P68" i="56"/>
  <c r="F68" i="56"/>
  <c r="V67" i="56"/>
  <c r="T37" i="47" s="1"/>
  <c r="R67" i="56"/>
  <c r="Q67" i="56"/>
  <c r="E67" i="56" s="1"/>
  <c r="P67" i="56"/>
  <c r="F67" i="56"/>
  <c r="V66" i="56"/>
  <c r="U66" i="56"/>
  <c r="R66" i="56"/>
  <c r="Q66" i="56"/>
  <c r="P66" i="56"/>
  <c r="F66" i="56"/>
  <c r="V65" i="56"/>
  <c r="U65" i="56" s="1"/>
  <c r="R65" i="56"/>
  <c r="Q65" i="56"/>
  <c r="P65" i="56"/>
  <c r="W65" i="56" s="1"/>
  <c r="F65" i="56"/>
  <c r="V64" i="56"/>
  <c r="U64" i="56" s="1"/>
  <c r="R64" i="56"/>
  <c r="Q64" i="56"/>
  <c r="P64" i="56"/>
  <c r="F64" i="56"/>
  <c r="V63" i="56"/>
  <c r="U63" i="56" s="1"/>
  <c r="R63" i="56"/>
  <c r="Q63" i="56"/>
  <c r="P63" i="56"/>
  <c r="F63" i="56"/>
  <c r="C49" i="56"/>
  <c r="V62" i="56"/>
  <c r="U62" i="56" s="1"/>
  <c r="R62" i="56"/>
  <c r="Q62" i="56"/>
  <c r="P62" i="56"/>
  <c r="F62" i="56"/>
  <c r="V61" i="56"/>
  <c r="U61" i="56" s="1"/>
  <c r="R61" i="56"/>
  <c r="Q61" i="56"/>
  <c r="P61" i="56"/>
  <c r="F61" i="56"/>
  <c r="V60" i="56"/>
  <c r="U60" i="56" s="1"/>
  <c r="R60" i="56"/>
  <c r="Q60" i="56"/>
  <c r="P60" i="56"/>
  <c r="F60" i="56"/>
  <c r="V59" i="56"/>
  <c r="U59" i="56" s="1"/>
  <c r="R59" i="56"/>
  <c r="Q59" i="56"/>
  <c r="P59" i="56"/>
  <c r="F59" i="56"/>
  <c r="V58" i="56"/>
  <c r="U58" i="56" s="1"/>
  <c r="R58" i="56"/>
  <c r="P58" i="56"/>
  <c r="Q58" i="56"/>
  <c r="F58" i="56"/>
  <c r="V57" i="56"/>
  <c r="R57" i="56"/>
  <c r="P57" i="56"/>
  <c r="Q57" i="56"/>
  <c r="F57" i="56"/>
  <c r="V56" i="56"/>
  <c r="U56" i="56" s="1"/>
  <c r="R56" i="56"/>
  <c r="Q56" i="56"/>
  <c r="P56" i="56"/>
  <c r="F56" i="56"/>
  <c r="V55" i="56"/>
  <c r="U55" i="56" s="1"/>
  <c r="R55" i="56"/>
  <c r="Q55" i="56"/>
  <c r="P55" i="56"/>
  <c r="F55" i="56"/>
  <c r="V54" i="56"/>
  <c r="U54" i="56" s="1"/>
  <c r="R54" i="56"/>
  <c r="Q54" i="56"/>
  <c r="P54" i="56"/>
  <c r="F54" i="56"/>
  <c r="V53" i="56"/>
  <c r="U53" i="56" s="1"/>
  <c r="R53" i="56"/>
  <c r="P53" i="56"/>
  <c r="Q53" i="56"/>
  <c r="F53" i="56"/>
  <c r="V52" i="56"/>
  <c r="U52" i="56" s="1"/>
  <c r="R52" i="56"/>
  <c r="Q52" i="56"/>
  <c r="P52" i="56"/>
  <c r="F52" i="56"/>
  <c r="V51" i="56"/>
  <c r="U51" i="56" s="1"/>
  <c r="R51" i="56"/>
  <c r="Q51" i="56"/>
  <c r="P51" i="56"/>
  <c r="F51" i="56"/>
  <c r="V50" i="56"/>
  <c r="U50" i="56" s="1"/>
  <c r="R50" i="56"/>
  <c r="Q50" i="56"/>
  <c r="P50" i="56"/>
  <c r="F50" i="56"/>
  <c r="V49" i="56"/>
  <c r="U49" i="56" s="1"/>
  <c r="R49" i="56"/>
  <c r="P49" i="56"/>
  <c r="Q49" i="56"/>
  <c r="F49" i="56"/>
  <c r="I34" i="56"/>
  <c r="L24" i="56"/>
  <c r="E10" i="56"/>
  <c r="F10" i="56" s="1"/>
  <c r="AL80" i="55"/>
  <c r="O80" i="55"/>
  <c r="I43" i="55" s="1"/>
  <c r="M80" i="55"/>
  <c r="I41" i="55" s="1"/>
  <c r="N80" i="55"/>
  <c r="I42" i="55" s="1"/>
  <c r="L80" i="55"/>
  <c r="I44" i="55" s="1"/>
  <c r="K80" i="55"/>
  <c r="J80" i="55"/>
  <c r="I80" i="55"/>
  <c r="V78" i="55"/>
  <c r="U78" i="55" s="1"/>
  <c r="R78" i="55"/>
  <c r="Q78" i="55"/>
  <c r="P78" i="55"/>
  <c r="F78" i="55"/>
  <c r="V77" i="55"/>
  <c r="U77" i="55" s="1"/>
  <c r="R77" i="55"/>
  <c r="P77" i="55"/>
  <c r="Q77" i="55"/>
  <c r="F77" i="55"/>
  <c r="C49" i="55"/>
  <c r="V76" i="55"/>
  <c r="U76" i="55" s="1"/>
  <c r="R76" i="55"/>
  <c r="P76" i="55"/>
  <c r="Q76" i="55"/>
  <c r="F76" i="55"/>
  <c r="V75" i="55"/>
  <c r="U75" i="55" s="1"/>
  <c r="R75" i="55"/>
  <c r="Q75" i="55"/>
  <c r="P75" i="55"/>
  <c r="F75" i="55"/>
  <c r="V74" i="55"/>
  <c r="U74" i="55" s="1"/>
  <c r="R74" i="55"/>
  <c r="Q74" i="55"/>
  <c r="P74" i="55"/>
  <c r="F74" i="55"/>
  <c r="V73" i="55"/>
  <c r="U73" i="55" s="1"/>
  <c r="R73" i="55"/>
  <c r="Q73" i="55"/>
  <c r="P73" i="55"/>
  <c r="F73" i="55"/>
  <c r="V72" i="55"/>
  <c r="U72" i="55" s="1"/>
  <c r="R72" i="55"/>
  <c r="Q72" i="55"/>
  <c r="P72" i="55"/>
  <c r="F72" i="55"/>
  <c r="V71" i="55"/>
  <c r="U71" i="55" s="1"/>
  <c r="R71" i="55"/>
  <c r="Q71" i="55"/>
  <c r="P71" i="55"/>
  <c r="F71" i="55"/>
  <c r="V70" i="55"/>
  <c r="U70" i="55" s="1"/>
  <c r="R70" i="55"/>
  <c r="P70" i="55"/>
  <c r="Q70" i="55"/>
  <c r="F70" i="55"/>
  <c r="V69" i="55"/>
  <c r="U69" i="55" s="1"/>
  <c r="R69" i="55"/>
  <c r="Q69" i="55"/>
  <c r="P69" i="55"/>
  <c r="F69" i="55"/>
  <c r="V68" i="55"/>
  <c r="U68" i="55" s="1"/>
  <c r="R68" i="55"/>
  <c r="P68" i="55"/>
  <c r="Q68" i="55"/>
  <c r="F68" i="55"/>
  <c r="V67" i="55"/>
  <c r="T36" i="47" s="1"/>
  <c r="R67" i="55"/>
  <c r="P67" i="55"/>
  <c r="Q67" i="55"/>
  <c r="F67" i="55"/>
  <c r="V66" i="55"/>
  <c r="U66" i="55" s="1"/>
  <c r="R66" i="55"/>
  <c r="Q66" i="55"/>
  <c r="P66" i="55"/>
  <c r="F66" i="55"/>
  <c r="V65" i="55"/>
  <c r="U65" i="55" s="1"/>
  <c r="R65" i="55"/>
  <c r="P65" i="55"/>
  <c r="Q65" i="55"/>
  <c r="F65" i="55"/>
  <c r="V64" i="55"/>
  <c r="R64" i="55"/>
  <c r="P64" i="55"/>
  <c r="Q64" i="55"/>
  <c r="F64" i="55"/>
  <c r="V63" i="55"/>
  <c r="U63" i="55" s="1"/>
  <c r="R63" i="55"/>
  <c r="P63" i="55"/>
  <c r="Q63" i="55"/>
  <c r="F63" i="55"/>
  <c r="V62" i="55"/>
  <c r="U62" i="55" s="1"/>
  <c r="R62" i="55"/>
  <c r="Q62" i="55"/>
  <c r="P62" i="55"/>
  <c r="F62" i="55"/>
  <c r="V61" i="55"/>
  <c r="U61" i="55" s="1"/>
  <c r="R61" i="55"/>
  <c r="P61" i="55"/>
  <c r="Q61" i="55"/>
  <c r="F61" i="55"/>
  <c r="V60" i="55"/>
  <c r="U60" i="55" s="1"/>
  <c r="R60" i="55"/>
  <c r="P60" i="55"/>
  <c r="Q60" i="55"/>
  <c r="F60" i="55"/>
  <c r="V59" i="55"/>
  <c r="U59" i="55" s="1"/>
  <c r="R59" i="55"/>
  <c r="Q59" i="55"/>
  <c r="P59" i="55"/>
  <c r="F59" i="55"/>
  <c r="V58" i="55"/>
  <c r="U58" i="55" s="1"/>
  <c r="R58" i="55"/>
  <c r="P58" i="55"/>
  <c r="Q58" i="55"/>
  <c r="F58" i="55"/>
  <c r="V57" i="55"/>
  <c r="U57" i="55" s="1"/>
  <c r="R57" i="55"/>
  <c r="Q57" i="55"/>
  <c r="P57" i="55"/>
  <c r="F57" i="55"/>
  <c r="V56" i="55"/>
  <c r="U56" i="55" s="1"/>
  <c r="R56" i="55"/>
  <c r="Q56" i="55"/>
  <c r="P56" i="55"/>
  <c r="F56" i="55"/>
  <c r="V55" i="55"/>
  <c r="U55" i="55" s="1"/>
  <c r="R55" i="55"/>
  <c r="Q55" i="55"/>
  <c r="P55" i="55"/>
  <c r="F55" i="55"/>
  <c r="V54" i="55"/>
  <c r="U54" i="55" s="1"/>
  <c r="R54" i="55"/>
  <c r="P54" i="55"/>
  <c r="Q54" i="55"/>
  <c r="F54" i="55"/>
  <c r="V53" i="55"/>
  <c r="U53" i="55" s="1"/>
  <c r="R53" i="55"/>
  <c r="Q53" i="55"/>
  <c r="P53" i="55"/>
  <c r="F53" i="55"/>
  <c r="V52" i="55"/>
  <c r="U52" i="55" s="1"/>
  <c r="R52" i="55"/>
  <c r="Q52" i="55"/>
  <c r="P52" i="55"/>
  <c r="P49" i="55"/>
  <c r="P50" i="55"/>
  <c r="P51" i="55"/>
  <c r="Q51" i="55"/>
  <c r="R51" i="55"/>
  <c r="F52" i="55"/>
  <c r="V51" i="55"/>
  <c r="U51" i="55" s="1"/>
  <c r="F51" i="55"/>
  <c r="V50" i="55"/>
  <c r="U50" i="55" s="1"/>
  <c r="R50" i="55"/>
  <c r="Q50" i="55"/>
  <c r="F50" i="55"/>
  <c r="V49" i="55"/>
  <c r="U49" i="55" s="1"/>
  <c r="R49" i="55"/>
  <c r="Q49" i="55"/>
  <c r="F49" i="55"/>
  <c r="I34" i="55"/>
  <c r="E10" i="55"/>
  <c r="L24" i="55"/>
  <c r="E11" i="55"/>
  <c r="F11" i="55" s="1"/>
  <c r="G11" i="55" s="1"/>
  <c r="O80" i="54"/>
  <c r="I43" i="54" s="1"/>
  <c r="N80" i="54"/>
  <c r="I42" i="54" s="1"/>
  <c r="M80" i="54"/>
  <c r="I41" i="54" s="1"/>
  <c r="L80" i="54"/>
  <c r="I44" i="54" s="1"/>
  <c r="K80" i="54"/>
  <c r="J80" i="54"/>
  <c r="I80" i="54"/>
  <c r="V79" i="54"/>
  <c r="R79" i="54"/>
  <c r="P79" i="54"/>
  <c r="Q79" i="54"/>
  <c r="F79" i="54"/>
  <c r="V78" i="54"/>
  <c r="U78" i="54" s="1"/>
  <c r="R78" i="54"/>
  <c r="Q78" i="54"/>
  <c r="P78" i="54"/>
  <c r="F78" i="54"/>
  <c r="V77" i="54"/>
  <c r="U77" i="54" s="1"/>
  <c r="R77" i="54"/>
  <c r="Q77" i="54"/>
  <c r="P77" i="54"/>
  <c r="F77" i="54"/>
  <c r="V76" i="54"/>
  <c r="U76" i="54" s="1"/>
  <c r="R76" i="54"/>
  <c r="Q76" i="54"/>
  <c r="P76" i="54"/>
  <c r="F76" i="54"/>
  <c r="V75" i="54"/>
  <c r="U75" i="54" s="1"/>
  <c r="R75" i="54"/>
  <c r="Q75" i="54"/>
  <c r="P75" i="54"/>
  <c r="F75" i="54"/>
  <c r="V74" i="54"/>
  <c r="U74" i="54" s="1"/>
  <c r="R74" i="54"/>
  <c r="Q74" i="54"/>
  <c r="P74" i="54"/>
  <c r="F74" i="54"/>
  <c r="V73" i="54"/>
  <c r="U73" i="54" s="1"/>
  <c r="R73" i="54"/>
  <c r="Q73" i="54"/>
  <c r="P73" i="54"/>
  <c r="F73" i="54"/>
  <c r="V72" i="54"/>
  <c r="U72" i="54" s="1"/>
  <c r="R72" i="54"/>
  <c r="Q72" i="54"/>
  <c r="P72" i="54"/>
  <c r="F72" i="54"/>
  <c r="V71" i="54"/>
  <c r="U71" i="54" s="1"/>
  <c r="R71" i="54"/>
  <c r="Q71" i="54"/>
  <c r="P71" i="54"/>
  <c r="F71" i="54"/>
  <c r="V70" i="54"/>
  <c r="U70" i="54" s="1"/>
  <c r="R70" i="54"/>
  <c r="P70" i="54"/>
  <c r="Q70" i="54"/>
  <c r="F70" i="54"/>
  <c r="V69" i="54"/>
  <c r="U69" i="54" s="1"/>
  <c r="P69" i="54"/>
  <c r="Q69" i="54"/>
  <c r="R69" i="54"/>
  <c r="C49" i="54"/>
  <c r="C47" i="54" s="1"/>
  <c r="F69" i="54"/>
  <c r="V68" i="54"/>
  <c r="U68" i="54" s="1"/>
  <c r="R68" i="54"/>
  <c r="Q68" i="54"/>
  <c r="P68" i="54"/>
  <c r="F68" i="54"/>
  <c r="V67" i="54"/>
  <c r="T35" i="47" s="1"/>
  <c r="V35" i="47" s="1"/>
  <c r="R67" i="54"/>
  <c r="Q67" i="54"/>
  <c r="P67" i="54"/>
  <c r="F67" i="54"/>
  <c r="V66" i="54"/>
  <c r="U66" i="54" s="1"/>
  <c r="R66" i="54"/>
  <c r="Q66" i="54"/>
  <c r="P66" i="54"/>
  <c r="F66" i="54"/>
  <c r="V65" i="54"/>
  <c r="U65" i="54" s="1"/>
  <c r="R65" i="54"/>
  <c r="P65" i="54"/>
  <c r="Q65" i="54"/>
  <c r="F65" i="54"/>
  <c r="V64" i="54"/>
  <c r="U64" i="54" s="1"/>
  <c r="R64" i="54"/>
  <c r="Q64" i="54"/>
  <c r="P64" i="54"/>
  <c r="F64" i="54"/>
  <c r="V63" i="54"/>
  <c r="R63" i="54"/>
  <c r="Q63" i="54"/>
  <c r="P63" i="54"/>
  <c r="F63" i="54"/>
  <c r="V62" i="54"/>
  <c r="U62" i="54" s="1"/>
  <c r="R62" i="54"/>
  <c r="P62" i="54"/>
  <c r="Q62" i="54"/>
  <c r="F62" i="54"/>
  <c r="V61" i="54"/>
  <c r="U61" i="54" s="1"/>
  <c r="R61" i="54"/>
  <c r="Q61" i="54"/>
  <c r="P61" i="54"/>
  <c r="F61" i="54"/>
  <c r="V60" i="54"/>
  <c r="U60" i="54" s="1"/>
  <c r="R60" i="54"/>
  <c r="P60" i="54"/>
  <c r="Q60" i="54"/>
  <c r="F60" i="54"/>
  <c r="V59" i="54"/>
  <c r="U59" i="54" s="1"/>
  <c r="R59" i="54"/>
  <c r="Q59" i="54"/>
  <c r="P59" i="54"/>
  <c r="F59" i="54"/>
  <c r="V58" i="54"/>
  <c r="U58" i="54" s="1"/>
  <c r="R58" i="54"/>
  <c r="Q58" i="54"/>
  <c r="P58" i="54"/>
  <c r="F58" i="54"/>
  <c r="V57" i="54"/>
  <c r="U57" i="54" s="1"/>
  <c r="R57" i="54"/>
  <c r="Q57" i="54"/>
  <c r="P57" i="54"/>
  <c r="F57" i="54"/>
  <c r="V56" i="54"/>
  <c r="U56" i="54" s="1"/>
  <c r="R56" i="54"/>
  <c r="P56" i="54"/>
  <c r="Q56" i="54"/>
  <c r="F56" i="54"/>
  <c r="V55" i="54"/>
  <c r="U55" i="54" s="1"/>
  <c r="R55" i="54"/>
  <c r="Q55" i="54"/>
  <c r="P55" i="54"/>
  <c r="F55" i="54"/>
  <c r="V54" i="54"/>
  <c r="U54" i="54" s="1"/>
  <c r="R54" i="54"/>
  <c r="P54" i="54"/>
  <c r="Q54" i="54"/>
  <c r="F54" i="54"/>
  <c r="V53" i="54"/>
  <c r="U53" i="54" s="1"/>
  <c r="R53" i="54"/>
  <c r="Q53" i="54"/>
  <c r="P53" i="54"/>
  <c r="F53" i="54"/>
  <c r="V52" i="54"/>
  <c r="U52" i="54" s="1"/>
  <c r="R52" i="54"/>
  <c r="P52" i="54"/>
  <c r="Q52" i="54"/>
  <c r="F52" i="54"/>
  <c r="V51" i="54"/>
  <c r="R51" i="54"/>
  <c r="Q51" i="54"/>
  <c r="P51" i="54"/>
  <c r="F51" i="54"/>
  <c r="V50" i="54"/>
  <c r="U50" i="54" s="1"/>
  <c r="R50" i="54"/>
  <c r="Q50" i="54"/>
  <c r="P50" i="54"/>
  <c r="F50" i="54"/>
  <c r="V49" i="54"/>
  <c r="U49" i="54" s="1"/>
  <c r="R49" i="54"/>
  <c r="Q49" i="54"/>
  <c r="P49" i="54"/>
  <c r="F49" i="54"/>
  <c r="K35" i="54"/>
  <c r="I34" i="54"/>
  <c r="I35" i="54" s="1"/>
  <c r="L24" i="54"/>
  <c r="E11" i="54"/>
  <c r="F11" i="54" s="1"/>
  <c r="E10" i="54"/>
  <c r="L34" i="54" s="1"/>
  <c r="M34" i="54" s="1"/>
  <c r="AL80" i="53"/>
  <c r="O80" i="53"/>
  <c r="I43" i="53" s="1"/>
  <c r="N80" i="53"/>
  <c r="I42" i="53" s="1"/>
  <c r="M80" i="53"/>
  <c r="I41" i="53" s="1"/>
  <c r="L80" i="53"/>
  <c r="I44" i="53" s="1"/>
  <c r="E11" i="53"/>
  <c r="F11" i="53" s="1"/>
  <c r="K80" i="53"/>
  <c r="J80" i="53"/>
  <c r="I80" i="53"/>
  <c r="V78" i="53"/>
  <c r="U78" i="53" s="1"/>
  <c r="P78" i="53"/>
  <c r="Q78" i="53"/>
  <c r="F78" i="53"/>
  <c r="V77" i="53"/>
  <c r="U77" i="53" s="1"/>
  <c r="Q77" i="53"/>
  <c r="P77" i="53"/>
  <c r="F77" i="53"/>
  <c r="V76" i="53"/>
  <c r="U76" i="53" s="1"/>
  <c r="Q76" i="53"/>
  <c r="P76" i="53"/>
  <c r="F76" i="53"/>
  <c r="V75" i="53"/>
  <c r="U75" i="53" s="1"/>
  <c r="Q75" i="53"/>
  <c r="P75" i="53"/>
  <c r="F75" i="53"/>
  <c r="V74" i="53"/>
  <c r="U74" i="53" s="1"/>
  <c r="Q74" i="53"/>
  <c r="P74" i="53"/>
  <c r="F74" i="53"/>
  <c r="V73" i="53"/>
  <c r="U73" i="53" s="1"/>
  <c r="P73" i="53"/>
  <c r="Q73" i="53"/>
  <c r="F73" i="53"/>
  <c r="V72" i="53"/>
  <c r="U72" i="53" s="1"/>
  <c r="P72" i="53"/>
  <c r="Q72" i="53"/>
  <c r="F72" i="53"/>
  <c r="V71" i="53"/>
  <c r="U71" i="53" s="1"/>
  <c r="Q71" i="53"/>
  <c r="P71" i="53"/>
  <c r="F71" i="53"/>
  <c r="V70" i="53"/>
  <c r="U70" i="53" s="1"/>
  <c r="P70" i="53"/>
  <c r="Q70" i="53"/>
  <c r="F70" i="53"/>
  <c r="V69" i="53"/>
  <c r="P69" i="53"/>
  <c r="Q69" i="53"/>
  <c r="F69" i="53"/>
  <c r="V68" i="53"/>
  <c r="U68" i="53" s="1"/>
  <c r="Q68" i="53"/>
  <c r="P68" i="53"/>
  <c r="F68" i="53"/>
  <c r="V67" i="53"/>
  <c r="T34" i="47" s="1"/>
  <c r="Q67" i="53"/>
  <c r="P67" i="53"/>
  <c r="F67" i="53"/>
  <c r="V66" i="53"/>
  <c r="U66" i="53" s="1"/>
  <c r="Q66" i="53"/>
  <c r="P66" i="53"/>
  <c r="F66" i="53"/>
  <c r="V65" i="53"/>
  <c r="U65" i="53" s="1"/>
  <c r="Q65" i="53"/>
  <c r="P65" i="53"/>
  <c r="F65" i="53"/>
  <c r="V64" i="53"/>
  <c r="U64" i="53" s="1"/>
  <c r="Q64" i="53"/>
  <c r="P64" i="53"/>
  <c r="F64" i="53"/>
  <c r="V63" i="53"/>
  <c r="U63" i="53" s="1"/>
  <c r="Q63" i="53"/>
  <c r="P63" i="53"/>
  <c r="F63" i="53"/>
  <c r="V62" i="53"/>
  <c r="U62" i="53" s="1"/>
  <c r="Q62" i="53"/>
  <c r="P62" i="53"/>
  <c r="F62" i="53"/>
  <c r="V61" i="53"/>
  <c r="U61" i="53" s="1"/>
  <c r="Q61" i="53"/>
  <c r="P61" i="53"/>
  <c r="F61" i="53"/>
  <c r="V60" i="53"/>
  <c r="U60" i="53" s="1"/>
  <c r="Q60" i="53"/>
  <c r="P60" i="53"/>
  <c r="F60" i="53"/>
  <c r="V59" i="53"/>
  <c r="U59" i="53" s="1"/>
  <c r="Q59" i="53"/>
  <c r="P59" i="53"/>
  <c r="F59" i="53"/>
  <c r="V58" i="53"/>
  <c r="U58" i="53" s="1"/>
  <c r="P58" i="53"/>
  <c r="Q58" i="53"/>
  <c r="F58" i="53"/>
  <c r="V57" i="53"/>
  <c r="U57" i="53"/>
  <c r="Q57" i="53"/>
  <c r="P57" i="53"/>
  <c r="F57" i="53"/>
  <c r="V56" i="53"/>
  <c r="U56" i="53" s="1"/>
  <c r="Q56" i="53"/>
  <c r="P56" i="53"/>
  <c r="F56" i="53"/>
  <c r="V55" i="53"/>
  <c r="U55" i="53" s="1"/>
  <c r="Q55" i="53"/>
  <c r="P55" i="53"/>
  <c r="F55" i="53"/>
  <c r="V54" i="53"/>
  <c r="U54" i="53" s="1"/>
  <c r="Q54" i="53"/>
  <c r="P54" i="53"/>
  <c r="F54" i="53"/>
  <c r="V53" i="53"/>
  <c r="U53" i="53" s="1"/>
  <c r="P53" i="53"/>
  <c r="Q53" i="53"/>
  <c r="F53" i="53"/>
  <c r="V52" i="53"/>
  <c r="U52" i="53" s="1"/>
  <c r="Q52" i="53"/>
  <c r="P52" i="53"/>
  <c r="F52" i="53"/>
  <c r="V51" i="53"/>
  <c r="R80" i="53"/>
  <c r="Q51" i="53"/>
  <c r="P51" i="53"/>
  <c r="F51" i="53"/>
  <c r="V50" i="53"/>
  <c r="U50" i="53" s="1"/>
  <c r="Q50" i="53"/>
  <c r="P50" i="53"/>
  <c r="F50" i="53"/>
  <c r="V49" i="53"/>
  <c r="U49" i="53" s="1"/>
  <c r="Q49" i="53"/>
  <c r="P49" i="53"/>
  <c r="F49" i="53"/>
  <c r="C49" i="53"/>
  <c r="I34" i="53"/>
  <c r="I35" i="53" s="1"/>
  <c r="L24" i="53"/>
  <c r="E10" i="53"/>
  <c r="F10" i="53" s="1"/>
  <c r="O80" i="52"/>
  <c r="I43" i="52" s="1"/>
  <c r="N80" i="52"/>
  <c r="I42" i="52" s="1"/>
  <c r="M80" i="52"/>
  <c r="I41" i="52" s="1"/>
  <c r="L80" i="52"/>
  <c r="I44" i="52" s="1"/>
  <c r="K80" i="52"/>
  <c r="J80" i="52"/>
  <c r="I80" i="52"/>
  <c r="V79" i="52"/>
  <c r="U79" i="52" s="1"/>
  <c r="P79" i="52"/>
  <c r="Q79" i="52"/>
  <c r="F79" i="52"/>
  <c r="V78" i="52"/>
  <c r="U78" i="52" s="1"/>
  <c r="Q78" i="52"/>
  <c r="P78" i="52"/>
  <c r="F78" i="52"/>
  <c r="V77" i="52"/>
  <c r="U77" i="52" s="1"/>
  <c r="P77" i="52"/>
  <c r="Q77" i="52"/>
  <c r="F77" i="52"/>
  <c r="V76" i="52"/>
  <c r="U76" i="52" s="1"/>
  <c r="P76" i="52"/>
  <c r="Q76" i="52"/>
  <c r="F76" i="52"/>
  <c r="V75" i="52"/>
  <c r="U75" i="52" s="1"/>
  <c r="Q75" i="52"/>
  <c r="P75" i="52"/>
  <c r="F75" i="52"/>
  <c r="V74" i="52"/>
  <c r="U74" i="52" s="1"/>
  <c r="Q74" i="52"/>
  <c r="P74" i="52"/>
  <c r="F74" i="52"/>
  <c r="V73" i="52"/>
  <c r="Q73" i="52"/>
  <c r="P73" i="52"/>
  <c r="F73" i="52"/>
  <c r="V72" i="52"/>
  <c r="U72" i="52" s="1"/>
  <c r="P72" i="52"/>
  <c r="Q72" i="52"/>
  <c r="F72" i="52"/>
  <c r="V71" i="52"/>
  <c r="U71" i="52" s="1"/>
  <c r="Q71" i="52"/>
  <c r="P71" i="52"/>
  <c r="F71" i="52"/>
  <c r="V70" i="52"/>
  <c r="Q70" i="52"/>
  <c r="P70" i="52"/>
  <c r="F70" i="52"/>
  <c r="V69" i="52"/>
  <c r="Q69" i="52"/>
  <c r="P69" i="52"/>
  <c r="F69" i="52"/>
  <c r="V68" i="52"/>
  <c r="U68" i="52" s="1"/>
  <c r="Q68" i="52"/>
  <c r="P68" i="52"/>
  <c r="F68" i="52"/>
  <c r="V67" i="52"/>
  <c r="T33" i="47" s="1"/>
  <c r="Q67" i="52"/>
  <c r="P67" i="52"/>
  <c r="F67" i="52"/>
  <c r="V66" i="52"/>
  <c r="U66" i="52" s="1"/>
  <c r="P66" i="52"/>
  <c r="Q66" i="52"/>
  <c r="F66" i="52"/>
  <c r="V65" i="52"/>
  <c r="U65" i="52" s="1"/>
  <c r="Q65" i="52"/>
  <c r="P65" i="52"/>
  <c r="F65" i="52"/>
  <c r="V64" i="52"/>
  <c r="U64" i="52" s="1"/>
  <c r="P64" i="52"/>
  <c r="Q64" i="52"/>
  <c r="F64" i="52"/>
  <c r="V63" i="52"/>
  <c r="P63" i="52"/>
  <c r="Q63" i="52"/>
  <c r="F63" i="52"/>
  <c r="V62" i="52"/>
  <c r="U62" i="52" s="1"/>
  <c r="P62" i="52"/>
  <c r="Q62" i="52"/>
  <c r="Q49" i="52"/>
  <c r="P49" i="52"/>
  <c r="Q50" i="52"/>
  <c r="Q51" i="52"/>
  <c r="Q52" i="52"/>
  <c r="Q53" i="52"/>
  <c r="Q54" i="52"/>
  <c r="Q55" i="52"/>
  <c r="Q56" i="52"/>
  <c r="P56" i="52"/>
  <c r="Q57" i="52"/>
  <c r="Q58" i="52"/>
  <c r="Q59" i="52"/>
  <c r="Q60" i="52"/>
  <c r="Q61" i="52"/>
  <c r="F62" i="52"/>
  <c r="V61" i="52"/>
  <c r="U61" i="52" s="1"/>
  <c r="P61" i="52"/>
  <c r="F61" i="52"/>
  <c r="V60" i="52"/>
  <c r="U60" i="52" s="1"/>
  <c r="P60" i="52"/>
  <c r="F60" i="52"/>
  <c r="V59" i="52"/>
  <c r="U59" i="52" s="1"/>
  <c r="P59" i="52"/>
  <c r="F59" i="52"/>
  <c r="V58" i="52"/>
  <c r="U58" i="52" s="1"/>
  <c r="P58" i="52"/>
  <c r="F58" i="52"/>
  <c r="V57" i="52"/>
  <c r="U57" i="52" s="1"/>
  <c r="P57" i="52"/>
  <c r="F57" i="52"/>
  <c r="V56" i="52"/>
  <c r="U56" i="52" s="1"/>
  <c r="F56" i="52"/>
  <c r="V55" i="52"/>
  <c r="U55" i="52" s="1"/>
  <c r="P55" i="52"/>
  <c r="F55" i="52"/>
  <c r="V54" i="52"/>
  <c r="U54" i="52" s="1"/>
  <c r="P54" i="52"/>
  <c r="F54" i="52"/>
  <c r="V53" i="52"/>
  <c r="U53" i="52" s="1"/>
  <c r="P53" i="52"/>
  <c r="F53" i="52"/>
  <c r="V52" i="52"/>
  <c r="U52" i="52" s="1"/>
  <c r="P52" i="52"/>
  <c r="F52" i="52"/>
  <c r="V51" i="52"/>
  <c r="U51" i="52" s="1"/>
  <c r="P51" i="52"/>
  <c r="F51" i="52"/>
  <c r="V50" i="52"/>
  <c r="P50" i="52"/>
  <c r="F50" i="52"/>
  <c r="V49" i="52"/>
  <c r="U49" i="52" s="1"/>
  <c r="F49" i="52"/>
  <c r="C49" i="52"/>
  <c r="C47" i="52" s="1"/>
  <c r="I34" i="52"/>
  <c r="I35" i="52" s="1"/>
  <c r="K32" i="52" s="1"/>
  <c r="L24" i="52"/>
  <c r="E11" i="52"/>
  <c r="E10" i="52"/>
  <c r="AL80" i="51"/>
  <c r="O80" i="51"/>
  <c r="I43" i="51" s="1"/>
  <c r="N80" i="51"/>
  <c r="I42" i="51" s="1"/>
  <c r="M80" i="51"/>
  <c r="I41" i="51" s="1"/>
  <c r="L80" i="51"/>
  <c r="I44" i="51" s="1"/>
  <c r="K80" i="51"/>
  <c r="J80" i="51"/>
  <c r="I80" i="51"/>
  <c r="V77" i="51"/>
  <c r="U77" i="51" s="1"/>
  <c r="W77" i="51"/>
  <c r="V76" i="51"/>
  <c r="U76" i="51" s="1"/>
  <c r="R76" i="51"/>
  <c r="P76" i="51"/>
  <c r="Q76" i="51"/>
  <c r="F76" i="51"/>
  <c r="V75" i="51"/>
  <c r="U75" i="51" s="1"/>
  <c r="R75" i="51"/>
  <c r="P75" i="51"/>
  <c r="Q75" i="51"/>
  <c r="F75" i="51"/>
  <c r="V74" i="51"/>
  <c r="U74" i="51" s="1"/>
  <c r="R74" i="51"/>
  <c r="P74" i="51"/>
  <c r="Q74" i="51"/>
  <c r="F74" i="51"/>
  <c r="V73" i="51"/>
  <c r="U73" i="51" s="1"/>
  <c r="R73" i="51"/>
  <c r="P73" i="51"/>
  <c r="Q73" i="51"/>
  <c r="F73" i="51"/>
  <c r="V72" i="51"/>
  <c r="R72" i="51"/>
  <c r="Q72" i="51"/>
  <c r="P72" i="51"/>
  <c r="F72" i="51"/>
  <c r="V71" i="51"/>
  <c r="U71" i="51" s="1"/>
  <c r="R71" i="51"/>
  <c r="Q71" i="51"/>
  <c r="P71" i="51"/>
  <c r="F71" i="51"/>
  <c r="V70" i="51"/>
  <c r="R70" i="51"/>
  <c r="Q70" i="51"/>
  <c r="P70" i="51"/>
  <c r="F70" i="51"/>
  <c r="V69" i="51"/>
  <c r="R69" i="51"/>
  <c r="Q69" i="51"/>
  <c r="P69" i="51"/>
  <c r="F69" i="51"/>
  <c r="V68" i="51"/>
  <c r="U68" i="51" s="1"/>
  <c r="R68" i="51"/>
  <c r="P68" i="51"/>
  <c r="Q68" i="51"/>
  <c r="F68" i="51"/>
  <c r="V67" i="51"/>
  <c r="T32" i="47" s="1"/>
  <c r="R67" i="51"/>
  <c r="Q67" i="51"/>
  <c r="P67" i="51"/>
  <c r="F67" i="51"/>
  <c r="V66" i="51"/>
  <c r="U66" i="51" s="1"/>
  <c r="R66" i="51"/>
  <c r="P66" i="51"/>
  <c r="Q66" i="51"/>
  <c r="F66" i="51"/>
  <c r="V65" i="51"/>
  <c r="U65" i="51" s="1"/>
  <c r="R65" i="51"/>
  <c r="Q65" i="51"/>
  <c r="P65" i="51"/>
  <c r="F65" i="51"/>
  <c r="V64" i="51"/>
  <c r="U64" i="51" s="1"/>
  <c r="R64" i="51"/>
  <c r="Q64" i="51"/>
  <c r="P64" i="51"/>
  <c r="F64" i="51"/>
  <c r="V63" i="51"/>
  <c r="U63" i="51" s="1"/>
  <c r="R63" i="51"/>
  <c r="Q63" i="51"/>
  <c r="P63" i="51"/>
  <c r="F63" i="51"/>
  <c r="V62" i="51"/>
  <c r="U62" i="51" s="1"/>
  <c r="R62" i="51"/>
  <c r="Q62" i="51"/>
  <c r="P62" i="51"/>
  <c r="F62" i="51"/>
  <c r="V61" i="51"/>
  <c r="U61" i="51" s="1"/>
  <c r="R61" i="51"/>
  <c r="Q61" i="51"/>
  <c r="P61" i="51"/>
  <c r="F61" i="51"/>
  <c r="C49" i="51"/>
  <c r="C50" i="51" s="1"/>
  <c r="C51" i="51" s="1"/>
  <c r="C52" i="51" s="1"/>
  <c r="C53" i="51" s="1"/>
  <c r="C54" i="51" s="1"/>
  <c r="C55" i="51" s="1"/>
  <c r="C56" i="51" s="1"/>
  <c r="C57" i="51" s="1"/>
  <c r="C58" i="51" s="1"/>
  <c r="C59" i="51" s="1"/>
  <c r="C60" i="51" s="1"/>
  <c r="C61" i="51" s="1"/>
  <c r="C62" i="51" s="1"/>
  <c r="C63" i="51" s="1"/>
  <c r="C64" i="51" s="1"/>
  <c r="C65" i="51" s="1"/>
  <c r="C66" i="51" s="1"/>
  <c r="C67" i="51" s="1"/>
  <c r="C68" i="51" s="1"/>
  <c r="C69" i="51" s="1"/>
  <c r="C70" i="51" s="1"/>
  <c r="C71" i="51" s="1"/>
  <c r="C72" i="51" s="1"/>
  <c r="C73" i="51" s="1"/>
  <c r="C74" i="51" s="1"/>
  <c r="C75" i="51" s="1"/>
  <c r="C76" i="51" s="1"/>
  <c r="V60" i="51"/>
  <c r="U60" i="51" s="1"/>
  <c r="R60" i="51"/>
  <c r="Q60" i="51"/>
  <c r="P60" i="51"/>
  <c r="F60" i="51"/>
  <c r="V59" i="51"/>
  <c r="R59" i="51"/>
  <c r="Q59" i="51"/>
  <c r="P59" i="51"/>
  <c r="F59" i="51"/>
  <c r="V58" i="51"/>
  <c r="U58" i="51" s="1"/>
  <c r="R58" i="51"/>
  <c r="Q58" i="51"/>
  <c r="P58" i="51"/>
  <c r="F58" i="51"/>
  <c r="V57" i="51"/>
  <c r="U57" i="51" s="1"/>
  <c r="R57" i="51"/>
  <c r="P57" i="51"/>
  <c r="Q57" i="51"/>
  <c r="F57" i="51"/>
  <c r="V56" i="51"/>
  <c r="U56" i="51" s="1"/>
  <c r="R56" i="51"/>
  <c r="P56" i="51"/>
  <c r="Q56" i="51"/>
  <c r="F56" i="51"/>
  <c r="V55" i="51"/>
  <c r="U55" i="51" s="1"/>
  <c r="R55" i="51"/>
  <c r="P55" i="51"/>
  <c r="Q55" i="51"/>
  <c r="F55" i="51"/>
  <c r="V54" i="51"/>
  <c r="U54" i="51" s="1"/>
  <c r="R54" i="51"/>
  <c r="Q54" i="51"/>
  <c r="P54" i="51"/>
  <c r="F54" i="51"/>
  <c r="V53" i="51"/>
  <c r="R53" i="51"/>
  <c r="Q53" i="51"/>
  <c r="P53" i="51"/>
  <c r="F53" i="51"/>
  <c r="V52" i="51"/>
  <c r="R52" i="51"/>
  <c r="Q52" i="51"/>
  <c r="P52" i="51"/>
  <c r="F52" i="51"/>
  <c r="V51" i="51"/>
  <c r="U51" i="51" s="1"/>
  <c r="R51" i="51"/>
  <c r="Q51" i="51"/>
  <c r="P51" i="51"/>
  <c r="F51" i="51"/>
  <c r="V50" i="51"/>
  <c r="U50" i="51" s="1"/>
  <c r="R50" i="51"/>
  <c r="Q50" i="51"/>
  <c r="Q49" i="51"/>
  <c r="P50" i="51"/>
  <c r="F50" i="51"/>
  <c r="V49" i="51"/>
  <c r="R49" i="51"/>
  <c r="P49" i="51"/>
  <c r="F49" i="51"/>
  <c r="I34" i="51"/>
  <c r="I35" i="51" s="1"/>
  <c r="E11" i="51"/>
  <c r="F11" i="51" s="1"/>
  <c r="E10" i="51"/>
  <c r="F10" i="51" s="1"/>
  <c r="G10" i="51" s="1"/>
  <c r="Y79" i="50"/>
  <c r="O79" i="50"/>
  <c r="H42" i="50" s="1"/>
  <c r="N79" i="50"/>
  <c r="H41" i="50" s="1"/>
  <c r="M79" i="50"/>
  <c r="H40" i="50" s="1"/>
  <c r="L79" i="50"/>
  <c r="H43" i="50" s="1"/>
  <c r="K79" i="50"/>
  <c r="J79" i="50"/>
  <c r="I79" i="50"/>
  <c r="V78" i="50"/>
  <c r="R78" i="50"/>
  <c r="Q78" i="50"/>
  <c r="P78" i="50"/>
  <c r="F78" i="50"/>
  <c r="V77" i="50"/>
  <c r="R77" i="50"/>
  <c r="Q77" i="50"/>
  <c r="P77" i="50"/>
  <c r="F77" i="50"/>
  <c r="V76" i="50"/>
  <c r="R76" i="50"/>
  <c r="P76" i="50"/>
  <c r="Q76" i="50"/>
  <c r="F76" i="50"/>
  <c r="V75" i="50"/>
  <c r="R75" i="50"/>
  <c r="Q75" i="50"/>
  <c r="P75" i="50"/>
  <c r="F75" i="50"/>
  <c r="V74" i="50"/>
  <c r="R74" i="50"/>
  <c r="Q74" i="50"/>
  <c r="P74" i="50"/>
  <c r="F74" i="50"/>
  <c r="V73" i="50"/>
  <c r="R73" i="50"/>
  <c r="Q73" i="50"/>
  <c r="P73" i="50"/>
  <c r="C48" i="50"/>
  <c r="F73" i="50"/>
  <c r="V72" i="50"/>
  <c r="U72" i="50" s="1"/>
  <c r="R72" i="50"/>
  <c r="P72" i="50"/>
  <c r="Q72" i="50"/>
  <c r="F72" i="50"/>
  <c r="V71" i="50"/>
  <c r="R71" i="50"/>
  <c r="Q71" i="50"/>
  <c r="P71" i="50"/>
  <c r="F71" i="50"/>
  <c r="V70" i="50"/>
  <c r="R70" i="50"/>
  <c r="Q70" i="50"/>
  <c r="P70" i="50"/>
  <c r="F70" i="50"/>
  <c r="V69" i="50"/>
  <c r="R69" i="50"/>
  <c r="Q69" i="50"/>
  <c r="P69" i="50"/>
  <c r="F69" i="50"/>
  <c r="V68" i="50"/>
  <c r="R68" i="50"/>
  <c r="Q68" i="50"/>
  <c r="P68" i="50"/>
  <c r="F68" i="50"/>
  <c r="V67" i="50"/>
  <c r="R67" i="50"/>
  <c r="Q67" i="50"/>
  <c r="P67" i="50"/>
  <c r="F67" i="50"/>
  <c r="V66" i="50"/>
  <c r="U66" i="50" s="1"/>
  <c r="R66" i="50"/>
  <c r="Q66" i="50"/>
  <c r="P66" i="50"/>
  <c r="F66" i="50"/>
  <c r="V65" i="50"/>
  <c r="U65" i="50" s="1"/>
  <c r="R65" i="50"/>
  <c r="Q65" i="50"/>
  <c r="P65" i="50"/>
  <c r="F65" i="50"/>
  <c r="V64" i="50"/>
  <c r="U64" i="50" s="1"/>
  <c r="R64" i="50"/>
  <c r="P64" i="50"/>
  <c r="Q64" i="50"/>
  <c r="F64" i="50"/>
  <c r="V63" i="50"/>
  <c r="U63" i="50" s="1"/>
  <c r="R63" i="50"/>
  <c r="Q63" i="50"/>
  <c r="P63" i="50"/>
  <c r="F63" i="50"/>
  <c r="V62" i="50"/>
  <c r="R62" i="50"/>
  <c r="Q62" i="50"/>
  <c r="P62" i="50"/>
  <c r="F62" i="50"/>
  <c r="V61" i="50"/>
  <c r="U61" i="50" s="1"/>
  <c r="R61" i="50"/>
  <c r="P61" i="50"/>
  <c r="Q61" i="50"/>
  <c r="F61" i="50"/>
  <c r="V60" i="50"/>
  <c r="U60" i="50" s="1"/>
  <c r="R60" i="50"/>
  <c r="P60" i="50"/>
  <c r="Q60" i="50"/>
  <c r="F60" i="50"/>
  <c r="V59" i="50"/>
  <c r="U59" i="50" s="1"/>
  <c r="R59" i="50"/>
  <c r="Q59" i="50"/>
  <c r="P59" i="50"/>
  <c r="F59" i="50"/>
  <c r="V58" i="50"/>
  <c r="R58" i="50"/>
  <c r="Q58" i="50"/>
  <c r="P58" i="50"/>
  <c r="F58" i="50"/>
  <c r="V57" i="50"/>
  <c r="R57" i="50"/>
  <c r="Q57" i="50"/>
  <c r="P57" i="50"/>
  <c r="F57" i="50"/>
  <c r="V56" i="50"/>
  <c r="U56" i="50" s="1"/>
  <c r="R56" i="50"/>
  <c r="Q56" i="50"/>
  <c r="P56" i="50"/>
  <c r="F56" i="50"/>
  <c r="V55" i="50"/>
  <c r="U55" i="50" s="1"/>
  <c r="R55" i="50"/>
  <c r="P55" i="50"/>
  <c r="Q55" i="50"/>
  <c r="F55" i="50"/>
  <c r="V54" i="50"/>
  <c r="U54" i="50" s="1"/>
  <c r="R54" i="50"/>
  <c r="Q54" i="50"/>
  <c r="P54" i="50"/>
  <c r="F54" i="50"/>
  <c r="V53" i="50"/>
  <c r="U53" i="50" s="1"/>
  <c r="R53" i="50"/>
  <c r="Q53" i="50"/>
  <c r="P53" i="50"/>
  <c r="F53" i="50"/>
  <c r="V52" i="50"/>
  <c r="U52" i="50" s="1"/>
  <c r="R52" i="50"/>
  <c r="Q52" i="50"/>
  <c r="P52" i="50"/>
  <c r="F52" i="50"/>
  <c r="V51" i="50"/>
  <c r="U51" i="50" s="1"/>
  <c r="R51" i="50"/>
  <c r="Q51" i="50"/>
  <c r="P51" i="50"/>
  <c r="F51" i="50"/>
  <c r="V50" i="50"/>
  <c r="U50" i="50" s="1"/>
  <c r="R50" i="50"/>
  <c r="Q50" i="50"/>
  <c r="P50" i="50"/>
  <c r="F50" i="50"/>
  <c r="V49" i="50"/>
  <c r="U49" i="50" s="1"/>
  <c r="R49" i="50"/>
  <c r="Q49" i="50"/>
  <c r="P49" i="50"/>
  <c r="F49" i="50"/>
  <c r="V48" i="50"/>
  <c r="U48" i="50" s="1"/>
  <c r="R48" i="50"/>
  <c r="Q48" i="50"/>
  <c r="P48" i="50"/>
  <c r="F48" i="50"/>
  <c r="H34" i="50"/>
  <c r="E11" i="50"/>
  <c r="E10" i="50"/>
  <c r="F10" i="50" s="1"/>
  <c r="V48" i="34"/>
  <c r="U48" i="34" s="1"/>
  <c r="R54" i="47"/>
  <c r="R53" i="47"/>
  <c r="R52" i="47"/>
  <c r="R51" i="47"/>
  <c r="R48" i="47"/>
  <c r="R46" i="47"/>
  <c r="R45" i="47"/>
  <c r="K35" i="70"/>
  <c r="O80" i="45"/>
  <c r="I43" i="45" s="1"/>
  <c r="N80" i="45"/>
  <c r="I42" i="45" s="1"/>
  <c r="M80" i="45"/>
  <c r="I41" i="45" s="1"/>
  <c r="L80" i="45"/>
  <c r="I44" i="45" s="1"/>
  <c r="K80" i="45"/>
  <c r="J80" i="45"/>
  <c r="I80" i="45"/>
  <c r="F79" i="45"/>
  <c r="F78" i="45"/>
  <c r="F77" i="45"/>
  <c r="F76" i="45"/>
  <c r="F75" i="45"/>
  <c r="F74" i="45"/>
  <c r="F73" i="45"/>
  <c r="F72" i="45"/>
  <c r="F71" i="45"/>
  <c r="F70" i="45"/>
  <c r="F69" i="45"/>
  <c r="F68" i="45"/>
  <c r="F67" i="45"/>
  <c r="F66" i="45"/>
  <c r="F65" i="45"/>
  <c r="F64" i="45"/>
  <c r="F63" i="45"/>
  <c r="F62" i="45"/>
  <c r="F61" i="45"/>
  <c r="F60" i="45"/>
  <c r="F59" i="45"/>
  <c r="F58" i="45"/>
  <c r="F57" i="45"/>
  <c r="F56" i="45"/>
  <c r="F55" i="45"/>
  <c r="F54" i="45"/>
  <c r="F53" i="45"/>
  <c r="F52" i="45"/>
  <c r="F51" i="45"/>
  <c r="F50" i="45"/>
  <c r="F49" i="45"/>
  <c r="C49" i="45"/>
  <c r="I34" i="45"/>
  <c r="I35" i="45" s="1"/>
  <c r="L24" i="45"/>
  <c r="O80" i="44"/>
  <c r="I43" i="44" s="1"/>
  <c r="N80" i="44"/>
  <c r="I42" i="44" s="1"/>
  <c r="M80" i="44"/>
  <c r="I41" i="44" s="1"/>
  <c r="L80" i="44"/>
  <c r="I44" i="44" s="1"/>
  <c r="K80" i="44"/>
  <c r="J80" i="44"/>
  <c r="I80" i="44"/>
  <c r="F78" i="44"/>
  <c r="F77" i="44"/>
  <c r="F76" i="44"/>
  <c r="F75" i="44"/>
  <c r="F74" i="44"/>
  <c r="U73" i="44"/>
  <c r="F73" i="44"/>
  <c r="F72" i="44"/>
  <c r="F71" i="44"/>
  <c r="F70" i="44"/>
  <c r="F69" i="44"/>
  <c r="F68" i="44"/>
  <c r="F67" i="44"/>
  <c r="F66" i="44"/>
  <c r="F65" i="44"/>
  <c r="F64" i="44"/>
  <c r="F63" i="44"/>
  <c r="F62" i="44"/>
  <c r="F61" i="44"/>
  <c r="F60" i="44"/>
  <c r="F59" i="44"/>
  <c r="F58" i="44"/>
  <c r="U57" i="44"/>
  <c r="F57" i="44"/>
  <c r="F56" i="44"/>
  <c r="F55" i="44"/>
  <c r="F54" i="44"/>
  <c r="F53" i="44"/>
  <c r="F52" i="44"/>
  <c r="F51" i="44"/>
  <c r="F50" i="44"/>
  <c r="F49" i="44"/>
  <c r="C49" i="44"/>
  <c r="C47" i="44" s="1"/>
  <c r="L24" i="44"/>
  <c r="O80" i="43"/>
  <c r="I43" i="43" s="1"/>
  <c r="N80" i="43"/>
  <c r="I42" i="43" s="1"/>
  <c r="M80" i="43"/>
  <c r="I41" i="43" s="1"/>
  <c r="L80" i="43"/>
  <c r="I44" i="43" s="1"/>
  <c r="K80" i="43"/>
  <c r="J80" i="43"/>
  <c r="I80" i="43"/>
  <c r="F79" i="43"/>
  <c r="F78" i="43"/>
  <c r="F77" i="43"/>
  <c r="U76" i="43"/>
  <c r="F76" i="43"/>
  <c r="F75" i="43"/>
  <c r="F74" i="43"/>
  <c r="F73" i="43"/>
  <c r="U72" i="43"/>
  <c r="F72" i="43"/>
  <c r="F71" i="43"/>
  <c r="F70" i="43"/>
  <c r="F69" i="43"/>
  <c r="F68" i="43"/>
  <c r="F67" i="43"/>
  <c r="F66" i="43"/>
  <c r="F65" i="43"/>
  <c r="U64" i="43"/>
  <c r="F64" i="43"/>
  <c r="F63" i="43"/>
  <c r="F62" i="43"/>
  <c r="F61" i="43"/>
  <c r="F60" i="43"/>
  <c r="F59" i="43"/>
  <c r="F58" i="43"/>
  <c r="F57" i="43"/>
  <c r="F56" i="43"/>
  <c r="F55" i="43"/>
  <c r="F54" i="43"/>
  <c r="F53" i="43"/>
  <c r="F52" i="43"/>
  <c r="F51" i="43"/>
  <c r="F50" i="43"/>
  <c r="F49" i="43"/>
  <c r="C49" i="43"/>
  <c r="AL80" i="42"/>
  <c r="O80" i="42"/>
  <c r="I43" i="42" s="1"/>
  <c r="N80" i="42"/>
  <c r="I42" i="42" s="1"/>
  <c r="M80" i="42"/>
  <c r="I41" i="42" s="1"/>
  <c r="L80" i="42"/>
  <c r="I44" i="42" s="1"/>
  <c r="K80" i="42"/>
  <c r="J80" i="42"/>
  <c r="I80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C49" i="42"/>
  <c r="L24" i="42"/>
  <c r="O80" i="41"/>
  <c r="I43" i="41" s="1"/>
  <c r="N80" i="41"/>
  <c r="I42" i="41" s="1"/>
  <c r="M80" i="41"/>
  <c r="I41" i="41" s="1"/>
  <c r="L80" i="41"/>
  <c r="I44" i="41" s="1"/>
  <c r="K80" i="41"/>
  <c r="J80" i="41"/>
  <c r="I80" i="41"/>
  <c r="F79" i="41"/>
  <c r="F78" i="41"/>
  <c r="F77" i="41"/>
  <c r="F76" i="41"/>
  <c r="F75" i="41"/>
  <c r="F74" i="41"/>
  <c r="F73" i="41"/>
  <c r="F72" i="41"/>
  <c r="F71" i="41"/>
  <c r="F70" i="41"/>
  <c r="F69" i="41"/>
  <c r="F68" i="41"/>
  <c r="F67" i="41"/>
  <c r="F66" i="41"/>
  <c r="F65" i="41"/>
  <c r="F64" i="41"/>
  <c r="F63" i="41"/>
  <c r="F62" i="41"/>
  <c r="F61" i="41"/>
  <c r="F60" i="41"/>
  <c r="F59" i="41"/>
  <c r="F58" i="41"/>
  <c r="F57" i="41"/>
  <c r="F56" i="41"/>
  <c r="F55" i="41"/>
  <c r="F54" i="41"/>
  <c r="F53" i="41"/>
  <c r="F52" i="41"/>
  <c r="F51" i="41"/>
  <c r="F50" i="41"/>
  <c r="F49" i="41"/>
  <c r="C49" i="41"/>
  <c r="L24" i="41"/>
  <c r="O80" i="40"/>
  <c r="I43" i="40" s="1"/>
  <c r="N80" i="40"/>
  <c r="I42" i="40" s="1"/>
  <c r="M80" i="40"/>
  <c r="I41" i="40" s="1"/>
  <c r="L80" i="40"/>
  <c r="I44" i="40" s="1"/>
  <c r="K80" i="40"/>
  <c r="J80" i="40"/>
  <c r="I80" i="40"/>
  <c r="F79" i="40"/>
  <c r="F78" i="40"/>
  <c r="F77" i="40"/>
  <c r="F76" i="40"/>
  <c r="F75" i="40"/>
  <c r="F74" i="40"/>
  <c r="F73" i="40"/>
  <c r="F72" i="40"/>
  <c r="F71" i="40"/>
  <c r="F70" i="40"/>
  <c r="U69" i="40"/>
  <c r="F69" i="40"/>
  <c r="F68" i="40"/>
  <c r="F67" i="40"/>
  <c r="F66" i="40"/>
  <c r="F65" i="40"/>
  <c r="F64" i="40"/>
  <c r="F63" i="40"/>
  <c r="F62" i="40"/>
  <c r="F61" i="40"/>
  <c r="F60" i="40"/>
  <c r="F59" i="40"/>
  <c r="F58" i="40"/>
  <c r="F57" i="40"/>
  <c r="F56" i="40"/>
  <c r="F55" i="40"/>
  <c r="F54" i="40"/>
  <c r="F53" i="40"/>
  <c r="F52" i="40"/>
  <c r="F51" i="40"/>
  <c r="F50" i="40"/>
  <c r="F49" i="40"/>
  <c r="L24" i="40"/>
  <c r="AL80" i="39"/>
  <c r="O80" i="39"/>
  <c r="I43" i="39" s="1"/>
  <c r="N80" i="39"/>
  <c r="I42" i="39" s="1"/>
  <c r="M80" i="39"/>
  <c r="I41" i="39" s="1"/>
  <c r="I45" i="39" s="1"/>
  <c r="L80" i="39"/>
  <c r="I44" i="39" s="1"/>
  <c r="K80" i="39"/>
  <c r="J80" i="39"/>
  <c r="I80" i="39"/>
  <c r="U78" i="39"/>
  <c r="F78" i="39"/>
  <c r="F77" i="39"/>
  <c r="F76" i="39"/>
  <c r="F75" i="39"/>
  <c r="U74" i="39"/>
  <c r="F74" i="39"/>
  <c r="F73" i="39"/>
  <c r="F72" i="39"/>
  <c r="F71" i="39"/>
  <c r="F70" i="39"/>
  <c r="F69" i="39"/>
  <c r="F68" i="39"/>
  <c r="U67" i="39"/>
  <c r="F67" i="39"/>
  <c r="U66" i="39"/>
  <c r="F66" i="39"/>
  <c r="F65" i="39"/>
  <c r="F64" i="39"/>
  <c r="F63" i="39"/>
  <c r="F62" i="39"/>
  <c r="F61" i="39"/>
  <c r="F60" i="39"/>
  <c r="F59" i="39"/>
  <c r="F58" i="39"/>
  <c r="F57" i="39"/>
  <c r="F56" i="39"/>
  <c r="F55" i="39"/>
  <c r="U54" i="39"/>
  <c r="F54" i="39"/>
  <c r="F53" i="39"/>
  <c r="F52" i="39"/>
  <c r="F51" i="39"/>
  <c r="F50" i="39"/>
  <c r="F49" i="39"/>
  <c r="C49" i="39"/>
  <c r="O80" i="38"/>
  <c r="I43" i="38" s="1"/>
  <c r="N80" i="38"/>
  <c r="I42" i="38" s="1"/>
  <c r="M80" i="38"/>
  <c r="I41" i="38" s="1"/>
  <c r="L80" i="38"/>
  <c r="I44" i="38" s="1"/>
  <c r="K80" i="38"/>
  <c r="J80" i="38"/>
  <c r="I80" i="38"/>
  <c r="F79" i="38"/>
  <c r="F78" i="38"/>
  <c r="U77" i="38"/>
  <c r="F77" i="38"/>
  <c r="F76" i="38"/>
  <c r="F75" i="38"/>
  <c r="F74" i="38"/>
  <c r="F73" i="38"/>
  <c r="F72" i="38"/>
  <c r="F71" i="38"/>
  <c r="F70" i="38"/>
  <c r="U69" i="38"/>
  <c r="F69" i="38"/>
  <c r="F68" i="38"/>
  <c r="F67" i="38"/>
  <c r="F66" i="38"/>
  <c r="F65" i="38"/>
  <c r="F64" i="38"/>
  <c r="F63" i="38"/>
  <c r="F62" i="38"/>
  <c r="U61" i="38"/>
  <c r="F61" i="38"/>
  <c r="F60" i="38"/>
  <c r="F59" i="38"/>
  <c r="F58" i="38"/>
  <c r="U57" i="38"/>
  <c r="F57" i="38"/>
  <c r="F56" i="38"/>
  <c r="F55" i="38"/>
  <c r="F54" i="38"/>
  <c r="F53" i="38"/>
  <c r="E52" i="38"/>
  <c r="F52" i="38"/>
  <c r="F51" i="38"/>
  <c r="F50" i="38"/>
  <c r="F49" i="38"/>
  <c r="C49" i="38"/>
  <c r="C50" i="38" s="1"/>
  <c r="C51" i="38" s="1"/>
  <c r="C52" i="38" s="1"/>
  <c r="C53" i="38" s="1"/>
  <c r="C54" i="38" s="1"/>
  <c r="C55" i="38" s="1"/>
  <c r="C56" i="38" s="1"/>
  <c r="C57" i="38" s="1"/>
  <c r="C58" i="38" s="1"/>
  <c r="C59" i="38" s="1"/>
  <c r="C60" i="38" s="1"/>
  <c r="C61" i="38" s="1"/>
  <c r="C62" i="38" s="1"/>
  <c r="C63" i="38" s="1"/>
  <c r="C64" i="38" s="1"/>
  <c r="C65" i="38" s="1"/>
  <c r="C66" i="38" s="1"/>
  <c r="C67" i="38" s="1"/>
  <c r="C68" i="38" s="1"/>
  <c r="C69" i="38" s="1"/>
  <c r="C70" i="38" s="1"/>
  <c r="C71" i="38" s="1"/>
  <c r="C72" i="38" s="1"/>
  <c r="C73" i="38" s="1"/>
  <c r="C74" i="38" s="1"/>
  <c r="C75" i="38" s="1"/>
  <c r="C76" i="38" s="1"/>
  <c r="C77" i="38" s="1"/>
  <c r="C78" i="38" s="1"/>
  <c r="C79" i="38" s="1"/>
  <c r="I34" i="38"/>
  <c r="I35" i="38" s="1"/>
  <c r="L24" i="38"/>
  <c r="AL80" i="37"/>
  <c r="O80" i="37"/>
  <c r="I43" i="37" s="1"/>
  <c r="N80" i="37"/>
  <c r="I42" i="37" s="1"/>
  <c r="M80" i="37"/>
  <c r="I41" i="37" s="1"/>
  <c r="L80" i="37"/>
  <c r="I44" i="37" s="1"/>
  <c r="K80" i="37"/>
  <c r="J80" i="37"/>
  <c r="I80" i="37"/>
  <c r="F78" i="37"/>
  <c r="C49" i="37"/>
  <c r="C47" i="37" s="1"/>
  <c r="I24" i="37" s="1"/>
  <c r="F77" i="37"/>
  <c r="F76" i="37"/>
  <c r="F75" i="37"/>
  <c r="F74" i="37"/>
  <c r="F73" i="37"/>
  <c r="F72" i="37"/>
  <c r="F71" i="37"/>
  <c r="F70" i="37"/>
  <c r="F69" i="37"/>
  <c r="F68" i="37"/>
  <c r="U67" i="37"/>
  <c r="F67" i="37"/>
  <c r="F66" i="37"/>
  <c r="F65" i="37"/>
  <c r="F64" i="37"/>
  <c r="F63" i="37"/>
  <c r="F62" i="37"/>
  <c r="F61" i="37"/>
  <c r="F60" i="37"/>
  <c r="U59" i="37"/>
  <c r="F59" i="37"/>
  <c r="F58" i="37"/>
  <c r="F57" i="37"/>
  <c r="F56" i="37"/>
  <c r="F55" i="37"/>
  <c r="F54" i="37"/>
  <c r="U53" i="37"/>
  <c r="F53" i="37"/>
  <c r="F52" i="37"/>
  <c r="U51" i="37"/>
  <c r="F51" i="37"/>
  <c r="F50" i="37"/>
  <c r="F49" i="37"/>
  <c r="I34" i="37"/>
  <c r="L24" i="37"/>
  <c r="O80" i="36"/>
  <c r="I43" i="36" s="1"/>
  <c r="M80" i="36"/>
  <c r="I41" i="36" s="1"/>
  <c r="N80" i="36"/>
  <c r="I42" i="36" s="1"/>
  <c r="L80" i="36"/>
  <c r="I44" i="36" s="1"/>
  <c r="K80" i="36"/>
  <c r="J80" i="36"/>
  <c r="I80" i="36"/>
  <c r="F79" i="36"/>
  <c r="F78" i="36"/>
  <c r="F77" i="36"/>
  <c r="F76" i="36"/>
  <c r="U75" i="36"/>
  <c r="F75" i="36"/>
  <c r="F74" i="36"/>
  <c r="F73" i="36"/>
  <c r="F72" i="36"/>
  <c r="F71" i="36"/>
  <c r="F70" i="36"/>
  <c r="F69" i="36"/>
  <c r="F68" i="36"/>
  <c r="F67" i="36"/>
  <c r="F66" i="36"/>
  <c r="F65" i="36"/>
  <c r="F64" i="36"/>
  <c r="F63" i="36"/>
  <c r="F62" i="36"/>
  <c r="F61" i="36"/>
  <c r="F60" i="36"/>
  <c r="F59" i="36"/>
  <c r="F58" i="36"/>
  <c r="F57" i="36"/>
  <c r="F56" i="36"/>
  <c r="F55" i="36"/>
  <c r="F54" i="36"/>
  <c r="F53" i="36"/>
  <c r="F52" i="36"/>
  <c r="F51" i="36"/>
  <c r="F50" i="36"/>
  <c r="F49" i="36"/>
  <c r="C49" i="36"/>
  <c r="C50" i="36" s="1"/>
  <c r="C51" i="36" s="1"/>
  <c r="C52" i="36" s="1"/>
  <c r="C53" i="36" s="1"/>
  <c r="C54" i="36" s="1"/>
  <c r="C55" i="36" s="1"/>
  <c r="C56" i="36" s="1"/>
  <c r="C57" i="36" s="1"/>
  <c r="C58" i="36" s="1"/>
  <c r="C59" i="36" s="1"/>
  <c r="C60" i="36" s="1"/>
  <c r="C61" i="36" s="1"/>
  <c r="C62" i="36" s="1"/>
  <c r="C63" i="36" s="1"/>
  <c r="C64" i="36" s="1"/>
  <c r="C65" i="36" s="1"/>
  <c r="C66" i="36" s="1"/>
  <c r="C67" i="36" s="1"/>
  <c r="C68" i="36" s="1"/>
  <c r="C69" i="36" s="1"/>
  <c r="C70" i="36" s="1"/>
  <c r="C71" i="36" s="1"/>
  <c r="C72" i="36" s="1"/>
  <c r="C73" i="36" s="1"/>
  <c r="C74" i="36" s="1"/>
  <c r="C75" i="36" s="1"/>
  <c r="C76" i="36" s="1"/>
  <c r="C77" i="36" s="1"/>
  <c r="C78" i="36" s="1"/>
  <c r="C79" i="36" s="1"/>
  <c r="I34" i="36"/>
  <c r="I35" i="36" s="1"/>
  <c r="E10" i="36"/>
  <c r="L24" i="36"/>
  <c r="AL80" i="35"/>
  <c r="O80" i="35"/>
  <c r="I43" i="35" s="1"/>
  <c r="N80" i="35"/>
  <c r="I42" i="35" s="1"/>
  <c r="M80" i="35"/>
  <c r="I41" i="35" s="1"/>
  <c r="L80" i="35"/>
  <c r="I44" i="35" s="1"/>
  <c r="K80" i="35"/>
  <c r="J80" i="35"/>
  <c r="I80" i="35"/>
  <c r="F77" i="35"/>
  <c r="F76" i="35"/>
  <c r="F75" i="35"/>
  <c r="F74" i="35"/>
  <c r="F73" i="35"/>
  <c r="F72" i="35"/>
  <c r="F71" i="35"/>
  <c r="F70" i="35"/>
  <c r="F69" i="35"/>
  <c r="F68" i="35"/>
  <c r="F67" i="35"/>
  <c r="F66" i="35"/>
  <c r="F65" i="35"/>
  <c r="F64" i="35"/>
  <c r="F63" i="35"/>
  <c r="F62" i="35"/>
  <c r="F61" i="35"/>
  <c r="F60" i="35"/>
  <c r="F59" i="35"/>
  <c r="F58" i="35"/>
  <c r="U57" i="35"/>
  <c r="F57" i="35"/>
  <c r="F56" i="35"/>
  <c r="F55" i="35"/>
  <c r="F54" i="35"/>
  <c r="F53" i="35"/>
  <c r="F52" i="35"/>
  <c r="F51" i="35"/>
  <c r="F50" i="35"/>
  <c r="F49" i="35"/>
  <c r="C49" i="35"/>
  <c r="B49" i="35" s="1"/>
  <c r="I34" i="35"/>
  <c r="I35" i="35" s="1"/>
  <c r="E11" i="35"/>
  <c r="F11" i="35" s="1"/>
  <c r="G11" i="35" s="1"/>
  <c r="E10" i="35"/>
  <c r="F10" i="35" s="1"/>
  <c r="G10" i="35" s="1"/>
  <c r="Y79" i="34"/>
  <c r="O79" i="34"/>
  <c r="H42" i="34" s="1"/>
  <c r="N79" i="34"/>
  <c r="H41" i="34" s="1"/>
  <c r="M79" i="34"/>
  <c r="H40" i="34" s="1"/>
  <c r="L79" i="34"/>
  <c r="H43" i="34" s="1"/>
  <c r="K79" i="34"/>
  <c r="J79" i="34"/>
  <c r="I79" i="34"/>
  <c r="V78" i="34"/>
  <c r="U78" i="34" s="1"/>
  <c r="F78" i="34"/>
  <c r="V77" i="34"/>
  <c r="U77" i="34" s="1"/>
  <c r="F77" i="34"/>
  <c r="V76" i="34"/>
  <c r="U76" i="34" s="1"/>
  <c r="C48" i="34"/>
  <c r="F76" i="34"/>
  <c r="V75" i="34"/>
  <c r="U75" i="34" s="1"/>
  <c r="F75" i="34"/>
  <c r="V74" i="34"/>
  <c r="U74" i="34" s="1"/>
  <c r="F74" i="34"/>
  <c r="V73" i="34"/>
  <c r="U73" i="34" s="1"/>
  <c r="F73" i="34"/>
  <c r="V72" i="34"/>
  <c r="U72" i="34" s="1"/>
  <c r="F72" i="34"/>
  <c r="V71" i="34"/>
  <c r="U71" i="34" s="1"/>
  <c r="F71" i="34"/>
  <c r="V70" i="34"/>
  <c r="U70" i="34" s="1"/>
  <c r="F70" i="34"/>
  <c r="V69" i="34"/>
  <c r="U69" i="34" s="1"/>
  <c r="F69" i="34"/>
  <c r="V68" i="34"/>
  <c r="U68" i="34" s="1"/>
  <c r="F68" i="34"/>
  <c r="V67" i="34"/>
  <c r="U67" i="34" s="1"/>
  <c r="F67" i="34"/>
  <c r="V66" i="34"/>
  <c r="U66" i="34" s="1"/>
  <c r="F66" i="34"/>
  <c r="V65" i="34"/>
  <c r="U65" i="34" s="1"/>
  <c r="F65" i="34"/>
  <c r="V64" i="34"/>
  <c r="U64" i="34" s="1"/>
  <c r="F64" i="34"/>
  <c r="V63" i="34"/>
  <c r="U63" i="34" s="1"/>
  <c r="F63" i="34"/>
  <c r="V62" i="34"/>
  <c r="U62" i="34" s="1"/>
  <c r="F62" i="34"/>
  <c r="V61" i="34"/>
  <c r="U61" i="34" s="1"/>
  <c r="F61" i="34"/>
  <c r="V60" i="34"/>
  <c r="U60" i="34" s="1"/>
  <c r="F60" i="34"/>
  <c r="V59" i="34"/>
  <c r="U59" i="34" s="1"/>
  <c r="F59" i="34"/>
  <c r="V58" i="34"/>
  <c r="U58" i="34" s="1"/>
  <c r="F58" i="34"/>
  <c r="V57" i="34"/>
  <c r="U57" i="34" s="1"/>
  <c r="F57" i="34"/>
  <c r="V56" i="34"/>
  <c r="U56" i="34" s="1"/>
  <c r="F56" i="34"/>
  <c r="V55" i="34"/>
  <c r="U55" i="34" s="1"/>
  <c r="F55" i="34"/>
  <c r="V54" i="34"/>
  <c r="U54" i="34" s="1"/>
  <c r="F54" i="34"/>
  <c r="V53" i="34"/>
  <c r="U53" i="34" s="1"/>
  <c r="F53" i="34"/>
  <c r="V52" i="34"/>
  <c r="U52" i="34" s="1"/>
  <c r="F52" i="34"/>
  <c r="V51" i="34"/>
  <c r="U51" i="34" s="1"/>
  <c r="F51" i="34"/>
  <c r="V50" i="34"/>
  <c r="F50" i="34"/>
  <c r="V49" i="34"/>
  <c r="F49" i="34"/>
  <c r="F48" i="34"/>
  <c r="H34" i="34"/>
  <c r="J33" i="34" s="1"/>
  <c r="K33" i="34" s="1"/>
  <c r="L33" i="34" s="1"/>
  <c r="H44" i="32"/>
  <c r="G31" i="32"/>
  <c r="C31" i="32"/>
  <c r="K24" i="32"/>
  <c r="K21" i="32"/>
  <c r="K12" i="32"/>
  <c r="M16" i="32" s="1"/>
  <c r="M35" i="32" s="1"/>
  <c r="I7" i="32"/>
  <c r="H44" i="31"/>
  <c r="G31" i="31"/>
  <c r="C31" i="31"/>
  <c r="K24" i="31"/>
  <c r="K21" i="31"/>
  <c r="K12" i="31"/>
  <c r="M16" i="31" s="1"/>
  <c r="I7" i="31"/>
  <c r="H44" i="30"/>
  <c r="G31" i="30"/>
  <c r="C31" i="30"/>
  <c r="K24" i="30"/>
  <c r="K21" i="30"/>
  <c r="K12" i="30"/>
  <c r="M16" i="30" s="1"/>
  <c r="I7" i="30"/>
  <c r="H44" i="29"/>
  <c r="G31" i="29"/>
  <c r="C31" i="29"/>
  <c r="K24" i="29"/>
  <c r="K21" i="29"/>
  <c r="K12" i="29"/>
  <c r="M16" i="29" s="1"/>
  <c r="I7" i="29"/>
  <c r="H44" i="28"/>
  <c r="G31" i="28"/>
  <c r="C31" i="28"/>
  <c r="K24" i="28"/>
  <c r="K21" i="28"/>
  <c r="K12" i="28"/>
  <c r="M16" i="28" s="1"/>
  <c r="I7" i="28"/>
  <c r="H44" i="27"/>
  <c r="G31" i="27"/>
  <c r="C31" i="27"/>
  <c r="K24" i="27"/>
  <c r="K21" i="27"/>
  <c r="K12" i="27"/>
  <c r="M16" i="27" s="1"/>
  <c r="I7" i="27"/>
  <c r="H44" i="26"/>
  <c r="G31" i="26"/>
  <c r="C31" i="26"/>
  <c r="K24" i="26"/>
  <c r="K21" i="26"/>
  <c r="K12" i="26"/>
  <c r="M16" i="26" s="1"/>
  <c r="I7" i="26"/>
  <c r="H44" i="25"/>
  <c r="G31" i="25"/>
  <c r="C31" i="25"/>
  <c r="K24" i="25"/>
  <c r="K21" i="25"/>
  <c r="M26" i="25" s="1"/>
  <c r="M28" i="25" s="1"/>
  <c r="K12" i="25"/>
  <c r="M16" i="25" s="1"/>
  <c r="M18" i="25" s="1"/>
  <c r="I7" i="25"/>
  <c r="H44" i="24"/>
  <c r="G31" i="24"/>
  <c r="C31" i="24"/>
  <c r="K24" i="24"/>
  <c r="K21" i="24"/>
  <c r="K12" i="24"/>
  <c r="M16" i="24" s="1"/>
  <c r="M18" i="24" s="1"/>
  <c r="I7" i="24"/>
  <c r="H44" i="23"/>
  <c r="G31" i="23"/>
  <c r="C31" i="23"/>
  <c r="K24" i="23"/>
  <c r="K21" i="23"/>
  <c r="K12" i="23"/>
  <c r="M16" i="23" s="1"/>
  <c r="I7" i="23"/>
  <c r="H44" i="22"/>
  <c r="G31" i="22"/>
  <c r="C31" i="22"/>
  <c r="K24" i="22"/>
  <c r="K21" i="22"/>
  <c r="K12" i="22"/>
  <c r="M16" i="22" s="1"/>
  <c r="I7" i="22"/>
  <c r="H44" i="21"/>
  <c r="G31" i="21"/>
  <c r="C31" i="21"/>
  <c r="K24" i="21"/>
  <c r="K21" i="21"/>
  <c r="K12" i="21"/>
  <c r="M16" i="21" s="1"/>
  <c r="I7" i="21"/>
  <c r="H44" i="20"/>
  <c r="G31" i="20"/>
  <c r="C31" i="20"/>
  <c r="K24" i="20"/>
  <c r="K21" i="20"/>
  <c r="K12" i="20"/>
  <c r="M16" i="20" s="1"/>
  <c r="I7" i="20"/>
  <c r="H44" i="19"/>
  <c r="G31" i="19"/>
  <c r="C31" i="19"/>
  <c r="K24" i="19"/>
  <c r="K21" i="19"/>
  <c r="K12" i="19"/>
  <c r="M16" i="19" s="1"/>
  <c r="I7" i="19"/>
  <c r="H44" i="18"/>
  <c r="G31" i="18"/>
  <c r="C31" i="18"/>
  <c r="K24" i="18"/>
  <c r="K21" i="18"/>
  <c r="K12" i="18"/>
  <c r="M16" i="18" s="1"/>
  <c r="I7" i="18"/>
  <c r="H44" i="17"/>
  <c r="G31" i="17"/>
  <c r="C31" i="17"/>
  <c r="K24" i="17"/>
  <c r="K21" i="17"/>
  <c r="M26" i="17" s="1"/>
  <c r="K12" i="17"/>
  <c r="M16" i="17" s="1"/>
  <c r="I7" i="17"/>
  <c r="H44" i="16"/>
  <c r="G31" i="16"/>
  <c r="C31" i="16"/>
  <c r="K24" i="16"/>
  <c r="K21" i="16"/>
  <c r="K12" i="16"/>
  <c r="M16" i="16" s="1"/>
  <c r="I7" i="16"/>
  <c r="H44" i="14"/>
  <c r="G31" i="14"/>
  <c r="C31" i="14"/>
  <c r="K24" i="14"/>
  <c r="K21" i="14"/>
  <c r="K12" i="14"/>
  <c r="M16" i="14" s="1"/>
  <c r="I7" i="14"/>
  <c r="H44" i="15"/>
  <c r="G31" i="15"/>
  <c r="C31" i="15"/>
  <c r="K24" i="15"/>
  <c r="K21" i="15"/>
  <c r="K12" i="15"/>
  <c r="M16" i="15" s="1"/>
  <c r="I7" i="15"/>
  <c r="H44" i="13"/>
  <c r="G31" i="13"/>
  <c r="C31" i="13"/>
  <c r="K24" i="13"/>
  <c r="K21" i="13"/>
  <c r="K12" i="13"/>
  <c r="M16" i="13" s="1"/>
  <c r="I7" i="13"/>
  <c r="H44" i="12"/>
  <c r="G31" i="12"/>
  <c r="C31" i="12"/>
  <c r="K24" i="12"/>
  <c r="K21" i="12"/>
  <c r="K12" i="12"/>
  <c r="M16" i="12" s="1"/>
  <c r="M18" i="12" s="1"/>
  <c r="I7" i="12"/>
  <c r="H44" i="11"/>
  <c r="G31" i="11"/>
  <c r="C31" i="11"/>
  <c r="K24" i="11"/>
  <c r="K21" i="11"/>
  <c r="K12" i="11"/>
  <c r="M16" i="11" s="1"/>
  <c r="I7" i="11"/>
  <c r="H44" i="10"/>
  <c r="G31" i="10"/>
  <c r="C31" i="10"/>
  <c r="K24" i="10"/>
  <c r="K21" i="10"/>
  <c r="K12" i="10"/>
  <c r="M16" i="10" s="1"/>
  <c r="I7" i="10"/>
  <c r="H44" i="9"/>
  <c r="G31" i="9"/>
  <c r="C31" i="9"/>
  <c r="K24" i="9"/>
  <c r="K21" i="9"/>
  <c r="K12" i="9"/>
  <c r="M16" i="9" s="1"/>
  <c r="I7" i="9"/>
  <c r="H44" i="2"/>
  <c r="G31" i="2"/>
  <c r="C31" i="2"/>
  <c r="K24" i="2"/>
  <c r="K21" i="2"/>
  <c r="K12" i="2"/>
  <c r="M16" i="2" s="1"/>
  <c r="I7" i="2"/>
  <c r="R116" i="49"/>
  <c r="C116" i="49"/>
  <c r="B116" i="49"/>
  <c r="R115" i="49"/>
  <c r="C115" i="49"/>
  <c r="B115" i="49"/>
  <c r="R114" i="49"/>
  <c r="C114" i="49"/>
  <c r="B114" i="49"/>
  <c r="R113" i="49"/>
  <c r="C113" i="49"/>
  <c r="B113" i="49"/>
  <c r="R112" i="49"/>
  <c r="C112" i="49"/>
  <c r="B112" i="49"/>
  <c r="R111" i="49"/>
  <c r="C111" i="49"/>
  <c r="B111" i="49"/>
  <c r="R110" i="49"/>
  <c r="C110" i="49"/>
  <c r="B110" i="49"/>
  <c r="R109" i="49"/>
  <c r="C109" i="49"/>
  <c r="B109" i="49"/>
  <c r="R108" i="49"/>
  <c r="C108" i="49"/>
  <c r="B108" i="49"/>
  <c r="R107" i="49"/>
  <c r="C107" i="49"/>
  <c r="B107" i="49"/>
  <c r="R106" i="49"/>
  <c r="C106" i="49"/>
  <c r="B106" i="49"/>
  <c r="R105" i="49"/>
  <c r="C105" i="49"/>
  <c r="B105" i="49"/>
  <c r="R104" i="49"/>
  <c r="C104" i="49"/>
  <c r="B104" i="49"/>
  <c r="R103" i="49"/>
  <c r="C103" i="49"/>
  <c r="B103" i="49"/>
  <c r="R102" i="49"/>
  <c r="C102" i="49"/>
  <c r="B102" i="49"/>
  <c r="R101" i="49"/>
  <c r="C101" i="49"/>
  <c r="B101" i="49"/>
  <c r="R100" i="49"/>
  <c r="C100" i="49"/>
  <c r="B100" i="49"/>
  <c r="R99" i="49"/>
  <c r="C99" i="49"/>
  <c r="B99" i="49"/>
  <c r="R98" i="49"/>
  <c r="C98" i="49"/>
  <c r="B98" i="49"/>
  <c r="R97" i="49"/>
  <c r="C97" i="49"/>
  <c r="B97" i="49"/>
  <c r="R96" i="49"/>
  <c r="C96" i="49"/>
  <c r="B96" i="49"/>
  <c r="R95" i="49"/>
  <c r="C95" i="49"/>
  <c r="B95" i="49"/>
  <c r="R94" i="49"/>
  <c r="C94" i="49"/>
  <c r="B94" i="49"/>
  <c r="R93" i="49"/>
  <c r="C93" i="49"/>
  <c r="B93" i="49"/>
  <c r="R92" i="49"/>
  <c r="C92" i="49"/>
  <c r="B92" i="49"/>
  <c r="R91" i="49"/>
  <c r="C91" i="49"/>
  <c r="B91" i="49"/>
  <c r="R90" i="49"/>
  <c r="C90" i="49"/>
  <c r="B90" i="49"/>
  <c r="R89" i="49"/>
  <c r="C89" i="49"/>
  <c r="B89" i="49"/>
  <c r="R88" i="49"/>
  <c r="C88" i="49"/>
  <c r="B88" i="49"/>
  <c r="R87" i="49"/>
  <c r="C87" i="49"/>
  <c r="B87" i="49"/>
  <c r="R86" i="49"/>
  <c r="C86" i="49"/>
  <c r="B86" i="49"/>
  <c r="R85" i="49"/>
  <c r="C85" i="49"/>
  <c r="B85" i="49"/>
  <c r="R84" i="49"/>
  <c r="C84" i="49"/>
  <c r="B84" i="49"/>
  <c r="R83" i="49"/>
  <c r="C83" i="49"/>
  <c r="B83" i="49"/>
  <c r="R82" i="49"/>
  <c r="C82" i="49"/>
  <c r="B82" i="49"/>
  <c r="R81" i="49"/>
  <c r="C81" i="49"/>
  <c r="B81" i="49"/>
  <c r="R80" i="49"/>
  <c r="C80" i="49"/>
  <c r="B80" i="49"/>
  <c r="R79" i="49"/>
  <c r="C79" i="49"/>
  <c r="B79" i="49"/>
  <c r="R78" i="49"/>
  <c r="C78" i="49"/>
  <c r="B78" i="49"/>
  <c r="R77" i="49"/>
  <c r="C77" i="49"/>
  <c r="B77" i="49"/>
  <c r="R76" i="49"/>
  <c r="C76" i="49"/>
  <c r="B76" i="49"/>
  <c r="R75" i="49"/>
  <c r="C75" i="49"/>
  <c r="B75" i="49"/>
  <c r="R74" i="49"/>
  <c r="C74" i="49"/>
  <c r="B74" i="49"/>
  <c r="R73" i="49"/>
  <c r="C73" i="49"/>
  <c r="B73" i="49"/>
  <c r="R72" i="49"/>
  <c r="C72" i="49"/>
  <c r="B72" i="49"/>
  <c r="R71" i="49"/>
  <c r="C71" i="49"/>
  <c r="B71" i="49"/>
  <c r="R70" i="49"/>
  <c r="C70" i="49"/>
  <c r="B70" i="49"/>
  <c r="R69" i="49"/>
  <c r="C69" i="49"/>
  <c r="B69" i="49"/>
  <c r="R68" i="49"/>
  <c r="C68" i="49"/>
  <c r="B68" i="49"/>
  <c r="R67" i="49"/>
  <c r="C67" i="49"/>
  <c r="B67" i="49"/>
  <c r="R66" i="49"/>
  <c r="C66" i="49"/>
  <c r="B66" i="49"/>
  <c r="R65" i="49"/>
  <c r="C65" i="49"/>
  <c r="B65" i="49"/>
  <c r="R64" i="49"/>
  <c r="C64" i="49"/>
  <c r="B64" i="49"/>
  <c r="R63" i="49"/>
  <c r="C63" i="49"/>
  <c r="B63" i="49"/>
  <c r="R62" i="49"/>
  <c r="C62" i="49"/>
  <c r="B62" i="49"/>
  <c r="R61" i="49"/>
  <c r="C61" i="49"/>
  <c r="B61" i="49"/>
  <c r="R60" i="49"/>
  <c r="C60" i="49"/>
  <c r="B60" i="49"/>
  <c r="R59" i="49"/>
  <c r="C59" i="49"/>
  <c r="B59" i="49"/>
  <c r="R58" i="49"/>
  <c r="C58" i="49"/>
  <c r="B58" i="49"/>
  <c r="R57" i="49"/>
  <c r="C57" i="49"/>
  <c r="B57" i="49"/>
  <c r="R56" i="49"/>
  <c r="C56" i="49"/>
  <c r="B56" i="49"/>
  <c r="R55" i="49"/>
  <c r="C55" i="49"/>
  <c r="B55" i="49"/>
  <c r="R54" i="49"/>
  <c r="C54" i="49"/>
  <c r="B54" i="49"/>
  <c r="R53" i="49"/>
  <c r="C53" i="49"/>
  <c r="B53" i="49"/>
  <c r="R52" i="49"/>
  <c r="C52" i="49"/>
  <c r="B52" i="49"/>
  <c r="R51" i="49"/>
  <c r="C51" i="49"/>
  <c r="B51" i="49"/>
  <c r="R50" i="49"/>
  <c r="C50" i="49"/>
  <c r="B50" i="49"/>
  <c r="R49" i="49"/>
  <c r="C49" i="49"/>
  <c r="B49" i="49"/>
  <c r="R48" i="49"/>
  <c r="C48" i="49"/>
  <c r="B48" i="49"/>
  <c r="R47" i="49"/>
  <c r="C47" i="49"/>
  <c r="B47" i="49"/>
  <c r="R46" i="49"/>
  <c r="C46" i="49"/>
  <c r="B46" i="49"/>
  <c r="R45" i="49"/>
  <c r="C45" i="49"/>
  <c r="B45" i="49"/>
  <c r="R44" i="49"/>
  <c r="C44" i="49"/>
  <c r="B44" i="49"/>
  <c r="R43" i="49"/>
  <c r="C43" i="49"/>
  <c r="B43" i="49"/>
  <c r="R42" i="49"/>
  <c r="C42" i="49"/>
  <c r="B42" i="49"/>
  <c r="R41" i="49"/>
  <c r="C41" i="49"/>
  <c r="B41" i="49"/>
  <c r="R40" i="49"/>
  <c r="C40" i="49"/>
  <c r="B40" i="49"/>
  <c r="R39" i="49"/>
  <c r="C39" i="49"/>
  <c r="B39" i="49"/>
  <c r="R38" i="49"/>
  <c r="C38" i="49"/>
  <c r="B38" i="49"/>
  <c r="R37" i="49"/>
  <c r="C37" i="49"/>
  <c r="B37" i="49"/>
  <c r="R36" i="49"/>
  <c r="C36" i="49"/>
  <c r="B36" i="49"/>
  <c r="R35" i="49"/>
  <c r="C35" i="49"/>
  <c r="B35" i="49"/>
  <c r="R34" i="49"/>
  <c r="C34" i="49"/>
  <c r="B34" i="49"/>
  <c r="R33" i="49"/>
  <c r="C33" i="49"/>
  <c r="B33" i="49"/>
  <c r="R32" i="49"/>
  <c r="C32" i="49"/>
  <c r="B32" i="49"/>
  <c r="R31" i="49"/>
  <c r="C31" i="49"/>
  <c r="B31" i="49"/>
  <c r="R30" i="49"/>
  <c r="C30" i="49"/>
  <c r="B30" i="49"/>
  <c r="R29" i="49"/>
  <c r="C29" i="49"/>
  <c r="B29" i="49"/>
  <c r="R28" i="49"/>
  <c r="C28" i="49"/>
  <c r="B28" i="49"/>
  <c r="R27" i="49"/>
  <c r="C27" i="49"/>
  <c r="B27" i="49"/>
  <c r="R26" i="49"/>
  <c r="C26" i="49"/>
  <c r="B26" i="49"/>
  <c r="R25" i="49"/>
  <c r="C25" i="49"/>
  <c r="B25" i="49"/>
  <c r="R24" i="49"/>
  <c r="C24" i="49"/>
  <c r="B24" i="49"/>
  <c r="R23" i="49"/>
  <c r="C23" i="49"/>
  <c r="B23" i="49"/>
  <c r="R22" i="49"/>
  <c r="C22" i="49"/>
  <c r="B22" i="49"/>
  <c r="R21" i="49"/>
  <c r="C21" i="49"/>
  <c r="B21" i="49"/>
  <c r="R20" i="49"/>
  <c r="C20" i="49"/>
  <c r="B20" i="49"/>
  <c r="R19" i="49"/>
  <c r="C19" i="49"/>
  <c r="B19" i="49"/>
  <c r="R18" i="49"/>
  <c r="C18" i="49"/>
  <c r="B18" i="49"/>
  <c r="R17" i="49"/>
  <c r="C17" i="49"/>
  <c r="B17" i="49"/>
  <c r="R16" i="49"/>
  <c r="C16" i="49"/>
  <c r="B16" i="49"/>
  <c r="R15" i="49"/>
  <c r="C15" i="49"/>
  <c r="B15" i="49"/>
  <c r="R14" i="49"/>
  <c r="C14" i="49"/>
  <c r="B14" i="49"/>
  <c r="R13" i="49"/>
  <c r="C13" i="49"/>
  <c r="B13" i="49"/>
  <c r="C12" i="49"/>
  <c r="B12" i="49"/>
  <c r="C11" i="49"/>
  <c r="B11" i="49"/>
  <c r="C10" i="49"/>
  <c r="B10" i="49"/>
  <c r="C9" i="49"/>
  <c r="B9" i="49"/>
  <c r="C8" i="49"/>
  <c r="B8" i="49"/>
  <c r="D970" i="48"/>
  <c r="C970" i="48"/>
  <c r="B970" i="48"/>
  <c r="D969" i="48"/>
  <c r="C969" i="48"/>
  <c r="B969" i="48"/>
  <c r="D968" i="48"/>
  <c r="C968" i="48"/>
  <c r="B968" i="48"/>
  <c r="D967" i="48"/>
  <c r="C967" i="48"/>
  <c r="B967" i="48"/>
  <c r="D966" i="48"/>
  <c r="C966" i="48"/>
  <c r="B966" i="48"/>
  <c r="D965" i="48"/>
  <c r="C965" i="48"/>
  <c r="B965" i="48"/>
  <c r="D964" i="48"/>
  <c r="C964" i="48"/>
  <c r="B964" i="48"/>
  <c r="D963" i="48"/>
  <c r="C963" i="48"/>
  <c r="B963" i="48"/>
  <c r="D962" i="48"/>
  <c r="C962" i="48"/>
  <c r="B962" i="48"/>
  <c r="D961" i="48"/>
  <c r="C961" i="48"/>
  <c r="B961" i="48"/>
  <c r="D960" i="48"/>
  <c r="C960" i="48"/>
  <c r="B960" i="48"/>
  <c r="D959" i="48"/>
  <c r="C959" i="48"/>
  <c r="B959" i="48"/>
  <c r="D958" i="48"/>
  <c r="C958" i="48"/>
  <c r="B958" i="48"/>
  <c r="D957" i="48"/>
  <c r="C957" i="48"/>
  <c r="B957" i="48"/>
  <c r="D956" i="48"/>
  <c r="C956" i="48"/>
  <c r="B956" i="48"/>
  <c r="D955" i="48"/>
  <c r="C955" i="48"/>
  <c r="B955" i="48"/>
  <c r="D954" i="48"/>
  <c r="C954" i="48"/>
  <c r="B954" i="48"/>
  <c r="D953" i="48"/>
  <c r="C953" i="48"/>
  <c r="B953" i="48"/>
  <c r="D952" i="48"/>
  <c r="C952" i="48"/>
  <c r="B952" i="48"/>
  <c r="D951" i="48"/>
  <c r="C951" i="48"/>
  <c r="B951" i="48"/>
  <c r="D950" i="48"/>
  <c r="C950" i="48"/>
  <c r="B950" i="48"/>
  <c r="D949" i="48"/>
  <c r="C949" i="48"/>
  <c r="B949" i="48"/>
  <c r="D948" i="48"/>
  <c r="C948" i="48"/>
  <c r="B948" i="48"/>
  <c r="D947" i="48"/>
  <c r="C947" i="48"/>
  <c r="B947" i="48"/>
  <c r="D946" i="48"/>
  <c r="C946" i="48"/>
  <c r="B946" i="48"/>
  <c r="D945" i="48"/>
  <c r="C945" i="48"/>
  <c r="B945" i="48"/>
  <c r="D944" i="48"/>
  <c r="C944" i="48"/>
  <c r="B944" i="48"/>
  <c r="D943" i="48"/>
  <c r="C943" i="48"/>
  <c r="B943" i="48"/>
  <c r="D942" i="48"/>
  <c r="C942" i="48"/>
  <c r="B942" i="48"/>
  <c r="D941" i="48"/>
  <c r="C941" i="48"/>
  <c r="B941" i="48"/>
  <c r="D940" i="48"/>
  <c r="C940" i="48"/>
  <c r="B940" i="48"/>
  <c r="D939" i="48"/>
  <c r="C939" i="48"/>
  <c r="B939" i="48"/>
  <c r="D938" i="48"/>
  <c r="C938" i="48"/>
  <c r="B938" i="48"/>
  <c r="D937" i="48"/>
  <c r="C937" i="48"/>
  <c r="B937" i="48"/>
  <c r="D936" i="48"/>
  <c r="C936" i="48"/>
  <c r="B936" i="48"/>
  <c r="D935" i="48"/>
  <c r="C935" i="48"/>
  <c r="B935" i="48"/>
  <c r="D934" i="48"/>
  <c r="C934" i="48"/>
  <c r="B934" i="48"/>
  <c r="D933" i="48"/>
  <c r="C933" i="48"/>
  <c r="B933" i="48"/>
  <c r="D932" i="48"/>
  <c r="C932" i="48"/>
  <c r="B932" i="48"/>
  <c r="D931" i="48"/>
  <c r="C931" i="48"/>
  <c r="B931" i="48"/>
  <c r="D930" i="48"/>
  <c r="C930" i="48"/>
  <c r="B930" i="48"/>
  <c r="D929" i="48"/>
  <c r="C929" i="48"/>
  <c r="B929" i="48"/>
  <c r="D928" i="48"/>
  <c r="C928" i="48"/>
  <c r="B928" i="48"/>
  <c r="D927" i="48"/>
  <c r="C927" i="48"/>
  <c r="B927" i="48"/>
  <c r="D926" i="48"/>
  <c r="C926" i="48"/>
  <c r="B926" i="48"/>
  <c r="D925" i="48"/>
  <c r="C925" i="48"/>
  <c r="B925" i="48"/>
  <c r="D924" i="48"/>
  <c r="C924" i="48"/>
  <c r="B924" i="48"/>
  <c r="D923" i="48"/>
  <c r="C923" i="48"/>
  <c r="B923" i="48"/>
  <c r="D922" i="48"/>
  <c r="C922" i="48"/>
  <c r="B922" i="48"/>
  <c r="D921" i="48"/>
  <c r="C921" i="48"/>
  <c r="B921" i="48"/>
  <c r="D920" i="48"/>
  <c r="C920" i="48"/>
  <c r="B920" i="48"/>
  <c r="D919" i="48"/>
  <c r="C919" i="48"/>
  <c r="B919" i="48"/>
  <c r="D918" i="48"/>
  <c r="C918" i="48"/>
  <c r="B918" i="48"/>
  <c r="D917" i="48"/>
  <c r="C917" i="48"/>
  <c r="B917" i="48"/>
  <c r="D916" i="48"/>
  <c r="C916" i="48"/>
  <c r="B916" i="48"/>
  <c r="D915" i="48"/>
  <c r="C915" i="48"/>
  <c r="B915" i="48"/>
  <c r="D914" i="48"/>
  <c r="C914" i="48"/>
  <c r="B914" i="48"/>
  <c r="D913" i="48"/>
  <c r="C913" i="48"/>
  <c r="B913" i="48"/>
  <c r="D912" i="48"/>
  <c r="C912" i="48"/>
  <c r="B912" i="48"/>
  <c r="D911" i="48"/>
  <c r="C911" i="48"/>
  <c r="B911" i="48"/>
  <c r="D910" i="48"/>
  <c r="C910" i="48"/>
  <c r="B910" i="48"/>
  <c r="D909" i="48"/>
  <c r="C909" i="48"/>
  <c r="B909" i="48"/>
  <c r="D908" i="48"/>
  <c r="C908" i="48"/>
  <c r="B908" i="48"/>
  <c r="D907" i="48"/>
  <c r="C907" i="48"/>
  <c r="B907" i="48"/>
  <c r="D906" i="48"/>
  <c r="C906" i="48"/>
  <c r="B906" i="48"/>
  <c r="D905" i="48"/>
  <c r="C905" i="48"/>
  <c r="B905" i="48"/>
  <c r="D904" i="48"/>
  <c r="C904" i="48"/>
  <c r="B904" i="48"/>
  <c r="D903" i="48"/>
  <c r="C903" i="48"/>
  <c r="B903" i="48"/>
  <c r="D902" i="48"/>
  <c r="C902" i="48"/>
  <c r="B902" i="48"/>
  <c r="D901" i="48"/>
  <c r="C901" i="48"/>
  <c r="B901" i="48"/>
  <c r="D900" i="48"/>
  <c r="C900" i="48"/>
  <c r="B900" i="48"/>
  <c r="D899" i="48"/>
  <c r="C899" i="48"/>
  <c r="B899" i="48"/>
  <c r="D898" i="48"/>
  <c r="C898" i="48"/>
  <c r="B898" i="48"/>
  <c r="D897" i="48"/>
  <c r="C897" i="48"/>
  <c r="B897" i="48"/>
  <c r="D896" i="48"/>
  <c r="C896" i="48"/>
  <c r="B896" i="48"/>
  <c r="D895" i="48"/>
  <c r="C895" i="48"/>
  <c r="B895" i="48"/>
  <c r="D894" i="48"/>
  <c r="C894" i="48"/>
  <c r="B894" i="48"/>
  <c r="D893" i="48"/>
  <c r="C893" i="48"/>
  <c r="B893" i="48"/>
  <c r="D892" i="48"/>
  <c r="C892" i="48"/>
  <c r="B892" i="48"/>
  <c r="D891" i="48"/>
  <c r="C891" i="48"/>
  <c r="B891" i="48"/>
  <c r="D890" i="48"/>
  <c r="C890" i="48"/>
  <c r="B890" i="48"/>
  <c r="D889" i="48"/>
  <c r="C889" i="48"/>
  <c r="B889" i="48"/>
  <c r="D888" i="48"/>
  <c r="C888" i="48"/>
  <c r="B888" i="48"/>
  <c r="D887" i="48"/>
  <c r="C887" i="48"/>
  <c r="B887" i="48"/>
  <c r="D886" i="48"/>
  <c r="C886" i="48"/>
  <c r="B886" i="48"/>
  <c r="D885" i="48"/>
  <c r="C885" i="48"/>
  <c r="B885" i="48"/>
  <c r="D884" i="48"/>
  <c r="C884" i="48"/>
  <c r="B884" i="48"/>
  <c r="D883" i="48"/>
  <c r="C883" i="48"/>
  <c r="B883" i="48"/>
  <c r="D882" i="48"/>
  <c r="C882" i="48"/>
  <c r="B882" i="48"/>
  <c r="D881" i="48"/>
  <c r="C881" i="48"/>
  <c r="B881" i="48"/>
  <c r="D880" i="48"/>
  <c r="C880" i="48"/>
  <c r="B880" i="48"/>
  <c r="D879" i="48"/>
  <c r="C879" i="48"/>
  <c r="B879" i="48"/>
  <c r="D878" i="48"/>
  <c r="C878" i="48"/>
  <c r="B878" i="48"/>
  <c r="D877" i="48"/>
  <c r="C877" i="48"/>
  <c r="B877" i="48"/>
  <c r="D876" i="48"/>
  <c r="C876" i="48"/>
  <c r="B876" i="48"/>
  <c r="D875" i="48"/>
  <c r="C875" i="48"/>
  <c r="B875" i="48"/>
  <c r="D874" i="48"/>
  <c r="C874" i="48"/>
  <c r="B874" i="48"/>
  <c r="D873" i="48"/>
  <c r="C873" i="48"/>
  <c r="B873" i="48"/>
  <c r="D872" i="48"/>
  <c r="C872" i="48"/>
  <c r="B872" i="48"/>
  <c r="D871" i="48"/>
  <c r="C871" i="48"/>
  <c r="B871" i="48"/>
  <c r="D870" i="48"/>
  <c r="C870" i="48"/>
  <c r="B870" i="48"/>
  <c r="D869" i="48"/>
  <c r="C869" i="48"/>
  <c r="B869" i="48"/>
  <c r="D868" i="48"/>
  <c r="C868" i="48"/>
  <c r="B868" i="48"/>
  <c r="D867" i="48"/>
  <c r="C867" i="48"/>
  <c r="B867" i="48"/>
  <c r="D866" i="48"/>
  <c r="C866" i="48"/>
  <c r="B866" i="48"/>
  <c r="D865" i="48"/>
  <c r="C865" i="48"/>
  <c r="B865" i="48"/>
  <c r="D864" i="48"/>
  <c r="C864" i="48"/>
  <c r="B864" i="48"/>
  <c r="D863" i="48"/>
  <c r="C863" i="48"/>
  <c r="B863" i="48"/>
  <c r="D862" i="48"/>
  <c r="C862" i="48"/>
  <c r="B862" i="48"/>
  <c r="D861" i="48"/>
  <c r="C861" i="48"/>
  <c r="B861" i="48"/>
  <c r="D860" i="48"/>
  <c r="C860" i="48"/>
  <c r="B860" i="48"/>
  <c r="D859" i="48"/>
  <c r="C859" i="48"/>
  <c r="B859" i="48"/>
  <c r="D858" i="48"/>
  <c r="C858" i="48"/>
  <c r="B858" i="48"/>
  <c r="D857" i="48"/>
  <c r="C857" i="48"/>
  <c r="B857" i="48"/>
  <c r="D856" i="48"/>
  <c r="C856" i="48"/>
  <c r="B856" i="48"/>
  <c r="D855" i="48"/>
  <c r="C855" i="48"/>
  <c r="B855" i="48"/>
  <c r="D854" i="48"/>
  <c r="C854" i="48"/>
  <c r="B854" i="48"/>
  <c r="D853" i="48"/>
  <c r="C853" i="48"/>
  <c r="B853" i="48"/>
  <c r="D852" i="48"/>
  <c r="C852" i="48"/>
  <c r="B852" i="48"/>
  <c r="D851" i="48"/>
  <c r="C851" i="48"/>
  <c r="B851" i="48"/>
  <c r="D850" i="48"/>
  <c r="C850" i="48"/>
  <c r="B850" i="48"/>
  <c r="D849" i="48"/>
  <c r="C849" i="48"/>
  <c r="B849" i="48"/>
  <c r="D848" i="48"/>
  <c r="C848" i="48"/>
  <c r="B848" i="48"/>
  <c r="D847" i="48"/>
  <c r="C847" i="48"/>
  <c r="B847" i="48"/>
  <c r="D846" i="48"/>
  <c r="C846" i="48"/>
  <c r="B846" i="48"/>
  <c r="D845" i="48"/>
  <c r="C845" i="48"/>
  <c r="B845" i="48"/>
  <c r="D844" i="48"/>
  <c r="C844" i="48"/>
  <c r="B844" i="48"/>
  <c r="D843" i="48"/>
  <c r="C843" i="48"/>
  <c r="B843" i="48"/>
  <c r="D842" i="48"/>
  <c r="C842" i="48"/>
  <c r="B842" i="48"/>
  <c r="D841" i="48"/>
  <c r="C841" i="48"/>
  <c r="B841" i="48"/>
  <c r="D840" i="48"/>
  <c r="C840" i="48"/>
  <c r="B840" i="48"/>
  <c r="D839" i="48"/>
  <c r="C839" i="48"/>
  <c r="B839" i="48"/>
  <c r="D838" i="48"/>
  <c r="C838" i="48"/>
  <c r="B838" i="48"/>
  <c r="D837" i="48"/>
  <c r="C837" i="48"/>
  <c r="B837" i="48"/>
  <c r="D836" i="48"/>
  <c r="C836" i="48"/>
  <c r="B836" i="48"/>
  <c r="D835" i="48"/>
  <c r="C835" i="48"/>
  <c r="B835" i="48"/>
  <c r="D834" i="48"/>
  <c r="C834" i="48"/>
  <c r="B834" i="48"/>
  <c r="D833" i="48"/>
  <c r="C833" i="48"/>
  <c r="B833" i="48"/>
  <c r="D832" i="48"/>
  <c r="C832" i="48"/>
  <c r="B832" i="48"/>
  <c r="D831" i="48"/>
  <c r="C831" i="48"/>
  <c r="B831" i="48"/>
  <c r="D830" i="48"/>
  <c r="C830" i="48"/>
  <c r="B830" i="48"/>
  <c r="D829" i="48"/>
  <c r="C829" i="48"/>
  <c r="B829" i="48"/>
  <c r="D828" i="48"/>
  <c r="C828" i="48"/>
  <c r="B828" i="48"/>
  <c r="D827" i="48"/>
  <c r="C827" i="48"/>
  <c r="B827" i="48"/>
  <c r="D826" i="48"/>
  <c r="C826" i="48"/>
  <c r="B826" i="48"/>
  <c r="D825" i="48"/>
  <c r="C825" i="48"/>
  <c r="B825" i="48"/>
  <c r="D824" i="48"/>
  <c r="C824" i="48"/>
  <c r="B824" i="48"/>
  <c r="D823" i="48"/>
  <c r="C823" i="48"/>
  <c r="B823" i="48"/>
  <c r="D822" i="48"/>
  <c r="C822" i="48"/>
  <c r="B822" i="48"/>
  <c r="D821" i="48"/>
  <c r="C821" i="48"/>
  <c r="B821" i="48"/>
  <c r="D820" i="48"/>
  <c r="C820" i="48"/>
  <c r="B820" i="48"/>
  <c r="D819" i="48"/>
  <c r="C819" i="48"/>
  <c r="B819" i="48"/>
  <c r="D818" i="48"/>
  <c r="C818" i="48"/>
  <c r="B818" i="48"/>
  <c r="D817" i="48"/>
  <c r="C817" i="48"/>
  <c r="B817" i="48"/>
  <c r="D816" i="48"/>
  <c r="C816" i="48"/>
  <c r="B816" i="48"/>
  <c r="D815" i="48"/>
  <c r="C815" i="48"/>
  <c r="B815" i="48"/>
  <c r="D814" i="48"/>
  <c r="C814" i="48"/>
  <c r="B814" i="48"/>
  <c r="D813" i="48"/>
  <c r="C813" i="48"/>
  <c r="B813" i="48"/>
  <c r="D812" i="48"/>
  <c r="C812" i="48"/>
  <c r="B812" i="48"/>
  <c r="D811" i="48"/>
  <c r="C811" i="48"/>
  <c r="B811" i="48"/>
  <c r="D810" i="48"/>
  <c r="C810" i="48"/>
  <c r="B810" i="48"/>
  <c r="D809" i="48"/>
  <c r="C809" i="48"/>
  <c r="B809" i="48"/>
  <c r="D808" i="48"/>
  <c r="C808" i="48"/>
  <c r="B808" i="48"/>
  <c r="D807" i="48"/>
  <c r="C807" i="48"/>
  <c r="B807" i="48"/>
  <c r="D806" i="48"/>
  <c r="C806" i="48"/>
  <c r="B806" i="48"/>
  <c r="D805" i="48"/>
  <c r="C805" i="48"/>
  <c r="B805" i="48"/>
  <c r="D804" i="48"/>
  <c r="C804" i="48"/>
  <c r="B804" i="48"/>
  <c r="D803" i="48"/>
  <c r="C803" i="48"/>
  <c r="B803" i="48"/>
  <c r="D802" i="48"/>
  <c r="C802" i="48"/>
  <c r="B802" i="48"/>
  <c r="D801" i="48"/>
  <c r="C801" i="48"/>
  <c r="B801" i="48"/>
  <c r="D800" i="48"/>
  <c r="C800" i="48"/>
  <c r="B800" i="48"/>
  <c r="D799" i="48"/>
  <c r="C799" i="48"/>
  <c r="B799" i="48"/>
  <c r="D798" i="48"/>
  <c r="C798" i="48"/>
  <c r="B798" i="48"/>
  <c r="D797" i="48"/>
  <c r="C797" i="48"/>
  <c r="B797" i="48"/>
  <c r="D796" i="48"/>
  <c r="C796" i="48"/>
  <c r="B796" i="48"/>
  <c r="D795" i="48"/>
  <c r="C795" i="48"/>
  <c r="B795" i="48"/>
  <c r="D794" i="48"/>
  <c r="C794" i="48"/>
  <c r="B794" i="48"/>
  <c r="D793" i="48"/>
  <c r="C793" i="48"/>
  <c r="B793" i="48"/>
  <c r="D792" i="48"/>
  <c r="C792" i="48"/>
  <c r="B792" i="48"/>
  <c r="D791" i="48"/>
  <c r="C791" i="48"/>
  <c r="B791" i="48"/>
  <c r="D790" i="48"/>
  <c r="C790" i="48"/>
  <c r="B790" i="48"/>
  <c r="D789" i="48"/>
  <c r="C789" i="48"/>
  <c r="B789" i="48"/>
  <c r="D788" i="48"/>
  <c r="C788" i="48"/>
  <c r="B788" i="48"/>
  <c r="D787" i="48"/>
  <c r="C787" i="48"/>
  <c r="B787" i="48"/>
  <c r="D786" i="48"/>
  <c r="C786" i="48"/>
  <c r="B786" i="48"/>
  <c r="D785" i="48"/>
  <c r="C785" i="48"/>
  <c r="B785" i="48"/>
  <c r="D784" i="48"/>
  <c r="C784" i="48"/>
  <c r="B784" i="48"/>
  <c r="D783" i="48"/>
  <c r="C783" i="48"/>
  <c r="B783" i="48"/>
  <c r="D782" i="48"/>
  <c r="C782" i="48"/>
  <c r="B782" i="48"/>
  <c r="D781" i="48"/>
  <c r="C781" i="48"/>
  <c r="B781" i="48"/>
  <c r="D780" i="48"/>
  <c r="C780" i="48"/>
  <c r="B780" i="48"/>
  <c r="D779" i="48"/>
  <c r="C779" i="48"/>
  <c r="B779" i="48"/>
  <c r="D778" i="48"/>
  <c r="C778" i="48"/>
  <c r="B778" i="48"/>
  <c r="D777" i="48"/>
  <c r="C777" i="48"/>
  <c r="B777" i="48"/>
  <c r="D776" i="48"/>
  <c r="C776" i="48"/>
  <c r="B776" i="48"/>
  <c r="D775" i="48"/>
  <c r="C775" i="48"/>
  <c r="B775" i="48"/>
  <c r="D774" i="48"/>
  <c r="C774" i="48"/>
  <c r="B774" i="48"/>
  <c r="D773" i="48"/>
  <c r="C773" i="48"/>
  <c r="B773" i="48"/>
  <c r="D772" i="48"/>
  <c r="C772" i="48"/>
  <c r="B772" i="48"/>
  <c r="D771" i="48"/>
  <c r="C771" i="48"/>
  <c r="B771" i="48"/>
  <c r="D770" i="48"/>
  <c r="C770" i="48"/>
  <c r="B770" i="48"/>
  <c r="D769" i="48"/>
  <c r="C769" i="48"/>
  <c r="B769" i="48"/>
  <c r="D768" i="48"/>
  <c r="C768" i="48"/>
  <c r="B768" i="48"/>
  <c r="D767" i="48"/>
  <c r="C767" i="48"/>
  <c r="B767" i="48"/>
  <c r="D766" i="48"/>
  <c r="C766" i="48"/>
  <c r="B766" i="48"/>
  <c r="D765" i="48"/>
  <c r="C765" i="48"/>
  <c r="B765" i="48"/>
  <c r="D764" i="48"/>
  <c r="C764" i="48"/>
  <c r="B764" i="48"/>
  <c r="D763" i="48"/>
  <c r="C763" i="48"/>
  <c r="B763" i="48"/>
  <c r="D762" i="48"/>
  <c r="C762" i="48"/>
  <c r="B762" i="48"/>
  <c r="D761" i="48"/>
  <c r="C761" i="48"/>
  <c r="B761" i="48"/>
  <c r="D760" i="48"/>
  <c r="C760" i="48"/>
  <c r="B760" i="48"/>
  <c r="D759" i="48"/>
  <c r="C759" i="48"/>
  <c r="B759" i="48"/>
  <c r="D758" i="48"/>
  <c r="C758" i="48"/>
  <c r="B758" i="48"/>
  <c r="D757" i="48"/>
  <c r="C757" i="48"/>
  <c r="B757" i="48"/>
  <c r="D756" i="48"/>
  <c r="C756" i="48"/>
  <c r="B756" i="48"/>
  <c r="D755" i="48"/>
  <c r="C755" i="48"/>
  <c r="B755" i="48"/>
  <c r="D754" i="48"/>
  <c r="C754" i="48"/>
  <c r="B754" i="48"/>
  <c r="D753" i="48"/>
  <c r="C753" i="48"/>
  <c r="B753" i="48"/>
  <c r="D752" i="48"/>
  <c r="C752" i="48"/>
  <c r="B752" i="48"/>
  <c r="D751" i="48"/>
  <c r="C751" i="48"/>
  <c r="B751" i="48"/>
  <c r="D750" i="48"/>
  <c r="C750" i="48"/>
  <c r="B750" i="48"/>
  <c r="D749" i="48"/>
  <c r="C749" i="48"/>
  <c r="B749" i="48"/>
  <c r="D748" i="48"/>
  <c r="C748" i="48"/>
  <c r="B748" i="48"/>
  <c r="D747" i="48"/>
  <c r="C747" i="48"/>
  <c r="B747" i="48"/>
  <c r="D746" i="48"/>
  <c r="C746" i="48"/>
  <c r="B746" i="48"/>
  <c r="D745" i="48"/>
  <c r="C745" i="48"/>
  <c r="B745" i="48"/>
  <c r="D744" i="48"/>
  <c r="C744" i="48"/>
  <c r="B744" i="48"/>
  <c r="D743" i="48"/>
  <c r="C743" i="48"/>
  <c r="B743" i="48"/>
  <c r="D742" i="48"/>
  <c r="C742" i="48"/>
  <c r="B742" i="48"/>
  <c r="D741" i="48"/>
  <c r="C741" i="48"/>
  <c r="B741" i="48"/>
  <c r="D740" i="48"/>
  <c r="C740" i="48"/>
  <c r="B740" i="48"/>
  <c r="D739" i="48"/>
  <c r="C739" i="48"/>
  <c r="B739" i="48"/>
  <c r="D738" i="48"/>
  <c r="C738" i="48"/>
  <c r="B738" i="48"/>
  <c r="D737" i="48"/>
  <c r="C737" i="48"/>
  <c r="B737" i="48"/>
  <c r="D736" i="48"/>
  <c r="C736" i="48"/>
  <c r="B736" i="48"/>
  <c r="D735" i="48"/>
  <c r="C735" i="48"/>
  <c r="B735" i="48"/>
  <c r="D734" i="48"/>
  <c r="C734" i="48"/>
  <c r="B734" i="48"/>
  <c r="D733" i="48"/>
  <c r="C733" i="48"/>
  <c r="B733" i="48"/>
  <c r="D732" i="48"/>
  <c r="C732" i="48"/>
  <c r="B732" i="48"/>
  <c r="D731" i="48"/>
  <c r="C731" i="48"/>
  <c r="B731" i="48"/>
  <c r="D730" i="48"/>
  <c r="C730" i="48"/>
  <c r="B730" i="48"/>
  <c r="D729" i="48"/>
  <c r="C729" i="48"/>
  <c r="B729" i="48"/>
  <c r="D728" i="48"/>
  <c r="C728" i="48"/>
  <c r="B728" i="48"/>
  <c r="D727" i="48"/>
  <c r="C727" i="48"/>
  <c r="B727" i="48"/>
  <c r="D726" i="48"/>
  <c r="C726" i="48"/>
  <c r="B726" i="48"/>
  <c r="D725" i="48"/>
  <c r="C725" i="48"/>
  <c r="B725" i="48"/>
  <c r="D724" i="48"/>
  <c r="C724" i="48"/>
  <c r="B724" i="48"/>
  <c r="D723" i="48"/>
  <c r="C723" i="48"/>
  <c r="B723" i="48"/>
  <c r="D722" i="48"/>
  <c r="C722" i="48"/>
  <c r="B722" i="48"/>
  <c r="D721" i="48"/>
  <c r="C721" i="48"/>
  <c r="B721" i="48"/>
  <c r="D720" i="48"/>
  <c r="C720" i="48"/>
  <c r="B720" i="48"/>
  <c r="D719" i="48"/>
  <c r="C719" i="48"/>
  <c r="B719" i="48"/>
  <c r="D718" i="48"/>
  <c r="C718" i="48"/>
  <c r="B718" i="48"/>
  <c r="D717" i="48"/>
  <c r="C717" i="48"/>
  <c r="B717" i="48"/>
  <c r="D716" i="48"/>
  <c r="C716" i="48"/>
  <c r="B716" i="48"/>
  <c r="D715" i="48"/>
  <c r="C715" i="48"/>
  <c r="B715" i="48"/>
  <c r="D714" i="48"/>
  <c r="C714" i="48"/>
  <c r="B714" i="48"/>
  <c r="D713" i="48"/>
  <c r="C713" i="48"/>
  <c r="B713" i="48"/>
  <c r="D712" i="48"/>
  <c r="C712" i="48"/>
  <c r="B712" i="48"/>
  <c r="D711" i="48"/>
  <c r="C711" i="48"/>
  <c r="B711" i="48"/>
  <c r="D710" i="48"/>
  <c r="C710" i="48"/>
  <c r="B710" i="48"/>
  <c r="D709" i="48"/>
  <c r="C709" i="48"/>
  <c r="B709" i="48"/>
  <c r="D708" i="48"/>
  <c r="C708" i="48"/>
  <c r="B708" i="48"/>
  <c r="D707" i="48"/>
  <c r="C707" i="48"/>
  <c r="B707" i="48"/>
  <c r="D706" i="48"/>
  <c r="C706" i="48"/>
  <c r="B706" i="48"/>
  <c r="D705" i="48"/>
  <c r="C705" i="48"/>
  <c r="B705" i="48"/>
  <c r="D704" i="48"/>
  <c r="C704" i="48"/>
  <c r="B704" i="48"/>
  <c r="D703" i="48"/>
  <c r="C703" i="48"/>
  <c r="B703" i="48"/>
  <c r="D702" i="48"/>
  <c r="C702" i="48"/>
  <c r="B702" i="48"/>
  <c r="D701" i="48"/>
  <c r="C701" i="48"/>
  <c r="B701" i="48"/>
  <c r="D700" i="48"/>
  <c r="C700" i="48"/>
  <c r="B700" i="48"/>
  <c r="D699" i="48"/>
  <c r="C699" i="48"/>
  <c r="B699" i="48"/>
  <c r="D698" i="48"/>
  <c r="C698" i="48"/>
  <c r="B698" i="48"/>
  <c r="D697" i="48"/>
  <c r="C697" i="48"/>
  <c r="B697" i="48"/>
  <c r="D696" i="48"/>
  <c r="C696" i="48"/>
  <c r="B696" i="48"/>
  <c r="D695" i="48"/>
  <c r="C695" i="48"/>
  <c r="B695" i="48"/>
  <c r="D694" i="48"/>
  <c r="C694" i="48"/>
  <c r="B694" i="48"/>
  <c r="D693" i="48"/>
  <c r="C693" i="48"/>
  <c r="B693" i="48"/>
  <c r="D692" i="48"/>
  <c r="C692" i="48"/>
  <c r="B692" i="48"/>
  <c r="D691" i="48"/>
  <c r="C691" i="48"/>
  <c r="B691" i="48"/>
  <c r="D690" i="48"/>
  <c r="C690" i="48"/>
  <c r="B690" i="48"/>
  <c r="D689" i="48"/>
  <c r="C689" i="48"/>
  <c r="B689" i="48"/>
  <c r="D688" i="48"/>
  <c r="C688" i="48"/>
  <c r="B688" i="48"/>
  <c r="D687" i="48"/>
  <c r="C687" i="48"/>
  <c r="B687" i="48"/>
  <c r="D686" i="48"/>
  <c r="C686" i="48"/>
  <c r="B686" i="48"/>
  <c r="D685" i="48"/>
  <c r="C685" i="48"/>
  <c r="B685" i="48"/>
  <c r="D684" i="48"/>
  <c r="C684" i="48"/>
  <c r="B684" i="48"/>
  <c r="D683" i="48"/>
  <c r="C683" i="48"/>
  <c r="B683" i="48"/>
  <c r="D682" i="48"/>
  <c r="C682" i="48"/>
  <c r="B682" i="48"/>
  <c r="D681" i="48"/>
  <c r="C681" i="48"/>
  <c r="B681" i="48"/>
  <c r="D680" i="48"/>
  <c r="C680" i="48"/>
  <c r="B680" i="48"/>
  <c r="D679" i="48"/>
  <c r="C679" i="48"/>
  <c r="B679" i="48"/>
  <c r="D678" i="48"/>
  <c r="C678" i="48"/>
  <c r="B678" i="48"/>
  <c r="D677" i="48"/>
  <c r="C677" i="48"/>
  <c r="B677" i="48"/>
  <c r="D676" i="48"/>
  <c r="C676" i="48"/>
  <c r="B676" i="48"/>
  <c r="D675" i="48"/>
  <c r="C675" i="48"/>
  <c r="B675" i="48"/>
  <c r="D674" i="48"/>
  <c r="C674" i="48"/>
  <c r="B674" i="48"/>
  <c r="D673" i="48"/>
  <c r="C673" i="48"/>
  <c r="B673" i="48"/>
  <c r="D672" i="48"/>
  <c r="C672" i="48"/>
  <c r="B672" i="48"/>
  <c r="D671" i="48"/>
  <c r="C671" i="48"/>
  <c r="B671" i="48"/>
  <c r="D670" i="48"/>
  <c r="C670" i="48"/>
  <c r="B670" i="48"/>
  <c r="D669" i="48"/>
  <c r="C669" i="48"/>
  <c r="B669" i="48"/>
  <c r="D668" i="48"/>
  <c r="C668" i="48"/>
  <c r="B668" i="48"/>
  <c r="D667" i="48"/>
  <c r="C667" i="48"/>
  <c r="B667" i="48"/>
  <c r="D666" i="48"/>
  <c r="C666" i="48"/>
  <c r="B666" i="48"/>
  <c r="D665" i="48"/>
  <c r="C665" i="48"/>
  <c r="B665" i="48"/>
  <c r="D664" i="48"/>
  <c r="C664" i="48"/>
  <c r="B664" i="48"/>
  <c r="D663" i="48"/>
  <c r="C663" i="48"/>
  <c r="B663" i="48"/>
  <c r="D662" i="48"/>
  <c r="C662" i="48"/>
  <c r="B662" i="48"/>
  <c r="D661" i="48"/>
  <c r="C661" i="48"/>
  <c r="B661" i="48"/>
  <c r="D660" i="48"/>
  <c r="C660" i="48"/>
  <c r="B660" i="48"/>
  <c r="D659" i="48"/>
  <c r="C659" i="48"/>
  <c r="B659" i="48"/>
  <c r="D658" i="48"/>
  <c r="C658" i="48"/>
  <c r="B658" i="48"/>
  <c r="D657" i="48"/>
  <c r="C657" i="48"/>
  <c r="B657" i="48"/>
  <c r="D656" i="48"/>
  <c r="C656" i="48"/>
  <c r="B656" i="48"/>
  <c r="D655" i="48"/>
  <c r="C655" i="48"/>
  <c r="B655" i="48"/>
  <c r="D654" i="48"/>
  <c r="C654" i="48"/>
  <c r="B654" i="48"/>
  <c r="D653" i="48"/>
  <c r="C653" i="48"/>
  <c r="B653" i="48"/>
  <c r="D652" i="48"/>
  <c r="C652" i="48"/>
  <c r="B652" i="48"/>
  <c r="D651" i="48"/>
  <c r="C651" i="48"/>
  <c r="B651" i="48"/>
  <c r="D650" i="48"/>
  <c r="C650" i="48"/>
  <c r="B650" i="48"/>
  <c r="D649" i="48"/>
  <c r="C649" i="48"/>
  <c r="B649" i="48"/>
  <c r="D648" i="48"/>
  <c r="C648" i="48"/>
  <c r="B648" i="48"/>
  <c r="D647" i="48"/>
  <c r="C647" i="48"/>
  <c r="B647" i="48"/>
  <c r="D646" i="48"/>
  <c r="C646" i="48"/>
  <c r="B646" i="48"/>
  <c r="D645" i="48"/>
  <c r="C645" i="48"/>
  <c r="B645" i="48"/>
  <c r="D644" i="48"/>
  <c r="C644" i="48"/>
  <c r="B644" i="48"/>
  <c r="D643" i="48"/>
  <c r="C643" i="48"/>
  <c r="B643" i="48"/>
  <c r="D642" i="48"/>
  <c r="C642" i="48"/>
  <c r="B642" i="48"/>
  <c r="D641" i="48"/>
  <c r="C641" i="48"/>
  <c r="B641" i="48"/>
  <c r="D640" i="48"/>
  <c r="C640" i="48"/>
  <c r="B640" i="48"/>
  <c r="D639" i="48"/>
  <c r="C639" i="48"/>
  <c r="B639" i="48"/>
  <c r="D638" i="48"/>
  <c r="C638" i="48"/>
  <c r="B638" i="48"/>
  <c r="D637" i="48"/>
  <c r="C637" i="48"/>
  <c r="B637" i="48"/>
  <c r="D636" i="48"/>
  <c r="C636" i="48"/>
  <c r="B636" i="48"/>
  <c r="D635" i="48"/>
  <c r="C635" i="48"/>
  <c r="B635" i="48"/>
  <c r="D634" i="48"/>
  <c r="C634" i="48"/>
  <c r="B634" i="48"/>
  <c r="D633" i="48"/>
  <c r="C633" i="48"/>
  <c r="B633" i="48"/>
  <c r="D632" i="48"/>
  <c r="C632" i="48"/>
  <c r="B632" i="48"/>
  <c r="D631" i="48"/>
  <c r="C631" i="48"/>
  <c r="B631" i="48"/>
  <c r="D630" i="48"/>
  <c r="C630" i="48"/>
  <c r="B630" i="48"/>
  <c r="D629" i="48"/>
  <c r="C629" i="48"/>
  <c r="B629" i="48"/>
  <c r="D628" i="48"/>
  <c r="C628" i="48"/>
  <c r="B628" i="48"/>
  <c r="D627" i="48"/>
  <c r="C627" i="48"/>
  <c r="B627" i="48"/>
  <c r="D626" i="48"/>
  <c r="C626" i="48"/>
  <c r="B626" i="48"/>
  <c r="D625" i="48"/>
  <c r="C625" i="48"/>
  <c r="B625" i="48"/>
  <c r="D624" i="48"/>
  <c r="C624" i="48"/>
  <c r="B624" i="48"/>
  <c r="D623" i="48"/>
  <c r="C623" i="48"/>
  <c r="B623" i="48"/>
  <c r="D622" i="48"/>
  <c r="C622" i="48"/>
  <c r="B622" i="48"/>
  <c r="D621" i="48"/>
  <c r="C621" i="48"/>
  <c r="B621" i="48"/>
  <c r="D620" i="48"/>
  <c r="C620" i="48"/>
  <c r="B620" i="48"/>
  <c r="D619" i="48"/>
  <c r="C619" i="48"/>
  <c r="B619" i="48"/>
  <c r="D618" i="48"/>
  <c r="C618" i="48"/>
  <c r="B618" i="48"/>
  <c r="D617" i="48"/>
  <c r="C617" i="48"/>
  <c r="B617" i="48"/>
  <c r="D616" i="48"/>
  <c r="C616" i="48"/>
  <c r="B616" i="48"/>
  <c r="D615" i="48"/>
  <c r="C615" i="48"/>
  <c r="B615" i="48"/>
  <c r="D614" i="48"/>
  <c r="C614" i="48"/>
  <c r="B614" i="48"/>
  <c r="D613" i="48"/>
  <c r="C613" i="48"/>
  <c r="B613" i="48"/>
  <c r="D612" i="48"/>
  <c r="C612" i="48"/>
  <c r="B612" i="48"/>
  <c r="D611" i="48"/>
  <c r="C611" i="48"/>
  <c r="B611" i="48"/>
  <c r="D610" i="48"/>
  <c r="C610" i="48"/>
  <c r="B610" i="48"/>
  <c r="D609" i="48"/>
  <c r="C609" i="48"/>
  <c r="B609" i="48"/>
  <c r="D608" i="48"/>
  <c r="C608" i="48"/>
  <c r="B608" i="48"/>
  <c r="D607" i="48"/>
  <c r="C607" i="48"/>
  <c r="B607" i="48"/>
  <c r="D606" i="48"/>
  <c r="C606" i="48"/>
  <c r="B606" i="48"/>
  <c r="D605" i="48"/>
  <c r="C605" i="48"/>
  <c r="B605" i="48"/>
  <c r="D604" i="48"/>
  <c r="C604" i="48"/>
  <c r="B604" i="48"/>
  <c r="D603" i="48"/>
  <c r="C603" i="48"/>
  <c r="B603" i="48"/>
  <c r="D602" i="48"/>
  <c r="C602" i="48"/>
  <c r="B602" i="48"/>
  <c r="D601" i="48"/>
  <c r="C601" i="48"/>
  <c r="B601" i="48"/>
  <c r="D600" i="48"/>
  <c r="C600" i="48"/>
  <c r="B600" i="48"/>
  <c r="D599" i="48"/>
  <c r="C599" i="48"/>
  <c r="B599" i="48"/>
  <c r="D598" i="48"/>
  <c r="C598" i="48"/>
  <c r="B598" i="48"/>
  <c r="D597" i="48"/>
  <c r="C597" i="48"/>
  <c r="B597" i="48"/>
  <c r="D596" i="48"/>
  <c r="C596" i="48"/>
  <c r="B596" i="48"/>
  <c r="D595" i="48"/>
  <c r="C595" i="48"/>
  <c r="B595" i="48"/>
  <c r="D594" i="48"/>
  <c r="C594" i="48"/>
  <c r="B594" i="48"/>
  <c r="D593" i="48"/>
  <c r="C593" i="48"/>
  <c r="B593" i="48"/>
  <c r="D592" i="48"/>
  <c r="C592" i="48"/>
  <c r="B592" i="48"/>
  <c r="D591" i="48"/>
  <c r="C591" i="48"/>
  <c r="B591" i="48"/>
  <c r="D590" i="48"/>
  <c r="C590" i="48"/>
  <c r="B590" i="48"/>
  <c r="D589" i="48"/>
  <c r="C589" i="48"/>
  <c r="B589" i="48"/>
  <c r="D588" i="48"/>
  <c r="C588" i="48"/>
  <c r="B588" i="48"/>
  <c r="D587" i="48"/>
  <c r="C587" i="48"/>
  <c r="B587" i="48"/>
  <c r="D586" i="48"/>
  <c r="C586" i="48"/>
  <c r="B586" i="48"/>
  <c r="D585" i="48"/>
  <c r="C585" i="48"/>
  <c r="B585" i="48"/>
  <c r="D584" i="48"/>
  <c r="C584" i="48"/>
  <c r="B584" i="48"/>
  <c r="D583" i="48"/>
  <c r="C583" i="48"/>
  <c r="B583" i="48"/>
  <c r="D582" i="48"/>
  <c r="C582" i="48"/>
  <c r="B582" i="48"/>
  <c r="D581" i="48"/>
  <c r="C581" i="48"/>
  <c r="B581" i="48"/>
  <c r="D580" i="48"/>
  <c r="C580" i="48"/>
  <c r="B580" i="48"/>
  <c r="D579" i="48"/>
  <c r="C579" i="48"/>
  <c r="B579" i="48"/>
  <c r="D578" i="48"/>
  <c r="C578" i="48"/>
  <c r="B578" i="48"/>
  <c r="D577" i="48"/>
  <c r="C577" i="48"/>
  <c r="B577" i="48"/>
  <c r="D576" i="48"/>
  <c r="C576" i="48"/>
  <c r="B576" i="48"/>
  <c r="D575" i="48"/>
  <c r="C575" i="48"/>
  <c r="B575" i="48"/>
  <c r="D574" i="48"/>
  <c r="C574" i="48"/>
  <c r="B574" i="48"/>
  <c r="D573" i="48"/>
  <c r="C573" i="48"/>
  <c r="B573" i="48"/>
  <c r="D572" i="48"/>
  <c r="C572" i="48"/>
  <c r="B572" i="48"/>
  <c r="D571" i="48"/>
  <c r="C571" i="48"/>
  <c r="B571" i="48"/>
  <c r="D570" i="48"/>
  <c r="C570" i="48"/>
  <c r="B570" i="48"/>
  <c r="D569" i="48"/>
  <c r="C569" i="48"/>
  <c r="B569" i="48"/>
  <c r="D568" i="48"/>
  <c r="C568" i="48"/>
  <c r="B568" i="48"/>
  <c r="D567" i="48"/>
  <c r="C567" i="48"/>
  <c r="B567" i="48"/>
  <c r="D566" i="48"/>
  <c r="C566" i="48"/>
  <c r="B566" i="48"/>
  <c r="D565" i="48"/>
  <c r="C565" i="48"/>
  <c r="B565" i="48"/>
  <c r="D564" i="48"/>
  <c r="C564" i="48"/>
  <c r="B564" i="48"/>
  <c r="D563" i="48"/>
  <c r="C563" i="48"/>
  <c r="B563" i="48"/>
  <c r="D562" i="48"/>
  <c r="C562" i="48"/>
  <c r="B562" i="48"/>
  <c r="D561" i="48"/>
  <c r="C561" i="48"/>
  <c r="B561" i="48"/>
  <c r="D560" i="48"/>
  <c r="C560" i="48"/>
  <c r="B560" i="48"/>
  <c r="D559" i="48"/>
  <c r="C559" i="48"/>
  <c r="B559" i="48"/>
  <c r="D558" i="48"/>
  <c r="C558" i="48"/>
  <c r="B558" i="48"/>
  <c r="D557" i="48"/>
  <c r="C557" i="48"/>
  <c r="B557" i="48"/>
  <c r="D556" i="48"/>
  <c r="C556" i="48"/>
  <c r="B556" i="48"/>
  <c r="D555" i="48"/>
  <c r="C555" i="48"/>
  <c r="B555" i="48"/>
  <c r="D554" i="48"/>
  <c r="C554" i="48"/>
  <c r="B554" i="48"/>
  <c r="D553" i="48"/>
  <c r="C553" i="48"/>
  <c r="B553" i="48"/>
  <c r="D552" i="48"/>
  <c r="C552" i="48"/>
  <c r="B552" i="48"/>
  <c r="D551" i="48"/>
  <c r="C551" i="48"/>
  <c r="B551" i="48"/>
  <c r="D550" i="48"/>
  <c r="C550" i="48"/>
  <c r="B550" i="48"/>
  <c r="D549" i="48"/>
  <c r="C549" i="48"/>
  <c r="B549" i="48"/>
  <c r="D548" i="48"/>
  <c r="C548" i="48"/>
  <c r="B548" i="48"/>
  <c r="D547" i="48"/>
  <c r="C547" i="48"/>
  <c r="B547" i="48"/>
  <c r="D546" i="48"/>
  <c r="C546" i="48"/>
  <c r="B546" i="48"/>
  <c r="D545" i="48"/>
  <c r="C545" i="48"/>
  <c r="B545" i="48"/>
  <c r="D544" i="48"/>
  <c r="C544" i="48"/>
  <c r="B544" i="48"/>
  <c r="D543" i="48"/>
  <c r="C543" i="48"/>
  <c r="B543" i="48"/>
  <c r="D542" i="48"/>
  <c r="C542" i="48"/>
  <c r="B542" i="48"/>
  <c r="D541" i="48"/>
  <c r="C541" i="48"/>
  <c r="B541" i="48"/>
  <c r="D540" i="48"/>
  <c r="C540" i="48"/>
  <c r="B540" i="48"/>
  <c r="D539" i="48"/>
  <c r="C539" i="48"/>
  <c r="B539" i="48"/>
  <c r="D538" i="48"/>
  <c r="C538" i="48"/>
  <c r="B538" i="48"/>
  <c r="D537" i="48"/>
  <c r="C537" i="48"/>
  <c r="B537" i="48"/>
  <c r="D536" i="48"/>
  <c r="C536" i="48"/>
  <c r="B536" i="48"/>
  <c r="D535" i="48"/>
  <c r="C535" i="48"/>
  <c r="B535" i="48"/>
  <c r="D534" i="48"/>
  <c r="C534" i="48"/>
  <c r="B534" i="48"/>
  <c r="D533" i="48"/>
  <c r="C533" i="48"/>
  <c r="B533" i="48"/>
  <c r="D532" i="48"/>
  <c r="C532" i="48"/>
  <c r="B532" i="48"/>
  <c r="D531" i="48"/>
  <c r="C531" i="48"/>
  <c r="B531" i="48"/>
  <c r="D530" i="48"/>
  <c r="C530" i="48"/>
  <c r="B530" i="48"/>
  <c r="D529" i="48"/>
  <c r="C529" i="48"/>
  <c r="B529" i="48"/>
  <c r="D528" i="48"/>
  <c r="C528" i="48"/>
  <c r="B528" i="48"/>
  <c r="D527" i="48"/>
  <c r="C527" i="48"/>
  <c r="B527" i="48"/>
  <c r="D526" i="48"/>
  <c r="C526" i="48"/>
  <c r="B526" i="48"/>
  <c r="D525" i="48"/>
  <c r="C525" i="48"/>
  <c r="B525" i="48"/>
  <c r="D524" i="48"/>
  <c r="C524" i="48"/>
  <c r="B524" i="48"/>
  <c r="D523" i="48"/>
  <c r="C523" i="48"/>
  <c r="B523" i="48"/>
  <c r="D522" i="48"/>
  <c r="C522" i="48"/>
  <c r="B522" i="48"/>
  <c r="D521" i="48"/>
  <c r="C521" i="48"/>
  <c r="B521" i="48"/>
  <c r="D520" i="48"/>
  <c r="C520" i="48"/>
  <c r="B520" i="48"/>
  <c r="D519" i="48"/>
  <c r="C519" i="48"/>
  <c r="B519" i="48"/>
  <c r="D518" i="48"/>
  <c r="C518" i="48"/>
  <c r="B518" i="48"/>
  <c r="D517" i="48"/>
  <c r="C517" i="48"/>
  <c r="B517" i="48"/>
  <c r="D516" i="48"/>
  <c r="C516" i="48"/>
  <c r="B516" i="48"/>
  <c r="D515" i="48"/>
  <c r="C515" i="48"/>
  <c r="B515" i="48"/>
  <c r="D514" i="48"/>
  <c r="C514" i="48"/>
  <c r="B514" i="48"/>
  <c r="D513" i="48"/>
  <c r="C513" i="48"/>
  <c r="B513" i="48"/>
  <c r="D512" i="48"/>
  <c r="C512" i="48"/>
  <c r="B512" i="48"/>
  <c r="D511" i="48"/>
  <c r="C511" i="48"/>
  <c r="B511" i="48"/>
  <c r="D510" i="48"/>
  <c r="C510" i="48"/>
  <c r="B510" i="48"/>
  <c r="D509" i="48"/>
  <c r="C509" i="48"/>
  <c r="B509" i="48"/>
  <c r="D508" i="48"/>
  <c r="C508" i="48"/>
  <c r="B508" i="48"/>
  <c r="D507" i="48"/>
  <c r="C507" i="48"/>
  <c r="B507" i="48"/>
  <c r="D506" i="48"/>
  <c r="C506" i="48"/>
  <c r="B506" i="48"/>
  <c r="D505" i="48"/>
  <c r="C505" i="48"/>
  <c r="B505" i="48"/>
  <c r="D504" i="48"/>
  <c r="C504" i="48"/>
  <c r="B504" i="48"/>
  <c r="D503" i="48"/>
  <c r="C503" i="48"/>
  <c r="B503" i="48"/>
  <c r="D502" i="48"/>
  <c r="C502" i="48"/>
  <c r="B502" i="48"/>
  <c r="D501" i="48"/>
  <c r="C501" i="48"/>
  <c r="B501" i="48"/>
  <c r="D500" i="48"/>
  <c r="C500" i="48"/>
  <c r="B500" i="48"/>
  <c r="D499" i="48"/>
  <c r="C499" i="48"/>
  <c r="B499" i="48"/>
  <c r="D498" i="48"/>
  <c r="C498" i="48"/>
  <c r="B498" i="48"/>
  <c r="D497" i="48"/>
  <c r="C497" i="48"/>
  <c r="B497" i="48"/>
  <c r="D496" i="48"/>
  <c r="C496" i="48"/>
  <c r="B496" i="48"/>
  <c r="D495" i="48"/>
  <c r="C495" i="48"/>
  <c r="B495" i="48"/>
  <c r="D494" i="48"/>
  <c r="C494" i="48"/>
  <c r="B494" i="48"/>
  <c r="D493" i="48"/>
  <c r="C493" i="48"/>
  <c r="B493" i="48"/>
  <c r="D492" i="48"/>
  <c r="C492" i="48"/>
  <c r="B492" i="48"/>
  <c r="D491" i="48"/>
  <c r="C491" i="48"/>
  <c r="B491" i="48"/>
  <c r="D490" i="48"/>
  <c r="C490" i="48"/>
  <c r="B490" i="48"/>
  <c r="D489" i="48"/>
  <c r="C489" i="48"/>
  <c r="B489" i="48"/>
  <c r="D488" i="48"/>
  <c r="C488" i="48"/>
  <c r="B488" i="48"/>
  <c r="D487" i="48"/>
  <c r="C487" i="48"/>
  <c r="B487" i="48"/>
  <c r="D486" i="48"/>
  <c r="C486" i="48"/>
  <c r="B486" i="48"/>
  <c r="D485" i="48"/>
  <c r="C485" i="48"/>
  <c r="B485" i="48"/>
  <c r="D484" i="48"/>
  <c r="C484" i="48"/>
  <c r="B484" i="48"/>
  <c r="D483" i="48"/>
  <c r="C483" i="48"/>
  <c r="B483" i="48"/>
  <c r="D482" i="48"/>
  <c r="C482" i="48"/>
  <c r="B482" i="48"/>
  <c r="D481" i="48"/>
  <c r="C481" i="48"/>
  <c r="B481" i="48"/>
  <c r="D480" i="48"/>
  <c r="C480" i="48"/>
  <c r="B480" i="48"/>
  <c r="D479" i="48"/>
  <c r="C479" i="48"/>
  <c r="B479" i="48"/>
  <c r="D478" i="48"/>
  <c r="C478" i="48"/>
  <c r="B478" i="48"/>
  <c r="D477" i="48"/>
  <c r="C477" i="48"/>
  <c r="B477" i="48"/>
  <c r="D476" i="48"/>
  <c r="C476" i="48"/>
  <c r="B476" i="48"/>
  <c r="D475" i="48"/>
  <c r="C475" i="48"/>
  <c r="B475" i="48"/>
  <c r="D474" i="48"/>
  <c r="C474" i="48"/>
  <c r="B474" i="48"/>
  <c r="D473" i="48"/>
  <c r="C473" i="48"/>
  <c r="B473" i="48"/>
  <c r="D472" i="48"/>
  <c r="C472" i="48"/>
  <c r="B472" i="48"/>
  <c r="D471" i="48"/>
  <c r="C471" i="48"/>
  <c r="B471" i="48"/>
  <c r="D470" i="48"/>
  <c r="C470" i="48"/>
  <c r="B470" i="48"/>
  <c r="D469" i="48"/>
  <c r="C469" i="48"/>
  <c r="B469" i="48"/>
  <c r="D468" i="48"/>
  <c r="C468" i="48"/>
  <c r="B468" i="48"/>
  <c r="D467" i="48"/>
  <c r="C467" i="48"/>
  <c r="B467" i="48"/>
  <c r="D466" i="48"/>
  <c r="C466" i="48"/>
  <c r="B466" i="48"/>
  <c r="D465" i="48"/>
  <c r="C465" i="48"/>
  <c r="B465" i="48"/>
  <c r="D464" i="48"/>
  <c r="C464" i="48"/>
  <c r="B464" i="48"/>
  <c r="D463" i="48"/>
  <c r="C463" i="48"/>
  <c r="B463" i="48"/>
  <c r="D462" i="48"/>
  <c r="C462" i="48"/>
  <c r="B462" i="48"/>
  <c r="D461" i="48"/>
  <c r="C461" i="48"/>
  <c r="B461" i="48"/>
  <c r="D460" i="48"/>
  <c r="C460" i="48"/>
  <c r="B460" i="48"/>
  <c r="D459" i="48"/>
  <c r="C459" i="48"/>
  <c r="B459" i="48"/>
  <c r="D458" i="48"/>
  <c r="C458" i="48"/>
  <c r="B458" i="48"/>
  <c r="D457" i="48"/>
  <c r="C457" i="48"/>
  <c r="B457" i="48"/>
  <c r="D456" i="48"/>
  <c r="C456" i="48"/>
  <c r="B456" i="48"/>
  <c r="D455" i="48"/>
  <c r="C455" i="48"/>
  <c r="B455" i="48"/>
  <c r="D454" i="48"/>
  <c r="C454" i="48"/>
  <c r="B454" i="48"/>
  <c r="D453" i="48"/>
  <c r="C453" i="48"/>
  <c r="B453" i="48"/>
  <c r="D452" i="48"/>
  <c r="C452" i="48"/>
  <c r="B452" i="48"/>
  <c r="D451" i="48"/>
  <c r="C451" i="48"/>
  <c r="B451" i="48"/>
  <c r="D450" i="48"/>
  <c r="C450" i="48"/>
  <c r="B450" i="48"/>
  <c r="D449" i="48"/>
  <c r="C449" i="48"/>
  <c r="B449" i="48"/>
  <c r="D448" i="48"/>
  <c r="C448" i="48"/>
  <c r="B448" i="48"/>
  <c r="D447" i="48"/>
  <c r="C447" i="48"/>
  <c r="B447" i="48"/>
  <c r="D446" i="48"/>
  <c r="C446" i="48"/>
  <c r="B446" i="48"/>
  <c r="D445" i="48"/>
  <c r="C445" i="48"/>
  <c r="B445" i="48"/>
  <c r="D444" i="48"/>
  <c r="C444" i="48"/>
  <c r="B444" i="48"/>
  <c r="D443" i="48"/>
  <c r="C443" i="48"/>
  <c r="B443" i="48"/>
  <c r="D442" i="48"/>
  <c r="C442" i="48"/>
  <c r="B442" i="48"/>
  <c r="D441" i="48"/>
  <c r="C441" i="48"/>
  <c r="B441" i="48"/>
  <c r="D440" i="48"/>
  <c r="C440" i="48"/>
  <c r="B440" i="48"/>
  <c r="D439" i="48"/>
  <c r="C439" i="48"/>
  <c r="B439" i="48"/>
  <c r="D438" i="48"/>
  <c r="C438" i="48"/>
  <c r="B438" i="48"/>
  <c r="D437" i="48"/>
  <c r="C437" i="48"/>
  <c r="B437" i="48"/>
  <c r="D436" i="48"/>
  <c r="C436" i="48"/>
  <c r="B436" i="48"/>
  <c r="D435" i="48"/>
  <c r="C435" i="48"/>
  <c r="B435" i="48"/>
  <c r="D434" i="48"/>
  <c r="C434" i="48"/>
  <c r="B434" i="48"/>
  <c r="D433" i="48"/>
  <c r="C433" i="48"/>
  <c r="B433" i="48"/>
  <c r="D432" i="48"/>
  <c r="C432" i="48"/>
  <c r="B432" i="48"/>
  <c r="D431" i="48"/>
  <c r="C431" i="48"/>
  <c r="B431" i="48"/>
  <c r="D430" i="48"/>
  <c r="C430" i="48"/>
  <c r="B430" i="48"/>
  <c r="D429" i="48"/>
  <c r="C429" i="48"/>
  <c r="B429" i="48"/>
  <c r="D428" i="48"/>
  <c r="C428" i="48"/>
  <c r="B428" i="48"/>
  <c r="D427" i="48"/>
  <c r="C427" i="48"/>
  <c r="B427" i="48"/>
  <c r="D426" i="48"/>
  <c r="C426" i="48"/>
  <c r="B426" i="48"/>
  <c r="D425" i="48"/>
  <c r="C425" i="48"/>
  <c r="B425" i="48"/>
  <c r="D424" i="48"/>
  <c r="C424" i="48"/>
  <c r="B424" i="48"/>
  <c r="D423" i="48"/>
  <c r="C423" i="48"/>
  <c r="B423" i="48"/>
  <c r="D422" i="48"/>
  <c r="C422" i="48"/>
  <c r="B422" i="48"/>
  <c r="D421" i="48"/>
  <c r="C421" i="48"/>
  <c r="B421" i="48"/>
  <c r="D420" i="48"/>
  <c r="C420" i="48"/>
  <c r="B420" i="48"/>
  <c r="D419" i="48"/>
  <c r="C419" i="48"/>
  <c r="B419" i="48"/>
  <c r="D418" i="48"/>
  <c r="C418" i="48"/>
  <c r="B418" i="48"/>
  <c r="D417" i="48"/>
  <c r="C417" i="48"/>
  <c r="B417" i="48"/>
  <c r="D416" i="48"/>
  <c r="C416" i="48"/>
  <c r="B416" i="48"/>
  <c r="D415" i="48"/>
  <c r="C415" i="48"/>
  <c r="B415" i="48"/>
  <c r="D414" i="48"/>
  <c r="C414" i="48"/>
  <c r="B414" i="48"/>
  <c r="D413" i="48"/>
  <c r="C413" i="48"/>
  <c r="B413" i="48"/>
  <c r="D412" i="48"/>
  <c r="C412" i="48"/>
  <c r="B412" i="48"/>
  <c r="D411" i="48"/>
  <c r="C411" i="48"/>
  <c r="B411" i="48"/>
  <c r="D410" i="48"/>
  <c r="C410" i="48"/>
  <c r="B410" i="48"/>
  <c r="D409" i="48"/>
  <c r="C409" i="48"/>
  <c r="B409" i="48"/>
  <c r="D408" i="48"/>
  <c r="C408" i="48"/>
  <c r="B408" i="48"/>
  <c r="D407" i="48"/>
  <c r="C407" i="48"/>
  <c r="B407" i="48"/>
  <c r="D406" i="48"/>
  <c r="C406" i="48"/>
  <c r="B406" i="48"/>
  <c r="D405" i="48"/>
  <c r="C405" i="48"/>
  <c r="B405" i="48"/>
  <c r="D404" i="48"/>
  <c r="C404" i="48"/>
  <c r="B404" i="48"/>
  <c r="D403" i="48"/>
  <c r="C403" i="48"/>
  <c r="B403" i="48"/>
  <c r="D402" i="48"/>
  <c r="C402" i="48"/>
  <c r="B402" i="48"/>
  <c r="D401" i="48"/>
  <c r="C401" i="48"/>
  <c r="B401" i="48"/>
  <c r="D400" i="48"/>
  <c r="C400" i="48"/>
  <c r="B400" i="48"/>
  <c r="D399" i="48"/>
  <c r="C399" i="48"/>
  <c r="B399" i="48"/>
  <c r="D398" i="48"/>
  <c r="C398" i="48"/>
  <c r="B398" i="48"/>
  <c r="D397" i="48"/>
  <c r="C397" i="48"/>
  <c r="B397" i="48"/>
  <c r="D396" i="48"/>
  <c r="C396" i="48"/>
  <c r="B396" i="48"/>
  <c r="D395" i="48"/>
  <c r="C395" i="48"/>
  <c r="B395" i="48"/>
  <c r="D394" i="48"/>
  <c r="C394" i="48"/>
  <c r="B394" i="48"/>
  <c r="D393" i="48"/>
  <c r="C393" i="48"/>
  <c r="B393" i="48"/>
  <c r="D392" i="48"/>
  <c r="C392" i="48"/>
  <c r="B392" i="48"/>
  <c r="D391" i="48"/>
  <c r="C391" i="48"/>
  <c r="B391" i="48"/>
  <c r="D390" i="48"/>
  <c r="C390" i="48"/>
  <c r="B390" i="48"/>
  <c r="D389" i="48"/>
  <c r="C389" i="48"/>
  <c r="B389" i="48"/>
  <c r="D388" i="48"/>
  <c r="C388" i="48"/>
  <c r="B388" i="48"/>
  <c r="D387" i="48"/>
  <c r="C387" i="48"/>
  <c r="B387" i="48"/>
  <c r="D386" i="48"/>
  <c r="C386" i="48"/>
  <c r="B386" i="48"/>
  <c r="D385" i="48"/>
  <c r="C385" i="48"/>
  <c r="B385" i="48"/>
  <c r="D384" i="48"/>
  <c r="C384" i="48"/>
  <c r="B384" i="48"/>
  <c r="D383" i="48"/>
  <c r="C383" i="48"/>
  <c r="B383" i="48"/>
  <c r="D382" i="48"/>
  <c r="C382" i="48"/>
  <c r="B382" i="48"/>
  <c r="D381" i="48"/>
  <c r="C381" i="48"/>
  <c r="B381" i="48"/>
  <c r="D380" i="48"/>
  <c r="C380" i="48"/>
  <c r="B380" i="48"/>
  <c r="D379" i="48"/>
  <c r="C379" i="48"/>
  <c r="B379" i="48"/>
  <c r="D378" i="48"/>
  <c r="C378" i="48"/>
  <c r="B378" i="48"/>
  <c r="D377" i="48"/>
  <c r="C377" i="48"/>
  <c r="B377" i="48"/>
  <c r="D376" i="48"/>
  <c r="C376" i="48"/>
  <c r="B376" i="48"/>
  <c r="D375" i="48"/>
  <c r="C375" i="48"/>
  <c r="B375" i="48"/>
  <c r="D374" i="48"/>
  <c r="C374" i="48"/>
  <c r="B374" i="48"/>
  <c r="D373" i="48"/>
  <c r="C373" i="48"/>
  <c r="B373" i="48"/>
  <c r="D372" i="48"/>
  <c r="C372" i="48"/>
  <c r="B372" i="48"/>
  <c r="D371" i="48"/>
  <c r="C371" i="48"/>
  <c r="B371" i="48"/>
  <c r="D370" i="48"/>
  <c r="C370" i="48"/>
  <c r="B370" i="48"/>
  <c r="D369" i="48"/>
  <c r="C369" i="48"/>
  <c r="B369" i="48"/>
  <c r="D368" i="48"/>
  <c r="C368" i="48"/>
  <c r="B368" i="48"/>
  <c r="D367" i="48"/>
  <c r="C367" i="48"/>
  <c r="B367" i="48"/>
  <c r="D366" i="48"/>
  <c r="C366" i="48"/>
  <c r="B366" i="48"/>
  <c r="D365" i="48"/>
  <c r="C365" i="48"/>
  <c r="B365" i="48"/>
  <c r="D364" i="48"/>
  <c r="C364" i="48"/>
  <c r="B364" i="48"/>
  <c r="D363" i="48"/>
  <c r="C363" i="48"/>
  <c r="B363" i="48"/>
  <c r="D362" i="48"/>
  <c r="C362" i="48"/>
  <c r="B362" i="48"/>
  <c r="D361" i="48"/>
  <c r="C361" i="48"/>
  <c r="B361" i="48"/>
  <c r="D360" i="48"/>
  <c r="C360" i="48"/>
  <c r="B360" i="48"/>
  <c r="D359" i="48"/>
  <c r="C359" i="48"/>
  <c r="B359" i="48"/>
  <c r="D358" i="48"/>
  <c r="C358" i="48"/>
  <c r="B358" i="48"/>
  <c r="D357" i="48"/>
  <c r="C357" i="48"/>
  <c r="B357" i="48"/>
  <c r="D356" i="48"/>
  <c r="C356" i="48"/>
  <c r="B356" i="48"/>
  <c r="D355" i="48"/>
  <c r="C355" i="48"/>
  <c r="B355" i="48"/>
  <c r="D354" i="48"/>
  <c r="C354" i="48"/>
  <c r="B354" i="48"/>
  <c r="D353" i="48"/>
  <c r="C353" i="48"/>
  <c r="B353" i="48"/>
  <c r="D352" i="48"/>
  <c r="C352" i="48"/>
  <c r="B352" i="48"/>
  <c r="D351" i="48"/>
  <c r="C351" i="48"/>
  <c r="B351" i="48"/>
  <c r="D350" i="48"/>
  <c r="C350" i="48"/>
  <c r="B350" i="48"/>
  <c r="D349" i="48"/>
  <c r="C349" i="48"/>
  <c r="B349" i="48"/>
  <c r="D348" i="48"/>
  <c r="C348" i="48"/>
  <c r="B348" i="48"/>
  <c r="D347" i="48"/>
  <c r="C347" i="48"/>
  <c r="B347" i="48"/>
  <c r="D346" i="48"/>
  <c r="C346" i="48"/>
  <c r="B346" i="48"/>
  <c r="D345" i="48"/>
  <c r="C345" i="48"/>
  <c r="B345" i="48"/>
  <c r="D344" i="48"/>
  <c r="C344" i="48"/>
  <c r="B344" i="48"/>
  <c r="D343" i="48"/>
  <c r="C343" i="48"/>
  <c r="B343" i="48"/>
  <c r="D342" i="48"/>
  <c r="C342" i="48"/>
  <c r="B342" i="48"/>
  <c r="D341" i="48"/>
  <c r="C341" i="48"/>
  <c r="B341" i="48"/>
  <c r="D340" i="48"/>
  <c r="C340" i="48"/>
  <c r="B340" i="48"/>
  <c r="D339" i="48"/>
  <c r="C339" i="48"/>
  <c r="B339" i="48"/>
  <c r="D338" i="48"/>
  <c r="C338" i="48"/>
  <c r="B338" i="48"/>
  <c r="D337" i="48"/>
  <c r="C337" i="48"/>
  <c r="B337" i="48"/>
  <c r="D336" i="48"/>
  <c r="C336" i="48"/>
  <c r="B336" i="48"/>
  <c r="D335" i="48"/>
  <c r="C335" i="48"/>
  <c r="B335" i="48"/>
  <c r="D334" i="48"/>
  <c r="C334" i="48"/>
  <c r="B334" i="48"/>
  <c r="D333" i="48"/>
  <c r="C333" i="48"/>
  <c r="B333" i="48"/>
  <c r="D332" i="48"/>
  <c r="C332" i="48"/>
  <c r="B332" i="48"/>
  <c r="D331" i="48"/>
  <c r="C331" i="48"/>
  <c r="B331" i="48"/>
  <c r="D330" i="48"/>
  <c r="C330" i="48"/>
  <c r="B330" i="48"/>
  <c r="D329" i="48"/>
  <c r="C329" i="48"/>
  <c r="B329" i="48"/>
  <c r="D328" i="48"/>
  <c r="C328" i="48"/>
  <c r="B328" i="48"/>
  <c r="D327" i="48"/>
  <c r="C327" i="48"/>
  <c r="B327" i="48"/>
  <c r="D326" i="48"/>
  <c r="C326" i="48"/>
  <c r="B326" i="48"/>
  <c r="D325" i="48"/>
  <c r="C325" i="48"/>
  <c r="B325" i="48"/>
  <c r="D324" i="48"/>
  <c r="C324" i="48"/>
  <c r="B324" i="48"/>
  <c r="D323" i="48"/>
  <c r="C323" i="48"/>
  <c r="B323" i="48"/>
  <c r="D322" i="48"/>
  <c r="C322" i="48"/>
  <c r="B322" i="48"/>
  <c r="D321" i="48"/>
  <c r="C321" i="48"/>
  <c r="B321" i="48"/>
  <c r="D320" i="48"/>
  <c r="C320" i="48"/>
  <c r="B320" i="48"/>
  <c r="D319" i="48"/>
  <c r="C319" i="48"/>
  <c r="B319" i="48"/>
  <c r="D318" i="48"/>
  <c r="C318" i="48"/>
  <c r="B318" i="48"/>
  <c r="D317" i="48"/>
  <c r="C317" i="48"/>
  <c r="B317" i="48"/>
  <c r="D316" i="48"/>
  <c r="C316" i="48"/>
  <c r="B316" i="48"/>
  <c r="D315" i="48"/>
  <c r="C315" i="48"/>
  <c r="B315" i="48"/>
  <c r="D314" i="48"/>
  <c r="C314" i="48"/>
  <c r="B314" i="48"/>
  <c r="D313" i="48"/>
  <c r="C313" i="48"/>
  <c r="B313" i="48"/>
  <c r="D312" i="48"/>
  <c r="C312" i="48"/>
  <c r="B312" i="48"/>
  <c r="D311" i="48"/>
  <c r="C311" i="48"/>
  <c r="B311" i="48"/>
  <c r="D310" i="48"/>
  <c r="C310" i="48"/>
  <c r="B310" i="48"/>
  <c r="D309" i="48"/>
  <c r="C309" i="48"/>
  <c r="B309" i="48"/>
  <c r="D308" i="48"/>
  <c r="C308" i="48"/>
  <c r="B308" i="48"/>
  <c r="D307" i="48"/>
  <c r="C307" i="48"/>
  <c r="B307" i="48"/>
  <c r="D306" i="48"/>
  <c r="C306" i="48"/>
  <c r="B306" i="48"/>
  <c r="D305" i="48"/>
  <c r="C305" i="48"/>
  <c r="B305" i="48"/>
  <c r="D304" i="48"/>
  <c r="C304" i="48"/>
  <c r="B304" i="48"/>
  <c r="D303" i="48"/>
  <c r="C303" i="48"/>
  <c r="B303" i="48"/>
  <c r="D302" i="48"/>
  <c r="C302" i="48"/>
  <c r="B302" i="48"/>
  <c r="D301" i="48"/>
  <c r="C301" i="48"/>
  <c r="B301" i="48"/>
  <c r="D300" i="48"/>
  <c r="C300" i="48"/>
  <c r="B300" i="48"/>
  <c r="D299" i="48"/>
  <c r="C299" i="48"/>
  <c r="B299" i="48"/>
  <c r="D298" i="48"/>
  <c r="C298" i="48"/>
  <c r="B298" i="48"/>
  <c r="D297" i="48"/>
  <c r="C297" i="48"/>
  <c r="B297" i="48"/>
  <c r="D296" i="48"/>
  <c r="C296" i="48"/>
  <c r="B296" i="48"/>
  <c r="D295" i="48"/>
  <c r="C295" i="48"/>
  <c r="B295" i="48"/>
  <c r="D294" i="48"/>
  <c r="C294" i="48"/>
  <c r="B294" i="48"/>
  <c r="D293" i="48"/>
  <c r="C293" i="48"/>
  <c r="B293" i="48"/>
  <c r="D292" i="48"/>
  <c r="C292" i="48"/>
  <c r="B292" i="48"/>
  <c r="D291" i="48"/>
  <c r="C291" i="48"/>
  <c r="B291" i="48"/>
  <c r="D290" i="48"/>
  <c r="C290" i="48"/>
  <c r="B290" i="48"/>
  <c r="D289" i="48"/>
  <c r="C289" i="48"/>
  <c r="B289" i="48"/>
  <c r="D288" i="48"/>
  <c r="C288" i="48"/>
  <c r="B288" i="48"/>
  <c r="D287" i="48"/>
  <c r="C287" i="48"/>
  <c r="B287" i="48"/>
  <c r="D286" i="48"/>
  <c r="C286" i="48"/>
  <c r="B286" i="48"/>
  <c r="D285" i="48"/>
  <c r="C285" i="48"/>
  <c r="B285" i="48"/>
  <c r="D284" i="48"/>
  <c r="C284" i="48"/>
  <c r="B284" i="48"/>
  <c r="D283" i="48"/>
  <c r="C283" i="48"/>
  <c r="B283" i="48"/>
  <c r="D282" i="48"/>
  <c r="C282" i="48"/>
  <c r="B282" i="48"/>
  <c r="D281" i="48"/>
  <c r="C281" i="48"/>
  <c r="B281" i="48"/>
  <c r="D280" i="48"/>
  <c r="C280" i="48"/>
  <c r="B280" i="48"/>
  <c r="D279" i="48"/>
  <c r="C279" i="48"/>
  <c r="B279" i="48"/>
  <c r="D278" i="48"/>
  <c r="C278" i="48"/>
  <c r="B278" i="48"/>
  <c r="D277" i="48"/>
  <c r="C277" i="48"/>
  <c r="B277" i="48"/>
  <c r="D276" i="48"/>
  <c r="C276" i="48"/>
  <c r="B276" i="48"/>
  <c r="D275" i="48"/>
  <c r="C275" i="48"/>
  <c r="B275" i="48"/>
  <c r="D274" i="48"/>
  <c r="C274" i="48"/>
  <c r="B274" i="48"/>
  <c r="D273" i="48"/>
  <c r="C273" i="48"/>
  <c r="B273" i="48"/>
  <c r="D272" i="48"/>
  <c r="C272" i="48"/>
  <c r="B272" i="48"/>
  <c r="D271" i="48"/>
  <c r="C271" i="48"/>
  <c r="B271" i="48"/>
  <c r="D270" i="48"/>
  <c r="C270" i="48"/>
  <c r="B270" i="48"/>
  <c r="D269" i="48"/>
  <c r="C269" i="48"/>
  <c r="B269" i="48"/>
  <c r="D268" i="48"/>
  <c r="C268" i="48"/>
  <c r="B268" i="48"/>
  <c r="D267" i="48"/>
  <c r="C267" i="48"/>
  <c r="B267" i="48"/>
  <c r="D266" i="48"/>
  <c r="C266" i="48"/>
  <c r="B266" i="48"/>
  <c r="D265" i="48"/>
  <c r="C265" i="48"/>
  <c r="B265" i="48"/>
  <c r="D264" i="48"/>
  <c r="C264" i="48"/>
  <c r="B264" i="48"/>
  <c r="D263" i="48"/>
  <c r="C263" i="48"/>
  <c r="B263" i="48"/>
  <c r="D262" i="48"/>
  <c r="C262" i="48"/>
  <c r="B262" i="48"/>
  <c r="D261" i="48"/>
  <c r="C261" i="48"/>
  <c r="B261" i="48"/>
  <c r="D260" i="48"/>
  <c r="C260" i="48"/>
  <c r="B260" i="48"/>
  <c r="D259" i="48"/>
  <c r="C259" i="48"/>
  <c r="B259" i="48"/>
  <c r="D258" i="48"/>
  <c r="C258" i="48"/>
  <c r="B258" i="48"/>
  <c r="D257" i="48"/>
  <c r="C257" i="48"/>
  <c r="B257" i="48"/>
  <c r="D256" i="48"/>
  <c r="C256" i="48"/>
  <c r="B256" i="48"/>
  <c r="D255" i="48"/>
  <c r="C255" i="48"/>
  <c r="B255" i="48"/>
  <c r="D254" i="48"/>
  <c r="C254" i="48"/>
  <c r="B254" i="48"/>
  <c r="D253" i="48"/>
  <c r="C253" i="48"/>
  <c r="B253" i="48"/>
  <c r="D252" i="48"/>
  <c r="C252" i="48"/>
  <c r="B252" i="48"/>
  <c r="D251" i="48"/>
  <c r="C251" i="48"/>
  <c r="B251" i="48"/>
  <c r="D250" i="48"/>
  <c r="C250" i="48"/>
  <c r="B250" i="48"/>
  <c r="D249" i="48"/>
  <c r="C249" i="48"/>
  <c r="B249" i="48"/>
  <c r="D248" i="48"/>
  <c r="C248" i="48"/>
  <c r="B248" i="48"/>
  <c r="D247" i="48"/>
  <c r="C247" i="48"/>
  <c r="B247" i="48"/>
  <c r="D246" i="48"/>
  <c r="C246" i="48"/>
  <c r="B246" i="48"/>
  <c r="D245" i="48"/>
  <c r="C245" i="48"/>
  <c r="B245" i="48"/>
  <c r="D244" i="48"/>
  <c r="C244" i="48"/>
  <c r="B244" i="48"/>
  <c r="D243" i="48"/>
  <c r="C243" i="48"/>
  <c r="B243" i="48"/>
  <c r="D242" i="48"/>
  <c r="C242" i="48"/>
  <c r="B242" i="48"/>
  <c r="D241" i="48"/>
  <c r="C241" i="48"/>
  <c r="B241" i="48"/>
  <c r="D240" i="48"/>
  <c r="C240" i="48"/>
  <c r="B240" i="48"/>
  <c r="D239" i="48"/>
  <c r="C239" i="48"/>
  <c r="B239" i="48"/>
  <c r="D238" i="48"/>
  <c r="C238" i="48"/>
  <c r="B238" i="48"/>
  <c r="D237" i="48"/>
  <c r="C237" i="48"/>
  <c r="B237" i="48"/>
  <c r="D236" i="48"/>
  <c r="C236" i="48"/>
  <c r="B236" i="48"/>
  <c r="D235" i="48"/>
  <c r="C235" i="48"/>
  <c r="B235" i="48"/>
  <c r="D234" i="48"/>
  <c r="C234" i="48"/>
  <c r="B234" i="48"/>
  <c r="D233" i="48"/>
  <c r="C233" i="48"/>
  <c r="B233" i="48"/>
  <c r="D232" i="48"/>
  <c r="C232" i="48"/>
  <c r="B232" i="48"/>
  <c r="D231" i="48"/>
  <c r="C231" i="48"/>
  <c r="B231" i="48"/>
  <c r="D230" i="48"/>
  <c r="C230" i="48"/>
  <c r="B230" i="48"/>
  <c r="D229" i="48"/>
  <c r="C229" i="48"/>
  <c r="B229" i="48"/>
  <c r="D228" i="48"/>
  <c r="C228" i="48"/>
  <c r="B228" i="48"/>
  <c r="D227" i="48"/>
  <c r="C227" i="48"/>
  <c r="B227" i="48"/>
  <c r="D226" i="48"/>
  <c r="C226" i="48"/>
  <c r="B226" i="48"/>
  <c r="D225" i="48"/>
  <c r="C225" i="48"/>
  <c r="B225" i="48"/>
  <c r="D224" i="48"/>
  <c r="C224" i="48"/>
  <c r="B224" i="48"/>
  <c r="D223" i="48"/>
  <c r="C223" i="48"/>
  <c r="B223" i="48"/>
  <c r="D222" i="48"/>
  <c r="C222" i="48"/>
  <c r="B222" i="48"/>
  <c r="D221" i="48"/>
  <c r="C221" i="48"/>
  <c r="B221" i="48"/>
  <c r="D220" i="48"/>
  <c r="C220" i="48"/>
  <c r="B220" i="48"/>
  <c r="D219" i="48"/>
  <c r="C219" i="48"/>
  <c r="B219" i="48"/>
  <c r="D218" i="48"/>
  <c r="C218" i="48"/>
  <c r="B218" i="48"/>
  <c r="D217" i="48"/>
  <c r="C217" i="48"/>
  <c r="B217" i="48"/>
  <c r="D216" i="48"/>
  <c r="C216" i="48"/>
  <c r="B216" i="48"/>
  <c r="D215" i="48"/>
  <c r="C215" i="48"/>
  <c r="B215" i="48"/>
  <c r="D214" i="48"/>
  <c r="C214" i="48"/>
  <c r="B214" i="48"/>
  <c r="D213" i="48"/>
  <c r="C213" i="48"/>
  <c r="B213" i="48"/>
  <c r="D212" i="48"/>
  <c r="C212" i="48"/>
  <c r="B212" i="48"/>
  <c r="D211" i="48"/>
  <c r="C211" i="48"/>
  <c r="B211" i="48"/>
  <c r="D210" i="48"/>
  <c r="C210" i="48"/>
  <c r="B210" i="48"/>
  <c r="D209" i="48"/>
  <c r="C209" i="48"/>
  <c r="B209" i="48"/>
  <c r="D208" i="48"/>
  <c r="C208" i="48"/>
  <c r="B208" i="48"/>
  <c r="D207" i="48"/>
  <c r="C207" i="48"/>
  <c r="B207" i="48"/>
  <c r="D206" i="48"/>
  <c r="C206" i="48"/>
  <c r="B206" i="48"/>
  <c r="D205" i="48"/>
  <c r="C205" i="48"/>
  <c r="B205" i="48"/>
  <c r="D204" i="48"/>
  <c r="C204" i="48"/>
  <c r="B204" i="48"/>
  <c r="D203" i="48"/>
  <c r="C203" i="48"/>
  <c r="B203" i="48"/>
  <c r="D202" i="48"/>
  <c r="C202" i="48"/>
  <c r="B202" i="48"/>
  <c r="D201" i="48"/>
  <c r="C201" i="48"/>
  <c r="B201" i="48"/>
  <c r="D200" i="48"/>
  <c r="C200" i="48"/>
  <c r="B200" i="48"/>
  <c r="D199" i="48"/>
  <c r="C199" i="48"/>
  <c r="B199" i="48"/>
  <c r="D198" i="48"/>
  <c r="C198" i="48"/>
  <c r="B198" i="48"/>
  <c r="D197" i="48"/>
  <c r="C197" i="48"/>
  <c r="B197" i="48"/>
  <c r="D196" i="48"/>
  <c r="C196" i="48"/>
  <c r="B196" i="48"/>
  <c r="D195" i="48"/>
  <c r="C195" i="48"/>
  <c r="B195" i="48"/>
  <c r="D194" i="48"/>
  <c r="C194" i="48"/>
  <c r="B194" i="48"/>
  <c r="D193" i="48"/>
  <c r="C193" i="48"/>
  <c r="B193" i="48"/>
  <c r="D192" i="48"/>
  <c r="C192" i="48"/>
  <c r="B192" i="48"/>
  <c r="D191" i="48"/>
  <c r="C191" i="48"/>
  <c r="B191" i="48"/>
  <c r="D190" i="48"/>
  <c r="C190" i="48"/>
  <c r="B190" i="48"/>
  <c r="D189" i="48"/>
  <c r="C189" i="48"/>
  <c r="B189" i="48"/>
  <c r="D188" i="48"/>
  <c r="C188" i="48"/>
  <c r="B188" i="48"/>
  <c r="D187" i="48"/>
  <c r="C187" i="48"/>
  <c r="B187" i="48"/>
  <c r="D186" i="48"/>
  <c r="C186" i="48"/>
  <c r="B186" i="48"/>
  <c r="D185" i="48"/>
  <c r="C185" i="48"/>
  <c r="B185" i="48"/>
  <c r="D184" i="48"/>
  <c r="C184" i="48"/>
  <c r="B184" i="48"/>
  <c r="D183" i="48"/>
  <c r="C183" i="48"/>
  <c r="B183" i="48"/>
  <c r="D182" i="48"/>
  <c r="C182" i="48"/>
  <c r="B182" i="48"/>
  <c r="D181" i="48"/>
  <c r="C181" i="48"/>
  <c r="B181" i="48"/>
  <c r="D180" i="48"/>
  <c r="C180" i="48"/>
  <c r="B180" i="48"/>
  <c r="D179" i="48"/>
  <c r="C179" i="48"/>
  <c r="B179" i="48"/>
  <c r="D178" i="48"/>
  <c r="C178" i="48"/>
  <c r="B178" i="48"/>
  <c r="D177" i="48"/>
  <c r="C177" i="48"/>
  <c r="B177" i="48"/>
  <c r="D176" i="48"/>
  <c r="C176" i="48"/>
  <c r="B176" i="48"/>
  <c r="D175" i="48"/>
  <c r="C175" i="48"/>
  <c r="B175" i="48"/>
  <c r="D174" i="48"/>
  <c r="C174" i="48"/>
  <c r="B174" i="48"/>
  <c r="D173" i="48"/>
  <c r="C173" i="48"/>
  <c r="B173" i="48"/>
  <c r="D172" i="48"/>
  <c r="C172" i="48"/>
  <c r="B172" i="48"/>
  <c r="D171" i="48"/>
  <c r="C171" i="48"/>
  <c r="B171" i="48"/>
  <c r="D170" i="48"/>
  <c r="C170" i="48"/>
  <c r="B170" i="48"/>
  <c r="D169" i="48"/>
  <c r="C169" i="48"/>
  <c r="B169" i="48"/>
  <c r="D168" i="48"/>
  <c r="C168" i="48"/>
  <c r="B168" i="48"/>
  <c r="D167" i="48"/>
  <c r="C167" i="48"/>
  <c r="B167" i="48"/>
  <c r="D166" i="48"/>
  <c r="C166" i="48"/>
  <c r="B166" i="48"/>
  <c r="D165" i="48"/>
  <c r="C165" i="48"/>
  <c r="B165" i="48"/>
  <c r="D164" i="48"/>
  <c r="C164" i="48"/>
  <c r="B164" i="48"/>
  <c r="D163" i="48"/>
  <c r="C163" i="48"/>
  <c r="B163" i="48"/>
  <c r="D162" i="48"/>
  <c r="C162" i="48"/>
  <c r="B162" i="48"/>
  <c r="D161" i="48"/>
  <c r="C161" i="48"/>
  <c r="B161" i="48"/>
  <c r="D160" i="48"/>
  <c r="C160" i="48"/>
  <c r="B160" i="48"/>
  <c r="D159" i="48"/>
  <c r="C159" i="48"/>
  <c r="B159" i="48"/>
  <c r="D158" i="48"/>
  <c r="C158" i="48"/>
  <c r="B158" i="48"/>
  <c r="D157" i="48"/>
  <c r="C157" i="48"/>
  <c r="B157" i="48"/>
  <c r="D156" i="48"/>
  <c r="C156" i="48"/>
  <c r="B156" i="48"/>
  <c r="D155" i="48"/>
  <c r="C155" i="48"/>
  <c r="B155" i="48"/>
  <c r="D154" i="48"/>
  <c r="C154" i="48"/>
  <c r="B154" i="48"/>
  <c r="D153" i="48"/>
  <c r="C153" i="48"/>
  <c r="B153" i="48"/>
  <c r="D152" i="48"/>
  <c r="C152" i="48"/>
  <c r="B152" i="48"/>
  <c r="D151" i="48"/>
  <c r="C151" i="48"/>
  <c r="B151" i="48"/>
  <c r="D150" i="48"/>
  <c r="C150" i="48"/>
  <c r="B150" i="48"/>
  <c r="D149" i="48"/>
  <c r="C149" i="48"/>
  <c r="B149" i="48"/>
  <c r="D148" i="48"/>
  <c r="C148" i="48"/>
  <c r="B148" i="48"/>
  <c r="D147" i="48"/>
  <c r="C147" i="48"/>
  <c r="B147" i="48"/>
  <c r="D146" i="48"/>
  <c r="C146" i="48"/>
  <c r="B146" i="48"/>
  <c r="D145" i="48"/>
  <c r="C145" i="48"/>
  <c r="B145" i="48"/>
  <c r="D144" i="48"/>
  <c r="C144" i="48"/>
  <c r="B144" i="48"/>
  <c r="D143" i="48"/>
  <c r="C143" i="48"/>
  <c r="B143" i="48"/>
  <c r="D142" i="48"/>
  <c r="C142" i="48"/>
  <c r="B142" i="48"/>
  <c r="D141" i="48"/>
  <c r="C141" i="48"/>
  <c r="B141" i="48"/>
  <c r="D140" i="48"/>
  <c r="C140" i="48"/>
  <c r="B140" i="48"/>
  <c r="D139" i="48"/>
  <c r="C139" i="48"/>
  <c r="B139" i="48"/>
  <c r="D138" i="48"/>
  <c r="C138" i="48"/>
  <c r="B138" i="48"/>
  <c r="D137" i="48"/>
  <c r="C137" i="48"/>
  <c r="B137" i="48"/>
  <c r="D136" i="48"/>
  <c r="C136" i="48"/>
  <c r="B136" i="48"/>
  <c r="D135" i="48"/>
  <c r="C135" i="48"/>
  <c r="B135" i="48"/>
  <c r="D134" i="48"/>
  <c r="C134" i="48"/>
  <c r="B134" i="48"/>
  <c r="D133" i="48"/>
  <c r="C133" i="48"/>
  <c r="B133" i="48"/>
  <c r="D132" i="48"/>
  <c r="C132" i="48"/>
  <c r="B132" i="48"/>
  <c r="D131" i="48"/>
  <c r="C131" i="48"/>
  <c r="B131" i="48"/>
  <c r="D130" i="48"/>
  <c r="C130" i="48"/>
  <c r="B130" i="48"/>
  <c r="D129" i="48"/>
  <c r="C129" i="48"/>
  <c r="B129" i="48"/>
  <c r="D128" i="48"/>
  <c r="C128" i="48"/>
  <c r="B128" i="48"/>
  <c r="D127" i="48"/>
  <c r="C127" i="48"/>
  <c r="B127" i="48"/>
  <c r="D126" i="48"/>
  <c r="C126" i="48"/>
  <c r="B126" i="48"/>
  <c r="D125" i="48"/>
  <c r="C125" i="48"/>
  <c r="B125" i="48"/>
  <c r="D124" i="48"/>
  <c r="C124" i="48"/>
  <c r="B124" i="48"/>
  <c r="D123" i="48"/>
  <c r="C123" i="48"/>
  <c r="B123" i="48"/>
  <c r="D122" i="48"/>
  <c r="C122" i="48"/>
  <c r="B122" i="48"/>
  <c r="D121" i="48"/>
  <c r="C121" i="48"/>
  <c r="B121" i="48"/>
  <c r="D120" i="48"/>
  <c r="C120" i="48"/>
  <c r="B120" i="48"/>
  <c r="D119" i="48"/>
  <c r="C119" i="48"/>
  <c r="B119" i="48"/>
  <c r="D118" i="48"/>
  <c r="C118" i="48"/>
  <c r="B118" i="48"/>
  <c r="D117" i="48"/>
  <c r="C117" i="48"/>
  <c r="B117" i="48"/>
  <c r="D116" i="48"/>
  <c r="C116" i="48"/>
  <c r="B116" i="48"/>
  <c r="D115" i="48"/>
  <c r="C115" i="48"/>
  <c r="B115" i="48"/>
  <c r="D114" i="48"/>
  <c r="C114" i="48"/>
  <c r="B114" i="48"/>
  <c r="D113" i="48"/>
  <c r="C113" i="48"/>
  <c r="B113" i="48"/>
  <c r="D112" i="48"/>
  <c r="C112" i="48"/>
  <c r="B112" i="48"/>
  <c r="D111" i="48"/>
  <c r="C111" i="48"/>
  <c r="B111" i="48"/>
  <c r="D110" i="48"/>
  <c r="C110" i="48"/>
  <c r="B110" i="48"/>
  <c r="D109" i="48"/>
  <c r="C109" i="48"/>
  <c r="B109" i="48"/>
  <c r="D108" i="48"/>
  <c r="C108" i="48"/>
  <c r="B108" i="48"/>
  <c r="D107" i="48"/>
  <c r="C107" i="48"/>
  <c r="B107" i="48"/>
  <c r="D106" i="48"/>
  <c r="C106" i="48"/>
  <c r="B106" i="48"/>
  <c r="D105" i="48"/>
  <c r="C105" i="48"/>
  <c r="B105" i="48"/>
  <c r="D104" i="48"/>
  <c r="C104" i="48"/>
  <c r="B104" i="48"/>
  <c r="D103" i="48"/>
  <c r="C103" i="48"/>
  <c r="B103" i="48"/>
  <c r="D102" i="48"/>
  <c r="C102" i="48"/>
  <c r="B102" i="48"/>
  <c r="D101" i="48"/>
  <c r="C101" i="48"/>
  <c r="B101" i="48"/>
  <c r="D100" i="48"/>
  <c r="C100" i="48"/>
  <c r="B100" i="48"/>
  <c r="D99" i="48"/>
  <c r="C99" i="48"/>
  <c r="B99" i="48"/>
  <c r="D98" i="48"/>
  <c r="C98" i="48"/>
  <c r="B98" i="48"/>
  <c r="D97" i="48"/>
  <c r="C97" i="48"/>
  <c r="B97" i="48"/>
  <c r="D96" i="48"/>
  <c r="C96" i="48"/>
  <c r="B96" i="48"/>
  <c r="D95" i="48"/>
  <c r="C95" i="48"/>
  <c r="B95" i="48"/>
  <c r="D94" i="48"/>
  <c r="C94" i="48"/>
  <c r="B94" i="48"/>
  <c r="D93" i="48"/>
  <c r="C93" i="48"/>
  <c r="B93" i="48"/>
  <c r="D92" i="48"/>
  <c r="C92" i="48"/>
  <c r="B92" i="48"/>
  <c r="D91" i="48"/>
  <c r="C91" i="48"/>
  <c r="B91" i="48"/>
  <c r="D90" i="48"/>
  <c r="C90" i="48"/>
  <c r="B90" i="48"/>
  <c r="D89" i="48"/>
  <c r="C89" i="48"/>
  <c r="B89" i="48"/>
  <c r="D88" i="48"/>
  <c r="C88" i="48"/>
  <c r="B88" i="48"/>
  <c r="D87" i="48"/>
  <c r="C87" i="48"/>
  <c r="B87" i="48"/>
  <c r="D86" i="48"/>
  <c r="C86" i="48"/>
  <c r="B86" i="48"/>
  <c r="D85" i="48"/>
  <c r="C85" i="48"/>
  <c r="B85" i="48"/>
  <c r="D84" i="48"/>
  <c r="C84" i="48"/>
  <c r="B84" i="48"/>
  <c r="D83" i="48"/>
  <c r="C83" i="48"/>
  <c r="B83" i="48"/>
  <c r="D82" i="48"/>
  <c r="C82" i="48"/>
  <c r="B82" i="48"/>
  <c r="D81" i="48"/>
  <c r="C81" i="48"/>
  <c r="B81" i="48"/>
  <c r="D80" i="48"/>
  <c r="C80" i="48"/>
  <c r="B80" i="48"/>
  <c r="D79" i="48"/>
  <c r="C79" i="48"/>
  <c r="B79" i="48"/>
  <c r="D78" i="48"/>
  <c r="C78" i="48"/>
  <c r="B78" i="48"/>
  <c r="D77" i="48"/>
  <c r="C77" i="48"/>
  <c r="B77" i="48"/>
  <c r="D76" i="48"/>
  <c r="C76" i="48"/>
  <c r="B76" i="48"/>
  <c r="D75" i="48"/>
  <c r="C75" i="48"/>
  <c r="B75" i="48"/>
  <c r="D74" i="48"/>
  <c r="C74" i="48"/>
  <c r="B74" i="48"/>
  <c r="D73" i="48"/>
  <c r="C73" i="48"/>
  <c r="B73" i="48"/>
  <c r="D72" i="48"/>
  <c r="C72" i="48"/>
  <c r="B72" i="48"/>
  <c r="D71" i="48"/>
  <c r="C71" i="48"/>
  <c r="B71" i="48"/>
  <c r="D70" i="48"/>
  <c r="C70" i="48"/>
  <c r="B70" i="48"/>
  <c r="D69" i="48"/>
  <c r="C69" i="48"/>
  <c r="B69" i="48"/>
  <c r="D68" i="48"/>
  <c r="C68" i="48"/>
  <c r="B68" i="48"/>
  <c r="D67" i="48"/>
  <c r="C67" i="48"/>
  <c r="B67" i="48"/>
  <c r="D66" i="48"/>
  <c r="C66" i="48"/>
  <c r="B66" i="48"/>
  <c r="D65" i="48"/>
  <c r="C65" i="48"/>
  <c r="B65" i="48"/>
  <c r="D64" i="48"/>
  <c r="C64" i="48"/>
  <c r="B64" i="48"/>
  <c r="D63" i="48"/>
  <c r="C63" i="48"/>
  <c r="B63" i="48"/>
  <c r="D62" i="48"/>
  <c r="C62" i="48"/>
  <c r="B62" i="48"/>
  <c r="D61" i="48"/>
  <c r="C61" i="48"/>
  <c r="B61" i="48"/>
  <c r="D60" i="48"/>
  <c r="C60" i="48"/>
  <c r="B60" i="48"/>
  <c r="D59" i="48"/>
  <c r="C59" i="48"/>
  <c r="B59" i="48"/>
  <c r="D58" i="48"/>
  <c r="C58" i="48"/>
  <c r="B58" i="48"/>
  <c r="D57" i="48"/>
  <c r="C57" i="48"/>
  <c r="B57" i="48"/>
  <c r="D56" i="48"/>
  <c r="C56" i="48"/>
  <c r="B56" i="48"/>
  <c r="D55" i="48"/>
  <c r="C55" i="48"/>
  <c r="B55" i="48"/>
  <c r="D54" i="48"/>
  <c r="C54" i="48"/>
  <c r="B54" i="48"/>
  <c r="D53" i="48"/>
  <c r="C53" i="48"/>
  <c r="B53" i="48"/>
  <c r="D52" i="48"/>
  <c r="C52" i="48"/>
  <c r="B52" i="48"/>
  <c r="D51" i="48"/>
  <c r="C51" i="48"/>
  <c r="B51" i="48"/>
  <c r="D50" i="48"/>
  <c r="C50" i="48"/>
  <c r="B50" i="48"/>
  <c r="D49" i="48"/>
  <c r="C49" i="48"/>
  <c r="B49" i="48"/>
  <c r="D48" i="48"/>
  <c r="C48" i="48"/>
  <c r="B48" i="48"/>
  <c r="D47" i="48"/>
  <c r="C47" i="48"/>
  <c r="B47" i="48"/>
  <c r="D46" i="48"/>
  <c r="C46" i="48"/>
  <c r="B46" i="48"/>
  <c r="D45" i="48"/>
  <c r="C45" i="48"/>
  <c r="B45" i="48"/>
  <c r="D44" i="48"/>
  <c r="C44" i="48"/>
  <c r="B44" i="48"/>
  <c r="D43" i="48"/>
  <c r="C43" i="48"/>
  <c r="B43" i="48"/>
  <c r="D42" i="48"/>
  <c r="C42" i="48"/>
  <c r="B42" i="48"/>
  <c r="D41" i="48"/>
  <c r="C41" i="48"/>
  <c r="B41" i="48"/>
  <c r="D40" i="48"/>
  <c r="C40" i="48"/>
  <c r="B40" i="48"/>
  <c r="D39" i="48"/>
  <c r="C39" i="48"/>
  <c r="B39" i="48"/>
  <c r="D38" i="48"/>
  <c r="C38" i="48"/>
  <c r="B38" i="48"/>
  <c r="D37" i="48"/>
  <c r="C37" i="48"/>
  <c r="B37" i="48"/>
  <c r="D36" i="48"/>
  <c r="C36" i="48"/>
  <c r="B36" i="48"/>
  <c r="D35" i="48"/>
  <c r="C35" i="48"/>
  <c r="B35" i="48"/>
  <c r="D34" i="48"/>
  <c r="C34" i="48"/>
  <c r="B34" i="48"/>
  <c r="D33" i="48"/>
  <c r="C33" i="48"/>
  <c r="B33" i="48"/>
  <c r="D32" i="48"/>
  <c r="C32" i="48"/>
  <c r="B32" i="48"/>
  <c r="B28" i="48"/>
  <c r="B29" i="48"/>
  <c r="E37" i="49" s="1"/>
  <c r="K37" i="49" s="1"/>
  <c r="B30" i="48"/>
  <c r="B31" i="48"/>
  <c r="D31" i="48"/>
  <c r="C31" i="48"/>
  <c r="D30" i="48"/>
  <c r="C30" i="48"/>
  <c r="D29" i="48"/>
  <c r="C29" i="48"/>
  <c r="C28" i="48"/>
  <c r="D28" i="48"/>
  <c r="C260" i="1"/>
  <c r="C272" i="1" s="1"/>
  <c r="C284" i="1" s="1"/>
  <c r="C296" i="1" s="1"/>
  <c r="C259" i="1"/>
  <c r="C271" i="1" s="1"/>
  <c r="C283" i="1" s="1"/>
  <c r="C295" i="1" s="1"/>
  <c r="C258" i="1"/>
  <c r="C270" i="1" s="1"/>
  <c r="C282" i="1" s="1"/>
  <c r="C294" i="1" s="1"/>
  <c r="C257" i="1"/>
  <c r="C269" i="1" s="1"/>
  <c r="C281" i="1" s="1"/>
  <c r="C293" i="1" s="1"/>
  <c r="C256" i="1"/>
  <c r="C268" i="1" s="1"/>
  <c r="C280" i="1" s="1"/>
  <c r="C292" i="1" s="1"/>
  <c r="C255" i="1"/>
  <c r="C267" i="1" s="1"/>
  <c r="C279" i="1" s="1"/>
  <c r="C291" i="1" s="1"/>
  <c r="C303" i="1" s="1"/>
  <c r="C254" i="1"/>
  <c r="C266" i="1" s="1"/>
  <c r="C278" i="1" s="1"/>
  <c r="C290" i="1" s="1"/>
  <c r="C302" i="1" s="1"/>
  <c r="C253" i="1"/>
  <c r="C265" i="1" s="1"/>
  <c r="C277" i="1" s="1"/>
  <c r="C289" i="1" s="1"/>
  <c r="C301" i="1" s="1"/>
  <c r="C252" i="1"/>
  <c r="C264" i="1" s="1"/>
  <c r="C276" i="1" s="1"/>
  <c r="C288" i="1" s="1"/>
  <c r="C300" i="1" s="1"/>
  <c r="C251" i="1"/>
  <c r="C263" i="1" s="1"/>
  <c r="C275" i="1" s="1"/>
  <c r="C287" i="1" s="1"/>
  <c r="C299" i="1" s="1"/>
  <c r="C250" i="1"/>
  <c r="C262" i="1" s="1"/>
  <c r="C274" i="1" s="1"/>
  <c r="C286" i="1" s="1"/>
  <c r="C298" i="1" s="1"/>
  <c r="C249" i="1"/>
  <c r="C261" i="1" s="1"/>
  <c r="C273" i="1" s="1"/>
  <c r="C285" i="1" s="1"/>
  <c r="C297" i="1" s="1"/>
  <c r="L31" i="41"/>
  <c r="M31" i="41" s="1"/>
  <c r="U49" i="38"/>
  <c r="F10" i="42"/>
  <c r="G10" i="42" s="1"/>
  <c r="F10" i="34"/>
  <c r="G10" i="34" s="1"/>
  <c r="U49" i="41"/>
  <c r="U78" i="36"/>
  <c r="U49" i="40"/>
  <c r="U54" i="36"/>
  <c r="U63" i="37"/>
  <c r="U55" i="37"/>
  <c r="U54" i="40"/>
  <c r="U63" i="41"/>
  <c r="U65" i="40"/>
  <c r="U57" i="41"/>
  <c r="F11" i="42"/>
  <c r="G11" i="42" s="1"/>
  <c r="K35" i="43"/>
  <c r="U71" i="45"/>
  <c r="U79" i="45"/>
  <c r="U59" i="45"/>
  <c r="U69" i="43"/>
  <c r="U67" i="45"/>
  <c r="U75" i="45"/>
  <c r="E76" i="38"/>
  <c r="F11" i="38"/>
  <c r="G11" i="38" s="1"/>
  <c r="K35" i="40"/>
  <c r="K35" i="44"/>
  <c r="K35" i="41"/>
  <c r="K35" i="45"/>
  <c r="K35" i="39"/>
  <c r="K35" i="38"/>
  <c r="AL80" i="77"/>
  <c r="Y80" i="77"/>
  <c r="U61" i="71"/>
  <c r="U75" i="77"/>
  <c r="U61" i="81"/>
  <c r="U75" i="80"/>
  <c r="U56" i="43"/>
  <c r="U59" i="76"/>
  <c r="U67" i="76"/>
  <c r="U67" i="77"/>
  <c r="U65" i="76"/>
  <c r="U79" i="76"/>
  <c r="C50" i="77"/>
  <c r="C51" i="77" s="1"/>
  <c r="C52" i="77" s="1"/>
  <c r="C53" i="77" s="1"/>
  <c r="C54" i="77" s="1"/>
  <c r="C55" i="77" s="1"/>
  <c r="C56" i="77" s="1"/>
  <c r="C57" i="77" s="1"/>
  <c r="C58" i="77" s="1"/>
  <c r="C59" i="77" s="1"/>
  <c r="C60" i="77" s="1"/>
  <c r="C61" i="77" s="1"/>
  <c r="C62" i="77" s="1"/>
  <c r="C63" i="77" s="1"/>
  <c r="C64" i="77" s="1"/>
  <c r="C65" i="77" s="1"/>
  <c r="C66" i="77" s="1"/>
  <c r="C67" i="77" s="1"/>
  <c r="C68" i="77" s="1"/>
  <c r="C69" i="77" s="1"/>
  <c r="C70" i="77" s="1"/>
  <c r="C71" i="77" s="1"/>
  <c r="C72" i="77" s="1"/>
  <c r="C73" i="77" s="1"/>
  <c r="C74" i="77" s="1"/>
  <c r="C75" i="77" s="1"/>
  <c r="C76" i="77" s="1"/>
  <c r="U79" i="80"/>
  <c r="F11" i="82"/>
  <c r="G11" i="82" s="1"/>
  <c r="U56" i="84"/>
  <c r="U59" i="83"/>
  <c r="U70" i="39"/>
  <c r="U49" i="43"/>
  <c r="U71" i="37"/>
  <c r="E66" i="35"/>
  <c r="U62" i="39"/>
  <c r="U75" i="42"/>
  <c r="U49" i="44"/>
  <c r="U70" i="62"/>
  <c r="U74" i="67"/>
  <c r="U52" i="72"/>
  <c r="I35" i="68"/>
  <c r="J31" i="65"/>
  <c r="J30" i="65"/>
  <c r="U68" i="65"/>
  <c r="U58" i="63"/>
  <c r="U75" i="64"/>
  <c r="U63" i="84"/>
  <c r="U55" i="84"/>
  <c r="U73" i="105"/>
  <c r="U71" i="71"/>
  <c r="C47" i="71"/>
  <c r="U53" i="71"/>
  <c r="U76" i="72"/>
  <c r="U68" i="70"/>
  <c r="U70" i="74"/>
  <c r="H57" i="47"/>
  <c r="U60" i="83"/>
  <c r="G55" i="47"/>
  <c r="C50" i="44"/>
  <c r="C51" i="44" s="1"/>
  <c r="C52" i="44" s="1"/>
  <c r="C53" i="44" s="1"/>
  <c r="C54" i="44" s="1"/>
  <c r="C55" i="44" s="1"/>
  <c r="C56" i="44" s="1"/>
  <c r="C57" i="44" s="1"/>
  <c r="C58" i="44" s="1"/>
  <c r="C59" i="44" s="1"/>
  <c r="C60" i="44" s="1"/>
  <c r="C61" i="44" s="1"/>
  <c r="C62" i="44" s="1"/>
  <c r="C63" i="44" s="1"/>
  <c r="C64" i="44" s="1"/>
  <c r="C65" i="44" s="1"/>
  <c r="C66" i="44" s="1"/>
  <c r="C67" i="44" s="1"/>
  <c r="C68" i="44" s="1"/>
  <c r="C69" i="44" s="1"/>
  <c r="C70" i="44" s="1"/>
  <c r="C71" i="44" s="1"/>
  <c r="C72" i="44" s="1"/>
  <c r="C73" i="44" s="1"/>
  <c r="C74" i="44" s="1"/>
  <c r="C75" i="44" s="1"/>
  <c r="C76" i="44" s="1"/>
  <c r="C77" i="44" s="1"/>
  <c r="C78" i="44" s="1"/>
  <c r="U69" i="52"/>
  <c r="C46" i="50"/>
  <c r="I24" i="50" s="1"/>
  <c r="U78" i="70"/>
  <c r="U57" i="72"/>
  <c r="U60" i="72"/>
  <c r="U52" i="51"/>
  <c r="U72" i="75"/>
  <c r="U56" i="68"/>
  <c r="U70" i="63"/>
  <c r="U65" i="69"/>
  <c r="C50" i="81"/>
  <c r="C51" i="81" s="1"/>
  <c r="C52" i="81" s="1"/>
  <c r="C53" i="81" s="1"/>
  <c r="C54" i="81" s="1"/>
  <c r="C55" i="81" s="1"/>
  <c r="C56" i="81" s="1"/>
  <c r="C57" i="81" s="1"/>
  <c r="C58" i="81" s="1"/>
  <c r="C59" i="81" s="1"/>
  <c r="C60" i="81" s="1"/>
  <c r="C61" i="81" s="1"/>
  <c r="C62" i="81" s="1"/>
  <c r="C63" i="81" s="1"/>
  <c r="C64" i="81" s="1"/>
  <c r="C65" i="81" s="1"/>
  <c r="C66" i="81" s="1"/>
  <c r="C67" i="81" s="1"/>
  <c r="C68" i="81" s="1"/>
  <c r="C69" i="81" s="1"/>
  <c r="C70" i="81" s="1"/>
  <c r="C71" i="81" s="1"/>
  <c r="C72" i="81" s="1"/>
  <c r="C73" i="81" s="1"/>
  <c r="C74" i="81" s="1"/>
  <c r="C75" i="81" s="1"/>
  <c r="C76" i="81" s="1"/>
  <c r="C77" i="81" s="1"/>
  <c r="C78" i="81" s="1"/>
  <c r="L31" i="82"/>
  <c r="M31" i="82" s="1"/>
  <c r="Q31" i="82" s="1"/>
  <c r="E68" i="36"/>
  <c r="H24" i="77"/>
  <c r="I24" i="77"/>
  <c r="AL80" i="107"/>
  <c r="Y80" i="107"/>
  <c r="U79" i="54"/>
  <c r="F11" i="69"/>
  <c r="G11" i="69" s="1"/>
  <c r="C47" i="64"/>
  <c r="U71" i="64"/>
  <c r="U60" i="65"/>
  <c r="E55" i="36"/>
  <c r="E50" i="109"/>
  <c r="F11" i="107"/>
  <c r="G11" i="107" s="1"/>
  <c r="U56" i="109"/>
  <c r="U72" i="109"/>
  <c r="K30" i="64"/>
  <c r="U79" i="84"/>
  <c r="E59" i="109"/>
  <c r="F11" i="68"/>
  <c r="G11" i="68" s="1"/>
  <c r="U68" i="82"/>
  <c r="L30" i="109"/>
  <c r="M30" i="109" s="1"/>
  <c r="L31" i="109"/>
  <c r="E49" i="72"/>
  <c r="L33" i="109"/>
  <c r="O33" i="109" s="1"/>
  <c r="J32" i="65"/>
  <c r="J33" i="65"/>
  <c r="U51" i="66"/>
  <c r="U62" i="70"/>
  <c r="G11" i="67"/>
  <c r="W50" i="70"/>
  <c r="X50" i="70" s="1"/>
  <c r="C50" i="72"/>
  <c r="C51" i="72" s="1"/>
  <c r="C52" i="72" s="1"/>
  <c r="C53" i="72" s="1"/>
  <c r="C54" i="72" s="1"/>
  <c r="C55" i="72" s="1"/>
  <c r="C56" i="72" s="1"/>
  <c r="C57" i="72" s="1"/>
  <c r="C58" i="72" s="1"/>
  <c r="C59" i="72" s="1"/>
  <c r="C60" i="72" s="1"/>
  <c r="C61" i="72" s="1"/>
  <c r="C62" i="72" s="1"/>
  <c r="C63" i="72" s="1"/>
  <c r="C64" i="72" s="1"/>
  <c r="C65" i="72" s="1"/>
  <c r="C66" i="72" s="1"/>
  <c r="C67" i="72" s="1"/>
  <c r="C68" i="72" s="1"/>
  <c r="C69" i="72" s="1"/>
  <c r="C70" i="72" s="1"/>
  <c r="C71" i="72" s="1"/>
  <c r="C72" i="72" s="1"/>
  <c r="C73" i="72" s="1"/>
  <c r="C74" i="72" s="1"/>
  <c r="C75" i="72" s="1"/>
  <c r="C76" i="72" s="1"/>
  <c r="C77" i="72" s="1"/>
  <c r="C78" i="72" s="1"/>
  <c r="C79" i="72" s="1"/>
  <c r="L33" i="45"/>
  <c r="M33" i="45" s="1"/>
  <c r="L34" i="45"/>
  <c r="M34" i="45" s="1"/>
  <c r="E63" i="109"/>
  <c r="U59" i="109"/>
  <c r="U68" i="110"/>
  <c r="U72" i="110"/>
  <c r="U84" i="110"/>
  <c r="AL89" i="112"/>
  <c r="AL89" i="110"/>
  <c r="Y89" i="110"/>
  <c r="E73" i="70"/>
  <c r="U67" i="71"/>
  <c r="U65" i="66"/>
  <c r="C47" i="69"/>
  <c r="I24" i="69" s="1"/>
  <c r="C47" i="55"/>
  <c r="C50" i="55"/>
  <c r="C51" i="55" s="1"/>
  <c r="C52" i="55" s="1"/>
  <c r="C53" i="55" s="1"/>
  <c r="C54" i="55" s="1"/>
  <c r="C55" i="55" s="1"/>
  <c r="C56" i="55" s="1"/>
  <c r="C57" i="55" s="1"/>
  <c r="C58" i="55" s="1"/>
  <c r="C59" i="55" s="1"/>
  <c r="C60" i="55" s="1"/>
  <c r="C61" i="55" s="1"/>
  <c r="C62" i="55" s="1"/>
  <c r="C63" i="55" s="1"/>
  <c r="C64" i="55" s="1"/>
  <c r="C65" i="55" s="1"/>
  <c r="C66" i="55" s="1"/>
  <c r="C67" i="55" s="1"/>
  <c r="C68" i="55" s="1"/>
  <c r="C69" i="55" s="1"/>
  <c r="C70" i="55" s="1"/>
  <c r="C71" i="55" s="1"/>
  <c r="C72" i="55" s="1"/>
  <c r="C73" i="55" s="1"/>
  <c r="C74" i="55" s="1"/>
  <c r="C75" i="55" s="1"/>
  <c r="C76" i="55" s="1"/>
  <c r="C77" i="55" s="1"/>
  <c r="C78" i="55" s="1"/>
  <c r="U70" i="67"/>
  <c r="E60" i="70"/>
  <c r="U76" i="70"/>
  <c r="C47" i="73"/>
  <c r="C50" i="73"/>
  <c r="C51" i="73" s="1"/>
  <c r="C52" i="73" s="1"/>
  <c r="C53" i="73" s="1"/>
  <c r="C54" i="73" s="1"/>
  <c r="C55" i="73" s="1"/>
  <c r="C56" i="73" s="1"/>
  <c r="C57" i="73" s="1"/>
  <c r="C58" i="73" s="1"/>
  <c r="C59" i="73" s="1"/>
  <c r="C60" i="73" s="1"/>
  <c r="C61" i="73" s="1"/>
  <c r="C62" i="73" s="1"/>
  <c r="C63" i="73" s="1"/>
  <c r="C64" i="73" s="1"/>
  <c r="C65" i="73" s="1"/>
  <c r="C66" i="73" s="1"/>
  <c r="C67" i="73" s="1"/>
  <c r="C68" i="73" s="1"/>
  <c r="C69" i="73" s="1"/>
  <c r="C70" i="73" s="1"/>
  <c r="C71" i="73" s="1"/>
  <c r="C72" i="73" s="1"/>
  <c r="C73" i="73" s="1"/>
  <c r="C74" i="73" s="1"/>
  <c r="C75" i="73" s="1"/>
  <c r="C76" i="73" s="1"/>
  <c r="C77" i="73" s="1"/>
  <c r="C78" i="73" s="1"/>
  <c r="C79" i="73" s="1"/>
  <c r="U73" i="73"/>
  <c r="U70" i="72"/>
  <c r="F11" i="73"/>
  <c r="G11" i="73" s="1"/>
  <c r="U62" i="75"/>
  <c r="U65" i="111"/>
  <c r="U77" i="111"/>
  <c r="L30" i="104"/>
  <c r="L31" i="104"/>
  <c r="F10" i="104"/>
  <c r="G10" i="104" s="1"/>
  <c r="C47" i="106"/>
  <c r="H24" i="106" s="1"/>
  <c r="C50" i="106"/>
  <c r="C51" i="106" s="1"/>
  <c r="C52" i="106" s="1"/>
  <c r="C53" i="106" s="1"/>
  <c r="C54" i="106" s="1"/>
  <c r="C55" i="106" s="1"/>
  <c r="C56" i="106" s="1"/>
  <c r="C57" i="106" s="1"/>
  <c r="C58" i="106" s="1"/>
  <c r="C59" i="106" s="1"/>
  <c r="C60" i="106" s="1"/>
  <c r="C61" i="106" s="1"/>
  <c r="C62" i="106" s="1"/>
  <c r="C63" i="106" s="1"/>
  <c r="C64" i="106" s="1"/>
  <c r="C65" i="106" s="1"/>
  <c r="C66" i="106" s="1"/>
  <c r="C67" i="106" s="1"/>
  <c r="C68" i="106" s="1"/>
  <c r="C69" i="106" s="1"/>
  <c r="C70" i="106" s="1"/>
  <c r="C71" i="106" s="1"/>
  <c r="C72" i="106" s="1"/>
  <c r="C73" i="106" s="1"/>
  <c r="C74" i="106" s="1"/>
  <c r="C75" i="106" s="1"/>
  <c r="C76" i="106" s="1"/>
  <c r="C77" i="106" s="1"/>
  <c r="C78" i="106" s="1"/>
  <c r="C79" i="106" s="1"/>
  <c r="U73" i="111"/>
  <c r="U82" i="111"/>
  <c r="AA80" i="124"/>
  <c r="AB80" i="124" s="1"/>
  <c r="X31" i="91"/>
  <c r="N30" i="91"/>
  <c r="X30" i="91"/>
  <c r="U66" i="75"/>
  <c r="U61" i="111"/>
  <c r="L32" i="80"/>
  <c r="L34" i="105"/>
  <c r="O34" i="105" s="1"/>
  <c r="Q34" i="105" s="1"/>
  <c r="U81" i="111"/>
  <c r="L30" i="77"/>
  <c r="C47" i="75"/>
  <c r="K32" i="74"/>
  <c r="L41" i="70"/>
  <c r="L43" i="70"/>
  <c r="M43" i="70" s="1"/>
  <c r="U66" i="73"/>
  <c r="E77" i="63"/>
  <c r="W55" i="64"/>
  <c r="E78" i="64"/>
  <c r="U49" i="59"/>
  <c r="U49" i="67"/>
  <c r="B49" i="66"/>
  <c r="W63" i="67"/>
  <c r="W78" i="64"/>
  <c r="I35" i="63"/>
  <c r="W59" i="64"/>
  <c r="E70" i="64"/>
  <c r="W70" i="64"/>
  <c r="W55" i="65"/>
  <c r="W71" i="65"/>
  <c r="E55" i="67"/>
  <c r="U77" i="67"/>
  <c r="C50" i="52"/>
  <c r="C51" i="52" s="1"/>
  <c r="C52" i="52" s="1"/>
  <c r="C53" i="52" s="1"/>
  <c r="C54" i="52" s="1"/>
  <c r="C55" i="52" s="1"/>
  <c r="C56" i="52" s="1"/>
  <c r="C57" i="52" s="1"/>
  <c r="C58" i="52" s="1"/>
  <c r="C59" i="52" s="1"/>
  <c r="C60" i="52" s="1"/>
  <c r="C61" i="52" s="1"/>
  <c r="C62" i="52" s="1"/>
  <c r="C63" i="52" s="1"/>
  <c r="C64" i="52" s="1"/>
  <c r="C65" i="52" s="1"/>
  <c r="C66" i="52" s="1"/>
  <c r="C67" i="52" s="1"/>
  <c r="C68" i="52" s="1"/>
  <c r="C69" i="52" s="1"/>
  <c r="C70" i="52" s="1"/>
  <c r="C71" i="52" s="1"/>
  <c r="C72" i="52" s="1"/>
  <c r="C73" i="52" s="1"/>
  <c r="C74" i="52" s="1"/>
  <c r="C75" i="52" s="1"/>
  <c r="C76" i="52" s="1"/>
  <c r="C77" i="52" s="1"/>
  <c r="C78" i="52" s="1"/>
  <c r="C79" i="52" s="1"/>
  <c r="U57" i="74"/>
  <c r="F10" i="43"/>
  <c r="G10" i="43" s="1"/>
  <c r="R80" i="106"/>
  <c r="P80" i="35"/>
  <c r="L32" i="76"/>
  <c r="M32" i="76" s="1"/>
  <c r="Q32" i="76" s="1"/>
  <c r="L34" i="44"/>
  <c r="M34" i="44" s="1"/>
  <c r="L33" i="44"/>
  <c r="L31" i="44"/>
  <c r="L30" i="44"/>
  <c r="M30" i="44" s="1"/>
  <c r="L33" i="40"/>
  <c r="M33" i="40" s="1"/>
  <c r="L31" i="40"/>
  <c r="M31" i="40" s="1"/>
  <c r="L34" i="40"/>
  <c r="M34" i="40" s="1"/>
  <c r="L30" i="40"/>
  <c r="M30" i="40" s="1"/>
  <c r="F10" i="40"/>
  <c r="G10" i="40" s="1"/>
  <c r="L32" i="40"/>
  <c r="M32" i="40" s="1"/>
  <c r="G63" i="47"/>
  <c r="L30" i="105"/>
  <c r="O30" i="105" s="1"/>
  <c r="E49" i="34"/>
  <c r="E87" i="111"/>
  <c r="L32" i="77"/>
  <c r="E67" i="111"/>
  <c r="C50" i="84"/>
  <c r="C51" i="84" s="1"/>
  <c r="C52" i="84" s="1"/>
  <c r="C53" i="84" s="1"/>
  <c r="C54" i="84" s="1"/>
  <c r="C55" i="84" s="1"/>
  <c r="C56" i="84" s="1"/>
  <c r="C57" i="84" s="1"/>
  <c r="C58" i="84" s="1"/>
  <c r="C59" i="84" s="1"/>
  <c r="C60" i="84" s="1"/>
  <c r="C61" i="84" s="1"/>
  <c r="C62" i="84" s="1"/>
  <c r="C63" i="84" s="1"/>
  <c r="C64" i="84" s="1"/>
  <c r="C65" i="84" s="1"/>
  <c r="C66" i="84" s="1"/>
  <c r="C67" i="84" s="1"/>
  <c r="C68" i="84" s="1"/>
  <c r="C69" i="84" s="1"/>
  <c r="C70" i="84" s="1"/>
  <c r="C71" i="84" s="1"/>
  <c r="C72" i="84" s="1"/>
  <c r="C73" i="84" s="1"/>
  <c r="C74" i="84" s="1"/>
  <c r="C75" i="84" s="1"/>
  <c r="C76" i="84" s="1"/>
  <c r="C77" i="84" s="1"/>
  <c r="C78" i="84" s="1"/>
  <c r="L33" i="105"/>
  <c r="U49" i="83"/>
  <c r="U49" i="42"/>
  <c r="U53" i="105"/>
  <c r="H55" i="47"/>
  <c r="F11" i="76"/>
  <c r="G11" i="76" s="1"/>
  <c r="G56" i="47"/>
  <c r="L33" i="107"/>
  <c r="O33" i="107" s="1"/>
  <c r="G65" i="47"/>
  <c r="Q80" i="38"/>
  <c r="C59" i="111"/>
  <c r="C60" i="111" s="1"/>
  <c r="C61" i="111" s="1"/>
  <c r="C62" i="111" s="1"/>
  <c r="C63" i="111" s="1"/>
  <c r="C64" i="111" s="1"/>
  <c r="C65" i="111" s="1"/>
  <c r="C66" i="111" s="1"/>
  <c r="C67" i="111" s="1"/>
  <c r="C68" i="111" s="1"/>
  <c r="C69" i="111" s="1"/>
  <c r="C70" i="111" s="1"/>
  <c r="C71" i="111" s="1"/>
  <c r="C72" i="111" s="1"/>
  <c r="C73" i="111" s="1"/>
  <c r="C74" i="111" s="1"/>
  <c r="C75" i="111" s="1"/>
  <c r="C76" i="111" s="1"/>
  <c r="C77" i="111" s="1"/>
  <c r="C78" i="111" s="1"/>
  <c r="C79" i="111" s="1"/>
  <c r="C80" i="111" s="1"/>
  <c r="C81" i="111" s="1"/>
  <c r="C82" i="111" s="1"/>
  <c r="C83" i="111" s="1"/>
  <c r="C84" i="111" s="1"/>
  <c r="C85" i="111" s="1"/>
  <c r="C86" i="111" s="1"/>
  <c r="C87" i="111" s="1"/>
  <c r="L33" i="77"/>
  <c r="M33" i="77" s="1"/>
  <c r="E58" i="91"/>
  <c r="E61" i="111"/>
  <c r="L30" i="107"/>
  <c r="M30" i="107" s="1"/>
  <c r="E52" i="36"/>
  <c r="F11" i="84"/>
  <c r="G11" i="84" s="1"/>
  <c r="L31" i="105"/>
  <c r="O31" i="105" s="1"/>
  <c r="F10" i="107"/>
  <c r="G10" i="107" s="1"/>
  <c r="E12" i="107"/>
  <c r="C50" i="35"/>
  <c r="C51" i="35" s="1"/>
  <c r="C52" i="35" s="1"/>
  <c r="C53" i="35" s="1"/>
  <c r="C54" i="35" s="1"/>
  <c r="C55" i="35" s="1"/>
  <c r="C56" i="35" s="1"/>
  <c r="C57" i="35" s="1"/>
  <c r="C58" i="35" s="1"/>
  <c r="C59" i="35" s="1"/>
  <c r="C60" i="35" s="1"/>
  <c r="C61" i="35" s="1"/>
  <c r="C62" i="35" s="1"/>
  <c r="C63" i="35" s="1"/>
  <c r="C64" i="35" s="1"/>
  <c r="C65" i="35" s="1"/>
  <c r="C66" i="35" s="1"/>
  <c r="C67" i="35" s="1"/>
  <c r="C68" i="35" s="1"/>
  <c r="C69" i="35" s="1"/>
  <c r="C70" i="35" s="1"/>
  <c r="C71" i="35" s="1"/>
  <c r="C72" i="35" s="1"/>
  <c r="C73" i="35" s="1"/>
  <c r="C74" i="35" s="1"/>
  <c r="C75" i="35" s="1"/>
  <c r="C76" i="35" s="1"/>
  <c r="C77" i="35" s="1"/>
  <c r="C50" i="61"/>
  <c r="C51" i="61" s="1"/>
  <c r="C52" i="61" s="1"/>
  <c r="C53" i="61" s="1"/>
  <c r="C54" i="61" s="1"/>
  <c r="C55" i="61" s="1"/>
  <c r="C56" i="61" s="1"/>
  <c r="C57" i="61" s="1"/>
  <c r="C58" i="61" s="1"/>
  <c r="C59" i="61" s="1"/>
  <c r="C60" i="61" s="1"/>
  <c r="C61" i="61" s="1"/>
  <c r="C62" i="61" s="1"/>
  <c r="C63" i="61" s="1"/>
  <c r="C64" i="61" s="1"/>
  <c r="C65" i="61" s="1"/>
  <c r="C66" i="61" s="1"/>
  <c r="C67" i="61" s="1"/>
  <c r="C68" i="61" s="1"/>
  <c r="C69" i="61" s="1"/>
  <c r="C70" i="61" s="1"/>
  <c r="C71" i="61" s="1"/>
  <c r="C72" i="61" s="1"/>
  <c r="C73" i="61" s="1"/>
  <c r="C74" i="61" s="1"/>
  <c r="C75" i="61" s="1"/>
  <c r="C76" i="61" s="1"/>
  <c r="C77" i="61" s="1"/>
  <c r="C78" i="61" s="1"/>
  <c r="C79" i="61" s="1"/>
  <c r="C50" i="62"/>
  <c r="C51" i="62" s="1"/>
  <c r="C52" i="62" s="1"/>
  <c r="C53" i="62" s="1"/>
  <c r="C54" i="62" s="1"/>
  <c r="C55" i="62" s="1"/>
  <c r="C56" i="62" s="1"/>
  <c r="C57" i="62" s="1"/>
  <c r="C58" i="62" s="1"/>
  <c r="C59" i="62" s="1"/>
  <c r="C60" i="62" s="1"/>
  <c r="C61" i="62" s="1"/>
  <c r="C62" i="62" s="1"/>
  <c r="C63" i="62" s="1"/>
  <c r="C64" i="62" s="1"/>
  <c r="C65" i="62" s="1"/>
  <c r="C66" i="62" s="1"/>
  <c r="C67" i="62" s="1"/>
  <c r="C68" i="62" s="1"/>
  <c r="C69" i="62" s="1"/>
  <c r="C70" i="62" s="1"/>
  <c r="C71" i="62" s="1"/>
  <c r="C72" i="62" s="1"/>
  <c r="C73" i="62" s="1"/>
  <c r="C74" i="62" s="1"/>
  <c r="C75" i="62" s="1"/>
  <c r="C76" i="62" s="1"/>
  <c r="C77" i="62" s="1"/>
  <c r="C78" i="62" s="1"/>
  <c r="C79" i="62" s="1"/>
  <c r="C50" i="70"/>
  <c r="C51" i="70" s="1"/>
  <c r="C52" i="70" s="1"/>
  <c r="C53" i="70" s="1"/>
  <c r="C54" i="70" s="1"/>
  <c r="C55" i="70" s="1"/>
  <c r="C56" i="70" s="1"/>
  <c r="C57" i="70" s="1"/>
  <c r="C58" i="70" s="1"/>
  <c r="C59" i="70" s="1"/>
  <c r="C60" i="70" s="1"/>
  <c r="C61" i="70" s="1"/>
  <c r="C62" i="70" s="1"/>
  <c r="C63" i="70" s="1"/>
  <c r="C64" i="70" s="1"/>
  <c r="C65" i="70" s="1"/>
  <c r="C66" i="70" s="1"/>
  <c r="C67" i="70" s="1"/>
  <c r="C68" i="70" s="1"/>
  <c r="C69" i="70" s="1"/>
  <c r="C70" i="70" s="1"/>
  <c r="C71" i="70" s="1"/>
  <c r="C72" i="70" s="1"/>
  <c r="C73" i="70" s="1"/>
  <c r="C74" i="70" s="1"/>
  <c r="C75" i="70" s="1"/>
  <c r="C76" i="70" s="1"/>
  <c r="C77" i="70" s="1"/>
  <c r="C78" i="70" s="1"/>
  <c r="C47" i="70"/>
  <c r="I24" i="70" s="1"/>
  <c r="K24" i="47" s="1"/>
  <c r="E50" i="63"/>
  <c r="E56" i="63"/>
  <c r="W55" i="70"/>
  <c r="X55" i="70" s="1"/>
  <c r="U53" i="51"/>
  <c r="U52" i="69"/>
  <c r="C47" i="36"/>
  <c r="I24" i="36" s="1"/>
  <c r="E59" i="69"/>
  <c r="L30" i="76"/>
  <c r="M30" i="76" s="1"/>
  <c r="Q30" i="76" s="1"/>
  <c r="H21" i="112"/>
  <c r="E53" i="39"/>
  <c r="E74" i="35"/>
  <c r="U55" i="60"/>
  <c r="L30" i="43"/>
  <c r="M30" i="43" s="1"/>
  <c r="L31" i="43"/>
  <c r="M31" i="43" s="1"/>
  <c r="L33" i="43"/>
  <c r="M33" i="43" s="1"/>
  <c r="L33" i="38"/>
  <c r="M33" i="38" s="1"/>
  <c r="L34" i="38"/>
  <c r="L30" i="38"/>
  <c r="M30" i="38" s="1"/>
  <c r="F11" i="43"/>
  <c r="G11" i="43" s="1"/>
  <c r="F11" i="39"/>
  <c r="G11" i="39" s="1"/>
  <c r="D82" i="91"/>
  <c r="U50" i="71"/>
  <c r="W60" i="75"/>
  <c r="E59" i="91"/>
  <c r="E70" i="76"/>
  <c r="AA92" i="124"/>
  <c r="AB92" i="124" s="1"/>
  <c r="E62" i="44"/>
  <c r="E76" i="39"/>
  <c r="E60" i="39"/>
  <c r="E78" i="38"/>
  <c r="E72" i="38"/>
  <c r="E68" i="38"/>
  <c r="E64" i="38"/>
  <c r="E60" i="38"/>
  <c r="E56" i="38"/>
  <c r="E63" i="37"/>
  <c r="E57" i="37"/>
  <c r="E55" i="37"/>
  <c r="E73" i="34"/>
  <c r="E61" i="34"/>
  <c r="E57" i="34"/>
  <c r="Z101" i="124"/>
  <c r="AA100" i="124"/>
  <c r="AB100" i="124" s="1"/>
  <c r="AA96" i="124"/>
  <c r="AB96" i="124" s="1"/>
  <c r="AA88" i="124"/>
  <c r="AB88" i="124" s="1"/>
  <c r="AA84" i="124"/>
  <c r="AB84" i="124" s="1"/>
  <c r="AA81" i="124"/>
  <c r="AB81" i="124" s="1"/>
  <c r="AA72" i="124"/>
  <c r="AB72" i="124" s="1"/>
  <c r="K31" i="75"/>
  <c r="L31" i="75" s="1"/>
  <c r="M31" i="75" s="1"/>
  <c r="K32" i="75"/>
  <c r="L32" i="75" s="1"/>
  <c r="Q80" i="45"/>
  <c r="C50" i="109"/>
  <c r="C51" i="109" s="1"/>
  <c r="C52" i="109" s="1"/>
  <c r="C53" i="109" s="1"/>
  <c r="C54" i="109" s="1"/>
  <c r="C55" i="109" s="1"/>
  <c r="C56" i="109" s="1"/>
  <c r="C57" i="109" s="1"/>
  <c r="C58" i="109" s="1"/>
  <c r="C59" i="109" s="1"/>
  <c r="C60" i="109" s="1"/>
  <c r="C61" i="109" s="1"/>
  <c r="C62" i="109" s="1"/>
  <c r="C63" i="109" s="1"/>
  <c r="C64" i="109" s="1"/>
  <c r="C65" i="109" s="1"/>
  <c r="C66" i="109" s="1"/>
  <c r="C67" i="109" s="1"/>
  <c r="C68" i="109" s="1"/>
  <c r="C69" i="109" s="1"/>
  <c r="C70" i="109" s="1"/>
  <c r="C71" i="109" s="1"/>
  <c r="C72" i="109" s="1"/>
  <c r="C73" i="109" s="1"/>
  <c r="C74" i="109" s="1"/>
  <c r="C75" i="109" s="1"/>
  <c r="C76" i="109" s="1"/>
  <c r="C77" i="109" s="1"/>
  <c r="C78" i="109" s="1"/>
  <c r="C79" i="109" s="1"/>
  <c r="C47" i="109"/>
  <c r="I24" i="109" s="1"/>
  <c r="C50" i="104"/>
  <c r="C51" i="104" s="1"/>
  <c r="C52" i="104" s="1"/>
  <c r="C53" i="104" s="1"/>
  <c r="C54" i="104" s="1"/>
  <c r="C55" i="104" s="1"/>
  <c r="C56" i="104" s="1"/>
  <c r="C57" i="104" s="1"/>
  <c r="C58" i="104" s="1"/>
  <c r="C59" i="104" s="1"/>
  <c r="C60" i="104" s="1"/>
  <c r="C61" i="104" s="1"/>
  <c r="C62" i="104" s="1"/>
  <c r="C63" i="104" s="1"/>
  <c r="C64" i="104" s="1"/>
  <c r="C65" i="104" s="1"/>
  <c r="C66" i="104" s="1"/>
  <c r="C67" i="104" s="1"/>
  <c r="C68" i="104" s="1"/>
  <c r="C69" i="104" s="1"/>
  <c r="C70" i="104" s="1"/>
  <c r="C71" i="104" s="1"/>
  <c r="C72" i="104" s="1"/>
  <c r="C73" i="104" s="1"/>
  <c r="C74" i="104" s="1"/>
  <c r="C75" i="104" s="1"/>
  <c r="C76" i="104" s="1"/>
  <c r="C77" i="104" s="1"/>
  <c r="C78" i="104" s="1"/>
  <c r="U52" i="84"/>
  <c r="U51" i="44"/>
  <c r="U51" i="41"/>
  <c r="U51" i="38"/>
  <c r="U49" i="37"/>
  <c r="R80" i="45"/>
  <c r="P89" i="91"/>
  <c r="E55" i="64"/>
  <c r="E65" i="83"/>
  <c r="E49" i="83"/>
  <c r="E74" i="81"/>
  <c r="E72" i="70"/>
  <c r="W64" i="74"/>
  <c r="E71" i="75"/>
  <c r="F10" i="105"/>
  <c r="G10" i="105"/>
  <c r="L32" i="105"/>
  <c r="O32" i="105" s="1"/>
  <c r="E64" i="83"/>
  <c r="E72" i="44"/>
  <c r="E81" i="110"/>
  <c r="E71" i="91"/>
  <c r="E77" i="107"/>
  <c r="E65" i="107"/>
  <c r="E61" i="107"/>
  <c r="E49" i="107"/>
  <c r="E77" i="82"/>
  <c r="E69" i="82"/>
  <c r="E61" i="82"/>
  <c r="E61" i="83"/>
  <c r="E55" i="83"/>
  <c r="E51" i="81"/>
  <c r="E66" i="76"/>
  <c r="E54" i="76"/>
  <c r="E50" i="76"/>
  <c r="E78" i="44"/>
  <c r="E74" i="44"/>
  <c r="E58" i="44"/>
  <c r="E50" i="44"/>
  <c r="L31" i="106"/>
  <c r="E75" i="39"/>
  <c r="E71" i="39"/>
  <c r="E67" i="39"/>
  <c r="E63" i="39"/>
  <c r="E59" i="39"/>
  <c r="E55" i="39"/>
  <c r="E51" i="39"/>
  <c r="W49" i="75"/>
  <c r="W59" i="67"/>
  <c r="X59" i="67" s="1"/>
  <c r="W77" i="74"/>
  <c r="X77" i="74" s="1"/>
  <c r="W50" i="66"/>
  <c r="X50" i="66" s="1"/>
  <c r="E60" i="43"/>
  <c r="E65" i="82"/>
  <c r="E57" i="82"/>
  <c r="E49" i="82"/>
  <c r="E69" i="80"/>
  <c r="E78" i="76"/>
  <c r="E74" i="76"/>
  <c r="E62" i="76"/>
  <c r="E58" i="76"/>
  <c r="E70" i="44"/>
  <c r="E66" i="44"/>
  <c r="E54" i="44"/>
  <c r="E78" i="43"/>
  <c r="E74" i="43"/>
  <c r="E70" i="43"/>
  <c r="E66" i="43"/>
  <c r="E62" i="43"/>
  <c r="E58" i="43"/>
  <c r="E54" i="43"/>
  <c r="E50" i="43"/>
  <c r="E65" i="43"/>
  <c r="E75" i="83"/>
  <c r="E73" i="83"/>
  <c r="E69" i="83"/>
  <c r="E59" i="83"/>
  <c r="E57" i="83"/>
  <c r="E53" i="83"/>
  <c r="E70" i="81"/>
  <c r="E69" i="76"/>
  <c r="E49" i="76"/>
  <c r="E61" i="45"/>
  <c r="E67" i="44"/>
  <c r="E77" i="42"/>
  <c r="E69" i="42"/>
  <c r="E61" i="42"/>
  <c r="E53" i="42"/>
  <c r="E61" i="41"/>
  <c r="D71" i="91"/>
  <c r="D78" i="91"/>
  <c r="C47" i="63"/>
  <c r="K30" i="74"/>
  <c r="L30" i="74" s="1"/>
  <c r="M30" i="74" s="1"/>
  <c r="E64" i="74"/>
  <c r="K34" i="75"/>
  <c r="L34" i="75" s="1"/>
  <c r="M34" i="75" s="1"/>
  <c r="K30" i="75"/>
  <c r="C50" i="54"/>
  <c r="C51" i="54" s="1"/>
  <c r="C52" i="54" s="1"/>
  <c r="C53" i="54" s="1"/>
  <c r="C54" i="54" s="1"/>
  <c r="C55" i="54" s="1"/>
  <c r="C56" i="54" s="1"/>
  <c r="C57" i="54" s="1"/>
  <c r="C58" i="54" s="1"/>
  <c r="C59" i="54" s="1"/>
  <c r="C60" i="54" s="1"/>
  <c r="C61" i="54" s="1"/>
  <c r="C62" i="54" s="1"/>
  <c r="C63" i="54" s="1"/>
  <c r="C64" i="54" s="1"/>
  <c r="C65" i="54" s="1"/>
  <c r="C66" i="54" s="1"/>
  <c r="C67" i="54" s="1"/>
  <c r="C68" i="54" s="1"/>
  <c r="C69" i="54" s="1"/>
  <c r="C70" i="54" s="1"/>
  <c r="C71" i="54" s="1"/>
  <c r="C72" i="54" s="1"/>
  <c r="C73" i="54" s="1"/>
  <c r="C74" i="54" s="1"/>
  <c r="C75" i="54" s="1"/>
  <c r="C76" i="54" s="1"/>
  <c r="C77" i="54" s="1"/>
  <c r="C78" i="54" s="1"/>
  <c r="C79" i="54" s="1"/>
  <c r="U78" i="62"/>
  <c r="W67" i="73"/>
  <c r="W71" i="73"/>
  <c r="E62" i="66"/>
  <c r="W51" i="70"/>
  <c r="X51" i="70" s="1"/>
  <c r="F11" i="77"/>
  <c r="G11" i="77" s="1"/>
  <c r="E71" i="67"/>
  <c r="E75" i="69"/>
  <c r="E60" i="106"/>
  <c r="E62" i="105"/>
  <c r="E73" i="107"/>
  <c r="E57" i="107"/>
  <c r="E69" i="107"/>
  <c r="E53" i="107"/>
  <c r="E77" i="80"/>
  <c r="E54" i="42"/>
  <c r="D92" i="123"/>
  <c r="D82" i="123"/>
  <c r="D97" i="123"/>
  <c r="D75" i="123"/>
  <c r="D85" i="123"/>
  <c r="D83" i="123"/>
  <c r="D81" i="123"/>
  <c r="D77" i="123"/>
  <c r="D98" i="123"/>
  <c r="D90" i="123"/>
  <c r="D73" i="123"/>
  <c r="D100" i="123"/>
  <c r="D94" i="123"/>
  <c r="D70" i="123"/>
  <c r="F11" i="50"/>
  <c r="L33" i="54"/>
  <c r="M33" i="54" s="1"/>
  <c r="F10" i="54"/>
  <c r="G10" i="54" s="1"/>
  <c r="L32" i="54"/>
  <c r="M32" i="54" s="1"/>
  <c r="L30" i="54"/>
  <c r="M30" i="54" s="1"/>
  <c r="F10" i="72"/>
  <c r="G10" i="72" s="1"/>
  <c r="L31" i="54"/>
  <c r="G10" i="74"/>
  <c r="H21" i="111"/>
  <c r="D66" i="111" s="1"/>
  <c r="O33" i="77"/>
  <c r="H24" i="69"/>
  <c r="E69" i="63"/>
  <c r="K34" i="74"/>
  <c r="L34" i="74" s="1"/>
  <c r="M34" i="74" s="1"/>
  <c r="W69" i="62"/>
  <c r="U77" i="74"/>
  <c r="L32" i="81"/>
  <c r="M32" i="81" s="1"/>
  <c r="Q32" i="81" s="1"/>
  <c r="U75" i="58"/>
  <c r="I24" i="72"/>
  <c r="K26" i="47" s="1"/>
  <c r="H24" i="72"/>
  <c r="C56" i="110"/>
  <c r="C59" i="110"/>
  <c r="C60" i="110" s="1"/>
  <c r="C61" i="110" s="1"/>
  <c r="C62" i="110" s="1"/>
  <c r="C63" i="110" s="1"/>
  <c r="C64" i="110" s="1"/>
  <c r="C65" i="110" s="1"/>
  <c r="C66" i="110" s="1"/>
  <c r="C67" i="110" s="1"/>
  <c r="C68" i="110" s="1"/>
  <c r="C69" i="110" s="1"/>
  <c r="C70" i="110" s="1"/>
  <c r="C71" i="110" s="1"/>
  <c r="C72" i="110" s="1"/>
  <c r="C73" i="110" s="1"/>
  <c r="C74" i="110" s="1"/>
  <c r="C75" i="110" s="1"/>
  <c r="C76" i="110" s="1"/>
  <c r="C77" i="110" s="1"/>
  <c r="C78" i="110" s="1"/>
  <c r="C79" i="110" s="1"/>
  <c r="C80" i="110" s="1"/>
  <c r="C81" i="110" s="1"/>
  <c r="C82" i="110" s="1"/>
  <c r="C83" i="110" s="1"/>
  <c r="C84" i="110" s="1"/>
  <c r="C85" i="110" s="1"/>
  <c r="E78" i="107"/>
  <c r="E58" i="107"/>
  <c r="E56" i="80"/>
  <c r="E61" i="77"/>
  <c r="E74" i="45"/>
  <c r="E70" i="45"/>
  <c r="E66" i="45"/>
  <c r="E62" i="45"/>
  <c r="E58" i="45"/>
  <c r="E54" i="45"/>
  <c r="E50" i="45"/>
  <c r="E73" i="44"/>
  <c r="E49" i="44"/>
  <c r="E59" i="42"/>
  <c r="E76" i="58"/>
  <c r="W79" i="73"/>
  <c r="X79" i="73" s="1"/>
  <c r="E78" i="45"/>
  <c r="E50" i="64"/>
  <c r="E49" i="74"/>
  <c r="W56" i="75"/>
  <c r="W67" i="75"/>
  <c r="X67" i="75" s="1"/>
  <c r="L30" i="80"/>
  <c r="E59" i="107"/>
  <c r="E68" i="107"/>
  <c r="E79" i="106"/>
  <c r="E75" i="77"/>
  <c r="G75" i="77" s="1"/>
  <c r="E71" i="77"/>
  <c r="E67" i="77"/>
  <c r="G67" i="77" s="1"/>
  <c r="E63" i="77"/>
  <c r="G63" i="77" s="1"/>
  <c r="E59" i="77"/>
  <c r="G59" i="77" s="1"/>
  <c r="E55" i="77"/>
  <c r="E51" i="77"/>
  <c r="E64" i="77"/>
  <c r="G64" i="77" s="1"/>
  <c r="E68" i="45"/>
  <c r="E55" i="41"/>
  <c r="E66" i="82"/>
  <c r="E78" i="80"/>
  <c r="E74" i="80"/>
  <c r="E70" i="80"/>
  <c r="E66" i="80"/>
  <c r="E62" i="80"/>
  <c r="E58" i="80"/>
  <c r="E54" i="80"/>
  <c r="E50" i="80"/>
  <c r="U50" i="34"/>
  <c r="J31" i="50"/>
  <c r="E54" i="68"/>
  <c r="E78" i="106"/>
  <c r="E74" i="106"/>
  <c r="E70" i="106"/>
  <c r="E66" i="106"/>
  <c r="E62" i="106"/>
  <c r="E58" i="106"/>
  <c r="E54" i="106"/>
  <c r="E50" i="106"/>
  <c r="E73" i="42"/>
  <c r="E65" i="42"/>
  <c r="E57" i="42"/>
  <c r="E49" i="42"/>
  <c r="E64" i="41"/>
  <c r="E73" i="105"/>
  <c r="E65" i="105"/>
  <c r="E57" i="105"/>
  <c r="E53" i="105"/>
  <c r="E49" i="105"/>
  <c r="E58" i="83"/>
  <c r="E68" i="81"/>
  <c r="E79" i="76"/>
  <c r="E55" i="76"/>
  <c r="E65" i="106"/>
  <c r="E77" i="81"/>
  <c r="E73" i="81"/>
  <c r="E69" i="81"/>
  <c r="E65" i="81"/>
  <c r="E61" i="81"/>
  <c r="E57" i="81"/>
  <c r="E53" i="81"/>
  <c r="E49" i="81"/>
  <c r="E76" i="76"/>
  <c r="E52" i="76"/>
  <c r="E63" i="45"/>
  <c r="E79" i="41"/>
  <c r="E59" i="41"/>
  <c r="V44" i="124"/>
  <c r="W40" i="124" s="1"/>
  <c r="X40" i="124" s="1"/>
  <c r="Y40" i="124" s="1"/>
  <c r="D69" i="112"/>
  <c r="F101" i="124"/>
  <c r="N22" i="124" s="1"/>
  <c r="D59" i="62"/>
  <c r="J17" i="123"/>
  <c r="K17" i="123" s="1"/>
  <c r="M32" i="124"/>
  <c r="N32" i="124" s="1"/>
  <c r="N31" i="124"/>
  <c r="N33" i="124" s="1"/>
  <c r="J15" i="124"/>
  <c r="K15" i="124" s="1"/>
  <c r="I17" i="124"/>
  <c r="X50" i="124" s="1"/>
  <c r="N53" i="124"/>
  <c r="Y53" i="124" s="1"/>
  <c r="N50" i="124"/>
  <c r="Y50" i="124" s="1"/>
  <c r="F102" i="132"/>
  <c r="N22" i="132" s="1"/>
  <c r="Z102" i="132"/>
  <c r="L42" i="132"/>
  <c r="M42" i="132" s="1"/>
  <c r="N42" i="132" s="1"/>
  <c r="J17" i="132"/>
  <c r="K17" i="132" s="1"/>
  <c r="W102" i="132"/>
  <c r="U102" i="132"/>
  <c r="T102" i="124"/>
  <c r="K51" i="124" s="1"/>
  <c r="T102" i="123"/>
  <c r="M29" i="123"/>
  <c r="S102" i="123"/>
  <c r="D91" i="123"/>
  <c r="D99" i="123"/>
  <c r="D96" i="123"/>
  <c r="D88" i="123"/>
  <c r="D93" i="123"/>
  <c r="D71" i="123"/>
  <c r="D80" i="123"/>
  <c r="D78" i="123"/>
  <c r="D76" i="123"/>
  <c r="D79" i="123"/>
  <c r="D86" i="123"/>
  <c r="D95" i="123"/>
  <c r="D89" i="123"/>
  <c r="D84" i="123"/>
  <c r="D87" i="123"/>
  <c r="D72" i="123"/>
  <c r="D74" i="123"/>
  <c r="J22" i="123"/>
  <c r="H91" i="123" s="1"/>
  <c r="Z101" i="123"/>
  <c r="T71" i="47" s="1"/>
  <c r="Y51" i="47"/>
  <c r="L32" i="45"/>
  <c r="M32" i="45" s="1"/>
  <c r="L30" i="45"/>
  <c r="M30" i="45" s="1"/>
  <c r="E12" i="45"/>
  <c r="E13" i="45" s="1"/>
  <c r="L31" i="45"/>
  <c r="M31" i="45" s="1"/>
  <c r="F10" i="45"/>
  <c r="G10" i="45" s="1"/>
  <c r="J10" i="45"/>
  <c r="H58" i="47"/>
  <c r="M18" i="32"/>
  <c r="Y47" i="47"/>
  <c r="N47" i="47"/>
  <c r="Y53" i="47"/>
  <c r="G11" i="75"/>
  <c r="H76" i="124"/>
  <c r="H84" i="124"/>
  <c r="H80" i="124"/>
  <c r="G11" i="74"/>
  <c r="L34" i="104"/>
  <c r="O34" i="104" s="1"/>
  <c r="Q34" i="104" s="1"/>
  <c r="H22" i="124"/>
  <c r="D79" i="124" s="1"/>
  <c r="H72" i="124"/>
  <c r="H100" i="124"/>
  <c r="J16" i="124"/>
  <c r="K16" i="124" s="1"/>
  <c r="L40" i="124"/>
  <c r="L39" i="124"/>
  <c r="N39" i="124" s="1"/>
  <c r="L43" i="124"/>
  <c r="AA79" i="133"/>
  <c r="AB79" i="133" s="1"/>
  <c r="J22" i="133"/>
  <c r="H77" i="133" s="1"/>
  <c r="H22" i="133"/>
  <c r="H24" i="84"/>
  <c r="D79" i="84" s="1"/>
  <c r="I24" i="84"/>
  <c r="O61" i="47" s="1"/>
  <c r="S104" i="139"/>
  <c r="R104" i="139"/>
  <c r="V51" i="139" s="1"/>
  <c r="V80" i="42"/>
  <c r="T51" i="47" s="1"/>
  <c r="H24" i="104"/>
  <c r="D76" i="104" s="1"/>
  <c r="W62" i="109"/>
  <c r="W58" i="109"/>
  <c r="X58" i="109" s="1"/>
  <c r="W54" i="109"/>
  <c r="W50" i="109"/>
  <c r="X50" i="109" s="1"/>
  <c r="W68" i="107"/>
  <c r="X68" i="107" s="1"/>
  <c r="W78" i="106"/>
  <c r="X78" i="106" s="1"/>
  <c r="W74" i="106"/>
  <c r="X74" i="106" s="1"/>
  <c r="W70" i="106"/>
  <c r="W66" i="106"/>
  <c r="W62" i="106"/>
  <c r="X62" i="106" s="1"/>
  <c r="W58" i="106"/>
  <c r="X58" i="106" s="1"/>
  <c r="W54" i="106"/>
  <c r="X54" i="106" s="1"/>
  <c r="W50" i="106"/>
  <c r="W62" i="82"/>
  <c r="X62" i="82" s="1"/>
  <c r="K51" i="123"/>
  <c r="K33" i="123" s="1"/>
  <c r="Y31" i="123" s="1"/>
  <c r="Y32" i="123" s="1"/>
  <c r="Y33" i="123" s="1"/>
  <c r="V80" i="109"/>
  <c r="W77" i="107"/>
  <c r="X77" i="107" s="1"/>
  <c r="W73" i="107"/>
  <c r="X73" i="107" s="1"/>
  <c r="W69" i="107"/>
  <c r="X69" i="107" s="1"/>
  <c r="W65" i="107"/>
  <c r="X65" i="107" s="1"/>
  <c r="W61" i="107"/>
  <c r="X61" i="107" s="1"/>
  <c r="W57" i="107"/>
  <c r="X57" i="107" s="1"/>
  <c r="W53" i="107"/>
  <c r="X53" i="107" s="1"/>
  <c r="W49" i="107"/>
  <c r="X49" i="107" s="1"/>
  <c r="Y49" i="107" s="1"/>
  <c r="W59" i="106"/>
  <c r="X59" i="106" s="1"/>
  <c r="Y99" i="139"/>
  <c r="Y91" i="139"/>
  <c r="Y83" i="139"/>
  <c r="Y75" i="139"/>
  <c r="AA72" i="139"/>
  <c r="W77" i="84"/>
  <c r="X77" i="84" s="1"/>
  <c r="W57" i="84"/>
  <c r="X57" i="84" s="1"/>
  <c r="W63" i="82"/>
  <c r="X63" i="82" s="1"/>
  <c r="W72" i="83"/>
  <c r="X72" i="83" s="1"/>
  <c r="W52" i="83"/>
  <c r="X52" i="83" s="1"/>
  <c r="W77" i="81"/>
  <c r="X77" i="81" s="1"/>
  <c r="W73" i="81"/>
  <c r="X73" i="81" s="1"/>
  <c r="W69" i="81"/>
  <c r="X69" i="81" s="1"/>
  <c r="W65" i="81"/>
  <c r="X65" i="81" s="1"/>
  <c r="W61" i="81"/>
  <c r="X61" i="81" s="1"/>
  <c r="W57" i="81"/>
  <c r="X57" i="81" s="1"/>
  <c r="W53" i="81"/>
  <c r="X53" i="81" s="1"/>
  <c r="W49" i="81"/>
  <c r="X49" i="81" s="1"/>
  <c r="Y49" i="81" s="1"/>
  <c r="W59" i="80"/>
  <c r="X59" i="80" s="1"/>
  <c r="W71" i="76"/>
  <c r="X71" i="76" s="1"/>
  <c r="W51" i="76"/>
  <c r="X51" i="76" s="1"/>
  <c r="W78" i="45"/>
  <c r="W74" i="45"/>
  <c r="W70" i="45"/>
  <c r="W66" i="45"/>
  <c r="X66" i="45" s="1"/>
  <c r="W62" i="45"/>
  <c r="W58" i="45"/>
  <c r="W54" i="45"/>
  <c r="X54" i="45" s="1"/>
  <c r="W50" i="45"/>
  <c r="W60" i="42"/>
  <c r="X60" i="42" s="1"/>
  <c r="W67" i="34"/>
  <c r="W74" i="35"/>
  <c r="X74" i="35" s="1"/>
  <c r="W66" i="35"/>
  <c r="X66" i="35" s="1"/>
  <c r="W62" i="35"/>
  <c r="X62" i="35" s="1"/>
  <c r="W58" i="35"/>
  <c r="X58" i="35" s="1"/>
  <c r="W50" i="35"/>
  <c r="X50" i="35" s="1"/>
  <c r="W76" i="36"/>
  <c r="X76" i="36" s="1"/>
  <c r="W72" i="36"/>
  <c r="X72" i="36" s="1"/>
  <c r="W64" i="36"/>
  <c r="X64" i="36" s="1"/>
  <c r="W60" i="36"/>
  <c r="X60" i="36" s="1"/>
  <c r="W56" i="36"/>
  <c r="X56" i="36" s="1"/>
  <c r="W75" i="37"/>
  <c r="X75" i="37" s="1"/>
  <c r="W71" i="37"/>
  <c r="X71" i="37" s="1"/>
  <c r="W67" i="37"/>
  <c r="X67" i="37" s="1"/>
  <c r="W59" i="37"/>
  <c r="X59" i="37" s="1"/>
  <c r="W55" i="37"/>
  <c r="X55" i="37" s="1"/>
  <c r="W74" i="40"/>
  <c r="X74" i="40" s="1"/>
  <c r="W50" i="40"/>
  <c r="X50" i="40" s="1"/>
  <c r="I16" i="134"/>
  <c r="Z76" i="138"/>
  <c r="Y101" i="139"/>
  <c r="Y93" i="139"/>
  <c r="Y85" i="139"/>
  <c r="Y77" i="139"/>
  <c r="AC85" i="140"/>
  <c r="W74" i="84"/>
  <c r="W70" i="84"/>
  <c r="W52" i="82"/>
  <c r="X52" i="82" s="1"/>
  <c r="W77" i="83"/>
  <c r="X77" i="83" s="1"/>
  <c r="W73" i="83"/>
  <c r="X73" i="83" s="1"/>
  <c r="W69" i="83"/>
  <c r="X69" i="83" s="1"/>
  <c r="W65" i="83"/>
  <c r="X65" i="83" s="1"/>
  <c r="W61" i="83"/>
  <c r="X61" i="83" s="1"/>
  <c r="W57" i="83"/>
  <c r="X57" i="83" s="1"/>
  <c r="W53" i="83"/>
  <c r="X53" i="83" s="1"/>
  <c r="W49" i="83"/>
  <c r="X49" i="83" s="1"/>
  <c r="Y49" i="83" s="1"/>
  <c r="W60" i="76"/>
  <c r="X60" i="76" s="1"/>
  <c r="W71" i="45"/>
  <c r="X71" i="45" s="1"/>
  <c r="W77" i="42"/>
  <c r="X77" i="42" s="1"/>
  <c r="W69" i="42"/>
  <c r="X69" i="42" s="1"/>
  <c r="W61" i="42"/>
  <c r="X61" i="42" s="1"/>
  <c r="W57" i="42"/>
  <c r="X57" i="42" s="1"/>
  <c r="W53" i="42"/>
  <c r="X53" i="42" s="1"/>
  <c r="W49" i="42"/>
  <c r="X49" i="42" s="1"/>
  <c r="W60" i="34"/>
  <c r="W55" i="35"/>
  <c r="X55" i="35" s="1"/>
  <c r="W65" i="36"/>
  <c r="X65" i="36" s="1"/>
  <c r="W72" i="37"/>
  <c r="X72" i="37" s="1"/>
  <c r="Z99" i="138"/>
  <c r="Z83" i="138"/>
  <c r="F103" i="138"/>
  <c r="N22" i="138" s="1"/>
  <c r="H73" i="138"/>
  <c r="H89" i="138"/>
  <c r="H101" i="138"/>
  <c r="H80" i="138"/>
  <c r="H95" i="138"/>
  <c r="AC89" i="140"/>
  <c r="AC73" i="140"/>
  <c r="H99" i="138"/>
  <c r="W54" i="38"/>
  <c r="X54" i="38" s="1"/>
  <c r="W62" i="39"/>
  <c r="X62" i="39" s="1"/>
  <c r="W75" i="40"/>
  <c r="X75" i="40" s="1"/>
  <c r="W55" i="40"/>
  <c r="X55" i="40" s="1"/>
  <c r="W76" i="41"/>
  <c r="W72" i="41"/>
  <c r="W68" i="41"/>
  <c r="X68" i="41" s="1"/>
  <c r="W60" i="41"/>
  <c r="W56" i="41"/>
  <c r="W62" i="104"/>
  <c r="X62" i="104" s="1"/>
  <c r="L42" i="134"/>
  <c r="AC93" i="140"/>
  <c r="AC77" i="140"/>
  <c r="Y83" i="132"/>
  <c r="W59" i="38"/>
  <c r="X59" i="38" s="1"/>
  <c r="W75" i="39"/>
  <c r="X75" i="39" s="1"/>
  <c r="W71" i="39"/>
  <c r="X71" i="39" s="1"/>
  <c r="W67" i="39"/>
  <c r="X67" i="39"/>
  <c r="W63" i="39"/>
  <c r="X63" i="39" s="1"/>
  <c r="W59" i="39"/>
  <c r="X59" i="39" s="1"/>
  <c r="W55" i="39"/>
  <c r="X55" i="39"/>
  <c r="W51" i="39"/>
  <c r="X51" i="39" s="1"/>
  <c r="W76" i="40"/>
  <c r="W72" i="40"/>
  <c r="X72" i="40" s="1"/>
  <c r="W68" i="40"/>
  <c r="W64" i="40"/>
  <c r="X64" i="40" s="1"/>
  <c r="W60" i="40"/>
  <c r="W56" i="40"/>
  <c r="X56" i="40" s="1"/>
  <c r="W52" i="40"/>
  <c r="W77" i="41"/>
  <c r="X77" i="41" s="1"/>
  <c r="W53" i="41"/>
  <c r="W67" i="104"/>
  <c r="X67" i="104" s="1"/>
  <c r="Z91" i="138"/>
  <c r="Z75" i="138"/>
  <c r="AC97" i="140"/>
  <c r="AC81" i="140"/>
  <c r="Y97" i="132"/>
  <c r="E103" i="138"/>
  <c r="E107" i="138" s="1"/>
  <c r="F107" i="138" s="1"/>
  <c r="L42" i="139"/>
  <c r="AA89" i="139"/>
  <c r="AA73" i="139"/>
  <c r="AB73" i="139" s="1"/>
  <c r="Z102" i="140"/>
  <c r="Y99" i="132"/>
  <c r="J22" i="139"/>
  <c r="H22" i="139"/>
  <c r="L41" i="133"/>
  <c r="AA97" i="139"/>
  <c r="Y81" i="132"/>
  <c r="Y46" i="47"/>
  <c r="AE100" i="140"/>
  <c r="AE96" i="140"/>
  <c r="AF96" i="140" s="1"/>
  <c r="AE92" i="140"/>
  <c r="AE88" i="140"/>
  <c r="AF88" i="140" s="1"/>
  <c r="AE84" i="140"/>
  <c r="AE80" i="140"/>
  <c r="AF80" i="140" s="1"/>
  <c r="AE76" i="140"/>
  <c r="AF76" i="140" s="1"/>
  <c r="AE72" i="140"/>
  <c r="AF72" i="140" s="1"/>
  <c r="H92" i="124"/>
  <c r="Y89" i="132"/>
  <c r="Y73" i="132"/>
  <c r="AA76" i="123"/>
  <c r="AB76" i="123" s="1"/>
  <c r="AA71" i="133"/>
  <c r="AB71" i="133" s="1"/>
  <c r="Y70" i="123"/>
  <c r="H71" i="124"/>
  <c r="H73" i="124"/>
  <c r="H75" i="124"/>
  <c r="H79" i="124"/>
  <c r="I79" i="124" s="1"/>
  <c r="H81" i="124"/>
  <c r="H83" i="124"/>
  <c r="H85" i="124"/>
  <c r="H87" i="124"/>
  <c r="H89" i="124"/>
  <c r="H91" i="124"/>
  <c r="H95" i="124"/>
  <c r="H97" i="124"/>
  <c r="H99" i="124"/>
  <c r="AA98" i="123"/>
  <c r="AB98" i="123" s="1"/>
  <c r="AA90" i="123"/>
  <c r="AA82" i="123"/>
  <c r="AB82" i="123" s="1"/>
  <c r="T107" i="132"/>
  <c r="S103" i="132"/>
  <c r="L56" i="132" s="1"/>
  <c r="H98" i="124"/>
  <c r="H90" i="124"/>
  <c r="H74" i="124"/>
  <c r="Y48" i="47"/>
  <c r="M39" i="133"/>
  <c r="N39" i="133" s="1"/>
  <c r="M40" i="133"/>
  <c r="N40" i="133" s="1"/>
  <c r="I16" i="138"/>
  <c r="C50" i="43"/>
  <c r="C51" i="43" s="1"/>
  <c r="C52" i="43" s="1"/>
  <c r="C53" i="43" s="1"/>
  <c r="C54" i="43" s="1"/>
  <c r="C55" i="43" s="1"/>
  <c r="C56" i="43" s="1"/>
  <c r="C57" i="43" s="1"/>
  <c r="C58" i="43" s="1"/>
  <c r="C59" i="43" s="1"/>
  <c r="C60" i="43" s="1"/>
  <c r="C61" i="43" s="1"/>
  <c r="C62" i="43" s="1"/>
  <c r="C63" i="43" s="1"/>
  <c r="C64" i="43" s="1"/>
  <c r="C65" i="43" s="1"/>
  <c r="C66" i="43" s="1"/>
  <c r="C67" i="43" s="1"/>
  <c r="C68" i="43" s="1"/>
  <c r="C69" i="43" s="1"/>
  <c r="C70" i="43" s="1"/>
  <c r="C71" i="43" s="1"/>
  <c r="C72" i="43" s="1"/>
  <c r="C73" i="43" s="1"/>
  <c r="C74" i="43" s="1"/>
  <c r="C75" i="43" s="1"/>
  <c r="C76" i="43" s="1"/>
  <c r="C77" i="43" s="1"/>
  <c r="C78" i="43" s="1"/>
  <c r="C79" i="43" s="1"/>
  <c r="C47" i="43"/>
  <c r="H24" i="43" s="1"/>
  <c r="J16" i="47" s="1"/>
  <c r="C50" i="37"/>
  <c r="C51" i="37" s="1"/>
  <c r="C52" i="37" s="1"/>
  <c r="C53" i="37" s="1"/>
  <c r="C54" i="37" s="1"/>
  <c r="C55" i="37" s="1"/>
  <c r="C56" i="37" s="1"/>
  <c r="C57" i="37" s="1"/>
  <c r="C58" i="37" s="1"/>
  <c r="C59" i="37" s="1"/>
  <c r="C60" i="37" s="1"/>
  <c r="C61" i="37" s="1"/>
  <c r="C62" i="37" s="1"/>
  <c r="C63" i="37" s="1"/>
  <c r="C64" i="37" s="1"/>
  <c r="C65" i="37" s="1"/>
  <c r="C66" i="37" s="1"/>
  <c r="C67" i="37" s="1"/>
  <c r="C68" i="37" s="1"/>
  <c r="C69" i="37" s="1"/>
  <c r="C70" i="37" s="1"/>
  <c r="C71" i="37" s="1"/>
  <c r="C72" i="37" s="1"/>
  <c r="C73" i="37" s="1"/>
  <c r="C74" i="37" s="1"/>
  <c r="C75" i="37" s="1"/>
  <c r="C76" i="37" s="1"/>
  <c r="C77" i="37" s="1"/>
  <c r="C78" i="37" s="1"/>
  <c r="K34" i="51"/>
  <c r="K33" i="51"/>
  <c r="K31" i="51"/>
  <c r="I35" i="58"/>
  <c r="K30" i="58" s="1"/>
  <c r="L30" i="58" s="1"/>
  <c r="M30" i="58" s="1"/>
  <c r="I35" i="62"/>
  <c r="K30" i="62" s="1"/>
  <c r="M35" i="12"/>
  <c r="I35" i="37"/>
  <c r="F10" i="52"/>
  <c r="G10" i="52" s="1"/>
  <c r="F10" i="63"/>
  <c r="G10" i="63" s="1"/>
  <c r="V31" i="132"/>
  <c r="W78" i="107"/>
  <c r="X78" i="107" s="1"/>
  <c r="W63" i="107"/>
  <c r="X63" i="107" s="1"/>
  <c r="W73" i="91"/>
  <c r="V80" i="107"/>
  <c r="T65" i="47" s="1"/>
  <c r="W69" i="80"/>
  <c r="X69" i="80" s="1"/>
  <c r="W74" i="76"/>
  <c r="X74" i="76" s="1"/>
  <c r="W58" i="76"/>
  <c r="X58" i="76" s="1"/>
  <c r="W49" i="45"/>
  <c r="X49" i="45" s="1"/>
  <c r="Y49" i="45" s="1"/>
  <c r="W78" i="44"/>
  <c r="W74" i="44"/>
  <c r="X74" i="44" s="1"/>
  <c r="W70" i="44"/>
  <c r="X70" i="44" s="1"/>
  <c r="W66" i="44"/>
  <c r="X66" i="44" s="1"/>
  <c r="W62" i="44"/>
  <c r="W58" i="44"/>
  <c r="W54" i="44"/>
  <c r="X54" i="44" s="1"/>
  <c r="W77" i="43"/>
  <c r="X77" i="43" s="1"/>
  <c r="W57" i="43"/>
  <c r="X57" i="43" s="1"/>
  <c r="W53" i="82"/>
  <c r="X53" i="82" s="1"/>
  <c r="W49" i="82"/>
  <c r="X49" i="82" s="1"/>
  <c r="Y49" i="82" s="1"/>
  <c r="W71" i="83"/>
  <c r="X71" i="83" s="1"/>
  <c r="W70" i="80"/>
  <c r="W54" i="80"/>
  <c r="X54" i="80" s="1"/>
  <c r="W75" i="44"/>
  <c r="X75" i="44" s="1"/>
  <c r="W55" i="44"/>
  <c r="X55" i="44" s="1"/>
  <c r="W50" i="44"/>
  <c r="W78" i="43"/>
  <c r="X78" i="43" s="1"/>
  <c r="W74" i="43"/>
  <c r="X74" i="43" s="1"/>
  <c r="W70" i="43"/>
  <c r="X70" i="43" s="1"/>
  <c r="W66" i="43"/>
  <c r="W62" i="43"/>
  <c r="W58" i="43"/>
  <c r="W54" i="43"/>
  <c r="X54" i="43" s="1"/>
  <c r="W50" i="43"/>
  <c r="AC98" i="140"/>
  <c r="AC82" i="140"/>
  <c r="AB100" i="138"/>
  <c r="AC100" i="138" s="1"/>
  <c r="AB96" i="138"/>
  <c r="AC96" i="138" s="1"/>
  <c r="AA75" i="139"/>
  <c r="AB75" i="139" s="1"/>
  <c r="X102" i="140"/>
  <c r="AC86" i="140"/>
  <c r="AA80" i="132"/>
  <c r="AB80" i="132" s="1"/>
  <c r="AC80" i="132" s="1"/>
  <c r="AA74" i="132"/>
  <c r="AB74" i="132" s="1"/>
  <c r="AC74" i="132" s="1"/>
  <c r="AA92" i="139"/>
  <c r="AB92" i="139" s="1"/>
  <c r="AC87" i="140"/>
  <c r="H22" i="140"/>
  <c r="AA82" i="132"/>
  <c r="AB82" i="132" s="1"/>
  <c r="AC82" i="132" s="1"/>
  <c r="AA75" i="132"/>
  <c r="AB75" i="132" s="1"/>
  <c r="AC75" i="132" s="1"/>
  <c r="Y94" i="123"/>
  <c r="M43" i="132"/>
  <c r="N43" i="132" s="1"/>
  <c r="Z80" i="134"/>
  <c r="Z80" i="138"/>
  <c r="AA100" i="139"/>
  <c r="AB100" i="139" s="1"/>
  <c r="AA84" i="139"/>
  <c r="S103" i="133"/>
  <c r="H96" i="124"/>
  <c r="AA77" i="139"/>
  <c r="AB77" i="139" s="1"/>
  <c r="AE79" i="140"/>
  <c r="AF79" i="140" s="1"/>
  <c r="Y93" i="132"/>
  <c r="Y85" i="132"/>
  <c r="AA78" i="132"/>
  <c r="AB78" i="132" s="1"/>
  <c r="AC78" i="132" s="1"/>
  <c r="Y75" i="132"/>
  <c r="AA85" i="123"/>
  <c r="AB85" i="123" s="1"/>
  <c r="Y81" i="123"/>
  <c r="Y75" i="123"/>
  <c r="Y71" i="123"/>
  <c r="U102" i="140"/>
  <c r="AE99" i="140"/>
  <c r="AF99" i="140" s="1"/>
  <c r="AE83" i="140"/>
  <c r="AF83" i="140" s="1"/>
  <c r="K17" i="133"/>
  <c r="Y72" i="132"/>
  <c r="Y92" i="132"/>
  <c r="AA101" i="132"/>
  <c r="AA99" i="132"/>
  <c r="AB99" i="132" s="1"/>
  <c r="AC99" i="132" s="1"/>
  <c r="AA97" i="132"/>
  <c r="AB97" i="132" s="1"/>
  <c r="AC97" i="132" s="1"/>
  <c r="AA89" i="132"/>
  <c r="AB89" i="132" s="1"/>
  <c r="AC89" i="132" s="1"/>
  <c r="Y71" i="132"/>
  <c r="Y91" i="123"/>
  <c r="Y87" i="123"/>
  <c r="I17" i="134"/>
  <c r="I15" i="138"/>
  <c r="M32" i="138" s="1"/>
  <c r="N32" i="138" s="1"/>
  <c r="I15" i="134"/>
  <c r="I17" i="138"/>
  <c r="D91" i="124"/>
  <c r="W49" i="51"/>
  <c r="W53" i="51"/>
  <c r="W56" i="51"/>
  <c r="X56" i="51" s="1"/>
  <c r="W63" i="52"/>
  <c r="E53" i="53"/>
  <c r="E56" i="53"/>
  <c r="E58" i="53"/>
  <c r="W60" i="53"/>
  <c r="E65" i="53"/>
  <c r="W69" i="53"/>
  <c r="W73" i="53"/>
  <c r="X73" i="53" s="1"/>
  <c r="W77" i="53"/>
  <c r="E62" i="56"/>
  <c r="W62" i="58"/>
  <c r="E74" i="58"/>
  <c r="E53" i="60"/>
  <c r="W71" i="60"/>
  <c r="W55" i="62"/>
  <c r="X55" i="62" s="1"/>
  <c r="E59" i="62"/>
  <c r="E66" i="62"/>
  <c r="E71" i="63"/>
  <c r="W49" i="64"/>
  <c r="W52" i="64"/>
  <c r="W61" i="64"/>
  <c r="X61" i="64" s="1"/>
  <c r="E68" i="64"/>
  <c r="W60" i="65"/>
  <c r="X60" i="65" s="1"/>
  <c r="E68" i="65"/>
  <c r="E51" i="66"/>
  <c r="W67" i="66"/>
  <c r="X67" i="66" s="1"/>
  <c r="E75" i="66"/>
  <c r="W49" i="67"/>
  <c r="X49" i="67" s="1"/>
  <c r="Y49" i="67" s="1"/>
  <c r="Q80" i="67"/>
  <c r="W57" i="67"/>
  <c r="E60" i="67"/>
  <c r="W68" i="67"/>
  <c r="X68" i="67" s="1"/>
  <c r="E76" i="67"/>
  <c r="E77" i="67"/>
  <c r="E50" i="68"/>
  <c r="W52" i="68"/>
  <c r="X52" i="68" s="1"/>
  <c r="E61" i="68"/>
  <c r="W64" i="68"/>
  <c r="X64" i="68" s="1"/>
  <c r="E68" i="68"/>
  <c r="E61" i="69"/>
  <c r="E65" i="69"/>
  <c r="E68" i="69"/>
  <c r="E69" i="69"/>
  <c r="I45" i="69"/>
  <c r="J42" i="69" s="1"/>
  <c r="L42" i="69" s="1"/>
  <c r="M42" i="69" s="1"/>
  <c r="W67" i="70"/>
  <c r="X67" i="70" s="1"/>
  <c r="E75" i="70"/>
  <c r="W78" i="70"/>
  <c r="X78" i="70" s="1"/>
  <c r="E49" i="71"/>
  <c r="E50" i="71"/>
  <c r="W54" i="71"/>
  <c r="E57" i="71"/>
  <c r="E58" i="71"/>
  <c r="E61" i="71"/>
  <c r="E62" i="71"/>
  <c r="W66" i="71"/>
  <c r="X66" i="71" s="1"/>
  <c r="E69" i="71"/>
  <c r="E53" i="72"/>
  <c r="W61" i="72"/>
  <c r="X61" i="72" s="1"/>
  <c r="E73" i="72"/>
  <c r="W76" i="72"/>
  <c r="X76" i="72" s="1"/>
  <c r="W77" i="72"/>
  <c r="W79" i="72"/>
  <c r="X79" i="72" s="1"/>
  <c r="W60" i="73"/>
  <c r="X60" i="73" s="1"/>
  <c r="E68" i="73"/>
  <c r="E69" i="73"/>
  <c r="W75" i="73"/>
  <c r="W53" i="74"/>
  <c r="X53" i="74" s="1"/>
  <c r="E51" i="74"/>
  <c r="R80" i="74"/>
  <c r="W58" i="74"/>
  <c r="X58" i="74" s="1"/>
  <c r="W65" i="74"/>
  <c r="X65" i="74" s="1"/>
  <c r="W66" i="74"/>
  <c r="X66" i="74" s="1"/>
  <c r="E70" i="74"/>
  <c r="E73" i="74"/>
  <c r="W74" i="74"/>
  <c r="X74" i="74" s="1"/>
  <c r="E77" i="74"/>
  <c r="W78" i="74"/>
  <c r="X78" i="74" s="1"/>
  <c r="I45" i="74"/>
  <c r="J44" i="74" s="1"/>
  <c r="L44" i="74" s="1"/>
  <c r="M44" i="74" s="1"/>
  <c r="E50" i="75"/>
  <c r="E65" i="75"/>
  <c r="W72" i="75"/>
  <c r="X72" i="75" s="1"/>
  <c r="I45" i="80"/>
  <c r="J42" i="80" s="1"/>
  <c r="L42" i="80" s="1"/>
  <c r="M42" i="80" s="1"/>
  <c r="Q42" i="80" s="1"/>
  <c r="I45" i="81"/>
  <c r="E79" i="83"/>
  <c r="X31" i="124"/>
  <c r="Y31" i="124" s="1"/>
  <c r="AA74" i="124"/>
  <c r="AB74" i="124"/>
  <c r="AA86" i="124"/>
  <c r="AB86" i="124" s="1"/>
  <c r="AA98" i="124"/>
  <c r="AB98" i="124" s="1"/>
  <c r="F101" i="123"/>
  <c r="N22" i="123"/>
  <c r="H82" i="124"/>
  <c r="E81" i="112"/>
  <c r="G81" i="112" s="1"/>
  <c r="E79" i="109"/>
  <c r="G79" i="109" s="1"/>
  <c r="E75" i="109"/>
  <c r="E71" i="109"/>
  <c r="E67" i="109"/>
  <c r="W63" i="109"/>
  <c r="X63" i="109" s="1"/>
  <c r="W61" i="109"/>
  <c r="X61" i="109" s="1"/>
  <c r="W59" i="109"/>
  <c r="X59" i="109" s="1"/>
  <c r="E55" i="109"/>
  <c r="G55" i="109" s="1"/>
  <c r="E53" i="109"/>
  <c r="W60" i="58"/>
  <c r="X60" i="58" s="1"/>
  <c r="E55" i="68"/>
  <c r="E75" i="107"/>
  <c r="E74" i="107"/>
  <c r="W72" i="107"/>
  <c r="X72" i="107" s="1"/>
  <c r="E71" i="107"/>
  <c r="E70" i="107"/>
  <c r="E67" i="107"/>
  <c r="E66" i="107"/>
  <c r="E64" i="107"/>
  <c r="E63" i="107"/>
  <c r="W62" i="107"/>
  <c r="X62" i="107" s="1"/>
  <c r="W56" i="107"/>
  <c r="X56" i="107" s="1"/>
  <c r="E55" i="107"/>
  <c r="E52" i="107"/>
  <c r="E50" i="107"/>
  <c r="W79" i="106"/>
  <c r="X79" i="106" s="1"/>
  <c r="E77" i="106"/>
  <c r="E76" i="106"/>
  <c r="W75" i="106"/>
  <c r="X75" i="106" s="1"/>
  <c r="E73" i="106"/>
  <c r="E72" i="106"/>
  <c r="E71" i="106"/>
  <c r="E69" i="106"/>
  <c r="E68" i="106"/>
  <c r="E67" i="106"/>
  <c r="E64" i="106"/>
  <c r="W63" i="106"/>
  <c r="X63" i="106" s="1"/>
  <c r="W61" i="106"/>
  <c r="X61" i="106" s="1"/>
  <c r="E59" i="106"/>
  <c r="E57" i="106"/>
  <c r="W55" i="106"/>
  <c r="X55" i="106" s="1"/>
  <c r="E78" i="105"/>
  <c r="E74" i="105"/>
  <c r="E70" i="105"/>
  <c r="E66" i="105"/>
  <c r="E54" i="105"/>
  <c r="E78" i="82"/>
  <c r="W74" i="82"/>
  <c r="X74" i="82" s="1"/>
  <c r="E70" i="82"/>
  <c r="W66" i="82"/>
  <c r="X66" i="82" s="1"/>
  <c r="E62" i="82"/>
  <c r="E58" i="82"/>
  <c r="W54" i="82"/>
  <c r="X54" i="82" s="1"/>
  <c r="W50" i="82"/>
  <c r="X50" i="82" s="1"/>
  <c r="E78" i="83"/>
  <c r="E74" i="83"/>
  <c r="W70" i="83"/>
  <c r="X70" i="83" s="1"/>
  <c r="E66" i="83"/>
  <c r="E62" i="83"/>
  <c r="E54" i="83"/>
  <c r="E78" i="81"/>
  <c r="W74" i="81"/>
  <c r="X74" i="81" s="1"/>
  <c r="W70" i="81"/>
  <c r="X70" i="81" s="1"/>
  <c r="E66" i="81"/>
  <c r="E62" i="81"/>
  <c r="E54" i="81"/>
  <c r="E75" i="80"/>
  <c r="E67" i="80"/>
  <c r="E59" i="80"/>
  <c r="W55" i="80"/>
  <c r="X55" i="80" s="1"/>
  <c r="E51" i="80"/>
  <c r="E76" i="77"/>
  <c r="G76" i="77" s="1"/>
  <c r="E72" i="77"/>
  <c r="G72" i="77" s="1"/>
  <c r="E68" i="77"/>
  <c r="E60" i="77"/>
  <c r="G60" i="77" s="1"/>
  <c r="E56" i="77"/>
  <c r="G56" i="77" s="1"/>
  <c r="W79" i="76"/>
  <c r="X79" i="76" s="1"/>
  <c r="E75" i="76"/>
  <c r="E71" i="76"/>
  <c r="W67" i="76"/>
  <c r="X67" i="76" s="1"/>
  <c r="W63" i="76"/>
  <c r="X63" i="76" s="1"/>
  <c r="E59" i="76"/>
  <c r="W55" i="76"/>
  <c r="X55" i="76" s="1"/>
  <c r="E51" i="76"/>
  <c r="E79" i="45"/>
  <c r="E75" i="45"/>
  <c r="E71" i="45"/>
  <c r="W67" i="45"/>
  <c r="X67" i="45" s="1"/>
  <c r="W63" i="45"/>
  <c r="X63" i="45" s="1"/>
  <c r="E59" i="45"/>
  <c r="E55" i="45"/>
  <c r="W79" i="44"/>
  <c r="X79" i="44" s="1"/>
  <c r="E78" i="109"/>
  <c r="E74" i="109"/>
  <c r="E70" i="109"/>
  <c r="E66" i="109"/>
  <c r="E62" i="109"/>
  <c r="E58" i="109"/>
  <c r="E54" i="109"/>
  <c r="E75" i="44"/>
  <c r="E71" i="44"/>
  <c r="W67" i="44"/>
  <c r="X67" i="44" s="1"/>
  <c r="W63" i="44"/>
  <c r="X63" i="44" s="1"/>
  <c r="W59" i="44"/>
  <c r="X59" i="44" s="1"/>
  <c r="E55" i="44"/>
  <c r="E79" i="43"/>
  <c r="E75" i="43"/>
  <c r="E71" i="43"/>
  <c r="E67" i="43"/>
  <c r="E63" i="43"/>
  <c r="E59" i="43"/>
  <c r="E55" i="43"/>
  <c r="E78" i="42"/>
  <c r="E74" i="42"/>
  <c r="E70" i="42"/>
  <c r="E78" i="34"/>
  <c r="E74" i="34"/>
  <c r="E70" i="34"/>
  <c r="E66" i="34"/>
  <c r="E62" i="34"/>
  <c r="E54" i="34"/>
  <c r="E50" i="34"/>
  <c r="E75" i="35"/>
  <c r="E71" i="35"/>
  <c r="E67" i="35"/>
  <c r="E59" i="35"/>
  <c r="E55" i="35"/>
  <c r="W51" i="35"/>
  <c r="X51" i="35" s="1"/>
  <c r="E73" i="36"/>
  <c r="G73" i="36" s="1"/>
  <c r="E69" i="36"/>
  <c r="E65" i="36"/>
  <c r="W61" i="36"/>
  <c r="X61" i="36" s="1"/>
  <c r="E57" i="36"/>
  <c r="E53" i="36"/>
  <c r="E77" i="37"/>
  <c r="E73" i="37"/>
  <c r="E72" i="37"/>
  <c r="E69" i="37"/>
  <c r="E68" i="37"/>
  <c r="E65" i="37"/>
  <c r="E64" i="37"/>
  <c r="E61" i="37"/>
  <c r="W60" i="37"/>
  <c r="X60" i="37" s="1"/>
  <c r="E56" i="37"/>
  <c r="E52" i="37"/>
  <c r="E49" i="37"/>
  <c r="E77" i="38"/>
  <c r="E74" i="38"/>
  <c r="E73" i="38"/>
  <c r="E70" i="38"/>
  <c r="E69" i="38"/>
  <c r="E66" i="38"/>
  <c r="E65" i="38"/>
  <c r="E62" i="38"/>
  <c r="E61" i="38"/>
  <c r="E58" i="38"/>
  <c r="E57" i="38"/>
  <c r="E54" i="38"/>
  <c r="E53" i="38"/>
  <c r="E77" i="39"/>
  <c r="E73" i="39"/>
  <c r="E72" i="39"/>
  <c r="E69" i="39"/>
  <c r="E68" i="39"/>
  <c r="E65" i="39"/>
  <c r="E64" i="39"/>
  <c r="E61" i="39"/>
  <c r="E57" i="39"/>
  <c r="E56" i="39"/>
  <c r="E52" i="39"/>
  <c r="E49" i="39"/>
  <c r="E78" i="40"/>
  <c r="E77" i="40"/>
  <c r="E73" i="40"/>
  <c r="E69" i="40"/>
  <c r="E66" i="40"/>
  <c r="E65" i="40"/>
  <c r="E62" i="40"/>
  <c r="W58" i="40"/>
  <c r="X58" i="40" s="1"/>
  <c r="E57" i="40"/>
  <c r="W54" i="40"/>
  <c r="X54" i="40" s="1"/>
  <c r="E53" i="40"/>
  <c r="AA86" i="123"/>
  <c r="E69" i="34"/>
  <c r="E58" i="35"/>
  <c r="E64" i="36"/>
  <c r="G10" i="50"/>
  <c r="W62" i="52"/>
  <c r="X62" i="52" s="1"/>
  <c r="W57" i="53"/>
  <c r="G11" i="56"/>
  <c r="W60" i="60"/>
  <c r="X60" i="60" s="1"/>
  <c r="W64" i="60"/>
  <c r="U51" i="63"/>
  <c r="W67" i="63"/>
  <c r="X67" i="63" s="1"/>
  <c r="E67" i="63"/>
  <c r="E79" i="63"/>
  <c r="W54" i="64"/>
  <c r="X54" i="64" s="1"/>
  <c r="E79" i="64"/>
  <c r="W79" i="64"/>
  <c r="X79" i="64" s="1"/>
  <c r="W65" i="65"/>
  <c r="X65" i="65" s="1"/>
  <c r="E65" i="65"/>
  <c r="E64" i="66"/>
  <c r="W64" i="66"/>
  <c r="I35" i="67"/>
  <c r="K34" i="67" s="1"/>
  <c r="L34" i="67" s="1"/>
  <c r="W77" i="69"/>
  <c r="X77" i="69" s="1"/>
  <c r="E77" i="69"/>
  <c r="W70" i="71"/>
  <c r="X70" i="71" s="1"/>
  <c r="E70" i="71"/>
  <c r="C50" i="74"/>
  <c r="C51" i="74" s="1"/>
  <c r="C52" i="74" s="1"/>
  <c r="C53" i="74" s="1"/>
  <c r="C54" i="74" s="1"/>
  <c r="C55" i="74" s="1"/>
  <c r="C56" i="74" s="1"/>
  <c r="C57" i="74" s="1"/>
  <c r="C58" i="74" s="1"/>
  <c r="C59" i="74" s="1"/>
  <c r="C60" i="74" s="1"/>
  <c r="C61" i="74" s="1"/>
  <c r="C62" i="74" s="1"/>
  <c r="C63" i="74" s="1"/>
  <c r="C64" i="74" s="1"/>
  <c r="C65" i="74" s="1"/>
  <c r="C66" i="74" s="1"/>
  <c r="C67" i="74" s="1"/>
  <c r="C68" i="74" s="1"/>
  <c r="C69" i="74" s="1"/>
  <c r="C70" i="74" s="1"/>
  <c r="C71" i="74" s="1"/>
  <c r="C72" i="74" s="1"/>
  <c r="C73" i="74" s="1"/>
  <c r="C74" i="74" s="1"/>
  <c r="C75" i="74" s="1"/>
  <c r="C76" i="74" s="1"/>
  <c r="C77" i="74" s="1"/>
  <c r="C78" i="74" s="1"/>
  <c r="C79" i="74" s="1"/>
  <c r="C47" i="74"/>
  <c r="E62" i="74"/>
  <c r="W62" i="74"/>
  <c r="X62" i="74" s="1"/>
  <c r="E67" i="74"/>
  <c r="W67" i="74"/>
  <c r="X67" i="74" s="1"/>
  <c r="C50" i="80"/>
  <c r="C51" i="80" s="1"/>
  <c r="C52" i="80" s="1"/>
  <c r="C53" i="80" s="1"/>
  <c r="C54" i="80" s="1"/>
  <c r="C55" i="80" s="1"/>
  <c r="C56" i="80" s="1"/>
  <c r="C57" i="80" s="1"/>
  <c r="C58" i="80" s="1"/>
  <c r="C59" i="80" s="1"/>
  <c r="C60" i="80" s="1"/>
  <c r="C61" i="80" s="1"/>
  <c r="C62" i="80" s="1"/>
  <c r="C63" i="80" s="1"/>
  <c r="C64" i="80" s="1"/>
  <c r="C65" i="80" s="1"/>
  <c r="C66" i="80" s="1"/>
  <c r="C67" i="80" s="1"/>
  <c r="C68" i="80" s="1"/>
  <c r="C69" i="80" s="1"/>
  <c r="C70" i="80" s="1"/>
  <c r="C71" i="80" s="1"/>
  <c r="C72" i="80" s="1"/>
  <c r="C73" i="80" s="1"/>
  <c r="C74" i="80" s="1"/>
  <c r="C75" i="80" s="1"/>
  <c r="C76" i="80" s="1"/>
  <c r="C77" i="80" s="1"/>
  <c r="C78" i="80" s="1"/>
  <c r="C79" i="80" s="1"/>
  <c r="C47" i="80"/>
  <c r="F10" i="41"/>
  <c r="G10" i="41" s="1"/>
  <c r="L30" i="41"/>
  <c r="M30" i="41" s="1"/>
  <c r="L34" i="41"/>
  <c r="M34" i="41" s="1"/>
  <c r="L33" i="41"/>
  <c r="M33" i="41" s="1"/>
  <c r="C47" i="105"/>
  <c r="C50" i="105"/>
  <c r="C51" i="105" s="1"/>
  <c r="C52" i="105" s="1"/>
  <c r="C53" i="105" s="1"/>
  <c r="C54" i="105" s="1"/>
  <c r="C55" i="105" s="1"/>
  <c r="C56" i="105" s="1"/>
  <c r="C57" i="105" s="1"/>
  <c r="C58" i="105" s="1"/>
  <c r="C59" i="105" s="1"/>
  <c r="C60" i="105" s="1"/>
  <c r="C61" i="105" s="1"/>
  <c r="C62" i="105" s="1"/>
  <c r="C63" i="105" s="1"/>
  <c r="C64" i="105" s="1"/>
  <c r="C65" i="105" s="1"/>
  <c r="C66" i="105" s="1"/>
  <c r="C67" i="105" s="1"/>
  <c r="C68" i="105" s="1"/>
  <c r="C69" i="105" s="1"/>
  <c r="C70" i="105" s="1"/>
  <c r="C71" i="105" s="1"/>
  <c r="C72" i="105" s="1"/>
  <c r="C73" i="105" s="1"/>
  <c r="C74" i="105" s="1"/>
  <c r="C75" i="105" s="1"/>
  <c r="C76" i="105" s="1"/>
  <c r="C77" i="105" s="1"/>
  <c r="C78" i="105" s="1"/>
  <c r="L34" i="106"/>
  <c r="L32" i="106"/>
  <c r="L30" i="106"/>
  <c r="L33" i="106"/>
  <c r="M33" i="106" s="1"/>
  <c r="F10" i="106"/>
  <c r="G10" i="106" s="1"/>
  <c r="I24" i="59"/>
  <c r="O39" i="47" s="1"/>
  <c r="H24" i="59"/>
  <c r="D61" i="59" s="1"/>
  <c r="W79" i="59"/>
  <c r="F10" i="60"/>
  <c r="G10" i="60" s="1"/>
  <c r="E51" i="62"/>
  <c r="W78" i="62"/>
  <c r="X78" i="62" s="1"/>
  <c r="W79" i="62"/>
  <c r="X79" i="62" s="1"/>
  <c r="E79" i="62"/>
  <c r="U51" i="64"/>
  <c r="V80" i="64"/>
  <c r="T18" i="47" s="1"/>
  <c r="W56" i="64"/>
  <c r="X56" i="64" s="1"/>
  <c r="E56" i="64"/>
  <c r="C46" i="65"/>
  <c r="B48" i="65"/>
  <c r="A48" i="65"/>
  <c r="C49" i="65"/>
  <c r="C50" i="65" s="1"/>
  <c r="C51" i="65" s="1"/>
  <c r="C52" i="65" s="1"/>
  <c r="C53" i="65" s="1"/>
  <c r="C54" i="65" s="1"/>
  <c r="C55" i="65" s="1"/>
  <c r="C56" i="65" s="1"/>
  <c r="C57" i="65" s="1"/>
  <c r="C58" i="65" s="1"/>
  <c r="C59" i="65" s="1"/>
  <c r="C60" i="65" s="1"/>
  <c r="C61" i="65" s="1"/>
  <c r="C62" i="65" s="1"/>
  <c r="C63" i="65" s="1"/>
  <c r="C64" i="65" s="1"/>
  <c r="C65" i="65" s="1"/>
  <c r="C66" i="65" s="1"/>
  <c r="C67" i="65" s="1"/>
  <c r="C68" i="65" s="1"/>
  <c r="C69" i="65" s="1"/>
  <c r="C70" i="65" s="1"/>
  <c r="C71" i="65" s="1"/>
  <c r="C72" i="65" s="1"/>
  <c r="C73" i="65" s="1"/>
  <c r="C74" i="65" s="1"/>
  <c r="C75" i="65" s="1"/>
  <c r="C76" i="65" s="1"/>
  <c r="C77" i="65" s="1"/>
  <c r="C78" i="65" s="1"/>
  <c r="E53" i="65"/>
  <c r="W53" i="65"/>
  <c r="X53" i="65" s="1"/>
  <c r="T19" i="47"/>
  <c r="U55" i="65"/>
  <c r="W57" i="65"/>
  <c r="E57" i="65"/>
  <c r="W62" i="67"/>
  <c r="X62" i="67" s="1"/>
  <c r="W72" i="67"/>
  <c r="X72" i="67" s="1"/>
  <c r="E72" i="67"/>
  <c r="W78" i="67"/>
  <c r="X78" i="67" s="1"/>
  <c r="E78" i="67"/>
  <c r="E70" i="68"/>
  <c r="W70" i="68"/>
  <c r="L33" i="70"/>
  <c r="M33" i="70" s="1"/>
  <c r="L32" i="70"/>
  <c r="M32" i="70" s="1"/>
  <c r="L30" i="70"/>
  <c r="M30" i="70" s="1"/>
  <c r="L34" i="70"/>
  <c r="M34" i="70" s="1"/>
  <c r="L31" i="70"/>
  <c r="M31" i="70" s="1"/>
  <c r="E63" i="70"/>
  <c r="Q80" i="70"/>
  <c r="U49" i="74"/>
  <c r="V80" i="74"/>
  <c r="W61" i="74"/>
  <c r="X61" i="74" s="1"/>
  <c r="E61" i="74"/>
  <c r="E69" i="74"/>
  <c r="W69" i="74"/>
  <c r="X69" i="74" s="1"/>
  <c r="E62" i="75"/>
  <c r="W62" i="75"/>
  <c r="W69" i="75"/>
  <c r="E69" i="75"/>
  <c r="C50" i="82"/>
  <c r="C51" i="82" s="1"/>
  <c r="C52" i="82" s="1"/>
  <c r="C53" i="82" s="1"/>
  <c r="C54" i="82" s="1"/>
  <c r="C55" i="82" s="1"/>
  <c r="C56" i="82" s="1"/>
  <c r="C57" i="82" s="1"/>
  <c r="C58" i="82" s="1"/>
  <c r="C59" i="82" s="1"/>
  <c r="C60" i="82" s="1"/>
  <c r="C61" i="82" s="1"/>
  <c r="C62" i="82" s="1"/>
  <c r="C63" i="82" s="1"/>
  <c r="C64" i="82" s="1"/>
  <c r="C65" i="82" s="1"/>
  <c r="C66" i="82" s="1"/>
  <c r="C67" i="82" s="1"/>
  <c r="C68" i="82" s="1"/>
  <c r="C69" i="82" s="1"/>
  <c r="C70" i="82" s="1"/>
  <c r="C71" i="82" s="1"/>
  <c r="C72" i="82" s="1"/>
  <c r="C73" i="82" s="1"/>
  <c r="C74" i="82" s="1"/>
  <c r="C75" i="82" s="1"/>
  <c r="C76" i="82" s="1"/>
  <c r="C77" i="82" s="1"/>
  <c r="C78" i="82" s="1"/>
  <c r="C47" i="82"/>
  <c r="H24" i="82" s="1"/>
  <c r="I45" i="82"/>
  <c r="L30" i="81"/>
  <c r="M30" i="81" s="1"/>
  <c r="L33" i="81"/>
  <c r="O33" i="81" s="1"/>
  <c r="L31" i="81"/>
  <c r="M31" i="81" s="1"/>
  <c r="Q31" i="81" s="1"/>
  <c r="F10" i="81"/>
  <c r="G10" i="81" s="1"/>
  <c r="G58" i="47"/>
  <c r="L34" i="81"/>
  <c r="M34" i="81" s="1"/>
  <c r="I11" i="81" s="1"/>
  <c r="L24" i="81" s="1"/>
  <c r="H59" i="47"/>
  <c r="F11" i="83"/>
  <c r="G11" i="83" s="1"/>
  <c r="F10" i="70"/>
  <c r="G10" i="70" s="1"/>
  <c r="L32" i="41"/>
  <c r="M32" i="41" s="1"/>
  <c r="W58" i="58"/>
  <c r="K34" i="71"/>
  <c r="E70" i="75"/>
  <c r="W57" i="66"/>
  <c r="W75" i="66"/>
  <c r="X75" i="66" s="1"/>
  <c r="M35" i="25"/>
  <c r="W65" i="72"/>
  <c r="X65" i="72" s="1"/>
  <c r="J23" i="47"/>
  <c r="W65" i="69"/>
  <c r="X65" i="69" s="1"/>
  <c r="E72" i="60"/>
  <c r="E52" i="68"/>
  <c r="L33" i="66"/>
  <c r="M33" i="66" s="1"/>
  <c r="X60" i="75"/>
  <c r="W57" i="71"/>
  <c r="X57" i="71" s="1"/>
  <c r="V79" i="65"/>
  <c r="E76" i="72"/>
  <c r="B48" i="34"/>
  <c r="C49" i="34"/>
  <c r="C50" i="34" s="1"/>
  <c r="C51" i="34"/>
  <c r="C52" i="34" s="1"/>
  <c r="C53" i="34" s="1"/>
  <c r="C54" i="34" s="1"/>
  <c r="C55" i="34" s="1"/>
  <c r="C56" i="34" s="1"/>
  <c r="C57" i="34" s="1"/>
  <c r="C58" i="34" s="1"/>
  <c r="C59" i="34" s="1"/>
  <c r="C60" i="34" s="1"/>
  <c r="C61" i="34" s="1"/>
  <c r="C62" i="34" s="1"/>
  <c r="C63" i="34" s="1"/>
  <c r="C64" i="34" s="1"/>
  <c r="C65" i="34" s="1"/>
  <c r="C66" i="34" s="1"/>
  <c r="C67" i="34" s="1"/>
  <c r="C68" i="34" s="1"/>
  <c r="C69" i="34" s="1"/>
  <c r="C70" i="34" s="1"/>
  <c r="C71" i="34" s="1"/>
  <c r="C72" i="34" s="1"/>
  <c r="C73" i="34" s="1"/>
  <c r="C74" i="34" s="1"/>
  <c r="C75" i="34" s="1"/>
  <c r="C76" i="34" s="1"/>
  <c r="C77" i="34" s="1"/>
  <c r="C78" i="34" s="1"/>
  <c r="C46" i="34"/>
  <c r="A48" i="34"/>
  <c r="K32" i="35"/>
  <c r="K31" i="35"/>
  <c r="K33" i="35"/>
  <c r="W54" i="58"/>
  <c r="E54" i="58"/>
  <c r="W52" i="59"/>
  <c r="X52" i="59" s="1"/>
  <c r="E59" i="59"/>
  <c r="W59" i="59"/>
  <c r="X59" i="59" s="1"/>
  <c r="E63" i="59"/>
  <c r="W63" i="59"/>
  <c r="X63" i="59" s="1"/>
  <c r="W68" i="60"/>
  <c r="X68" i="60" s="1"/>
  <c r="E68" i="60"/>
  <c r="W76" i="60"/>
  <c r="F10" i="61"/>
  <c r="G10" i="61" s="1"/>
  <c r="W68" i="62"/>
  <c r="X68" i="62" s="1"/>
  <c r="E68" i="62"/>
  <c r="E70" i="62"/>
  <c r="W70" i="62"/>
  <c r="X70" i="62" s="1"/>
  <c r="W77" i="62"/>
  <c r="X77" i="62" s="1"/>
  <c r="E64" i="63"/>
  <c r="W64" i="63"/>
  <c r="W57" i="64"/>
  <c r="E57" i="64"/>
  <c r="E65" i="64"/>
  <c r="W67" i="64"/>
  <c r="X67" i="64" s="1"/>
  <c r="E67" i="64"/>
  <c r="E50" i="65"/>
  <c r="E52" i="65"/>
  <c r="W52" i="65"/>
  <c r="X52" i="65" s="1"/>
  <c r="W56" i="65"/>
  <c r="X56" i="65" s="1"/>
  <c r="E56" i="65"/>
  <c r="W58" i="65"/>
  <c r="X58" i="65" s="1"/>
  <c r="E58" i="65"/>
  <c r="E78" i="65"/>
  <c r="W78" i="65"/>
  <c r="W68" i="66"/>
  <c r="E68" i="66"/>
  <c r="E72" i="66"/>
  <c r="W72" i="66"/>
  <c r="W52" i="67"/>
  <c r="X52" i="67" s="1"/>
  <c r="E52" i="67"/>
  <c r="R80" i="67"/>
  <c r="E56" i="67"/>
  <c r="E66" i="67"/>
  <c r="W66" i="67"/>
  <c r="X66" i="67" s="1"/>
  <c r="E73" i="67"/>
  <c r="W50" i="68"/>
  <c r="X50" i="68" s="1"/>
  <c r="L31" i="69"/>
  <c r="M31" i="69" s="1"/>
  <c r="L33" i="69"/>
  <c r="M33" i="69" s="1"/>
  <c r="L32" i="69"/>
  <c r="M32" i="69" s="1"/>
  <c r="L34" i="69"/>
  <c r="M34" i="69" s="1"/>
  <c r="F10" i="69"/>
  <c r="G10" i="69" s="1"/>
  <c r="W66" i="70"/>
  <c r="X66" i="70" s="1"/>
  <c r="E66" i="70"/>
  <c r="E71" i="70"/>
  <c r="W71" i="70"/>
  <c r="X71" i="70" s="1"/>
  <c r="W69" i="72"/>
  <c r="X69" i="72" s="1"/>
  <c r="E69" i="72"/>
  <c r="W64" i="73"/>
  <c r="E64" i="73"/>
  <c r="W79" i="74"/>
  <c r="X79" i="74" s="1"/>
  <c r="E79" i="74"/>
  <c r="E53" i="75"/>
  <c r="W53" i="75"/>
  <c r="X53" i="75" s="1"/>
  <c r="E73" i="75"/>
  <c r="W73" i="75"/>
  <c r="K31" i="71"/>
  <c r="L31" i="71" s="1"/>
  <c r="M31" i="71" s="1"/>
  <c r="K33" i="71"/>
  <c r="K30" i="71"/>
  <c r="L30" i="71" s="1"/>
  <c r="M30" i="71" s="1"/>
  <c r="L34" i="39"/>
  <c r="M34" i="39" s="1"/>
  <c r="L33" i="39"/>
  <c r="M33" i="39" s="1"/>
  <c r="F10" i="39"/>
  <c r="G10" i="39" s="1"/>
  <c r="L32" i="39"/>
  <c r="M32" i="39" s="1"/>
  <c r="L30" i="39"/>
  <c r="M30" i="39" s="1"/>
  <c r="I45" i="77"/>
  <c r="J44" i="77" s="1"/>
  <c r="L44" i="77" s="1"/>
  <c r="O44" i="77" s="1"/>
  <c r="G59" i="47"/>
  <c r="L30" i="83"/>
  <c r="M30" i="83" s="1"/>
  <c r="Q30" i="83" s="1"/>
  <c r="L33" i="83"/>
  <c r="O33" i="83" s="1"/>
  <c r="L31" i="83"/>
  <c r="M31" i="83" s="1"/>
  <c r="Q31" i="83" s="1"/>
  <c r="L34" i="83"/>
  <c r="O34" i="83" s="1"/>
  <c r="F10" i="83"/>
  <c r="G10" i="83" s="1"/>
  <c r="G10" i="58"/>
  <c r="K30" i="35"/>
  <c r="G64" i="47"/>
  <c r="X64" i="74"/>
  <c r="K32" i="71"/>
  <c r="L32" i="71" s="1"/>
  <c r="M32" i="71" s="1"/>
  <c r="E76" i="53"/>
  <c r="I10" i="105"/>
  <c r="I11" i="105" s="1"/>
  <c r="L24" i="105" s="1"/>
  <c r="C50" i="59"/>
  <c r="C51" i="59" s="1"/>
  <c r="C52" i="59" s="1"/>
  <c r="C53" i="59" s="1"/>
  <c r="C54" i="59" s="1"/>
  <c r="C55" i="59" s="1"/>
  <c r="C56" i="59" s="1"/>
  <c r="C57" i="59" s="1"/>
  <c r="C58" i="59" s="1"/>
  <c r="C59" i="59" s="1"/>
  <c r="C60" i="59" s="1"/>
  <c r="C61" i="59" s="1"/>
  <c r="C62" i="59" s="1"/>
  <c r="C63" i="59" s="1"/>
  <c r="C64" i="59" s="1"/>
  <c r="C65" i="59" s="1"/>
  <c r="C66" i="59" s="1"/>
  <c r="C67" i="59" s="1"/>
  <c r="C68" i="59" s="1"/>
  <c r="C69" i="59" s="1"/>
  <c r="C70" i="59" s="1"/>
  <c r="C71" i="59" s="1"/>
  <c r="C72" i="59" s="1"/>
  <c r="C73" i="59" s="1"/>
  <c r="C74" i="59" s="1"/>
  <c r="C75" i="59" s="1"/>
  <c r="C76" i="59" s="1"/>
  <c r="C77" i="59" s="1"/>
  <c r="C78" i="59" s="1"/>
  <c r="C79" i="59" s="1"/>
  <c r="X49" i="75"/>
  <c r="Y49" i="75" s="1"/>
  <c r="L33" i="75"/>
  <c r="M33" i="75" s="1"/>
  <c r="X71" i="73"/>
  <c r="X56" i="75"/>
  <c r="X67" i="73"/>
  <c r="L30" i="75"/>
  <c r="M30" i="75" s="1"/>
  <c r="X70" i="64"/>
  <c r="E101" i="124"/>
  <c r="E105" i="124" s="1"/>
  <c r="F105" i="124" s="1"/>
  <c r="W102" i="133"/>
  <c r="AA73" i="133"/>
  <c r="AB73" i="133" s="1"/>
  <c r="E53" i="106"/>
  <c r="E49" i="106"/>
  <c r="E76" i="105"/>
  <c r="E75" i="105"/>
  <c r="X59" i="64"/>
  <c r="X78" i="64"/>
  <c r="X63" i="67"/>
  <c r="M26" i="16"/>
  <c r="I45" i="76"/>
  <c r="J44" i="76" s="1"/>
  <c r="L44" i="76" s="1"/>
  <c r="E72" i="105"/>
  <c r="E71" i="105"/>
  <c r="E67" i="105"/>
  <c r="E64" i="105"/>
  <c r="E63" i="105"/>
  <c r="E60" i="105"/>
  <c r="E59" i="105"/>
  <c r="E56" i="105"/>
  <c r="E52" i="105"/>
  <c r="W73" i="84"/>
  <c r="X73" i="84" s="1"/>
  <c r="W69" i="84"/>
  <c r="X69" i="84" s="1"/>
  <c r="W65" i="84"/>
  <c r="X65" i="84" s="1"/>
  <c r="W61" i="84"/>
  <c r="X61" i="84" s="1"/>
  <c r="W53" i="84"/>
  <c r="X53" i="84" s="1"/>
  <c r="W49" i="84"/>
  <c r="X49" i="84" s="1"/>
  <c r="Y49" i="84" s="1"/>
  <c r="E76" i="82"/>
  <c r="E75" i="82"/>
  <c r="E72" i="82"/>
  <c r="E71" i="82"/>
  <c r="E68" i="82"/>
  <c r="W67" i="82"/>
  <c r="X67" i="82" s="1"/>
  <c r="E63" i="82"/>
  <c r="W60" i="82"/>
  <c r="X60" i="82" s="1"/>
  <c r="W59" i="82"/>
  <c r="X59" i="82" s="1"/>
  <c r="E56" i="82"/>
  <c r="W55" i="82"/>
  <c r="X55" i="82" s="1"/>
  <c r="E52" i="82"/>
  <c r="W51" i="82"/>
  <c r="X51" i="82" s="1"/>
  <c r="W76" i="83"/>
  <c r="X76" i="83" s="1"/>
  <c r="E72" i="83"/>
  <c r="E71" i="83"/>
  <c r="W68" i="83"/>
  <c r="X68" i="83" s="1"/>
  <c r="E67" i="83"/>
  <c r="W64" i="83"/>
  <c r="X64" i="83" s="1"/>
  <c r="E63" i="83"/>
  <c r="E60" i="83"/>
  <c r="E56" i="83"/>
  <c r="W55" i="83"/>
  <c r="X55" i="83" s="1"/>
  <c r="E52" i="83"/>
  <c r="E51" i="83"/>
  <c r="E76" i="81"/>
  <c r="E75" i="81"/>
  <c r="E72" i="81"/>
  <c r="E71" i="81"/>
  <c r="E67" i="81"/>
  <c r="E64" i="81"/>
  <c r="E63" i="81"/>
  <c r="E60" i="81"/>
  <c r="E59" i="81"/>
  <c r="E56" i="81"/>
  <c r="E55" i="81"/>
  <c r="E73" i="80"/>
  <c r="W72" i="80"/>
  <c r="X72" i="80" s="1"/>
  <c r="W68" i="80"/>
  <c r="X68" i="80" s="1"/>
  <c r="W64" i="80"/>
  <c r="X64" i="80" s="1"/>
  <c r="E61" i="80"/>
  <c r="E60" i="80"/>
  <c r="E57" i="80"/>
  <c r="W56" i="80"/>
  <c r="X56" i="80" s="1"/>
  <c r="E53" i="80"/>
  <c r="E74" i="77"/>
  <c r="E73" i="77"/>
  <c r="G73" i="77" s="1"/>
  <c r="E70" i="77"/>
  <c r="E69" i="77"/>
  <c r="G69" i="77" s="1"/>
  <c r="E66" i="77"/>
  <c r="G66" i="77" s="1"/>
  <c r="E65" i="77"/>
  <c r="G65" i="77" s="1"/>
  <c r="E62" i="77"/>
  <c r="E58" i="77"/>
  <c r="G58" i="77"/>
  <c r="E57" i="77"/>
  <c r="E54" i="77"/>
  <c r="E53" i="77"/>
  <c r="G53" i="77" s="1"/>
  <c r="E50" i="77"/>
  <c r="E77" i="76"/>
  <c r="W76" i="76"/>
  <c r="X76" i="76" s="1"/>
  <c r="E73" i="76"/>
  <c r="E72" i="76"/>
  <c r="W68" i="76"/>
  <c r="X68" i="76" s="1"/>
  <c r="E65" i="76"/>
  <c r="E64" i="76"/>
  <c r="E61" i="76"/>
  <c r="E60" i="76"/>
  <c r="E57" i="76"/>
  <c r="E56" i="76"/>
  <c r="E53" i="76"/>
  <c r="E77" i="45"/>
  <c r="E76" i="45"/>
  <c r="E73" i="45"/>
  <c r="E72" i="45"/>
  <c r="E69" i="45"/>
  <c r="E65" i="45"/>
  <c r="E64" i="45"/>
  <c r="E60" i="45"/>
  <c r="E57" i="45"/>
  <c r="E56" i="45"/>
  <c r="E53" i="45"/>
  <c r="E52" i="45"/>
  <c r="E49" i="45"/>
  <c r="E77" i="44"/>
  <c r="E76" i="44"/>
  <c r="E69" i="44"/>
  <c r="E68" i="44"/>
  <c r="E65" i="44"/>
  <c r="E64" i="44"/>
  <c r="E61" i="44"/>
  <c r="E60" i="44"/>
  <c r="E57" i="44"/>
  <c r="E56" i="44"/>
  <c r="E53" i="44"/>
  <c r="E52" i="44"/>
  <c r="E77" i="43"/>
  <c r="E76" i="43"/>
  <c r="E73" i="43"/>
  <c r="E72" i="43"/>
  <c r="E69" i="43"/>
  <c r="E68" i="43"/>
  <c r="W65" i="43"/>
  <c r="X65" i="43" s="1"/>
  <c r="E64" i="43"/>
  <c r="E61" i="43"/>
  <c r="E57" i="43"/>
  <c r="E56" i="43"/>
  <c r="W53" i="43"/>
  <c r="X53" i="43" s="1"/>
  <c r="W76" i="42"/>
  <c r="X76" i="42" s="1"/>
  <c r="E75" i="42"/>
  <c r="W72" i="42"/>
  <c r="X72" i="42" s="1"/>
  <c r="W71" i="42"/>
  <c r="X71" i="42" s="1"/>
  <c r="E67" i="42"/>
  <c r="E63" i="42"/>
  <c r="E55" i="42"/>
  <c r="E76" i="34"/>
  <c r="E72" i="34"/>
  <c r="E71" i="34"/>
  <c r="E68" i="34"/>
  <c r="E67" i="34"/>
  <c r="E63" i="34"/>
  <c r="E60" i="34"/>
  <c r="E56" i="34"/>
  <c r="E55" i="34"/>
  <c r="E52" i="34"/>
  <c r="E51" i="34"/>
  <c r="E48" i="34"/>
  <c r="E77" i="35"/>
  <c r="E76" i="35"/>
  <c r="E73" i="35"/>
  <c r="E72" i="35"/>
  <c r="E69" i="35"/>
  <c r="E68" i="35"/>
  <c r="E65" i="35"/>
  <c r="E64" i="35"/>
  <c r="E61" i="35"/>
  <c r="E60" i="35"/>
  <c r="E57" i="35"/>
  <c r="E56" i="35"/>
  <c r="E53" i="35"/>
  <c r="E52" i="35"/>
  <c r="E79" i="36"/>
  <c r="E78" i="36"/>
  <c r="E75" i="36"/>
  <c r="E74" i="36"/>
  <c r="G74" i="36" s="1"/>
  <c r="E71" i="36"/>
  <c r="E70" i="36"/>
  <c r="G70" i="36" s="1"/>
  <c r="E67" i="36"/>
  <c r="E66" i="36"/>
  <c r="E63" i="36"/>
  <c r="E62" i="36"/>
  <c r="E59" i="36"/>
  <c r="E58" i="36"/>
  <c r="E54" i="36"/>
  <c r="G54" i="36" s="1"/>
  <c r="V31" i="133"/>
  <c r="E65" i="91"/>
  <c r="J43" i="80"/>
  <c r="L43" i="80" s="1"/>
  <c r="E101" i="123"/>
  <c r="E105" i="123" s="1"/>
  <c r="F105" i="123" s="1"/>
  <c r="V80" i="82"/>
  <c r="T60" i="47" s="1"/>
  <c r="P80" i="83"/>
  <c r="O40" i="47"/>
  <c r="D55" i="69"/>
  <c r="O45" i="47"/>
  <c r="J41" i="80"/>
  <c r="L41" i="80" s="1"/>
  <c r="M33" i="107"/>
  <c r="G51" i="77"/>
  <c r="K34" i="35"/>
  <c r="D50" i="69"/>
  <c r="H24" i="109"/>
  <c r="J44" i="69"/>
  <c r="L44" i="69" s="1"/>
  <c r="M44" i="69" s="1"/>
  <c r="G55" i="77"/>
  <c r="G71" i="77"/>
  <c r="H24" i="50"/>
  <c r="M33" i="109"/>
  <c r="Q33" i="109" s="1"/>
  <c r="G52" i="36"/>
  <c r="E62" i="50"/>
  <c r="E55" i="51"/>
  <c r="E56" i="51"/>
  <c r="E59" i="51"/>
  <c r="W61" i="51"/>
  <c r="X61" i="51" s="1"/>
  <c r="E62" i="51"/>
  <c r="W69" i="51"/>
  <c r="I45" i="51"/>
  <c r="J44" i="51" s="1"/>
  <c r="L44" i="51" s="1"/>
  <c r="M44" i="51" s="1"/>
  <c r="E59" i="52"/>
  <c r="W49" i="54"/>
  <c r="E71" i="54"/>
  <c r="E77" i="55"/>
  <c r="W61" i="56"/>
  <c r="X61" i="56" s="1"/>
  <c r="W70" i="56"/>
  <c r="X70" i="56" s="1"/>
  <c r="E72" i="56"/>
  <c r="W76" i="56"/>
  <c r="P80" i="45"/>
  <c r="P80" i="43"/>
  <c r="R80" i="43"/>
  <c r="X32" i="112"/>
  <c r="X32" i="110"/>
  <c r="X32" i="111"/>
  <c r="E65" i="110"/>
  <c r="E77" i="83"/>
  <c r="E56" i="57"/>
  <c r="W60" i="57"/>
  <c r="X60" i="57" s="1"/>
  <c r="W62" i="57"/>
  <c r="E51" i="58"/>
  <c r="W57" i="58"/>
  <c r="X57" i="58" s="1"/>
  <c r="E63" i="58"/>
  <c r="E65" i="58"/>
  <c r="E69" i="58"/>
  <c r="W75" i="58"/>
  <c r="X75" i="58" s="1"/>
  <c r="W77" i="58"/>
  <c r="X77" i="58" s="1"/>
  <c r="W55" i="59"/>
  <c r="X55" i="59" s="1"/>
  <c r="W57" i="59"/>
  <c r="X57" i="59" s="1"/>
  <c r="W60" i="59"/>
  <c r="X60" i="59" s="1"/>
  <c r="E62" i="59"/>
  <c r="E68" i="59"/>
  <c r="W76" i="59"/>
  <c r="X76" i="59" s="1"/>
  <c r="I45" i="59"/>
  <c r="W54" i="60"/>
  <c r="X54" i="60" s="1"/>
  <c r="E49" i="60"/>
  <c r="E58" i="60"/>
  <c r="W59" i="60"/>
  <c r="X59" i="60" s="1"/>
  <c r="E61" i="60"/>
  <c r="E62" i="60"/>
  <c r="W63" i="60"/>
  <c r="X63" i="60" s="1"/>
  <c r="E67" i="60"/>
  <c r="E69" i="60"/>
  <c r="E71" i="60"/>
  <c r="E74" i="60"/>
  <c r="W75" i="60"/>
  <c r="X75" i="60" s="1"/>
  <c r="W78" i="60"/>
  <c r="X78" i="60" s="1"/>
  <c r="I45" i="60"/>
  <c r="J44" i="60" s="1"/>
  <c r="L44" i="60" s="1"/>
  <c r="W49" i="61"/>
  <c r="X49" i="61" s="1"/>
  <c r="Y49" i="61" s="1"/>
  <c r="W52" i="61"/>
  <c r="X52" i="61" s="1"/>
  <c r="E53" i="61"/>
  <c r="W56" i="61"/>
  <c r="E62" i="61"/>
  <c r="W65" i="61"/>
  <c r="X65" i="61" s="1"/>
  <c r="E70" i="61"/>
  <c r="E73" i="61"/>
  <c r="E76" i="61"/>
  <c r="U78" i="61"/>
  <c r="T42" i="47"/>
  <c r="W49" i="62"/>
  <c r="X49" i="62" s="1"/>
  <c r="E50" i="62"/>
  <c r="E53" i="62"/>
  <c r="W54" i="62"/>
  <c r="X54" i="62" s="1"/>
  <c r="W56" i="62"/>
  <c r="X56" i="62" s="1"/>
  <c r="W58" i="62"/>
  <c r="X58" i="62" s="1"/>
  <c r="W60" i="62"/>
  <c r="X60" i="62" s="1"/>
  <c r="W61" i="62"/>
  <c r="X61" i="62" s="1"/>
  <c r="E62" i="62"/>
  <c r="W64" i="62"/>
  <c r="E65" i="62"/>
  <c r="E72" i="62"/>
  <c r="E74" i="62"/>
  <c r="W75" i="62"/>
  <c r="E76" i="62"/>
  <c r="W53" i="63"/>
  <c r="W54" i="63"/>
  <c r="X54" i="63" s="1"/>
  <c r="E58" i="63"/>
  <c r="E61" i="63"/>
  <c r="E66" i="63"/>
  <c r="E70" i="63"/>
  <c r="W72" i="63"/>
  <c r="X72" i="63" s="1"/>
  <c r="W74" i="63"/>
  <c r="X74" i="63" s="1"/>
  <c r="W76" i="63"/>
  <c r="X76" i="63" s="1"/>
  <c r="W77" i="63"/>
  <c r="W78" i="63"/>
  <c r="X78" i="63" s="1"/>
  <c r="W51" i="64"/>
  <c r="X51" i="64" s="1"/>
  <c r="E52" i="64"/>
  <c r="W58" i="64"/>
  <c r="X58" i="64" s="1"/>
  <c r="E60" i="64"/>
  <c r="W62" i="64"/>
  <c r="W69" i="64"/>
  <c r="X69" i="64" s="1"/>
  <c r="W73" i="64"/>
  <c r="X73" i="64" s="1"/>
  <c r="E75" i="64"/>
  <c r="W77" i="64"/>
  <c r="X77" i="64" s="1"/>
  <c r="E49" i="65"/>
  <c r="W50" i="65"/>
  <c r="X50" i="65" s="1"/>
  <c r="E54" i="65"/>
  <c r="E55" i="65"/>
  <c r="E59" i="65"/>
  <c r="E60" i="65"/>
  <c r="W63" i="65"/>
  <c r="X63" i="65" s="1"/>
  <c r="E66" i="65"/>
  <c r="E67" i="65"/>
  <c r="Q80" i="66"/>
  <c r="E61" i="66"/>
  <c r="W77" i="66"/>
  <c r="X77" i="66" s="1"/>
  <c r="W50" i="67"/>
  <c r="E54" i="67"/>
  <c r="W56" i="67"/>
  <c r="X56" i="67" s="1"/>
  <c r="E58" i="67"/>
  <c r="E63" i="67"/>
  <c r="W64" i="67"/>
  <c r="X64" i="67" s="1"/>
  <c r="E68" i="67"/>
  <c r="E70" i="67"/>
  <c r="W71" i="67"/>
  <c r="X71" i="67" s="1"/>
  <c r="W74" i="67"/>
  <c r="X74" i="67" s="1"/>
  <c r="W76" i="67"/>
  <c r="X76" i="67" s="1"/>
  <c r="W79" i="67"/>
  <c r="W49" i="68"/>
  <c r="X49" i="68" s="1"/>
  <c r="Y49" i="68" s="1"/>
  <c r="W58" i="68"/>
  <c r="E66" i="68"/>
  <c r="W78" i="68"/>
  <c r="E50" i="69"/>
  <c r="W54" i="69"/>
  <c r="W64" i="69"/>
  <c r="W68" i="69"/>
  <c r="X68" i="69" s="1"/>
  <c r="E70" i="69"/>
  <c r="W79" i="69"/>
  <c r="X79" i="69" s="1"/>
  <c r="E49" i="70"/>
  <c r="G49" i="70" s="1"/>
  <c r="E51" i="70"/>
  <c r="W53" i="70"/>
  <c r="X53" i="70" s="1"/>
  <c r="E55" i="70"/>
  <c r="E58" i="70"/>
  <c r="G58" i="70" s="1"/>
  <c r="W60" i="70"/>
  <c r="X60" i="70" s="1"/>
  <c r="E62" i="70"/>
  <c r="E64" i="70"/>
  <c r="W73" i="70"/>
  <c r="X73" i="70" s="1"/>
  <c r="E74" i="70"/>
  <c r="W77" i="70"/>
  <c r="X77" i="70" s="1"/>
  <c r="E78" i="70"/>
  <c r="W51" i="71"/>
  <c r="X51" i="71" s="1"/>
  <c r="W67" i="71"/>
  <c r="X67" i="71" s="1"/>
  <c r="E72" i="71"/>
  <c r="W77" i="71"/>
  <c r="X77" i="71" s="1"/>
  <c r="E50" i="72"/>
  <c r="G50" i="72" s="1"/>
  <c r="E54" i="72"/>
  <c r="W58" i="72"/>
  <c r="X58" i="72" s="1"/>
  <c r="E60" i="72"/>
  <c r="G60" i="72" s="1"/>
  <c r="W66" i="72"/>
  <c r="W67" i="72"/>
  <c r="E70" i="72"/>
  <c r="W74" i="72"/>
  <c r="X74" i="72" s="1"/>
  <c r="W78" i="72"/>
  <c r="X78" i="72" s="1"/>
  <c r="E52" i="73"/>
  <c r="E60" i="73"/>
  <c r="W63" i="73"/>
  <c r="X63" i="73" s="1"/>
  <c r="W68" i="73"/>
  <c r="E75" i="73"/>
  <c r="E79" i="73"/>
  <c r="P80" i="74"/>
  <c r="E55" i="74"/>
  <c r="E56" i="74"/>
  <c r="E57" i="74"/>
  <c r="W63" i="74"/>
  <c r="X63" i="74" s="1"/>
  <c r="E65" i="74"/>
  <c r="W68" i="74"/>
  <c r="X68" i="74" s="1"/>
  <c r="E72" i="74"/>
  <c r="W73" i="74"/>
  <c r="X73" i="74" s="1"/>
  <c r="E76" i="74"/>
  <c r="W50" i="75"/>
  <c r="E52" i="75"/>
  <c r="U77" i="60"/>
  <c r="T41" i="47"/>
  <c r="E68" i="42"/>
  <c r="E66" i="42"/>
  <c r="W64" i="42"/>
  <c r="X64" i="42" s="1"/>
  <c r="E62" i="42"/>
  <c r="E60" i="42"/>
  <c r="E58" i="42"/>
  <c r="W56" i="42"/>
  <c r="X56" i="42" s="1"/>
  <c r="E52" i="42"/>
  <c r="G57" i="36"/>
  <c r="Q80" i="40"/>
  <c r="E78" i="41"/>
  <c r="E77" i="41"/>
  <c r="E75" i="41"/>
  <c r="E74" i="41"/>
  <c r="E71" i="41"/>
  <c r="W69" i="41"/>
  <c r="X69" i="41" s="1"/>
  <c r="E67" i="41"/>
  <c r="E66" i="41"/>
  <c r="W65" i="41"/>
  <c r="X65" i="41" s="1"/>
  <c r="E63" i="41"/>
  <c r="E62" i="41"/>
  <c r="W61" i="41"/>
  <c r="X61" i="41" s="1"/>
  <c r="E58" i="41"/>
  <c r="W57" i="41"/>
  <c r="X57" i="41" s="1"/>
  <c r="E54" i="41"/>
  <c r="E53" i="41"/>
  <c r="E51" i="41"/>
  <c r="Q80" i="41"/>
  <c r="E79" i="104"/>
  <c r="W78" i="104"/>
  <c r="X78" i="104" s="1"/>
  <c r="E77" i="104"/>
  <c r="W75" i="104"/>
  <c r="X75" i="104" s="1"/>
  <c r="W74" i="104"/>
  <c r="X74" i="104" s="1"/>
  <c r="E73" i="104"/>
  <c r="E71" i="104"/>
  <c r="G71" i="104" s="1"/>
  <c r="W70" i="104"/>
  <c r="X70" i="104" s="1"/>
  <c r="E69" i="104"/>
  <c r="E67" i="104"/>
  <c r="W66" i="104"/>
  <c r="X66" i="104" s="1"/>
  <c r="E65" i="104"/>
  <c r="E63" i="104"/>
  <c r="E62" i="104"/>
  <c r="E61" i="104"/>
  <c r="W59" i="104"/>
  <c r="X59" i="104" s="1"/>
  <c r="W58" i="104"/>
  <c r="X58" i="104" s="1"/>
  <c r="E57" i="104"/>
  <c r="E55" i="104"/>
  <c r="E54" i="104"/>
  <c r="E53" i="104"/>
  <c r="G53" i="104" s="1"/>
  <c r="R80" i="104"/>
  <c r="E49" i="104"/>
  <c r="H85" i="134"/>
  <c r="AB82" i="139"/>
  <c r="J26" i="47"/>
  <c r="D77" i="72"/>
  <c r="I24" i="60"/>
  <c r="H24" i="60"/>
  <c r="J41" i="47" s="1"/>
  <c r="E50" i="61"/>
  <c r="W50" i="61"/>
  <c r="W66" i="61"/>
  <c r="E66" i="61"/>
  <c r="M31" i="123"/>
  <c r="M30" i="123"/>
  <c r="N30" i="123" s="1"/>
  <c r="M32" i="123"/>
  <c r="O32" i="123" s="1"/>
  <c r="L33" i="84"/>
  <c r="O33" i="84" s="1"/>
  <c r="Q33" i="84" s="1"/>
  <c r="F10" i="84"/>
  <c r="G10" i="84" s="1"/>
  <c r="L30" i="84"/>
  <c r="M30" i="84" s="1"/>
  <c r="L32" i="84"/>
  <c r="M32" i="84" s="1"/>
  <c r="Q32" i="84" s="1"/>
  <c r="U61" i="110"/>
  <c r="E51" i="109"/>
  <c r="G51" i="109" s="1"/>
  <c r="P80" i="109"/>
  <c r="E49" i="109"/>
  <c r="G49" i="109" s="1"/>
  <c r="R80" i="109"/>
  <c r="Q80" i="107"/>
  <c r="P80" i="106"/>
  <c r="E51" i="106"/>
  <c r="E58" i="81"/>
  <c r="W58" i="81"/>
  <c r="X58" i="81" s="1"/>
  <c r="R80" i="81"/>
  <c r="E50" i="81"/>
  <c r="P80" i="81"/>
  <c r="E79" i="80"/>
  <c r="W79" i="80"/>
  <c r="X79" i="80" s="1"/>
  <c r="U50" i="76"/>
  <c r="V80" i="76"/>
  <c r="T55" i="47" s="1"/>
  <c r="P80" i="44"/>
  <c r="U50" i="44"/>
  <c r="V80" i="44"/>
  <c r="T53" i="47" s="1"/>
  <c r="Q80" i="42"/>
  <c r="E51" i="42"/>
  <c r="E59" i="34"/>
  <c r="W59" i="34"/>
  <c r="X59" i="34" s="1"/>
  <c r="E49" i="35"/>
  <c r="R80" i="35"/>
  <c r="R80" i="36"/>
  <c r="P80" i="36"/>
  <c r="E50" i="37"/>
  <c r="R80" i="37"/>
  <c r="E50" i="38"/>
  <c r="W50" i="38"/>
  <c r="X50" i="38" s="1"/>
  <c r="E49" i="38"/>
  <c r="P80" i="38"/>
  <c r="E70" i="40"/>
  <c r="W70" i="40"/>
  <c r="X70" i="40" s="1"/>
  <c r="E67" i="40"/>
  <c r="W67" i="40"/>
  <c r="X67" i="40" s="1"/>
  <c r="E51" i="40"/>
  <c r="R80" i="40"/>
  <c r="W51" i="40"/>
  <c r="X51" i="40" s="1"/>
  <c r="P80" i="41"/>
  <c r="D76" i="72"/>
  <c r="X52" i="40"/>
  <c r="W59" i="40"/>
  <c r="X59" i="40" s="1"/>
  <c r="W58" i="38"/>
  <c r="X58" i="38" s="1"/>
  <c r="W59" i="35"/>
  <c r="X59" i="35" s="1"/>
  <c r="W60" i="80"/>
  <c r="X60" i="80" s="1"/>
  <c r="W50" i="81"/>
  <c r="X50" i="81" s="1"/>
  <c r="Y50" i="81" s="1"/>
  <c r="W68" i="42"/>
  <c r="X68" i="42"/>
  <c r="W75" i="76"/>
  <c r="X75" i="76" s="1"/>
  <c r="W70" i="82"/>
  <c r="X70" i="82" s="1"/>
  <c r="AA31" i="123"/>
  <c r="AB31" i="123" s="1"/>
  <c r="E76" i="42"/>
  <c r="E67" i="45"/>
  <c r="E55" i="80"/>
  <c r="E55" i="82"/>
  <c r="W71" i="54"/>
  <c r="X71" i="54" s="1"/>
  <c r="E76" i="56"/>
  <c r="W77" i="60"/>
  <c r="W69" i="58"/>
  <c r="X69" i="58" s="1"/>
  <c r="E49" i="61"/>
  <c r="D77" i="124"/>
  <c r="D95" i="124"/>
  <c r="D75" i="124"/>
  <c r="I75" i="124" s="1"/>
  <c r="J69" i="47"/>
  <c r="W72" i="57"/>
  <c r="X72" i="57" s="1"/>
  <c r="E72" i="57"/>
  <c r="W53" i="58"/>
  <c r="X53" i="58" s="1"/>
  <c r="K34" i="59"/>
  <c r="K31" i="59"/>
  <c r="L31" i="59" s="1"/>
  <c r="M31" i="59" s="1"/>
  <c r="T39" i="47"/>
  <c r="U67" i="59"/>
  <c r="W70" i="59"/>
  <c r="X70" i="59" s="1"/>
  <c r="E70" i="59"/>
  <c r="G70" i="59" s="1"/>
  <c r="W70" i="60"/>
  <c r="X70" i="60" s="1"/>
  <c r="U51" i="62"/>
  <c r="Q80" i="109"/>
  <c r="E76" i="107"/>
  <c r="W76" i="107"/>
  <c r="X76" i="107" s="1"/>
  <c r="E60" i="107"/>
  <c r="W60" i="107"/>
  <c r="X60" i="107" s="1"/>
  <c r="P80" i="77"/>
  <c r="Q80" i="77"/>
  <c r="W52" i="76"/>
  <c r="X52" i="76" s="1"/>
  <c r="Q80" i="76"/>
  <c r="R80" i="76"/>
  <c r="R80" i="44"/>
  <c r="Q80" i="43"/>
  <c r="E63" i="35"/>
  <c r="W63" i="35"/>
  <c r="X63" i="35" s="1"/>
  <c r="E77" i="36"/>
  <c r="G77" i="36" s="1"/>
  <c r="W77" i="36"/>
  <c r="X77" i="36" s="1"/>
  <c r="Q80" i="36"/>
  <c r="E76" i="37"/>
  <c r="W76" i="37"/>
  <c r="X76" i="37" s="1"/>
  <c r="R80" i="39"/>
  <c r="W50" i="39"/>
  <c r="X50" i="39" s="1"/>
  <c r="E49" i="40"/>
  <c r="P80" i="40"/>
  <c r="Q80" i="104"/>
  <c r="W50" i="104"/>
  <c r="X50" i="104" s="1"/>
  <c r="V80" i="45"/>
  <c r="T54" i="47" s="1"/>
  <c r="W49" i="76"/>
  <c r="W52" i="81"/>
  <c r="W61" i="43"/>
  <c r="X61" i="43" s="1"/>
  <c r="W71" i="107"/>
  <c r="X71" i="107" s="1"/>
  <c r="L34" i="84"/>
  <c r="W101" i="124"/>
  <c r="D98" i="124"/>
  <c r="W49" i="104"/>
  <c r="X49" i="104" s="1"/>
  <c r="Y49" i="104" s="1"/>
  <c r="X72" i="41"/>
  <c r="W49" i="36"/>
  <c r="X49" i="36" s="1"/>
  <c r="Y49" i="36" s="1"/>
  <c r="W64" i="76"/>
  <c r="X64" i="76" s="1"/>
  <c r="W56" i="82"/>
  <c r="X56" i="82" s="1"/>
  <c r="W78" i="40"/>
  <c r="X78" i="40" s="1"/>
  <c r="W71" i="34"/>
  <c r="X70" i="45"/>
  <c r="W56" i="83"/>
  <c r="X56" i="83" s="1"/>
  <c r="W71" i="82"/>
  <c r="X71" i="82" s="1"/>
  <c r="W67" i="106"/>
  <c r="X67" i="106" s="1"/>
  <c r="V80" i="38"/>
  <c r="T47" i="47" s="1"/>
  <c r="W52" i="107"/>
  <c r="X52" i="107" s="1"/>
  <c r="H71" i="123"/>
  <c r="I71" i="123" s="1"/>
  <c r="I24" i="62"/>
  <c r="E52" i="81"/>
  <c r="J32" i="50"/>
  <c r="K32" i="50" s="1"/>
  <c r="L32" i="50" s="1"/>
  <c r="E50" i="82"/>
  <c r="E72" i="107"/>
  <c r="K33" i="59"/>
  <c r="L33" i="59" s="1"/>
  <c r="M33" i="59" s="1"/>
  <c r="E49" i="36"/>
  <c r="E51" i="43"/>
  <c r="E68" i="83"/>
  <c r="E78" i="60"/>
  <c r="E60" i="58"/>
  <c r="X55" i="65"/>
  <c r="U19" i="47"/>
  <c r="W79" i="104"/>
  <c r="X79" i="104" s="1"/>
  <c r="X60" i="41"/>
  <c r="W63" i="40"/>
  <c r="X63" i="40" s="1"/>
  <c r="W54" i="39"/>
  <c r="X54" i="39" s="1"/>
  <c r="W74" i="39"/>
  <c r="X74" i="39" s="1"/>
  <c r="W53" i="36"/>
  <c r="X53" i="36" s="1"/>
  <c r="W52" i="34"/>
  <c r="X52" i="34" s="1"/>
  <c r="W72" i="34"/>
  <c r="X72" i="34" s="1"/>
  <c r="W79" i="45"/>
  <c r="X79" i="45" s="1"/>
  <c r="X70" i="84"/>
  <c r="V80" i="37"/>
  <c r="T46" i="47" s="1"/>
  <c r="X52" i="36"/>
  <c r="W52" i="42"/>
  <c r="X52" i="42" s="1"/>
  <c r="X58" i="45"/>
  <c r="W51" i="80"/>
  <c r="X51" i="80" s="1"/>
  <c r="W75" i="82"/>
  <c r="X75" i="82" s="1"/>
  <c r="W55" i="109"/>
  <c r="X55" i="109" s="1"/>
  <c r="X70" i="106"/>
  <c r="D83" i="133"/>
  <c r="J15" i="123"/>
  <c r="K15" i="123" s="1"/>
  <c r="W101" i="123"/>
  <c r="D60" i="72"/>
  <c r="E51" i="45"/>
  <c r="E67" i="76"/>
  <c r="E50" i="83"/>
  <c r="E70" i="83"/>
  <c r="E59" i="82"/>
  <c r="E54" i="82"/>
  <c r="E74" i="82"/>
  <c r="E52" i="77"/>
  <c r="G52" i="77" s="1"/>
  <c r="E55" i="106"/>
  <c r="E56" i="107"/>
  <c r="E51" i="107"/>
  <c r="W61" i="60"/>
  <c r="X61" i="60" s="1"/>
  <c r="E71" i="42"/>
  <c r="E49" i="77"/>
  <c r="E68" i="80"/>
  <c r="E49" i="62"/>
  <c r="D54" i="69"/>
  <c r="M36" i="17"/>
  <c r="E75" i="106"/>
  <c r="W62" i="61"/>
  <c r="X62" i="61"/>
  <c r="E50" i="41"/>
  <c r="E69" i="41"/>
  <c r="E59" i="44"/>
  <c r="E72" i="80"/>
  <c r="E60" i="82"/>
  <c r="E49" i="43"/>
  <c r="K32" i="59"/>
  <c r="L32" i="59"/>
  <c r="M32" i="59" s="1"/>
  <c r="R80" i="77"/>
  <c r="P80" i="37"/>
  <c r="Q80" i="80"/>
  <c r="R80" i="107"/>
  <c r="E61" i="36"/>
  <c r="G61" i="36" s="1"/>
  <c r="E53" i="43"/>
  <c r="W59" i="51"/>
  <c r="X59" i="51" s="1"/>
  <c r="E55" i="38"/>
  <c r="W49" i="58"/>
  <c r="X49" i="58" s="1"/>
  <c r="Y49" i="58" s="1"/>
  <c r="W62" i="51"/>
  <c r="X62" i="51" s="1"/>
  <c r="E60" i="57"/>
  <c r="E51" i="104"/>
  <c r="G51" i="104" s="1"/>
  <c r="P80" i="104"/>
  <c r="Q80" i="44"/>
  <c r="P80" i="76"/>
  <c r="E56" i="62"/>
  <c r="E76" i="83"/>
  <c r="E50" i="36"/>
  <c r="G50" i="36" s="1"/>
  <c r="L31" i="84"/>
  <c r="M31" i="84" s="1"/>
  <c r="Q31" i="84" s="1"/>
  <c r="U50" i="52"/>
  <c r="V80" i="52"/>
  <c r="W49" i="52"/>
  <c r="X49" i="52" s="1"/>
  <c r="Y49" i="52" s="1"/>
  <c r="E49" i="52"/>
  <c r="W49" i="53"/>
  <c r="X49" i="53" s="1"/>
  <c r="Y49" i="53" s="1"/>
  <c r="E49" i="53"/>
  <c r="U67" i="54"/>
  <c r="E68" i="57"/>
  <c r="W68" i="57"/>
  <c r="X68" i="57" s="1"/>
  <c r="E61" i="58"/>
  <c r="W61" i="58"/>
  <c r="X61" i="58" s="1"/>
  <c r="W72" i="58"/>
  <c r="E72" i="58"/>
  <c r="D79" i="62"/>
  <c r="J14" i="47"/>
  <c r="D60" i="62"/>
  <c r="D56" i="62"/>
  <c r="AA75" i="124"/>
  <c r="AB75" i="124" s="1"/>
  <c r="R101" i="124"/>
  <c r="E54" i="107"/>
  <c r="W54" i="107"/>
  <c r="X54" i="107" s="1"/>
  <c r="Q80" i="106"/>
  <c r="U50" i="84"/>
  <c r="V80" i="84"/>
  <c r="T61" i="47" s="1"/>
  <c r="R80" i="82"/>
  <c r="Q80" i="81"/>
  <c r="W51" i="81"/>
  <c r="X51" i="81" s="1"/>
  <c r="R80" i="80"/>
  <c r="E49" i="80"/>
  <c r="P80" i="42"/>
  <c r="E75" i="34"/>
  <c r="W75" i="34"/>
  <c r="E64" i="34"/>
  <c r="W64" i="34"/>
  <c r="X64" i="34" s="1"/>
  <c r="E73" i="41"/>
  <c r="W73" i="41"/>
  <c r="X73" i="41" s="1"/>
  <c r="X58" i="43"/>
  <c r="W71" i="104"/>
  <c r="X71" i="104" s="1"/>
  <c r="X68" i="40"/>
  <c r="X56" i="41"/>
  <c r="W70" i="39"/>
  <c r="X70" i="39" s="1"/>
  <c r="W56" i="37"/>
  <c r="X56" i="37" s="1"/>
  <c r="W69" i="36"/>
  <c r="X69" i="36" s="1"/>
  <c r="W68" i="34"/>
  <c r="X68" i="34" s="1"/>
  <c r="W75" i="45"/>
  <c r="X75" i="45" s="1"/>
  <c r="V80" i="35"/>
  <c r="T44" i="47" s="1"/>
  <c r="W51" i="34"/>
  <c r="X51" i="34" s="1"/>
  <c r="W67" i="80"/>
  <c r="X67" i="80" s="1"/>
  <c r="W51" i="109"/>
  <c r="X51" i="109" s="1"/>
  <c r="X66" i="106"/>
  <c r="G10" i="56"/>
  <c r="N15" i="123"/>
  <c r="D57" i="62"/>
  <c r="E56" i="42"/>
  <c r="E63" i="76"/>
  <c r="W69" i="60"/>
  <c r="X69" i="60" s="1"/>
  <c r="E65" i="61"/>
  <c r="E49" i="41"/>
  <c r="E64" i="80"/>
  <c r="E62" i="107"/>
  <c r="G65" i="72"/>
  <c r="E65" i="41"/>
  <c r="E51" i="44"/>
  <c r="K30" i="59"/>
  <c r="L30" i="59" s="1"/>
  <c r="M30" i="59" s="1"/>
  <c r="U50" i="82"/>
  <c r="Q80" i="35"/>
  <c r="P80" i="80"/>
  <c r="P80" i="107"/>
  <c r="E50" i="39"/>
  <c r="E66" i="39"/>
  <c r="E60" i="37"/>
  <c r="G60" i="37" s="1"/>
  <c r="E69" i="51"/>
  <c r="O24" i="47"/>
  <c r="P80" i="39"/>
  <c r="R80" i="42"/>
  <c r="E77" i="58"/>
  <c r="E51" i="36"/>
  <c r="G51" i="36" s="1"/>
  <c r="R80" i="83"/>
  <c r="W65" i="76"/>
  <c r="X65" i="76" s="1"/>
  <c r="W71" i="81"/>
  <c r="X71" i="81" s="1"/>
  <c r="W69" i="43"/>
  <c r="X69" i="43" s="1"/>
  <c r="X73" i="91"/>
  <c r="G61" i="47"/>
  <c r="D79" i="109"/>
  <c r="D89" i="124"/>
  <c r="W55" i="104"/>
  <c r="X55" i="104" s="1"/>
  <c r="W54" i="104"/>
  <c r="X54" i="104" s="1"/>
  <c r="X76" i="41"/>
  <c r="W64" i="37"/>
  <c r="X64" i="37" s="1"/>
  <c r="W73" i="36"/>
  <c r="X73" i="36" s="1"/>
  <c r="V80" i="43"/>
  <c r="T52" i="47" s="1"/>
  <c r="W72" i="76"/>
  <c r="X72" i="76" s="1"/>
  <c r="W54" i="81"/>
  <c r="X54" i="81" s="1"/>
  <c r="W62" i="40"/>
  <c r="X62" i="40" s="1"/>
  <c r="W55" i="34"/>
  <c r="X55" i="34" s="1"/>
  <c r="X74" i="45"/>
  <c r="W59" i="76"/>
  <c r="X59" i="76" s="1"/>
  <c r="W71" i="80"/>
  <c r="X71" i="80" s="1"/>
  <c r="W60" i="83"/>
  <c r="X60" i="83" s="1"/>
  <c r="W51" i="106"/>
  <c r="X51" i="106" s="1"/>
  <c r="W71" i="106"/>
  <c r="X71" i="106" s="1"/>
  <c r="W57" i="106"/>
  <c r="X57" i="106" s="1"/>
  <c r="K30" i="52"/>
  <c r="L30" i="52" s="1"/>
  <c r="X50" i="43"/>
  <c r="X66" i="43"/>
  <c r="X50" i="44"/>
  <c r="W71" i="44"/>
  <c r="X71" i="44" s="1"/>
  <c r="W75" i="81"/>
  <c r="X75" i="81" s="1"/>
  <c r="W73" i="43"/>
  <c r="X73" i="43" s="1"/>
  <c r="X62" i="44"/>
  <c r="X78" i="44"/>
  <c r="W53" i="80"/>
  <c r="X53" i="80" s="1"/>
  <c r="W54" i="83"/>
  <c r="X54" i="83" s="1"/>
  <c r="W55" i="107"/>
  <c r="X55" i="107" s="1"/>
  <c r="W70" i="107"/>
  <c r="X70" i="107" s="1"/>
  <c r="D73" i="72"/>
  <c r="D92" i="133"/>
  <c r="D59" i="84"/>
  <c r="D78" i="109"/>
  <c r="D83" i="124"/>
  <c r="I83" i="124" s="1"/>
  <c r="W63" i="104"/>
  <c r="X63" i="104" s="1"/>
  <c r="W49" i="41"/>
  <c r="X49" i="41" s="1"/>
  <c r="V80" i="40"/>
  <c r="T49" i="47" s="1"/>
  <c r="W58" i="39"/>
  <c r="X58" i="39" s="1"/>
  <c r="W78" i="39"/>
  <c r="X78" i="39" s="1"/>
  <c r="V80" i="39"/>
  <c r="T48" i="47" s="1"/>
  <c r="W68" i="37"/>
  <c r="X68" i="37" s="1"/>
  <c r="W57" i="36"/>
  <c r="X57" i="36" s="1"/>
  <c r="W56" i="34"/>
  <c r="X56" i="34" s="1"/>
  <c r="W76" i="34"/>
  <c r="X76" i="34" s="1"/>
  <c r="W56" i="76"/>
  <c r="X56" i="76" s="1"/>
  <c r="W62" i="81"/>
  <c r="X62" i="81" s="1"/>
  <c r="X74" i="84"/>
  <c r="W66" i="40"/>
  <c r="X66" i="40" s="1"/>
  <c r="W63" i="34"/>
  <c r="X63" i="34" s="1"/>
  <c r="X62" i="45"/>
  <c r="X78" i="45"/>
  <c r="W75" i="80"/>
  <c r="X75" i="80" s="1"/>
  <c r="W58" i="82"/>
  <c r="X58" i="82" s="1"/>
  <c r="W78" i="82"/>
  <c r="X78" i="82" s="1"/>
  <c r="W64" i="107"/>
  <c r="X64" i="107" s="1"/>
  <c r="X54" i="109"/>
  <c r="G11" i="60"/>
  <c r="H80" i="123"/>
  <c r="I80" i="123" s="1"/>
  <c r="M28" i="123"/>
  <c r="N28" i="123" s="1"/>
  <c r="D76" i="62"/>
  <c r="M33" i="34"/>
  <c r="K32" i="66"/>
  <c r="L32" i="66" s="1"/>
  <c r="J41" i="69"/>
  <c r="L41" i="69" s="1"/>
  <c r="M41" i="69" s="1"/>
  <c r="E64" i="42"/>
  <c r="E68" i="76"/>
  <c r="E61" i="106"/>
  <c r="E63" i="80"/>
  <c r="E67" i="82"/>
  <c r="E63" i="106"/>
  <c r="X64" i="60"/>
  <c r="E57" i="41"/>
  <c r="B49" i="51"/>
  <c r="E52" i="106"/>
  <c r="X62" i="58"/>
  <c r="E63" i="44"/>
  <c r="E52" i="43"/>
  <c r="W70" i="61"/>
  <c r="X70" i="61" s="1"/>
  <c r="Q80" i="37"/>
  <c r="E54" i="62"/>
  <c r="Q80" i="59"/>
  <c r="Q80" i="39"/>
  <c r="Q80" i="82"/>
  <c r="W50" i="59"/>
  <c r="X50" i="59" s="1"/>
  <c r="G87" i="111"/>
  <c r="Q79" i="34"/>
  <c r="R80" i="105"/>
  <c r="C50" i="60"/>
  <c r="C51" i="60" s="1"/>
  <c r="C52" i="60" s="1"/>
  <c r="C53" i="60" s="1"/>
  <c r="C54" i="60" s="1"/>
  <c r="C55" i="60" s="1"/>
  <c r="C56" i="60" s="1"/>
  <c r="C57" i="60" s="1"/>
  <c r="C58" i="60" s="1"/>
  <c r="C59" i="60" s="1"/>
  <c r="C60" i="60" s="1"/>
  <c r="C61" i="60" s="1"/>
  <c r="C62" i="60" s="1"/>
  <c r="C63" i="60" s="1"/>
  <c r="C64" i="60" s="1"/>
  <c r="C65" i="60" s="1"/>
  <c r="C66" i="60" s="1"/>
  <c r="C67" i="60" s="1"/>
  <c r="C68" i="60" s="1"/>
  <c r="C69" i="60" s="1"/>
  <c r="C70" i="60" s="1"/>
  <c r="C71" i="60" s="1"/>
  <c r="C72" i="60" s="1"/>
  <c r="C73" i="60" s="1"/>
  <c r="C74" i="60" s="1"/>
  <c r="C75" i="60" s="1"/>
  <c r="C76" i="60" s="1"/>
  <c r="C77" i="60" s="1"/>
  <c r="C78" i="60" s="1"/>
  <c r="E75" i="104"/>
  <c r="G75" i="104" s="1"/>
  <c r="W73" i="60"/>
  <c r="X73" i="60" s="1"/>
  <c r="C47" i="76"/>
  <c r="C50" i="76"/>
  <c r="C51" i="76" s="1"/>
  <c r="C52" i="76" s="1"/>
  <c r="C53" i="76" s="1"/>
  <c r="C54" i="76" s="1"/>
  <c r="C55" i="76" s="1"/>
  <c r="C56" i="76" s="1"/>
  <c r="C57" i="76" s="1"/>
  <c r="C58" i="76" s="1"/>
  <c r="C59" i="76" s="1"/>
  <c r="C60" i="76" s="1"/>
  <c r="C61" i="76" s="1"/>
  <c r="C62" i="76" s="1"/>
  <c r="C63" i="76" s="1"/>
  <c r="C64" i="76" s="1"/>
  <c r="C65" i="76" s="1"/>
  <c r="C66" i="76" s="1"/>
  <c r="C67" i="76" s="1"/>
  <c r="C68" i="76" s="1"/>
  <c r="C69" i="76" s="1"/>
  <c r="C70" i="76" s="1"/>
  <c r="C71" i="76" s="1"/>
  <c r="C72" i="76" s="1"/>
  <c r="C73" i="76" s="1"/>
  <c r="C74" i="76" s="1"/>
  <c r="C75" i="76" s="1"/>
  <c r="C76" i="76" s="1"/>
  <c r="C77" i="76" s="1"/>
  <c r="C78" i="76" s="1"/>
  <c r="C79" i="76" s="1"/>
  <c r="X79" i="59"/>
  <c r="X56" i="71"/>
  <c r="U25" i="47"/>
  <c r="M35" i="18"/>
  <c r="M18" i="18"/>
  <c r="X62" i="43"/>
  <c r="X70" i="80"/>
  <c r="X60" i="40"/>
  <c r="X76" i="40"/>
  <c r="X50" i="45"/>
  <c r="Y50" i="45" s="1"/>
  <c r="X50" i="106"/>
  <c r="X62" i="109"/>
  <c r="H83" i="133"/>
  <c r="K49" i="123"/>
  <c r="X58" i="58"/>
  <c r="K45" i="47"/>
  <c r="E64" i="67"/>
  <c r="P80" i="67"/>
  <c r="G63" i="59"/>
  <c r="X65" i="56"/>
  <c r="W76" i="62"/>
  <c r="X76" i="62" s="1"/>
  <c r="G67" i="111"/>
  <c r="W67" i="65"/>
  <c r="X67" i="65" s="1"/>
  <c r="E74" i="63"/>
  <c r="E50" i="67"/>
  <c r="E77" i="66"/>
  <c r="E63" i="65"/>
  <c r="W54" i="65"/>
  <c r="X54" i="65" s="1"/>
  <c r="E77" i="64"/>
  <c r="W70" i="63"/>
  <c r="X70" i="63" s="1"/>
  <c r="W52" i="72"/>
  <c r="X52" i="72" s="1"/>
  <c r="W50" i="69"/>
  <c r="X54" i="71"/>
  <c r="W62" i="70"/>
  <c r="X62" i="70" s="1"/>
  <c r="W70" i="69"/>
  <c r="X70" i="69" s="1"/>
  <c r="AD69" i="138"/>
  <c r="AG68" i="140"/>
  <c r="AG71" i="140" s="1"/>
  <c r="E79" i="67"/>
  <c r="W59" i="65"/>
  <c r="X59" i="65" s="1"/>
  <c r="E58" i="72"/>
  <c r="X57" i="64"/>
  <c r="E50" i="74"/>
  <c r="L31" i="38"/>
  <c r="M31" i="38" s="1"/>
  <c r="L32" i="38"/>
  <c r="M32" i="38" s="1"/>
  <c r="F10" i="38"/>
  <c r="G10" i="38" s="1"/>
  <c r="U56" i="66"/>
  <c r="T20" i="47"/>
  <c r="W71" i="74"/>
  <c r="X71" i="74" s="1"/>
  <c r="E71" i="74"/>
  <c r="X77" i="72"/>
  <c r="U66" i="65"/>
  <c r="T30" i="47"/>
  <c r="E82" i="111"/>
  <c r="G82" i="111" s="1"/>
  <c r="E70" i="111"/>
  <c r="E77" i="109"/>
  <c r="G77" i="109" s="1"/>
  <c r="E76" i="109"/>
  <c r="G76" i="109" s="1"/>
  <c r="E73" i="109"/>
  <c r="G73" i="109" s="1"/>
  <c r="E72" i="109"/>
  <c r="E69" i="109"/>
  <c r="G69" i="109" s="1"/>
  <c r="E68" i="109"/>
  <c r="G68" i="109" s="1"/>
  <c r="E64" i="109"/>
  <c r="G64" i="109" s="1"/>
  <c r="E61" i="109"/>
  <c r="G61" i="109" s="1"/>
  <c r="E60" i="109"/>
  <c r="G60" i="109" s="1"/>
  <c r="E57" i="109"/>
  <c r="G57" i="109" s="1"/>
  <c r="E56" i="109"/>
  <c r="G56" i="109" s="1"/>
  <c r="E52" i="109"/>
  <c r="E56" i="106"/>
  <c r="E51" i="105"/>
  <c r="E73" i="84"/>
  <c r="E69" i="84"/>
  <c r="W76" i="82"/>
  <c r="X76" i="82" s="1"/>
  <c r="E64" i="82"/>
  <c r="W77" i="44"/>
  <c r="X77" i="44" s="1"/>
  <c r="W49" i="39"/>
  <c r="U67" i="56"/>
  <c r="U67" i="57"/>
  <c r="W59" i="58"/>
  <c r="X59" i="58" s="1"/>
  <c r="W63" i="58"/>
  <c r="X63" i="58" s="1"/>
  <c r="W65" i="58"/>
  <c r="E55" i="59"/>
  <c r="W78" i="59"/>
  <c r="W49" i="60"/>
  <c r="X49" i="60" s="1"/>
  <c r="Y49" i="60" s="1"/>
  <c r="E63" i="60"/>
  <c r="E54" i="61"/>
  <c r="W50" i="62"/>
  <c r="X50" i="62" s="1"/>
  <c r="W75" i="64"/>
  <c r="X75" i="64" s="1"/>
  <c r="E62" i="65"/>
  <c r="W69" i="65"/>
  <c r="X69" i="65" s="1"/>
  <c r="W62" i="68"/>
  <c r="X62" i="68" s="1"/>
  <c r="W66" i="68"/>
  <c r="E74" i="68"/>
  <c r="E54" i="69"/>
  <c r="E58" i="69"/>
  <c r="E64" i="69"/>
  <c r="G64" i="69" s="1"/>
  <c r="E72" i="69"/>
  <c r="W74" i="69"/>
  <c r="X74" i="69" s="1"/>
  <c r="U56" i="70"/>
  <c r="T24" i="47"/>
  <c r="E67" i="70"/>
  <c r="W75" i="70"/>
  <c r="U56" i="71"/>
  <c r="T25" i="47"/>
  <c r="V25" i="47" s="1"/>
  <c r="U56" i="74"/>
  <c r="T29" i="47"/>
  <c r="F102" i="133"/>
  <c r="N22" i="133" s="1"/>
  <c r="X57" i="67"/>
  <c r="U67" i="51"/>
  <c r="T31" i="47"/>
  <c r="U67" i="52"/>
  <c r="U67" i="53"/>
  <c r="U67" i="55"/>
  <c r="U56" i="67"/>
  <c r="T21" i="47"/>
  <c r="U56" i="69"/>
  <c r="T23" i="47"/>
  <c r="U56" i="72"/>
  <c r="T26" i="47"/>
  <c r="U56" i="73"/>
  <c r="T28" i="47"/>
  <c r="F68" i="49"/>
  <c r="S68" i="49" s="1"/>
  <c r="F40" i="49"/>
  <c r="S40" i="49" s="1"/>
  <c r="E98" i="49"/>
  <c r="K98" i="49" s="1"/>
  <c r="E38" i="49"/>
  <c r="K38" i="49" s="1"/>
  <c r="G71" i="70"/>
  <c r="G60" i="70"/>
  <c r="G62" i="70"/>
  <c r="G63" i="70"/>
  <c r="G74" i="70"/>
  <c r="G55" i="70"/>
  <c r="G64" i="70"/>
  <c r="G66" i="70"/>
  <c r="G77" i="70"/>
  <c r="G72" i="70"/>
  <c r="G51" i="70"/>
  <c r="G71" i="109"/>
  <c r="G70" i="111"/>
  <c r="E78" i="104"/>
  <c r="G78" i="104" s="1"/>
  <c r="E74" i="104"/>
  <c r="G74" i="104" s="1"/>
  <c r="E70" i="104"/>
  <c r="E66" i="104"/>
  <c r="G66" i="104" s="1"/>
  <c r="E58" i="104"/>
  <c r="G58" i="104" s="1"/>
  <c r="E50" i="104"/>
  <c r="G50" i="104" s="1"/>
  <c r="E102" i="134"/>
  <c r="E106" i="134" s="1"/>
  <c r="F106" i="134" s="1"/>
  <c r="K53" i="138"/>
  <c r="V53" i="138"/>
  <c r="V52" i="139"/>
  <c r="K33" i="62"/>
  <c r="K33" i="58"/>
  <c r="L33" i="58" s="1"/>
  <c r="M33" i="58" s="1"/>
  <c r="D71" i="69"/>
  <c r="D60" i="69"/>
  <c r="D58" i="72"/>
  <c r="D68" i="109"/>
  <c r="D74" i="109"/>
  <c r="M43" i="134"/>
  <c r="M40" i="134"/>
  <c r="N40" i="134" s="1"/>
  <c r="D73" i="111"/>
  <c r="D68" i="111"/>
  <c r="D51" i="62"/>
  <c r="D74" i="62"/>
  <c r="D67" i="62"/>
  <c r="G58" i="109"/>
  <c r="G78" i="109"/>
  <c r="D77" i="60"/>
  <c r="J44" i="80"/>
  <c r="L44" i="80" s="1"/>
  <c r="D52" i="59"/>
  <c r="G59" i="109"/>
  <c r="D51" i="59"/>
  <c r="D60" i="59"/>
  <c r="J43" i="77"/>
  <c r="L43" i="77" s="1"/>
  <c r="M43" i="77" s="1"/>
  <c r="J42" i="76"/>
  <c r="L42" i="76" s="1"/>
  <c r="M42" i="76" s="1"/>
  <c r="G78" i="60"/>
  <c r="G63" i="109"/>
  <c r="E58" i="52"/>
  <c r="E51" i="60"/>
  <c r="W49" i="71"/>
  <c r="E54" i="71"/>
  <c r="E56" i="71"/>
  <c r="E66" i="71"/>
  <c r="E68" i="71"/>
  <c r="W69" i="71"/>
  <c r="X69" i="71" s="1"/>
  <c r="W72" i="71"/>
  <c r="X72" i="71" s="1"/>
  <c r="W76" i="71"/>
  <c r="P80" i="72"/>
  <c r="W55" i="72"/>
  <c r="X55" i="72" s="1"/>
  <c r="W59" i="72"/>
  <c r="X59" i="72" s="1"/>
  <c r="E61" i="72"/>
  <c r="G61" i="72" s="1"/>
  <c r="E67" i="72"/>
  <c r="G67" i="72" s="1"/>
  <c r="E71" i="72"/>
  <c r="G71" i="72" s="1"/>
  <c r="W72" i="72"/>
  <c r="X72" i="72" s="1"/>
  <c r="W73" i="72"/>
  <c r="X73" i="72" s="1"/>
  <c r="W75" i="72"/>
  <c r="X75" i="72" s="1"/>
  <c r="E77" i="72"/>
  <c r="R102" i="133"/>
  <c r="X50" i="134"/>
  <c r="M39" i="134"/>
  <c r="X52" i="134"/>
  <c r="Y52" i="134" s="1"/>
  <c r="X51" i="134"/>
  <c r="Y51" i="134" s="1"/>
  <c r="X53" i="134"/>
  <c r="Y53" i="134" s="1"/>
  <c r="K32" i="58"/>
  <c r="L32" i="58" s="1"/>
  <c r="M32" i="58" s="1"/>
  <c r="D75" i="111"/>
  <c r="D50" i="62"/>
  <c r="D69" i="62"/>
  <c r="D73" i="62"/>
  <c r="D74" i="59"/>
  <c r="D64" i="59"/>
  <c r="H24" i="36"/>
  <c r="D58" i="36" s="1"/>
  <c r="G53" i="36"/>
  <c r="G78" i="70"/>
  <c r="E56" i="68"/>
  <c r="W68" i="70"/>
  <c r="X68" i="70" s="1"/>
  <c r="W72" i="70"/>
  <c r="X72" i="70" s="1"/>
  <c r="W74" i="70"/>
  <c r="X75" i="70"/>
  <c r="E76" i="70"/>
  <c r="G76" i="70" s="1"/>
  <c r="V54" i="138"/>
  <c r="V32" i="139"/>
  <c r="J15" i="134"/>
  <c r="K15" i="134" s="1"/>
  <c r="M30" i="134"/>
  <c r="N30" i="134" s="1"/>
  <c r="M31" i="134"/>
  <c r="N31" i="134" s="1"/>
  <c r="M32" i="134"/>
  <c r="M29" i="134"/>
  <c r="N29" i="134" s="1"/>
  <c r="M28" i="134"/>
  <c r="N28" i="134" s="1"/>
  <c r="D70" i="59"/>
  <c r="E50" i="52"/>
  <c r="E70" i="54"/>
  <c r="E71" i="57"/>
  <c r="E77" i="57"/>
  <c r="AA83" i="124"/>
  <c r="AB83" i="124" s="1"/>
  <c r="AA87" i="124"/>
  <c r="AB87" i="124" s="1"/>
  <c r="M41" i="134"/>
  <c r="N41" i="134" s="1"/>
  <c r="V53" i="139"/>
  <c r="W41" i="134"/>
  <c r="W42" i="134"/>
  <c r="X42" i="134" s="1"/>
  <c r="Y42" i="134"/>
  <c r="W43" i="134"/>
  <c r="W40" i="134"/>
  <c r="X40" i="134" s="1"/>
  <c r="Y40" i="134" s="1"/>
  <c r="W39" i="134"/>
  <c r="L39" i="138"/>
  <c r="L40" i="138"/>
  <c r="M40" i="138" s="1"/>
  <c r="N40" i="138" s="1"/>
  <c r="E52" i="71"/>
  <c r="W52" i="71"/>
  <c r="X52" i="71" s="1"/>
  <c r="E57" i="72"/>
  <c r="W57" i="72"/>
  <c r="X57" i="72" s="1"/>
  <c r="U102" i="133"/>
  <c r="K35" i="75"/>
  <c r="N29" i="123"/>
  <c r="D58" i="111"/>
  <c r="D62" i="111"/>
  <c r="D66" i="62"/>
  <c r="D65" i="62"/>
  <c r="D71" i="62"/>
  <c r="D58" i="62"/>
  <c r="D78" i="62"/>
  <c r="G54" i="72"/>
  <c r="D71" i="111"/>
  <c r="D83" i="112"/>
  <c r="D65" i="112"/>
  <c r="J43" i="69"/>
  <c r="L43" i="69" s="1"/>
  <c r="M43" i="69" s="1"/>
  <c r="M36" i="25"/>
  <c r="D78" i="112"/>
  <c r="M28" i="17"/>
  <c r="G73" i="72"/>
  <c r="D71" i="112"/>
  <c r="F78" i="49"/>
  <c r="S78" i="49" s="1"/>
  <c r="E61" i="65"/>
  <c r="W61" i="65"/>
  <c r="E66" i="69"/>
  <c r="W66" i="69"/>
  <c r="X66" i="69" s="1"/>
  <c r="E78" i="69"/>
  <c r="W78" i="69"/>
  <c r="W70" i="70"/>
  <c r="X70" i="70" s="1"/>
  <c r="E70" i="70"/>
  <c r="G70" i="70" s="1"/>
  <c r="L33" i="80"/>
  <c r="F10" i="80"/>
  <c r="G10" i="80" s="1"/>
  <c r="L34" i="80"/>
  <c r="O34" i="80" s="1"/>
  <c r="L31" i="80"/>
  <c r="C47" i="83"/>
  <c r="C50" i="83"/>
  <c r="C51" i="83" s="1"/>
  <c r="C52" i="83" s="1"/>
  <c r="C53" i="83" s="1"/>
  <c r="C54" i="83" s="1"/>
  <c r="C55" i="83" s="1"/>
  <c r="C56" i="83" s="1"/>
  <c r="C57" i="83" s="1"/>
  <c r="C58" i="83" s="1"/>
  <c r="C59" i="83" s="1"/>
  <c r="C60" i="83" s="1"/>
  <c r="C61" i="83" s="1"/>
  <c r="C62" i="83" s="1"/>
  <c r="C63" i="83" s="1"/>
  <c r="C64" i="83" s="1"/>
  <c r="C65" i="83" s="1"/>
  <c r="C66" i="83" s="1"/>
  <c r="C67" i="83" s="1"/>
  <c r="C68" i="83" s="1"/>
  <c r="C69" i="83" s="1"/>
  <c r="C70" i="83" s="1"/>
  <c r="C71" i="83" s="1"/>
  <c r="C72" i="83" s="1"/>
  <c r="C73" i="83" s="1"/>
  <c r="C74" i="83" s="1"/>
  <c r="C75" i="83" s="1"/>
  <c r="C76" i="83" s="1"/>
  <c r="C77" i="83" s="1"/>
  <c r="C78" i="83" s="1"/>
  <c r="C79" i="83" s="1"/>
  <c r="K31" i="52"/>
  <c r="L31" i="52" s="1"/>
  <c r="M31" i="52" s="1"/>
  <c r="J105" i="47"/>
  <c r="J92" i="47"/>
  <c r="J93" i="47"/>
  <c r="J118" i="47"/>
  <c r="J155" i="47"/>
  <c r="J171" i="47"/>
  <c r="J154" i="47"/>
  <c r="J170" i="47"/>
  <c r="J88" i="47"/>
  <c r="J174" i="47"/>
  <c r="J186" i="47"/>
  <c r="J205" i="47"/>
  <c r="J131" i="47"/>
  <c r="J163" i="47"/>
  <c r="J182" i="47"/>
  <c r="J143" i="47"/>
  <c r="J187" i="47"/>
  <c r="J206" i="47"/>
  <c r="J219" i="47"/>
  <c r="J234" i="47"/>
  <c r="J241" i="47"/>
  <c r="J255" i="47"/>
  <c r="J271" i="47"/>
  <c r="J280" i="47"/>
  <c r="J293" i="47"/>
  <c r="J305" i="47"/>
  <c r="J146" i="47"/>
  <c r="J225" i="47"/>
  <c r="J245" i="47"/>
  <c r="J261" i="47"/>
  <c r="J294" i="47"/>
  <c r="J308" i="47"/>
  <c r="J149" i="47"/>
  <c r="J216" i="47"/>
  <c r="J257" i="47"/>
  <c r="J298" i="47"/>
  <c r="J188" i="47"/>
  <c r="J218" i="47"/>
  <c r="J227" i="47"/>
  <c r="J247" i="47"/>
  <c r="J300" i="47"/>
  <c r="J317" i="47"/>
  <c r="J195" i="47"/>
  <c r="J250" i="47"/>
  <c r="J292" i="47"/>
  <c r="J258" i="47"/>
  <c r="J326" i="47"/>
  <c r="J199" i="47"/>
  <c r="J307" i="47"/>
  <c r="J185" i="47"/>
  <c r="J281" i="47"/>
  <c r="J251" i="47"/>
  <c r="J290" i="47"/>
  <c r="J17" i="124"/>
  <c r="K17" i="124" s="1"/>
  <c r="K50" i="132"/>
  <c r="D64" i="84"/>
  <c r="L35" i="39"/>
  <c r="G48" i="47" s="1"/>
  <c r="D85" i="124"/>
  <c r="I85" i="124" s="1"/>
  <c r="H84" i="123"/>
  <c r="I84" i="123" s="1"/>
  <c r="D87" i="111"/>
  <c r="H87" i="111" s="1"/>
  <c r="D82" i="111"/>
  <c r="D72" i="111"/>
  <c r="D72" i="62"/>
  <c r="D54" i="62"/>
  <c r="D63" i="62"/>
  <c r="D62" i="62"/>
  <c r="D77" i="62"/>
  <c r="G49" i="72"/>
  <c r="D53" i="60"/>
  <c r="D69" i="60"/>
  <c r="D81" i="112"/>
  <c r="D62" i="112"/>
  <c r="D85" i="112"/>
  <c r="D55" i="60"/>
  <c r="D67" i="59"/>
  <c r="D56" i="59"/>
  <c r="E32" i="49"/>
  <c r="K32" i="49" s="1"/>
  <c r="O30" i="107"/>
  <c r="Q30" i="107" s="1"/>
  <c r="G11" i="71"/>
  <c r="E76" i="71"/>
  <c r="E59" i="72"/>
  <c r="G59" i="72" s="1"/>
  <c r="W49" i="72"/>
  <c r="X49" i="72" s="1"/>
  <c r="Y49" i="72" s="1"/>
  <c r="W52" i="73"/>
  <c r="F10" i="57"/>
  <c r="G10" i="57" s="1"/>
  <c r="U67" i="50"/>
  <c r="E56" i="73"/>
  <c r="W56" i="73"/>
  <c r="U28" i="47" s="1"/>
  <c r="E72" i="73"/>
  <c r="W72" i="73"/>
  <c r="W54" i="74"/>
  <c r="X54" i="74" s="1"/>
  <c r="E54" i="74"/>
  <c r="E52" i="74"/>
  <c r="W52" i="74"/>
  <c r="X52" i="74" s="1"/>
  <c r="W59" i="74"/>
  <c r="X59" i="74"/>
  <c r="E59" i="74"/>
  <c r="W59" i="75"/>
  <c r="X59" i="75" s="1"/>
  <c r="E59" i="75"/>
  <c r="L30" i="82"/>
  <c r="M30" i="82" s="1"/>
  <c r="Q30" i="82" s="1"/>
  <c r="F10" i="82"/>
  <c r="G10" i="82" s="1"/>
  <c r="G60" i="47"/>
  <c r="I60" i="47" s="1"/>
  <c r="L32" i="82"/>
  <c r="M32" i="82" s="1"/>
  <c r="Q32" i="82" s="1"/>
  <c r="F10" i="77"/>
  <c r="G10" i="77" s="1"/>
  <c r="L34" i="77"/>
  <c r="O34" i="77" s="1"/>
  <c r="Z42" i="123"/>
  <c r="Z41" i="123"/>
  <c r="Q80" i="83"/>
  <c r="R79" i="34"/>
  <c r="E51" i="38"/>
  <c r="R80" i="38"/>
  <c r="W41" i="138"/>
  <c r="W43" i="138"/>
  <c r="W42" i="138"/>
  <c r="W40" i="138"/>
  <c r="X40" i="138" s="1"/>
  <c r="Y40" i="138" s="1"/>
  <c r="W39" i="138"/>
  <c r="X39" i="138" s="1"/>
  <c r="Y39" i="138" s="1"/>
  <c r="K53" i="132"/>
  <c r="V53" i="132"/>
  <c r="G67" i="109"/>
  <c r="E74" i="55"/>
  <c r="E57" i="56"/>
  <c r="E60" i="56"/>
  <c r="W71" i="56"/>
  <c r="X71" i="56" s="1"/>
  <c r="E57" i="58"/>
  <c r="W68" i="59"/>
  <c r="X68" i="59" s="1"/>
  <c r="E76" i="59"/>
  <c r="W57" i="60"/>
  <c r="X57" i="60" s="1"/>
  <c r="W55" i="61"/>
  <c r="X55" i="61" s="1"/>
  <c r="E63" i="61"/>
  <c r="W71" i="61"/>
  <c r="X71" i="61" s="1"/>
  <c r="E74" i="61"/>
  <c r="W41" i="132"/>
  <c r="W39" i="132"/>
  <c r="W42" i="132"/>
  <c r="W43" i="132"/>
  <c r="W40" i="132"/>
  <c r="X40" i="132" s="1"/>
  <c r="Y40" i="132" s="1"/>
  <c r="H94" i="124"/>
  <c r="H78" i="124"/>
  <c r="AG68" i="150"/>
  <c r="AG68" i="149"/>
  <c r="AG68" i="148"/>
  <c r="AG71" i="148" s="1"/>
  <c r="AF68" i="143"/>
  <c r="AK68" i="152"/>
  <c r="AK71" i="152" s="1"/>
  <c r="AK72" i="152" s="1"/>
  <c r="AK73" i="152" s="1"/>
  <c r="AK74" i="152" s="1"/>
  <c r="AK75" i="152" s="1"/>
  <c r="AK76" i="152" s="1"/>
  <c r="AK77" i="152" s="1"/>
  <c r="AK78" i="152" s="1"/>
  <c r="AK79" i="152" s="1"/>
  <c r="AK80" i="152" s="1"/>
  <c r="AK81" i="152" s="1"/>
  <c r="AK82" i="152" s="1"/>
  <c r="AK83" i="152" s="1"/>
  <c r="AK84" i="152" s="1"/>
  <c r="AK85" i="152" s="1"/>
  <c r="AK86" i="152" s="1"/>
  <c r="AK87" i="152" s="1"/>
  <c r="AK88" i="152" s="1"/>
  <c r="AK89" i="152" s="1"/>
  <c r="AK90" i="152" s="1"/>
  <c r="AK91" i="152" s="1"/>
  <c r="AK92" i="152" s="1"/>
  <c r="AK93" i="152" s="1"/>
  <c r="AK94" i="152" s="1"/>
  <c r="AK95" i="152" s="1"/>
  <c r="AK96" i="152" s="1"/>
  <c r="AK97" i="152" s="1"/>
  <c r="AK98" i="152" s="1"/>
  <c r="AK99" i="152" s="1"/>
  <c r="AK100" i="152" s="1"/>
  <c r="AK101" i="152" s="1"/>
  <c r="X66" i="72"/>
  <c r="X79" i="67"/>
  <c r="W51" i="52"/>
  <c r="W66" i="53"/>
  <c r="X66" i="53" s="1"/>
  <c r="I45" i="73"/>
  <c r="V41" i="110"/>
  <c r="W37" i="110" s="1"/>
  <c r="V30" i="124"/>
  <c r="K52" i="124"/>
  <c r="L42" i="133"/>
  <c r="M42" i="133" s="1"/>
  <c r="N42" i="133" s="1"/>
  <c r="W40" i="133"/>
  <c r="X40" i="133" s="1"/>
  <c r="Y40" i="133" s="1"/>
  <c r="W39" i="133"/>
  <c r="X39" i="133" s="1"/>
  <c r="Y39" i="133"/>
  <c r="W41" i="133"/>
  <c r="X41" i="133" s="1"/>
  <c r="Y41" i="133" s="1"/>
  <c r="W43" i="133"/>
  <c r="W42" i="133"/>
  <c r="X42" i="133" s="1"/>
  <c r="Y42" i="133" s="1"/>
  <c r="E65" i="51"/>
  <c r="X60" i="53"/>
  <c r="V41" i="111"/>
  <c r="W39" i="111" s="1"/>
  <c r="AA78" i="124"/>
  <c r="AB78" i="124" s="1"/>
  <c r="AA94" i="124"/>
  <c r="AB94" i="124" s="1"/>
  <c r="H86" i="124"/>
  <c r="V50" i="132"/>
  <c r="K52" i="132"/>
  <c r="V52" i="132"/>
  <c r="J15" i="91"/>
  <c r="K15" i="91" s="1"/>
  <c r="Y31" i="91"/>
  <c r="V41" i="91"/>
  <c r="W37" i="91"/>
  <c r="E82" i="91"/>
  <c r="E78" i="91"/>
  <c r="E74" i="91"/>
  <c r="E70" i="91"/>
  <c r="E66" i="91"/>
  <c r="E62" i="91"/>
  <c r="M31" i="91"/>
  <c r="N31" i="91"/>
  <c r="N32" i="91" s="1"/>
  <c r="D67" i="47" s="1"/>
  <c r="Y30" i="91"/>
  <c r="H81" i="133"/>
  <c r="W42" i="124"/>
  <c r="X42" i="124" s="1"/>
  <c r="Y42" i="124" s="1"/>
  <c r="AA75" i="133"/>
  <c r="AB75" i="133" s="1"/>
  <c r="AA97" i="133"/>
  <c r="AB97" i="133" s="1"/>
  <c r="D65" i="91"/>
  <c r="D58" i="91"/>
  <c r="D81" i="91"/>
  <c r="D62" i="91"/>
  <c r="D73" i="91"/>
  <c r="D77" i="91"/>
  <c r="D61" i="91"/>
  <c r="D74" i="91"/>
  <c r="D83" i="91"/>
  <c r="D63" i="91"/>
  <c r="D80" i="91"/>
  <c r="D64" i="91"/>
  <c r="X32" i="91"/>
  <c r="I21" i="91"/>
  <c r="G71" i="91" s="1"/>
  <c r="H71" i="91" s="1"/>
  <c r="D69" i="91"/>
  <c r="D88" i="91"/>
  <c r="D76" i="91"/>
  <c r="D68" i="91"/>
  <c r="D70" i="91"/>
  <c r="D66" i="91"/>
  <c r="D59" i="91"/>
  <c r="C59" i="91"/>
  <c r="C60" i="91" s="1"/>
  <c r="C61" i="91" s="1"/>
  <c r="C62" i="91" s="1"/>
  <c r="C63" i="91" s="1"/>
  <c r="C64" i="91" s="1"/>
  <c r="C65" i="91" s="1"/>
  <c r="C66" i="91" s="1"/>
  <c r="C67" i="91" s="1"/>
  <c r="C68" i="91" s="1"/>
  <c r="C69" i="91" s="1"/>
  <c r="C70" i="91" s="1"/>
  <c r="C71" i="91" s="1"/>
  <c r="C72" i="91" s="1"/>
  <c r="C73" i="91" s="1"/>
  <c r="C74" i="91" s="1"/>
  <c r="C75" i="91" s="1"/>
  <c r="C76" i="91" s="1"/>
  <c r="C77" i="91" s="1"/>
  <c r="C78" i="91" s="1"/>
  <c r="C79" i="91" s="1"/>
  <c r="C80" i="91" s="1"/>
  <c r="C81" i="91" s="1"/>
  <c r="C82" i="91" s="1"/>
  <c r="C83" i="91" s="1"/>
  <c r="C84" i="91" s="1"/>
  <c r="C85" i="91" s="1"/>
  <c r="C86" i="91" s="1"/>
  <c r="C87" i="91" s="1"/>
  <c r="D60" i="91"/>
  <c r="D79" i="91"/>
  <c r="D75" i="91"/>
  <c r="D67" i="91"/>
  <c r="D85" i="91"/>
  <c r="D87" i="91"/>
  <c r="D86" i="91"/>
  <c r="D76" i="43"/>
  <c r="D59" i="43"/>
  <c r="D69" i="43"/>
  <c r="D78" i="43"/>
  <c r="D49" i="43"/>
  <c r="D62" i="43"/>
  <c r="D52" i="43"/>
  <c r="D64" i="43"/>
  <c r="D79" i="43"/>
  <c r="D70" i="43"/>
  <c r="H94" i="139"/>
  <c r="H75" i="123"/>
  <c r="I75" i="123" s="1"/>
  <c r="H92" i="123"/>
  <c r="H70" i="123"/>
  <c r="I70" i="123" s="1"/>
  <c r="G61" i="104"/>
  <c r="G62" i="104"/>
  <c r="G69" i="104"/>
  <c r="H86" i="123"/>
  <c r="H93" i="123"/>
  <c r="D64" i="69"/>
  <c r="H64" i="69" s="1"/>
  <c r="D69" i="69"/>
  <c r="D79" i="69"/>
  <c r="D66" i="69"/>
  <c r="H87" i="123"/>
  <c r="H73" i="123"/>
  <c r="H72" i="123"/>
  <c r="I72" i="123" s="1"/>
  <c r="H82" i="123"/>
  <c r="I82" i="123" s="1"/>
  <c r="H85" i="123"/>
  <c r="H77" i="123"/>
  <c r="I77" i="123" s="1"/>
  <c r="H89" i="123"/>
  <c r="H83" i="123"/>
  <c r="I83" i="123" s="1"/>
  <c r="H95" i="123"/>
  <c r="D79" i="36"/>
  <c r="M34" i="38"/>
  <c r="I24" i="43"/>
  <c r="H79" i="123"/>
  <c r="I79" i="123" s="1"/>
  <c r="G69" i="84"/>
  <c r="D60" i="104"/>
  <c r="D53" i="104"/>
  <c r="D52" i="84"/>
  <c r="D76" i="84"/>
  <c r="D57" i="84"/>
  <c r="D63" i="84"/>
  <c r="D73" i="84"/>
  <c r="D58" i="84"/>
  <c r="D60" i="84"/>
  <c r="D51" i="84"/>
  <c r="D70" i="84"/>
  <c r="D76" i="133"/>
  <c r="D100" i="133"/>
  <c r="D73" i="133"/>
  <c r="I73" i="133" s="1"/>
  <c r="D75" i="133"/>
  <c r="D84" i="133"/>
  <c r="D74" i="133"/>
  <c r="H90" i="123"/>
  <c r="I90" i="123" s="1"/>
  <c r="H74" i="123"/>
  <c r="I74" i="123" s="1"/>
  <c r="D76" i="124"/>
  <c r="I76" i="124" s="1"/>
  <c r="D93" i="124"/>
  <c r="D94" i="124"/>
  <c r="D92" i="124"/>
  <c r="I92" i="124" s="1"/>
  <c r="D88" i="124"/>
  <c r="D100" i="124"/>
  <c r="I100" i="124" s="1"/>
  <c r="D84" i="124"/>
  <c r="I84" i="124" s="1"/>
  <c r="D97" i="124"/>
  <c r="D72" i="124"/>
  <c r="I72" i="124" s="1"/>
  <c r="D87" i="124"/>
  <c r="I87" i="124" s="1"/>
  <c r="D80" i="124"/>
  <c r="I80" i="124" s="1"/>
  <c r="H76" i="123"/>
  <c r="M44" i="70"/>
  <c r="H100" i="123"/>
  <c r="I100" i="123" s="1"/>
  <c r="I91" i="124"/>
  <c r="D84" i="139"/>
  <c r="H98" i="123"/>
  <c r="H78" i="123"/>
  <c r="I78" i="123" s="1"/>
  <c r="D63" i="111"/>
  <c r="D65" i="111"/>
  <c r="D69" i="111"/>
  <c r="D78" i="111"/>
  <c r="D85" i="111"/>
  <c r="D88" i="111"/>
  <c r="D81" i="111"/>
  <c r="L35" i="41"/>
  <c r="G50" i="47" s="1"/>
  <c r="D83" i="111"/>
  <c r="D86" i="111"/>
  <c r="D77" i="111"/>
  <c r="D59" i="111"/>
  <c r="D80" i="111"/>
  <c r="D79" i="111"/>
  <c r="D67" i="111"/>
  <c r="H67" i="111" s="1"/>
  <c r="Q33" i="107"/>
  <c r="O34" i="81"/>
  <c r="I24" i="54"/>
  <c r="H24" i="54"/>
  <c r="D66" i="54" s="1"/>
  <c r="K34" i="66"/>
  <c r="L34" i="66" s="1"/>
  <c r="M34" i="66" s="1"/>
  <c r="K31" i="66"/>
  <c r="L31" i="66" s="1"/>
  <c r="M31" i="66" s="1"/>
  <c r="K30" i="66"/>
  <c r="L30" i="66" s="1"/>
  <c r="M30" i="66" s="1"/>
  <c r="I24" i="61"/>
  <c r="H24" i="61"/>
  <c r="J42" i="47" s="1"/>
  <c r="M31" i="44"/>
  <c r="J44" i="82"/>
  <c r="L44" i="82" s="1"/>
  <c r="J42" i="82"/>
  <c r="L42" i="82" s="1"/>
  <c r="E64" i="58"/>
  <c r="L34" i="59"/>
  <c r="M34" i="59" s="1"/>
  <c r="W49" i="63"/>
  <c r="W58" i="63"/>
  <c r="X58" i="63" s="1"/>
  <c r="W71" i="63"/>
  <c r="X71" i="63" s="1"/>
  <c r="W70" i="65"/>
  <c r="X70" i="65" s="1"/>
  <c r="I45" i="66"/>
  <c r="W50" i="71"/>
  <c r="X50" i="71" s="1"/>
  <c r="W58" i="71"/>
  <c r="X58" i="71" s="1"/>
  <c r="V30" i="138"/>
  <c r="F103" i="139"/>
  <c r="N22" i="139" s="1"/>
  <c r="M31" i="105"/>
  <c r="M26" i="11"/>
  <c r="M26" i="14"/>
  <c r="M30" i="14" s="1"/>
  <c r="M32" i="14" s="1"/>
  <c r="M33" i="14" s="1"/>
  <c r="I45" i="37"/>
  <c r="E58" i="51"/>
  <c r="E55" i="52"/>
  <c r="W66" i="52"/>
  <c r="X66" i="52" s="1"/>
  <c r="W63" i="53"/>
  <c r="X63" i="53" s="1"/>
  <c r="W54" i="56"/>
  <c r="W62" i="56"/>
  <c r="X62" i="56" s="1"/>
  <c r="E73" i="56"/>
  <c r="E57" i="57"/>
  <c r="E67" i="57"/>
  <c r="W73" i="57"/>
  <c r="X73" i="57" s="1"/>
  <c r="W78" i="57"/>
  <c r="X78" i="57" s="1"/>
  <c r="E59" i="58"/>
  <c r="W58" i="60"/>
  <c r="X58" i="60" s="1"/>
  <c r="W66" i="60"/>
  <c r="X66" i="60" s="1"/>
  <c r="AA85" i="133"/>
  <c r="E63" i="111"/>
  <c r="E59" i="111"/>
  <c r="G59" i="111" s="1"/>
  <c r="E65" i="109"/>
  <c r="W74" i="56"/>
  <c r="X74" i="56" s="1"/>
  <c r="W58" i="59"/>
  <c r="X58" i="59" s="1"/>
  <c r="E66" i="59"/>
  <c r="G66" i="59" s="1"/>
  <c r="W71" i="69"/>
  <c r="X71" i="69" s="1"/>
  <c r="S102" i="124"/>
  <c r="K50" i="124" s="1"/>
  <c r="W62" i="80"/>
  <c r="X62" i="80" s="1"/>
  <c r="W55" i="77"/>
  <c r="X55" i="77" s="1"/>
  <c r="W71" i="50"/>
  <c r="X71" i="50" s="1"/>
  <c r="W74" i="50"/>
  <c r="X74" i="50" s="1"/>
  <c r="E53" i="51"/>
  <c r="W72" i="51"/>
  <c r="W52" i="52"/>
  <c r="X52" i="52" s="1"/>
  <c r="W72" i="53"/>
  <c r="X72" i="53" s="1"/>
  <c r="W57" i="54"/>
  <c r="X57" i="54" s="1"/>
  <c r="E54" i="55"/>
  <c r="W64" i="55"/>
  <c r="X64" i="55" s="1"/>
  <c r="AA78" i="133"/>
  <c r="AB78" i="133" s="1"/>
  <c r="E78" i="111"/>
  <c r="G78" i="111" s="1"/>
  <c r="E74" i="111"/>
  <c r="G74" i="111" s="1"/>
  <c r="E86" i="91"/>
  <c r="AE82" i="140"/>
  <c r="AF82" i="140" s="1"/>
  <c r="AE77" i="140"/>
  <c r="AF77" i="140" s="1"/>
  <c r="G56" i="37"/>
  <c r="O46" i="47"/>
  <c r="G71" i="37"/>
  <c r="H73" i="133"/>
  <c r="H93" i="133"/>
  <c r="H79" i="133"/>
  <c r="G49" i="104"/>
  <c r="G70" i="104"/>
  <c r="O62" i="47"/>
  <c r="H88" i="133"/>
  <c r="H78" i="133"/>
  <c r="H95" i="133"/>
  <c r="G63" i="104"/>
  <c r="G67" i="104"/>
  <c r="J41" i="74"/>
  <c r="L41" i="74"/>
  <c r="J43" i="74"/>
  <c r="L43" i="74" s="1"/>
  <c r="M43" i="74" s="1"/>
  <c r="D81" i="139"/>
  <c r="H97" i="133"/>
  <c r="H84" i="133"/>
  <c r="H89" i="133"/>
  <c r="G73" i="104"/>
  <c r="G79" i="104"/>
  <c r="H24" i="37"/>
  <c r="D57" i="37" s="1"/>
  <c r="D101" i="139"/>
  <c r="H72" i="133"/>
  <c r="H100" i="133"/>
  <c r="H74" i="133"/>
  <c r="G54" i="104"/>
  <c r="G65" i="104"/>
  <c r="K30" i="63"/>
  <c r="L30" i="63" s="1"/>
  <c r="H94" i="133"/>
  <c r="K35" i="35"/>
  <c r="D72" i="139"/>
  <c r="H90" i="133"/>
  <c r="H80" i="133"/>
  <c r="H71" i="133"/>
  <c r="H87" i="133"/>
  <c r="D100" i="139"/>
  <c r="H92" i="133"/>
  <c r="H99" i="133"/>
  <c r="G55" i="104"/>
  <c r="G77" i="104"/>
  <c r="G57" i="104"/>
  <c r="H101" i="133"/>
  <c r="H85" i="133"/>
  <c r="D53" i="84"/>
  <c r="D50" i="84"/>
  <c r="D49" i="84"/>
  <c r="D77" i="84"/>
  <c r="D72" i="84"/>
  <c r="D66" i="84"/>
  <c r="D72" i="133"/>
  <c r="D94" i="133"/>
  <c r="H24" i="71"/>
  <c r="J25" i="47" s="1"/>
  <c r="I24" i="71"/>
  <c r="D51" i="109"/>
  <c r="D73" i="124"/>
  <c r="I73" i="124" s="1"/>
  <c r="M43" i="124"/>
  <c r="N43" i="124" s="1"/>
  <c r="G72" i="109"/>
  <c r="D84" i="111"/>
  <c r="D60" i="111"/>
  <c r="D70" i="111"/>
  <c r="W43" i="124"/>
  <c r="X43" i="124" s="1"/>
  <c r="Y43" i="124" s="1"/>
  <c r="D55" i="62"/>
  <c r="D61" i="62"/>
  <c r="D52" i="62"/>
  <c r="D70" i="62"/>
  <c r="D61" i="111"/>
  <c r="D58" i="69"/>
  <c r="G74" i="109"/>
  <c r="G75" i="109"/>
  <c r="D67" i="60"/>
  <c r="D75" i="60"/>
  <c r="D70" i="60"/>
  <c r="M30" i="25"/>
  <c r="M32" i="25" s="1"/>
  <c r="M33" i="25" s="1"/>
  <c r="D78" i="59"/>
  <c r="E105" i="49"/>
  <c r="K105" i="49" s="1"/>
  <c r="D53" i="62"/>
  <c r="D64" i="62"/>
  <c r="I95" i="124"/>
  <c r="W39" i="124"/>
  <c r="X39" i="124" s="1"/>
  <c r="D49" i="62"/>
  <c r="D75" i="62"/>
  <c r="D68" i="62"/>
  <c r="D64" i="111"/>
  <c r="D51" i="69"/>
  <c r="M35" i="28"/>
  <c r="E52" i="51"/>
  <c r="E57" i="51"/>
  <c r="W60" i="51"/>
  <c r="X60" i="51"/>
  <c r="E63" i="51"/>
  <c r="I45" i="52"/>
  <c r="J43" i="52" s="1"/>
  <c r="L43" i="52" s="1"/>
  <c r="M43" i="52" s="1"/>
  <c r="W56" i="54"/>
  <c r="X56" i="54" s="1"/>
  <c r="W49" i="59"/>
  <c r="X49" i="59" s="1"/>
  <c r="Y49" i="59" s="1"/>
  <c r="Y50" i="59" s="1"/>
  <c r="E60" i="61"/>
  <c r="E79" i="61"/>
  <c r="W62" i="71"/>
  <c r="X62" i="71" s="1"/>
  <c r="W53" i="72"/>
  <c r="X53" i="72" s="1"/>
  <c r="E72" i="72"/>
  <c r="G72" i="72" s="1"/>
  <c r="E74" i="72"/>
  <c r="G74" i="72" s="1"/>
  <c r="AA77" i="124"/>
  <c r="AB77" i="124" s="1"/>
  <c r="W70" i="77"/>
  <c r="X70" i="77" s="1"/>
  <c r="W62" i="77"/>
  <c r="X62" i="77" s="1"/>
  <c r="E74" i="40"/>
  <c r="E50" i="40"/>
  <c r="AE89" i="140"/>
  <c r="AF89" i="140" s="1"/>
  <c r="AA71" i="132"/>
  <c r="AB71" i="132" s="1"/>
  <c r="AC71" i="132" s="1"/>
  <c r="AA100" i="123"/>
  <c r="AB100" i="123"/>
  <c r="AA83" i="123"/>
  <c r="AB83" i="123" s="1"/>
  <c r="W70" i="50"/>
  <c r="E73" i="50"/>
  <c r="W79" i="52"/>
  <c r="X79" i="52"/>
  <c r="W53" i="53"/>
  <c r="X53" i="53" s="1"/>
  <c r="E51" i="54"/>
  <c r="W65" i="59"/>
  <c r="X65" i="59" s="1"/>
  <c r="W73" i="59"/>
  <c r="X73" i="59" s="1"/>
  <c r="W52" i="60"/>
  <c r="X52" i="60" s="1"/>
  <c r="W56" i="60"/>
  <c r="X56" i="60" s="1"/>
  <c r="W62" i="60"/>
  <c r="X62" i="60" s="1"/>
  <c r="J43" i="60"/>
  <c r="L43" i="60" s="1"/>
  <c r="M43" i="60" s="1"/>
  <c r="W53" i="62"/>
  <c r="X53" i="62" s="1"/>
  <c r="W66" i="62"/>
  <c r="X66" i="62" s="1"/>
  <c r="W66" i="63"/>
  <c r="X66" i="63" s="1"/>
  <c r="E49" i="66"/>
  <c r="W69" i="69"/>
  <c r="X69" i="69" s="1"/>
  <c r="W72" i="69"/>
  <c r="X72" i="69" s="1"/>
  <c r="W75" i="69"/>
  <c r="X75" i="69" s="1"/>
  <c r="F10" i="76"/>
  <c r="G10" i="76" s="1"/>
  <c r="W61" i="111"/>
  <c r="X61" i="111" s="1"/>
  <c r="W74" i="80"/>
  <c r="X74" i="80"/>
  <c r="W58" i="80"/>
  <c r="X58" i="80" s="1"/>
  <c r="W50" i="80"/>
  <c r="X50" i="80" s="1"/>
  <c r="W59" i="77"/>
  <c r="X59" i="77" s="1"/>
  <c r="W51" i="77"/>
  <c r="X51" i="77" s="1"/>
  <c r="W70" i="76"/>
  <c r="X70" i="76" s="1"/>
  <c r="W68" i="45"/>
  <c r="X68" i="45" s="1"/>
  <c r="E79" i="40"/>
  <c r="E60" i="40"/>
  <c r="E55" i="40"/>
  <c r="AB86" i="138"/>
  <c r="V30" i="133"/>
  <c r="V80" i="54"/>
  <c r="W62" i="59"/>
  <c r="X62" i="59" s="1"/>
  <c r="E78" i="59"/>
  <c r="G78" i="59" s="1"/>
  <c r="H78" i="59" s="1"/>
  <c r="W74" i="112"/>
  <c r="X74" i="112" s="1"/>
  <c r="E58" i="112"/>
  <c r="G58" i="112" s="1"/>
  <c r="E76" i="111"/>
  <c r="E50" i="50"/>
  <c r="G50" i="50" s="1"/>
  <c r="W75" i="50"/>
  <c r="X75" i="50" s="1"/>
  <c r="W56" i="52"/>
  <c r="X56" i="52" s="1"/>
  <c r="E68" i="55"/>
  <c r="W56" i="56"/>
  <c r="X56" i="56" s="1"/>
  <c r="E59" i="56"/>
  <c r="E78" i="56"/>
  <c r="E56" i="58"/>
  <c r="E62" i="58"/>
  <c r="W53" i="59"/>
  <c r="X53" i="59" s="1"/>
  <c r="E56" i="59"/>
  <c r="G56" i="59" s="1"/>
  <c r="E67" i="59"/>
  <c r="G67" i="59" s="1"/>
  <c r="W72" i="59"/>
  <c r="X72" i="59" s="1"/>
  <c r="E51" i="61"/>
  <c r="E59" i="61"/>
  <c r="W78" i="61"/>
  <c r="J16" i="132"/>
  <c r="K16" i="132" s="1"/>
  <c r="Y101" i="132"/>
  <c r="AA74" i="123"/>
  <c r="AB74" i="123" s="1"/>
  <c r="U71" i="50"/>
  <c r="W64" i="52"/>
  <c r="X64" i="52" s="1"/>
  <c r="W60" i="54"/>
  <c r="X60" i="54" s="1"/>
  <c r="W49" i="55"/>
  <c r="X49" i="55" s="1"/>
  <c r="Y49" i="55" s="1"/>
  <c r="E56" i="56"/>
  <c r="I45" i="58"/>
  <c r="E56" i="61"/>
  <c r="W57" i="63"/>
  <c r="X57" i="63" s="1"/>
  <c r="W60" i="63"/>
  <c r="X60" i="63" s="1"/>
  <c r="W63" i="70"/>
  <c r="X63" i="70" s="1"/>
  <c r="W65" i="70"/>
  <c r="X65" i="70" s="1"/>
  <c r="I45" i="70"/>
  <c r="W61" i="71"/>
  <c r="X61" i="71" s="1"/>
  <c r="E63" i="71"/>
  <c r="E77" i="71"/>
  <c r="I45" i="71"/>
  <c r="E62" i="72"/>
  <c r="G62" i="72" s="1"/>
  <c r="E79" i="72"/>
  <c r="G79" i="72" s="1"/>
  <c r="AA82" i="124"/>
  <c r="AB82" i="124" s="1"/>
  <c r="AA90" i="124"/>
  <c r="AB90" i="124" s="1"/>
  <c r="AA97" i="124"/>
  <c r="AB97" i="124" s="1"/>
  <c r="AA87" i="133"/>
  <c r="AB87" i="133" s="1"/>
  <c r="E73" i="112"/>
  <c r="G73" i="112" s="1"/>
  <c r="E75" i="111"/>
  <c r="W49" i="106"/>
  <c r="X49" i="106" s="1"/>
  <c r="Y49" i="106" s="1"/>
  <c r="W74" i="77"/>
  <c r="X74" i="77" s="1"/>
  <c r="W66" i="77"/>
  <c r="X66" i="77" s="1"/>
  <c r="AE93" i="140"/>
  <c r="AF93" i="140" s="1"/>
  <c r="AE85" i="140"/>
  <c r="AA95" i="123"/>
  <c r="AB95" i="123" s="1"/>
  <c r="E49" i="51"/>
  <c r="E61" i="59"/>
  <c r="E69" i="59"/>
  <c r="W53" i="60"/>
  <c r="X53" i="60" s="1"/>
  <c r="W50" i="60"/>
  <c r="X50" i="60" s="1"/>
  <c r="W74" i="60"/>
  <c r="X74" i="60" s="1"/>
  <c r="E68" i="63"/>
  <c r="E76" i="63"/>
  <c r="W74" i="65"/>
  <c r="X74" i="65" s="1"/>
  <c r="W53" i="66"/>
  <c r="X53" i="66" s="1"/>
  <c r="W61" i="66"/>
  <c r="X61" i="66" s="1"/>
  <c r="W77" i="67"/>
  <c r="X77" i="67" s="1"/>
  <c r="W73" i="69"/>
  <c r="X73" i="69" s="1"/>
  <c r="W57" i="74"/>
  <c r="E49" i="75"/>
  <c r="W52" i="75"/>
  <c r="X52" i="75" s="1"/>
  <c r="W55" i="75"/>
  <c r="L31" i="76"/>
  <c r="M31" i="76" s="1"/>
  <c r="Q31" i="76" s="1"/>
  <c r="X39" i="132"/>
  <c r="Y39" i="132" s="1"/>
  <c r="W57" i="50"/>
  <c r="W76" i="50"/>
  <c r="X76" i="50" s="1"/>
  <c r="W70" i="52"/>
  <c r="W78" i="52"/>
  <c r="X78" i="52" s="1"/>
  <c r="E52" i="53"/>
  <c r="W56" i="53"/>
  <c r="X56" i="53" s="1"/>
  <c r="W67" i="53"/>
  <c r="U34" i="47" s="1"/>
  <c r="W71" i="53"/>
  <c r="X71" i="53" s="1"/>
  <c r="W57" i="55"/>
  <c r="X57" i="55" s="1"/>
  <c r="E62" i="55"/>
  <c r="E50" i="56"/>
  <c r="E58" i="56"/>
  <c r="E69" i="56"/>
  <c r="E77" i="56"/>
  <c r="E53" i="57"/>
  <c r="E58" i="57"/>
  <c r="W61" i="57"/>
  <c r="X61" i="57" s="1"/>
  <c r="W66" i="57"/>
  <c r="X66" i="57" s="1"/>
  <c r="W69" i="57"/>
  <c r="X69" i="57" s="1"/>
  <c r="W74" i="57"/>
  <c r="X74" i="57" s="1"/>
  <c r="W86" i="112"/>
  <c r="X86" i="112" s="1"/>
  <c r="E55" i="61"/>
  <c r="W79" i="61"/>
  <c r="X79" i="61" s="1"/>
  <c r="X50" i="61"/>
  <c r="Y50" i="61"/>
  <c r="W66" i="59"/>
  <c r="X66" i="59" s="1"/>
  <c r="E74" i="59"/>
  <c r="E58" i="59"/>
  <c r="I45" i="57"/>
  <c r="X62" i="57"/>
  <c r="E74" i="56"/>
  <c r="W51" i="56"/>
  <c r="X51" i="56" s="1"/>
  <c r="W59" i="56"/>
  <c r="X59" i="56" s="1"/>
  <c r="E66" i="56"/>
  <c r="E70" i="56"/>
  <c r="X76" i="56"/>
  <c r="W71" i="55"/>
  <c r="X71" i="55" s="1"/>
  <c r="E75" i="55"/>
  <c r="W78" i="55"/>
  <c r="X78" i="55" s="1"/>
  <c r="W70" i="54"/>
  <c r="X70" i="54" s="1"/>
  <c r="W51" i="54"/>
  <c r="E55" i="54"/>
  <c r="W59" i="54"/>
  <c r="X59" i="54" s="1"/>
  <c r="W63" i="54"/>
  <c r="X63" i="54" s="1"/>
  <c r="E67" i="54"/>
  <c r="W74" i="54"/>
  <c r="X74" i="54" s="1"/>
  <c r="W78" i="54"/>
  <c r="I45" i="54"/>
  <c r="J43" i="54" s="1"/>
  <c r="L43" i="54" s="1"/>
  <c r="M43" i="54" s="1"/>
  <c r="X57" i="53"/>
  <c r="L33" i="51"/>
  <c r="M33" i="51" s="1"/>
  <c r="L34" i="51"/>
  <c r="X77" i="51"/>
  <c r="W57" i="51"/>
  <c r="X57" i="51" s="1"/>
  <c r="W63" i="51"/>
  <c r="X63" i="51" s="1"/>
  <c r="W55" i="50"/>
  <c r="X55" i="50" s="1"/>
  <c r="W67" i="50"/>
  <c r="U69" i="50"/>
  <c r="U76" i="50"/>
  <c r="U74" i="50"/>
  <c r="U78" i="50"/>
  <c r="U70" i="50"/>
  <c r="U73" i="50"/>
  <c r="U77" i="50"/>
  <c r="U68" i="50"/>
  <c r="U75" i="50"/>
  <c r="G11" i="61"/>
  <c r="I45" i="61"/>
  <c r="W59" i="61"/>
  <c r="X59" i="61"/>
  <c r="J41" i="60"/>
  <c r="L41" i="60" s="1"/>
  <c r="M41" i="60" s="1"/>
  <c r="E52" i="60"/>
  <c r="E56" i="60"/>
  <c r="G56" i="60" s="1"/>
  <c r="W51" i="60"/>
  <c r="X51" i="60"/>
  <c r="R80" i="60"/>
  <c r="E50" i="60"/>
  <c r="G11" i="59"/>
  <c r="W54" i="59"/>
  <c r="X54" i="59" s="1"/>
  <c r="E65" i="59"/>
  <c r="G65" i="59" s="1"/>
  <c r="E73" i="59"/>
  <c r="W55" i="57"/>
  <c r="W76" i="57"/>
  <c r="X76" i="57" s="1"/>
  <c r="W57" i="57"/>
  <c r="X57" i="57" s="1"/>
  <c r="W65" i="57"/>
  <c r="X65" i="57" s="1"/>
  <c r="W66" i="56"/>
  <c r="X66" i="56" s="1"/>
  <c r="W78" i="56"/>
  <c r="X78" i="56" s="1"/>
  <c r="W73" i="56"/>
  <c r="X73" i="56" s="1"/>
  <c r="E54" i="56"/>
  <c r="W63" i="56"/>
  <c r="X63" i="56" s="1"/>
  <c r="W68" i="56"/>
  <c r="X68" i="56" s="1"/>
  <c r="W69" i="56"/>
  <c r="X69" i="56" s="1"/>
  <c r="W72" i="56"/>
  <c r="X72" i="56" s="1"/>
  <c r="E65" i="56"/>
  <c r="W66" i="55"/>
  <c r="X66" i="55" s="1"/>
  <c r="W74" i="55"/>
  <c r="X74" i="55" s="1"/>
  <c r="E66" i="55"/>
  <c r="W53" i="55"/>
  <c r="X53" i="55" s="1"/>
  <c r="W54" i="55"/>
  <c r="X54" i="55" s="1"/>
  <c r="E65" i="55"/>
  <c r="W58" i="55"/>
  <c r="X58" i="55" s="1"/>
  <c r="W75" i="53"/>
  <c r="X75" i="53" s="1"/>
  <c r="E60" i="53"/>
  <c r="E71" i="53"/>
  <c r="E77" i="53"/>
  <c r="E68" i="53"/>
  <c r="E69" i="53"/>
  <c r="E59" i="53"/>
  <c r="W62" i="53"/>
  <c r="X62" i="53" s="1"/>
  <c r="W51" i="53"/>
  <c r="X51" i="53" s="1"/>
  <c r="E55" i="53"/>
  <c r="E66" i="53"/>
  <c r="J42" i="52"/>
  <c r="L42" i="52" s="1"/>
  <c r="M42" i="52" s="1"/>
  <c r="E79" i="52"/>
  <c r="E70" i="52"/>
  <c r="E52" i="52"/>
  <c r="E56" i="52"/>
  <c r="E61" i="52"/>
  <c r="W60" i="52"/>
  <c r="X60" i="52" s="1"/>
  <c r="W54" i="52"/>
  <c r="X54" i="52" s="1"/>
  <c r="W50" i="52"/>
  <c r="X50" i="52"/>
  <c r="E77" i="52"/>
  <c r="W59" i="52"/>
  <c r="X59" i="52" s="1"/>
  <c r="E53" i="52"/>
  <c r="W73" i="52"/>
  <c r="X73" i="52" s="1"/>
  <c r="E64" i="50"/>
  <c r="G64" i="50" s="1"/>
  <c r="R79" i="50"/>
  <c r="E57" i="50"/>
  <c r="G57" i="50" s="1"/>
  <c r="E68" i="50"/>
  <c r="G68" i="50" s="1"/>
  <c r="W58" i="57"/>
  <c r="Q80" i="57"/>
  <c r="E74" i="57"/>
  <c r="E66" i="57"/>
  <c r="E59" i="57"/>
  <c r="W64" i="57"/>
  <c r="X64" i="57" s="1"/>
  <c r="E75" i="57"/>
  <c r="E79" i="57"/>
  <c r="E69" i="57"/>
  <c r="W70" i="57"/>
  <c r="X70" i="57" s="1"/>
  <c r="E73" i="57"/>
  <c r="E64" i="57"/>
  <c r="W75" i="57"/>
  <c r="X75" i="57" s="1"/>
  <c r="E76" i="57"/>
  <c r="W59" i="57"/>
  <c r="X59" i="57" s="1"/>
  <c r="W57" i="56"/>
  <c r="X57" i="56" s="1"/>
  <c r="W67" i="56"/>
  <c r="U37" i="47" s="1"/>
  <c r="V37" i="47" s="1"/>
  <c r="W60" i="56"/>
  <c r="X60" i="56" s="1"/>
  <c r="E64" i="55"/>
  <c r="W67" i="54"/>
  <c r="U35" i="47" s="1"/>
  <c r="E78" i="54"/>
  <c r="E63" i="54"/>
  <c r="E59" i="54"/>
  <c r="W50" i="53"/>
  <c r="X50" i="53" s="1"/>
  <c r="E51" i="53"/>
  <c r="E70" i="53"/>
  <c r="W65" i="53"/>
  <c r="X65" i="53" s="1"/>
  <c r="E67" i="53"/>
  <c r="E54" i="52"/>
  <c r="E66" i="52"/>
  <c r="W77" i="52"/>
  <c r="X77" i="52" s="1"/>
  <c r="E73" i="52"/>
  <c r="E64" i="51"/>
  <c r="W75" i="51"/>
  <c r="X75" i="51" s="1"/>
  <c r="E76" i="51"/>
  <c r="E61" i="51"/>
  <c r="W65" i="55"/>
  <c r="X65" i="55" s="1"/>
  <c r="W62" i="55"/>
  <c r="X62" i="55" s="1"/>
  <c r="E53" i="55"/>
  <c r="E63" i="55"/>
  <c r="E67" i="55"/>
  <c r="W72" i="55"/>
  <c r="X72" i="55" s="1"/>
  <c r="E49" i="55"/>
  <c r="E57" i="55"/>
  <c r="W60" i="55"/>
  <c r="X60" i="55" s="1"/>
  <c r="W69" i="55"/>
  <c r="X69" i="55" s="1"/>
  <c r="E73" i="55"/>
  <c r="E76" i="55"/>
  <c r="E58" i="55"/>
  <c r="W59" i="55"/>
  <c r="X59" i="55" s="1"/>
  <c r="E69" i="55"/>
  <c r="W76" i="55"/>
  <c r="X76" i="55" s="1"/>
  <c r="W77" i="55"/>
  <c r="X77" i="55" s="1"/>
  <c r="E72" i="55"/>
  <c r="E51" i="55"/>
  <c r="W61" i="55"/>
  <c r="X61" i="55" s="1"/>
  <c r="W67" i="55"/>
  <c r="U36" i="47" s="1"/>
  <c r="W51" i="50"/>
  <c r="X51" i="50" s="1"/>
  <c r="W58" i="50"/>
  <c r="E61" i="50"/>
  <c r="G61" i="50" s="1"/>
  <c r="W66" i="50"/>
  <c r="X66" i="50" s="1"/>
  <c r="W69" i="50"/>
  <c r="E67" i="50"/>
  <c r="G67" i="50" s="1"/>
  <c r="E70" i="50"/>
  <c r="G70" i="50" s="1"/>
  <c r="W73" i="50"/>
  <c r="E76" i="50"/>
  <c r="E77" i="50"/>
  <c r="G77" i="50" s="1"/>
  <c r="P79" i="50"/>
  <c r="W61" i="50"/>
  <c r="X61" i="50" s="1"/>
  <c r="E72" i="50"/>
  <c r="G72" i="50" s="1"/>
  <c r="W77" i="50"/>
  <c r="E66" i="50"/>
  <c r="G66" i="50" s="1"/>
  <c r="W64" i="50"/>
  <c r="X64" i="50" s="1"/>
  <c r="W68" i="50"/>
  <c r="W50" i="50"/>
  <c r="X50" i="50" s="1"/>
  <c r="E74" i="50"/>
  <c r="G74" i="50" s="1"/>
  <c r="L43" i="106"/>
  <c r="M43" i="106" s="1"/>
  <c r="L44" i="106"/>
  <c r="H100" i="140"/>
  <c r="H21" i="110"/>
  <c r="I21" i="110"/>
  <c r="D83" i="140"/>
  <c r="D71" i="140"/>
  <c r="D78" i="139"/>
  <c r="H98" i="133"/>
  <c r="H82" i="133"/>
  <c r="H91" i="133"/>
  <c r="H76" i="133"/>
  <c r="H75" i="133"/>
  <c r="H86" i="133"/>
  <c r="H96" i="133"/>
  <c r="L35" i="70"/>
  <c r="G24" i="47" s="1"/>
  <c r="D64" i="54"/>
  <c r="D54" i="54"/>
  <c r="L35" i="54"/>
  <c r="G35" i="47" s="1"/>
  <c r="M31" i="54"/>
  <c r="M35" i="54" s="1"/>
  <c r="D35" i="47" s="1"/>
  <c r="G69" i="37"/>
  <c r="K33" i="52"/>
  <c r="L33" i="52" s="1"/>
  <c r="M33" i="52" s="1"/>
  <c r="L31" i="51"/>
  <c r="M31" i="51" s="1"/>
  <c r="D80" i="140"/>
  <c r="D74" i="140"/>
  <c r="D57" i="43"/>
  <c r="G57" i="37"/>
  <c r="K34" i="52"/>
  <c r="L34" i="52" s="1"/>
  <c r="M34" i="52" s="1"/>
  <c r="D79" i="140"/>
  <c r="D91" i="140"/>
  <c r="D84" i="140"/>
  <c r="D85" i="140"/>
  <c r="K34" i="68"/>
  <c r="L34" i="68" s="1"/>
  <c r="K31" i="68"/>
  <c r="L31" i="68" s="1"/>
  <c r="M31" i="68" s="1"/>
  <c r="K32" i="68"/>
  <c r="L32" i="68" s="1"/>
  <c r="M32" i="68" s="1"/>
  <c r="E116" i="49"/>
  <c r="F84" i="49"/>
  <c r="S84" i="49" s="1"/>
  <c r="F59" i="49"/>
  <c r="S59" i="49" s="1"/>
  <c r="E79" i="49"/>
  <c r="F43" i="49"/>
  <c r="S43" i="49" s="1"/>
  <c r="F8" i="49"/>
  <c r="S8" i="49" s="1"/>
  <c r="F15" i="49"/>
  <c r="S15" i="49" s="1"/>
  <c r="E91" i="49"/>
  <c r="K91" i="49" s="1"/>
  <c r="F36" i="49"/>
  <c r="S36" i="49" s="1"/>
  <c r="F67" i="49"/>
  <c r="S67" i="49" s="1"/>
  <c r="F108" i="49"/>
  <c r="S108" i="49" s="1"/>
  <c r="F107" i="49"/>
  <c r="S107" i="49" s="1"/>
  <c r="F92" i="49"/>
  <c r="S92" i="49" s="1"/>
  <c r="E29" i="49"/>
  <c r="K29" i="49" s="1"/>
  <c r="E25" i="49"/>
  <c r="K25" i="49" s="1"/>
  <c r="E14" i="49"/>
  <c r="K14" i="49" s="1"/>
  <c r="E94" i="49"/>
  <c r="K94" i="49" s="1"/>
  <c r="F27" i="49"/>
  <c r="S27" i="49" s="1"/>
  <c r="E84" i="49"/>
  <c r="E83" i="49"/>
  <c r="K83" i="49" s="1"/>
  <c r="F104" i="49"/>
  <c r="S104" i="49" s="1"/>
  <c r="E43" i="49"/>
  <c r="K43" i="49" s="1"/>
  <c r="F116" i="49"/>
  <c r="S116" i="49" s="1"/>
  <c r="F44" i="49"/>
  <c r="S44" i="49" s="1"/>
  <c r="F23" i="49"/>
  <c r="S23" i="49" s="1"/>
  <c r="E52" i="49"/>
  <c r="K52" i="49" s="1"/>
  <c r="F87" i="49"/>
  <c r="S87" i="49" s="1"/>
  <c r="F75" i="49"/>
  <c r="S75" i="49" s="1"/>
  <c r="F95" i="49"/>
  <c r="S95" i="49" s="1"/>
  <c r="F31" i="49"/>
  <c r="S31" i="49" s="1"/>
  <c r="E76" i="49"/>
  <c r="F62" i="49"/>
  <c r="S62" i="49" s="1"/>
  <c r="E95" i="49"/>
  <c r="E56" i="49"/>
  <c r="F110" i="49"/>
  <c r="S110" i="49" s="1"/>
  <c r="E78" i="49"/>
  <c r="K78" i="49" s="1"/>
  <c r="E115" i="49"/>
  <c r="E67" i="49"/>
  <c r="F76" i="49"/>
  <c r="S76" i="49" s="1"/>
  <c r="E36" i="49"/>
  <c r="K36" i="49" s="1"/>
  <c r="F94" i="49"/>
  <c r="E68" i="49"/>
  <c r="K68" i="49" s="1"/>
  <c r="F65" i="49"/>
  <c r="S65" i="49" s="1"/>
  <c r="F35" i="49"/>
  <c r="S35" i="49" s="1"/>
  <c r="E17" i="49"/>
  <c r="F101" i="49"/>
  <c r="S101" i="49" s="1"/>
  <c r="E93" i="49"/>
  <c r="K93" i="49" s="1"/>
  <c r="F16" i="49"/>
  <c r="S16" i="49" s="1"/>
  <c r="F24" i="49"/>
  <c r="S24" i="49" s="1"/>
  <c r="E55" i="49"/>
  <c r="K55" i="49" s="1"/>
  <c r="E99" i="49"/>
  <c r="K99" i="49" s="1"/>
  <c r="F113" i="49"/>
  <c r="S113" i="49" s="1"/>
  <c r="F30" i="49"/>
  <c r="S30" i="49" s="1"/>
  <c r="F9" i="49"/>
  <c r="S9" i="49" s="1"/>
  <c r="F14" i="49"/>
  <c r="S14" i="49" s="1"/>
  <c r="E21" i="49"/>
  <c r="K21" i="49" s="1"/>
  <c r="E26" i="49"/>
  <c r="K26" i="49" s="1"/>
  <c r="E42" i="49"/>
  <c r="K42" i="49" s="1"/>
  <c r="F46" i="49"/>
  <c r="S46" i="49" s="1"/>
  <c r="F53" i="49"/>
  <c r="S53" i="49" s="1"/>
  <c r="E58" i="49"/>
  <c r="K58" i="49" s="1"/>
  <c r="F73" i="49"/>
  <c r="E85" i="49"/>
  <c r="K85" i="49" s="1"/>
  <c r="F86" i="49"/>
  <c r="S86" i="49" s="1"/>
  <c r="E89" i="49"/>
  <c r="K89" i="49" s="1"/>
  <c r="F93" i="49"/>
  <c r="S93" i="49" s="1"/>
  <c r="E102" i="49"/>
  <c r="K102" i="49" s="1"/>
  <c r="E106" i="49"/>
  <c r="K106" i="49" s="1"/>
  <c r="E114" i="49"/>
  <c r="K114" i="49" s="1"/>
  <c r="F98" i="49"/>
  <c r="S98" i="49" s="1"/>
  <c r="E44" i="49"/>
  <c r="K44" i="49" s="1"/>
  <c r="F28" i="49"/>
  <c r="S28" i="49" s="1"/>
  <c r="E8" i="49"/>
  <c r="F79" i="49"/>
  <c r="S79" i="49" s="1"/>
  <c r="F52" i="49"/>
  <c r="S52" i="49" s="1"/>
  <c r="F69" i="49"/>
  <c r="S69" i="49" s="1"/>
  <c r="F17" i="49"/>
  <c r="S17" i="49" s="1"/>
  <c r="M31" i="109"/>
  <c r="O56" i="47"/>
  <c r="G70" i="77"/>
  <c r="F90" i="49"/>
  <c r="S90" i="49" s="1"/>
  <c r="E88" i="49"/>
  <c r="K88" i="49"/>
  <c r="L35" i="40"/>
  <c r="G49" i="47" s="1"/>
  <c r="E63" i="49"/>
  <c r="K63" i="49" s="1"/>
  <c r="E30" i="49"/>
  <c r="K30" i="49" s="1"/>
  <c r="L35" i="106"/>
  <c r="K33" i="68"/>
  <c r="L33" i="68" s="1"/>
  <c r="M33" i="68" s="1"/>
  <c r="E104" i="49"/>
  <c r="F80" i="49"/>
  <c r="S80" i="49" s="1"/>
  <c r="E73" i="49"/>
  <c r="F51" i="49"/>
  <c r="S51" i="49" s="1"/>
  <c r="G62" i="91"/>
  <c r="H62" i="91" s="1"/>
  <c r="F63" i="49"/>
  <c r="S63" i="49" s="1"/>
  <c r="F33" i="49"/>
  <c r="F32" i="49"/>
  <c r="S32" i="49" s="1"/>
  <c r="E61" i="49"/>
  <c r="K61" i="49" s="1"/>
  <c r="E47" i="49"/>
  <c r="K47" i="49" s="1"/>
  <c r="F12" i="49"/>
  <c r="S12" i="49" s="1"/>
  <c r="E64" i="49"/>
  <c r="K64" i="49" s="1"/>
  <c r="E41" i="49"/>
  <c r="K41" i="49" s="1"/>
  <c r="F56" i="49"/>
  <c r="S56" i="49" s="1"/>
  <c r="E35" i="49"/>
  <c r="K30" i="68"/>
  <c r="I24" i="55"/>
  <c r="H24" i="55"/>
  <c r="J36" i="47" s="1"/>
  <c r="M35" i="9"/>
  <c r="M18" i="9"/>
  <c r="K33" i="36"/>
  <c r="K32" i="36"/>
  <c r="L32" i="36" s="1"/>
  <c r="M32" i="36" s="1"/>
  <c r="K31" i="36"/>
  <c r="G81" i="110"/>
  <c r="G59" i="91"/>
  <c r="H59" i="91" s="1"/>
  <c r="G74" i="91"/>
  <c r="H74" i="91" s="1"/>
  <c r="E68" i="56"/>
  <c r="K34" i="36"/>
  <c r="M35" i="2"/>
  <c r="M18" i="2"/>
  <c r="U78" i="67"/>
  <c r="V80" i="67"/>
  <c r="E51" i="75"/>
  <c r="W51" i="75"/>
  <c r="X51" i="75" s="1"/>
  <c r="D62" i="59"/>
  <c r="G50" i="77"/>
  <c r="G65" i="91"/>
  <c r="V79" i="50"/>
  <c r="M35" i="40"/>
  <c r="D49" i="47" s="1"/>
  <c r="W64" i="51"/>
  <c r="X64" i="51" s="1"/>
  <c r="K30" i="36"/>
  <c r="C50" i="45"/>
  <c r="C51" i="45" s="1"/>
  <c r="C52" i="45" s="1"/>
  <c r="C53" i="45" s="1"/>
  <c r="C54" i="45" s="1"/>
  <c r="C55" i="45" s="1"/>
  <c r="C56" i="45" s="1"/>
  <c r="C57" i="45" s="1"/>
  <c r="C58" i="45" s="1"/>
  <c r="C59" i="45" s="1"/>
  <c r="C60" i="45" s="1"/>
  <c r="C61" i="45" s="1"/>
  <c r="C62" i="45" s="1"/>
  <c r="C63" i="45" s="1"/>
  <c r="C64" i="45" s="1"/>
  <c r="C65" i="45" s="1"/>
  <c r="C66" i="45" s="1"/>
  <c r="C67" i="45" s="1"/>
  <c r="C68" i="45" s="1"/>
  <c r="C69" i="45" s="1"/>
  <c r="C70" i="45" s="1"/>
  <c r="C71" i="45" s="1"/>
  <c r="C72" i="45" s="1"/>
  <c r="C73" i="45" s="1"/>
  <c r="C74" i="45" s="1"/>
  <c r="C75" i="45" s="1"/>
  <c r="C76" i="45" s="1"/>
  <c r="C77" i="45" s="1"/>
  <c r="C78" i="45" s="1"/>
  <c r="C79" i="45" s="1"/>
  <c r="C47" i="45"/>
  <c r="E70" i="55"/>
  <c r="W70" i="55"/>
  <c r="X70" i="55" s="1"/>
  <c r="G54" i="77"/>
  <c r="G74" i="77"/>
  <c r="E86" i="49"/>
  <c r="G62" i="77"/>
  <c r="E75" i="51"/>
  <c r="C50" i="53"/>
  <c r="C51" i="53" s="1"/>
  <c r="C52" i="53" s="1"/>
  <c r="C53" i="53" s="1"/>
  <c r="C54" i="53" s="1"/>
  <c r="C55" i="53" s="1"/>
  <c r="C56" i="53" s="1"/>
  <c r="C57" i="53" s="1"/>
  <c r="C58" i="53" s="1"/>
  <c r="C59" i="53" s="1"/>
  <c r="C60" i="53" s="1"/>
  <c r="C61" i="53" s="1"/>
  <c r="C62" i="53" s="1"/>
  <c r="C63" i="53" s="1"/>
  <c r="C64" i="53" s="1"/>
  <c r="C65" i="53" s="1"/>
  <c r="C66" i="53" s="1"/>
  <c r="C67" i="53" s="1"/>
  <c r="C68" i="53" s="1"/>
  <c r="C69" i="53" s="1"/>
  <c r="C70" i="53" s="1"/>
  <c r="C71" i="53" s="1"/>
  <c r="C72" i="53" s="1"/>
  <c r="C73" i="53" s="1"/>
  <c r="C74" i="53" s="1"/>
  <c r="C75" i="53" s="1"/>
  <c r="C76" i="53" s="1"/>
  <c r="C77" i="53" s="1"/>
  <c r="C78" i="53" s="1"/>
  <c r="C47" i="53"/>
  <c r="X56" i="61"/>
  <c r="X77" i="53"/>
  <c r="X51" i="52"/>
  <c r="C47" i="38"/>
  <c r="W74" i="52"/>
  <c r="X74" i="52" s="1"/>
  <c r="E76" i="52"/>
  <c r="E78" i="52"/>
  <c r="E59" i="55"/>
  <c r="E61" i="57"/>
  <c r="W77" i="57"/>
  <c r="X77" i="57" s="1"/>
  <c r="E78" i="57"/>
  <c r="W79" i="57"/>
  <c r="X79" i="57" s="1"/>
  <c r="W68" i="65"/>
  <c r="X68" i="65" s="1"/>
  <c r="E60" i="75"/>
  <c r="G73" i="50"/>
  <c r="X50" i="75"/>
  <c r="E51" i="50"/>
  <c r="G51" i="50" s="1"/>
  <c r="W52" i="50"/>
  <c r="X52" i="50" s="1"/>
  <c r="E58" i="50"/>
  <c r="G58" i="50" s="1"/>
  <c r="W62" i="50"/>
  <c r="X62" i="50" s="1"/>
  <c r="W65" i="50"/>
  <c r="X65" i="50" s="1"/>
  <c r="E66" i="51"/>
  <c r="E70" i="51"/>
  <c r="E71" i="51"/>
  <c r="E60" i="52"/>
  <c r="E67" i="52"/>
  <c r="E68" i="52"/>
  <c r="W78" i="53"/>
  <c r="X78" i="53" s="1"/>
  <c r="E56" i="54"/>
  <c r="G56" i="54" s="1"/>
  <c r="E57" i="54"/>
  <c r="G57" i="54" s="1"/>
  <c r="E60" i="54"/>
  <c r="E62" i="54"/>
  <c r="G62" i="54" s="1"/>
  <c r="W69" i="54"/>
  <c r="X69" i="54" s="1"/>
  <c r="W72" i="54"/>
  <c r="X72" i="54" s="1"/>
  <c r="E73" i="54"/>
  <c r="W79" i="54"/>
  <c r="X79" i="54" s="1"/>
  <c r="R80" i="55"/>
  <c r="E71" i="55"/>
  <c r="E53" i="56"/>
  <c r="E49" i="57"/>
  <c r="E50" i="57"/>
  <c r="W53" i="57"/>
  <c r="X53" i="57" s="1"/>
  <c r="I45" i="55"/>
  <c r="W75" i="56"/>
  <c r="X75" i="56" s="1"/>
  <c r="E75" i="63"/>
  <c r="W53" i="64"/>
  <c r="X53" i="64" s="1"/>
  <c r="W64" i="64"/>
  <c r="X64" i="64" s="1"/>
  <c r="W68" i="64"/>
  <c r="X68" i="64" s="1"/>
  <c r="E76" i="64"/>
  <c r="I45" i="64"/>
  <c r="E49" i="67"/>
  <c r="W55" i="67"/>
  <c r="X55" i="67" s="1"/>
  <c r="E57" i="67"/>
  <c r="E59" i="67"/>
  <c r="W60" i="67"/>
  <c r="X60" i="67" s="1"/>
  <c r="E65" i="67"/>
  <c r="I45" i="67"/>
  <c r="E59" i="68"/>
  <c r="W49" i="70"/>
  <c r="X49" i="70" s="1"/>
  <c r="Y49" i="70" s="1"/>
  <c r="Y50" i="70" s="1"/>
  <c r="Y51" i="70" s="1"/>
  <c r="E50" i="70"/>
  <c r="E56" i="70"/>
  <c r="G56" i="70" s="1"/>
  <c r="W57" i="70"/>
  <c r="X57" i="70" s="1"/>
  <c r="E63" i="74"/>
  <c r="E66" i="74"/>
  <c r="E68" i="74"/>
  <c r="W70" i="74"/>
  <c r="X70" i="74" s="1"/>
  <c r="E74" i="74"/>
  <c r="E75" i="74"/>
  <c r="E78" i="74"/>
  <c r="G75" i="111"/>
  <c r="H75" i="111" s="1"/>
  <c r="W55" i="84"/>
  <c r="X55" i="84" s="1"/>
  <c r="E55" i="84"/>
  <c r="G55" i="84" s="1"/>
  <c r="W75" i="77"/>
  <c r="X75" i="77" s="1"/>
  <c r="W71" i="77"/>
  <c r="X71" i="77" s="1"/>
  <c r="W67" i="77"/>
  <c r="X67" i="77" s="1"/>
  <c r="W63" i="77"/>
  <c r="X63" i="77" s="1"/>
  <c r="E63" i="69"/>
  <c r="E73" i="69"/>
  <c r="G73" i="69" s="1"/>
  <c r="E53" i="74"/>
  <c r="X57" i="74"/>
  <c r="E58" i="74"/>
  <c r="W76" i="77"/>
  <c r="X76" i="77" s="1"/>
  <c r="W72" i="77"/>
  <c r="X72" i="77" s="1"/>
  <c r="W68" i="77"/>
  <c r="X68" i="77" s="1"/>
  <c r="W64" i="77"/>
  <c r="X64" i="77" s="1"/>
  <c r="E54" i="57"/>
  <c r="W56" i="57"/>
  <c r="X56" i="57" s="1"/>
  <c r="W71" i="58"/>
  <c r="X71" i="58" s="1"/>
  <c r="R80" i="61"/>
  <c r="E58" i="61"/>
  <c r="W63" i="61"/>
  <c r="X63" i="61" s="1"/>
  <c r="W64" i="61"/>
  <c r="X64" i="61" s="1"/>
  <c r="W67" i="61"/>
  <c r="X67" i="61" s="1"/>
  <c r="E78" i="61"/>
  <c r="E77" i="65"/>
  <c r="H44" i="65"/>
  <c r="I42" i="65" s="1"/>
  <c r="K42" i="65" s="1"/>
  <c r="L42" i="65" s="1"/>
  <c r="W51" i="66"/>
  <c r="X51" i="66" s="1"/>
  <c r="W54" i="66"/>
  <c r="X54" i="66" s="1"/>
  <c r="W56" i="66"/>
  <c r="W62" i="66"/>
  <c r="X62" i="66" s="1"/>
  <c r="E65" i="66"/>
  <c r="E67" i="66"/>
  <c r="E71" i="66"/>
  <c r="E76" i="66"/>
  <c r="R80" i="68"/>
  <c r="E51" i="68"/>
  <c r="E64" i="68"/>
  <c r="W68" i="68"/>
  <c r="X68" i="68" s="1"/>
  <c r="W71" i="68"/>
  <c r="X71" i="68" s="1"/>
  <c r="W75" i="68"/>
  <c r="X75" i="68" s="1"/>
  <c r="W77" i="68"/>
  <c r="X77" i="68" s="1"/>
  <c r="W59" i="69"/>
  <c r="X59" i="69" s="1"/>
  <c r="E63" i="73"/>
  <c r="E67" i="73"/>
  <c r="W69" i="73"/>
  <c r="X69" i="73" s="1"/>
  <c r="E71" i="73"/>
  <c r="E56" i="75"/>
  <c r="E66" i="75"/>
  <c r="E67" i="75"/>
  <c r="E72" i="75"/>
  <c r="W75" i="75"/>
  <c r="X75" i="75" s="1"/>
  <c r="G76" i="111"/>
  <c r="W73" i="77"/>
  <c r="X73" i="77" s="1"/>
  <c r="W69" i="77"/>
  <c r="X69" i="77" s="1"/>
  <c r="W65" i="77"/>
  <c r="X65" i="77" s="1"/>
  <c r="W61" i="77"/>
  <c r="X61" i="77" s="1"/>
  <c r="R101" i="123"/>
  <c r="AA72" i="133"/>
  <c r="AB72" i="133" s="1"/>
  <c r="AA76" i="133"/>
  <c r="AB76" i="133" s="1"/>
  <c r="AA86" i="133"/>
  <c r="AB86" i="133" s="1"/>
  <c r="AA96" i="133"/>
  <c r="AB96" i="133" s="1"/>
  <c r="AA100" i="133"/>
  <c r="AB100" i="133" s="1"/>
  <c r="W82" i="112"/>
  <c r="X82" i="112" s="1"/>
  <c r="W78" i="112"/>
  <c r="X78" i="112" s="1"/>
  <c r="E76" i="112"/>
  <c r="G76" i="112" s="1"/>
  <c r="E70" i="112"/>
  <c r="G70" i="112" s="1"/>
  <c r="E60" i="112"/>
  <c r="G60" i="112" s="1"/>
  <c r="E83" i="111"/>
  <c r="G83" i="111" s="1"/>
  <c r="E79" i="111"/>
  <c r="G79" i="111" s="1"/>
  <c r="P89" i="111"/>
  <c r="E82" i="110"/>
  <c r="G82" i="110" s="1"/>
  <c r="E78" i="110"/>
  <c r="G78" i="110" s="1"/>
  <c r="E74" i="110"/>
  <c r="G74" i="110" s="1"/>
  <c r="W62" i="91"/>
  <c r="X62" i="91" s="1"/>
  <c r="W77" i="109"/>
  <c r="X77" i="109" s="1"/>
  <c r="W73" i="109"/>
  <c r="X73" i="109" s="1"/>
  <c r="W69" i="109"/>
  <c r="X69" i="109" s="1"/>
  <c r="W56" i="109"/>
  <c r="X56" i="109" s="1"/>
  <c r="W53" i="109"/>
  <c r="X53" i="109" s="1"/>
  <c r="W77" i="106"/>
  <c r="X77" i="106" s="1"/>
  <c r="W68" i="106"/>
  <c r="X68" i="106" s="1"/>
  <c r="W56" i="106"/>
  <c r="X56" i="106" s="1"/>
  <c r="W52" i="106"/>
  <c r="X52" i="106" s="1"/>
  <c r="W75" i="105"/>
  <c r="X75" i="105" s="1"/>
  <c r="W71" i="105"/>
  <c r="X71" i="105" s="1"/>
  <c r="W67" i="105"/>
  <c r="X67" i="105" s="1"/>
  <c r="W63" i="105"/>
  <c r="X63" i="105" s="1"/>
  <c r="W59" i="105"/>
  <c r="X59" i="105" s="1"/>
  <c r="W55" i="105"/>
  <c r="X55" i="105" s="1"/>
  <c r="W51" i="105"/>
  <c r="X51" i="105" s="1"/>
  <c r="W56" i="84"/>
  <c r="X56" i="84" s="1"/>
  <c r="W78" i="83"/>
  <c r="X78" i="83" s="1"/>
  <c r="W67" i="83"/>
  <c r="X67" i="83" s="1"/>
  <c r="W59" i="83"/>
  <c r="X59" i="83" s="1"/>
  <c r="W50" i="83"/>
  <c r="X50" i="83" s="1"/>
  <c r="Y50" i="83" s="1"/>
  <c r="W72" i="81"/>
  <c r="X72" i="81" s="1"/>
  <c r="W60" i="77"/>
  <c r="X60" i="77" s="1"/>
  <c r="W56" i="77"/>
  <c r="X56" i="77" s="1"/>
  <c r="W52" i="77"/>
  <c r="X52" i="77" s="1"/>
  <c r="W77" i="45"/>
  <c r="X77" i="45"/>
  <c r="W69" i="45"/>
  <c r="X69" i="45" s="1"/>
  <c r="W76" i="44"/>
  <c r="X76" i="44" s="1"/>
  <c r="W62" i="42"/>
  <c r="X62" i="42" s="1"/>
  <c r="W77" i="34"/>
  <c r="X77" i="34"/>
  <c r="W61" i="34"/>
  <c r="X61" i="34" s="1"/>
  <c r="U101" i="123"/>
  <c r="E87" i="91"/>
  <c r="G87" i="91" s="1"/>
  <c r="H87" i="91" s="1"/>
  <c r="E85" i="91"/>
  <c r="G85" i="91" s="1"/>
  <c r="H85" i="91" s="1"/>
  <c r="G82" i="91"/>
  <c r="H82" i="91" s="1"/>
  <c r="E81" i="91"/>
  <c r="G81" i="91" s="1"/>
  <c r="E77" i="91"/>
  <c r="G77" i="91" s="1"/>
  <c r="H77" i="91" s="1"/>
  <c r="E73" i="91"/>
  <c r="G73" i="91" s="1"/>
  <c r="H73" i="91" s="1"/>
  <c r="E69" i="91"/>
  <c r="G69" i="91" s="1"/>
  <c r="W76" i="84"/>
  <c r="X76" i="84" s="1"/>
  <c r="W52" i="84"/>
  <c r="X52" i="84" s="1"/>
  <c r="W60" i="44"/>
  <c r="X60" i="44" s="1"/>
  <c r="W63" i="42"/>
  <c r="X63" i="42" s="1"/>
  <c r="W78" i="34"/>
  <c r="X78" i="34" s="1"/>
  <c r="W62" i="34"/>
  <c r="X62" i="34" s="1"/>
  <c r="W77" i="38"/>
  <c r="X77" i="38" s="1"/>
  <c r="W73" i="38"/>
  <c r="X73" i="38" s="1"/>
  <c r="W69" i="38"/>
  <c r="X69" i="38" s="1"/>
  <c r="W65" i="38"/>
  <c r="X65" i="38" s="1"/>
  <c r="W61" i="38"/>
  <c r="X61" i="38" s="1"/>
  <c r="W69" i="40"/>
  <c r="X69" i="40" s="1"/>
  <c r="W58" i="112"/>
  <c r="X58" i="112" s="1"/>
  <c r="Y58" i="112" s="1"/>
  <c r="E88" i="111"/>
  <c r="G88" i="111" s="1"/>
  <c r="E84" i="111"/>
  <c r="G84" i="111" s="1"/>
  <c r="E71" i="111"/>
  <c r="G71" i="111" s="1"/>
  <c r="E73" i="110"/>
  <c r="G73" i="110" s="1"/>
  <c r="E61" i="110"/>
  <c r="G61" i="110" s="1"/>
  <c r="E84" i="91"/>
  <c r="G84" i="91" s="1"/>
  <c r="H84" i="91" s="1"/>
  <c r="E83" i="91"/>
  <c r="G83" i="91" s="1"/>
  <c r="W79" i="91"/>
  <c r="E75" i="91"/>
  <c r="G75" i="91" s="1"/>
  <c r="W71" i="91"/>
  <c r="E67" i="91"/>
  <c r="G67" i="91" s="1"/>
  <c r="E63" i="91"/>
  <c r="G63" i="91" s="1"/>
  <c r="E79" i="84"/>
  <c r="G79" i="84" s="1"/>
  <c r="E49" i="84"/>
  <c r="G49" i="84" s="1"/>
  <c r="H49" i="84" s="1"/>
  <c r="W77" i="82"/>
  <c r="X77" i="82" s="1"/>
  <c r="W58" i="77"/>
  <c r="X58" i="77" s="1"/>
  <c r="W54" i="77"/>
  <c r="X54" i="77" s="1"/>
  <c r="W50" i="77"/>
  <c r="X50" i="77" s="1"/>
  <c r="W57" i="76"/>
  <c r="X57" i="76" s="1"/>
  <c r="W59" i="45"/>
  <c r="X59" i="45" s="1"/>
  <c r="W69" i="44"/>
  <c r="X69" i="44" s="1"/>
  <c r="W61" i="44"/>
  <c r="X61" i="44" s="1"/>
  <c r="W53" i="44"/>
  <c r="X53" i="44" s="1"/>
  <c r="W54" i="42"/>
  <c r="X54" i="42" s="1"/>
  <c r="W69" i="34"/>
  <c r="X69" i="34" s="1"/>
  <c r="W76" i="35"/>
  <c r="X76" i="35" s="1"/>
  <c r="W66" i="36"/>
  <c r="X66" i="36" s="1"/>
  <c r="W77" i="37"/>
  <c r="X77" i="37" s="1"/>
  <c r="W61" i="37"/>
  <c r="X61" i="37" s="1"/>
  <c r="W53" i="37"/>
  <c r="X53" i="37" s="1"/>
  <c r="W49" i="37"/>
  <c r="X49" i="37" s="1"/>
  <c r="Y49" i="37" s="1"/>
  <c r="W78" i="38"/>
  <c r="X78" i="38" s="1"/>
  <c r="W74" i="38"/>
  <c r="X74" i="38" s="1"/>
  <c r="W70" i="38"/>
  <c r="X70" i="38" s="1"/>
  <c r="W66" i="38"/>
  <c r="X66" i="38" s="1"/>
  <c r="W62" i="38"/>
  <c r="X62" i="38" s="1"/>
  <c r="W73" i="39"/>
  <c r="X73" i="39" s="1"/>
  <c r="W69" i="39"/>
  <c r="X69" i="39" s="1"/>
  <c r="W79" i="41"/>
  <c r="X79" i="41" s="1"/>
  <c r="W70" i="41"/>
  <c r="X70" i="41" s="1"/>
  <c r="W67" i="41"/>
  <c r="X67" i="41" s="1"/>
  <c r="W63" i="41"/>
  <c r="X63" i="41" s="1"/>
  <c r="W51" i="41"/>
  <c r="X51" i="41" s="1"/>
  <c r="W73" i="104"/>
  <c r="X73" i="104" s="1"/>
  <c r="W65" i="104"/>
  <c r="X65" i="104" s="1"/>
  <c r="W57" i="104"/>
  <c r="X57" i="104" s="1"/>
  <c r="AA96" i="123"/>
  <c r="AB96" i="123" s="1"/>
  <c r="AA92" i="123"/>
  <c r="AB92" i="123" s="1"/>
  <c r="N49" i="47"/>
  <c r="H98" i="138"/>
  <c r="AE74" i="140"/>
  <c r="AA90" i="132"/>
  <c r="AA72" i="123"/>
  <c r="AB72" i="123" s="1"/>
  <c r="AA103" i="138"/>
  <c r="W87" i="91"/>
  <c r="X87" i="91" s="1"/>
  <c r="K41" i="91"/>
  <c r="Q67" i="47" s="1"/>
  <c r="P67" i="47" s="1"/>
  <c r="R89" i="91"/>
  <c r="W83" i="91"/>
  <c r="X83" i="91" s="1"/>
  <c r="M38" i="91"/>
  <c r="N38" i="91" s="1"/>
  <c r="Y38" i="91" s="1"/>
  <c r="X39" i="91"/>
  <c r="Q89" i="91"/>
  <c r="E60" i="91"/>
  <c r="J16" i="91"/>
  <c r="K16" i="91" s="1"/>
  <c r="X37" i="91"/>
  <c r="E79" i="91"/>
  <c r="G79" i="91" s="1"/>
  <c r="E61" i="91"/>
  <c r="G61" i="91" s="1"/>
  <c r="Y40" i="91"/>
  <c r="X38" i="91"/>
  <c r="E85" i="110"/>
  <c r="G85" i="110" s="1"/>
  <c r="R89" i="110"/>
  <c r="K41" i="110"/>
  <c r="E63" i="110"/>
  <c r="G63" i="110" s="1"/>
  <c r="E83" i="110"/>
  <c r="G83" i="110" s="1"/>
  <c r="E84" i="110"/>
  <c r="G84" i="110" s="1"/>
  <c r="E79" i="110"/>
  <c r="G79" i="110" s="1"/>
  <c r="E75" i="110"/>
  <c r="G75" i="110" s="1"/>
  <c r="E72" i="110"/>
  <c r="G72" i="110" s="1"/>
  <c r="E71" i="110"/>
  <c r="G71" i="110" s="1"/>
  <c r="E68" i="110"/>
  <c r="G68" i="110" s="1"/>
  <c r="E64" i="110"/>
  <c r="G64" i="110" s="1"/>
  <c r="M39" i="91"/>
  <c r="N39" i="91" s="1"/>
  <c r="Y39" i="91" s="1"/>
  <c r="E88" i="91"/>
  <c r="G88" i="91" s="1"/>
  <c r="E80" i="91"/>
  <c r="E76" i="91"/>
  <c r="G76" i="91" s="1"/>
  <c r="E72" i="91"/>
  <c r="G72" i="91" s="1"/>
  <c r="E68" i="91"/>
  <c r="G68" i="91" s="1"/>
  <c r="E64" i="91"/>
  <c r="G64" i="91" s="1"/>
  <c r="H64" i="91" s="1"/>
  <c r="W60" i="91"/>
  <c r="X60" i="91" s="1"/>
  <c r="W77" i="91"/>
  <c r="X77" i="91" s="1"/>
  <c r="W81" i="91"/>
  <c r="X81" i="91" s="1"/>
  <c r="W64" i="91"/>
  <c r="X64" i="91" s="1"/>
  <c r="E70" i="110"/>
  <c r="G70" i="110" s="1"/>
  <c r="E66" i="110"/>
  <c r="G66" i="110" s="1"/>
  <c r="E62" i="110"/>
  <c r="G62" i="110" s="1"/>
  <c r="E59" i="110"/>
  <c r="G59" i="110" s="1"/>
  <c r="W83" i="110"/>
  <c r="X83" i="110" s="1"/>
  <c r="W79" i="110"/>
  <c r="X79" i="110" s="1"/>
  <c r="E77" i="110"/>
  <c r="G77" i="110" s="1"/>
  <c r="E69" i="110"/>
  <c r="G69" i="110" s="1"/>
  <c r="E60" i="110"/>
  <c r="G60" i="110" s="1"/>
  <c r="W84" i="110"/>
  <c r="X84" i="110" s="1"/>
  <c r="E67" i="110"/>
  <c r="G67" i="110"/>
  <c r="W85" i="110"/>
  <c r="X85" i="110" s="1"/>
  <c r="W81" i="110"/>
  <c r="X81" i="110" s="1"/>
  <c r="W77" i="110"/>
  <c r="X77" i="110" s="1"/>
  <c r="W82" i="110"/>
  <c r="W78" i="110"/>
  <c r="E81" i="111"/>
  <c r="G81" i="111" s="1"/>
  <c r="E69" i="111"/>
  <c r="G69" i="111" s="1"/>
  <c r="R89" i="111"/>
  <c r="K41" i="111"/>
  <c r="L37" i="111" s="1"/>
  <c r="W88" i="111"/>
  <c r="X88" i="111" s="1"/>
  <c r="W84" i="111"/>
  <c r="X84" i="111" s="1"/>
  <c r="W80" i="111"/>
  <c r="X80" i="111" s="1"/>
  <c r="W76" i="111"/>
  <c r="X76" i="111" s="1"/>
  <c r="W68" i="111"/>
  <c r="X68" i="111" s="1"/>
  <c r="W64" i="111"/>
  <c r="X64" i="111" s="1"/>
  <c r="E60" i="111"/>
  <c r="G60" i="111" s="1"/>
  <c r="W59" i="111"/>
  <c r="X59" i="111" s="1"/>
  <c r="E58" i="111"/>
  <c r="G58" i="111" s="1"/>
  <c r="E68" i="111"/>
  <c r="G68" i="111" s="1"/>
  <c r="E80" i="111"/>
  <c r="G80" i="111" s="1"/>
  <c r="W58" i="111"/>
  <c r="X58" i="111" s="1"/>
  <c r="Y58" i="111" s="1"/>
  <c r="E85" i="111"/>
  <c r="G85" i="111" s="1"/>
  <c r="E77" i="111"/>
  <c r="E73" i="111"/>
  <c r="G73" i="111" s="1"/>
  <c r="E65" i="111"/>
  <c r="G65" i="111" s="1"/>
  <c r="W66" i="112"/>
  <c r="X66" i="112" s="1"/>
  <c r="W62" i="112"/>
  <c r="X62" i="112" s="1"/>
  <c r="K41" i="112"/>
  <c r="Q70" i="47" s="1"/>
  <c r="P70" i="47" s="1"/>
  <c r="W81" i="112"/>
  <c r="X81" i="112" s="1"/>
  <c r="E61" i="112"/>
  <c r="G61" i="112" s="1"/>
  <c r="W70" i="112"/>
  <c r="X70" i="112" s="1"/>
  <c r="E78" i="112"/>
  <c r="G78" i="112" s="1"/>
  <c r="E74" i="112"/>
  <c r="G74" i="112" s="1"/>
  <c r="E62" i="112"/>
  <c r="G62" i="112" s="1"/>
  <c r="AA78" i="123"/>
  <c r="AB78" i="123" s="1"/>
  <c r="AA79" i="123"/>
  <c r="U59" i="112"/>
  <c r="U75" i="112"/>
  <c r="AA102" i="134"/>
  <c r="G77" i="37"/>
  <c r="G68" i="37"/>
  <c r="G55" i="37"/>
  <c r="K34" i="62"/>
  <c r="K32" i="62"/>
  <c r="D56" i="43"/>
  <c r="J52" i="47"/>
  <c r="D95" i="140"/>
  <c r="D75" i="140"/>
  <c r="D77" i="140"/>
  <c r="D96" i="140"/>
  <c r="D72" i="140"/>
  <c r="D88" i="140"/>
  <c r="D73" i="140"/>
  <c r="L44" i="133"/>
  <c r="M41" i="133"/>
  <c r="N41" i="133" s="1"/>
  <c r="E80" i="45"/>
  <c r="M24" i="45" s="1"/>
  <c r="Q54" i="47" s="1"/>
  <c r="P54" i="47" s="1"/>
  <c r="G72" i="37"/>
  <c r="K46" i="47"/>
  <c r="G64" i="37"/>
  <c r="G49" i="37"/>
  <c r="G73" i="37"/>
  <c r="K31" i="62"/>
  <c r="D63" i="37"/>
  <c r="J46" i="47"/>
  <c r="J72" i="47"/>
  <c r="D81" i="124"/>
  <c r="I81" i="124" s="1"/>
  <c r="D96" i="124"/>
  <c r="I96" i="124" s="1"/>
  <c r="D86" i="124"/>
  <c r="D90" i="124"/>
  <c r="I90" i="124" s="1"/>
  <c r="D82" i="124"/>
  <c r="I82" i="124" s="1"/>
  <c r="D78" i="124"/>
  <c r="I78" i="124" s="1"/>
  <c r="D74" i="124"/>
  <c r="I74" i="124" s="1"/>
  <c r="D99" i="124"/>
  <c r="I99" i="124" s="1"/>
  <c r="D71" i="124"/>
  <c r="D49" i="104"/>
  <c r="H49" i="104" s="1"/>
  <c r="D79" i="104"/>
  <c r="D66" i="104"/>
  <c r="D72" i="104"/>
  <c r="D55" i="84"/>
  <c r="D78" i="84"/>
  <c r="D61" i="84"/>
  <c r="D56" i="84"/>
  <c r="D75" i="84"/>
  <c r="D74" i="84"/>
  <c r="D67" i="84"/>
  <c r="D69" i="84"/>
  <c r="Q33" i="77"/>
  <c r="I10" i="77"/>
  <c r="M44" i="77" s="1"/>
  <c r="D67" i="43"/>
  <c r="D77" i="43"/>
  <c r="D66" i="43"/>
  <c r="G63" i="37"/>
  <c r="G65" i="37"/>
  <c r="D69" i="37"/>
  <c r="D56" i="37"/>
  <c r="K31" i="37"/>
  <c r="L31" i="37" s="1"/>
  <c r="D87" i="140"/>
  <c r="D98" i="140"/>
  <c r="D99" i="140"/>
  <c r="D86" i="140"/>
  <c r="D93" i="140"/>
  <c r="D78" i="140"/>
  <c r="D94" i="140"/>
  <c r="AB101" i="132"/>
  <c r="AC101" i="132" s="1"/>
  <c r="U73" i="47"/>
  <c r="D91" i="133"/>
  <c r="D80" i="133"/>
  <c r="D96" i="133"/>
  <c r="D86" i="133"/>
  <c r="D93" i="133"/>
  <c r="I93" i="133" s="1"/>
  <c r="D75" i="109"/>
  <c r="D60" i="109"/>
  <c r="H60" i="109" s="1"/>
  <c r="D49" i="109"/>
  <c r="H49" i="109" s="1"/>
  <c r="D72" i="109"/>
  <c r="H72" i="109" s="1"/>
  <c r="D56" i="109"/>
  <c r="D61" i="109"/>
  <c r="H61" i="109" s="1"/>
  <c r="D77" i="109"/>
  <c r="H77" i="109" s="1"/>
  <c r="D62" i="61"/>
  <c r="D79" i="61"/>
  <c r="D51" i="61"/>
  <c r="D77" i="61"/>
  <c r="D52" i="61"/>
  <c r="D69" i="61"/>
  <c r="D68" i="61"/>
  <c r="D71" i="61"/>
  <c r="D61" i="61"/>
  <c r="D65" i="61"/>
  <c r="D54" i="61"/>
  <c r="D72" i="61"/>
  <c r="D78" i="61"/>
  <c r="D50" i="61"/>
  <c r="D76" i="61"/>
  <c r="G51" i="62"/>
  <c r="G72" i="62"/>
  <c r="G56" i="62"/>
  <c r="H56" i="62" s="1"/>
  <c r="G70" i="62"/>
  <c r="G68" i="62"/>
  <c r="H68" i="62" s="1"/>
  <c r="G62" i="62"/>
  <c r="H62" i="62" s="1"/>
  <c r="G74" i="62"/>
  <c r="H74" i="62" s="1"/>
  <c r="G50" i="62"/>
  <c r="G49" i="62"/>
  <c r="H49" i="62" s="1"/>
  <c r="G66" i="62"/>
  <c r="G79" i="62"/>
  <c r="H79" i="62" s="1"/>
  <c r="D60" i="61"/>
  <c r="D67" i="61"/>
  <c r="D64" i="61"/>
  <c r="D59" i="61"/>
  <c r="K31" i="50"/>
  <c r="K35" i="66"/>
  <c r="G59" i="62"/>
  <c r="H59" i="62" s="1"/>
  <c r="G53" i="62"/>
  <c r="H53" i="62" s="1"/>
  <c r="D55" i="61"/>
  <c r="D75" i="61"/>
  <c r="D56" i="61"/>
  <c r="D63" i="61"/>
  <c r="G65" i="110"/>
  <c r="D61" i="72"/>
  <c r="D52" i="72"/>
  <c r="D66" i="72"/>
  <c r="D75" i="72"/>
  <c r="D71" i="72"/>
  <c r="H71" i="72" s="1"/>
  <c r="D57" i="72"/>
  <c r="Q31" i="105"/>
  <c r="W48" i="50"/>
  <c r="X48" i="50" s="1"/>
  <c r="Y48" i="50" s="1"/>
  <c r="E48" i="50"/>
  <c r="W54" i="50"/>
  <c r="E54" i="50"/>
  <c r="G54" i="50" s="1"/>
  <c r="E56" i="50"/>
  <c r="G56" i="50" s="1"/>
  <c r="W56" i="50"/>
  <c r="X56" i="50" s="1"/>
  <c r="U57" i="50"/>
  <c r="X57" i="50"/>
  <c r="E63" i="50"/>
  <c r="G63" i="50" s="1"/>
  <c r="W63" i="50"/>
  <c r="X63" i="50" s="1"/>
  <c r="Q80" i="51"/>
  <c r="W50" i="51"/>
  <c r="X50" i="51" s="1"/>
  <c r="E51" i="51"/>
  <c r="W51" i="51"/>
  <c r="X51" i="51" s="1"/>
  <c r="E67" i="51"/>
  <c r="W67" i="51"/>
  <c r="U32" i="47" s="1"/>
  <c r="V32" i="47" s="1"/>
  <c r="W68" i="51"/>
  <c r="X68" i="51" s="1"/>
  <c r="E68" i="51"/>
  <c r="U69" i="51"/>
  <c r="X69" i="51"/>
  <c r="U72" i="51"/>
  <c r="X72" i="51"/>
  <c r="E73" i="51"/>
  <c r="W73" i="51"/>
  <c r="X73" i="51" s="1"/>
  <c r="U63" i="52"/>
  <c r="X63" i="52"/>
  <c r="R80" i="52"/>
  <c r="E64" i="52"/>
  <c r="E65" i="52"/>
  <c r="W65" i="52"/>
  <c r="X65" i="52" s="1"/>
  <c r="P80" i="52"/>
  <c r="E69" i="52"/>
  <c r="W69" i="52"/>
  <c r="X69" i="52" s="1"/>
  <c r="U70" i="52"/>
  <c r="X70" i="52"/>
  <c r="E49" i="54"/>
  <c r="Q80" i="54"/>
  <c r="P80" i="54"/>
  <c r="W50" i="54"/>
  <c r="X50" i="54" s="1"/>
  <c r="U51" i="54"/>
  <c r="X51" i="54"/>
  <c r="R80" i="54"/>
  <c r="W52" i="54"/>
  <c r="X52" i="54" s="1"/>
  <c r="E52" i="54"/>
  <c r="E53" i="54"/>
  <c r="W53" i="54"/>
  <c r="X53" i="54" s="1"/>
  <c r="W54" i="54"/>
  <c r="X54" i="54" s="1"/>
  <c r="E54" i="54"/>
  <c r="G54" i="54" s="1"/>
  <c r="H54" i="54" s="1"/>
  <c r="W58" i="54"/>
  <c r="X58" i="54" s="1"/>
  <c r="E58" i="54"/>
  <c r="G58" i="54" s="1"/>
  <c r="W61" i="54"/>
  <c r="X61" i="54" s="1"/>
  <c r="E61" i="54"/>
  <c r="U63" i="54"/>
  <c r="E64" i="54"/>
  <c r="G64" i="54" s="1"/>
  <c r="W64" i="54"/>
  <c r="X64" i="54" s="1"/>
  <c r="E65" i="54"/>
  <c r="W65" i="54"/>
  <c r="X65" i="54"/>
  <c r="W66" i="54"/>
  <c r="X66" i="54" s="1"/>
  <c r="E66" i="54"/>
  <c r="G66" i="54" s="1"/>
  <c r="E68" i="54"/>
  <c r="G68" i="54" s="1"/>
  <c r="W68" i="54"/>
  <c r="X68" i="54" s="1"/>
  <c r="W75" i="54"/>
  <c r="X75" i="54" s="1"/>
  <c r="E75" i="54"/>
  <c r="G75" i="54" s="1"/>
  <c r="E76" i="54"/>
  <c r="G76" i="54" s="1"/>
  <c r="W76" i="54"/>
  <c r="X76" i="54" s="1"/>
  <c r="F10" i="55"/>
  <c r="G10" i="55" s="1"/>
  <c r="W50" i="55"/>
  <c r="X50" i="55" s="1"/>
  <c r="E50" i="55"/>
  <c r="E52" i="55"/>
  <c r="W52" i="55"/>
  <c r="X52" i="55" s="1"/>
  <c r="E49" i="56"/>
  <c r="Q80" i="56"/>
  <c r="E52" i="56"/>
  <c r="W52" i="56"/>
  <c r="X52" i="56" s="1"/>
  <c r="E55" i="56"/>
  <c r="W55" i="56"/>
  <c r="X55" i="56" s="1"/>
  <c r="I35" i="57"/>
  <c r="K34" i="57" s="1"/>
  <c r="L34" i="57" s="1"/>
  <c r="M34" i="57" s="1"/>
  <c r="V80" i="57"/>
  <c r="U51" i="57"/>
  <c r="R80" i="57"/>
  <c r="W52" i="57"/>
  <c r="X52" i="57" s="1"/>
  <c r="U65" i="58"/>
  <c r="X65" i="58"/>
  <c r="E66" i="58"/>
  <c r="W66" i="58"/>
  <c r="X66" i="58" s="1"/>
  <c r="W67" i="58"/>
  <c r="X67" i="58" s="1"/>
  <c r="Q80" i="58"/>
  <c r="P80" i="58"/>
  <c r="E68" i="58"/>
  <c r="E70" i="58"/>
  <c r="W70" i="58"/>
  <c r="X70" i="58" s="1"/>
  <c r="W73" i="58"/>
  <c r="X73" i="58" s="1"/>
  <c r="E73" i="58"/>
  <c r="P80" i="61"/>
  <c r="W51" i="61"/>
  <c r="W53" i="61"/>
  <c r="X53" i="61" s="1"/>
  <c r="Q80" i="61"/>
  <c r="U55" i="61"/>
  <c r="V80" i="61"/>
  <c r="E57" i="61"/>
  <c r="W57" i="61"/>
  <c r="X57" i="61" s="1"/>
  <c r="W61" i="61"/>
  <c r="X61" i="61" s="1"/>
  <c r="E61" i="61"/>
  <c r="W68" i="61"/>
  <c r="X68" i="61" s="1"/>
  <c r="E68" i="61"/>
  <c r="W69" i="61"/>
  <c r="X69" i="61" s="1"/>
  <c r="E69" i="61"/>
  <c r="W72" i="61"/>
  <c r="X72" i="61" s="1"/>
  <c r="E72" i="61"/>
  <c r="W75" i="61"/>
  <c r="X75" i="61" s="1"/>
  <c r="E75" i="61"/>
  <c r="W77" i="61"/>
  <c r="X77" i="61" s="1"/>
  <c r="E77" i="61"/>
  <c r="U61" i="63"/>
  <c r="E62" i="63"/>
  <c r="W62" i="63"/>
  <c r="X62" i="63" s="1"/>
  <c r="E63" i="63"/>
  <c r="Q80" i="63"/>
  <c r="U64" i="63"/>
  <c r="X64" i="63"/>
  <c r="E65" i="63"/>
  <c r="W65" i="63"/>
  <c r="X65" i="63" s="1"/>
  <c r="E72" i="65"/>
  <c r="W72" i="65"/>
  <c r="X72" i="65" s="1"/>
  <c r="R79" i="65"/>
  <c r="W73" i="65"/>
  <c r="X73" i="65" s="1"/>
  <c r="Q79" i="65"/>
  <c r="E73" i="65"/>
  <c r="W75" i="65"/>
  <c r="X75" i="65" s="1"/>
  <c r="E75" i="65"/>
  <c r="E76" i="65"/>
  <c r="W76" i="65"/>
  <c r="X76" i="65" s="1"/>
  <c r="U78" i="65"/>
  <c r="X78" i="65"/>
  <c r="E52" i="66"/>
  <c r="W52" i="66"/>
  <c r="X52" i="66" s="1"/>
  <c r="P80" i="66"/>
  <c r="U53" i="66"/>
  <c r="W55" i="66"/>
  <c r="X55" i="66" s="1"/>
  <c r="E55" i="66"/>
  <c r="W58" i="66"/>
  <c r="X58" i="66" s="1"/>
  <c r="E58" i="66"/>
  <c r="E59" i="66"/>
  <c r="W59" i="66"/>
  <c r="X59" i="66" s="1"/>
  <c r="E60" i="66"/>
  <c r="W60" i="66"/>
  <c r="X60" i="66" s="1"/>
  <c r="W63" i="66"/>
  <c r="X63" i="66" s="1"/>
  <c r="E63" i="66"/>
  <c r="W66" i="66"/>
  <c r="X66" i="66" s="1"/>
  <c r="E66" i="66"/>
  <c r="E69" i="66"/>
  <c r="W69" i="66"/>
  <c r="X69" i="66" s="1"/>
  <c r="E70" i="66"/>
  <c r="W70" i="66"/>
  <c r="X70" i="66" s="1"/>
  <c r="U72" i="66"/>
  <c r="X72" i="66"/>
  <c r="W74" i="66"/>
  <c r="X74" i="66" s="1"/>
  <c r="E74" i="66"/>
  <c r="A49" i="66"/>
  <c r="C47" i="66"/>
  <c r="C50" i="66"/>
  <c r="C51" i="66" s="1"/>
  <c r="C52" i="66" s="1"/>
  <c r="C53" i="66" s="1"/>
  <c r="C54" i="66" s="1"/>
  <c r="C55" i="66" s="1"/>
  <c r="C56" i="66" s="1"/>
  <c r="C57" i="66" s="1"/>
  <c r="C58" i="66" s="1"/>
  <c r="C59" i="66" s="1"/>
  <c r="C60" i="66" s="1"/>
  <c r="C61" i="66" s="1"/>
  <c r="C62" i="66" s="1"/>
  <c r="C63" i="66" s="1"/>
  <c r="C64" i="66" s="1"/>
  <c r="C65" i="66" s="1"/>
  <c r="C66" i="66" s="1"/>
  <c r="C67" i="66" s="1"/>
  <c r="C68" i="66" s="1"/>
  <c r="C69" i="66" s="1"/>
  <c r="C70" i="66" s="1"/>
  <c r="C71" i="66" s="1"/>
  <c r="C72" i="66" s="1"/>
  <c r="C73" i="66" s="1"/>
  <c r="C74" i="66" s="1"/>
  <c r="C75" i="66" s="1"/>
  <c r="C76" i="66" s="1"/>
  <c r="C77" i="66" s="1"/>
  <c r="U54" i="68"/>
  <c r="V80" i="68"/>
  <c r="E60" i="68"/>
  <c r="W60" i="68"/>
  <c r="X60" i="68" s="1"/>
  <c r="P80" i="68"/>
  <c r="W61" i="68"/>
  <c r="X61" i="68" s="1"/>
  <c r="W63" i="68"/>
  <c r="X63" i="68" s="1"/>
  <c r="E63" i="68"/>
  <c r="E65" i="68"/>
  <c r="W65" i="68"/>
  <c r="X65" i="68" s="1"/>
  <c r="E69" i="68"/>
  <c r="W69" i="68"/>
  <c r="X69" i="68" s="1"/>
  <c r="E72" i="68"/>
  <c r="W72" i="68"/>
  <c r="X72" i="68" s="1"/>
  <c r="E73" i="68"/>
  <c r="W73" i="68"/>
  <c r="X73" i="68" s="1"/>
  <c r="E76" i="68"/>
  <c r="W76" i="68"/>
  <c r="X76" i="68" s="1"/>
  <c r="E51" i="69"/>
  <c r="W51" i="69"/>
  <c r="X51" i="69" s="1"/>
  <c r="R80" i="69"/>
  <c r="E52" i="69"/>
  <c r="G52" i="69" s="1"/>
  <c r="W52" i="69"/>
  <c r="X52" i="69" s="1"/>
  <c r="W53" i="69"/>
  <c r="X53" i="69" s="1"/>
  <c r="E53" i="69"/>
  <c r="W55" i="69"/>
  <c r="X55" i="69" s="1"/>
  <c r="E55" i="69"/>
  <c r="G55" i="69" s="1"/>
  <c r="E56" i="69"/>
  <c r="G56" i="69" s="1"/>
  <c r="W56" i="69"/>
  <c r="Q80" i="69"/>
  <c r="E57" i="69"/>
  <c r="G57" i="69" s="1"/>
  <c r="W57" i="69"/>
  <c r="X57" i="69" s="1"/>
  <c r="E60" i="69"/>
  <c r="G60" i="69" s="1"/>
  <c r="H60" i="69" s="1"/>
  <c r="W60" i="69"/>
  <c r="X60" i="69" s="1"/>
  <c r="E62" i="69"/>
  <c r="G62" i="69" s="1"/>
  <c r="W62" i="69"/>
  <c r="X62" i="69" s="1"/>
  <c r="I45" i="72"/>
  <c r="J43" i="72" s="1"/>
  <c r="L43" i="72" s="1"/>
  <c r="M43" i="72" s="1"/>
  <c r="R80" i="73"/>
  <c r="W49" i="73"/>
  <c r="E49" i="73"/>
  <c r="E50" i="73"/>
  <c r="W50" i="73"/>
  <c r="X50" i="73" s="1"/>
  <c r="Q80" i="73"/>
  <c r="W51" i="73"/>
  <c r="X51" i="73" s="1"/>
  <c r="P80" i="73"/>
  <c r="E51" i="73"/>
  <c r="U52" i="73"/>
  <c r="V80" i="73"/>
  <c r="E53" i="73"/>
  <c r="W53" i="73"/>
  <c r="X53" i="73" s="1"/>
  <c r="E54" i="73"/>
  <c r="W54" i="73"/>
  <c r="X54" i="73" s="1"/>
  <c r="W55" i="73"/>
  <c r="X55" i="73" s="1"/>
  <c r="E55" i="73"/>
  <c r="E57" i="73"/>
  <c r="W57" i="73"/>
  <c r="X57" i="73" s="1"/>
  <c r="W58" i="73"/>
  <c r="X58" i="73" s="1"/>
  <c r="E58" i="73"/>
  <c r="E59" i="73"/>
  <c r="W59" i="73"/>
  <c r="X59" i="73" s="1"/>
  <c r="W61" i="73"/>
  <c r="X61" i="73" s="1"/>
  <c r="E61" i="73"/>
  <c r="E62" i="73"/>
  <c r="W62" i="73"/>
  <c r="X62" i="73" s="1"/>
  <c r="W65" i="73"/>
  <c r="X65" i="73" s="1"/>
  <c r="E65" i="73"/>
  <c r="W66" i="73"/>
  <c r="X66" i="73" s="1"/>
  <c r="E66" i="73"/>
  <c r="E70" i="73"/>
  <c r="W70" i="73"/>
  <c r="X70" i="73" s="1"/>
  <c r="E73" i="73"/>
  <c r="W73" i="73"/>
  <c r="X73" i="73" s="1"/>
  <c r="W74" i="73"/>
  <c r="X74" i="73" s="1"/>
  <c r="E74" i="73"/>
  <c r="E76" i="73"/>
  <c r="W76" i="73"/>
  <c r="X76" i="73" s="1"/>
  <c r="E77" i="73"/>
  <c r="W77" i="73"/>
  <c r="X77" i="73" s="1"/>
  <c r="W78" i="73"/>
  <c r="X78" i="73" s="1"/>
  <c r="E78" i="73"/>
  <c r="E57" i="75"/>
  <c r="W57" i="75"/>
  <c r="X57" i="75" s="1"/>
  <c r="E58" i="75"/>
  <c r="W58" i="75"/>
  <c r="X58" i="75" s="1"/>
  <c r="E61" i="75"/>
  <c r="W61" i="75"/>
  <c r="X61" i="75" s="1"/>
  <c r="W63" i="75"/>
  <c r="X63" i="75" s="1"/>
  <c r="E63" i="75"/>
  <c r="E64" i="75"/>
  <c r="W64" i="75"/>
  <c r="X64" i="75" s="1"/>
  <c r="E68" i="75"/>
  <c r="W68" i="75"/>
  <c r="X68" i="75" s="1"/>
  <c r="U69" i="75"/>
  <c r="X69" i="75"/>
  <c r="Q80" i="75"/>
  <c r="W71" i="75"/>
  <c r="X71" i="75" s="1"/>
  <c r="W74" i="75"/>
  <c r="X74" i="75" s="1"/>
  <c r="E74" i="75"/>
  <c r="E76" i="75"/>
  <c r="W76" i="75"/>
  <c r="X76" i="75" s="1"/>
  <c r="W78" i="75"/>
  <c r="X78" i="75" s="1"/>
  <c r="E78" i="75"/>
  <c r="E79" i="75"/>
  <c r="W79" i="75"/>
  <c r="X79" i="75" s="1"/>
  <c r="I45" i="75"/>
  <c r="J42" i="75" s="1"/>
  <c r="L42" i="75" s="1"/>
  <c r="M42" i="75" s="1"/>
  <c r="U49" i="71"/>
  <c r="V80" i="71"/>
  <c r="I86" i="123"/>
  <c r="I87" i="123"/>
  <c r="J42" i="74"/>
  <c r="L42" i="74" s="1"/>
  <c r="M42" i="74" s="1"/>
  <c r="I73" i="123"/>
  <c r="K35" i="71"/>
  <c r="J43" i="66"/>
  <c r="L43" i="66" s="1"/>
  <c r="M43" i="66" s="1"/>
  <c r="J44" i="66"/>
  <c r="L44" i="66" s="1"/>
  <c r="M44" i="66" s="1"/>
  <c r="L35" i="42"/>
  <c r="M31" i="42"/>
  <c r="M35" i="42" s="1"/>
  <c r="H66" i="47"/>
  <c r="L41" i="109"/>
  <c r="F11" i="109"/>
  <c r="L44" i="109"/>
  <c r="L42" i="109"/>
  <c r="M42" i="109" s="1"/>
  <c r="L43" i="109"/>
  <c r="M43" i="109" s="1"/>
  <c r="O43" i="109" s="1"/>
  <c r="W80" i="110"/>
  <c r="X80" i="110" s="1"/>
  <c r="E80" i="110"/>
  <c r="G80" i="110" s="1"/>
  <c r="W76" i="110"/>
  <c r="X76" i="110" s="1"/>
  <c r="E76" i="110"/>
  <c r="G76" i="110" s="1"/>
  <c r="Q89" i="110"/>
  <c r="P89" i="110"/>
  <c r="E58" i="110"/>
  <c r="W66" i="84"/>
  <c r="X66" i="84" s="1"/>
  <c r="E66" i="84"/>
  <c r="G66" i="84" s="1"/>
  <c r="H66" i="84" s="1"/>
  <c r="J43" i="81"/>
  <c r="L43" i="81" s="1"/>
  <c r="M43" i="81" s="1"/>
  <c r="J44" i="81"/>
  <c r="L44" i="81" s="1"/>
  <c r="X72" i="58"/>
  <c r="E100" i="49"/>
  <c r="E71" i="49"/>
  <c r="E40" i="49"/>
  <c r="F55" i="49"/>
  <c r="S55" i="49" s="1"/>
  <c r="E15" i="49"/>
  <c r="K15" i="49" s="1"/>
  <c r="E39" i="49"/>
  <c r="E111" i="49"/>
  <c r="E16" i="49"/>
  <c r="E19" i="49"/>
  <c r="F47" i="49"/>
  <c r="F100" i="49"/>
  <c r="S100" i="49" s="1"/>
  <c r="E72" i="49"/>
  <c r="E28" i="49"/>
  <c r="F72" i="49"/>
  <c r="S72" i="49" s="1"/>
  <c r="E92" i="49"/>
  <c r="K92" i="49" s="1"/>
  <c r="F25" i="49"/>
  <c r="S25" i="49" s="1"/>
  <c r="F41" i="49"/>
  <c r="E45" i="49"/>
  <c r="F49" i="49"/>
  <c r="S49" i="49" s="1"/>
  <c r="E50" i="49"/>
  <c r="K50" i="49" s="1"/>
  <c r="E53" i="49"/>
  <c r="E54" i="49"/>
  <c r="F54" i="49"/>
  <c r="S54" i="49" s="1"/>
  <c r="F58" i="49"/>
  <c r="S58" i="49" s="1"/>
  <c r="E65" i="49"/>
  <c r="E70" i="49"/>
  <c r="G70" i="49" s="1"/>
  <c r="F81" i="49"/>
  <c r="S81" i="49" s="1"/>
  <c r="E82" i="49"/>
  <c r="K82" i="49" s="1"/>
  <c r="F82" i="49"/>
  <c r="S82" i="49" s="1"/>
  <c r="M35" i="13"/>
  <c r="M18" i="13"/>
  <c r="M18" i="21"/>
  <c r="M35" i="21"/>
  <c r="F99" i="49"/>
  <c r="S99" i="49" s="1"/>
  <c r="F66" i="49"/>
  <c r="S66" i="49" s="1"/>
  <c r="F103" i="49"/>
  <c r="S103" i="49" s="1"/>
  <c r="E87" i="49"/>
  <c r="E48" i="49"/>
  <c r="G48" i="49" s="1"/>
  <c r="E31" i="49"/>
  <c r="E20" i="49"/>
  <c r="E12" i="49"/>
  <c r="E10" i="49"/>
  <c r="E49" i="49"/>
  <c r="E60" i="49"/>
  <c r="K60" i="49" s="1"/>
  <c r="F70" i="49"/>
  <c r="S70" i="49" s="1"/>
  <c r="E33" i="49"/>
  <c r="K33" i="49" s="1"/>
  <c r="E107" i="49"/>
  <c r="E80" i="49"/>
  <c r="F77" i="49"/>
  <c r="S77" i="49" s="1"/>
  <c r="F64" i="49"/>
  <c r="F111" i="49"/>
  <c r="S111" i="49" s="1"/>
  <c r="F102" i="49"/>
  <c r="F91" i="49"/>
  <c r="F22" i="49"/>
  <c r="S22" i="49" s="1"/>
  <c r="E90" i="49"/>
  <c r="F83" i="49"/>
  <c r="S83" i="49" s="1"/>
  <c r="F57" i="49"/>
  <c r="S57" i="49" s="1"/>
  <c r="E77" i="49"/>
  <c r="E66" i="49"/>
  <c r="F18" i="49"/>
  <c r="S18" i="49" s="1"/>
  <c r="E22" i="49"/>
  <c r="F26" i="49"/>
  <c r="S26" i="49" s="1"/>
  <c r="E9" i="49"/>
  <c r="K9" i="49" s="1"/>
  <c r="F61" i="49"/>
  <c r="F114" i="49"/>
  <c r="F74" i="49"/>
  <c r="X62" i="75"/>
  <c r="X78" i="54"/>
  <c r="X50" i="69"/>
  <c r="X49" i="71"/>
  <c r="Y49" i="71"/>
  <c r="Y50" i="71" s="1"/>
  <c r="Y51" i="71" s="1"/>
  <c r="Y52" i="71" s="1"/>
  <c r="E59" i="49"/>
  <c r="F39" i="49"/>
  <c r="E109" i="49"/>
  <c r="K109" i="49" s="1"/>
  <c r="G53" i="69"/>
  <c r="F112" i="49"/>
  <c r="S112" i="49" s="1"/>
  <c r="E75" i="49"/>
  <c r="K75" i="49" s="1"/>
  <c r="F60" i="49"/>
  <c r="S60" i="49" s="1"/>
  <c r="F48" i="49"/>
  <c r="S48" i="49" s="1"/>
  <c r="E24" i="49"/>
  <c r="F10" i="49"/>
  <c r="S10" i="49" s="1"/>
  <c r="E108" i="49"/>
  <c r="K108" i="49" s="1"/>
  <c r="F20" i="49"/>
  <c r="S20" i="49" s="1"/>
  <c r="F45" i="49"/>
  <c r="S45" i="49" s="1"/>
  <c r="E62" i="49"/>
  <c r="K62" i="49" s="1"/>
  <c r="F85" i="49"/>
  <c r="E97" i="49"/>
  <c r="E27" i="49"/>
  <c r="K27" i="49" s="1"/>
  <c r="F19" i="49"/>
  <c r="S19" i="49" s="1"/>
  <c r="F105" i="49"/>
  <c r="G105" i="49" s="1"/>
  <c r="E103" i="49"/>
  <c r="K103" i="49" s="1"/>
  <c r="E46" i="49"/>
  <c r="K46" i="49" s="1"/>
  <c r="F42" i="49"/>
  <c r="E18" i="49"/>
  <c r="K18" i="49" s="1"/>
  <c r="F71" i="49"/>
  <c r="S71" i="49" s="1"/>
  <c r="E112" i="49"/>
  <c r="K112" i="49" s="1"/>
  <c r="E101" i="49"/>
  <c r="F97" i="49"/>
  <c r="S97" i="49" s="1"/>
  <c r="F89" i="49"/>
  <c r="G89" i="49" s="1"/>
  <c r="F13" i="49"/>
  <c r="S13" i="49" s="1"/>
  <c r="E96" i="49"/>
  <c r="K96" i="49" s="1"/>
  <c r="E113" i="49"/>
  <c r="E11" i="49"/>
  <c r="F38" i="49"/>
  <c r="F29" i="49"/>
  <c r="S29" i="49" s="1"/>
  <c r="E81" i="49"/>
  <c r="F88" i="49"/>
  <c r="G88" i="49" s="1"/>
  <c r="E74" i="49"/>
  <c r="F21" i="49"/>
  <c r="E51" i="49"/>
  <c r="X57" i="66"/>
  <c r="G61" i="71"/>
  <c r="X55" i="57"/>
  <c r="X78" i="68"/>
  <c r="X75" i="73"/>
  <c r="U51" i="70"/>
  <c r="V80" i="70"/>
  <c r="P80" i="70"/>
  <c r="W69" i="70"/>
  <c r="X69" i="70" s="1"/>
  <c r="U74" i="70"/>
  <c r="X74" i="70"/>
  <c r="E59" i="71"/>
  <c r="G59" i="71" s="1"/>
  <c r="W59" i="71"/>
  <c r="X59" i="71" s="1"/>
  <c r="G77" i="71"/>
  <c r="W50" i="72"/>
  <c r="Q80" i="72"/>
  <c r="X66" i="61"/>
  <c r="X54" i="56"/>
  <c r="X72" i="73"/>
  <c r="X56" i="73"/>
  <c r="X55" i="75"/>
  <c r="X68" i="73"/>
  <c r="X52" i="73"/>
  <c r="E49" i="50"/>
  <c r="G49" i="50" s="1"/>
  <c r="U62" i="50"/>
  <c r="E65" i="50"/>
  <c r="H44" i="50"/>
  <c r="I41" i="50" s="1"/>
  <c r="K41" i="50" s="1"/>
  <c r="U77" i="63"/>
  <c r="X77" i="63"/>
  <c r="E53" i="67"/>
  <c r="W53" i="67"/>
  <c r="X53" i="67" s="1"/>
  <c r="X71" i="65"/>
  <c r="X64" i="73"/>
  <c r="M18" i="26"/>
  <c r="M35" i="26"/>
  <c r="P80" i="57"/>
  <c r="X64" i="69"/>
  <c r="X61" i="65"/>
  <c r="X54" i="69"/>
  <c r="X78" i="69"/>
  <c r="X73" i="75"/>
  <c r="X58" i="68"/>
  <c r="I45" i="41"/>
  <c r="E52" i="50"/>
  <c r="G52" i="50" s="1"/>
  <c r="E55" i="50"/>
  <c r="G55" i="50" s="1"/>
  <c r="Q79" i="50"/>
  <c r="E71" i="50"/>
  <c r="G71" i="50" s="1"/>
  <c r="W72" i="50"/>
  <c r="E75" i="50"/>
  <c r="G75" i="50" s="1"/>
  <c r="W71" i="51"/>
  <c r="X71" i="51" s="1"/>
  <c r="P80" i="51"/>
  <c r="W68" i="52"/>
  <c r="X68" i="52" s="1"/>
  <c r="E61" i="53"/>
  <c r="I45" i="53"/>
  <c r="J44" i="53" s="1"/>
  <c r="W51" i="55"/>
  <c r="X51" i="55" s="1"/>
  <c r="E61" i="55"/>
  <c r="G61" i="55" s="1"/>
  <c r="W63" i="55"/>
  <c r="X63" i="55" s="1"/>
  <c r="W73" i="55"/>
  <c r="X73" i="55" s="1"/>
  <c r="E63" i="56"/>
  <c r="W50" i="57"/>
  <c r="X50" i="57" s="1"/>
  <c r="W54" i="57"/>
  <c r="X54" i="57" s="1"/>
  <c r="E55" i="57"/>
  <c r="E67" i="58"/>
  <c r="E60" i="59"/>
  <c r="G60" i="59" s="1"/>
  <c r="H60" i="59" s="1"/>
  <c r="W63" i="62"/>
  <c r="X63" i="62" s="1"/>
  <c r="W72" i="62"/>
  <c r="X72" i="62" s="1"/>
  <c r="E54" i="84"/>
  <c r="G54" i="84" s="1"/>
  <c r="W54" i="84"/>
  <c r="X54" i="84" s="1"/>
  <c r="E69" i="50"/>
  <c r="G69" i="50" s="1"/>
  <c r="W70" i="51"/>
  <c r="X70" i="51" s="1"/>
  <c r="W57" i="52"/>
  <c r="X57" i="52" s="1"/>
  <c r="W55" i="52"/>
  <c r="E63" i="52"/>
  <c r="W73" i="54"/>
  <c r="X73" i="54" s="1"/>
  <c r="E60" i="55"/>
  <c r="W49" i="56"/>
  <c r="X49" i="56" s="1"/>
  <c r="Y49" i="56" s="1"/>
  <c r="E51" i="56"/>
  <c r="E64" i="56"/>
  <c r="E79" i="56"/>
  <c r="E63" i="57"/>
  <c r="W68" i="58"/>
  <c r="X68" i="58" s="1"/>
  <c r="E49" i="59"/>
  <c r="W61" i="59"/>
  <c r="X61" i="59" s="1"/>
  <c r="W51" i="62"/>
  <c r="X51" i="62" s="1"/>
  <c r="E55" i="62"/>
  <c r="G55" i="62" s="1"/>
  <c r="H55" i="62" s="1"/>
  <c r="W72" i="64"/>
  <c r="X72" i="64" s="1"/>
  <c r="E75" i="68"/>
  <c r="W58" i="70"/>
  <c r="X58" i="70" s="1"/>
  <c r="W50" i="84"/>
  <c r="X50" i="84" s="1"/>
  <c r="E50" i="84"/>
  <c r="G50" i="84" s="1"/>
  <c r="I45" i="38"/>
  <c r="E54" i="53"/>
  <c r="W70" i="53"/>
  <c r="X70" i="53" s="1"/>
  <c r="W68" i="55"/>
  <c r="X68" i="55" s="1"/>
  <c r="E62" i="57"/>
  <c r="E75" i="58"/>
  <c r="E59" i="60"/>
  <c r="E65" i="60"/>
  <c r="E66" i="60"/>
  <c r="G66" i="60" s="1"/>
  <c r="E67" i="61"/>
  <c r="G67" i="61" s="1"/>
  <c r="H67" i="61" s="1"/>
  <c r="E71" i="61"/>
  <c r="G71" i="61" s="1"/>
  <c r="H71" i="61" s="1"/>
  <c r="W73" i="61"/>
  <c r="X73" i="61" s="1"/>
  <c r="W74" i="61"/>
  <c r="X74" i="61" s="1"/>
  <c r="W76" i="61"/>
  <c r="X76" i="61" s="1"/>
  <c r="E52" i="63"/>
  <c r="I45" i="105"/>
  <c r="J43" i="105" s="1"/>
  <c r="L43" i="105" s="1"/>
  <c r="M43" i="105" s="1"/>
  <c r="W72" i="111"/>
  <c r="X72" i="111" s="1"/>
  <c r="E72" i="111"/>
  <c r="E51" i="84"/>
  <c r="G51" i="84" s="1"/>
  <c r="H51" i="84" s="1"/>
  <c r="W51" i="84"/>
  <c r="X51" i="84" s="1"/>
  <c r="W70" i="91"/>
  <c r="X70" i="91" s="1"/>
  <c r="M32" i="132"/>
  <c r="N32" i="132" s="1"/>
  <c r="M31" i="132"/>
  <c r="N31" i="132" s="1"/>
  <c r="J15" i="132"/>
  <c r="K15" i="132" s="1"/>
  <c r="V31" i="124"/>
  <c r="V32" i="124" s="1"/>
  <c r="V33" i="124" s="1"/>
  <c r="W75" i="107"/>
  <c r="X75" i="107" s="1"/>
  <c r="W67" i="107"/>
  <c r="X67" i="107" s="1"/>
  <c r="W51" i="107"/>
  <c r="X51" i="107" s="1"/>
  <c r="W60" i="106"/>
  <c r="X60" i="106" s="1"/>
  <c r="W78" i="105"/>
  <c r="X78" i="105" s="1"/>
  <c r="W74" i="105"/>
  <c r="X74" i="105" s="1"/>
  <c r="W70" i="105"/>
  <c r="X70" i="105" s="1"/>
  <c r="W66" i="105"/>
  <c r="X66" i="105" s="1"/>
  <c r="W62" i="105"/>
  <c r="X62" i="105" s="1"/>
  <c r="W58" i="105"/>
  <c r="X58" i="105" s="1"/>
  <c r="W54" i="105"/>
  <c r="X54" i="105" s="1"/>
  <c r="W50" i="105"/>
  <c r="X50" i="105" s="1"/>
  <c r="W79" i="84"/>
  <c r="X79" i="84" s="1"/>
  <c r="E76" i="84"/>
  <c r="G76" i="84" s="1"/>
  <c r="W61" i="82"/>
  <c r="X61" i="82" s="1"/>
  <c r="W87" i="111"/>
  <c r="X87" i="111" s="1"/>
  <c r="W83" i="111"/>
  <c r="X83" i="111" s="1"/>
  <c r="W79" i="111"/>
  <c r="X79" i="111" s="1"/>
  <c r="W75" i="111"/>
  <c r="X75" i="111" s="1"/>
  <c r="W71" i="111"/>
  <c r="X71" i="111" s="1"/>
  <c r="W67" i="111"/>
  <c r="X67" i="111" s="1"/>
  <c r="W63" i="111"/>
  <c r="X63" i="111" s="1"/>
  <c r="W75" i="110"/>
  <c r="X75" i="110" s="1"/>
  <c r="W71" i="110"/>
  <c r="X71" i="110" s="1"/>
  <c r="W67" i="110"/>
  <c r="X67" i="110" s="1"/>
  <c r="W63" i="110"/>
  <c r="W86" i="91"/>
  <c r="X86" i="91" s="1"/>
  <c r="W75" i="84"/>
  <c r="X75" i="84" s="1"/>
  <c r="E75" i="84"/>
  <c r="G75" i="84" s="1"/>
  <c r="E61" i="84"/>
  <c r="G61" i="84" s="1"/>
  <c r="E60" i="84"/>
  <c r="G60" i="84" s="1"/>
  <c r="E57" i="84"/>
  <c r="G57" i="84" s="1"/>
  <c r="H57" i="84" s="1"/>
  <c r="E53" i="84"/>
  <c r="AA91" i="133"/>
  <c r="AB91" i="133" s="1"/>
  <c r="AA99" i="133"/>
  <c r="AB99" i="133" s="1"/>
  <c r="W85" i="111"/>
  <c r="X85" i="111" s="1"/>
  <c r="W81" i="111"/>
  <c r="X81" i="111" s="1"/>
  <c r="W77" i="111"/>
  <c r="X77" i="111" s="1"/>
  <c r="W73" i="111"/>
  <c r="X73" i="111" s="1"/>
  <c r="W69" i="111"/>
  <c r="X69" i="111" s="1"/>
  <c r="W65" i="111"/>
  <c r="X65" i="111" s="1"/>
  <c r="W78" i="91"/>
  <c r="X78" i="91" s="1"/>
  <c r="W57" i="109"/>
  <c r="X57" i="109" s="1"/>
  <c r="W49" i="109"/>
  <c r="W50" i="107"/>
  <c r="X50" i="107" s="1"/>
  <c r="Y50" i="107" s="1"/>
  <c r="W73" i="106"/>
  <c r="X73" i="106" s="1"/>
  <c r="W69" i="106"/>
  <c r="X69" i="106" s="1"/>
  <c r="W65" i="106"/>
  <c r="X65" i="106" s="1"/>
  <c r="W76" i="105"/>
  <c r="X76" i="105" s="1"/>
  <c r="W72" i="105"/>
  <c r="X72" i="105" s="1"/>
  <c r="W68" i="105"/>
  <c r="X68" i="105" s="1"/>
  <c r="W64" i="105"/>
  <c r="X64" i="105" s="1"/>
  <c r="W60" i="105"/>
  <c r="X60" i="105" s="1"/>
  <c r="W56" i="105"/>
  <c r="X56" i="105" s="1"/>
  <c r="W52" i="105"/>
  <c r="X52" i="105" s="1"/>
  <c r="E56" i="84"/>
  <c r="E52" i="84"/>
  <c r="G52" i="84" s="1"/>
  <c r="H52" i="84"/>
  <c r="W68" i="82"/>
  <c r="W64" i="82"/>
  <c r="X64" i="82" s="1"/>
  <c r="W57" i="82"/>
  <c r="X57" i="82" s="1"/>
  <c r="W51" i="83"/>
  <c r="X51" i="83" s="1"/>
  <c r="Y51" i="83" s="1"/>
  <c r="Y52" i="83" s="1"/>
  <c r="Y53" i="83" s="1"/>
  <c r="Y54" i="83" s="1"/>
  <c r="Y55" i="83" s="1"/>
  <c r="Y56" i="83" s="1"/>
  <c r="Y57" i="83" s="1"/>
  <c r="W56" i="81"/>
  <c r="X56" i="81" s="1"/>
  <c r="W77" i="80"/>
  <c r="X77" i="80" s="1"/>
  <c r="W65" i="80"/>
  <c r="X65" i="80" s="1"/>
  <c r="V80" i="80"/>
  <c r="T57" i="47" s="1"/>
  <c r="W57" i="77"/>
  <c r="W53" i="77"/>
  <c r="X53" i="77" s="1"/>
  <c r="W49" i="77"/>
  <c r="X49" i="77" s="1"/>
  <c r="Y49" i="77" s="1"/>
  <c r="Y50" i="77" s="1"/>
  <c r="Y51" i="77" s="1"/>
  <c r="Y52" i="77" s="1"/>
  <c r="Y53" i="77" s="1"/>
  <c r="Y54" i="77" s="1"/>
  <c r="Y55" i="77" s="1"/>
  <c r="Y56" i="77" s="1"/>
  <c r="W67" i="36"/>
  <c r="X67" i="36" s="1"/>
  <c r="W78" i="37"/>
  <c r="X78" i="37" s="1"/>
  <c r="W62" i="37"/>
  <c r="X62" i="37" s="1"/>
  <c r="W79" i="38"/>
  <c r="X79" i="38" s="1"/>
  <c r="W75" i="38"/>
  <c r="X75" i="38" s="1"/>
  <c r="W71" i="38"/>
  <c r="X71" i="38" s="1"/>
  <c r="W67" i="38"/>
  <c r="X67" i="38" s="1"/>
  <c r="W63" i="38"/>
  <c r="X63" i="38" s="1"/>
  <c r="AC68" i="133"/>
  <c r="AC71" i="133" s="1"/>
  <c r="AC68" i="134"/>
  <c r="AC69" i="139"/>
  <c r="X31" i="132"/>
  <c r="Y31" i="132" s="1"/>
  <c r="AA76" i="124"/>
  <c r="AB76" i="124" s="1"/>
  <c r="AA90" i="133"/>
  <c r="AB90" i="133" s="1"/>
  <c r="E86" i="112"/>
  <c r="E77" i="112"/>
  <c r="G77" i="112" s="1"/>
  <c r="W72" i="112"/>
  <c r="E69" i="112"/>
  <c r="E68" i="112"/>
  <c r="E65" i="112"/>
  <c r="W86" i="111"/>
  <c r="X86" i="111" s="1"/>
  <c r="W82" i="111"/>
  <c r="X82" i="111" s="1"/>
  <c r="W78" i="111"/>
  <c r="X78" i="111" s="1"/>
  <c r="W74" i="111"/>
  <c r="X74" i="111" s="1"/>
  <c r="W70" i="111"/>
  <c r="X70" i="111" s="1"/>
  <c r="W66" i="111"/>
  <c r="X66" i="111" s="1"/>
  <c r="W79" i="109"/>
  <c r="X79" i="109" s="1"/>
  <c r="W75" i="109"/>
  <c r="X75" i="109" s="1"/>
  <c r="W71" i="109"/>
  <c r="X71" i="109" s="1"/>
  <c r="W77" i="105"/>
  <c r="X77" i="105" s="1"/>
  <c r="W73" i="105"/>
  <c r="X73" i="105" s="1"/>
  <c r="W69" i="105"/>
  <c r="X69" i="105" s="1"/>
  <c r="W65" i="105"/>
  <c r="X65" i="105" s="1"/>
  <c r="W61" i="105"/>
  <c r="X61" i="105" s="1"/>
  <c r="W57" i="105"/>
  <c r="X57" i="105" s="1"/>
  <c r="W53" i="105"/>
  <c r="X53" i="105" s="1"/>
  <c r="E78" i="84"/>
  <c r="G78" i="84" s="1"/>
  <c r="E77" i="84"/>
  <c r="G77" i="84" s="1"/>
  <c r="E74" i="84"/>
  <c r="E72" i="84"/>
  <c r="G72" i="84" s="1"/>
  <c r="Q80" i="84"/>
  <c r="P80" i="84"/>
  <c r="W69" i="82"/>
  <c r="X69" i="82" s="1"/>
  <c r="W73" i="45"/>
  <c r="X73" i="45" s="1"/>
  <c r="W61" i="45"/>
  <c r="X61" i="45" s="1"/>
  <c r="W76" i="38"/>
  <c r="X76" i="38" s="1"/>
  <c r="W72" i="38"/>
  <c r="X72" i="38" s="1"/>
  <c r="W68" i="38"/>
  <c r="X68" i="38" s="1"/>
  <c r="W64" i="38"/>
  <c r="X64" i="38" s="1"/>
  <c r="W60" i="38"/>
  <c r="X60" i="38" s="1"/>
  <c r="W73" i="76"/>
  <c r="X73" i="76" s="1"/>
  <c r="W76" i="45"/>
  <c r="X76" i="45" s="1"/>
  <c r="W56" i="45"/>
  <c r="X56" i="45" s="1"/>
  <c r="W52" i="45"/>
  <c r="X52" i="45" s="1"/>
  <c r="W52" i="44"/>
  <c r="X52" i="44"/>
  <c r="W49" i="44"/>
  <c r="X49" i="44" s="1"/>
  <c r="W72" i="43"/>
  <c r="X72" i="43" s="1"/>
  <c r="W64" i="43"/>
  <c r="X64" i="43" s="1"/>
  <c r="W60" i="43"/>
  <c r="X60" i="43" s="1"/>
  <c r="W56" i="43"/>
  <c r="X56" i="43" s="1"/>
  <c r="W49" i="43"/>
  <c r="X49" i="43" s="1"/>
  <c r="W75" i="42"/>
  <c r="X75" i="42" s="1"/>
  <c r="W67" i="42"/>
  <c r="X67" i="42" s="1"/>
  <c r="W55" i="42"/>
  <c r="X55" i="42" s="1"/>
  <c r="W66" i="34"/>
  <c r="X66" i="34" s="1"/>
  <c r="W77" i="35"/>
  <c r="X77" i="35" s="1"/>
  <c r="W75" i="36"/>
  <c r="X75" i="36" s="1"/>
  <c r="W71" i="36"/>
  <c r="X71" i="36" s="1"/>
  <c r="W70" i="37"/>
  <c r="X70" i="37" s="1"/>
  <c r="W53" i="38"/>
  <c r="X53" i="38" s="1"/>
  <c r="W77" i="39"/>
  <c r="X77" i="39" s="1"/>
  <c r="W68" i="39"/>
  <c r="X68" i="39" s="1"/>
  <c r="W61" i="39"/>
  <c r="X61" i="39" s="1"/>
  <c r="W52" i="39"/>
  <c r="E75" i="40"/>
  <c r="W73" i="40"/>
  <c r="X73" i="40" s="1"/>
  <c r="E71" i="40"/>
  <c r="E58" i="40"/>
  <c r="E54" i="40"/>
  <c r="W53" i="40"/>
  <c r="X53" i="40" s="1"/>
  <c r="M41" i="132"/>
  <c r="N41" i="132" s="1"/>
  <c r="W71" i="41"/>
  <c r="X71" i="41" s="1"/>
  <c r="AA99" i="139"/>
  <c r="AB99" i="139" s="1"/>
  <c r="AA91" i="139"/>
  <c r="AB91" i="139"/>
  <c r="AA86" i="139"/>
  <c r="AB86" i="139" s="1"/>
  <c r="AE91" i="140"/>
  <c r="AF91" i="140" s="1"/>
  <c r="AE90" i="140"/>
  <c r="AF90" i="140" s="1"/>
  <c r="AE73" i="140"/>
  <c r="AF73" i="140" s="1"/>
  <c r="AA70" i="123"/>
  <c r="AB70" i="123" s="1"/>
  <c r="Z62" i="47"/>
  <c r="P62" i="47"/>
  <c r="W57" i="39"/>
  <c r="X57" i="39" s="1"/>
  <c r="W53" i="39"/>
  <c r="X53" i="39" s="1"/>
  <c r="M43" i="133"/>
  <c r="N43" i="133" s="1"/>
  <c r="N44" i="133" s="1"/>
  <c r="X43" i="133"/>
  <c r="Y43" i="133" s="1"/>
  <c r="AB86" i="123"/>
  <c r="W78" i="76"/>
  <c r="X78" i="76" s="1"/>
  <c r="W69" i="76"/>
  <c r="X69" i="76" s="1"/>
  <c r="W61" i="76"/>
  <c r="X61" i="76" s="1"/>
  <c r="W50" i="76"/>
  <c r="X50" i="76" s="1"/>
  <c r="W60" i="45"/>
  <c r="X60" i="45" s="1"/>
  <c r="W68" i="44"/>
  <c r="X68" i="44" s="1"/>
  <c r="W64" i="44"/>
  <c r="X64" i="44" s="1"/>
  <c r="W51" i="44"/>
  <c r="W75" i="43"/>
  <c r="X75" i="43" s="1"/>
  <c r="W67" i="43"/>
  <c r="X67" i="43" s="1"/>
  <c r="W51" i="43"/>
  <c r="X51" i="43" s="1"/>
  <c r="W70" i="34"/>
  <c r="X70" i="34" s="1"/>
  <c r="W50" i="34"/>
  <c r="X50" i="34" s="1"/>
  <c r="W75" i="35"/>
  <c r="X75" i="35" s="1"/>
  <c r="W71" i="35"/>
  <c r="X71" i="35" s="1"/>
  <c r="W67" i="35"/>
  <c r="X67" i="35" s="1"/>
  <c r="W78" i="41"/>
  <c r="X78" i="41" s="1"/>
  <c r="W62" i="41"/>
  <c r="X62" i="41" s="1"/>
  <c r="AA96" i="139"/>
  <c r="AB96" i="139" s="1"/>
  <c r="AA80" i="139"/>
  <c r="AB80" i="139" s="1"/>
  <c r="AE98" i="140"/>
  <c r="AA94" i="132"/>
  <c r="AB94" i="132" s="1"/>
  <c r="AC94" i="132" s="1"/>
  <c r="AA91" i="123"/>
  <c r="AB91" i="123" s="1"/>
  <c r="AA87" i="123"/>
  <c r="AB87" i="123" s="1"/>
  <c r="AA75" i="123"/>
  <c r="AB75" i="123" s="1"/>
  <c r="N45" i="47"/>
  <c r="AA74" i="139"/>
  <c r="AB74" i="139" s="1"/>
  <c r="E103" i="139"/>
  <c r="E107" i="139" s="1"/>
  <c r="F107" i="139" s="1"/>
  <c r="I16" i="139"/>
  <c r="AA79" i="139"/>
  <c r="AB79" i="139" s="1"/>
  <c r="V103" i="139"/>
  <c r="H100" i="139"/>
  <c r="I100" i="139" s="1"/>
  <c r="AA81" i="139"/>
  <c r="AB81" i="139" s="1"/>
  <c r="H81" i="139"/>
  <c r="I81" i="139" s="1"/>
  <c r="Q103" i="139"/>
  <c r="AB89" i="139"/>
  <c r="L44" i="139"/>
  <c r="AA76" i="139"/>
  <c r="AB76" i="139" s="1"/>
  <c r="D94" i="139"/>
  <c r="D96" i="139"/>
  <c r="AB72" i="139"/>
  <c r="H75" i="139"/>
  <c r="H72" i="139"/>
  <c r="I72" i="139" s="1"/>
  <c r="H96" i="139"/>
  <c r="H86" i="139"/>
  <c r="D83" i="139"/>
  <c r="H91" i="139"/>
  <c r="H95" i="139"/>
  <c r="H93" i="139"/>
  <c r="H82" i="139"/>
  <c r="Y89" i="139"/>
  <c r="D99" i="139"/>
  <c r="D95" i="139"/>
  <c r="H84" i="139"/>
  <c r="I84" i="139" s="1"/>
  <c r="H92" i="139"/>
  <c r="H83" i="139"/>
  <c r="H78" i="139"/>
  <c r="I78" i="139" s="1"/>
  <c r="Z103" i="139"/>
  <c r="S106" i="139"/>
  <c r="AA90" i="139"/>
  <c r="AB90" i="139" s="1"/>
  <c r="T77" i="47"/>
  <c r="V77" i="47" s="1"/>
  <c r="AA78" i="139"/>
  <c r="AB78" i="139" s="1"/>
  <c r="D86" i="139"/>
  <c r="H97" i="139"/>
  <c r="I97" i="139" s="1"/>
  <c r="H89" i="139"/>
  <c r="H80" i="139"/>
  <c r="H74" i="139"/>
  <c r="H99" i="139"/>
  <c r="H88" i="139"/>
  <c r="H79" i="139"/>
  <c r="H77" i="139"/>
  <c r="AA87" i="139"/>
  <c r="AB87" i="139" s="1"/>
  <c r="D88" i="139"/>
  <c r="H85" i="139"/>
  <c r="H76" i="139"/>
  <c r="H98" i="139"/>
  <c r="AB97" i="139"/>
  <c r="H90" i="139"/>
  <c r="AB84" i="139"/>
  <c r="H87" i="139"/>
  <c r="H101" i="139"/>
  <c r="I101" i="139" s="1"/>
  <c r="H73" i="139"/>
  <c r="T103" i="139"/>
  <c r="AA94" i="139"/>
  <c r="AB94" i="139" s="1"/>
  <c r="H102" i="138"/>
  <c r="H100" i="138"/>
  <c r="I58" i="47"/>
  <c r="I56" i="47"/>
  <c r="I61" i="47"/>
  <c r="X62" i="47"/>
  <c r="I59" i="47"/>
  <c r="R102" i="132"/>
  <c r="H96" i="132"/>
  <c r="H80" i="132"/>
  <c r="H99" i="132"/>
  <c r="H82" i="132"/>
  <c r="H73" i="132"/>
  <c r="AA88" i="132"/>
  <c r="AB88" i="132" s="1"/>
  <c r="AC88" i="132" s="1"/>
  <c r="H84" i="132"/>
  <c r="H94" i="132"/>
  <c r="H77" i="132"/>
  <c r="H101" i="132"/>
  <c r="AA93" i="132"/>
  <c r="AB93" i="132" s="1"/>
  <c r="AC93" i="132" s="1"/>
  <c r="AA85" i="132"/>
  <c r="AB85" i="132" s="1"/>
  <c r="AC85" i="132" s="1"/>
  <c r="H88" i="132"/>
  <c r="H89" i="132"/>
  <c r="H71" i="132"/>
  <c r="H95" i="132"/>
  <c r="AA98" i="132"/>
  <c r="AB98" i="132" s="1"/>
  <c r="AC98" i="132" s="1"/>
  <c r="AA79" i="132"/>
  <c r="AB79" i="132" s="1"/>
  <c r="AC79" i="132" s="1"/>
  <c r="AA72" i="132"/>
  <c r="H92" i="132"/>
  <c r="H83" i="132"/>
  <c r="H97" i="132"/>
  <c r="H90" i="132"/>
  <c r="H100" i="132"/>
  <c r="H78" i="132"/>
  <c r="H91" i="132"/>
  <c r="H85" i="132"/>
  <c r="X43" i="132"/>
  <c r="Y43" i="132" s="1"/>
  <c r="AA100" i="132"/>
  <c r="AB100" i="132" s="1"/>
  <c r="AC100" i="132" s="1"/>
  <c r="AA81" i="132"/>
  <c r="AB81" i="132" s="1"/>
  <c r="AC81" i="132" s="1"/>
  <c r="V30" i="132"/>
  <c r="H22" i="132"/>
  <c r="H98" i="132"/>
  <c r="H86" i="132"/>
  <c r="H79" i="132"/>
  <c r="H72" i="132"/>
  <c r="H93" i="132"/>
  <c r="H81" i="132"/>
  <c r="H74" i="132"/>
  <c r="AA86" i="132"/>
  <c r="AB86" i="132" s="1"/>
  <c r="AC86" i="132" s="1"/>
  <c r="H76" i="132"/>
  <c r="H87" i="132"/>
  <c r="H75" i="132"/>
  <c r="AA91" i="132"/>
  <c r="AB91" i="132" s="1"/>
  <c r="AC91" i="132" s="1"/>
  <c r="J74" i="47"/>
  <c r="D71" i="133"/>
  <c r="D87" i="133"/>
  <c r="I87" i="133" s="1"/>
  <c r="D82" i="133"/>
  <c r="I82" i="133" s="1"/>
  <c r="D98" i="133"/>
  <c r="I98" i="133" s="1"/>
  <c r="D85" i="133"/>
  <c r="I85" i="133" s="1"/>
  <c r="D89" i="133"/>
  <c r="I89" i="133" s="1"/>
  <c r="D79" i="133"/>
  <c r="D95" i="133"/>
  <c r="I95" i="133" s="1"/>
  <c r="D90" i="133"/>
  <c r="I90" i="133" s="1"/>
  <c r="D81" i="133"/>
  <c r="I81" i="133" s="1"/>
  <c r="D101" i="133"/>
  <c r="I101" i="133" s="1"/>
  <c r="D77" i="133"/>
  <c r="D62" i="37"/>
  <c r="G67" i="43"/>
  <c r="H67" i="43" s="1"/>
  <c r="D67" i="37"/>
  <c r="D50" i="43"/>
  <c r="D54" i="43"/>
  <c r="G75" i="37"/>
  <c r="G67" i="37"/>
  <c r="H67" i="37" s="1"/>
  <c r="G78" i="37"/>
  <c r="G64" i="43"/>
  <c r="H64" i="43" s="1"/>
  <c r="D54" i="37"/>
  <c r="D77" i="37"/>
  <c r="D60" i="37"/>
  <c r="H60" i="37" s="1"/>
  <c r="D76" i="139"/>
  <c r="D89" i="139"/>
  <c r="D91" i="139"/>
  <c r="D75" i="139"/>
  <c r="D97" i="139"/>
  <c r="D74" i="139"/>
  <c r="D77" i="139"/>
  <c r="D85" i="139"/>
  <c r="D92" i="139"/>
  <c r="D87" i="139"/>
  <c r="D80" i="139"/>
  <c r="D93" i="139"/>
  <c r="I93" i="139" s="1"/>
  <c r="D82" i="139"/>
  <c r="D90" i="139"/>
  <c r="D61" i="104"/>
  <c r="H61" i="104" s="1"/>
  <c r="D51" i="104"/>
  <c r="H51" i="104" s="1"/>
  <c r="D59" i="104"/>
  <c r="D65" i="104"/>
  <c r="D50" i="104"/>
  <c r="D63" i="104"/>
  <c r="H63" i="104" s="1"/>
  <c r="D52" i="104"/>
  <c r="D67" i="104"/>
  <c r="H67" i="104" s="1"/>
  <c r="D58" i="104"/>
  <c r="H58" i="104" s="1"/>
  <c r="D70" i="104"/>
  <c r="H70" i="104" s="1"/>
  <c r="D74" i="104"/>
  <c r="H74" i="104" s="1"/>
  <c r="D54" i="104"/>
  <c r="H54" i="104" s="1"/>
  <c r="D73" i="104"/>
  <c r="H73" i="104" s="1"/>
  <c r="D62" i="104"/>
  <c r="H62" i="104" s="1"/>
  <c r="D71" i="104"/>
  <c r="H71" i="104" s="1"/>
  <c r="D64" i="104"/>
  <c r="D68" i="104"/>
  <c r="G68" i="43"/>
  <c r="D72" i="37"/>
  <c r="H72" i="37" s="1"/>
  <c r="D74" i="37"/>
  <c r="D52" i="37"/>
  <c r="D49" i="37"/>
  <c r="H49" i="37" s="1"/>
  <c r="D64" i="37"/>
  <c r="H64" i="37" s="1"/>
  <c r="D71" i="37"/>
  <c r="H71" i="37" s="1"/>
  <c r="D55" i="43"/>
  <c r="D75" i="43"/>
  <c r="D51" i="43"/>
  <c r="D58" i="43"/>
  <c r="D61" i="43"/>
  <c r="N32" i="134"/>
  <c r="G61" i="37"/>
  <c r="G76" i="37"/>
  <c r="G70" i="43"/>
  <c r="H70" i="43" s="1"/>
  <c r="D66" i="37"/>
  <c r="D78" i="37"/>
  <c r="D53" i="37"/>
  <c r="D51" i="37"/>
  <c r="D76" i="37"/>
  <c r="D65" i="43"/>
  <c r="D74" i="43"/>
  <c r="D68" i="43"/>
  <c r="D72" i="43"/>
  <c r="D71" i="43"/>
  <c r="D73" i="43"/>
  <c r="D63" i="43"/>
  <c r="D53" i="43"/>
  <c r="D60" i="43"/>
  <c r="X31" i="134"/>
  <c r="Y31" i="134" s="1"/>
  <c r="G53" i="37"/>
  <c r="G52" i="37"/>
  <c r="H52" i="37" s="1"/>
  <c r="G69" i="43"/>
  <c r="H69" i="43" s="1"/>
  <c r="D61" i="37"/>
  <c r="D75" i="37"/>
  <c r="D73" i="37"/>
  <c r="H73" i="37" s="1"/>
  <c r="D70" i="37"/>
  <c r="D59" i="37"/>
  <c r="D55" i="37"/>
  <c r="H55" i="37" s="1"/>
  <c r="K32" i="37"/>
  <c r="L32" i="37" s="1"/>
  <c r="M32" i="37" s="1"/>
  <c r="K31" i="58"/>
  <c r="I96" i="133"/>
  <c r="O44" i="80"/>
  <c r="I89" i="124"/>
  <c r="I97" i="124"/>
  <c r="Y50" i="104"/>
  <c r="H88" i="123"/>
  <c r="H96" i="123"/>
  <c r="I96" i="123" s="1"/>
  <c r="G68" i="77"/>
  <c r="G71" i="54"/>
  <c r="I98" i="124"/>
  <c r="O67" i="47"/>
  <c r="K67" i="47"/>
  <c r="H97" i="123"/>
  <c r="I97" i="123" s="1"/>
  <c r="H94" i="123"/>
  <c r="I94" i="123" s="1"/>
  <c r="H99" i="123"/>
  <c r="I99" i="123" s="1"/>
  <c r="X49" i="54"/>
  <c r="Y49" i="54" s="1"/>
  <c r="Y50" i="54" s="1"/>
  <c r="Y51" i="54" s="1"/>
  <c r="Y52" i="54" s="1"/>
  <c r="Y53" i="54" s="1"/>
  <c r="Y54" i="54" s="1"/>
  <c r="O66" i="47"/>
  <c r="G62" i="109"/>
  <c r="G54" i="109"/>
  <c r="G52" i="109"/>
  <c r="G66" i="109"/>
  <c r="G64" i="36"/>
  <c r="G56" i="36"/>
  <c r="G49" i="36"/>
  <c r="O68" i="47"/>
  <c r="K68" i="47"/>
  <c r="G54" i="55"/>
  <c r="G57" i="72"/>
  <c r="H57" i="72" s="1"/>
  <c r="I24" i="63"/>
  <c r="H24" i="63"/>
  <c r="E80" i="76"/>
  <c r="M24" i="76" s="1"/>
  <c r="Q55" i="47" s="1"/>
  <c r="D59" i="77"/>
  <c r="H59" i="77" s="1"/>
  <c r="D72" i="77"/>
  <c r="H72" i="77" s="1"/>
  <c r="D58" i="77"/>
  <c r="H58" i="77" s="1"/>
  <c r="O70" i="47"/>
  <c r="K70" i="47"/>
  <c r="N31" i="123"/>
  <c r="P31" i="123" s="1"/>
  <c r="O31" i="123"/>
  <c r="J67" i="47"/>
  <c r="D72" i="91"/>
  <c r="C47" i="40"/>
  <c r="I24" i="40" s="1"/>
  <c r="C50" i="40"/>
  <c r="C51" i="40" s="1"/>
  <c r="C52" i="40" s="1"/>
  <c r="C53" i="40" s="1"/>
  <c r="C54" i="40" s="1"/>
  <c r="C55" i="40" s="1"/>
  <c r="C56" i="40" s="1"/>
  <c r="C57" i="40" s="1"/>
  <c r="C58" i="40" s="1"/>
  <c r="C59" i="40" s="1"/>
  <c r="C60" i="40" s="1"/>
  <c r="C61" i="40" s="1"/>
  <c r="C62" i="40" s="1"/>
  <c r="C63" i="40" s="1"/>
  <c r="C64" i="40" s="1"/>
  <c r="C65" i="40" s="1"/>
  <c r="C66" i="40" s="1"/>
  <c r="C67" i="40" s="1"/>
  <c r="C68" i="40" s="1"/>
  <c r="C69" i="40" s="1"/>
  <c r="C70" i="40" s="1"/>
  <c r="C71" i="40" s="1"/>
  <c r="C72" i="40" s="1"/>
  <c r="C73" i="40" s="1"/>
  <c r="C74" i="40" s="1"/>
  <c r="C75" i="40" s="1"/>
  <c r="C76" i="40" s="1"/>
  <c r="C77" i="40" s="1"/>
  <c r="C78" i="40" s="1"/>
  <c r="C79" i="40" s="1"/>
  <c r="W85" i="112"/>
  <c r="X85" i="112" s="1"/>
  <c r="E85" i="112"/>
  <c r="W49" i="105"/>
  <c r="Q80" i="105"/>
  <c r="V80" i="105"/>
  <c r="T63" i="47" s="1"/>
  <c r="U52" i="105"/>
  <c r="W68" i="84"/>
  <c r="X68" i="84" s="1"/>
  <c r="E68" i="84"/>
  <c r="G68" i="84" s="1"/>
  <c r="M28" i="14"/>
  <c r="M36" i="14"/>
  <c r="W71" i="52"/>
  <c r="X71" i="52" s="1"/>
  <c r="E71" i="52"/>
  <c r="W72" i="52"/>
  <c r="X72" i="52" s="1"/>
  <c r="E72" i="52"/>
  <c r="Q80" i="52"/>
  <c r="U73" i="52"/>
  <c r="E75" i="52"/>
  <c r="W75" i="52"/>
  <c r="X75" i="52" s="1"/>
  <c r="W55" i="53"/>
  <c r="P80" i="53"/>
  <c r="E64" i="53"/>
  <c r="Q80" i="53"/>
  <c r="W64" i="53"/>
  <c r="X64" i="53" s="1"/>
  <c r="W55" i="55"/>
  <c r="Q80" i="55"/>
  <c r="E56" i="55"/>
  <c r="P80" i="55"/>
  <c r="W56" i="55"/>
  <c r="X56" i="55" s="1"/>
  <c r="U64" i="55"/>
  <c r="V80" i="55"/>
  <c r="U57" i="56"/>
  <c r="V80" i="56"/>
  <c r="R80" i="56"/>
  <c r="W58" i="56"/>
  <c r="U54" i="58"/>
  <c r="V80" i="58"/>
  <c r="X54" i="58"/>
  <c r="E55" i="58"/>
  <c r="W55" i="58"/>
  <c r="U55" i="59"/>
  <c r="V80" i="59"/>
  <c r="W64" i="59"/>
  <c r="X64" i="59" s="1"/>
  <c r="E64" i="59"/>
  <c r="G64" i="59" s="1"/>
  <c r="H64" i="59" s="1"/>
  <c r="W69" i="59"/>
  <c r="X69" i="59" s="1"/>
  <c r="P80" i="59"/>
  <c r="E71" i="59"/>
  <c r="W71" i="59"/>
  <c r="X71" i="59" s="1"/>
  <c r="E75" i="59"/>
  <c r="W75" i="59"/>
  <c r="X75" i="59" s="1"/>
  <c r="E77" i="59"/>
  <c r="W77" i="59"/>
  <c r="X77" i="59" s="1"/>
  <c r="U78" i="59"/>
  <c r="X78" i="59"/>
  <c r="E75" i="60"/>
  <c r="G75" i="60" s="1"/>
  <c r="Q80" i="60"/>
  <c r="U76" i="60"/>
  <c r="X76" i="60"/>
  <c r="V80" i="60"/>
  <c r="P80" i="60"/>
  <c r="U49" i="63"/>
  <c r="X49" i="63"/>
  <c r="Y49" i="63" s="1"/>
  <c r="F11" i="64"/>
  <c r="G11" i="64" s="1"/>
  <c r="E49" i="64"/>
  <c r="Q80" i="64"/>
  <c r="P80" i="64"/>
  <c r="W63" i="64"/>
  <c r="R80" i="64"/>
  <c r="W66" i="64"/>
  <c r="X66" i="64" s="1"/>
  <c r="E66" i="64"/>
  <c r="U57" i="65"/>
  <c r="X57" i="65"/>
  <c r="E64" i="65"/>
  <c r="W64" i="65"/>
  <c r="X64" i="65" s="1"/>
  <c r="U49" i="66"/>
  <c r="V80" i="66"/>
  <c r="E50" i="66"/>
  <c r="R80" i="66"/>
  <c r="U68" i="66"/>
  <c r="X68" i="66"/>
  <c r="W73" i="66"/>
  <c r="X73" i="66" s="1"/>
  <c r="E73" i="66"/>
  <c r="U50" i="67"/>
  <c r="X50" i="67"/>
  <c r="Y50" i="67" s="1"/>
  <c r="W51" i="67"/>
  <c r="E51" i="67"/>
  <c r="E61" i="67"/>
  <c r="W61" i="67"/>
  <c r="X61" i="67" s="1"/>
  <c r="E69" i="67"/>
  <c r="W69" i="67"/>
  <c r="X69" i="67" s="1"/>
  <c r="F10" i="68"/>
  <c r="G10" i="68" s="1"/>
  <c r="C50" i="68"/>
  <c r="C51" i="68" s="1"/>
  <c r="C52" i="68" s="1"/>
  <c r="C53" i="68" s="1"/>
  <c r="C54" i="68" s="1"/>
  <c r="C55" i="68" s="1"/>
  <c r="C56" i="68" s="1"/>
  <c r="C57" i="68" s="1"/>
  <c r="C58" i="68" s="1"/>
  <c r="C59" i="68" s="1"/>
  <c r="C60" i="68" s="1"/>
  <c r="C61" i="68" s="1"/>
  <c r="C62" i="68" s="1"/>
  <c r="C63" i="68" s="1"/>
  <c r="C64" i="68" s="1"/>
  <c r="C65" i="68" s="1"/>
  <c r="C66" i="68" s="1"/>
  <c r="C67" i="68" s="1"/>
  <c r="C68" i="68" s="1"/>
  <c r="C69" i="68" s="1"/>
  <c r="C70" i="68" s="1"/>
  <c r="C71" i="68" s="1"/>
  <c r="C72" i="68" s="1"/>
  <c r="C73" i="68" s="1"/>
  <c r="C74" i="68" s="1"/>
  <c r="C75" i="68" s="1"/>
  <c r="C76" i="68" s="1"/>
  <c r="C77" i="68" s="1"/>
  <c r="C78" i="68" s="1"/>
  <c r="C47" i="68"/>
  <c r="E57" i="68"/>
  <c r="W57" i="68"/>
  <c r="X57" i="68" s="1"/>
  <c r="W53" i="68"/>
  <c r="E53" i="68"/>
  <c r="Q80" i="68"/>
  <c r="W51" i="68"/>
  <c r="U66" i="68"/>
  <c r="X66" i="68"/>
  <c r="W67" i="68"/>
  <c r="X67" i="68" s="1"/>
  <c r="E67" i="68"/>
  <c r="P80" i="69"/>
  <c r="W49" i="69"/>
  <c r="E49" i="69"/>
  <c r="G49" i="69" s="1"/>
  <c r="U50" i="69"/>
  <c r="V80" i="69"/>
  <c r="E76" i="69"/>
  <c r="G76" i="69" s="1"/>
  <c r="W76" i="69"/>
  <c r="W55" i="71"/>
  <c r="E55" i="71"/>
  <c r="G55" i="71" s="1"/>
  <c r="P80" i="71"/>
  <c r="U64" i="71"/>
  <c r="W65" i="71"/>
  <c r="R80" i="71"/>
  <c r="E65" i="71"/>
  <c r="G65" i="71" s="1"/>
  <c r="W71" i="71"/>
  <c r="X71" i="71" s="1"/>
  <c r="E71" i="71"/>
  <c r="G71" i="71" s="1"/>
  <c r="E73" i="71"/>
  <c r="G73" i="71" s="1"/>
  <c r="W73" i="71"/>
  <c r="X73" i="71" s="1"/>
  <c r="Q80" i="71"/>
  <c r="W74" i="71"/>
  <c r="X74" i="71" s="1"/>
  <c r="E74" i="71"/>
  <c r="G74" i="71" s="1"/>
  <c r="E75" i="71"/>
  <c r="G75" i="71" s="1"/>
  <c r="W75" i="71"/>
  <c r="X75" i="71" s="1"/>
  <c r="X76" i="71"/>
  <c r="U76" i="71"/>
  <c r="E78" i="71"/>
  <c r="G78" i="71" s="1"/>
  <c r="W78" i="71"/>
  <c r="X78" i="71" s="1"/>
  <c r="E79" i="71"/>
  <c r="G79" i="71" s="1"/>
  <c r="W79" i="71"/>
  <c r="X79" i="71" s="1"/>
  <c r="U49" i="72"/>
  <c r="V80" i="72"/>
  <c r="R80" i="72"/>
  <c r="E51" i="72"/>
  <c r="W51" i="72"/>
  <c r="X51" i="72" s="1"/>
  <c r="E56" i="72"/>
  <c r="G56" i="72" s="1"/>
  <c r="W56" i="72"/>
  <c r="X56" i="72" s="1"/>
  <c r="E64" i="72"/>
  <c r="G64" i="72" s="1"/>
  <c r="W64" i="72"/>
  <c r="X64" i="72" s="1"/>
  <c r="E68" i="72"/>
  <c r="W68" i="72"/>
  <c r="X68" i="72" s="1"/>
  <c r="I35" i="73"/>
  <c r="E60" i="74"/>
  <c r="W60" i="74"/>
  <c r="X60" i="74" s="1"/>
  <c r="Q80" i="74"/>
  <c r="E54" i="75"/>
  <c r="W54" i="75"/>
  <c r="P80" i="75"/>
  <c r="U64" i="75"/>
  <c r="V80" i="75"/>
  <c r="R80" i="75"/>
  <c r="W65" i="75"/>
  <c r="X65" i="75" s="1"/>
  <c r="E77" i="75"/>
  <c r="W77" i="75"/>
  <c r="X77" i="75" s="1"/>
  <c r="F11" i="45"/>
  <c r="F12" i="45" s="1"/>
  <c r="J11" i="45"/>
  <c r="J12" i="45" s="1"/>
  <c r="H24" i="105"/>
  <c r="I24" i="105"/>
  <c r="G78" i="105" s="1"/>
  <c r="D61" i="110"/>
  <c r="J68" i="47"/>
  <c r="M32" i="105"/>
  <c r="Q32" i="105" s="1"/>
  <c r="D66" i="77"/>
  <c r="H66" i="77" s="1"/>
  <c r="E64" i="112"/>
  <c r="G64" i="112" s="1"/>
  <c r="J42" i="54"/>
  <c r="L42" i="54" s="1"/>
  <c r="M42" i="54" s="1"/>
  <c r="P89" i="112"/>
  <c r="R80" i="84"/>
  <c r="R89" i="112"/>
  <c r="E72" i="112"/>
  <c r="I45" i="43"/>
  <c r="J43" i="43" s="1"/>
  <c r="L43" i="43" s="1"/>
  <c r="M43" i="43" s="1"/>
  <c r="E53" i="50"/>
  <c r="W53" i="50"/>
  <c r="X53" i="50" s="1"/>
  <c r="U58" i="50"/>
  <c r="X58" i="50"/>
  <c r="E59" i="50"/>
  <c r="G59" i="50" s="1"/>
  <c r="W59" i="50"/>
  <c r="X59" i="50" s="1"/>
  <c r="E60" i="50"/>
  <c r="W60" i="50"/>
  <c r="X60" i="50" s="1"/>
  <c r="A48" i="50"/>
  <c r="C49" i="50"/>
  <c r="C50" i="50" s="1"/>
  <c r="C51" i="50" s="1"/>
  <c r="C52" i="50" s="1"/>
  <c r="C53" i="50" s="1"/>
  <c r="C54" i="50" s="1"/>
  <c r="C55" i="50" s="1"/>
  <c r="C56" i="50" s="1"/>
  <c r="C57" i="50" s="1"/>
  <c r="C58" i="50" s="1"/>
  <c r="C59" i="50" s="1"/>
  <c r="C60" i="50" s="1"/>
  <c r="C61" i="50" s="1"/>
  <c r="C62" i="50" s="1"/>
  <c r="C63" i="50" s="1"/>
  <c r="C64" i="50" s="1"/>
  <c r="C65" i="50" s="1"/>
  <c r="C66" i="50" s="1"/>
  <c r="C67" i="50" s="1"/>
  <c r="C68" i="50" s="1"/>
  <c r="C69" i="50" s="1"/>
  <c r="C70" i="50" s="1"/>
  <c r="C71" i="50" s="1"/>
  <c r="C72" i="50" s="1"/>
  <c r="C73" i="50" s="1"/>
  <c r="C74" i="50" s="1"/>
  <c r="C75" i="50" s="1"/>
  <c r="C76" i="50" s="1"/>
  <c r="C77" i="50" s="1"/>
  <c r="C78" i="50" s="1"/>
  <c r="B48" i="50"/>
  <c r="W78" i="50"/>
  <c r="E78" i="50"/>
  <c r="U59" i="51"/>
  <c r="V80" i="51"/>
  <c r="R80" i="51"/>
  <c r="E60" i="51"/>
  <c r="U70" i="51"/>
  <c r="P80" i="82"/>
  <c r="D75" i="77"/>
  <c r="H75" i="77" s="1"/>
  <c r="X54" i="50"/>
  <c r="X53" i="63"/>
  <c r="X62" i="64"/>
  <c r="X58" i="57"/>
  <c r="F106" i="49"/>
  <c r="S106" i="49" s="1"/>
  <c r="I57" i="47"/>
  <c r="X67" i="72"/>
  <c r="M26" i="31"/>
  <c r="W51" i="57"/>
  <c r="X51" i="57" s="1"/>
  <c r="E51" i="57"/>
  <c r="R80" i="58"/>
  <c r="U52" i="59"/>
  <c r="G12" i="107"/>
  <c r="X65" i="64"/>
  <c r="F96" i="49"/>
  <c r="S96" i="49" s="1"/>
  <c r="E23" i="49"/>
  <c r="J31" i="34"/>
  <c r="K31" i="34" s="1"/>
  <c r="L31" i="34" s="1"/>
  <c r="J30" i="34"/>
  <c r="K30" i="34" s="1"/>
  <c r="I35" i="56"/>
  <c r="K31" i="56" s="1"/>
  <c r="L31" i="56" s="1"/>
  <c r="M31" i="56" s="1"/>
  <c r="L42" i="106"/>
  <c r="L41" i="106"/>
  <c r="X70" i="68"/>
  <c r="E34" i="49"/>
  <c r="K34" i="49" s="1"/>
  <c r="E57" i="49"/>
  <c r="G57" i="49" s="1"/>
  <c r="E110" i="49"/>
  <c r="K110" i="49" s="1"/>
  <c r="A49" i="51"/>
  <c r="C47" i="51"/>
  <c r="H24" i="51" s="1"/>
  <c r="W74" i="51"/>
  <c r="X74" i="51" s="1"/>
  <c r="E74" i="51"/>
  <c r="E74" i="53"/>
  <c r="W74" i="53"/>
  <c r="X74" i="53" s="1"/>
  <c r="Y77" i="133"/>
  <c r="Z102" i="133"/>
  <c r="T74" i="47"/>
  <c r="Y101" i="133"/>
  <c r="X53" i="51"/>
  <c r="E50" i="51"/>
  <c r="W76" i="51"/>
  <c r="X76" i="51" s="1"/>
  <c r="W67" i="52"/>
  <c r="W58" i="53"/>
  <c r="W62" i="54"/>
  <c r="X62" i="54" s="1"/>
  <c r="E69" i="54"/>
  <c r="W75" i="55"/>
  <c r="X75" i="55" s="1"/>
  <c r="E52" i="58"/>
  <c r="E57" i="59"/>
  <c r="U101" i="124"/>
  <c r="W49" i="50"/>
  <c r="X49" i="50" s="1"/>
  <c r="Y49" i="50" s="1"/>
  <c r="Y50" i="50" s="1"/>
  <c r="Y51" i="50" s="1"/>
  <c r="Y52" i="50" s="1"/>
  <c r="W55" i="51"/>
  <c r="W66" i="51"/>
  <c r="X66" i="51" s="1"/>
  <c r="W58" i="52"/>
  <c r="X58" i="52" s="1"/>
  <c r="W77" i="54"/>
  <c r="X77" i="54" s="1"/>
  <c r="W53" i="56"/>
  <c r="X53" i="56" s="1"/>
  <c r="E61" i="56"/>
  <c r="E71" i="56"/>
  <c r="W79" i="56"/>
  <c r="X79" i="56" s="1"/>
  <c r="W67" i="57"/>
  <c r="W71" i="57"/>
  <c r="X71" i="57" s="1"/>
  <c r="E71" i="58"/>
  <c r="E62" i="53"/>
  <c r="E78" i="53"/>
  <c r="E50" i="54"/>
  <c r="G50" i="54" s="1"/>
  <c r="E55" i="55"/>
  <c r="G55" i="55" s="1"/>
  <c r="X42" i="132"/>
  <c r="Y42" i="132" s="1"/>
  <c r="E78" i="55"/>
  <c r="G78" i="55" s="1"/>
  <c r="E75" i="56"/>
  <c r="E57" i="60"/>
  <c r="G57" i="60" s="1"/>
  <c r="W59" i="62"/>
  <c r="X59" i="62" s="1"/>
  <c r="W76" i="64"/>
  <c r="X76" i="64" s="1"/>
  <c r="E56" i="66"/>
  <c r="W51" i="74"/>
  <c r="W72" i="74"/>
  <c r="X72" i="74" s="1"/>
  <c r="AB85" i="133"/>
  <c r="W75" i="63"/>
  <c r="E53" i="64"/>
  <c r="E69" i="65"/>
  <c r="E62" i="68"/>
  <c r="E102" i="132"/>
  <c r="E106" i="132" s="1"/>
  <c r="F106" i="132" s="1"/>
  <c r="E61" i="64"/>
  <c r="E77" i="68"/>
  <c r="E79" i="69"/>
  <c r="G11" i="72"/>
  <c r="W76" i="74"/>
  <c r="O69" i="47"/>
  <c r="K69" i="47"/>
  <c r="AA88" i="133"/>
  <c r="AB88" i="133" s="1"/>
  <c r="E67" i="84"/>
  <c r="G67" i="84" s="1"/>
  <c r="H67" i="84" s="1"/>
  <c r="W67" i="84"/>
  <c r="X67" i="84" s="1"/>
  <c r="AA74" i="133"/>
  <c r="AB74" i="133" s="1"/>
  <c r="AA82" i="133"/>
  <c r="AB82" i="133" s="1"/>
  <c r="AA89" i="133"/>
  <c r="AB89" i="133" s="1"/>
  <c r="W76" i="112"/>
  <c r="X76" i="112" s="1"/>
  <c r="W73" i="112"/>
  <c r="X73" i="112" s="1"/>
  <c r="W64" i="112"/>
  <c r="W60" i="112"/>
  <c r="W73" i="110"/>
  <c r="X73" i="110" s="1"/>
  <c r="W69" i="110"/>
  <c r="X69" i="110" s="1"/>
  <c r="W65" i="110"/>
  <c r="X65" i="110" s="1"/>
  <c r="W61" i="110"/>
  <c r="X61" i="110" s="1"/>
  <c r="W76" i="91"/>
  <c r="X76" i="91" s="1"/>
  <c r="W67" i="91"/>
  <c r="W66" i="109"/>
  <c r="X66" i="109" s="1"/>
  <c r="W62" i="83"/>
  <c r="X62" i="83" s="1"/>
  <c r="W76" i="81"/>
  <c r="X76" i="81" s="1"/>
  <c r="W67" i="81"/>
  <c r="X67" i="81" s="1"/>
  <c r="V80" i="81"/>
  <c r="T58" i="47" s="1"/>
  <c r="W66" i="80"/>
  <c r="X66" i="80" s="1"/>
  <c r="AA84" i="133"/>
  <c r="AB84" i="133" s="1"/>
  <c r="AA101" i="133"/>
  <c r="W65" i="112"/>
  <c r="X65" i="112" s="1"/>
  <c r="W74" i="110"/>
  <c r="W70" i="110"/>
  <c r="W66" i="110"/>
  <c r="W62" i="110"/>
  <c r="W82" i="91"/>
  <c r="X82" i="91" s="1"/>
  <c r="W68" i="91"/>
  <c r="X68" i="91" s="1"/>
  <c r="W76" i="109"/>
  <c r="X76" i="109" s="1"/>
  <c r="W72" i="109"/>
  <c r="X72" i="109" s="1"/>
  <c r="W76" i="106"/>
  <c r="X76" i="106" s="1"/>
  <c r="E70" i="84"/>
  <c r="E65" i="84"/>
  <c r="E59" i="84"/>
  <c r="G59" i="84" s="1"/>
  <c r="W72" i="82"/>
  <c r="X72" i="82" s="1"/>
  <c r="W57" i="80"/>
  <c r="AA93" i="133"/>
  <c r="AB93" i="133" s="1"/>
  <c r="AA95" i="133"/>
  <c r="AB95" i="133" s="1"/>
  <c r="AA98" i="133"/>
  <c r="AB98" i="133" s="1"/>
  <c r="K50" i="133"/>
  <c r="W64" i="106"/>
  <c r="X64" i="106"/>
  <c r="E71" i="84"/>
  <c r="W59" i="84"/>
  <c r="X59" i="84" s="1"/>
  <c r="W73" i="82"/>
  <c r="X73" i="82" s="1"/>
  <c r="W74" i="83"/>
  <c r="X74" i="83" s="1"/>
  <c r="W66" i="83"/>
  <c r="W63" i="83"/>
  <c r="X63" i="83" s="1"/>
  <c r="W58" i="83"/>
  <c r="X58" i="83" s="1"/>
  <c r="W59" i="81"/>
  <c r="X59" i="81" s="1"/>
  <c r="W55" i="81"/>
  <c r="X55" i="81" s="1"/>
  <c r="W49" i="80"/>
  <c r="X49" i="80" s="1"/>
  <c r="Y49" i="80" s="1"/>
  <c r="Y50" i="80" s="1"/>
  <c r="Y51" i="80" s="1"/>
  <c r="V80" i="77"/>
  <c r="T56" i="47"/>
  <c r="W77" i="76"/>
  <c r="X77" i="76" s="1"/>
  <c r="W66" i="76"/>
  <c r="X66" i="76" s="1"/>
  <c r="W62" i="76"/>
  <c r="X62" i="76" s="1"/>
  <c r="W53" i="76"/>
  <c r="X53" i="76" s="1"/>
  <c r="W64" i="45"/>
  <c r="X64" i="45" s="1"/>
  <c r="W57" i="45"/>
  <c r="X57" i="45" s="1"/>
  <c r="W53" i="45"/>
  <c r="W65" i="44"/>
  <c r="X65" i="44" s="1"/>
  <c r="W58" i="42"/>
  <c r="X58" i="42" s="1"/>
  <c r="W73" i="34"/>
  <c r="X73" i="34" s="1"/>
  <c r="W57" i="34"/>
  <c r="X57" i="34" s="1"/>
  <c r="W53" i="34"/>
  <c r="X53" i="34" s="1"/>
  <c r="W62" i="36"/>
  <c r="X62" i="36" s="1"/>
  <c r="W58" i="36"/>
  <c r="X58" i="36" s="1"/>
  <c r="W60" i="39"/>
  <c r="X60" i="39" s="1"/>
  <c r="W58" i="41"/>
  <c r="X58" i="41" s="1"/>
  <c r="AB91" i="134"/>
  <c r="AC91" i="134" s="1"/>
  <c r="Y94" i="132"/>
  <c r="AA84" i="132"/>
  <c r="AB84" i="132" s="1"/>
  <c r="AC84" i="132" s="1"/>
  <c r="W54" i="76"/>
  <c r="X54" i="76" s="1"/>
  <c r="W72" i="44"/>
  <c r="X72" i="44" s="1"/>
  <c r="W56" i="44"/>
  <c r="X56" i="44" s="1"/>
  <c r="W59" i="42"/>
  <c r="W54" i="34"/>
  <c r="X54" i="34" s="1"/>
  <c r="W59" i="36"/>
  <c r="X59" i="36" s="1"/>
  <c r="W54" i="37"/>
  <c r="X54" i="37" s="1"/>
  <c r="W54" i="41"/>
  <c r="X54" i="41" s="1"/>
  <c r="AA96" i="132"/>
  <c r="AB96" i="132" s="1"/>
  <c r="AC96" i="132" s="1"/>
  <c r="W69" i="112"/>
  <c r="X69" i="112" s="1"/>
  <c r="E66" i="112"/>
  <c r="G66" i="112" s="1"/>
  <c r="W60" i="111"/>
  <c r="X60" i="111" s="1"/>
  <c r="W72" i="110"/>
  <c r="X72" i="110" s="1"/>
  <c r="W68" i="110"/>
  <c r="X68" i="110" s="1"/>
  <c r="W64" i="110"/>
  <c r="X64" i="110" s="1"/>
  <c r="W60" i="110"/>
  <c r="X60" i="110" s="1"/>
  <c r="W84" i="91"/>
  <c r="X84" i="91" s="1"/>
  <c r="W72" i="91"/>
  <c r="X72" i="91" s="1"/>
  <c r="W78" i="109"/>
  <c r="X78" i="109" s="1"/>
  <c r="W74" i="109"/>
  <c r="X74" i="109" s="1"/>
  <c r="W70" i="109"/>
  <c r="X70" i="109" s="1"/>
  <c r="W65" i="109"/>
  <c r="X65" i="109" s="1"/>
  <c r="W74" i="107"/>
  <c r="X74" i="107" s="1"/>
  <c r="W66" i="107"/>
  <c r="X66" i="107" s="1"/>
  <c r="W58" i="107"/>
  <c r="X58" i="107" s="1"/>
  <c r="W72" i="106"/>
  <c r="X72" i="106" s="1"/>
  <c r="W53" i="106"/>
  <c r="X53" i="106" s="1"/>
  <c r="W72" i="84"/>
  <c r="X72" i="84" s="1"/>
  <c r="W64" i="84"/>
  <c r="X64" i="84"/>
  <c r="E58" i="84"/>
  <c r="W65" i="82"/>
  <c r="X65" i="82" s="1"/>
  <c r="W78" i="81"/>
  <c r="X78" i="81" s="1"/>
  <c r="W68" i="81"/>
  <c r="X68" i="81" s="1"/>
  <c r="W64" i="81"/>
  <c r="X64" i="81" s="1"/>
  <c r="W60" i="81"/>
  <c r="X60" i="81" s="1"/>
  <c r="W78" i="80"/>
  <c r="X78" i="80" s="1"/>
  <c r="W73" i="80"/>
  <c r="X73" i="80" s="1"/>
  <c r="W61" i="80"/>
  <c r="X61" i="80" s="1"/>
  <c r="W55" i="45"/>
  <c r="X55" i="45" s="1"/>
  <c r="W73" i="44"/>
  <c r="X73" i="44" s="1"/>
  <c r="W57" i="44"/>
  <c r="X57" i="44" s="1"/>
  <c r="W79" i="43"/>
  <c r="X79" i="43" s="1"/>
  <c r="W71" i="43"/>
  <c r="X71" i="43" s="1"/>
  <c r="W68" i="43"/>
  <c r="X68" i="43" s="1"/>
  <c r="W63" i="43"/>
  <c r="X63" i="43" s="1"/>
  <c r="W55" i="43"/>
  <c r="X55" i="43" s="1"/>
  <c r="W52" i="43"/>
  <c r="W78" i="42"/>
  <c r="X78" i="42" s="1"/>
  <c r="W70" i="42"/>
  <c r="X70" i="42" s="1"/>
  <c r="W72" i="35"/>
  <c r="X72" i="35" s="1"/>
  <c r="W68" i="35"/>
  <c r="X68" i="35" s="1"/>
  <c r="W60" i="35"/>
  <c r="X60" i="35" s="1"/>
  <c r="W52" i="35"/>
  <c r="X52" i="35" s="1"/>
  <c r="W78" i="36"/>
  <c r="X78" i="36" s="1"/>
  <c r="W74" i="36"/>
  <c r="X74" i="36" s="1"/>
  <c r="W50" i="36"/>
  <c r="W74" i="37"/>
  <c r="X74" i="37" s="1"/>
  <c r="W69" i="37"/>
  <c r="W65" i="37"/>
  <c r="X65" i="37" s="1"/>
  <c r="W52" i="38"/>
  <c r="W76" i="39"/>
  <c r="X76" i="39" s="1"/>
  <c r="E61" i="40"/>
  <c r="W74" i="41"/>
  <c r="X74" i="41" s="1"/>
  <c r="W55" i="41"/>
  <c r="W53" i="104"/>
  <c r="X53" i="104" s="1"/>
  <c r="Y96" i="132"/>
  <c r="Y96" i="123"/>
  <c r="W65" i="40"/>
  <c r="X65" i="40" s="1"/>
  <c r="W57" i="40"/>
  <c r="X57" i="40" s="1"/>
  <c r="W75" i="41"/>
  <c r="X75" i="41" s="1"/>
  <c r="W59" i="41"/>
  <c r="X59" i="41" s="1"/>
  <c r="W76" i="104"/>
  <c r="X76" i="104" s="1"/>
  <c r="W68" i="104"/>
  <c r="X68" i="104" s="1"/>
  <c r="H22" i="134"/>
  <c r="D93" i="134" s="1"/>
  <c r="I93" i="134" s="1"/>
  <c r="V31" i="138"/>
  <c r="AC86" i="138"/>
  <c r="AA98" i="139"/>
  <c r="AB98" i="139"/>
  <c r="AA93" i="139"/>
  <c r="AB93" i="139" s="1"/>
  <c r="AE95" i="140"/>
  <c r="AF95" i="140" s="1"/>
  <c r="AE86" i="140"/>
  <c r="AF86" i="140" s="1"/>
  <c r="AE75" i="140"/>
  <c r="AF75" i="140" s="1"/>
  <c r="AA77" i="132"/>
  <c r="AB77" i="132" s="1"/>
  <c r="AC77" i="132" s="1"/>
  <c r="AA93" i="123"/>
  <c r="AB93" i="123" s="1"/>
  <c r="AA89" i="123"/>
  <c r="AB89" i="123" s="1"/>
  <c r="AA88" i="123"/>
  <c r="AB88" i="123" s="1"/>
  <c r="AA77" i="123"/>
  <c r="AB77" i="123" s="1"/>
  <c r="W73" i="35"/>
  <c r="X73" i="35" s="1"/>
  <c r="W61" i="35"/>
  <c r="X61" i="35" s="1"/>
  <c r="W53" i="35"/>
  <c r="X53" i="35" s="1"/>
  <c r="W51" i="36"/>
  <c r="X51" i="36" s="1"/>
  <c r="W58" i="37"/>
  <c r="X58" i="37" s="1"/>
  <c r="W57" i="38"/>
  <c r="X57" i="38" s="1"/>
  <c r="W72" i="39"/>
  <c r="X72" i="39" s="1"/>
  <c r="W56" i="39"/>
  <c r="X56" i="39" s="1"/>
  <c r="W49" i="40"/>
  <c r="X49" i="40" s="1"/>
  <c r="W77" i="104"/>
  <c r="X77" i="104" s="1"/>
  <c r="W72" i="104"/>
  <c r="X72" i="104" s="1"/>
  <c r="W69" i="104"/>
  <c r="X69" i="104" s="1"/>
  <c r="W64" i="104"/>
  <c r="X64" i="104" s="1"/>
  <c r="W61" i="104"/>
  <c r="X61" i="104" s="1"/>
  <c r="T103" i="134"/>
  <c r="V51" i="134" s="1"/>
  <c r="AA95" i="139"/>
  <c r="AB95" i="139" s="1"/>
  <c r="AA83" i="139"/>
  <c r="AB83" i="139" s="1"/>
  <c r="AE97" i="140"/>
  <c r="AF97" i="140" s="1"/>
  <c r="AE87" i="140"/>
  <c r="AF87" i="140" s="1"/>
  <c r="AE78" i="140"/>
  <c r="AA71" i="124"/>
  <c r="AA94" i="123"/>
  <c r="AB94" i="123" s="1"/>
  <c r="AA81" i="123"/>
  <c r="AB81" i="123" s="1"/>
  <c r="AA73" i="123"/>
  <c r="AB73" i="123" s="1"/>
  <c r="AA71" i="123"/>
  <c r="AA101" i="139"/>
  <c r="AB101" i="139" s="1"/>
  <c r="AA88" i="139"/>
  <c r="AB88" i="139" s="1"/>
  <c r="AA85" i="139"/>
  <c r="AB85" i="139" s="1"/>
  <c r="AB90" i="132"/>
  <c r="AC90" i="132" s="1"/>
  <c r="AA83" i="132"/>
  <c r="AB83" i="132" s="1"/>
  <c r="AC83" i="132" s="1"/>
  <c r="AA73" i="132"/>
  <c r="AB73" i="132" s="1"/>
  <c r="AC73" i="132" s="1"/>
  <c r="AB85" i="138"/>
  <c r="AC85" i="138" s="1"/>
  <c r="AB81" i="138"/>
  <c r="AC81" i="138" s="1"/>
  <c r="AB93" i="138"/>
  <c r="AC93" i="138" s="1"/>
  <c r="AB94" i="138"/>
  <c r="AC94" i="138" s="1"/>
  <c r="W103" i="138"/>
  <c r="AB72" i="138"/>
  <c r="AC72" i="138" s="1"/>
  <c r="AD72" i="138"/>
  <c r="AB98" i="138"/>
  <c r="AC98" i="138" s="1"/>
  <c r="AB89" i="138"/>
  <c r="AC89" i="138" s="1"/>
  <c r="AB76" i="138"/>
  <c r="R103" i="138"/>
  <c r="AB82" i="138"/>
  <c r="AC82" i="138" s="1"/>
  <c r="AB101" i="138"/>
  <c r="AC101" i="138" s="1"/>
  <c r="S104" i="138"/>
  <c r="AB83" i="138"/>
  <c r="AC83" i="138" s="1"/>
  <c r="U103" i="138"/>
  <c r="AB84" i="138"/>
  <c r="AC84" i="138" s="1"/>
  <c r="T104" i="138"/>
  <c r="V52" i="138" s="1"/>
  <c r="AB90" i="138"/>
  <c r="AC90" i="138" s="1"/>
  <c r="AB80" i="138"/>
  <c r="AC80" i="138" s="1"/>
  <c r="AB95" i="138"/>
  <c r="AC95" i="138" s="1"/>
  <c r="AB75" i="138"/>
  <c r="AC75" i="138" s="1"/>
  <c r="AB99" i="138"/>
  <c r="AC99" i="138" s="1"/>
  <c r="AB92" i="138"/>
  <c r="AC92" i="138" s="1"/>
  <c r="AB88" i="138"/>
  <c r="AC88" i="138" s="1"/>
  <c r="AB87" i="138"/>
  <c r="AC87" i="138" s="1"/>
  <c r="AB74" i="138"/>
  <c r="AC74" i="138" s="1"/>
  <c r="H77" i="138"/>
  <c r="J15" i="138"/>
  <c r="K15" i="138" s="1"/>
  <c r="H79" i="138"/>
  <c r="H90" i="138"/>
  <c r="H94" i="138"/>
  <c r="H78" i="138"/>
  <c r="H92" i="138"/>
  <c r="H76" i="138"/>
  <c r="H85" i="138"/>
  <c r="H87" i="138"/>
  <c r="H22" i="138"/>
  <c r="M31" i="138"/>
  <c r="N31" i="138" s="1"/>
  <c r="N33" i="138" s="1"/>
  <c r="H91" i="138"/>
  <c r="H82" i="138"/>
  <c r="H88" i="138"/>
  <c r="H97" i="138"/>
  <c r="H81" i="138"/>
  <c r="H83" i="138"/>
  <c r="H75" i="138"/>
  <c r="H74" i="138"/>
  <c r="H86" i="138"/>
  <c r="H96" i="138"/>
  <c r="H84" i="138"/>
  <c r="H93" i="138"/>
  <c r="J16" i="138"/>
  <c r="K16" i="138" s="1"/>
  <c r="X41" i="138"/>
  <c r="Y41" i="138" s="1"/>
  <c r="M39" i="138"/>
  <c r="N39" i="138" s="1"/>
  <c r="J17" i="138"/>
  <c r="K17" i="138" s="1"/>
  <c r="H95" i="134"/>
  <c r="H81" i="134"/>
  <c r="AC101" i="134"/>
  <c r="AB75" i="134"/>
  <c r="AC75" i="134" s="1"/>
  <c r="M30" i="52"/>
  <c r="M34" i="51"/>
  <c r="H56" i="37"/>
  <c r="H71" i="140"/>
  <c r="I71" i="140" s="1"/>
  <c r="X49" i="76"/>
  <c r="X42" i="138"/>
  <c r="Y42" i="138" s="1"/>
  <c r="X52" i="81"/>
  <c r="X58" i="44"/>
  <c r="H82" i="140"/>
  <c r="H91" i="140"/>
  <c r="I91" i="140" s="1"/>
  <c r="X31" i="138"/>
  <c r="Y31" i="138" s="1"/>
  <c r="H84" i="140"/>
  <c r="I84" i="140" s="1"/>
  <c r="N40" i="124"/>
  <c r="L44" i="132"/>
  <c r="X41" i="134"/>
  <c r="Y41" i="134" s="1"/>
  <c r="D101" i="123"/>
  <c r="E104" i="123" s="1"/>
  <c r="F104" i="123" s="1"/>
  <c r="I76" i="123"/>
  <c r="M41" i="74"/>
  <c r="M45" i="74" s="1"/>
  <c r="L45" i="74"/>
  <c r="I95" i="123"/>
  <c r="M45" i="69"/>
  <c r="E23" i="47" s="1"/>
  <c r="E80" i="77"/>
  <c r="M24" i="77" s="1"/>
  <c r="Q56" i="47" s="1"/>
  <c r="X64" i="66"/>
  <c r="E80" i="43"/>
  <c r="M24" i="43"/>
  <c r="I98" i="123"/>
  <c r="T72" i="47"/>
  <c r="G76" i="50"/>
  <c r="G71" i="60"/>
  <c r="G11" i="51"/>
  <c r="U58" i="70"/>
  <c r="G11" i="66"/>
  <c r="W54" i="70"/>
  <c r="X54" i="70" s="1"/>
  <c r="V89" i="111"/>
  <c r="T69" i="47" s="1"/>
  <c r="E102" i="133"/>
  <c r="E106" i="133" s="1"/>
  <c r="F106" i="133" s="1"/>
  <c r="W74" i="91"/>
  <c r="X74" i="91" s="1"/>
  <c r="W65" i="91"/>
  <c r="X65" i="91" s="1"/>
  <c r="W67" i="109"/>
  <c r="X67" i="109" s="1"/>
  <c r="W60" i="109"/>
  <c r="X60" i="109" s="1"/>
  <c r="W59" i="107"/>
  <c r="W58" i="84"/>
  <c r="W65" i="45"/>
  <c r="X65" i="45" s="1"/>
  <c r="W73" i="42"/>
  <c r="X73" i="42" s="1"/>
  <c r="W65" i="42"/>
  <c r="X65" i="42" s="1"/>
  <c r="W64" i="35"/>
  <c r="X64" i="35" s="1"/>
  <c r="W56" i="35"/>
  <c r="G62" i="47"/>
  <c r="L33" i="104"/>
  <c r="I10" i="104" s="1"/>
  <c r="AA80" i="133"/>
  <c r="AB80" i="133" s="1"/>
  <c r="AA77" i="133"/>
  <c r="AB77" i="133" s="1"/>
  <c r="E64" i="84"/>
  <c r="W77" i="112"/>
  <c r="X77" i="112" s="1"/>
  <c r="W61" i="112"/>
  <c r="X61" i="112" s="1"/>
  <c r="W62" i="111"/>
  <c r="X62" i="111" s="1"/>
  <c r="W58" i="110"/>
  <c r="X58" i="110" s="1"/>
  <c r="Y58" i="110" s="1"/>
  <c r="W88" i="91"/>
  <c r="X88" i="91" s="1"/>
  <c r="W61" i="91"/>
  <c r="X61" i="91" s="1"/>
  <c r="W68" i="109"/>
  <c r="X68" i="109" s="1"/>
  <c r="W64" i="109"/>
  <c r="X64" i="109" s="1"/>
  <c r="W62" i="84"/>
  <c r="X62" i="84" s="1"/>
  <c r="E62" i="84"/>
  <c r="V80" i="83"/>
  <c r="T59" i="47" s="1"/>
  <c r="W66" i="81"/>
  <c r="X66" i="81" s="1"/>
  <c r="W72" i="45"/>
  <c r="X72" i="45" s="1"/>
  <c r="W51" i="45"/>
  <c r="X51" i="45" s="1"/>
  <c r="Y51" i="45" s="1"/>
  <c r="Y52" i="45" s="1"/>
  <c r="W59" i="43"/>
  <c r="X59" i="43" s="1"/>
  <c r="W74" i="42"/>
  <c r="X74" i="42" s="1"/>
  <c r="W66" i="42"/>
  <c r="X66" i="42" s="1"/>
  <c r="W50" i="42"/>
  <c r="X50" i="42" s="1"/>
  <c r="W74" i="34"/>
  <c r="X74" i="34" s="1"/>
  <c r="W58" i="34"/>
  <c r="X58" i="34" s="1"/>
  <c r="W48" i="34"/>
  <c r="X48" i="34" s="1"/>
  <c r="Y48" i="34" s="1"/>
  <c r="W69" i="35"/>
  <c r="X69" i="35" s="1"/>
  <c r="W65" i="35"/>
  <c r="X65" i="35" s="1"/>
  <c r="W57" i="35"/>
  <c r="X57" i="35" s="1"/>
  <c r="W49" i="35"/>
  <c r="X49" i="35" s="1"/>
  <c r="Y49" i="35" s="1"/>
  <c r="Y50" i="35" s="1"/>
  <c r="Y51" i="35" s="1"/>
  <c r="W79" i="36"/>
  <c r="X79" i="36" s="1"/>
  <c r="W63" i="36"/>
  <c r="X63" i="36" s="1"/>
  <c r="V80" i="36"/>
  <c r="T45" i="47" s="1"/>
  <c r="M31" i="133"/>
  <c r="N31" i="133" s="1"/>
  <c r="M32" i="133"/>
  <c r="N32" i="133" s="1"/>
  <c r="J15" i="133"/>
  <c r="K15" i="133" s="1"/>
  <c r="X31" i="133"/>
  <c r="Y31" i="133" s="1"/>
  <c r="L32" i="83"/>
  <c r="AA92" i="133"/>
  <c r="AB92" i="133" s="1"/>
  <c r="AA94" i="133"/>
  <c r="AB94" i="133" s="1"/>
  <c r="M37" i="91"/>
  <c r="W84" i="112"/>
  <c r="W68" i="112"/>
  <c r="W59" i="110"/>
  <c r="W80" i="91"/>
  <c r="X80" i="91" s="1"/>
  <c r="W63" i="91"/>
  <c r="X63" i="91" s="1"/>
  <c r="W52" i="109"/>
  <c r="X52" i="109" s="1"/>
  <c r="V80" i="106"/>
  <c r="T64" i="47" s="1"/>
  <c r="W71" i="84"/>
  <c r="X71" i="84" s="1"/>
  <c r="W63" i="84"/>
  <c r="X63" i="84" s="1"/>
  <c r="E63" i="84"/>
  <c r="G63" i="84" s="1"/>
  <c r="H63" i="84" s="1"/>
  <c r="W60" i="84"/>
  <c r="X60" i="84" s="1"/>
  <c r="W75" i="83"/>
  <c r="X75" i="83" s="1"/>
  <c r="W63" i="81"/>
  <c r="X63" i="81" s="1"/>
  <c r="W76" i="43"/>
  <c r="X76" i="43" s="1"/>
  <c r="W51" i="42"/>
  <c r="X51" i="42" s="1"/>
  <c r="W65" i="34"/>
  <c r="X65" i="34" s="1"/>
  <c r="W49" i="34"/>
  <c r="X49" i="34" s="1"/>
  <c r="W70" i="36"/>
  <c r="X70" i="36" s="1"/>
  <c r="V80" i="41"/>
  <c r="T50" i="47" s="1"/>
  <c r="W55" i="36"/>
  <c r="X55" i="36" s="1"/>
  <c r="W54" i="36"/>
  <c r="X54" i="36" s="1"/>
  <c r="W73" i="37"/>
  <c r="X73" i="37" s="1"/>
  <c r="W66" i="37"/>
  <c r="X66" i="37" s="1"/>
  <c r="W50" i="37"/>
  <c r="X50" i="37" s="1"/>
  <c r="W49" i="38"/>
  <c r="W64" i="39"/>
  <c r="X64" i="39" s="1"/>
  <c r="W77" i="40"/>
  <c r="X77" i="40" s="1"/>
  <c r="W66" i="41"/>
  <c r="X66" i="41" s="1"/>
  <c r="W50" i="41"/>
  <c r="X50" i="41" s="1"/>
  <c r="W57" i="37"/>
  <c r="X57" i="37" s="1"/>
  <c r="W56" i="38"/>
  <c r="X56" i="38" s="1"/>
  <c r="W65" i="39"/>
  <c r="X65" i="39" s="1"/>
  <c r="W61" i="40"/>
  <c r="X61" i="40" s="1"/>
  <c r="I45" i="104"/>
  <c r="J43" i="104" s="1"/>
  <c r="L43" i="104" s="1"/>
  <c r="M43" i="104" s="1"/>
  <c r="V80" i="104"/>
  <c r="T62" i="47" s="1"/>
  <c r="H88" i="124"/>
  <c r="Y76" i="132"/>
  <c r="M40" i="132"/>
  <c r="W56" i="104"/>
  <c r="W51" i="104"/>
  <c r="X51" i="104" s="1"/>
  <c r="AB91" i="138"/>
  <c r="AC91" i="138" s="1"/>
  <c r="AB79" i="138"/>
  <c r="AC79" i="138" s="1"/>
  <c r="AB78" i="138"/>
  <c r="AC78" i="138" s="1"/>
  <c r="AB77" i="138"/>
  <c r="AC77" i="138" s="1"/>
  <c r="Y78" i="139"/>
  <c r="AA95" i="132"/>
  <c r="AB95" i="132" s="1"/>
  <c r="AC95" i="132" s="1"/>
  <c r="AA87" i="132"/>
  <c r="AB87" i="132" s="1"/>
  <c r="AC87" i="132" s="1"/>
  <c r="Y79" i="123"/>
  <c r="AB79" i="123"/>
  <c r="T103" i="132"/>
  <c r="T105" i="132" s="1"/>
  <c r="W60" i="104"/>
  <c r="X60" i="104" s="1"/>
  <c r="W52" i="104"/>
  <c r="X52" i="104" s="1"/>
  <c r="Z89" i="138"/>
  <c r="Y95" i="139"/>
  <c r="AE94" i="140"/>
  <c r="AF94" i="140" s="1"/>
  <c r="R102" i="134"/>
  <c r="AB97" i="138"/>
  <c r="AC97" i="138" s="1"/>
  <c r="Z92" i="138"/>
  <c r="AB73" i="138"/>
  <c r="AC73" i="138" s="1"/>
  <c r="AB93" i="134"/>
  <c r="AC93" i="134" s="1"/>
  <c r="AB83" i="134"/>
  <c r="AC83" i="134" s="1"/>
  <c r="AB82" i="134"/>
  <c r="AC82" i="134" s="1"/>
  <c r="AB77" i="134"/>
  <c r="AC77" i="134" s="1"/>
  <c r="V30" i="134"/>
  <c r="AB96" i="134"/>
  <c r="AC96" i="134" s="1"/>
  <c r="AB95" i="134"/>
  <c r="AC95" i="134" s="1"/>
  <c r="AB85" i="134"/>
  <c r="AC85" i="134" s="1"/>
  <c r="AB78" i="134"/>
  <c r="AC78" i="134" s="1"/>
  <c r="AB72" i="134"/>
  <c r="AC72" i="134" s="1"/>
  <c r="S103" i="134"/>
  <c r="V50" i="134" s="1"/>
  <c r="AB99" i="134"/>
  <c r="AC99" i="134" s="1"/>
  <c r="AB98" i="134"/>
  <c r="AC98" i="134" s="1"/>
  <c r="AB88" i="134"/>
  <c r="AC88" i="134" s="1"/>
  <c r="U102" i="134"/>
  <c r="H100" i="134"/>
  <c r="H98" i="134"/>
  <c r="H96" i="134"/>
  <c r="H92" i="134"/>
  <c r="H90" i="134"/>
  <c r="H88" i="134"/>
  <c r="H86" i="134"/>
  <c r="H84" i="134"/>
  <c r="H82" i="134"/>
  <c r="H80" i="134"/>
  <c r="H78" i="134"/>
  <c r="H74" i="134"/>
  <c r="H99" i="134"/>
  <c r="H97" i="134"/>
  <c r="H91" i="134"/>
  <c r="H89" i="134"/>
  <c r="H87" i="134"/>
  <c r="H83" i="134"/>
  <c r="H79" i="134"/>
  <c r="H77" i="134"/>
  <c r="H75" i="134"/>
  <c r="H73" i="134"/>
  <c r="H71" i="134"/>
  <c r="F102" i="134"/>
  <c r="N22" i="134" s="1"/>
  <c r="AB79" i="134"/>
  <c r="AC79" i="134" s="1"/>
  <c r="AB90" i="134"/>
  <c r="AC90" i="134" s="1"/>
  <c r="W102" i="134"/>
  <c r="AB94" i="134"/>
  <c r="AC94" i="134" s="1"/>
  <c r="AB71" i="134"/>
  <c r="AB100" i="134"/>
  <c r="AC100" i="134" s="1"/>
  <c r="AB80" i="134"/>
  <c r="AC80" i="134" s="1"/>
  <c r="AB76" i="134"/>
  <c r="AC76" i="134" s="1"/>
  <c r="AB73" i="134"/>
  <c r="AC73" i="134" s="1"/>
  <c r="AB97" i="134"/>
  <c r="AC97" i="134" s="1"/>
  <c r="AB84" i="134"/>
  <c r="AC84" i="134" s="1"/>
  <c r="AB81" i="134"/>
  <c r="AC81" i="134" s="1"/>
  <c r="AB74" i="134"/>
  <c r="AC74" i="134" s="1"/>
  <c r="AB92" i="134"/>
  <c r="AC92" i="134" s="1"/>
  <c r="AB89" i="134"/>
  <c r="AC89" i="134" s="1"/>
  <c r="AB87" i="134"/>
  <c r="AC87" i="134" s="1"/>
  <c r="AB86" i="134"/>
  <c r="AC86" i="134" s="1"/>
  <c r="H93" i="134"/>
  <c r="H76" i="134"/>
  <c r="H72" i="134"/>
  <c r="H94" i="134"/>
  <c r="J17" i="134"/>
  <c r="K17" i="134" s="1"/>
  <c r="N43" i="134"/>
  <c r="X43" i="134"/>
  <c r="X39" i="134"/>
  <c r="Y39" i="134" s="1"/>
  <c r="J16" i="134"/>
  <c r="K16" i="134" s="1"/>
  <c r="I83" i="133"/>
  <c r="J41" i="81"/>
  <c r="L41" i="81" s="1"/>
  <c r="J42" i="81"/>
  <c r="L42" i="81" s="1"/>
  <c r="M42" i="81" s="1"/>
  <c r="Q42" i="81" s="1"/>
  <c r="D75" i="82"/>
  <c r="D63" i="82"/>
  <c r="H24" i="65"/>
  <c r="I24" i="65"/>
  <c r="O34" i="106"/>
  <c r="M34" i="106"/>
  <c r="I24" i="80"/>
  <c r="H24" i="80"/>
  <c r="D79" i="80" s="1"/>
  <c r="G78" i="54"/>
  <c r="G70" i="54"/>
  <c r="H74" i="109"/>
  <c r="I94" i="124"/>
  <c r="D53" i="36"/>
  <c r="H53" i="36" s="1"/>
  <c r="K39" i="47"/>
  <c r="U21" i="47"/>
  <c r="V21" i="47" s="1"/>
  <c r="G68" i="59"/>
  <c r="K40" i="47"/>
  <c r="G59" i="54"/>
  <c r="G55" i="54"/>
  <c r="G58" i="59"/>
  <c r="G69" i="59"/>
  <c r="J43" i="51"/>
  <c r="L43" i="51" s="1"/>
  <c r="M43" i="51" s="1"/>
  <c r="L35" i="81"/>
  <c r="G76" i="62"/>
  <c r="H76" i="62" s="1"/>
  <c r="D78" i="36"/>
  <c r="I24" i="82"/>
  <c r="G64" i="82" s="1"/>
  <c r="M30" i="105"/>
  <c r="G55" i="59"/>
  <c r="G69" i="72"/>
  <c r="G62" i="59"/>
  <c r="H62" i="59" s="1"/>
  <c r="H24" i="34"/>
  <c r="I24" i="34"/>
  <c r="M30" i="106"/>
  <c r="O30" i="106"/>
  <c r="H69" i="91"/>
  <c r="H81" i="91"/>
  <c r="G73" i="54"/>
  <c r="G60" i="54"/>
  <c r="L35" i="69"/>
  <c r="G23" i="47" s="1"/>
  <c r="G63" i="54"/>
  <c r="G67" i="54"/>
  <c r="G74" i="59"/>
  <c r="H74" i="59" s="1"/>
  <c r="G61" i="59"/>
  <c r="H61" i="59" s="1"/>
  <c r="I72" i="133"/>
  <c r="G65" i="62"/>
  <c r="H65" i="62" s="1"/>
  <c r="D70" i="36"/>
  <c r="H70" i="36" s="1"/>
  <c r="D62" i="36"/>
  <c r="D66" i="36"/>
  <c r="G76" i="59"/>
  <c r="G54" i="62"/>
  <c r="H54" i="62" s="1"/>
  <c r="H60" i="72"/>
  <c r="M30" i="16"/>
  <c r="M32" i="16" s="1"/>
  <c r="M33" i="16" s="1"/>
  <c r="M28" i="16"/>
  <c r="M36" i="16"/>
  <c r="J41" i="77"/>
  <c r="L41" i="77" s="1"/>
  <c r="J42" i="77"/>
  <c r="L42" i="77" s="1"/>
  <c r="M42" i="77" s="1"/>
  <c r="Q42" i="77" s="1"/>
  <c r="J40" i="47"/>
  <c r="D57" i="59"/>
  <c r="D69" i="59"/>
  <c r="D65" i="59"/>
  <c r="D59" i="59"/>
  <c r="D71" i="59"/>
  <c r="M32" i="106"/>
  <c r="O32" i="106"/>
  <c r="K30" i="67"/>
  <c r="L30" i="67" s="1"/>
  <c r="M30" i="67" s="1"/>
  <c r="K33" i="67"/>
  <c r="L33" i="67" s="1"/>
  <c r="M33" i="67" s="1"/>
  <c r="K32" i="67"/>
  <c r="L32" i="67" s="1"/>
  <c r="M32" i="67" s="1"/>
  <c r="K31" i="67"/>
  <c r="L31" i="67" s="1"/>
  <c r="M31" i="67" s="1"/>
  <c r="G50" i="55"/>
  <c r="O35" i="47"/>
  <c r="K35" i="47"/>
  <c r="I84" i="133"/>
  <c r="I76" i="133"/>
  <c r="H53" i="104"/>
  <c r="H68" i="109"/>
  <c r="M44" i="60"/>
  <c r="E41" i="47"/>
  <c r="K35" i="59"/>
  <c r="J42" i="51"/>
  <c r="L42" i="51" s="1"/>
  <c r="M42" i="51" s="1"/>
  <c r="J41" i="51"/>
  <c r="L41" i="51"/>
  <c r="H64" i="54"/>
  <c r="G70" i="61"/>
  <c r="K42" i="47"/>
  <c r="O42" i="47"/>
  <c r="W44" i="138"/>
  <c r="E80" i="83"/>
  <c r="M24" i="83" s="1"/>
  <c r="Q59" i="47" s="1"/>
  <c r="G62" i="60"/>
  <c r="K41" i="47"/>
  <c r="O41" i="47"/>
  <c r="O36" i="47"/>
  <c r="K36" i="47"/>
  <c r="G66" i="91"/>
  <c r="H66" i="91" s="1"/>
  <c r="G70" i="91"/>
  <c r="H70" i="111"/>
  <c r="J31" i="47"/>
  <c r="D63" i="50"/>
  <c r="H63" i="50" s="1"/>
  <c r="D78" i="50"/>
  <c r="D58" i="50"/>
  <c r="H58" i="50" s="1"/>
  <c r="D48" i="50"/>
  <c r="D76" i="50"/>
  <c r="D73" i="50"/>
  <c r="D55" i="50"/>
  <c r="D59" i="50"/>
  <c r="D64" i="50"/>
  <c r="H64" i="50" s="1"/>
  <c r="D69" i="50"/>
  <c r="H69" i="50" s="1"/>
  <c r="D51" i="50"/>
  <c r="H51" i="50" s="1"/>
  <c r="D49" i="50"/>
  <c r="D77" i="50"/>
  <c r="H77" i="50" s="1"/>
  <c r="D60" i="50"/>
  <c r="D53" i="50"/>
  <c r="D65" i="50"/>
  <c r="D57" i="50"/>
  <c r="H57" i="50" s="1"/>
  <c r="D71" i="50"/>
  <c r="H71" i="50" s="1"/>
  <c r="D68" i="50"/>
  <c r="H68" i="50" s="1"/>
  <c r="D54" i="50"/>
  <c r="H54" i="50" s="1"/>
  <c r="D61" i="50"/>
  <c r="H61" i="50" s="1"/>
  <c r="D50" i="50"/>
  <c r="D75" i="50"/>
  <c r="D70" i="109"/>
  <c r="D62" i="109"/>
  <c r="D53" i="109"/>
  <c r="D69" i="109"/>
  <c r="D64" i="109"/>
  <c r="H64" i="109" s="1"/>
  <c r="D67" i="109"/>
  <c r="H67" i="109" s="1"/>
  <c r="G52" i="55"/>
  <c r="X78" i="61"/>
  <c r="U42" i="47"/>
  <c r="V42" i="47" s="1"/>
  <c r="D68" i="54"/>
  <c r="H68" i="54" s="1"/>
  <c r="J35" i="47"/>
  <c r="H51" i="62"/>
  <c r="Y51" i="81"/>
  <c r="X77" i="60"/>
  <c r="U41" i="47"/>
  <c r="V41" i="47" s="1"/>
  <c r="X67" i="54"/>
  <c r="K16" i="47"/>
  <c r="O16" i="47"/>
  <c r="D63" i="36"/>
  <c r="H24" i="76"/>
  <c r="I24" i="76"/>
  <c r="G70" i="76" s="1"/>
  <c r="N32" i="123"/>
  <c r="X43" i="138"/>
  <c r="Y43" i="138" s="1"/>
  <c r="G56" i="43"/>
  <c r="G57" i="43"/>
  <c r="H57" i="43"/>
  <c r="G61" i="43"/>
  <c r="G63" i="43"/>
  <c r="G54" i="43"/>
  <c r="D51" i="47"/>
  <c r="D27" i="47"/>
  <c r="H50" i="62"/>
  <c r="K52" i="47"/>
  <c r="H79" i="104"/>
  <c r="H65" i="91"/>
  <c r="D75" i="54"/>
  <c r="H75" i="54" s="1"/>
  <c r="D76" i="54"/>
  <c r="H76" i="54" s="1"/>
  <c r="D65" i="54"/>
  <c r="G77" i="43"/>
  <c r="H77" i="43" s="1"/>
  <c r="X67" i="53"/>
  <c r="G51" i="60"/>
  <c r="D52" i="36"/>
  <c r="H52" i="36" s="1"/>
  <c r="D56" i="36"/>
  <c r="O25" i="47"/>
  <c r="K25" i="47"/>
  <c r="I92" i="133"/>
  <c r="D58" i="37"/>
  <c r="E80" i="44"/>
  <c r="M24" i="44" s="1"/>
  <c r="Q53" i="47" s="1"/>
  <c r="P53" i="47" s="1"/>
  <c r="D74" i="36"/>
  <c r="H74" i="36" s="1"/>
  <c r="D54" i="36"/>
  <c r="H54" i="36" s="1"/>
  <c r="D61" i="36"/>
  <c r="H61" i="36" s="1"/>
  <c r="J45" i="47"/>
  <c r="D76" i="36"/>
  <c r="D59" i="36"/>
  <c r="W38" i="91"/>
  <c r="D72" i="36"/>
  <c r="G58" i="60"/>
  <c r="G72" i="60"/>
  <c r="K14" i="47"/>
  <c r="H70" i="62"/>
  <c r="V34" i="47"/>
  <c r="G63" i="60"/>
  <c r="G76" i="60"/>
  <c r="G61" i="60"/>
  <c r="H61" i="60" s="1"/>
  <c r="G69" i="60"/>
  <c r="H69" i="60" s="1"/>
  <c r="J41" i="54"/>
  <c r="L41" i="54" s="1"/>
  <c r="M33" i="134"/>
  <c r="K35" i="52"/>
  <c r="G72" i="43"/>
  <c r="G75" i="43"/>
  <c r="G50" i="43"/>
  <c r="G71" i="43"/>
  <c r="H71" i="43" s="1"/>
  <c r="G60" i="43"/>
  <c r="G65" i="43"/>
  <c r="G51" i="47"/>
  <c r="G27" i="47"/>
  <c r="H66" i="62"/>
  <c r="H72" i="62"/>
  <c r="L35" i="84"/>
  <c r="G53" i="43"/>
  <c r="I86" i="124"/>
  <c r="H83" i="91"/>
  <c r="X56" i="66"/>
  <c r="U20" i="47"/>
  <c r="V20" i="47" s="1"/>
  <c r="G59" i="43"/>
  <c r="H59" i="43" s="1"/>
  <c r="G55" i="61"/>
  <c r="H55" i="61" s="1"/>
  <c r="J43" i="57"/>
  <c r="L43" i="57" s="1"/>
  <c r="M43" i="57" s="1"/>
  <c r="G79" i="61"/>
  <c r="H79" i="61" s="1"/>
  <c r="D68" i="36"/>
  <c r="O52" i="47"/>
  <c r="D57" i="54"/>
  <c r="H57" i="54" s="1"/>
  <c r="D75" i="36"/>
  <c r="L35" i="38"/>
  <c r="G47" i="47" s="1"/>
  <c r="D71" i="36"/>
  <c r="D67" i="36"/>
  <c r="D49" i="36"/>
  <c r="H49" i="36" s="1"/>
  <c r="D73" i="36"/>
  <c r="H73" i="36" s="1"/>
  <c r="G67" i="60"/>
  <c r="H67" i="60" s="1"/>
  <c r="G49" i="60"/>
  <c r="U26" i="47"/>
  <c r="V26" i="47" s="1"/>
  <c r="H66" i="104"/>
  <c r="J44" i="54"/>
  <c r="L44" i="54" s="1"/>
  <c r="M44" i="54" s="1"/>
  <c r="G73" i="61"/>
  <c r="J44" i="57"/>
  <c r="L44" i="57" s="1"/>
  <c r="M44" i="57" s="1"/>
  <c r="G62" i="43"/>
  <c r="H62" i="43" s="1"/>
  <c r="G74" i="43"/>
  <c r="G58" i="43"/>
  <c r="G66" i="43"/>
  <c r="H66" i="43" s="1"/>
  <c r="G52" i="43"/>
  <c r="H52" i="43" s="1"/>
  <c r="G73" i="43"/>
  <c r="G49" i="43"/>
  <c r="H49" i="43" s="1"/>
  <c r="G59" i="60"/>
  <c r="X56" i="69"/>
  <c r="U23" i="47"/>
  <c r="V23" i="47" s="1"/>
  <c r="X67" i="51"/>
  <c r="U31" i="47"/>
  <c r="V31" i="47" s="1"/>
  <c r="H69" i="84"/>
  <c r="H76" i="91"/>
  <c r="H57" i="37"/>
  <c r="G55" i="43"/>
  <c r="H55" i="43" s="1"/>
  <c r="D79" i="54"/>
  <c r="D60" i="54"/>
  <c r="D70" i="54"/>
  <c r="H70" i="54" s="1"/>
  <c r="D61" i="54"/>
  <c r="X67" i="55"/>
  <c r="X67" i="56"/>
  <c r="G52" i="60"/>
  <c r="Y50" i="60"/>
  <c r="Y51" i="60" s="1"/>
  <c r="Y52" i="60" s="1"/>
  <c r="Y53" i="60" s="1"/>
  <c r="Y54" i="60" s="1"/>
  <c r="I94" i="133"/>
  <c r="E80" i="107"/>
  <c r="M24" i="107" s="1"/>
  <c r="Q65" i="47" s="1"/>
  <c r="P65" i="47" s="1"/>
  <c r="D77" i="54"/>
  <c r="L45" i="69"/>
  <c r="H23" i="47" s="1"/>
  <c r="D64" i="36"/>
  <c r="D50" i="36"/>
  <c r="H50" i="36" s="1"/>
  <c r="D55" i="36"/>
  <c r="D69" i="36"/>
  <c r="D57" i="36"/>
  <c r="H57" i="36" s="1"/>
  <c r="D65" i="36"/>
  <c r="D60" i="36"/>
  <c r="M33" i="123"/>
  <c r="V28" i="47"/>
  <c r="V36" i="47"/>
  <c r="G68" i="60"/>
  <c r="G74" i="60"/>
  <c r="G53" i="60"/>
  <c r="H53" i="60" s="1"/>
  <c r="D61" i="60"/>
  <c r="D58" i="60"/>
  <c r="D63" i="60"/>
  <c r="D78" i="60"/>
  <c r="H78" i="60" s="1"/>
  <c r="D74" i="60"/>
  <c r="D51" i="60"/>
  <c r="D54" i="60"/>
  <c r="D57" i="60"/>
  <c r="D73" i="60"/>
  <c r="D72" i="60"/>
  <c r="D59" i="60"/>
  <c r="D50" i="60"/>
  <c r="D56" i="60"/>
  <c r="H56" i="60" s="1"/>
  <c r="D65" i="60"/>
  <c r="D66" i="60"/>
  <c r="D64" i="60"/>
  <c r="D71" i="60"/>
  <c r="D62" i="60"/>
  <c r="D52" i="60"/>
  <c r="G43" i="49"/>
  <c r="G15" i="49"/>
  <c r="G44" i="49"/>
  <c r="X70" i="50"/>
  <c r="E80" i="74"/>
  <c r="M24" i="74" s="1"/>
  <c r="Q29" i="47" s="1"/>
  <c r="Z29" i="47" s="1"/>
  <c r="AA29" i="47" s="1"/>
  <c r="H65" i="104"/>
  <c r="G75" i="61"/>
  <c r="H75" i="61" s="1"/>
  <c r="G69" i="61"/>
  <c r="H69" i="61"/>
  <c r="G61" i="61"/>
  <c r="H61" i="61" s="1"/>
  <c r="H84" i="111"/>
  <c r="G78" i="61"/>
  <c r="H78" i="61" s="1"/>
  <c r="G63" i="61"/>
  <c r="H63" i="61" s="1"/>
  <c r="G65" i="61"/>
  <c r="H65" i="61" s="1"/>
  <c r="G60" i="61"/>
  <c r="H60" i="61" s="1"/>
  <c r="G50" i="61"/>
  <c r="H50" i="61" s="1"/>
  <c r="G74" i="61"/>
  <c r="G49" i="61"/>
  <c r="W39" i="91"/>
  <c r="G103" i="49"/>
  <c r="I80" i="133"/>
  <c r="G54" i="61"/>
  <c r="H54" i="61" s="1"/>
  <c r="G59" i="61"/>
  <c r="H59" i="61" s="1"/>
  <c r="G62" i="61"/>
  <c r="H62" i="61" s="1"/>
  <c r="G76" i="61"/>
  <c r="H76" i="61" s="1"/>
  <c r="G56" i="61"/>
  <c r="H56" i="61" s="1"/>
  <c r="G51" i="61"/>
  <c r="H51" i="61" s="1"/>
  <c r="W44" i="133"/>
  <c r="Y50" i="134"/>
  <c r="X54" i="134"/>
  <c r="G77" i="72"/>
  <c r="H77" i="72" s="1"/>
  <c r="H56" i="43"/>
  <c r="J41" i="52"/>
  <c r="L41" i="52" s="1"/>
  <c r="G77" i="61"/>
  <c r="H77" i="61" s="1"/>
  <c r="G72" i="61"/>
  <c r="G68" i="61"/>
  <c r="H68" i="61" s="1"/>
  <c r="G14" i="49"/>
  <c r="H83" i="111"/>
  <c r="G53" i="61"/>
  <c r="G66" i="61"/>
  <c r="G58" i="91"/>
  <c r="H58" i="91" s="1"/>
  <c r="W38" i="110"/>
  <c r="V55" i="139"/>
  <c r="W44" i="134"/>
  <c r="D69" i="54"/>
  <c r="D71" i="54"/>
  <c r="D59" i="54"/>
  <c r="D50" i="37"/>
  <c r="D53" i="54"/>
  <c r="D49" i="54"/>
  <c r="I100" i="133"/>
  <c r="D63" i="54"/>
  <c r="D78" i="54"/>
  <c r="D67" i="54"/>
  <c r="W39" i="110"/>
  <c r="AA42" i="123"/>
  <c r="I24" i="83"/>
  <c r="G63" i="83" s="1"/>
  <c r="H24" i="83"/>
  <c r="O33" i="80"/>
  <c r="Q33" i="80" s="1"/>
  <c r="I10" i="80"/>
  <c r="M32" i="80" s="1"/>
  <c r="L35" i="77"/>
  <c r="D51" i="54"/>
  <c r="D50" i="54"/>
  <c r="H50" i="54" s="1"/>
  <c r="M31" i="80"/>
  <c r="Q31" i="80" s="1"/>
  <c r="AA41" i="123"/>
  <c r="K54" i="124"/>
  <c r="W38" i="111"/>
  <c r="W37" i="111"/>
  <c r="W41" i="111" s="1"/>
  <c r="Z54" i="47"/>
  <c r="X41" i="91"/>
  <c r="M32" i="91"/>
  <c r="G67" i="47" s="1"/>
  <c r="I94" i="139"/>
  <c r="M44" i="133"/>
  <c r="I91" i="133"/>
  <c r="H72" i="91"/>
  <c r="H88" i="91"/>
  <c r="G86" i="91"/>
  <c r="H86" i="91" s="1"/>
  <c r="H79" i="91"/>
  <c r="G76" i="43"/>
  <c r="H76" i="43" s="1"/>
  <c r="G51" i="43"/>
  <c r="H51" i="43" s="1"/>
  <c r="G79" i="43"/>
  <c r="H79" i="43" s="1"/>
  <c r="G78" i="43"/>
  <c r="H78" i="43" s="1"/>
  <c r="H102" i="133"/>
  <c r="E107" i="133" s="1"/>
  <c r="F107" i="133" s="1"/>
  <c r="M36" i="11"/>
  <c r="M30" i="11"/>
  <c r="M32" i="11" s="1"/>
  <c r="M33" i="11" s="1"/>
  <c r="M28" i="11"/>
  <c r="J42" i="66"/>
  <c r="L42" i="66" s="1"/>
  <c r="M42" i="66" s="1"/>
  <c r="J41" i="66"/>
  <c r="L41" i="66" s="1"/>
  <c r="G66" i="82"/>
  <c r="H55" i="84"/>
  <c r="J44" i="52"/>
  <c r="L44" i="52" s="1"/>
  <c r="M44" i="52" s="1"/>
  <c r="L35" i="59"/>
  <c r="G40" i="47" s="1"/>
  <c r="M42" i="82"/>
  <c r="D49" i="61"/>
  <c r="D74" i="61"/>
  <c r="D73" i="61"/>
  <c r="D57" i="61"/>
  <c r="D53" i="61"/>
  <c r="D70" i="61"/>
  <c r="D66" i="61"/>
  <c r="D58" i="61"/>
  <c r="D73" i="54"/>
  <c r="H73" i="54" s="1"/>
  <c r="D52" i="54"/>
  <c r="D74" i="54"/>
  <c r="D50" i="82"/>
  <c r="D58" i="82"/>
  <c r="D52" i="82"/>
  <c r="D62" i="82"/>
  <c r="D54" i="82"/>
  <c r="D49" i="82"/>
  <c r="D78" i="82"/>
  <c r="D66" i="82"/>
  <c r="H66" i="82" s="1"/>
  <c r="D70" i="82"/>
  <c r="D56" i="82"/>
  <c r="D69" i="82"/>
  <c r="D73" i="82"/>
  <c r="D53" i="82"/>
  <c r="D51" i="82"/>
  <c r="D74" i="82"/>
  <c r="D65" i="82"/>
  <c r="D67" i="82"/>
  <c r="D55" i="82"/>
  <c r="D64" i="82"/>
  <c r="D72" i="82"/>
  <c r="D61" i="82"/>
  <c r="D59" i="82"/>
  <c r="D76" i="82"/>
  <c r="D57" i="82"/>
  <c r="D68" i="82"/>
  <c r="D77" i="82"/>
  <c r="D60" i="82"/>
  <c r="D71" i="82"/>
  <c r="Q34" i="81"/>
  <c r="E80" i="109"/>
  <c r="M24" i="109" s="1"/>
  <c r="Q66" i="47" s="1"/>
  <c r="X66" i="47" s="1"/>
  <c r="G65" i="109"/>
  <c r="J41" i="37"/>
  <c r="L41" i="37" s="1"/>
  <c r="J42" i="37"/>
  <c r="L42" i="37" s="1"/>
  <c r="M42" i="37" s="1"/>
  <c r="J44" i="37"/>
  <c r="L44" i="37" s="1"/>
  <c r="M44" i="37" s="1"/>
  <c r="J43" i="37"/>
  <c r="L43" i="37" s="1"/>
  <c r="M43" i="37" s="1"/>
  <c r="O44" i="82"/>
  <c r="O45" i="82" s="1"/>
  <c r="E60" i="47" s="1"/>
  <c r="G76" i="71"/>
  <c r="G68" i="71"/>
  <c r="G52" i="71"/>
  <c r="G63" i="71"/>
  <c r="G69" i="71"/>
  <c r="G66" i="71"/>
  <c r="G54" i="71"/>
  <c r="G72" i="71"/>
  <c r="G62" i="71"/>
  <c r="G56" i="71"/>
  <c r="G70" i="71"/>
  <c r="G58" i="71"/>
  <c r="G50" i="71"/>
  <c r="G57" i="71"/>
  <c r="D80" i="62"/>
  <c r="D15" i="62" s="1"/>
  <c r="D67" i="71"/>
  <c r="D77" i="71"/>
  <c r="H77" i="71" s="1"/>
  <c r="D61" i="71"/>
  <c r="D57" i="71"/>
  <c r="D74" i="71"/>
  <c r="D65" i="71"/>
  <c r="D60" i="71"/>
  <c r="D50" i="71"/>
  <c r="D59" i="71"/>
  <c r="D66" i="71"/>
  <c r="D64" i="71"/>
  <c r="D54" i="71"/>
  <c r="D55" i="71"/>
  <c r="D71" i="71"/>
  <c r="H71" i="71" s="1"/>
  <c r="D56" i="71"/>
  <c r="D70" i="71"/>
  <c r="D49" i="71"/>
  <c r="D75" i="71"/>
  <c r="D72" i="71"/>
  <c r="D73" i="71"/>
  <c r="D51" i="71"/>
  <c r="D68" i="71"/>
  <c r="D63" i="71"/>
  <c r="D58" i="71"/>
  <c r="D79" i="71"/>
  <c r="H79" i="71" s="1"/>
  <c r="D69" i="71"/>
  <c r="D53" i="71"/>
  <c r="D62" i="71"/>
  <c r="D78" i="71"/>
  <c r="D52" i="71"/>
  <c r="D76" i="71"/>
  <c r="J41" i="71"/>
  <c r="L41" i="71" s="1"/>
  <c r="M41" i="71" s="1"/>
  <c r="J42" i="71"/>
  <c r="L42" i="71" s="1"/>
  <c r="M42" i="71" s="1"/>
  <c r="J44" i="71"/>
  <c r="L44" i="71" s="1"/>
  <c r="M44" i="71" s="1"/>
  <c r="J43" i="71"/>
  <c r="L43" i="71" s="1"/>
  <c r="M43" i="71" s="1"/>
  <c r="G51" i="71"/>
  <c r="D68" i="37"/>
  <c r="H68" i="37"/>
  <c r="D65" i="37"/>
  <c r="H65" i="37" s="1"/>
  <c r="O43" i="106"/>
  <c r="Q43" i="106" s="1"/>
  <c r="G49" i="71"/>
  <c r="G67" i="105"/>
  <c r="X67" i="50"/>
  <c r="J41" i="58"/>
  <c r="L41" i="58" s="1"/>
  <c r="L45" i="58" s="1"/>
  <c r="H15" i="47" s="1"/>
  <c r="J42" i="58"/>
  <c r="L42" i="58" s="1"/>
  <c r="M42" i="58" s="1"/>
  <c r="J44" i="58"/>
  <c r="L44" i="58" s="1"/>
  <c r="M44" i="58" s="1"/>
  <c r="J43" i="58"/>
  <c r="L43" i="58" s="1"/>
  <c r="M43" i="58" s="1"/>
  <c r="D89" i="91"/>
  <c r="E92" i="91" s="1"/>
  <c r="F92" i="91" s="1"/>
  <c r="G62" i="49"/>
  <c r="G68" i="49"/>
  <c r="Y50" i="55"/>
  <c r="X72" i="50"/>
  <c r="X69" i="50"/>
  <c r="X68" i="50"/>
  <c r="X77" i="50"/>
  <c r="X73" i="50"/>
  <c r="X78" i="50"/>
  <c r="J42" i="61"/>
  <c r="L42" i="61" s="1"/>
  <c r="M42" i="61" s="1"/>
  <c r="J43" i="61"/>
  <c r="L43" i="61" s="1"/>
  <c r="M43" i="61" s="1"/>
  <c r="J41" i="61"/>
  <c r="L41" i="61" s="1"/>
  <c r="L45" i="61" s="1"/>
  <c r="J44" i="61"/>
  <c r="L44" i="61" s="1"/>
  <c r="G50" i="60"/>
  <c r="G73" i="59"/>
  <c r="M44" i="106"/>
  <c r="O44" i="106"/>
  <c r="H69" i="111"/>
  <c r="H81" i="111"/>
  <c r="H71" i="111"/>
  <c r="K79" i="49"/>
  <c r="G79" i="49"/>
  <c r="G50" i="70"/>
  <c r="H24" i="53"/>
  <c r="J34" i="47" s="1"/>
  <c r="I24" i="53"/>
  <c r="K35" i="36"/>
  <c r="D77" i="55"/>
  <c r="D67" i="55"/>
  <c r="D71" i="55"/>
  <c r="D68" i="55"/>
  <c r="D60" i="55"/>
  <c r="D70" i="55"/>
  <c r="D63" i="55"/>
  <c r="D50" i="55"/>
  <c r="D75" i="55"/>
  <c r="D51" i="55"/>
  <c r="D74" i="55"/>
  <c r="D54" i="55"/>
  <c r="D62" i="55"/>
  <c r="D66" i="55"/>
  <c r="D69" i="55"/>
  <c r="D65" i="55"/>
  <c r="D72" i="55"/>
  <c r="D57" i="55"/>
  <c r="D64" i="55"/>
  <c r="D53" i="55"/>
  <c r="D73" i="55"/>
  <c r="D59" i="55"/>
  <c r="H59" i="55" s="1"/>
  <c r="D76" i="55"/>
  <c r="D58" i="55"/>
  <c r="D78" i="55"/>
  <c r="D61" i="55"/>
  <c r="H61" i="55" s="1"/>
  <c r="D49" i="55"/>
  <c r="H49" i="55" s="1"/>
  <c r="D56" i="55"/>
  <c r="K8" i="49"/>
  <c r="G8" i="49"/>
  <c r="H8" i="49" s="1"/>
  <c r="G63" i="49"/>
  <c r="D52" i="55"/>
  <c r="X54" i="47"/>
  <c r="G78" i="49"/>
  <c r="J44" i="72"/>
  <c r="L44" i="72" s="1"/>
  <c r="M44" i="72" s="1"/>
  <c r="G36" i="49"/>
  <c r="L37" i="91"/>
  <c r="I41" i="65"/>
  <c r="K41" i="65" s="1"/>
  <c r="L41" i="65" s="1"/>
  <c r="I43" i="65"/>
  <c r="K43" i="65" s="1"/>
  <c r="L43" i="65" s="1"/>
  <c r="J41" i="55"/>
  <c r="L41" i="55" s="1"/>
  <c r="L45" i="55" s="1"/>
  <c r="H36" i="47" s="1"/>
  <c r="J42" i="55"/>
  <c r="L42" i="55" s="1"/>
  <c r="M42" i="55" s="1"/>
  <c r="J43" i="55"/>
  <c r="L43" i="55" s="1"/>
  <c r="M43" i="55" s="1"/>
  <c r="J44" i="55"/>
  <c r="L44" i="55"/>
  <c r="M44" i="55" s="1"/>
  <c r="I24" i="45"/>
  <c r="G57" i="45" s="1"/>
  <c r="H24" i="45"/>
  <c r="D63" i="45" s="1"/>
  <c r="H63" i="45" s="1"/>
  <c r="G71" i="55"/>
  <c r="G62" i="55"/>
  <c r="H62" i="55" s="1"/>
  <c r="G57" i="55"/>
  <c r="G64" i="55"/>
  <c r="G77" i="55"/>
  <c r="G65" i="55"/>
  <c r="G69" i="55"/>
  <c r="G70" i="55"/>
  <c r="G76" i="55"/>
  <c r="G63" i="55"/>
  <c r="G49" i="55"/>
  <c r="G51" i="55"/>
  <c r="G58" i="55"/>
  <c r="G68" i="55"/>
  <c r="G73" i="55"/>
  <c r="G74" i="55"/>
  <c r="G72" i="55"/>
  <c r="G75" i="55"/>
  <c r="H75" i="55" s="1"/>
  <c r="G66" i="55"/>
  <c r="G53" i="55"/>
  <c r="G59" i="55"/>
  <c r="G67" i="55"/>
  <c r="G104" i="49"/>
  <c r="K104" i="49"/>
  <c r="G93" i="49"/>
  <c r="G76" i="49"/>
  <c r="K76" i="49"/>
  <c r="K84" i="49"/>
  <c r="G84" i="49"/>
  <c r="D55" i="55"/>
  <c r="H69" i="37"/>
  <c r="H88" i="111"/>
  <c r="G63" i="69"/>
  <c r="J43" i="64"/>
  <c r="L43" i="64" s="1"/>
  <c r="M43" i="64" s="1"/>
  <c r="J42" i="64"/>
  <c r="L42" i="64" s="1"/>
  <c r="M42" i="64" s="1"/>
  <c r="J44" i="64"/>
  <c r="L44" i="64" s="1"/>
  <c r="M44" i="64" s="1"/>
  <c r="J41" i="64"/>
  <c r="L41" i="64" s="1"/>
  <c r="G86" i="49"/>
  <c r="K86" i="49"/>
  <c r="L30" i="68"/>
  <c r="M30" i="68" s="1"/>
  <c r="M35" i="68" s="1"/>
  <c r="D22" i="47" s="1"/>
  <c r="K35" i="68"/>
  <c r="O31" i="109"/>
  <c r="G67" i="49"/>
  <c r="K67" i="49"/>
  <c r="K56" i="49"/>
  <c r="G56" i="49"/>
  <c r="G52" i="49"/>
  <c r="G32" i="49"/>
  <c r="Z67" i="47"/>
  <c r="G30" i="49"/>
  <c r="H79" i="111"/>
  <c r="J44" i="67"/>
  <c r="L44" i="67" s="1"/>
  <c r="M44" i="67" s="1"/>
  <c r="J41" i="67"/>
  <c r="L41" i="67" s="1"/>
  <c r="M41" i="67" s="1"/>
  <c r="J42" i="67"/>
  <c r="L42" i="67" s="1"/>
  <c r="M42" i="67" s="1"/>
  <c r="J43" i="67"/>
  <c r="L43" i="67" s="1"/>
  <c r="M43" i="67" s="1"/>
  <c r="H24" i="38"/>
  <c r="D55" i="38" s="1"/>
  <c r="I24" i="38"/>
  <c r="K35" i="49"/>
  <c r="G35" i="49"/>
  <c r="K73" i="49"/>
  <c r="K17" i="49"/>
  <c r="G17" i="49"/>
  <c r="K115" i="49"/>
  <c r="K95" i="49"/>
  <c r="G95" i="49"/>
  <c r="K116" i="49"/>
  <c r="G116" i="49"/>
  <c r="Q42" i="76"/>
  <c r="G98" i="49"/>
  <c r="D59" i="110"/>
  <c r="H59" i="110" s="1"/>
  <c r="D68" i="110"/>
  <c r="H68" i="110" s="1"/>
  <c r="D77" i="110"/>
  <c r="H77" i="110" s="1"/>
  <c r="D70" i="110"/>
  <c r="H70" i="110" s="1"/>
  <c r="D74" i="110"/>
  <c r="H74" i="110" s="1"/>
  <c r="D72" i="110"/>
  <c r="H72" i="110" s="1"/>
  <c r="D69" i="110"/>
  <c r="H69" i="110" s="1"/>
  <c r="D65" i="110"/>
  <c r="H65" i="110" s="1"/>
  <c r="D62" i="110"/>
  <c r="H62" i="110" s="1"/>
  <c r="D58" i="110"/>
  <c r="H58" i="110" s="1"/>
  <c r="D82" i="110"/>
  <c r="H82" i="110" s="1"/>
  <c r="D67" i="110"/>
  <c r="H67" i="110" s="1"/>
  <c r="D84" i="110"/>
  <c r="H84" i="110" s="1"/>
  <c r="D64" i="110"/>
  <c r="H64" i="110" s="1"/>
  <c r="D85" i="110"/>
  <c r="H85" i="110" s="1"/>
  <c r="D75" i="110"/>
  <c r="H75" i="110" s="1"/>
  <c r="D78" i="110"/>
  <c r="H78" i="110" s="1"/>
  <c r="D66" i="110"/>
  <c r="H66" i="110" s="1"/>
  <c r="D71" i="110"/>
  <c r="H71" i="110" s="1"/>
  <c r="D76" i="110"/>
  <c r="H76" i="110" s="1"/>
  <c r="D73" i="110"/>
  <c r="H73" i="110" s="1"/>
  <c r="D63" i="110"/>
  <c r="H63" i="110" s="1"/>
  <c r="D60" i="110"/>
  <c r="H60" i="110" s="1"/>
  <c r="D83" i="110"/>
  <c r="H83" i="110" s="1"/>
  <c r="D81" i="110"/>
  <c r="H81" i="110" s="1"/>
  <c r="D80" i="110"/>
  <c r="H80" i="110" s="1"/>
  <c r="D79" i="110"/>
  <c r="H79" i="110" s="1"/>
  <c r="G58" i="61"/>
  <c r="H58" i="61" s="1"/>
  <c r="L39" i="91"/>
  <c r="X67" i="47"/>
  <c r="L38" i="91"/>
  <c r="L38" i="110"/>
  <c r="L41" i="110" s="1"/>
  <c r="L37" i="110"/>
  <c r="Q68" i="47"/>
  <c r="X68" i="47" s="1"/>
  <c r="L39" i="110"/>
  <c r="H85" i="111"/>
  <c r="E89" i="91"/>
  <c r="M21" i="91" s="1"/>
  <c r="E89" i="110"/>
  <c r="M21" i="110" s="1"/>
  <c r="Q69" i="47"/>
  <c r="L38" i="111"/>
  <c r="L39" i="111"/>
  <c r="L41" i="111" s="1"/>
  <c r="H80" i="111"/>
  <c r="Y59" i="111"/>
  <c r="H68" i="111"/>
  <c r="H58" i="111"/>
  <c r="G77" i="111"/>
  <c r="H77" i="111" s="1"/>
  <c r="H65" i="111"/>
  <c r="X70" i="47"/>
  <c r="L39" i="112"/>
  <c r="H78" i="112"/>
  <c r="X44" i="133"/>
  <c r="J43" i="41"/>
  <c r="L43" i="41" s="1"/>
  <c r="M43" i="41" s="1"/>
  <c r="J41" i="41"/>
  <c r="L41" i="41" s="1"/>
  <c r="M41" i="41" s="1"/>
  <c r="S21" i="49"/>
  <c r="G21" i="49"/>
  <c r="S89" i="49"/>
  <c r="K97" i="49"/>
  <c r="S114" i="49"/>
  <c r="G114" i="49"/>
  <c r="G26" i="49"/>
  <c r="K77" i="49"/>
  <c r="G77" i="49"/>
  <c r="K10" i="49"/>
  <c r="G10" i="49"/>
  <c r="K48" i="49"/>
  <c r="G99" i="49"/>
  <c r="K70" i="49"/>
  <c r="K54" i="49"/>
  <c r="G54" i="49"/>
  <c r="G45" i="49"/>
  <c r="K45" i="49"/>
  <c r="S47" i="49"/>
  <c r="G47" i="49"/>
  <c r="K39" i="49"/>
  <c r="K71" i="49"/>
  <c r="O44" i="81"/>
  <c r="M44" i="81"/>
  <c r="Q43" i="109"/>
  <c r="M41" i="109"/>
  <c r="O41" i="109"/>
  <c r="L45" i="109"/>
  <c r="E80" i="73"/>
  <c r="M24" i="73" s="1"/>
  <c r="Q28" i="47" s="1"/>
  <c r="P28" i="47" s="1"/>
  <c r="J42" i="72"/>
  <c r="L42" i="72" s="1"/>
  <c r="M42" i="72" s="1"/>
  <c r="J41" i="72"/>
  <c r="L41" i="72" s="1"/>
  <c r="L45" i="72" s="1"/>
  <c r="H26" i="47" s="1"/>
  <c r="X51" i="61"/>
  <c r="Y51" i="61" s="1"/>
  <c r="Y52" i="61" s="1"/>
  <c r="Y53" i="61" s="1"/>
  <c r="G48" i="50"/>
  <c r="G29" i="49"/>
  <c r="G25" i="49"/>
  <c r="I71" i="124"/>
  <c r="D101" i="124"/>
  <c r="E104" i="124" s="1"/>
  <c r="F104" i="124" s="1"/>
  <c r="J44" i="105"/>
  <c r="L44" i="105" s="1"/>
  <c r="O44" i="105" s="1"/>
  <c r="Q44" i="105" s="1"/>
  <c r="G65" i="60"/>
  <c r="G49" i="59"/>
  <c r="J41" i="53"/>
  <c r="L41" i="53" s="1"/>
  <c r="M41" i="53" s="1"/>
  <c r="J42" i="53"/>
  <c r="L42" i="53" s="1"/>
  <c r="M42" i="53" s="1"/>
  <c r="J43" i="53"/>
  <c r="L43" i="53" s="1"/>
  <c r="M43" i="53" s="1"/>
  <c r="L44" i="53"/>
  <c r="M44" i="53" s="1"/>
  <c r="K74" i="49"/>
  <c r="G18" i="49"/>
  <c r="S105" i="49"/>
  <c r="G108" i="49"/>
  <c r="K22" i="49"/>
  <c r="G22" i="49"/>
  <c r="K12" i="49"/>
  <c r="G12" i="49"/>
  <c r="G87" i="49"/>
  <c r="K87" i="49"/>
  <c r="K65" i="49"/>
  <c r="G65" i="49"/>
  <c r="K53" i="49"/>
  <c r="G53" i="49"/>
  <c r="S41" i="49"/>
  <c r="G41" i="49"/>
  <c r="K28" i="49"/>
  <c r="G28" i="49"/>
  <c r="K19" i="49"/>
  <c r="K100" i="49"/>
  <c r="G100" i="49"/>
  <c r="G58" i="110"/>
  <c r="G89" i="110" s="1"/>
  <c r="E93" i="110" s="1"/>
  <c r="F93" i="110" s="1"/>
  <c r="G58" i="49"/>
  <c r="G55" i="49"/>
  <c r="X49" i="73"/>
  <c r="W80" i="73"/>
  <c r="G65" i="54"/>
  <c r="H65" i="54" s="1"/>
  <c r="G53" i="54"/>
  <c r="H61" i="84"/>
  <c r="K35" i="62"/>
  <c r="X50" i="138"/>
  <c r="Y50" i="138" s="1"/>
  <c r="K101" i="49"/>
  <c r="G101" i="49"/>
  <c r="S42" i="49"/>
  <c r="G42" i="49"/>
  <c r="G75" i="49"/>
  <c r="K59" i="49"/>
  <c r="G59" i="49"/>
  <c r="S61" i="49"/>
  <c r="G61" i="49"/>
  <c r="S102" i="49"/>
  <c r="G102" i="49"/>
  <c r="K80" i="49"/>
  <c r="G80" i="49"/>
  <c r="G60" i="49"/>
  <c r="K20" i="49"/>
  <c r="G82" i="49"/>
  <c r="K72" i="49"/>
  <c r="G72" i="49"/>
  <c r="K16" i="49"/>
  <c r="G16" i="49"/>
  <c r="O44" i="109"/>
  <c r="M44" i="109"/>
  <c r="G61" i="54"/>
  <c r="G52" i="54"/>
  <c r="G49" i="54"/>
  <c r="L31" i="50"/>
  <c r="H66" i="54"/>
  <c r="M31" i="77"/>
  <c r="O32" i="77"/>
  <c r="O35" i="77" s="1"/>
  <c r="D56" i="47" s="1"/>
  <c r="M34" i="77"/>
  <c r="I11" i="77" s="1"/>
  <c r="M30" i="77"/>
  <c r="Q30" i="77" s="1"/>
  <c r="M32" i="77"/>
  <c r="O43" i="77"/>
  <c r="H63" i="37"/>
  <c r="G11" i="45"/>
  <c r="G12" i="45" s="1"/>
  <c r="G13" i="45" s="1"/>
  <c r="I91" i="139"/>
  <c r="I17" i="139"/>
  <c r="G72" i="111"/>
  <c r="H72" i="111" s="1"/>
  <c r="I43" i="50"/>
  <c r="K43" i="50" s="1"/>
  <c r="L43" i="50" s="1"/>
  <c r="I40" i="50"/>
  <c r="K40" i="50" s="1"/>
  <c r="L40" i="50" s="1"/>
  <c r="I42" i="50"/>
  <c r="K42" i="50" s="1"/>
  <c r="L42" i="50" s="1"/>
  <c r="L41" i="50"/>
  <c r="G112" i="49"/>
  <c r="G46" i="49"/>
  <c r="G27" i="49"/>
  <c r="G24" i="49"/>
  <c r="K24" i="49"/>
  <c r="K90" i="49"/>
  <c r="G90" i="49"/>
  <c r="K49" i="49"/>
  <c r="K31" i="49"/>
  <c r="G31" i="49"/>
  <c r="K111" i="49"/>
  <c r="G111" i="49"/>
  <c r="K40" i="49"/>
  <c r="G40" i="49"/>
  <c r="G11" i="109"/>
  <c r="J43" i="75"/>
  <c r="L43" i="75" s="1"/>
  <c r="M43" i="75" s="1"/>
  <c r="J41" i="75"/>
  <c r="L41" i="75" s="1"/>
  <c r="L45" i="75" s="1"/>
  <c r="J44" i="75"/>
  <c r="L44" i="75" s="1"/>
  <c r="M44" i="75" s="1"/>
  <c r="G51" i="69"/>
  <c r="H51" i="69" s="1"/>
  <c r="I24" i="66"/>
  <c r="H24" i="66"/>
  <c r="D73" i="66" s="1"/>
  <c r="G57" i="61"/>
  <c r="K33" i="57"/>
  <c r="L33" i="57" s="1"/>
  <c r="M33" i="57" s="1"/>
  <c r="K31" i="57"/>
  <c r="L31" i="57" s="1"/>
  <c r="M31" i="57" s="1"/>
  <c r="K30" i="57"/>
  <c r="L30" i="57" s="1"/>
  <c r="M30" i="57" s="1"/>
  <c r="K32" i="57"/>
  <c r="L32" i="57" s="1"/>
  <c r="M32" i="57" s="1"/>
  <c r="G92" i="49"/>
  <c r="H76" i="84"/>
  <c r="H55" i="69"/>
  <c r="I82" i="139"/>
  <c r="K55" i="139"/>
  <c r="L53" i="139" s="1"/>
  <c r="M53" i="139" s="1"/>
  <c r="N53" i="139" s="1"/>
  <c r="I88" i="139"/>
  <c r="I90" i="139"/>
  <c r="D73" i="132"/>
  <c r="I73" i="132" s="1"/>
  <c r="D78" i="132"/>
  <c r="I78" i="132" s="1"/>
  <c r="D85" i="132"/>
  <c r="D90" i="132"/>
  <c r="D71" i="132"/>
  <c r="I71" i="132" s="1"/>
  <c r="D83" i="132"/>
  <c r="I83" i="132" s="1"/>
  <c r="J75" i="47"/>
  <c r="G78" i="50"/>
  <c r="G71" i="105"/>
  <c r="G73" i="105"/>
  <c r="G65" i="105"/>
  <c r="G66" i="105"/>
  <c r="G76" i="105"/>
  <c r="G75" i="105"/>
  <c r="X49" i="69"/>
  <c r="Y49" i="69" s="1"/>
  <c r="Y50" i="69" s="1"/>
  <c r="Y51" i="69" s="1"/>
  <c r="Y52" i="69" s="1"/>
  <c r="Y53" i="69" s="1"/>
  <c r="D78" i="63"/>
  <c r="D71" i="63"/>
  <c r="D54" i="63"/>
  <c r="D69" i="63"/>
  <c r="D72" i="63"/>
  <c r="D79" i="63"/>
  <c r="D75" i="63"/>
  <c r="D70" i="63"/>
  <c r="D64" i="63"/>
  <c r="D58" i="63"/>
  <c r="D52" i="63"/>
  <c r="D53" i="63"/>
  <c r="D63" i="63"/>
  <c r="D50" i="63"/>
  <c r="D62" i="63"/>
  <c r="D57" i="63"/>
  <c r="D76" i="63"/>
  <c r="D67" i="63"/>
  <c r="D65" i="63"/>
  <c r="D60" i="63"/>
  <c r="I88" i="123"/>
  <c r="G58" i="84"/>
  <c r="H58" i="84" s="1"/>
  <c r="X55" i="51"/>
  <c r="I24" i="51"/>
  <c r="D102" i="138"/>
  <c r="I102" i="138" s="1"/>
  <c r="G70" i="84"/>
  <c r="H70" i="84" s="1"/>
  <c r="X75" i="63"/>
  <c r="G96" i="49"/>
  <c r="M28" i="31"/>
  <c r="J44" i="43"/>
  <c r="L44" i="43" s="1"/>
  <c r="D75" i="105"/>
  <c r="D64" i="105"/>
  <c r="D59" i="105"/>
  <c r="D67" i="105"/>
  <c r="D49" i="105"/>
  <c r="D63" i="105"/>
  <c r="D72" i="105"/>
  <c r="D50" i="105"/>
  <c r="D54" i="105"/>
  <c r="D70" i="105"/>
  <c r="D57" i="105"/>
  <c r="D78" i="105"/>
  <c r="D69" i="105"/>
  <c r="D73" i="105"/>
  <c r="D66" i="105"/>
  <c r="D68" i="105"/>
  <c r="D51" i="105"/>
  <c r="D71" i="105"/>
  <c r="X51" i="67"/>
  <c r="X55" i="55"/>
  <c r="G60" i="50"/>
  <c r="H24" i="40"/>
  <c r="G70" i="63"/>
  <c r="G77" i="63"/>
  <c r="G74" i="105"/>
  <c r="H50" i="104"/>
  <c r="K57" i="49"/>
  <c r="K30" i="56"/>
  <c r="L30" i="56" s="1"/>
  <c r="M30" i="56" s="1"/>
  <c r="M34" i="68"/>
  <c r="G53" i="50"/>
  <c r="G56" i="55"/>
  <c r="V33" i="139"/>
  <c r="W29" i="139" s="1"/>
  <c r="O394" i="47" s="1"/>
  <c r="X51" i="74"/>
  <c r="X41" i="132"/>
  <c r="W79" i="50"/>
  <c r="G57" i="59"/>
  <c r="V32" i="138"/>
  <c r="K34" i="56"/>
  <c r="L34" i="56" s="1"/>
  <c r="H61" i="110"/>
  <c r="X55" i="71"/>
  <c r="X51" i="68"/>
  <c r="X55" i="53"/>
  <c r="G56" i="105"/>
  <c r="H68" i="43"/>
  <c r="I71" i="133"/>
  <c r="D76" i="138"/>
  <c r="I76" i="138" s="1"/>
  <c r="D81" i="138"/>
  <c r="D88" i="138"/>
  <c r="I88" i="138" s="1"/>
  <c r="D73" i="138"/>
  <c r="I73" i="138" s="1"/>
  <c r="D90" i="138"/>
  <c r="I90" i="138" s="1"/>
  <c r="X58" i="84"/>
  <c r="O33" i="104"/>
  <c r="Q33" i="104" s="1"/>
  <c r="Q35" i="104" s="1"/>
  <c r="L35" i="104"/>
  <c r="X59" i="107"/>
  <c r="X80" i="107" s="1"/>
  <c r="V73" i="47"/>
  <c r="M34" i="67"/>
  <c r="I88" i="124"/>
  <c r="M31" i="37"/>
  <c r="M41" i="139"/>
  <c r="N41" i="139" s="1"/>
  <c r="Y49" i="76"/>
  <c r="X49" i="39"/>
  <c r="X49" i="38"/>
  <c r="K54" i="134"/>
  <c r="N39" i="134"/>
  <c r="M41" i="77"/>
  <c r="M45" i="77" s="1"/>
  <c r="D76" i="80"/>
  <c r="D60" i="80"/>
  <c r="D54" i="80"/>
  <c r="D72" i="80"/>
  <c r="D68" i="80"/>
  <c r="K19" i="47"/>
  <c r="O19" i="47"/>
  <c r="G49" i="65"/>
  <c r="D51" i="65"/>
  <c r="D65" i="65"/>
  <c r="D69" i="65"/>
  <c r="D67" i="65"/>
  <c r="D61" i="65"/>
  <c r="D70" i="65"/>
  <c r="D49" i="65"/>
  <c r="D76" i="65"/>
  <c r="D72" i="65"/>
  <c r="D55" i="65"/>
  <c r="D78" i="65"/>
  <c r="J19" i="47"/>
  <c r="G79" i="80"/>
  <c r="G69" i="34"/>
  <c r="K66" i="47"/>
  <c r="G61" i="34"/>
  <c r="G76" i="34"/>
  <c r="G75" i="34"/>
  <c r="K55" i="47"/>
  <c r="G51" i="34"/>
  <c r="G78" i="34"/>
  <c r="G68" i="34"/>
  <c r="K65" i="47"/>
  <c r="K63" i="47"/>
  <c r="G58" i="34"/>
  <c r="G54" i="34"/>
  <c r="G50" i="34"/>
  <c r="G62" i="34"/>
  <c r="K62" i="47"/>
  <c r="K60" i="47"/>
  <c r="G72" i="34"/>
  <c r="G74" i="34"/>
  <c r="G55" i="34"/>
  <c r="G62" i="82"/>
  <c r="G65" i="82"/>
  <c r="G52" i="82"/>
  <c r="G60" i="82"/>
  <c r="G62" i="80"/>
  <c r="G61" i="80"/>
  <c r="G74" i="80"/>
  <c r="G51" i="80"/>
  <c r="G58" i="80"/>
  <c r="G75" i="80"/>
  <c r="G56" i="80"/>
  <c r="G60" i="80"/>
  <c r="G78" i="80"/>
  <c r="G77" i="80"/>
  <c r="G50" i="80"/>
  <c r="G68" i="80"/>
  <c r="G49" i="80"/>
  <c r="H49" i="71"/>
  <c r="D71" i="34"/>
  <c r="D51" i="34"/>
  <c r="D64" i="34"/>
  <c r="D74" i="34"/>
  <c r="D65" i="34"/>
  <c r="J60" i="47"/>
  <c r="J63" i="47"/>
  <c r="D70" i="34"/>
  <c r="D76" i="34"/>
  <c r="D57" i="34"/>
  <c r="D78" i="34"/>
  <c r="J64" i="47"/>
  <c r="D58" i="34"/>
  <c r="D60" i="34"/>
  <c r="D50" i="34"/>
  <c r="D75" i="34"/>
  <c r="D61" i="34"/>
  <c r="D59" i="34"/>
  <c r="J66" i="47"/>
  <c r="D52" i="34"/>
  <c r="D62" i="34"/>
  <c r="D56" i="34"/>
  <c r="D73" i="34"/>
  <c r="D49" i="34"/>
  <c r="J55" i="47"/>
  <c r="J59" i="47"/>
  <c r="G55" i="80"/>
  <c r="K32" i="47"/>
  <c r="H66" i="61"/>
  <c r="O55" i="47"/>
  <c r="G55" i="76"/>
  <c r="G69" i="76"/>
  <c r="G58" i="76"/>
  <c r="G71" i="76"/>
  <c r="G66" i="76"/>
  <c r="G64" i="76"/>
  <c r="G51" i="76"/>
  <c r="G52" i="76"/>
  <c r="G65" i="76"/>
  <c r="G75" i="76"/>
  <c r="G79" i="76"/>
  <c r="G54" i="76"/>
  <c r="G49" i="76"/>
  <c r="H74" i="61"/>
  <c r="W51" i="139"/>
  <c r="D75" i="76"/>
  <c r="D57" i="76"/>
  <c r="D51" i="76"/>
  <c r="D73" i="76"/>
  <c r="W54" i="139"/>
  <c r="X54" i="139" s="1"/>
  <c r="Y54" i="139" s="1"/>
  <c r="W53" i="139"/>
  <c r="X53" i="139" s="1"/>
  <c r="Y53" i="139" s="1"/>
  <c r="D72" i="83"/>
  <c r="D66" i="83"/>
  <c r="D74" i="83"/>
  <c r="D69" i="83"/>
  <c r="D67" i="83"/>
  <c r="D53" i="83"/>
  <c r="D62" i="83"/>
  <c r="D49" i="83"/>
  <c r="D65" i="83"/>
  <c r="D63" i="83"/>
  <c r="D55" i="83"/>
  <c r="D75" i="83"/>
  <c r="D68" i="83"/>
  <c r="D70" i="83"/>
  <c r="D76" i="83"/>
  <c r="D73" i="83"/>
  <c r="D64" i="83"/>
  <c r="D77" i="83"/>
  <c r="D78" i="83"/>
  <c r="D50" i="83"/>
  <c r="D52" i="83"/>
  <c r="D51" i="83"/>
  <c r="D61" i="83"/>
  <c r="D60" i="83"/>
  <c r="O59" i="47"/>
  <c r="G72" i="83"/>
  <c r="G78" i="83"/>
  <c r="G61" i="83"/>
  <c r="G68" i="83"/>
  <c r="G66" i="83"/>
  <c r="H66" i="83" s="1"/>
  <c r="G59" i="83"/>
  <c r="G65" i="83"/>
  <c r="G79" i="83"/>
  <c r="G54" i="83"/>
  <c r="G58" i="83"/>
  <c r="G53" i="83"/>
  <c r="G49" i="83"/>
  <c r="G56" i="83"/>
  <c r="G69" i="83"/>
  <c r="O32" i="80"/>
  <c r="M44" i="80"/>
  <c r="Q44" i="80" s="1"/>
  <c r="H52" i="71"/>
  <c r="Q42" i="82"/>
  <c r="M41" i="58"/>
  <c r="M45" i="58" s="1"/>
  <c r="E15" i="47" s="1"/>
  <c r="Y39" i="124"/>
  <c r="M30" i="63"/>
  <c r="H57" i="60"/>
  <c r="H65" i="55"/>
  <c r="G51" i="38"/>
  <c r="G69" i="38"/>
  <c r="G58" i="38"/>
  <c r="G73" i="38"/>
  <c r="G54" i="38"/>
  <c r="G68" i="38"/>
  <c r="G64" i="38"/>
  <c r="G78" i="38"/>
  <c r="G70" i="38"/>
  <c r="G58" i="53"/>
  <c r="G66" i="53"/>
  <c r="G71" i="53"/>
  <c r="G68" i="53"/>
  <c r="D54" i="38"/>
  <c r="J47" i="47"/>
  <c r="D78" i="38"/>
  <c r="D66" i="38"/>
  <c r="D70" i="38"/>
  <c r="D52" i="38"/>
  <c r="G69" i="45"/>
  <c r="G53" i="45"/>
  <c r="G65" i="45"/>
  <c r="G50" i="45"/>
  <c r="G54" i="45"/>
  <c r="G55" i="45"/>
  <c r="G63" i="45"/>
  <c r="G60" i="45"/>
  <c r="G52" i="45"/>
  <c r="G77" i="45"/>
  <c r="G49" i="45"/>
  <c r="G68" i="45"/>
  <c r="G79" i="45"/>
  <c r="G67" i="45"/>
  <c r="G76" i="45"/>
  <c r="G59" i="45"/>
  <c r="G64" i="45"/>
  <c r="K54" i="47"/>
  <c r="G75" i="45"/>
  <c r="G58" i="45"/>
  <c r="G51" i="45"/>
  <c r="G61" i="45"/>
  <c r="O54" i="47"/>
  <c r="G74" i="45"/>
  <c r="D77" i="53"/>
  <c r="D68" i="53"/>
  <c r="D52" i="53"/>
  <c r="D65" i="53"/>
  <c r="D50" i="53"/>
  <c r="D67" i="53"/>
  <c r="W32" i="124"/>
  <c r="X32" i="124" s="1"/>
  <c r="Y32" i="124" s="1"/>
  <c r="W29" i="124"/>
  <c r="X29" i="124" s="1"/>
  <c r="Y29" i="124" s="1"/>
  <c r="Q44" i="77"/>
  <c r="Q43" i="81"/>
  <c r="I16" i="110"/>
  <c r="M38" i="110" s="1"/>
  <c r="N38" i="110" s="1"/>
  <c r="M41" i="72"/>
  <c r="M45" i="72" s="1"/>
  <c r="E26" i="47" s="1"/>
  <c r="D71" i="66"/>
  <c r="D58" i="66"/>
  <c r="D50" i="66"/>
  <c r="G63" i="66"/>
  <c r="G67" i="66"/>
  <c r="G69" i="66"/>
  <c r="I15" i="139"/>
  <c r="X31" i="139" s="1"/>
  <c r="Y31" i="139" s="1"/>
  <c r="O49" i="47"/>
  <c r="G74" i="40"/>
  <c r="G57" i="40"/>
  <c r="G66" i="40"/>
  <c r="G53" i="40"/>
  <c r="G61" i="40"/>
  <c r="G69" i="40"/>
  <c r="G73" i="40"/>
  <c r="G67" i="40"/>
  <c r="G50" i="40"/>
  <c r="G58" i="40"/>
  <c r="G51" i="40"/>
  <c r="G62" i="40"/>
  <c r="G60" i="40"/>
  <c r="G78" i="40"/>
  <c r="G49" i="40"/>
  <c r="G54" i="40"/>
  <c r="G65" i="40"/>
  <c r="G61" i="51"/>
  <c r="G52" i="51"/>
  <c r="G56" i="51"/>
  <c r="G73" i="51"/>
  <c r="G69" i="51"/>
  <c r="Y80" i="60"/>
  <c r="AL80" i="60"/>
  <c r="L30" i="34"/>
  <c r="J17" i="139"/>
  <c r="K17" i="139" s="1"/>
  <c r="H70" i="63"/>
  <c r="D64" i="40"/>
  <c r="D52" i="40"/>
  <c r="D72" i="40"/>
  <c r="D75" i="40"/>
  <c r="D49" i="40"/>
  <c r="D66" i="40"/>
  <c r="D58" i="40"/>
  <c r="D65" i="40"/>
  <c r="D78" i="40"/>
  <c r="D58" i="51"/>
  <c r="D74" i="51"/>
  <c r="D54" i="51"/>
  <c r="D62" i="51"/>
  <c r="D51" i="51"/>
  <c r="D60" i="51"/>
  <c r="D61" i="51"/>
  <c r="D73" i="51"/>
  <c r="D76" i="51"/>
  <c r="D68" i="51"/>
  <c r="Y50" i="37"/>
  <c r="M30" i="104"/>
  <c r="M32" i="104"/>
  <c r="L24" i="104"/>
  <c r="I11" i="104"/>
  <c r="M31" i="104"/>
  <c r="AB29" i="47"/>
  <c r="AC29" i="47" s="1"/>
  <c r="J15" i="139"/>
  <c r="K15" i="139" s="1"/>
  <c r="Y54" i="134"/>
  <c r="G56" i="154"/>
  <c r="V31" i="134" l="1"/>
  <c r="D54" i="53"/>
  <c r="G113" i="49"/>
  <c r="K113" i="49"/>
  <c r="S64" i="49"/>
  <c r="G64" i="49"/>
  <c r="D75" i="53"/>
  <c r="L35" i="68"/>
  <c r="G22" i="47" s="1"/>
  <c r="G9" i="49"/>
  <c r="H73" i="61"/>
  <c r="H53" i="54"/>
  <c r="H71" i="60"/>
  <c r="D66" i="34"/>
  <c r="J65" i="47"/>
  <c r="D77" i="34"/>
  <c r="J58" i="47"/>
  <c r="D67" i="34"/>
  <c r="J43" i="47"/>
  <c r="D68" i="34"/>
  <c r="J57" i="47"/>
  <c r="O30" i="47"/>
  <c r="G67" i="65"/>
  <c r="G72" i="65"/>
  <c r="G75" i="65"/>
  <c r="M39" i="139"/>
  <c r="N39" i="139" s="1"/>
  <c r="M42" i="139"/>
  <c r="N42" i="139" s="1"/>
  <c r="J43" i="38"/>
  <c r="L43" i="38" s="1"/>
  <c r="M43" i="38" s="1"/>
  <c r="J44" i="38"/>
  <c r="L44" i="38" s="1"/>
  <c r="M44" i="38" s="1"/>
  <c r="I45" i="84"/>
  <c r="D69" i="53"/>
  <c r="D55" i="53"/>
  <c r="D59" i="53"/>
  <c r="D72" i="53"/>
  <c r="D72" i="45"/>
  <c r="M41" i="61"/>
  <c r="M45" i="61" s="1"/>
  <c r="G85" i="49"/>
  <c r="S85" i="49"/>
  <c r="D51" i="53"/>
  <c r="D53" i="53"/>
  <c r="D63" i="53"/>
  <c r="D66" i="53"/>
  <c r="H68" i="83"/>
  <c r="M32" i="139"/>
  <c r="N32" i="139" s="1"/>
  <c r="H73" i="51"/>
  <c r="H49" i="40"/>
  <c r="D61" i="53"/>
  <c r="D62" i="53"/>
  <c r="D60" i="53"/>
  <c r="D78" i="53"/>
  <c r="D49" i="53"/>
  <c r="D64" i="53"/>
  <c r="D80" i="37"/>
  <c r="D15" i="37" s="1"/>
  <c r="E15" i="37" s="1"/>
  <c r="H61" i="54"/>
  <c r="J42" i="39"/>
  <c r="L42" i="39" s="1"/>
  <c r="M42" i="39" s="1"/>
  <c r="J44" i="39"/>
  <c r="L44" i="39" s="1"/>
  <c r="M44" i="39" s="1"/>
  <c r="J43" i="39"/>
  <c r="L43" i="39" s="1"/>
  <c r="M43" i="39" s="1"/>
  <c r="K31" i="53"/>
  <c r="L31" i="53" s="1"/>
  <c r="M31" i="53" s="1"/>
  <c r="K32" i="53"/>
  <c r="K33" i="53"/>
  <c r="L33" i="53" s="1"/>
  <c r="M33" i="53" s="1"/>
  <c r="H68" i="53"/>
  <c r="D73" i="53"/>
  <c r="L51" i="139"/>
  <c r="M51" i="139" s="1"/>
  <c r="N51" i="139" s="1"/>
  <c r="H52" i="82"/>
  <c r="H61" i="34"/>
  <c r="H56" i="55"/>
  <c r="H49" i="54"/>
  <c r="H73" i="55"/>
  <c r="G63" i="105"/>
  <c r="H78" i="71"/>
  <c r="H52" i="60"/>
  <c r="H59" i="60"/>
  <c r="H75" i="43"/>
  <c r="H56" i="36"/>
  <c r="H59" i="50"/>
  <c r="H64" i="82"/>
  <c r="Y52" i="35"/>
  <c r="Y53" i="35" s="1"/>
  <c r="Y54" i="35" s="1"/>
  <c r="Y55" i="35" s="1"/>
  <c r="E80" i="84"/>
  <c r="M24" i="84" s="1"/>
  <c r="Q61" i="47" s="1"/>
  <c r="X61" i="47" s="1"/>
  <c r="H82" i="111"/>
  <c r="G50" i="109"/>
  <c r="I45" i="44"/>
  <c r="E70" i="60"/>
  <c r="E73" i="60"/>
  <c r="G73" i="60" s="1"/>
  <c r="E77" i="60"/>
  <c r="G77" i="60" s="1"/>
  <c r="H77" i="60" s="1"/>
  <c r="G82" i="112"/>
  <c r="V311" i="47"/>
  <c r="V235" i="47"/>
  <c r="H69" i="109"/>
  <c r="AD73" i="138"/>
  <c r="AD74" i="138" s="1"/>
  <c r="G51" i="54"/>
  <c r="H51" i="54" s="1"/>
  <c r="Y50" i="82"/>
  <c r="AB42" i="123"/>
  <c r="E87" i="112"/>
  <c r="G87" i="112" s="1"/>
  <c r="E83" i="112"/>
  <c r="G83" i="112" s="1"/>
  <c r="H83" i="112" s="1"/>
  <c r="W79" i="112"/>
  <c r="X79" i="112" s="1"/>
  <c r="E75" i="112"/>
  <c r="W71" i="112"/>
  <c r="X71" i="112" s="1"/>
  <c r="W67" i="112"/>
  <c r="X67" i="112" s="1"/>
  <c r="E63" i="112"/>
  <c r="G63" i="112" s="1"/>
  <c r="E59" i="112"/>
  <c r="G59" i="112" s="1"/>
  <c r="V89" i="91"/>
  <c r="T67" i="47" s="1"/>
  <c r="AA83" i="133"/>
  <c r="N23" i="47"/>
  <c r="AD75" i="143"/>
  <c r="AD79" i="143"/>
  <c r="AD83" i="143"/>
  <c r="AD87" i="143"/>
  <c r="AE87" i="143" s="1"/>
  <c r="AD91" i="143"/>
  <c r="AD95" i="143"/>
  <c r="AE95" i="143" s="1"/>
  <c r="AD99" i="143"/>
  <c r="T102" i="143"/>
  <c r="I75" i="133"/>
  <c r="Y32" i="91"/>
  <c r="H70" i="59"/>
  <c r="I89" i="123"/>
  <c r="E80" i="81"/>
  <c r="M24" i="81" s="1"/>
  <c r="Q58" i="47" s="1"/>
  <c r="I85" i="123"/>
  <c r="G55" i="36"/>
  <c r="H55" i="36" s="1"/>
  <c r="G67" i="36"/>
  <c r="H67" i="36" s="1"/>
  <c r="G71" i="36"/>
  <c r="H71" i="36" s="1"/>
  <c r="E50" i="53"/>
  <c r="G50" i="53" s="1"/>
  <c r="H50" i="53" s="1"/>
  <c r="E52" i="59"/>
  <c r="G52" i="59" s="1"/>
  <c r="H52" i="59" s="1"/>
  <c r="E54" i="59"/>
  <c r="G54" i="59" s="1"/>
  <c r="E65" i="70"/>
  <c r="G65" i="70" s="1"/>
  <c r="AA73" i="124"/>
  <c r="AB73" i="124" s="1"/>
  <c r="AA85" i="124"/>
  <c r="AB85" i="124" s="1"/>
  <c r="AA89" i="124"/>
  <c r="AB89" i="124" s="1"/>
  <c r="AA93" i="124"/>
  <c r="AB93" i="124" s="1"/>
  <c r="E84" i="112"/>
  <c r="G84" i="112" s="1"/>
  <c r="W80" i="112"/>
  <c r="E72" i="41"/>
  <c r="W64" i="41"/>
  <c r="X64" i="41" s="1"/>
  <c r="E56" i="41"/>
  <c r="E76" i="104"/>
  <c r="G76" i="104" s="1"/>
  <c r="E72" i="104"/>
  <c r="G72" i="104" s="1"/>
  <c r="E68" i="104"/>
  <c r="G68" i="104" s="1"/>
  <c r="E64" i="104"/>
  <c r="G64" i="104" s="1"/>
  <c r="E60" i="104"/>
  <c r="E59" i="104"/>
  <c r="G59" i="104" s="1"/>
  <c r="E56" i="104"/>
  <c r="G56" i="104" s="1"/>
  <c r="E52" i="104"/>
  <c r="AE77" i="143"/>
  <c r="X105" i="144"/>
  <c r="AE94" i="142"/>
  <c r="AD72" i="143"/>
  <c r="AD80" i="143"/>
  <c r="AD84" i="143"/>
  <c r="AD88" i="143"/>
  <c r="AD92" i="143"/>
  <c r="AD96" i="143"/>
  <c r="AD100" i="143"/>
  <c r="H68" i="104"/>
  <c r="O33" i="106"/>
  <c r="Q33" i="106" s="1"/>
  <c r="G59" i="69"/>
  <c r="M26" i="26"/>
  <c r="W49" i="57"/>
  <c r="X49" i="57" s="1"/>
  <c r="Y49" i="57" s="1"/>
  <c r="E52" i="57"/>
  <c r="E86" i="111"/>
  <c r="E68" i="105"/>
  <c r="E61" i="105"/>
  <c r="W78" i="84"/>
  <c r="X78" i="84" s="1"/>
  <c r="E73" i="82"/>
  <c r="E53" i="82"/>
  <c r="E51" i="82"/>
  <c r="E76" i="40"/>
  <c r="G76" i="40" s="1"/>
  <c r="E70" i="41"/>
  <c r="V78" i="47"/>
  <c r="AB41" i="123"/>
  <c r="J16" i="123"/>
  <c r="K16" i="123" s="1"/>
  <c r="W75" i="112"/>
  <c r="X75" i="112" s="1"/>
  <c r="W83" i="112"/>
  <c r="X83" i="112" s="1"/>
  <c r="E67" i="112"/>
  <c r="G67" i="112" s="1"/>
  <c r="W59" i="112"/>
  <c r="X59" i="112" s="1"/>
  <c r="Y59" i="112" s="1"/>
  <c r="E80" i="112"/>
  <c r="G80" i="112" s="1"/>
  <c r="H81" i="112"/>
  <c r="L38" i="112"/>
  <c r="L41" i="112" s="1"/>
  <c r="Q89" i="112"/>
  <c r="E71" i="112"/>
  <c r="G71" i="112" s="1"/>
  <c r="H71" i="112" s="1"/>
  <c r="E79" i="112"/>
  <c r="G79" i="112" s="1"/>
  <c r="W63" i="112"/>
  <c r="X63" i="112" s="1"/>
  <c r="W87" i="112"/>
  <c r="X87" i="112" s="1"/>
  <c r="Z70" i="47"/>
  <c r="AA70" i="47" s="1"/>
  <c r="L37" i="112"/>
  <c r="X84" i="112"/>
  <c r="V89" i="112"/>
  <c r="T70" i="47" s="1"/>
  <c r="X60" i="112"/>
  <c r="Y60" i="112" s="1"/>
  <c r="Y61" i="112" s="1"/>
  <c r="Y62" i="112" s="1"/>
  <c r="X72" i="112"/>
  <c r="X68" i="112"/>
  <c r="X64" i="112"/>
  <c r="X80" i="112"/>
  <c r="X66" i="110"/>
  <c r="X63" i="110"/>
  <c r="X59" i="110"/>
  <c r="X70" i="110"/>
  <c r="X78" i="110"/>
  <c r="V89" i="110"/>
  <c r="T68" i="47" s="1"/>
  <c r="Y59" i="110"/>
  <c r="Y60" i="110" s="1"/>
  <c r="Y61" i="110" s="1"/>
  <c r="X74" i="110"/>
  <c r="X82" i="110"/>
  <c r="X71" i="91"/>
  <c r="X67" i="91"/>
  <c r="X79" i="91"/>
  <c r="U63" i="91"/>
  <c r="AD71" i="143"/>
  <c r="H100" i="143"/>
  <c r="I100" i="143" s="1"/>
  <c r="O35" i="104"/>
  <c r="D62" i="47" s="1"/>
  <c r="D62" i="45"/>
  <c r="X28" i="47"/>
  <c r="O20" i="47"/>
  <c r="G58" i="66"/>
  <c r="H58" i="66" s="1"/>
  <c r="L52" i="124"/>
  <c r="M52" i="124" s="1"/>
  <c r="M54" i="124" s="1"/>
  <c r="H72" i="47" s="1"/>
  <c r="Q72" i="47"/>
  <c r="D79" i="83"/>
  <c r="D58" i="83"/>
  <c r="D71" i="83"/>
  <c r="D56" i="83"/>
  <c r="D54" i="83"/>
  <c r="D57" i="83"/>
  <c r="D59" i="83"/>
  <c r="X56" i="47"/>
  <c r="P56" i="47"/>
  <c r="Z56" i="47"/>
  <c r="Z28" i="123"/>
  <c r="AA28" i="123" s="1"/>
  <c r="AB28" i="123" s="1"/>
  <c r="Z30" i="123"/>
  <c r="AA30" i="123" s="1"/>
  <c r="AB30" i="123" s="1"/>
  <c r="D84" i="134"/>
  <c r="I84" i="134" s="1"/>
  <c r="D100" i="134"/>
  <c r="I100" i="134" s="1"/>
  <c r="I83" i="139"/>
  <c r="S38" i="49"/>
  <c r="G38" i="49"/>
  <c r="H66" i="40"/>
  <c r="D51" i="45"/>
  <c r="H51" i="45" s="1"/>
  <c r="M34" i="80"/>
  <c r="H79" i="80"/>
  <c r="M31" i="139"/>
  <c r="G62" i="66"/>
  <c r="H54" i="38"/>
  <c r="O43" i="80"/>
  <c r="O45" i="80" s="1"/>
  <c r="E57" i="47" s="1"/>
  <c r="H49" i="83"/>
  <c r="H78" i="34"/>
  <c r="G65" i="84"/>
  <c r="H78" i="105"/>
  <c r="G70" i="51"/>
  <c r="G71" i="51"/>
  <c r="G64" i="105"/>
  <c r="H64" i="105" s="1"/>
  <c r="G68" i="105"/>
  <c r="G74" i="38"/>
  <c r="G56" i="38"/>
  <c r="G76" i="38"/>
  <c r="G62" i="38"/>
  <c r="H64" i="55"/>
  <c r="G67" i="53"/>
  <c r="G55" i="53"/>
  <c r="D74" i="76"/>
  <c r="D69" i="76"/>
  <c r="K56" i="47"/>
  <c r="G60" i="34"/>
  <c r="H60" i="34" s="1"/>
  <c r="K64" i="47"/>
  <c r="G48" i="34"/>
  <c r="G53" i="34"/>
  <c r="G66" i="34"/>
  <c r="G73" i="34"/>
  <c r="G65" i="34"/>
  <c r="G64" i="34"/>
  <c r="K57" i="47"/>
  <c r="G57" i="34"/>
  <c r="K59" i="47"/>
  <c r="G49" i="34"/>
  <c r="U33" i="47"/>
  <c r="V33" i="47" s="1"/>
  <c r="X67" i="52"/>
  <c r="J32" i="47"/>
  <c r="D57" i="51"/>
  <c r="D49" i="51"/>
  <c r="D63" i="51"/>
  <c r="D72" i="51"/>
  <c r="K33" i="56"/>
  <c r="L33" i="56" s="1"/>
  <c r="M33" i="56" s="1"/>
  <c r="K32" i="56"/>
  <c r="L32" i="56" s="1"/>
  <c r="M32" i="56" s="1"/>
  <c r="G61" i="63"/>
  <c r="G64" i="63"/>
  <c r="G75" i="63"/>
  <c r="G66" i="63"/>
  <c r="D80" i="43"/>
  <c r="D15" i="43" s="1"/>
  <c r="E15" i="43" s="1"/>
  <c r="J42" i="41"/>
  <c r="L42" i="41" s="1"/>
  <c r="M42" i="41" s="1"/>
  <c r="J44" i="41"/>
  <c r="L44" i="41" s="1"/>
  <c r="M44" i="41" s="1"/>
  <c r="H55" i="55"/>
  <c r="O63" i="47"/>
  <c r="G60" i="105"/>
  <c r="G52" i="105"/>
  <c r="G57" i="105"/>
  <c r="G72" i="105"/>
  <c r="G62" i="105"/>
  <c r="G51" i="105"/>
  <c r="G61" i="105"/>
  <c r="G53" i="105"/>
  <c r="G54" i="105"/>
  <c r="D88" i="132"/>
  <c r="I88" i="132" s="1"/>
  <c r="D91" i="132"/>
  <c r="I91" i="132" s="1"/>
  <c r="D86" i="132"/>
  <c r="D89" i="132"/>
  <c r="D97" i="132"/>
  <c r="I97" i="132" s="1"/>
  <c r="D101" i="132"/>
  <c r="I101" i="132" s="1"/>
  <c r="D94" i="132"/>
  <c r="I94" i="132" s="1"/>
  <c r="K51" i="49"/>
  <c r="G51" i="49"/>
  <c r="K81" i="49"/>
  <c r="G81" i="49"/>
  <c r="Y49" i="73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Y61" i="73" s="1"/>
  <c r="Y62" i="73" s="1"/>
  <c r="Y63" i="73" s="1"/>
  <c r="Y64" i="73" s="1"/>
  <c r="Y65" i="73" s="1"/>
  <c r="Y66" i="73" s="1"/>
  <c r="Y67" i="73" s="1"/>
  <c r="Y68" i="73" s="1"/>
  <c r="Y69" i="73" s="1"/>
  <c r="Y70" i="73" s="1"/>
  <c r="Y71" i="73" s="1"/>
  <c r="Y72" i="73" s="1"/>
  <c r="Y73" i="73" s="1"/>
  <c r="Y74" i="73" s="1"/>
  <c r="Y75" i="73" s="1"/>
  <c r="Y76" i="73" s="1"/>
  <c r="Y77" i="73" s="1"/>
  <c r="Y78" i="73" s="1"/>
  <c r="Y79" i="73" s="1"/>
  <c r="X80" i="73"/>
  <c r="D79" i="45"/>
  <c r="J54" i="47"/>
  <c r="D74" i="45"/>
  <c r="M30" i="80"/>
  <c r="Q30" i="80" s="1"/>
  <c r="H62" i="34"/>
  <c r="D74" i="40"/>
  <c r="D54" i="40"/>
  <c r="D61" i="40"/>
  <c r="H61" i="40" s="1"/>
  <c r="M45" i="41"/>
  <c r="E50" i="47" s="1"/>
  <c r="H51" i="71"/>
  <c r="P32" i="123"/>
  <c r="N33" i="123"/>
  <c r="D61" i="80"/>
  <c r="H61" i="80" s="1"/>
  <c r="D62" i="80"/>
  <c r="D66" i="80"/>
  <c r="D73" i="80"/>
  <c r="D59" i="80"/>
  <c r="D64" i="80"/>
  <c r="D78" i="80"/>
  <c r="H78" i="80" s="1"/>
  <c r="D49" i="80"/>
  <c r="G76" i="65"/>
  <c r="G59" i="65"/>
  <c r="G66" i="65"/>
  <c r="G54" i="65"/>
  <c r="G69" i="65"/>
  <c r="G68" i="65"/>
  <c r="K30" i="47"/>
  <c r="G65" i="65"/>
  <c r="G64" i="84"/>
  <c r="H64" i="84" s="1"/>
  <c r="G50" i="51"/>
  <c r="M30" i="31"/>
  <c r="M32" i="31" s="1"/>
  <c r="M33" i="31" s="1"/>
  <c r="M36" i="31"/>
  <c r="H76" i="37"/>
  <c r="I87" i="139"/>
  <c r="Y53" i="50"/>
  <c r="Y54" i="50" s="1"/>
  <c r="Y55" i="50" s="1"/>
  <c r="Y56" i="50" s="1"/>
  <c r="Y57" i="50" s="1"/>
  <c r="Y58" i="50" s="1"/>
  <c r="Y59" i="50" s="1"/>
  <c r="Y60" i="50" s="1"/>
  <c r="Y61" i="50" s="1"/>
  <c r="Y62" i="50" s="1"/>
  <c r="Y63" i="50" s="1"/>
  <c r="Y64" i="50" s="1"/>
  <c r="Y65" i="50" s="1"/>
  <c r="Y66" i="50" s="1"/>
  <c r="Y54" i="69"/>
  <c r="Y55" i="69" s="1"/>
  <c r="H72" i="55"/>
  <c r="H77" i="55"/>
  <c r="H57" i="61"/>
  <c r="H50" i="43"/>
  <c r="H62" i="109"/>
  <c r="V54" i="134"/>
  <c r="Y51" i="104"/>
  <c r="Y52" i="104" s="1"/>
  <c r="Y53" i="104" s="1"/>
  <c r="Y54" i="104" s="1"/>
  <c r="Y55" i="104" s="1"/>
  <c r="X89" i="111"/>
  <c r="H53" i="37"/>
  <c r="H57" i="59"/>
  <c r="H51" i="105"/>
  <c r="H75" i="105"/>
  <c r="L44" i="50"/>
  <c r="H51" i="55"/>
  <c r="H70" i="55"/>
  <c r="M45" i="71"/>
  <c r="E25" i="47" s="1"/>
  <c r="H54" i="71"/>
  <c r="H57" i="71"/>
  <c r="H71" i="54"/>
  <c r="W41" i="110"/>
  <c r="H72" i="60"/>
  <c r="H73" i="43"/>
  <c r="H74" i="43"/>
  <c r="H55" i="50"/>
  <c r="I92" i="139"/>
  <c r="J43" i="59"/>
  <c r="J41" i="59"/>
  <c r="L41" i="59" s="1"/>
  <c r="D78" i="72"/>
  <c r="D67" i="72"/>
  <c r="H67" i="72" s="1"/>
  <c r="D49" i="72"/>
  <c r="D54" i="72"/>
  <c r="D74" i="72"/>
  <c r="D59" i="69"/>
  <c r="D61" i="69"/>
  <c r="D70" i="69"/>
  <c r="D77" i="69"/>
  <c r="D86" i="112"/>
  <c r="J70" i="47"/>
  <c r="D58" i="112"/>
  <c r="H58" i="112" s="1"/>
  <c r="D84" i="112"/>
  <c r="H84" i="112" s="1"/>
  <c r="D62" i="54"/>
  <c r="H62" i="54" s="1"/>
  <c r="Y50" i="106"/>
  <c r="Y51" i="106" s="1"/>
  <c r="Y52" i="106" s="1"/>
  <c r="Y53" i="106" s="1"/>
  <c r="Y54" i="106" s="1"/>
  <c r="Y55" i="106" s="1"/>
  <c r="Y56" i="106" s="1"/>
  <c r="Y57" i="106" s="1"/>
  <c r="Y58" i="106" s="1"/>
  <c r="Y59" i="106" s="1"/>
  <c r="H74" i="72"/>
  <c r="D56" i="104"/>
  <c r="H56" i="104" s="1"/>
  <c r="D69" i="104"/>
  <c r="H69" i="104" s="1"/>
  <c r="D76" i="69"/>
  <c r="I93" i="123"/>
  <c r="D75" i="59"/>
  <c r="F37" i="49"/>
  <c r="D72" i="112"/>
  <c r="D61" i="112"/>
  <c r="H73" i="72"/>
  <c r="D60" i="112"/>
  <c r="D76" i="59"/>
  <c r="H76" i="59" s="1"/>
  <c r="D56" i="69"/>
  <c r="H56" i="69" s="1"/>
  <c r="E69" i="49"/>
  <c r="F34" i="49"/>
  <c r="J39" i="47"/>
  <c r="D56" i="72"/>
  <c r="H56" i="72" s="1"/>
  <c r="D57" i="69"/>
  <c r="H57" i="69" s="1"/>
  <c r="D62" i="72"/>
  <c r="H62" i="72" s="1"/>
  <c r="X75" i="34"/>
  <c r="D53" i="69"/>
  <c r="H53" i="69" s="1"/>
  <c r="D79" i="72"/>
  <c r="H79" i="72" s="1"/>
  <c r="D74" i="50"/>
  <c r="H74" i="50" s="1"/>
  <c r="D52" i="50"/>
  <c r="H52" i="50" s="1"/>
  <c r="L34" i="35"/>
  <c r="D53" i="59"/>
  <c r="G63" i="36"/>
  <c r="H63" i="36" s="1"/>
  <c r="G78" i="36"/>
  <c r="H78" i="36" s="1"/>
  <c r="L30" i="35"/>
  <c r="L31" i="35"/>
  <c r="M31" i="35" s="1"/>
  <c r="D67" i="69"/>
  <c r="D70" i="112"/>
  <c r="H70" i="112" s="1"/>
  <c r="M18" i="29"/>
  <c r="M35" i="29"/>
  <c r="D56" i="54"/>
  <c r="H56" i="54" s="1"/>
  <c r="F11" i="49"/>
  <c r="S11" i="49" s="1"/>
  <c r="D78" i="104"/>
  <c r="H78" i="104" s="1"/>
  <c r="D63" i="69"/>
  <c r="H63" i="69" s="1"/>
  <c r="D73" i="69"/>
  <c r="H73" i="69" s="1"/>
  <c r="I92" i="123"/>
  <c r="D58" i="59"/>
  <c r="H58" i="59" s="1"/>
  <c r="D74" i="112"/>
  <c r="D79" i="112"/>
  <c r="H79" i="112" s="1"/>
  <c r="D73" i="112"/>
  <c r="D87" i="112"/>
  <c r="D54" i="59"/>
  <c r="H54" i="59" s="1"/>
  <c r="D72" i="59"/>
  <c r="D78" i="69"/>
  <c r="F109" i="49"/>
  <c r="E13" i="49"/>
  <c r="G54" i="69"/>
  <c r="K23" i="47"/>
  <c r="D68" i="59"/>
  <c r="H68" i="59" s="1"/>
  <c r="O30" i="109"/>
  <c r="Q30" i="109" s="1"/>
  <c r="D49" i="69"/>
  <c r="H49" i="69" s="1"/>
  <c r="D50" i="72"/>
  <c r="H50" i="72" s="1"/>
  <c r="D71" i="84"/>
  <c r="G53" i="72"/>
  <c r="D72" i="69"/>
  <c r="D59" i="72"/>
  <c r="H59" i="72" s="1"/>
  <c r="D65" i="72"/>
  <c r="H65" i="72" s="1"/>
  <c r="F12" i="107"/>
  <c r="D65" i="69"/>
  <c r="D72" i="72"/>
  <c r="H72" i="72" s="1"/>
  <c r="L32" i="35"/>
  <c r="M32" i="35" s="1"/>
  <c r="H24" i="64"/>
  <c r="I24" i="64"/>
  <c r="G61" i="64" s="1"/>
  <c r="G67" i="70"/>
  <c r="G73" i="84"/>
  <c r="H73" i="84" s="1"/>
  <c r="G58" i="72"/>
  <c r="H58" i="72" s="1"/>
  <c r="M34" i="83"/>
  <c r="D68" i="69"/>
  <c r="D68" i="84"/>
  <c r="H68" i="84" s="1"/>
  <c r="O26" i="47"/>
  <c r="G50" i="37"/>
  <c r="H50" i="37" s="1"/>
  <c r="D55" i="72"/>
  <c r="D62" i="84"/>
  <c r="G70" i="72"/>
  <c r="G59" i="36"/>
  <c r="H59" i="36" s="1"/>
  <c r="L33" i="35"/>
  <c r="G76" i="72"/>
  <c r="A49" i="35"/>
  <c r="C47" i="35"/>
  <c r="M26" i="10"/>
  <c r="H44" i="34"/>
  <c r="W64" i="58"/>
  <c r="W74" i="59"/>
  <c r="X74" i="59" s="1"/>
  <c r="E71" i="65"/>
  <c r="G71" i="65" s="1"/>
  <c r="W61" i="69"/>
  <c r="X61" i="69" s="1"/>
  <c r="W63" i="69"/>
  <c r="X63" i="69" s="1"/>
  <c r="E67" i="69"/>
  <c r="G67" i="69" s="1"/>
  <c r="H67" i="69" s="1"/>
  <c r="E69" i="70"/>
  <c r="G69" i="70" s="1"/>
  <c r="G75" i="70"/>
  <c r="L35" i="105"/>
  <c r="G73" i="70"/>
  <c r="M26" i="12"/>
  <c r="W58" i="51"/>
  <c r="X58" i="51" s="1"/>
  <c r="E74" i="52"/>
  <c r="W59" i="53"/>
  <c r="X59" i="53" s="1"/>
  <c r="W61" i="53"/>
  <c r="X61" i="53" s="1"/>
  <c r="E73" i="53"/>
  <c r="G73" i="53" s="1"/>
  <c r="H73" i="53" s="1"/>
  <c r="W50" i="56"/>
  <c r="X50" i="56" s="1"/>
  <c r="E73" i="62"/>
  <c r="G73" i="62" s="1"/>
  <c r="H73" i="62" s="1"/>
  <c r="W76" i="66"/>
  <c r="X76" i="66" s="1"/>
  <c r="E62" i="67"/>
  <c r="W65" i="67"/>
  <c r="X65" i="67" s="1"/>
  <c r="W73" i="67"/>
  <c r="X73" i="67" s="1"/>
  <c r="W59" i="68"/>
  <c r="X59" i="68" s="1"/>
  <c r="E49" i="68"/>
  <c r="E54" i="70"/>
  <c r="G54" i="70" s="1"/>
  <c r="W56" i="70"/>
  <c r="E66" i="72"/>
  <c r="W49" i="74"/>
  <c r="X49" i="74" s="1"/>
  <c r="Y49" i="74" s="1"/>
  <c r="W56" i="74"/>
  <c r="S105" i="124"/>
  <c r="P79" i="65"/>
  <c r="R80" i="70"/>
  <c r="G52" i="72"/>
  <c r="G66" i="72"/>
  <c r="V51" i="149"/>
  <c r="K49" i="149"/>
  <c r="D80" i="153"/>
  <c r="D71" i="153"/>
  <c r="L32" i="52"/>
  <c r="M32" i="52" s="1"/>
  <c r="M35" i="52" s="1"/>
  <c r="D33" i="47" s="1"/>
  <c r="E62" i="52"/>
  <c r="R80" i="63"/>
  <c r="W51" i="63"/>
  <c r="X51" i="63" s="1"/>
  <c r="E54" i="63"/>
  <c r="G54" i="63" s="1"/>
  <c r="V80" i="63"/>
  <c r="W69" i="63"/>
  <c r="X69" i="63" s="1"/>
  <c r="E78" i="63"/>
  <c r="E59" i="64"/>
  <c r="E78" i="72"/>
  <c r="G78" i="72" s="1"/>
  <c r="I74" i="140"/>
  <c r="H88" i="148"/>
  <c r="V51" i="150"/>
  <c r="K49" i="150"/>
  <c r="V49" i="150" s="1"/>
  <c r="H72" i="151"/>
  <c r="V316" i="47"/>
  <c r="V312" i="47"/>
  <c r="V296" i="47"/>
  <c r="V224" i="47"/>
  <c r="N14" i="47"/>
  <c r="V51" i="142"/>
  <c r="K51" i="142"/>
  <c r="E52" i="40"/>
  <c r="G52" i="40" s="1"/>
  <c r="H52" i="40" s="1"/>
  <c r="AA80" i="123"/>
  <c r="AB80" i="123" s="1"/>
  <c r="AF68" i="142"/>
  <c r="AG68" i="153"/>
  <c r="AG71" i="153" s="1"/>
  <c r="AG72" i="153" s="1"/>
  <c r="AG73" i="153" s="1"/>
  <c r="AG74" i="153" s="1"/>
  <c r="AG75" i="153" s="1"/>
  <c r="AG76" i="153" s="1"/>
  <c r="AG77" i="153" s="1"/>
  <c r="AG78" i="153" s="1"/>
  <c r="AG79" i="153" s="1"/>
  <c r="AG80" i="153" s="1"/>
  <c r="AG81" i="153" s="1"/>
  <c r="AG82" i="153" s="1"/>
  <c r="AG83" i="153" s="1"/>
  <c r="AG84" i="153" s="1"/>
  <c r="AG85" i="153" s="1"/>
  <c r="AG86" i="153" s="1"/>
  <c r="AG87" i="153" s="1"/>
  <c r="AG88" i="153" s="1"/>
  <c r="AG89" i="153" s="1"/>
  <c r="AG90" i="153" s="1"/>
  <c r="AG91" i="153" s="1"/>
  <c r="AG92" i="153" s="1"/>
  <c r="AG93" i="153" s="1"/>
  <c r="AG94" i="153" s="1"/>
  <c r="AG95" i="153" s="1"/>
  <c r="AG96" i="153" s="1"/>
  <c r="AG97" i="153" s="1"/>
  <c r="AG98" i="153" s="1"/>
  <c r="AG99" i="153" s="1"/>
  <c r="AG100" i="153" s="1"/>
  <c r="AG68" i="151"/>
  <c r="AG71" i="151" s="1"/>
  <c r="AG72" i="151" s="1"/>
  <c r="AG73" i="151" s="1"/>
  <c r="AG74" i="151" s="1"/>
  <c r="AG75" i="151" s="1"/>
  <c r="AG76" i="151" s="1"/>
  <c r="AG77" i="151" s="1"/>
  <c r="AG78" i="151" s="1"/>
  <c r="AG79" i="151" s="1"/>
  <c r="AG80" i="151" s="1"/>
  <c r="AG81" i="151" s="1"/>
  <c r="AG82" i="151" s="1"/>
  <c r="AG83" i="151" s="1"/>
  <c r="AG84" i="151" s="1"/>
  <c r="AG85" i="151" s="1"/>
  <c r="AG86" i="151" s="1"/>
  <c r="AG87" i="151" s="1"/>
  <c r="AG88" i="151" s="1"/>
  <c r="AG89" i="151" s="1"/>
  <c r="AG90" i="151" s="1"/>
  <c r="AG91" i="151" s="1"/>
  <c r="AG92" i="151" s="1"/>
  <c r="AG93" i="151" s="1"/>
  <c r="AG94" i="151" s="1"/>
  <c r="AG95" i="151" s="1"/>
  <c r="AG96" i="151" s="1"/>
  <c r="AG97" i="151" s="1"/>
  <c r="AG98" i="151" s="1"/>
  <c r="AG99" i="151" s="1"/>
  <c r="AG100" i="151" s="1"/>
  <c r="AG68" i="146"/>
  <c r="AE68" i="147"/>
  <c r="AG71" i="147" s="1"/>
  <c r="AG72" i="147" s="1"/>
  <c r="AG73" i="147" s="1"/>
  <c r="AG74" i="147" s="1"/>
  <c r="AG75" i="147" s="1"/>
  <c r="AG76" i="147" s="1"/>
  <c r="AG77" i="147" s="1"/>
  <c r="AG78" i="147" s="1"/>
  <c r="AG79" i="147" s="1"/>
  <c r="AG80" i="147" s="1"/>
  <c r="AG81" i="147" s="1"/>
  <c r="AG82" i="147" s="1"/>
  <c r="AG83" i="147" s="1"/>
  <c r="AG84" i="147" s="1"/>
  <c r="AG85" i="147" s="1"/>
  <c r="AG86" i="147" s="1"/>
  <c r="AG87" i="147" s="1"/>
  <c r="AG88" i="147" s="1"/>
  <c r="AG89" i="147" s="1"/>
  <c r="AG90" i="147" s="1"/>
  <c r="AG91" i="147" s="1"/>
  <c r="AG92" i="147" s="1"/>
  <c r="AG93" i="147" s="1"/>
  <c r="AG94" i="147" s="1"/>
  <c r="AG95" i="147" s="1"/>
  <c r="AG96" i="147" s="1"/>
  <c r="AG97" i="147" s="1"/>
  <c r="AG98" i="147" s="1"/>
  <c r="AG99" i="147" s="1"/>
  <c r="AG100" i="147" s="1"/>
  <c r="AG101" i="147" s="1"/>
  <c r="AG68" i="145"/>
  <c r="N48" i="47"/>
  <c r="V49" i="149"/>
  <c r="V53" i="150"/>
  <c r="AE86" i="142"/>
  <c r="AE82" i="142"/>
  <c r="AE78" i="142"/>
  <c r="AF78" i="142" s="1"/>
  <c r="E59" i="38"/>
  <c r="G59" i="38" s="1"/>
  <c r="W51" i="38"/>
  <c r="H72" i="138"/>
  <c r="H103" i="138" s="1"/>
  <c r="E108" i="138" s="1"/>
  <c r="F108" i="138" s="1"/>
  <c r="V51" i="140"/>
  <c r="K49" i="140"/>
  <c r="V49" i="140" s="1"/>
  <c r="H99" i="140"/>
  <c r="H87" i="140"/>
  <c r="I87" i="140" s="1"/>
  <c r="H85" i="140"/>
  <c r="I85" i="140" s="1"/>
  <c r="H83" i="140"/>
  <c r="I83" i="140" s="1"/>
  <c r="H79" i="140"/>
  <c r="I79" i="140" s="1"/>
  <c r="H77" i="140"/>
  <c r="I77" i="140" s="1"/>
  <c r="AA76" i="132"/>
  <c r="AB76" i="132" s="1"/>
  <c r="AC76" i="132" s="1"/>
  <c r="N43" i="47"/>
  <c r="N59" i="47"/>
  <c r="N63" i="47"/>
  <c r="AB102" i="138"/>
  <c r="AF79" i="150"/>
  <c r="V51" i="148"/>
  <c r="K49" i="148"/>
  <c r="V49" i="148" s="1"/>
  <c r="AF89" i="149"/>
  <c r="AF93" i="149"/>
  <c r="AF97" i="149"/>
  <c r="V315" i="47"/>
  <c r="V303" i="47"/>
  <c r="V294" i="47"/>
  <c r="V270" i="47"/>
  <c r="V254" i="47"/>
  <c r="V246" i="47"/>
  <c r="V234" i="47"/>
  <c r="V230" i="47"/>
  <c r="V222" i="47"/>
  <c r="V210" i="47"/>
  <c r="V202" i="47"/>
  <c r="V182" i="47"/>
  <c r="V177" i="47"/>
  <c r="V169" i="47"/>
  <c r="V165" i="47"/>
  <c r="V157" i="47"/>
  <c r="V149" i="47"/>
  <c r="V145" i="47"/>
  <c r="V137" i="47"/>
  <c r="V133" i="47"/>
  <c r="V125" i="47"/>
  <c r="V113" i="47"/>
  <c r="V109" i="47"/>
  <c r="V105" i="47"/>
  <c r="V101" i="47"/>
  <c r="V97" i="47"/>
  <c r="V93" i="47"/>
  <c r="V89" i="47"/>
  <c r="V85" i="47"/>
  <c r="V81" i="47"/>
  <c r="AF94" i="142"/>
  <c r="AE98" i="142"/>
  <c r="AF98" i="142" s="1"/>
  <c r="AE74" i="142"/>
  <c r="X42" i="142"/>
  <c r="Y42" i="142" s="1"/>
  <c r="V328" i="47"/>
  <c r="AF90" i="142"/>
  <c r="D93" i="142"/>
  <c r="D90" i="142"/>
  <c r="D82" i="142"/>
  <c r="W43" i="142"/>
  <c r="X40" i="142"/>
  <c r="Y40" i="142" s="1"/>
  <c r="D100" i="142"/>
  <c r="V321" i="47"/>
  <c r="V309" i="47"/>
  <c r="V297" i="47"/>
  <c r="V273" i="47"/>
  <c r="V269" i="47"/>
  <c r="V237" i="47"/>
  <c r="V225" i="47"/>
  <c r="V209" i="47"/>
  <c r="V205" i="47"/>
  <c r="V189" i="47"/>
  <c r="V185" i="47"/>
  <c r="V172" i="47"/>
  <c r="V168" i="47"/>
  <c r="V164" i="47"/>
  <c r="V160" i="47"/>
  <c r="V156" i="47"/>
  <c r="V152" i="47"/>
  <c r="V140" i="47"/>
  <c r="V136" i="47"/>
  <c r="V132" i="47"/>
  <c r="V128" i="47"/>
  <c r="V124" i="47"/>
  <c r="V116" i="47"/>
  <c r="V112" i="47"/>
  <c r="V108" i="47"/>
  <c r="V100" i="47"/>
  <c r="V96" i="47"/>
  <c r="V92" i="47"/>
  <c r="V88" i="47"/>
  <c r="V84" i="47"/>
  <c r="V320" i="47"/>
  <c r="V304" i="47"/>
  <c r="V258" i="47"/>
  <c r="V173" i="47"/>
  <c r="V161" i="47"/>
  <c r="V117" i="47"/>
  <c r="I98" i="140"/>
  <c r="W103" i="140"/>
  <c r="F102" i="140"/>
  <c r="N22" i="140" s="1"/>
  <c r="V295" i="47"/>
  <c r="V291" i="47"/>
  <c r="V287" i="47"/>
  <c r="V283" i="47"/>
  <c r="V279" i="47"/>
  <c r="V271" i="47"/>
  <c r="V255" i="47"/>
  <c r="V239" i="47"/>
  <c r="V231" i="47"/>
  <c r="V227" i="47"/>
  <c r="V207" i="47"/>
  <c r="V203" i="47"/>
  <c r="V199" i="47"/>
  <c r="V195" i="47"/>
  <c r="V187" i="47"/>
  <c r="V183" i="47"/>
  <c r="AF85" i="140"/>
  <c r="AF100" i="140"/>
  <c r="V317" i="47"/>
  <c r="V313" i="47"/>
  <c r="V305" i="47"/>
  <c r="V301" i="47"/>
  <c r="AD102" i="140"/>
  <c r="AF92" i="140"/>
  <c r="V163" i="47"/>
  <c r="V147" i="47"/>
  <c r="V103" i="47"/>
  <c r="H86" i="153"/>
  <c r="AF77" i="150"/>
  <c r="AF81" i="150"/>
  <c r="AF97" i="150"/>
  <c r="AF93" i="150"/>
  <c r="AF101" i="150"/>
  <c r="AF92" i="150"/>
  <c r="AG71" i="149"/>
  <c r="AF101" i="149"/>
  <c r="AF77" i="149"/>
  <c r="AE102" i="149"/>
  <c r="W103" i="149"/>
  <c r="AF88" i="149"/>
  <c r="AF73" i="149"/>
  <c r="AF83" i="148"/>
  <c r="AF95" i="148"/>
  <c r="AF99" i="148"/>
  <c r="V103" i="148"/>
  <c r="H99" i="146"/>
  <c r="F102" i="142"/>
  <c r="N22" i="142" s="1"/>
  <c r="M37" i="110"/>
  <c r="N37" i="110" s="1"/>
  <c r="Y37" i="110" s="1"/>
  <c r="H67" i="53"/>
  <c r="H56" i="83"/>
  <c r="H54" i="83"/>
  <c r="H58" i="34"/>
  <c r="D55" i="66"/>
  <c r="D52" i="66"/>
  <c r="D61" i="66"/>
  <c r="D51" i="66"/>
  <c r="G77" i="83"/>
  <c r="H77" i="83" s="1"/>
  <c r="G76" i="83"/>
  <c r="H76" i="83" s="1"/>
  <c r="G60" i="83"/>
  <c r="G57" i="83"/>
  <c r="H57" i="83" s="1"/>
  <c r="G50" i="83"/>
  <c r="H50" i="83" s="1"/>
  <c r="G70" i="83"/>
  <c r="H70" i="83" s="1"/>
  <c r="G73" i="83"/>
  <c r="G67" i="83"/>
  <c r="H67" i="83" s="1"/>
  <c r="G64" i="83"/>
  <c r="H64" i="83" s="1"/>
  <c r="G74" i="83"/>
  <c r="H74" i="83" s="1"/>
  <c r="G71" i="83"/>
  <c r="G52" i="83"/>
  <c r="G55" i="83"/>
  <c r="H55" i="83" s="1"/>
  <c r="G51" i="83"/>
  <c r="G62" i="83"/>
  <c r="G75" i="83"/>
  <c r="H75" i="83" s="1"/>
  <c r="X38" i="110"/>
  <c r="H75" i="76"/>
  <c r="K50" i="139"/>
  <c r="L50" i="139" s="1"/>
  <c r="M50" i="139" s="1"/>
  <c r="N50" i="139" s="1"/>
  <c r="L54" i="139"/>
  <c r="M54" i="139" s="1"/>
  <c r="N54" i="139" s="1"/>
  <c r="G60" i="53"/>
  <c r="H60" i="53" s="1"/>
  <c r="G49" i="53"/>
  <c r="H49" i="53" s="1"/>
  <c r="G70" i="53"/>
  <c r="G69" i="53"/>
  <c r="H69" i="53" s="1"/>
  <c r="K34" i="47"/>
  <c r="G76" i="53"/>
  <c r="G77" i="53"/>
  <c r="H77" i="53" s="1"/>
  <c r="G61" i="53"/>
  <c r="M35" i="80"/>
  <c r="H59" i="83"/>
  <c r="H60" i="83"/>
  <c r="H52" i="83"/>
  <c r="Q75" i="47"/>
  <c r="X75" i="47" s="1"/>
  <c r="L53" i="134"/>
  <c r="N53" i="134" s="1"/>
  <c r="Q43" i="77"/>
  <c r="O45" i="77"/>
  <c r="E56" i="47" s="1"/>
  <c r="G66" i="38"/>
  <c r="G72" i="38"/>
  <c r="G53" i="38"/>
  <c r="G50" i="38"/>
  <c r="G65" i="38"/>
  <c r="G57" i="38"/>
  <c r="G52" i="38"/>
  <c r="H52" i="38" s="1"/>
  <c r="K47" i="47"/>
  <c r="G60" i="38"/>
  <c r="G77" i="38"/>
  <c r="G55" i="38"/>
  <c r="G61" i="38"/>
  <c r="H61" i="38" s="1"/>
  <c r="O47" i="47"/>
  <c r="G49" i="38"/>
  <c r="H50" i="71"/>
  <c r="W52" i="139"/>
  <c r="X52" i="139" s="1"/>
  <c r="Y52" i="139" s="1"/>
  <c r="V50" i="139"/>
  <c r="W50" i="139" s="1"/>
  <c r="X50" i="139" s="1"/>
  <c r="Y50" i="139" s="1"/>
  <c r="H68" i="34"/>
  <c r="H68" i="105"/>
  <c r="D59" i="51"/>
  <c r="D66" i="51"/>
  <c r="D55" i="51"/>
  <c r="D75" i="51"/>
  <c r="D64" i="51"/>
  <c r="D56" i="51"/>
  <c r="D67" i="51"/>
  <c r="D71" i="40"/>
  <c r="D68" i="40"/>
  <c r="D60" i="40"/>
  <c r="H60" i="40" s="1"/>
  <c r="D69" i="40"/>
  <c r="D59" i="40"/>
  <c r="H61" i="51"/>
  <c r="G77" i="66"/>
  <c r="G72" i="66"/>
  <c r="D61" i="38"/>
  <c r="D56" i="38"/>
  <c r="H56" i="38" s="1"/>
  <c r="D79" i="38"/>
  <c r="D62" i="38"/>
  <c r="H62" i="38" s="1"/>
  <c r="H79" i="45"/>
  <c r="H51" i="83"/>
  <c r="H78" i="83"/>
  <c r="H73" i="83"/>
  <c r="H63" i="83"/>
  <c r="H69" i="83"/>
  <c r="D77" i="76"/>
  <c r="D61" i="76"/>
  <c r="D54" i="76"/>
  <c r="H73" i="34"/>
  <c r="G61" i="65"/>
  <c r="G54" i="82"/>
  <c r="H54" i="82" s="1"/>
  <c r="G77" i="82"/>
  <c r="H77" i="82" s="1"/>
  <c r="H72" i="65"/>
  <c r="G62" i="65"/>
  <c r="G60" i="65"/>
  <c r="G53" i="65"/>
  <c r="G52" i="65"/>
  <c r="G50" i="65"/>
  <c r="D58" i="80"/>
  <c r="H58" i="80" s="1"/>
  <c r="D55" i="80"/>
  <c r="D51" i="80"/>
  <c r="H51" i="80" s="1"/>
  <c r="D74" i="80"/>
  <c r="D70" i="80"/>
  <c r="D71" i="80"/>
  <c r="D63" i="80"/>
  <c r="Z29" i="123"/>
  <c r="Y67" i="50"/>
  <c r="Y68" i="50" s="1"/>
  <c r="H60" i="50"/>
  <c r="H71" i="105"/>
  <c r="Y56" i="69"/>
  <c r="Y57" i="69" s="1"/>
  <c r="H78" i="55"/>
  <c r="H50" i="55"/>
  <c r="H68" i="55"/>
  <c r="G55" i="82"/>
  <c r="H73" i="60"/>
  <c r="N33" i="133"/>
  <c r="D74" i="47" s="1"/>
  <c r="M32" i="75"/>
  <c r="M35" i="75" s="1"/>
  <c r="L35" i="75"/>
  <c r="H60" i="80"/>
  <c r="L41" i="91"/>
  <c r="H67" i="55"/>
  <c r="H63" i="71"/>
  <c r="G75" i="82"/>
  <c r="W41" i="91"/>
  <c r="X80" i="81"/>
  <c r="H75" i="50"/>
  <c r="H68" i="80"/>
  <c r="D69" i="51"/>
  <c r="H69" i="51" s="1"/>
  <c r="D65" i="51"/>
  <c r="D50" i="51"/>
  <c r="D53" i="51"/>
  <c r="D70" i="51"/>
  <c r="D52" i="51"/>
  <c r="H52" i="51" s="1"/>
  <c r="D71" i="51"/>
  <c r="H71" i="51" s="1"/>
  <c r="D73" i="40"/>
  <c r="H73" i="40" s="1"/>
  <c r="D51" i="40"/>
  <c r="D79" i="40"/>
  <c r="D77" i="40"/>
  <c r="D62" i="40"/>
  <c r="H69" i="40"/>
  <c r="G76" i="66"/>
  <c r="G52" i="66"/>
  <c r="G60" i="66"/>
  <c r="D56" i="53"/>
  <c r="D58" i="53"/>
  <c r="D57" i="53"/>
  <c r="D70" i="53"/>
  <c r="H70" i="53" s="1"/>
  <c r="D71" i="53"/>
  <c r="H71" i="53" s="1"/>
  <c r="D74" i="53"/>
  <c r="D76" i="53"/>
  <c r="D77" i="38"/>
  <c r="D68" i="38"/>
  <c r="H68" i="38" s="1"/>
  <c r="D49" i="38"/>
  <c r="H49" i="38" s="1"/>
  <c r="D51" i="38"/>
  <c r="H51" i="38" s="1"/>
  <c r="D56" i="76"/>
  <c r="D52" i="76"/>
  <c r="G73" i="65"/>
  <c r="G77" i="65"/>
  <c r="G59" i="82"/>
  <c r="G63" i="65"/>
  <c r="G56" i="65"/>
  <c r="G78" i="65"/>
  <c r="H78" i="65" s="1"/>
  <c r="G57" i="65"/>
  <c r="G55" i="65"/>
  <c r="G58" i="65"/>
  <c r="D75" i="80"/>
  <c r="H75" i="80" s="1"/>
  <c r="D56" i="80"/>
  <c r="H56" i="80" s="1"/>
  <c r="D65" i="80"/>
  <c r="D69" i="80"/>
  <c r="D52" i="80"/>
  <c r="D77" i="80"/>
  <c r="H77" i="80" s="1"/>
  <c r="G110" i="49"/>
  <c r="H66" i="105"/>
  <c r="H57" i="105"/>
  <c r="H72" i="105"/>
  <c r="H52" i="55"/>
  <c r="Q44" i="106"/>
  <c r="H60" i="54"/>
  <c r="H59" i="111"/>
  <c r="G78" i="91"/>
  <c r="H78" i="91" s="1"/>
  <c r="D73" i="106"/>
  <c r="D56" i="106"/>
  <c r="D75" i="106"/>
  <c r="D71" i="106"/>
  <c r="D70" i="106"/>
  <c r="I96" i="139"/>
  <c r="J41" i="76"/>
  <c r="L41" i="76" s="1"/>
  <c r="M41" i="76" s="1"/>
  <c r="Q41" i="76" s="1"/>
  <c r="H54" i="72"/>
  <c r="D77" i="59"/>
  <c r="D50" i="59"/>
  <c r="D68" i="72"/>
  <c r="D70" i="72"/>
  <c r="D51" i="72"/>
  <c r="D69" i="72"/>
  <c r="H69" i="72" s="1"/>
  <c r="D75" i="69"/>
  <c r="D52" i="69"/>
  <c r="D62" i="69"/>
  <c r="H62" i="69" s="1"/>
  <c r="D74" i="69"/>
  <c r="H24" i="75"/>
  <c r="I24" i="75"/>
  <c r="G66" i="75" s="1"/>
  <c r="Y49" i="34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H74" i="71"/>
  <c r="G64" i="65"/>
  <c r="H78" i="37"/>
  <c r="H61" i="37"/>
  <c r="I74" i="139"/>
  <c r="Y44" i="133"/>
  <c r="G57" i="75"/>
  <c r="G60" i="75"/>
  <c r="W44" i="132"/>
  <c r="H87" i="112"/>
  <c r="H79" i="109"/>
  <c r="I24" i="106"/>
  <c r="G73" i="106" s="1"/>
  <c r="D66" i="59"/>
  <c r="D49" i="59"/>
  <c r="H49" i="59" s="1"/>
  <c r="D79" i="59"/>
  <c r="D55" i="59"/>
  <c r="H55" i="59" s="1"/>
  <c r="D74" i="106"/>
  <c r="O31" i="106"/>
  <c r="M31" i="106"/>
  <c r="C50" i="56"/>
  <c r="C51" i="56" s="1"/>
  <c r="C52" i="56" s="1"/>
  <c r="C53" i="56" s="1"/>
  <c r="C54" i="56" s="1"/>
  <c r="C55" i="56" s="1"/>
  <c r="C56" i="56" s="1"/>
  <c r="C57" i="56" s="1"/>
  <c r="C58" i="56" s="1"/>
  <c r="C59" i="56" s="1"/>
  <c r="C60" i="56" s="1"/>
  <c r="C61" i="56" s="1"/>
  <c r="C62" i="56" s="1"/>
  <c r="C63" i="56" s="1"/>
  <c r="C64" i="56" s="1"/>
  <c r="C65" i="56" s="1"/>
  <c r="C66" i="56" s="1"/>
  <c r="C67" i="56" s="1"/>
  <c r="C68" i="56" s="1"/>
  <c r="C69" i="56" s="1"/>
  <c r="C70" i="56" s="1"/>
  <c r="C71" i="56" s="1"/>
  <c r="C72" i="56" s="1"/>
  <c r="C73" i="56" s="1"/>
  <c r="C74" i="56" s="1"/>
  <c r="C75" i="56" s="1"/>
  <c r="C76" i="56" s="1"/>
  <c r="C77" i="56" s="1"/>
  <c r="C78" i="56" s="1"/>
  <c r="C79" i="56" s="1"/>
  <c r="C47" i="56"/>
  <c r="F10" i="71"/>
  <c r="G10" i="71" s="1"/>
  <c r="E53" i="71"/>
  <c r="G53" i="71" s="1"/>
  <c r="W53" i="71"/>
  <c r="X53" i="71" s="1"/>
  <c r="Y53" i="71" s="1"/>
  <c r="Y54" i="71" s="1"/>
  <c r="Y55" i="71" s="1"/>
  <c r="Y56" i="71" s="1"/>
  <c r="Y57" i="71" s="1"/>
  <c r="Y58" i="71" s="1"/>
  <c r="Y59" i="71" s="1"/>
  <c r="Y60" i="71" s="1"/>
  <c r="Y61" i="71" s="1"/>
  <c r="Y62" i="71" s="1"/>
  <c r="W60" i="71"/>
  <c r="X60" i="71" s="1"/>
  <c r="E60" i="71"/>
  <c r="E63" i="72"/>
  <c r="G63" i="72" s="1"/>
  <c r="W63" i="72"/>
  <c r="X63" i="72" s="1"/>
  <c r="V32" i="134"/>
  <c r="G77" i="75"/>
  <c r="N33" i="134"/>
  <c r="G79" i="75"/>
  <c r="H56" i="109"/>
  <c r="G56" i="75"/>
  <c r="G51" i="75"/>
  <c r="D51" i="36"/>
  <c r="H51" i="36" s="1"/>
  <c r="H49" i="72"/>
  <c r="D73" i="59"/>
  <c r="H73" i="59" s="1"/>
  <c r="D63" i="59"/>
  <c r="H63" i="59" s="1"/>
  <c r="G69" i="75"/>
  <c r="G59" i="59"/>
  <c r="H59" i="59" s="1"/>
  <c r="H24" i="74"/>
  <c r="I24" i="74"/>
  <c r="G53" i="74" s="1"/>
  <c r="M33" i="124"/>
  <c r="G72" i="47" s="1"/>
  <c r="I72" i="47" s="1"/>
  <c r="D99" i="133"/>
  <c r="I99" i="133" s="1"/>
  <c r="D88" i="133"/>
  <c r="I88" i="133" s="1"/>
  <c r="G49" i="77"/>
  <c r="G52" i="75"/>
  <c r="G50" i="69"/>
  <c r="H50" i="69" s="1"/>
  <c r="X64" i="62"/>
  <c r="G57" i="77"/>
  <c r="X71" i="60"/>
  <c r="D68" i="64"/>
  <c r="I45" i="56"/>
  <c r="E65" i="57"/>
  <c r="I35" i="61"/>
  <c r="K34" i="61" s="1"/>
  <c r="L33" i="82"/>
  <c r="L34" i="82"/>
  <c r="L32" i="43"/>
  <c r="L34" i="43"/>
  <c r="M34" i="43" s="1"/>
  <c r="L41" i="124"/>
  <c r="L42" i="124"/>
  <c r="M42" i="124" s="1"/>
  <c r="N42" i="124" s="1"/>
  <c r="K43" i="123"/>
  <c r="L39" i="123" s="1"/>
  <c r="N39" i="123" s="1"/>
  <c r="P79" i="34"/>
  <c r="D60" i="64"/>
  <c r="D50" i="64"/>
  <c r="D63" i="64"/>
  <c r="M26" i="9"/>
  <c r="M30" i="12"/>
  <c r="M32" i="12" s="1"/>
  <c r="M33" i="12" s="1"/>
  <c r="R80" i="62"/>
  <c r="W77" i="65"/>
  <c r="X77" i="65" s="1"/>
  <c r="E71" i="69"/>
  <c r="AC76" i="148"/>
  <c r="AF76" i="148"/>
  <c r="AF72" i="149"/>
  <c r="AG72" i="149" s="1"/>
  <c r="AC72" i="149"/>
  <c r="AC76" i="149"/>
  <c r="AF76" i="149"/>
  <c r="AC87" i="149"/>
  <c r="AF87" i="149"/>
  <c r="AC91" i="149"/>
  <c r="AF91" i="149"/>
  <c r="AC99" i="149"/>
  <c r="AF99" i="149"/>
  <c r="K50" i="123"/>
  <c r="G61" i="77"/>
  <c r="W65" i="51"/>
  <c r="X65" i="51" s="1"/>
  <c r="X64" i="58"/>
  <c r="E54" i="60"/>
  <c r="G54" i="60" s="1"/>
  <c r="W54" i="68"/>
  <c r="X54" i="68" s="1"/>
  <c r="I35" i="72"/>
  <c r="K34" i="72" s="1"/>
  <c r="L34" i="72" s="1"/>
  <c r="M34" i="72" s="1"/>
  <c r="L34" i="76"/>
  <c r="L33" i="76"/>
  <c r="L34" i="107"/>
  <c r="L31" i="107"/>
  <c r="M31" i="107" s="1"/>
  <c r="L32" i="107"/>
  <c r="M32" i="107" s="1"/>
  <c r="M26" i="18"/>
  <c r="E50" i="58"/>
  <c r="W54" i="61"/>
  <c r="X54" i="61" s="1"/>
  <c r="Y54" i="61" s="1"/>
  <c r="Y55" i="61" s="1"/>
  <c r="Y56" i="61" s="1"/>
  <c r="Y57" i="61" s="1"/>
  <c r="C50" i="67"/>
  <c r="C51" i="67" s="1"/>
  <c r="C52" i="67" s="1"/>
  <c r="C53" i="67" s="1"/>
  <c r="C54" i="67" s="1"/>
  <c r="C55" i="67" s="1"/>
  <c r="C56" i="67" s="1"/>
  <c r="C57" i="67" s="1"/>
  <c r="C58" i="67" s="1"/>
  <c r="C59" i="67" s="1"/>
  <c r="C60" i="67" s="1"/>
  <c r="C61" i="67" s="1"/>
  <c r="C62" i="67" s="1"/>
  <c r="C63" i="67" s="1"/>
  <c r="C64" i="67" s="1"/>
  <c r="C65" i="67" s="1"/>
  <c r="C66" i="67" s="1"/>
  <c r="C67" i="67" s="1"/>
  <c r="C68" i="67" s="1"/>
  <c r="C69" i="67" s="1"/>
  <c r="C70" i="67" s="1"/>
  <c r="C71" i="67" s="1"/>
  <c r="C72" i="67" s="1"/>
  <c r="C73" i="67" s="1"/>
  <c r="C74" i="67" s="1"/>
  <c r="C75" i="67" s="1"/>
  <c r="C76" i="67" s="1"/>
  <c r="C77" i="67" s="1"/>
  <c r="C78" i="67" s="1"/>
  <c r="C79" i="67" s="1"/>
  <c r="C47" i="67"/>
  <c r="L32" i="44"/>
  <c r="M32" i="44" s="1"/>
  <c r="F10" i="44"/>
  <c r="G10" i="44" s="1"/>
  <c r="F11" i="80"/>
  <c r="G11" i="80" s="1"/>
  <c r="C50" i="107"/>
  <c r="C51" i="107" s="1"/>
  <c r="C52" i="107" s="1"/>
  <c r="C53" i="107" s="1"/>
  <c r="C54" i="107" s="1"/>
  <c r="C55" i="107" s="1"/>
  <c r="C56" i="107" s="1"/>
  <c r="C57" i="107" s="1"/>
  <c r="C58" i="107" s="1"/>
  <c r="C59" i="107" s="1"/>
  <c r="C60" i="107" s="1"/>
  <c r="C61" i="107" s="1"/>
  <c r="C62" i="107" s="1"/>
  <c r="C63" i="107" s="1"/>
  <c r="C64" i="107" s="1"/>
  <c r="C65" i="107" s="1"/>
  <c r="C66" i="107" s="1"/>
  <c r="C67" i="107" s="1"/>
  <c r="C68" i="107" s="1"/>
  <c r="C69" i="107" s="1"/>
  <c r="C70" i="107" s="1"/>
  <c r="C71" i="107" s="1"/>
  <c r="C72" i="107" s="1"/>
  <c r="C73" i="107" s="1"/>
  <c r="C74" i="107" s="1"/>
  <c r="C75" i="107" s="1"/>
  <c r="C76" i="107" s="1"/>
  <c r="C77" i="107" s="1"/>
  <c r="C78" i="107" s="1"/>
  <c r="C47" i="107"/>
  <c r="H63" i="47"/>
  <c r="F11" i="105"/>
  <c r="G11" i="105" s="1"/>
  <c r="F11" i="106"/>
  <c r="H64" i="47"/>
  <c r="I64" i="47" s="1"/>
  <c r="L43" i="107"/>
  <c r="M43" i="107" s="1"/>
  <c r="H65" i="47"/>
  <c r="L41" i="107"/>
  <c r="L42" i="107"/>
  <c r="M42" i="107" s="1"/>
  <c r="L44" i="107"/>
  <c r="G66" i="47"/>
  <c r="I66" i="47" s="1"/>
  <c r="E12" i="109"/>
  <c r="F10" i="109"/>
  <c r="L32" i="109"/>
  <c r="L34" i="109"/>
  <c r="AF95" i="149"/>
  <c r="K31" i="65"/>
  <c r="L31" i="65" s="1"/>
  <c r="M26" i="23"/>
  <c r="M26" i="24"/>
  <c r="M36" i="24" s="1"/>
  <c r="M26" i="32"/>
  <c r="W52" i="51"/>
  <c r="X52" i="51" s="1"/>
  <c r="E57" i="52"/>
  <c r="W53" i="52"/>
  <c r="X53" i="52" s="1"/>
  <c r="W52" i="53"/>
  <c r="X52" i="53" s="1"/>
  <c r="E74" i="54"/>
  <c r="E77" i="54"/>
  <c r="G77" i="54" s="1"/>
  <c r="W77" i="56"/>
  <c r="X77" i="56" s="1"/>
  <c r="W56" i="59"/>
  <c r="X56" i="59" s="1"/>
  <c r="E60" i="60"/>
  <c r="G60" i="60" s="1"/>
  <c r="E71" i="62"/>
  <c r="G71" i="62" s="1"/>
  <c r="H71" i="62" s="1"/>
  <c r="W74" i="62"/>
  <c r="X74" i="62" s="1"/>
  <c r="E77" i="62"/>
  <c r="E78" i="62"/>
  <c r="W79" i="63"/>
  <c r="X79" i="63" s="1"/>
  <c r="E51" i="64"/>
  <c r="G51" i="64" s="1"/>
  <c r="E54" i="64"/>
  <c r="G54" i="64" s="1"/>
  <c r="E62" i="64"/>
  <c r="G62" i="64" s="1"/>
  <c r="W65" i="66"/>
  <c r="X65" i="66" s="1"/>
  <c r="W55" i="68"/>
  <c r="X55" i="68" s="1"/>
  <c r="W67" i="69"/>
  <c r="X67" i="69" s="1"/>
  <c r="AC90" i="150"/>
  <c r="AF90" i="150"/>
  <c r="AB83" i="133"/>
  <c r="L32" i="74"/>
  <c r="M32" i="74" s="1"/>
  <c r="K32" i="65"/>
  <c r="L32" i="65" s="1"/>
  <c r="M26" i="2"/>
  <c r="M26" i="29"/>
  <c r="E51" i="52"/>
  <c r="E75" i="53"/>
  <c r="G75" i="53" s="1"/>
  <c r="H75" i="53" s="1"/>
  <c r="W52" i="58"/>
  <c r="X52" i="58" s="1"/>
  <c r="E58" i="58"/>
  <c r="E64" i="60"/>
  <c r="G64" i="60" s="1"/>
  <c r="W58" i="61"/>
  <c r="X58" i="61" s="1"/>
  <c r="W67" i="62"/>
  <c r="X67" i="62" s="1"/>
  <c r="W60" i="64"/>
  <c r="X60" i="64" s="1"/>
  <c r="E63" i="64"/>
  <c r="G63" i="64" s="1"/>
  <c r="H63" i="64" s="1"/>
  <c r="W74" i="68"/>
  <c r="X74" i="68" s="1"/>
  <c r="W75" i="74"/>
  <c r="X75" i="74" s="1"/>
  <c r="E55" i="75"/>
  <c r="W70" i="75"/>
  <c r="X70" i="75" s="1"/>
  <c r="E75" i="75"/>
  <c r="E77" i="34"/>
  <c r="G77" i="34" s="1"/>
  <c r="E70" i="35"/>
  <c r="E54" i="35"/>
  <c r="E76" i="36"/>
  <c r="E60" i="36"/>
  <c r="E62" i="37"/>
  <c r="K54" i="140"/>
  <c r="Q112" i="47" s="1"/>
  <c r="X112" i="47" s="1"/>
  <c r="AA97" i="123"/>
  <c r="AB97" i="123" s="1"/>
  <c r="AA84" i="123"/>
  <c r="AB84" i="123" s="1"/>
  <c r="N52" i="47"/>
  <c r="N60" i="47"/>
  <c r="AE73" i="143"/>
  <c r="H96" i="147"/>
  <c r="E102" i="147"/>
  <c r="E106" i="147" s="1"/>
  <c r="F102" i="148"/>
  <c r="N22" i="148" s="1"/>
  <c r="AF74" i="148"/>
  <c r="AF81" i="149"/>
  <c r="K54" i="150"/>
  <c r="K54" i="151"/>
  <c r="Q336" i="47" s="1"/>
  <c r="P336" i="47" s="1"/>
  <c r="E102" i="153"/>
  <c r="E106" i="153" s="1"/>
  <c r="F102" i="153"/>
  <c r="N22" i="153" s="1"/>
  <c r="AE95" i="142"/>
  <c r="AE87" i="142"/>
  <c r="AE79" i="142"/>
  <c r="K54" i="152"/>
  <c r="K54" i="153"/>
  <c r="L49" i="153" s="1"/>
  <c r="AA91" i="124"/>
  <c r="AB91" i="124" s="1"/>
  <c r="AA99" i="124"/>
  <c r="E66" i="111"/>
  <c r="E62" i="111"/>
  <c r="E77" i="105"/>
  <c r="G77" i="105" s="1"/>
  <c r="E69" i="105"/>
  <c r="G69" i="105" s="1"/>
  <c r="E58" i="105"/>
  <c r="G58" i="105" s="1"/>
  <c r="E55" i="105"/>
  <c r="E50" i="105"/>
  <c r="E71" i="80"/>
  <c r="G71" i="80" s="1"/>
  <c r="E65" i="80"/>
  <c r="G65" i="80" s="1"/>
  <c r="W63" i="80"/>
  <c r="X63" i="80" s="1"/>
  <c r="E59" i="37"/>
  <c r="G59" i="37" s="1"/>
  <c r="H59" i="37" s="1"/>
  <c r="E72" i="40"/>
  <c r="E64" i="40"/>
  <c r="G64" i="40" s="1"/>
  <c r="E56" i="40"/>
  <c r="G56" i="40" s="1"/>
  <c r="E76" i="41"/>
  <c r="E68" i="41"/>
  <c r="E60" i="41"/>
  <c r="K54" i="146"/>
  <c r="AF80" i="148"/>
  <c r="AF71" i="150"/>
  <c r="AG71" i="150" s="1"/>
  <c r="H84" i="150"/>
  <c r="AF86" i="150"/>
  <c r="F102" i="151"/>
  <c r="N22" i="151" s="1"/>
  <c r="E102" i="152"/>
  <c r="E106" i="152" s="1"/>
  <c r="V178" i="47"/>
  <c r="V150" i="47"/>
  <c r="W69" i="91"/>
  <c r="X69" i="91" s="1"/>
  <c r="W66" i="39"/>
  <c r="N51" i="47"/>
  <c r="AE75" i="143"/>
  <c r="AE89" i="143"/>
  <c r="AE93" i="143"/>
  <c r="AF89" i="144"/>
  <c r="AF89" i="148"/>
  <c r="H89" i="149"/>
  <c r="K54" i="149"/>
  <c r="AF95" i="150"/>
  <c r="W103" i="150"/>
  <c r="M74" i="48"/>
  <c r="M75" i="48" s="1"/>
  <c r="M76" i="48" s="1"/>
  <c r="M77" i="48" s="1"/>
  <c r="M78" i="48" s="1"/>
  <c r="M79" i="48" s="1"/>
  <c r="M80" i="48" s="1"/>
  <c r="M81" i="48" s="1"/>
  <c r="M82" i="48" s="1"/>
  <c r="M83" i="48" s="1"/>
  <c r="M84" i="48" s="1"/>
  <c r="M85" i="48" s="1"/>
  <c r="M86" i="48" s="1"/>
  <c r="M87" i="48" s="1"/>
  <c r="M88" i="48" s="1"/>
  <c r="M89" i="48" s="1"/>
  <c r="M90" i="48" s="1"/>
  <c r="M91" i="48" s="1"/>
  <c r="M92" i="48" s="1"/>
  <c r="M93" i="48" s="1"/>
  <c r="M94" i="48" s="1"/>
  <c r="M95" i="48" s="1"/>
  <c r="M96" i="48" s="1"/>
  <c r="M97" i="48" s="1"/>
  <c r="M98" i="48" s="1"/>
  <c r="M99" i="48" s="1"/>
  <c r="M100" i="48" s="1"/>
  <c r="M101" i="48" s="1"/>
  <c r="M102" i="48" s="1"/>
  <c r="M103" i="48" s="1"/>
  <c r="M104" i="48" s="1"/>
  <c r="M105" i="48" s="1"/>
  <c r="M106" i="48" s="1"/>
  <c r="M107" i="48" s="1"/>
  <c r="M108" i="48" s="1"/>
  <c r="M109" i="48" s="1"/>
  <c r="M110" i="48" s="1"/>
  <c r="M111" i="48" s="1"/>
  <c r="M112" i="48" s="1"/>
  <c r="M113" i="48" s="1"/>
  <c r="M114" i="48" s="1"/>
  <c r="M115" i="48" s="1"/>
  <c r="M116" i="48" s="1"/>
  <c r="M117" i="48" s="1"/>
  <c r="M118" i="48" s="1"/>
  <c r="M119" i="48" s="1"/>
  <c r="M120" i="48" s="1"/>
  <c r="M121" i="48" s="1"/>
  <c r="M122" i="48" s="1"/>
  <c r="M123" i="48" s="1"/>
  <c r="M124" i="48" s="1"/>
  <c r="M125" i="48" s="1"/>
  <c r="M126" i="48" s="1"/>
  <c r="M127" i="48" s="1"/>
  <c r="M128" i="48" s="1"/>
  <c r="M129" i="48" s="1"/>
  <c r="M130" i="48" s="1"/>
  <c r="M131" i="48" s="1"/>
  <c r="M132" i="48" s="1"/>
  <c r="M133" i="48" s="1"/>
  <c r="M134" i="48" s="1"/>
  <c r="M135" i="48" s="1"/>
  <c r="M136" i="48" s="1"/>
  <c r="M137" i="48" s="1"/>
  <c r="M138" i="48" s="1"/>
  <c r="M139" i="48" s="1"/>
  <c r="M140" i="48" s="1"/>
  <c r="M141" i="48" s="1"/>
  <c r="M142" i="48" s="1"/>
  <c r="M143" i="48" s="1"/>
  <c r="M144" i="48" s="1"/>
  <c r="M145" i="48" s="1"/>
  <c r="M146" i="48" s="1"/>
  <c r="M147" i="48" s="1"/>
  <c r="M148" i="48" s="1"/>
  <c r="M149" i="48" s="1"/>
  <c r="M150" i="48" s="1"/>
  <c r="M151" i="48" s="1"/>
  <c r="M152" i="48" s="1"/>
  <c r="M153" i="48" s="1"/>
  <c r="M154" i="48" s="1"/>
  <c r="M155" i="48" s="1"/>
  <c r="M156" i="48" s="1"/>
  <c r="M157" i="48" s="1"/>
  <c r="M158" i="48" s="1"/>
  <c r="M159" i="48" s="1"/>
  <c r="AF85" i="142"/>
  <c r="AE92" i="142"/>
  <c r="AF92" i="142" s="1"/>
  <c r="AE80" i="142"/>
  <c r="AF80" i="142" s="1"/>
  <c r="D76" i="140"/>
  <c r="J86" i="47"/>
  <c r="J96" i="47"/>
  <c r="J103" i="47"/>
  <c r="J85" i="47"/>
  <c r="J98" i="47"/>
  <c r="J113" i="47"/>
  <c r="J87" i="47"/>
  <c r="J114" i="47"/>
  <c r="J124" i="47"/>
  <c r="J132" i="47"/>
  <c r="J153" i="47"/>
  <c r="J169" i="47"/>
  <c r="J121" i="47"/>
  <c r="J137" i="47"/>
  <c r="J148" i="47"/>
  <c r="J164" i="47"/>
  <c r="J82" i="47"/>
  <c r="J127" i="47"/>
  <c r="J168" i="47"/>
  <c r="J184" i="47"/>
  <c r="J201" i="47"/>
  <c r="J112" i="47"/>
  <c r="J162" i="47"/>
  <c r="J180" i="47"/>
  <c r="J123" i="47"/>
  <c r="J183" i="47"/>
  <c r="J202" i="47"/>
  <c r="J217" i="47"/>
  <c r="J228" i="47"/>
  <c r="J239" i="47"/>
  <c r="J254" i="47"/>
  <c r="J268" i="47"/>
  <c r="J279" i="47"/>
  <c r="J288" i="47"/>
  <c r="J301" i="47"/>
  <c r="J144" i="47"/>
  <c r="J190" i="47"/>
  <c r="J243" i="47"/>
  <c r="J260" i="47"/>
  <c r="J286" i="47"/>
  <c r="J306" i="47"/>
  <c r="J116" i="47"/>
  <c r="J207" i="47"/>
  <c r="J244" i="47"/>
  <c r="J289" i="47"/>
  <c r="J152" i="47"/>
  <c r="J212" i="47"/>
  <c r="J226" i="47"/>
  <c r="J246" i="47"/>
  <c r="J299" i="47"/>
  <c r="J315" i="47"/>
  <c r="J327" i="47"/>
  <c r="J240" i="47"/>
  <c r="J275" i="47"/>
  <c r="J316" i="47"/>
  <c r="J325" i="47"/>
  <c r="J172" i="47"/>
  <c r="J291" i="47"/>
  <c r="J322" i="47"/>
  <c r="J264" i="47"/>
  <c r="J220" i="47"/>
  <c r="J276" i="47"/>
  <c r="D101" i="140"/>
  <c r="D81" i="140"/>
  <c r="J91" i="47"/>
  <c r="J100" i="47"/>
  <c r="J106" i="47"/>
  <c r="J94" i="47"/>
  <c r="J109" i="47"/>
  <c r="J117" i="47"/>
  <c r="J99" i="47"/>
  <c r="J120" i="47"/>
  <c r="J128" i="47"/>
  <c r="J142" i="47"/>
  <c r="J160" i="47"/>
  <c r="J83" i="47"/>
  <c r="J129" i="47"/>
  <c r="J140" i="47"/>
  <c r="J157" i="47"/>
  <c r="J173" i="47"/>
  <c r="J102" i="47"/>
  <c r="J141" i="47"/>
  <c r="J177" i="47"/>
  <c r="J193" i="47"/>
  <c r="J209" i="47"/>
  <c r="J138" i="47"/>
  <c r="J165" i="47"/>
  <c r="J189" i="47"/>
  <c r="J161" i="47"/>
  <c r="J194" i="47"/>
  <c r="J210" i="47"/>
  <c r="J221" i="47"/>
  <c r="J235" i="47"/>
  <c r="J248" i="47"/>
  <c r="J262" i="47"/>
  <c r="J272" i="47"/>
  <c r="J285" i="47"/>
  <c r="J295" i="47"/>
  <c r="J309" i="47"/>
  <c r="J151" i="47"/>
  <c r="J232" i="47"/>
  <c r="J249" i="47"/>
  <c r="J270" i="47"/>
  <c r="J302" i="47"/>
  <c r="J310" i="47"/>
  <c r="J192" i="47"/>
  <c r="J233" i="47"/>
  <c r="J273" i="47"/>
  <c r="J80" i="47"/>
  <c r="J196" i="47"/>
  <c r="J222" i="47"/>
  <c r="J230" i="47"/>
  <c r="J283" i="47"/>
  <c r="J312" i="47"/>
  <c r="J319" i="47"/>
  <c r="J229" i="47"/>
  <c r="J259" i="47"/>
  <c r="J303" i="47"/>
  <c r="J274" i="47"/>
  <c r="J178" i="47"/>
  <c r="J265" i="47"/>
  <c r="J318" i="47"/>
  <c r="J208" i="47"/>
  <c r="J204" i="47"/>
  <c r="J256" i="47"/>
  <c r="J297" i="47"/>
  <c r="D89" i="140"/>
  <c r="D90" i="140"/>
  <c r="I90" i="140" s="1"/>
  <c r="J81" i="47"/>
  <c r="J104" i="47"/>
  <c r="J101" i="47"/>
  <c r="J79" i="47"/>
  <c r="J95" i="47"/>
  <c r="J111" i="47"/>
  <c r="J84" i="47"/>
  <c r="J110" i="47"/>
  <c r="J122" i="47"/>
  <c r="J130" i="47"/>
  <c r="J150" i="47"/>
  <c r="J166" i="47"/>
  <c r="J119" i="47"/>
  <c r="J133" i="47"/>
  <c r="J145" i="47"/>
  <c r="J159" i="47"/>
  <c r="J175" i="47"/>
  <c r="J108" i="47"/>
  <c r="J156" i="47"/>
  <c r="J179" i="47"/>
  <c r="J197" i="47"/>
  <c r="J213" i="47"/>
  <c r="J158" i="47"/>
  <c r="J167" i="47"/>
  <c r="J191" i="47"/>
  <c r="J181" i="47"/>
  <c r="J198" i="47"/>
  <c r="J214" i="47"/>
  <c r="J223" i="47"/>
  <c r="J238" i="47"/>
  <c r="J252" i="47"/>
  <c r="J263" i="47"/>
  <c r="J277" i="47"/>
  <c r="J287" i="47"/>
  <c r="J296" i="47"/>
  <c r="J89" i="47"/>
  <c r="J176" i="47"/>
  <c r="J242" i="47"/>
  <c r="J253" i="47"/>
  <c r="J278" i="47"/>
  <c r="J304" i="47"/>
  <c r="J311" i="47"/>
  <c r="J200" i="47"/>
  <c r="J236" i="47"/>
  <c r="J282" i="47"/>
  <c r="J135" i="47"/>
  <c r="J203" i="47"/>
  <c r="J224" i="47"/>
  <c r="J231" i="47"/>
  <c r="J284" i="47"/>
  <c r="J313" i="47"/>
  <c r="J323" i="47"/>
  <c r="J237" i="47"/>
  <c r="J269" i="47"/>
  <c r="J314" i="47"/>
  <c r="J320" i="47"/>
  <c r="J147" i="47"/>
  <c r="J267" i="47"/>
  <c r="J321" i="47"/>
  <c r="J211" i="47"/>
  <c r="J215" i="47"/>
  <c r="J266" i="47"/>
  <c r="J324" i="47"/>
  <c r="D97" i="140"/>
  <c r="D100" i="140"/>
  <c r="I100" i="140" s="1"/>
  <c r="D82" i="140"/>
  <c r="I82" i="140" s="1"/>
  <c r="D92" i="140"/>
  <c r="I92" i="140" s="1"/>
  <c r="H86" i="140"/>
  <c r="I86" i="140" s="1"/>
  <c r="H88" i="140"/>
  <c r="I88" i="140" s="1"/>
  <c r="H101" i="140"/>
  <c r="I94" i="140"/>
  <c r="I99" i="140"/>
  <c r="J136" i="47"/>
  <c r="J139" i="47"/>
  <c r="J134" i="47"/>
  <c r="J115" i="47"/>
  <c r="J97" i="47"/>
  <c r="I76" i="140"/>
  <c r="I78" i="140"/>
  <c r="J125" i="47"/>
  <c r="J126" i="47"/>
  <c r="J107" i="47"/>
  <c r="J90" i="47"/>
  <c r="H97" i="140"/>
  <c r="I97" i="140" s="1"/>
  <c r="H95" i="140"/>
  <c r="I95" i="140" s="1"/>
  <c r="H93" i="140"/>
  <c r="I93" i="140" s="1"/>
  <c r="H89" i="140"/>
  <c r="H81" i="140"/>
  <c r="I81" i="140" s="1"/>
  <c r="H75" i="140"/>
  <c r="I75" i="140" s="1"/>
  <c r="H73" i="140"/>
  <c r="V326" i="47"/>
  <c r="V298" i="47"/>
  <c r="V248" i="47"/>
  <c r="V236" i="47"/>
  <c r="V216" i="47"/>
  <c r="V204" i="47"/>
  <c r="V126" i="47"/>
  <c r="V106" i="47"/>
  <c r="V86" i="47"/>
  <c r="V336" i="47"/>
  <c r="H71" i="150"/>
  <c r="H99" i="149"/>
  <c r="H86" i="149"/>
  <c r="H22" i="148"/>
  <c r="D86" i="148" s="1"/>
  <c r="H98" i="146"/>
  <c r="H88" i="146"/>
  <c r="Q97" i="47"/>
  <c r="Q96" i="47"/>
  <c r="Q173" i="47"/>
  <c r="Q244" i="47"/>
  <c r="X244" i="47" s="1"/>
  <c r="Q296" i="47"/>
  <c r="Z296" i="47" s="1"/>
  <c r="AB296" i="47" s="1"/>
  <c r="AC296" i="47" s="1"/>
  <c r="Q314" i="47"/>
  <c r="Q223" i="47"/>
  <c r="Q133" i="47"/>
  <c r="Q322" i="47"/>
  <c r="Z322" i="47" s="1"/>
  <c r="Q117" i="47"/>
  <c r="Q134" i="47"/>
  <c r="Q189" i="47"/>
  <c r="Q194" i="47"/>
  <c r="Q248" i="47"/>
  <c r="Q182" i="47"/>
  <c r="Q304" i="47"/>
  <c r="Q292" i="47"/>
  <c r="Q101" i="47"/>
  <c r="P101" i="47" s="1"/>
  <c r="Q130" i="47"/>
  <c r="Q297" i="47"/>
  <c r="X297" i="47" s="1"/>
  <c r="Q180" i="47"/>
  <c r="P180" i="47" s="1"/>
  <c r="Q208" i="47"/>
  <c r="X208" i="47" s="1"/>
  <c r="Q81" i="47"/>
  <c r="P81" i="47" s="1"/>
  <c r="Q191" i="47"/>
  <c r="Z191" i="47" s="1"/>
  <c r="Q272" i="47"/>
  <c r="Q305" i="47"/>
  <c r="Q240" i="47"/>
  <c r="P240" i="47" s="1"/>
  <c r="Q118" i="47"/>
  <c r="P118" i="47" s="1"/>
  <c r="Q146" i="47"/>
  <c r="Z146" i="47" s="1"/>
  <c r="Q271" i="47"/>
  <c r="Q201" i="47"/>
  <c r="P201" i="47" s="1"/>
  <c r="Q242" i="47"/>
  <c r="P242" i="47" s="1"/>
  <c r="Q239" i="47"/>
  <c r="X239" i="47" s="1"/>
  <c r="Q233" i="47"/>
  <c r="Z233" i="47" s="1"/>
  <c r="AA233" i="47" s="1"/>
  <c r="I72" i="140"/>
  <c r="W105" i="140"/>
  <c r="AG72" i="140"/>
  <c r="I96" i="140"/>
  <c r="AF98" i="140"/>
  <c r="I80" i="140"/>
  <c r="AF74" i="140"/>
  <c r="AF84" i="140"/>
  <c r="V325" i="47"/>
  <c r="V282" i="47"/>
  <c r="V275" i="47"/>
  <c r="V274" i="47"/>
  <c r="V267" i="47"/>
  <c r="V266" i="47"/>
  <c r="V259" i="47"/>
  <c r="V251" i="47"/>
  <c r="V243" i="47"/>
  <c r="V242" i="47"/>
  <c r="V223" i="47"/>
  <c r="V219" i="47"/>
  <c r="V215" i="47"/>
  <c r="V214" i="47"/>
  <c r="V211" i="47"/>
  <c r="V194" i="47"/>
  <c r="V191" i="47"/>
  <c r="V176" i="47"/>
  <c r="V144" i="47"/>
  <c r="V129" i="47"/>
  <c r="V327" i="47"/>
  <c r="V322" i="47"/>
  <c r="V319" i="47"/>
  <c r="V318" i="47"/>
  <c r="V314" i="47"/>
  <c r="V310" i="47"/>
  <c r="V306" i="47"/>
  <c r="V302" i="47"/>
  <c r="V293" i="47"/>
  <c r="V292" i="47"/>
  <c r="V289" i="47"/>
  <c r="V285" i="47"/>
  <c r="V284" i="47"/>
  <c r="V281" i="47"/>
  <c r="V277" i="47"/>
  <c r="V276" i="47"/>
  <c r="V272" i="47"/>
  <c r="V268" i="47"/>
  <c r="V265" i="47"/>
  <c r="V261" i="47"/>
  <c r="V260" i="47"/>
  <c r="V257" i="47"/>
  <c r="V256" i="47"/>
  <c r="V253" i="47"/>
  <c r="V252" i="47"/>
  <c r="V249" i="47"/>
  <c r="V245" i="47"/>
  <c r="V244" i="47"/>
  <c r="V241" i="47"/>
  <c r="V233" i="47"/>
  <c r="V232" i="47"/>
  <c r="V229" i="47"/>
  <c r="V228" i="47"/>
  <c r="V221" i="47"/>
  <c r="V220" i="47"/>
  <c r="V217" i="47"/>
  <c r="V213" i="47"/>
  <c r="V212" i="47"/>
  <c r="V208" i="47"/>
  <c r="V201" i="47"/>
  <c r="V200" i="47"/>
  <c r="V197" i="47"/>
  <c r="V196" i="47"/>
  <c r="V192" i="47"/>
  <c r="V188" i="47"/>
  <c r="V184" i="47"/>
  <c r="V181" i="47"/>
  <c r="V180" i="47"/>
  <c r="V179" i="47"/>
  <c r="V175" i="47"/>
  <c r="V174" i="47"/>
  <c r="V170" i="47"/>
  <c r="V167" i="47"/>
  <c r="V166" i="47"/>
  <c r="V162" i="47"/>
  <c r="V159" i="47"/>
  <c r="V158" i="47"/>
  <c r="V155" i="47"/>
  <c r="V154" i="47"/>
  <c r="V151" i="47"/>
  <c r="V146" i="47"/>
  <c r="V143" i="47"/>
  <c r="V139" i="47"/>
  <c r="V138" i="47"/>
  <c r="V135" i="47"/>
  <c r="V134" i="47"/>
  <c r="V130" i="47"/>
  <c r="V127" i="47"/>
  <c r="V122" i="47"/>
  <c r="V118" i="47"/>
  <c r="V115" i="47"/>
  <c r="V114" i="47"/>
  <c r="V110" i="47"/>
  <c r="V107" i="47"/>
  <c r="V102" i="47"/>
  <c r="V99" i="47"/>
  <c r="V98" i="47"/>
  <c r="V94" i="47"/>
  <c r="V91" i="47"/>
  <c r="V90" i="47"/>
  <c r="V83" i="47"/>
  <c r="V82" i="47"/>
  <c r="H97" i="153"/>
  <c r="H72" i="153"/>
  <c r="D91" i="153"/>
  <c r="D78" i="152"/>
  <c r="D76" i="152"/>
  <c r="D87" i="152"/>
  <c r="F102" i="152"/>
  <c r="N22" i="152" s="1"/>
  <c r="H92" i="151"/>
  <c r="E102" i="151"/>
  <c r="E106" i="151" s="1"/>
  <c r="AF85" i="150"/>
  <c r="AF72" i="150"/>
  <c r="AF76" i="150"/>
  <c r="AF88" i="150"/>
  <c r="AC92" i="150"/>
  <c r="V103" i="150"/>
  <c r="W105" i="150" s="1"/>
  <c r="F102" i="150"/>
  <c r="N22" i="150" s="1"/>
  <c r="AF91" i="150"/>
  <c r="AF82" i="150"/>
  <c r="AF78" i="150"/>
  <c r="H92" i="150"/>
  <c r="AF87" i="150"/>
  <c r="H80" i="149"/>
  <c r="AF79" i="149"/>
  <c r="H96" i="149"/>
  <c r="H71" i="149"/>
  <c r="F102" i="149"/>
  <c r="N22" i="149" s="1"/>
  <c r="AF85" i="149"/>
  <c r="AF75" i="148"/>
  <c r="AF78" i="148"/>
  <c r="AF88" i="148"/>
  <c r="AF84" i="148"/>
  <c r="H98" i="148"/>
  <c r="AF100" i="148"/>
  <c r="AF81" i="148"/>
  <c r="AF96" i="148"/>
  <c r="AF92" i="148"/>
  <c r="H80" i="147"/>
  <c r="F102" i="147"/>
  <c r="N22" i="147" s="1"/>
  <c r="V288" i="47"/>
  <c r="V280" i="47"/>
  <c r="V264" i="47"/>
  <c r="V240" i="47"/>
  <c r="V121" i="47"/>
  <c r="V323" i="47"/>
  <c r="V307" i="47"/>
  <c r="V171" i="47"/>
  <c r="V131" i="47"/>
  <c r="V120" i="47"/>
  <c r="V119" i="47"/>
  <c r="V111" i="47"/>
  <c r="V104" i="47"/>
  <c r="V95" i="47"/>
  <c r="V87" i="47"/>
  <c r="V80" i="47"/>
  <c r="V79" i="47"/>
  <c r="V338" i="47"/>
  <c r="D81" i="152"/>
  <c r="D92" i="152"/>
  <c r="D80" i="152"/>
  <c r="D91" i="152"/>
  <c r="D100" i="152"/>
  <c r="D82" i="152"/>
  <c r="J22" i="152"/>
  <c r="D89" i="152"/>
  <c r="D73" i="152"/>
  <c r="D88" i="152"/>
  <c r="D101" i="152"/>
  <c r="D98" i="152"/>
  <c r="J337" i="47"/>
  <c r="V337" i="47"/>
  <c r="D85" i="152"/>
  <c r="D83" i="152"/>
  <c r="D94" i="152"/>
  <c r="H100" i="151"/>
  <c r="H22" i="151"/>
  <c r="D77" i="151" s="1"/>
  <c r="H87" i="151"/>
  <c r="H78" i="150"/>
  <c r="H81" i="150"/>
  <c r="H76" i="150"/>
  <c r="H97" i="150"/>
  <c r="H85" i="149"/>
  <c r="H94" i="148"/>
  <c r="H81" i="148"/>
  <c r="H91" i="148"/>
  <c r="H77" i="148"/>
  <c r="H74" i="148"/>
  <c r="H92" i="147"/>
  <c r="H22" i="146"/>
  <c r="V330" i="47"/>
  <c r="H78" i="38"/>
  <c r="M34" i="56"/>
  <c r="L35" i="56"/>
  <c r="G37" i="47" s="1"/>
  <c r="G62" i="51"/>
  <c r="H62" i="51" s="1"/>
  <c r="G58" i="51"/>
  <c r="H58" i="51" s="1"/>
  <c r="G68" i="51"/>
  <c r="H68" i="51" s="1"/>
  <c r="O32" i="47"/>
  <c r="G66" i="51"/>
  <c r="G59" i="51"/>
  <c r="H59" i="51" s="1"/>
  <c r="G65" i="51"/>
  <c r="K31" i="47"/>
  <c r="G57" i="51"/>
  <c r="G63" i="51"/>
  <c r="H63" i="51" s="1"/>
  <c r="G76" i="51"/>
  <c r="G51" i="51"/>
  <c r="H51" i="51" s="1"/>
  <c r="G67" i="51"/>
  <c r="G74" i="51"/>
  <c r="H74" i="51" s="1"/>
  <c r="O31" i="47"/>
  <c r="G53" i="51"/>
  <c r="H53" i="51" s="1"/>
  <c r="G49" i="51"/>
  <c r="H49" i="51" s="1"/>
  <c r="G64" i="51"/>
  <c r="H64" i="51" s="1"/>
  <c r="G75" i="51"/>
  <c r="H75" i="51" s="1"/>
  <c r="G55" i="51"/>
  <c r="H55" i="51" s="1"/>
  <c r="M44" i="61"/>
  <c r="E42" i="47"/>
  <c r="N52" i="124"/>
  <c r="H51" i="34"/>
  <c r="J16" i="110"/>
  <c r="K16" i="110" s="1"/>
  <c r="M39" i="110"/>
  <c r="N39" i="110" s="1"/>
  <c r="Y39" i="110" s="1"/>
  <c r="X37" i="110"/>
  <c r="X39" i="110"/>
  <c r="M41" i="81"/>
  <c r="L45" i="81"/>
  <c r="H62" i="40"/>
  <c r="O43" i="105"/>
  <c r="Q43" i="105" s="1"/>
  <c r="D71" i="45"/>
  <c r="D64" i="45"/>
  <c r="H64" i="45" s="1"/>
  <c r="D78" i="45"/>
  <c r="D52" i="45"/>
  <c r="H52" i="45" s="1"/>
  <c r="D50" i="45"/>
  <c r="H50" i="45" s="1"/>
  <c r="D69" i="45"/>
  <c r="H69" i="45" s="1"/>
  <c r="D70" i="45"/>
  <c r="D75" i="45"/>
  <c r="H75" i="45" s="1"/>
  <c r="D56" i="45"/>
  <c r="D76" i="45"/>
  <c r="H76" i="45" s="1"/>
  <c r="D73" i="45"/>
  <c r="D66" i="45"/>
  <c r="M35" i="104"/>
  <c r="P72" i="47"/>
  <c r="Z72" i="47"/>
  <c r="X72" i="47"/>
  <c r="X59" i="42"/>
  <c r="X80" i="42" s="1"/>
  <c r="W80" i="42"/>
  <c r="U51" i="47" s="1"/>
  <c r="V51" i="47" s="1"/>
  <c r="G23" i="49"/>
  <c r="K23" i="49"/>
  <c r="L35" i="57"/>
  <c r="G38" i="47" s="1"/>
  <c r="M35" i="57"/>
  <c r="D38" i="47" s="1"/>
  <c r="X51" i="139"/>
  <c r="H71" i="80"/>
  <c r="H89" i="110"/>
  <c r="O41" i="106"/>
  <c r="M41" i="106"/>
  <c r="H70" i="51"/>
  <c r="H77" i="38"/>
  <c r="H55" i="38"/>
  <c r="X52" i="43"/>
  <c r="W80" i="43"/>
  <c r="U52" i="47" s="1"/>
  <c r="G75" i="66"/>
  <c r="H74" i="45"/>
  <c r="D60" i="38"/>
  <c r="H60" i="38" s="1"/>
  <c r="D69" i="38"/>
  <c r="H69" i="38" s="1"/>
  <c r="D72" i="38"/>
  <c r="H72" i="38" s="1"/>
  <c r="G56" i="76"/>
  <c r="G50" i="76"/>
  <c r="G74" i="76"/>
  <c r="H74" i="76" s="1"/>
  <c r="G61" i="76"/>
  <c r="Z28" i="47"/>
  <c r="H75" i="60"/>
  <c r="S88" i="49"/>
  <c r="D57" i="65"/>
  <c r="D58" i="65"/>
  <c r="D48" i="65"/>
  <c r="D62" i="65"/>
  <c r="H62" i="65" s="1"/>
  <c r="H58" i="53"/>
  <c r="H53" i="83"/>
  <c r="H61" i="83"/>
  <c r="D80" i="83"/>
  <c r="D15" i="83" s="1"/>
  <c r="E15" i="83" s="1"/>
  <c r="G62" i="76"/>
  <c r="G59" i="76"/>
  <c r="G57" i="76"/>
  <c r="H57" i="76" s="1"/>
  <c r="G77" i="76"/>
  <c r="H77" i="76" s="1"/>
  <c r="K34" i="73"/>
  <c r="L34" i="73" s="1"/>
  <c r="M34" i="73" s="1"/>
  <c r="K32" i="73"/>
  <c r="L32" i="73" s="1"/>
  <c r="M32" i="73" s="1"/>
  <c r="X53" i="68"/>
  <c r="I76" i="139"/>
  <c r="G60" i="91"/>
  <c r="H60" i="91" s="1"/>
  <c r="H65" i="83"/>
  <c r="H52" i="76"/>
  <c r="H66" i="51"/>
  <c r="H56" i="51"/>
  <c r="G64" i="66"/>
  <c r="G71" i="66"/>
  <c r="H71" i="66" s="1"/>
  <c r="K44" i="50"/>
  <c r="D64" i="38"/>
  <c r="D58" i="38"/>
  <c r="H58" i="38" s="1"/>
  <c r="D71" i="38"/>
  <c r="H55" i="53"/>
  <c r="L53" i="124"/>
  <c r="L51" i="124"/>
  <c r="H61" i="76"/>
  <c r="G73" i="76"/>
  <c r="G78" i="76"/>
  <c r="G60" i="76"/>
  <c r="H74" i="80"/>
  <c r="H65" i="65"/>
  <c r="M33" i="133"/>
  <c r="G74" i="47" s="1"/>
  <c r="G56" i="34"/>
  <c r="H56" i="34" s="1"/>
  <c r="G67" i="34"/>
  <c r="H67" i="34" s="1"/>
  <c r="G71" i="34"/>
  <c r="H71" i="34" s="1"/>
  <c r="K43" i="47"/>
  <c r="G52" i="34"/>
  <c r="H52" i="34" s="1"/>
  <c r="G70" i="34"/>
  <c r="H70" i="34" s="1"/>
  <c r="K58" i="47"/>
  <c r="K61" i="47"/>
  <c r="G59" i="34"/>
  <c r="H59" i="34" s="1"/>
  <c r="G63" i="34"/>
  <c r="O43" i="47"/>
  <c r="G72" i="82"/>
  <c r="H72" i="82" s="1"/>
  <c r="G76" i="82"/>
  <c r="G53" i="82"/>
  <c r="G58" i="82"/>
  <c r="O60" i="47"/>
  <c r="G70" i="82"/>
  <c r="H70" i="82" s="1"/>
  <c r="G69" i="82"/>
  <c r="G49" i="82"/>
  <c r="G57" i="82"/>
  <c r="H57" i="82" s="1"/>
  <c r="G67" i="82"/>
  <c r="H67" i="82" s="1"/>
  <c r="G50" i="82"/>
  <c r="H50" i="82" s="1"/>
  <c r="G51" i="82"/>
  <c r="H51" i="82" s="1"/>
  <c r="G68" i="82"/>
  <c r="H68" i="82" s="1"/>
  <c r="G61" i="82"/>
  <c r="H61" i="82" s="1"/>
  <c r="G71" i="82"/>
  <c r="D97" i="134"/>
  <c r="I97" i="134" s="1"/>
  <c r="D76" i="134"/>
  <c r="I76" i="134" s="1"/>
  <c r="D72" i="134"/>
  <c r="I72" i="134" s="1"/>
  <c r="D71" i="134"/>
  <c r="D87" i="134"/>
  <c r="I87" i="134" s="1"/>
  <c r="D61" i="105"/>
  <c r="H61" i="105" s="1"/>
  <c r="D58" i="105"/>
  <c r="H58" i="105" s="1"/>
  <c r="D74" i="105"/>
  <c r="H74" i="105" s="1"/>
  <c r="D65" i="105"/>
  <c r="H65" i="105" s="1"/>
  <c r="D62" i="105"/>
  <c r="H62" i="105" s="1"/>
  <c r="D52" i="105"/>
  <c r="H52" i="105" s="1"/>
  <c r="D76" i="105"/>
  <c r="H76" i="105" s="1"/>
  <c r="D60" i="105"/>
  <c r="H60" i="105" s="1"/>
  <c r="H75" i="37"/>
  <c r="J42" i="105"/>
  <c r="L42" i="105" s="1"/>
  <c r="O42" i="105" s="1"/>
  <c r="J41" i="105"/>
  <c r="L41" i="105" s="1"/>
  <c r="J42" i="38"/>
  <c r="L42" i="38" s="1"/>
  <c r="M42" i="38" s="1"/>
  <c r="J41" i="38"/>
  <c r="L41" i="38" s="1"/>
  <c r="M41" i="38" s="1"/>
  <c r="H69" i="76"/>
  <c r="H54" i="105"/>
  <c r="G67" i="76"/>
  <c r="G68" i="76"/>
  <c r="G68" i="72"/>
  <c r="H68" i="72" s="1"/>
  <c r="H73" i="76"/>
  <c r="H74" i="34"/>
  <c r="H57" i="34"/>
  <c r="H76" i="65"/>
  <c r="H49" i="80"/>
  <c r="X80" i="84"/>
  <c r="Y69" i="50"/>
  <c r="Y70" i="50" s="1"/>
  <c r="Y71" i="50" s="1"/>
  <c r="Y72" i="50" s="1"/>
  <c r="Y73" i="50" s="1"/>
  <c r="Y74" i="50" s="1"/>
  <c r="Y75" i="50" s="1"/>
  <c r="Y76" i="50" s="1"/>
  <c r="Y77" i="50" s="1"/>
  <c r="Y78" i="50" s="1"/>
  <c r="AL79" i="50" s="1"/>
  <c r="I85" i="132"/>
  <c r="D80" i="61"/>
  <c r="D15" i="61" s="1"/>
  <c r="E15" i="61" s="1"/>
  <c r="Q16" i="47"/>
  <c r="Q52" i="47"/>
  <c r="P52" i="47" s="1"/>
  <c r="J17" i="47"/>
  <c r="D74" i="63"/>
  <c r="D59" i="63"/>
  <c r="D55" i="63"/>
  <c r="D49" i="63"/>
  <c r="D51" i="63"/>
  <c r="D73" i="63"/>
  <c r="D66" i="63"/>
  <c r="D61" i="63"/>
  <c r="H61" i="63" s="1"/>
  <c r="D56" i="63"/>
  <c r="D77" i="63"/>
  <c r="H77" i="63" s="1"/>
  <c r="D68" i="63"/>
  <c r="G74" i="84"/>
  <c r="H74" i="84" s="1"/>
  <c r="G69" i="112"/>
  <c r="H69" i="112" s="1"/>
  <c r="H67" i="51"/>
  <c r="H58" i="40"/>
  <c r="G68" i="66"/>
  <c r="G61" i="66"/>
  <c r="H61" i="66" s="1"/>
  <c r="H61" i="53"/>
  <c r="D50" i="38"/>
  <c r="D59" i="38"/>
  <c r="H59" i="38" s="1"/>
  <c r="H54" i="76"/>
  <c r="G53" i="76"/>
  <c r="G76" i="76"/>
  <c r="G72" i="76"/>
  <c r="H50" i="34"/>
  <c r="H76" i="34"/>
  <c r="H58" i="65"/>
  <c r="M33" i="138"/>
  <c r="H73" i="105"/>
  <c r="H76" i="82"/>
  <c r="D80" i="82"/>
  <c r="D15" i="82" s="1"/>
  <c r="E15" i="82" s="1"/>
  <c r="Q34" i="106"/>
  <c r="G72" i="112"/>
  <c r="H72" i="112" s="1"/>
  <c r="I85" i="139"/>
  <c r="X80" i="106"/>
  <c r="J42" i="57"/>
  <c r="L42" i="57" s="1"/>
  <c r="M42" i="57" s="1"/>
  <c r="J41" i="57"/>
  <c r="L41" i="57" s="1"/>
  <c r="J42" i="73"/>
  <c r="L42" i="73" s="1"/>
  <c r="M42" i="73" s="1"/>
  <c r="J44" i="73"/>
  <c r="L44" i="73" s="1"/>
  <c r="M44" i="73" s="1"/>
  <c r="J41" i="73"/>
  <c r="L41" i="73" s="1"/>
  <c r="E80" i="106"/>
  <c r="M24" i="106" s="1"/>
  <c r="Q64" i="47" s="1"/>
  <c r="X64" i="47" s="1"/>
  <c r="M35" i="38"/>
  <c r="D47" i="47" s="1"/>
  <c r="M33" i="44"/>
  <c r="M35" i="44" s="1"/>
  <c r="L35" i="44"/>
  <c r="K31" i="63"/>
  <c r="L31" i="63" s="1"/>
  <c r="M31" i="63" s="1"/>
  <c r="K32" i="63"/>
  <c r="L32" i="63" s="1"/>
  <c r="M32" i="63" s="1"/>
  <c r="K33" i="63"/>
  <c r="L33" i="63" s="1"/>
  <c r="M33" i="63" s="1"/>
  <c r="M41" i="70"/>
  <c r="M35" i="20"/>
  <c r="M18" i="20"/>
  <c r="F10" i="36"/>
  <c r="G10" i="36" s="1"/>
  <c r="L30" i="36"/>
  <c r="I45" i="45"/>
  <c r="L50" i="124"/>
  <c r="H60" i="84"/>
  <c r="H64" i="34"/>
  <c r="H62" i="80"/>
  <c r="H49" i="61"/>
  <c r="H77" i="54"/>
  <c r="H77" i="37"/>
  <c r="S94" i="49"/>
  <c r="G94" i="49"/>
  <c r="H76" i="104"/>
  <c r="S73" i="49"/>
  <c r="G73" i="49"/>
  <c r="I86" i="132"/>
  <c r="H70" i="71"/>
  <c r="X80" i="76"/>
  <c r="H50" i="84"/>
  <c r="H49" i="34"/>
  <c r="H9" i="49"/>
  <c r="H10" i="49" s="1"/>
  <c r="H72" i="43"/>
  <c r="E80" i="42"/>
  <c r="M24" i="42" s="1"/>
  <c r="Q27" i="47" s="1"/>
  <c r="S33" i="49"/>
  <c r="G33" i="49"/>
  <c r="Y50" i="76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Y61" i="76" s="1"/>
  <c r="Y62" i="76" s="1"/>
  <c r="Y63" i="76" s="1"/>
  <c r="Y64" i="76" s="1"/>
  <c r="Y65" i="76" s="1"/>
  <c r="Y66" i="76" s="1"/>
  <c r="Y67" i="76" s="1"/>
  <c r="Y68" i="76" s="1"/>
  <c r="Y69" i="76" s="1"/>
  <c r="Y70" i="76" s="1"/>
  <c r="Y71" i="76" s="1"/>
  <c r="Y72" i="76" s="1"/>
  <c r="Y73" i="76" s="1"/>
  <c r="Y74" i="76" s="1"/>
  <c r="Y75" i="76" s="1"/>
  <c r="Y76" i="76" s="1"/>
  <c r="Y77" i="76" s="1"/>
  <c r="Y78" i="76" s="1"/>
  <c r="Y79" i="76" s="1"/>
  <c r="I81" i="138"/>
  <c r="H75" i="63"/>
  <c r="I89" i="132"/>
  <c r="M45" i="53"/>
  <c r="E34" i="47" s="1"/>
  <c r="G97" i="49"/>
  <c r="H63" i="55"/>
  <c r="H69" i="71"/>
  <c r="H58" i="82"/>
  <c r="H70" i="61"/>
  <c r="H59" i="54"/>
  <c r="H72" i="61"/>
  <c r="Q32" i="106"/>
  <c r="Y51" i="67"/>
  <c r="Y52" i="67" s="1"/>
  <c r="Y53" i="67" s="1"/>
  <c r="H102" i="132"/>
  <c r="E107" i="132" s="1"/>
  <c r="F107" i="132" s="1"/>
  <c r="I95" i="139"/>
  <c r="Y51" i="107"/>
  <c r="Y52" i="107" s="1"/>
  <c r="Y53" i="107" s="1"/>
  <c r="Y54" i="107" s="1"/>
  <c r="Y55" i="107" s="1"/>
  <c r="Y56" i="107" s="1"/>
  <c r="Y57" i="107" s="1"/>
  <c r="Y58" i="107" s="1"/>
  <c r="Y59" i="107" s="1"/>
  <c r="Y60" i="107" s="1"/>
  <c r="Y61" i="107" s="1"/>
  <c r="Y62" i="107" s="1"/>
  <c r="Y63" i="107" s="1"/>
  <c r="Y64" i="107" s="1"/>
  <c r="Y65" i="107" s="1"/>
  <c r="Y66" i="107" s="1"/>
  <c r="Y67" i="107" s="1"/>
  <c r="Y68" i="107" s="1"/>
  <c r="Y69" i="107" s="1"/>
  <c r="Y70" i="107" s="1"/>
  <c r="Y71" i="107" s="1"/>
  <c r="Y72" i="107" s="1"/>
  <c r="Y73" i="107" s="1"/>
  <c r="Y74" i="107" s="1"/>
  <c r="Y75" i="107" s="1"/>
  <c r="Y76" i="107" s="1"/>
  <c r="Y77" i="107" s="1"/>
  <c r="Y78" i="107" s="1"/>
  <c r="I86" i="133"/>
  <c r="L34" i="36"/>
  <c r="M34" i="36" s="1"/>
  <c r="L33" i="36"/>
  <c r="M33" i="36" s="1"/>
  <c r="H67" i="91"/>
  <c r="V32" i="133"/>
  <c r="M35" i="17"/>
  <c r="M18" i="17"/>
  <c r="M30" i="17"/>
  <c r="M32" i="17" s="1"/>
  <c r="M33" i="17" s="1"/>
  <c r="E54" i="51"/>
  <c r="G54" i="51" s="1"/>
  <c r="W54" i="51"/>
  <c r="X54" i="51" s="1"/>
  <c r="I35" i="55"/>
  <c r="K34" i="55" s="1"/>
  <c r="L34" i="55" s="1"/>
  <c r="M34" i="55" s="1"/>
  <c r="R80" i="59"/>
  <c r="E51" i="59"/>
  <c r="G51" i="59" s="1"/>
  <c r="H51" i="59" s="1"/>
  <c r="W51" i="59"/>
  <c r="X51" i="59" s="1"/>
  <c r="Y51" i="59" s="1"/>
  <c r="Y52" i="59" s="1"/>
  <c r="Y53" i="59" s="1"/>
  <c r="Y54" i="59" s="1"/>
  <c r="Y55" i="59" s="1"/>
  <c r="Y56" i="59" s="1"/>
  <c r="Y57" i="59" s="1"/>
  <c r="Y58" i="59" s="1"/>
  <c r="Y59" i="59" s="1"/>
  <c r="Y60" i="59" s="1"/>
  <c r="Y61" i="59" s="1"/>
  <c r="Y62" i="59" s="1"/>
  <c r="Y63" i="59" s="1"/>
  <c r="Y64" i="59" s="1"/>
  <c r="Y65" i="59" s="1"/>
  <c r="Y66" i="59" s="1"/>
  <c r="U69" i="62"/>
  <c r="V80" i="62"/>
  <c r="D55" i="54"/>
  <c r="H55" i="54" s="1"/>
  <c r="D72" i="54"/>
  <c r="G73" i="64"/>
  <c r="G56" i="64"/>
  <c r="G68" i="64"/>
  <c r="H68" i="64" s="1"/>
  <c r="K34" i="37"/>
  <c r="L34" i="37" s="1"/>
  <c r="M34" i="37" s="1"/>
  <c r="K30" i="37"/>
  <c r="K33" i="37"/>
  <c r="L33" i="37" s="1"/>
  <c r="M33" i="37" s="1"/>
  <c r="D73" i="139"/>
  <c r="D79" i="139"/>
  <c r="I79" i="139" s="1"/>
  <c r="D98" i="139"/>
  <c r="I98" i="139" s="1"/>
  <c r="J77" i="47"/>
  <c r="M42" i="134"/>
  <c r="L44" i="134"/>
  <c r="G65" i="36"/>
  <c r="H65" i="36" s="1"/>
  <c r="H62" i="71"/>
  <c r="AG73" i="140"/>
  <c r="AG74" i="140" s="1"/>
  <c r="AG75" i="140" s="1"/>
  <c r="AG76" i="140" s="1"/>
  <c r="AG77" i="140" s="1"/>
  <c r="H73" i="50"/>
  <c r="H65" i="59"/>
  <c r="I77" i="139"/>
  <c r="O34" i="84"/>
  <c r="O35" i="84" s="1"/>
  <c r="D61" i="47" s="1"/>
  <c r="M34" i="84"/>
  <c r="M35" i="84" s="1"/>
  <c r="Y50" i="56"/>
  <c r="Y51" i="56" s="1"/>
  <c r="Y52" i="56" s="1"/>
  <c r="Y53" i="56" s="1"/>
  <c r="Y54" i="56" s="1"/>
  <c r="Y55" i="56" s="1"/>
  <c r="Y56" i="56" s="1"/>
  <c r="Y57" i="56" s="1"/>
  <c r="H75" i="109"/>
  <c r="H68" i="91"/>
  <c r="D58" i="54"/>
  <c r="H58" i="54" s="1"/>
  <c r="H66" i="55"/>
  <c r="H57" i="55"/>
  <c r="H78" i="54"/>
  <c r="H49" i="50"/>
  <c r="I79" i="133"/>
  <c r="L31" i="36"/>
  <c r="M31" i="36" s="1"/>
  <c r="L35" i="107"/>
  <c r="O14" i="47"/>
  <c r="G78" i="62"/>
  <c r="H78" i="62" s="1"/>
  <c r="D65" i="109"/>
  <c r="D71" i="109"/>
  <c r="H71" i="109" s="1"/>
  <c r="D76" i="109"/>
  <c r="H76" i="109" s="1"/>
  <c r="D57" i="109"/>
  <c r="H57" i="109" s="1"/>
  <c r="D55" i="109"/>
  <c r="H55" i="109" s="1"/>
  <c r="D66" i="109"/>
  <c r="H66" i="109" s="1"/>
  <c r="D73" i="109"/>
  <c r="D50" i="109"/>
  <c r="H50" i="109" s="1"/>
  <c r="D58" i="109"/>
  <c r="H58" i="109" s="1"/>
  <c r="D59" i="109"/>
  <c r="H59" i="109" s="1"/>
  <c r="E80" i="105"/>
  <c r="M24" i="105" s="1"/>
  <c r="Q63" i="47" s="1"/>
  <c r="X63" i="47" s="1"/>
  <c r="I35" i="60"/>
  <c r="K34" i="60" s="1"/>
  <c r="J44" i="59"/>
  <c r="L44" i="59" s="1"/>
  <c r="M44" i="59" s="1"/>
  <c r="G76" i="36"/>
  <c r="H76" i="36" s="1"/>
  <c r="G66" i="36"/>
  <c r="H66" i="36" s="1"/>
  <c r="G79" i="36"/>
  <c r="H79" i="36" s="1"/>
  <c r="X69" i="62"/>
  <c r="M35" i="10"/>
  <c r="M18" i="10"/>
  <c r="M35" i="19"/>
  <c r="M18" i="19"/>
  <c r="D77" i="36"/>
  <c r="H77" i="36" s="1"/>
  <c r="I45" i="42"/>
  <c r="P80" i="105"/>
  <c r="E76" i="80"/>
  <c r="W76" i="80"/>
  <c r="X76" i="80" s="1"/>
  <c r="W52" i="80"/>
  <c r="X52" i="80" s="1"/>
  <c r="Y52" i="80" s="1"/>
  <c r="Y53" i="80" s="1"/>
  <c r="Y54" i="80" s="1"/>
  <c r="Y55" i="80" s="1"/>
  <c r="Y56" i="80" s="1"/>
  <c r="E52" i="80"/>
  <c r="E51" i="37"/>
  <c r="W51" i="37"/>
  <c r="X51" i="37" s="1"/>
  <c r="Y51" i="37" s="1"/>
  <c r="Y52" i="37" s="1"/>
  <c r="Y53" i="37" s="1"/>
  <c r="Y54" i="37" s="1"/>
  <c r="Y55" i="37" s="1"/>
  <c r="Y56" i="37" s="1"/>
  <c r="Y57" i="37" s="1"/>
  <c r="Y58" i="37" s="1"/>
  <c r="Y59" i="37" s="1"/>
  <c r="Y60" i="37" s="1"/>
  <c r="Y61" i="37" s="1"/>
  <c r="Y62" i="37" s="1"/>
  <c r="Y63" i="37" s="1"/>
  <c r="Y64" i="37" s="1"/>
  <c r="Y65" i="37" s="1"/>
  <c r="Y66" i="37" s="1"/>
  <c r="Y67" i="37" s="1"/>
  <c r="Y68" i="37" s="1"/>
  <c r="X53" i="41"/>
  <c r="U53" i="41"/>
  <c r="R80" i="41"/>
  <c r="W52" i="41"/>
  <c r="X52" i="41" s="1"/>
  <c r="E52" i="41"/>
  <c r="E102" i="140"/>
  <c r="E106" i="140" s="1"/>
  <c r="T103" i="133"/>
  <c r="S109" i="133"/>
  <c r="C47" i="58"/>
  <c r="C50" i="58"/>
  <c r="C51" i="58" s="1"/>
  <c r="C52" i="58" s="1"/>
  <c r="C53" i="58" s="1"/>
  <c r="C54" i="58" s="1"/>
  <c r="C55" i="58" s="1"/>
  <c r="C56" i="58" s="1"/>
  <c r="C57" i="58" s="1"/>
  <c r="C58" i="58" s="1"/>
  <c r="C59" i="58" s="1"/>
  <c r="C60" i="58" s="1"/>
  <c r="C61" i="58" s="1"/>
  <c r="C62" i="58" s="1"/>
  <c r="C63" i="58" s="1"/>
  <c r="C64" i="58" s="1"/>
  <c r="C65" i="58" s="1"/>
  <c r="C66" i="58" s="1"/>
  <c r="C67" i="58" s="1"/>
  <c r="C68" i="58" s="1"/>
  <c r="C69" i="58" s="1"/>
  <c r="C70" i="58" s="1"/>
  <c r="C71" i="58" s="1"/>
  <c r="C72" i="58" s="1"/>
  <c r="C73" i="58" s="1"/>
  <c r="C74" i="58" s="1"/>
  <c r="C75" i="58" s="1"/>
  <c r="C76" i="58" s="1"/>
  <c r="C77" i="58" s="1"/>
  <c r="C78" i="58" s="1"/>
  <c r="F11" i="65"/>
  <c r="G11" i="65" s="1"/>
  <c r="W67" i="67"/>
  <c r="X67" i="67" s="1"/>
  <c r="E67" i="67"/>
  <c r="F11" i="70"/>
  <c r="G11" i="70" s="1"/>
  <c r="L42" i="70"/>
  <c r="M42" i="70" s="1"/>
  <c r="W52" i="70"/>
  <c r="X52" i="70" s="1"/>
  <c r="Y52" i="70" s="1"/>
  <c r="Y53" i="70" s="1"/>
  <c r="Y54" i="70" s="1"/>
  <c r="Y55" i="70" s="1"/>
  <c r="E52" i="70"/>
  <c r="G52" i="70" s="1"/>
  <c r="E64" i="71"/>
  <c r="W64" i="71"/>
  <c r="X64" i="71" s="1"/>
  <c r="E52" i="62"/>
  <c r="G52" i="62" s="1"/>
  <c r="H52" i="62" s="1"/>
  <c r="M35" i="59"/>
  <c r="J42" i="59"/>
  <c r="L42" i="59" s="1"/>
  <c r="M42" i="59" s="1"/>
  <c r="G58" i="36"/>
  <c r="H58" i="36" s="1"/>
  <c r="E79" i="34"/>
  <c r="M24" i="34" s="1"/>
  <c r="Q43" i="47" s="1"/>
  <c r="U55" i="64"/>
  <c r="X55" i="64"/>
  <c r="X71" i="34"/>
  <c r="L43" i="59"/>
  <c r="M43" i="59" s="1"/>
  <c r="M18" i="22"/>
  <c r="M35" i="22"/>
  <c r="M18" i="30"/>
  <c r="M35" i="30"/>
  <c r="G11" i="50"/>
  <c r="C50" i="57"/>
  <c r="C51" i="57" s="1"/>
  <c r="C52" i="57" s="1"/>
  <c r="C53" i="57" s="1"/>
  <c r="C54" i="57" s="1"/>
  <c r="C55" i="57" s="1"/>
  <c r="C56" i="57" s="1"/>
  <c r="C57" i="57" s="1"/>
  <c r="C58" i="57" s="1"/>
  <c r="C59" i="57" s="1"/>
  <c r="C60" i="57" s="1"/>
  <c r="C61" i="57" s="1"/>
  <c r="C62" i="57" s="1"/>
  <c r="C63" i="57" s="1"/>
  <c r="C64" i="57" s="1"/>
  <c r="C65" i="57" s="1"/>
  <c r="C66" i="57" s="1"/>
  <c r="C67" i="57" s="1"/>
  <c r="C68" i="57" s="1"/>
  <c r="C69" i="57" s="1"/>
  <c r="C70" i="57" s="1"/>
  <c r="C71" i="57" s="1"/>
  <c r="C72" i="57" s="1"/>
  <c r="C73" i="57" s="1"/>
  <c r="C74" i="57" s="1"/>
  <c r="C75" i="57" s="1"/>
  <c r="C76" i="57" s="1"/>
  <c r="C77" i="57" s="1"/>
  <c r="C78" i="57" s="1"/>
  <c r="C79" i="57" s="1"/>
  <c r="C47" i="57"/>
  <c r="Q80" i="62"/>
  <c r="U49" i="64"/>
  <c r="X49" i="64"/>
  <c r="Y49" i="64" s="1"/>
  <c r="X75" i="62"/>
  <c r="G62" i="36"/>
  <c r="H62" i="36" s="1"/>
  <c r="G75" i="36"/>
  <c r="H75" i="36" s="1"/>
  <c r="O33" i="105"/>
  <c r="Q33" i="105" s="1"/>
  <c r="G53" i="109"/>
  <c r="H53" i="109" s="1"/>
  <c r="J30" i="50"/>
  <c r="J33" i="50"/>
  <c r="K33" i="50" s="1"/>
  <c r="L33" i="50" s="1"/>
  <c r="W73" i="63"/>
  <c r="X73" i="63" s="1"/>
  <c r="E73" i="63"/>
  <c r="H24" i="70"/>
  <c r="M26" i="22"/>
  <c r="M30" i="22" s="1"/>
  <c r="M32" i="22" s="1"/>
  <c r="M33" i="22" s="1"/>
  <c r="W54" i="53"/>
  <c r="E63" i="53"/>
  <c r="G63" i="53" s="1"/>
  <c r="H63" i="53" s="1"/>
  <c r="E70" i="57"/>
  <c r="E80" i="57" s="1"/>
  <c r="M24" i="57" s="1"/>
  <c r="Q38" i="47" s="1"/>
  <c r="E61" i="62"/>
  <c r="G61" i="62" s="1"/>
  <c r="I45" i="35"/>
  <c r="L34" i="71"/>
  <c r="M34" i="71" s="1"/>
  <c r="M26" i="28"/>
  <c r="M30" i="28" s="1"/>
  <c r="M32" i="28" s="1"/>
  <c r="M33" i="28" s="1"/>
  <c r="E79" i="59"/>
  <c r="G79" i="59" s="1"/>
  <c r="H79" i="59" s="1"/>
  <c r="W50" i="64"/>
  <c r="X50" i="64" s="1"/>
  <c r="E71" i="64"/>
  <c r="E74" i="67"/>
  <c r="W56" i="68"/>
  <c r="G11" i="53"/>
  <c r="M26" i="13"/>
  <c r="M26" i="27"/>
  <c r="E72" i="59"/>
  <c r="G72" i="59" s="1"/>
  <c r="H72" i="59" s="1"/>
  <c r="W63" i="63"/>
  <c r="X63" i="63" s="1"/>
  <c r="W68" i="63"/>
  <c r="X68" i="63" s="1"/>
  <c r="W71" i="66"/>
  <c r="X71" i="66" s="1"/>
  <c r="W68" i="71"/>
  <c r="X68" i="71" s="1"/>
  <c r="E62" i="39"/>
  <c r="L33" i="71"/>
  <c r="AB90" i="123"/>
  <c r="E72" i="51"/>
  <c r="G72" i="51" s="1"/>
  <c r="E57" i="53"/>
  <c r="G57" i="53" s="1"/>
  <c r="W64" i="56"/>
  <c r="X64" i="56" s="1"/>
  <c r="W56" i="58"/>
  <c r="X56" i="58" s="1"/>
  <c r="E60" i="63"/>
  <c r="H62" i="47"/>
  <c r="I62" i="47" s="1"/>
  <c r="F11" i="104"/>
  <c r="G11" i="104" s="1"/>
  <c r="Q89" i="111"/>
  <c r="E54" i="66"/>
  <c r="W76" i="70"/>
  <c r="X76" i="70" s="1"/>
  <c r="E75" i="72"/>
  <c r="AA79" i="124"/>
  <c r="AB79" i="124" s="1"/>
  <c r="AA95" i="124"/>
  <c r="E64" i="111"/>
  <c r="W85" i="91"/>
  <c r="X85" i="91" s="1"/>
  <c r="E66" i="37"/>
  <c r="G66" i="37" s="1"/>
  <c r="H66" i="37" s="1"/>
  <c r="E71" i="38"/>
  <c r="G71" i="38" s="1"/>
  <c r="E63" i="38"/>
  <c r="G63" i="38" s="1"/>
  <c r="W55" i="38"/>
  <c r="X55" i="38" s="1"/>
  <c r="N46" i="47"/>
  <c r="W53" i="124"/>
  <c r="W51" i="124"/>
  <c r="H88" i="143"/>
  <c r="I88" i="143" s="1"/>
  <c r="D99" i="142"/>
  <c r="D87" i="142"/>
  <c r="AB99" i="143"/>
  <c r="AE99" i="143"/>
  <c r="AF76" i="144"/>
  <c r="H73" i="150"/>
  <c r="H100" i="150"/>
  <c r="H86" i="150"/>
  <c r="H94" i="150"/>
  <c r="AF80" i="150"/>
  <c r="AE102" i="150"/>
  <c r="E53" i="70"/>
  <c r="G53" i="70" s="1"/>
  <c r="E57" i="70"/>
  <c r="G57" i="70" s="1"/>
  <c r="W50" i="74"/>
  <c r="X50" i="74" s="1"/>
  <c r="Y50" i="74" s="1"/>
  <c r="Y51" i="74" s="1"/>
  <c r="Y52" i="74" s="1"/>
  <c r="Y53" i="74" s="1"/>
  <c r="Y54" i="74" s="1"/>
  <c r="I45" i="83"/>
  <c r="E54" i="39"/>
  <c r="H92" i="143"/>
  <c r="I92" i="143" s="1"/>
  <c r="H77" i="147"/>
  <c r="AD102" i="143"/>
  <c r="AC94" i="148"/>
  <c r="AF94" i="148"/>
  <c r="AF97" i="148"/>
  <c r="E53" i="66"/>
  <c r="I45" i="68"/>
  <c r="W71" i="72"/>
  <c r="X71" i="72" s="1"/>
  <c r="W79" i="40"/>
  <c r="W71" i="40"/>
  <c r="X71" i="40" s="1"/>
  <c r="E68" i="40"/>
  <c r="E63" i="40"/>
  <c r="N62" i="47"/>
  <c r="W58" i="91"/>
  <c r="J331" i="47"/>
  <c r="D73" i="146"/>
  <c r="AG68" i="144"/>
  <c r="N56" i="47"/>
  <c r="D88" i="146"/>
  <c r="D79" i="146"/>
  <c r="D85" i="146"/>
  <c r="D87" i="146"/>
  <c r="D93" i="146"/>
  <c r="D75" i="152"/>
  <c r="D72" i="152"/>
  <c r="D96" i="152"/>
  <c r="D90" i="152"/>
  <c r="W64" i="70"/>
  <c r="X64" i="70" s="1"/>
  <c r="AA92" i="132"/>
  <c r="AB92" i="132" s="1"/>
  <c r="AC92" i="132" s="1"/>
  <c r="N50" i="47"/>
  <c r="N64" i="47"/>
  <c r="AF101" i="140"/>
  <c r="D86" i="146"/>
  <c r="D83" i="146"/>
  <c r="D97" i="146"/>
  <c r="D76" i="142"/>
  <c r="H96" i="153"/>
  <c r="H85" i="153"/>
  <c r="E102" i="148"/>
  <c r="E106" i="148" s="1"/>
  <c r="M160" i="48"/>
  <c r="M161" i="48" s="1"/>
  <c r="M162" i="48" s="1"/>
  <c r="M163" i="48" s="1"/>
  <c r="M164" i="48" s="1"/>
  <c r="M165" i="48" s="1"/>
  <c r="M166" i="48" s="1"/>
  <c r="M167" i="48" s="1"/>
  <c r="M168" i="48" s="1"/>
  <c r="M169" i="48" s="1"/>
  <c r="M170" i="48" s="1"/>
  <c r="M171" i="48" s="1"/>
  <c r="M172" i="48" s="1"/>
  <c r="M173" i="48" s="1"/>
  <c r="M174" i="48" s="1"/>
  <c r="M175" i="48" s="1"/>
  <c r="M176" i="48" s="1"/>
  <c r="M177" i="48" s="1"/>
  <c r="M178" i="48" s="1"/>
  <c r="M179" i="48" s="1"/>
  <c r="M180" i="48" s="1"/>
  <c r="M181" i="48" s="1"/>
  <c r="M182" i="48" s="1"/>
  <c r="M183" i="48" s="1"/>
  <c r="M184" i="48" s="1"/>
  <c r="M185" i="48" s="1"/>
  <c r="M186" i="48" s="1"/>
  <c r="M187" i="48" s="1"/>
  <c r="M188" i="48" s="1"/>
  <c r="M189" i="48" s="1"/>
  <c r="M190" i="48" s="1"/>
  <c r="M191" i="48" s="1"/>
  <c r="M192" i="48" s="1"/>
  <c r="M193" i="48" s="1"/>
  <c r="M194" i="48" s="1"/>
  <c r="M195" i="48" s="1"/>
  <c r="M196" i="48" s="1"/>
  <c r="M197" i="48" s="1"/>
  <c r="M198" i="48" s="1"/>
  <c r="M199" i="48" s="1"/>
  <c r="M200" i="48" s="1"/>
  <c r="M201" i="48" s="1"/>
  <c r="M202" i="48" s="1"/>
  <c r="M203" i="48" s="1"/>
  <c r="M204" i="48" s="1"/>
  <c r="M205" i="48" s="1"/>
  <c r="M206" i="48" s="1"/>
  <c r="M207" i="48" s="1"/>
  <c r="M208" i="48" s="1"/>
  <c r="M209" i="48" s="1"/>
  <c r="M210" i="48" s="1"/>
  <c r="M211" i="48" s="1"/>
  <c r="M212" i="48" s="1"/>
  <c r="M213" i="48" s="1"/>
  <c r="M214" i="48" s="1"/>
  <c r="M215" i="48" s="1"/>
  <c r="M216" i="48" s="1"/>
  <c r="M217" i="48" s="1"/>
  <c r="M218" i="48" s="1"/>
  <c r="M219" i="48" s="1"/>
  <c r="M220" i="48" s="1"/>
  <c r="M221" i="48" s="1"/>
  <c r="M222" i="48" s="1"/>
  <c r="M223" i="48" s="1"/>
  <c r="M224" i="48" s="1"/>
  <c r="M225" i="48" s="1"/>
  <c r="M226" i="48" s="1"/>
  <c r="M227" i="48" s="1"/>
  <c r="M228" i="48" s="1"/>
  <c r="M229" i="48" s="1"/>
  <c r="M230" i="48" s="1"/>
  <c r="M231" i="48" s="1"/>
  <c r="M232" i="48" s="1"/>
  <c r="M233" i="48" s="1"/>
  <c r="M234" i="48" s="1"/>
  <c r="M235" i="48" s="1"/>
  <c r="M236" i="48" s="1"/>
  <c r="M237" i="48" s="1"/>
  <c r="M238" i="48" s="1"/>
  <c r="M239" i="48" s="1"/>
  <c r="M240" i="48" s="1"/>
  <c r="M241" i="48" s="1"/>
  <c r="M242" i="48" s="1"/>
  <c r="M243" i="48" s="1"/>
  <c r="M244" i="48" s="1"/>
  <c r="M245" i="48" s="1"/>
  <c r="M246" i="48" s="1"/>
  <c r="M247" i="48" s="1"/>
  <c r="M248" i="48" s="1"/>
  <c r="M249" i="48" s="1"/>
  <c r="M250" i="48" s="1"/>
  <c r="M251" i="48" s="1"/>
  <c r="M252" i="48" s="1"/>
  <c r="M253" i="48" s="1"/>
  <c r="M254" i="48" s="1"/>
  <c r="M255" i="48" s="1"/>
  <c r="M256" i="48" s="1"/>
  <c r="M257" i="48" s="1"/>
  <c r="M258" i="48" s="1"/>
  <c r="M259" i="48" s="1"/>
  <c r="M260" i="48" s="1"/>
  <c r="M261" i="48" s="1"/>
  <c r="M262" i="48" s="1"/>
  <c r="M263" i="48" s="1"/>
  <c r="M264" i="48" s="1"/>
  <c r="M265" i="48" s="1"/>
  <c r="M266" i="48" s="1"/>
  <c r="M267" i="48" s="1"/>
  <c r="M268" i="48" s="1"/>
  <c r="M269" i="48" s="1"/>
  <c r="M270" i="48" s="1"/>
  <c r="M271" i="48" s="1"/>
  <c r="M272" i="48" s="1"/>
  <c r="M273" i="48" s="1"/>
  <c r="M274" i="48" s="1"/>
  <c r="M275" i="48" s="1"/>
  <c r="M276" i="48" s="1"/>
  <c r="M277" i="48" s="1"/>
  <c r="M278" i="48" s="1"/>
  <c r="M279" i="48" s="1"/>
  <c r="M280" i="48" s="1"/>
  <c r="M281" i="48" s="1"/>
  <c r="M282" i="48" s="1"/>
  <c r="M283" i="48" s="1"/>
  <c r="M284" i="48" s="1"/>
  <c r="M285" i="48" s="1"/>
  <c r="M286" i="48" s="1"/>
  <c r="M287" i="48" s="1"/>
  <c r="M288" i="48" s="1"/>
  <c r="M289" i="48" s="1"/>
  <c r="M290" i="48" s="1"/>
  <c r="M291" i="48" s="1"/>
  <c r="M292" i="48" s="1"/>
  <c r="M293" i="48" s="1"/>
  <c r="M294" i="48" s="1"/>
  <c r="M295" i="48" s="1"/>
  <c r="M296" i="48" s="1"/>
  <c r="M297" i="48" s="1"/>
  <c r="M298" i="48" s="1"/>
  <c r="M299" i="48" s="1"/>
  <c r="M300" i="48" s="1"/>
  <c r="M301" i="48" s="1"/>
  <c r="M302" i="48" s="1"/>
  <c r="M303" i="48" s="1"/>
  <c r="M304" i="48" s="1"/>
  <c r="M305" i="48" s="1"/>
  <c r="M306" i="48" s="1"/>
  <c r="M307" i="48" s="1"/>
  <c r="M308" i="48" s="1"/>
  <c r="M309" i="48" s="1"/>
  <c r="M310" i="48" s="1"/>
  <c r="M311" i="48" s="1"/>
  <c r="M312" i="48" s="1"/>
  <c r="M313" i="48" s="1"/>
  <c r="M314" i="48" s="1"/>
  <c r="M315" i="48" s="1"/>
  <c r="M316" i="48" s="1"/>
  <c r="M317" i="48" s="1"/>
  <c r="M318" i="48" s="1"/>
  <c r="M319" i="48" s="1"/>
  <c r="M320" i="48" s="1"/>
  <c r="M321" i="48" s="1"/>
  <c r="M322" i="48" s="1"/>
  <c r="M323" i="48" s="1"/>
  <c r="M324" i="48" s="1"/>
  <c r="M325" i="48" s="1"/>
  <c r="M326" i="48" s="1"/>
  <c r="M327" i="48" s="1"/>
  <c r="M328" i="48" s="1"/>
  <c r="M329" i="48" s="1"/>
  <c r="M330" i="48" s="1"/>
  <c r="M331" i="48" s="1"/>
  <c r="M332" i="48" s="1"/>
  <c r="M333" i="48" s="1"/>
  <c r="M334" i="48" s="1"/>
  <c r="M335" i="48" s="1"/>
  <c r="M336" i="48" s="1"/>
  <c r="M337" i="48" s="1"/>
  <c r="M338" i="48" s="1"/>
  <c r="M339" i="48" s="1"/>
  <c r="M340" i="48" s="1"/>
  <c r="M341" i="48" s="1"/>
  <c r="M342" i="48" s="1"/>
  <c r="M343" i="48" s="1"/>
  <c r="M344" i="48" s="1"/>
  <c r="M345" i="48" s="1"/>
  <c r="M346" i="48" s="1"/>
  <c r="M347" i="48" s="1"/>
  <c r="M348" i="48" s="1"/>
  <c r="M349" i="48" s="1"/>
  <c r="M350" i="48" s="1"/>
  <c r="M351" i="48" s="1"/>
  <c r="M352" i="48" s="1"/>
  <c r="M353" i="48" s="1"/>
  <c r="M354" i="48" s="1"/>
  <c r="M355" i="48" s="1"/>
  <c r="M356" i="48" s="1"/>
  <c r="M357" i="48" s="1"/>
  <c r="M358" i="48" s="1"/>
  <c r="M359" i="48" s="1"/>
  <c r="M360" i="48" s="1"/>
  <c r="M361" i="48" s="1"/>
  <c r="M362" i="48" s="1"/>
  <c r="M363" i="48" s="1"/>
  <c r="M364" i="48" s="1"/>
  <c r="M365" i="48" s="1"/>
  <c r="M366" i="48" s="1"/>
  <c r="M367" i="48" s="1"/>
  <c r="M368" i="48" s="1"/>
  <c r="M369" i="48" s="1"/>
  <c r="M370" i="48" s="1"/>
  <c r="M371" i="48" s="1"/>
  <c r="M372" i="48" s="1"/>
  <c r="M373" i="48" s="1"/>
  <c r="M374" i="48" s="1"/>
  <c r="M375" i="48" s="1"/>
  <c r="M376" i="48" s="1"/>
  <c r="M377" i="48" s="1"/>
  <c r="M378" i="48" s="1"/>
  <c r="M379" i="48" s="1"/>
  <c r="M380" i="48" s="1"/>
  <c r="M381" i="48" s="1"/>
  <c r="M382" i="48" s="1"/>
  <c r="M383" i="48" s="1"/>
  <c r="M384" i="48" s="1"/>
  <c r="M385" i="48" s="1"/>
  <c r="M386" i="48" s="1"/>
  <c r="M387" i="48" s="1"/>
  <c r="M388" i="48" s="1"/>
  <c r="M389" i="48" s="1"/>
  <c r="M390" i="48" s="1"/>
  <c r="M391" i="48" s="1"/>
  <c r="M392" i="48" s="1"/>
  <c r="M393" i="48" s="1"/>
  <c r="M394" i="48" s="1"/>
  <c r="M395" i="48" s="1"/>
  <c r="M396" i="48" s="1"/>
  <c r="M397" i="48" s="1"/>
  <c r="M398" i="48" s="1"/>
  <c r="M399" i="48" s="1"/>
  <c r="M400" i="48" s="1"/>
  <c r="M401" i="48" s="1"/>
  <c r="M402" i="48" s="1"/>
  <c r="M403" i="48" s="1"/>
  <c r="M404" i="48" s="1"/>
  <c r="M405" i="48" s="1"/>
  <c r="M406" i="48" s="1"/>
  <c r="M407" i="48" s="1"/>
  <c r="M408" i="48" s="1"/>
  <c r="M409" i="48" s="1"/>
  <c r="M410" i="48" s="1"/>
  <c r="M411" i="48" s="1"/>
  <c r="M412" i="48" s="1"/>
  <c r="M413" i="48" s="1"/>
  <c r="M414" i="48" s="1"/>
  <c r="M415" i="48" s="1"/>
  <c r="M416" i="48" s="1"/>
  <c r="M417" i="48" s="1"/>
  <c r="M418" i="48" s="1"/>
  <c r="M419" i="48" s="1"/>
  <c r="M420" i="48" s="1"/>
  <c r="M421" i="48" s="1"/>
  <c r="M422" i="48" s="1"/>
  <c r="M423" i="48" s="1"/>
  <c r="M424" i="48" s="1"/>
  <c r="M425" i="48" s="1"/>
  <c r="M426" i="48" s="1"/>
  <c r="M427" i="48" s="1"/>
  <c r="M428" i="48" s="1"/>
  <c r="M429" i="48" s="1"/>
  <c r="M430" i="48" s="1"/>
  <c r="M431" i="48" s="1"/>
  <c r="M432" i="48" s="1"/>
  <c r="M433" i="48" s="1"/>
  <c r="M434" i="48" s="1"/>
  <c r="M435" i="48" s="1"/>
  <c r="M436" i="48" s="1"/>
  <c r="M437" i="48" s="1"/>
  <c r="M438" i="48" s="1"/>
  <c r="M439" i="48" s="1"/>
  <c r="M440" i="48" s="1"/>
  <c r="M441" i="48" s="1"/>
  <c r="M442" i="48" s="1"/>
  <c r="M443" i="48" s="1"/>
  <c r="M444" i="48" s="1"/>
  <c r="M445" i="48" s="1"/>
  <c r="M446" i="48" s="1"/>
  <c r="M447" i="48" s="1"/>
  <c r="M448" i="48" s="1"/>
  <c r="M449" i="48" s="1"/>
  <c r="M450" i="48" s="1"/>
  <c r="M451" i="48" s="1"/>
  <c r="M452" i="48" s="1"/>
  <c r="M453" i="48" s="1"/>
  <c r="M454" i="48" s="1"/>
  <c r="M455" i="48" s="1"/>
  <c r="M456" i="48" s="1"/>
  <c r="M457" i="48" s="1"/>
  <c r="M458" i="48" s="1"/>
  <c r="M459" i="48" s="1"/>
  <c r="M460" i="48" s="1"/>
  <c r="M461" i="48" s="1"/>
  <c r="M462" i="48" s="1"/>
  <c r="M463" i="48" s="1"/>
  <c r="M464" i="48" s="1"/>
  <c r="M465" i="48" s="1"/>
  <c r="M466" i="48" s="1"/>
  <c r="M467" i="48" s="1"/>
  <c r="M468" i="48" s="1"/>
  <c r="M469" i="48" s="1"/>
  <c r="M470" i="48" s="1"/>
  <c r="M471" i="48" s="1"/>
  <c r="M472" i="48" s="1"/>
  <c r="M473" i="48" s="1"/>
  <c r="M474" i="48" s="1"/>
  <c r="M475" i="48" s="1"/>
  <c r="M476" i="48" s="1"/>
  <c r="M477" i="48" s="1"/>
  <c r="M478" i="48" s="1"/>
  <c r="M479" i="48" s="1"/>
  <c r="M480" i="48" s="1"/>
  <c r="M481" i="48" s="1"/>
  <c r="M482" i="48" s="1"/>
  <c r="M483" i="48" s="1"/>
  <c r="M484" i="48" s="1"/>
  <c r="M485" i="48" s="1"/>
  <c r="M486" i="48" s="1"/>
  <c r="M487" i="48" s="1"/>
  <c r="M488" i="48" s="1"/>
  <c r="M489" i="48" s="1"/>
  <c r="M490" i="48" s="1"/>
  <c r="M491" i="48" s="1"/>
  <c r="M492" i="48" s="1"/>
  <c r="M493" i="48" s="1"/>
  <c r="M494" i="48" s="1"/>
  <c r="M495" i="48" s="1"/>
  <c r="M496" i="48" s="1"/>
  <c r="M497" i="48" s="1"/>
  <c r="M498" i="48" s="1"/>
  <c r="M499" i="48" s="1"/>
  <c r="M500" i="48" s="1"/>
  <c r="M501" i="48" s="1"/>
  <c r="M502" i="48" s="1"/>
  <c r="M503" i="48" s="1"/>
  <c r="M504" i="48" s="1"/>
  <c r="M505" i="48" s="1"/>
  <c r="M506" i="48" s="1"/>
  <c r="M507" i="48" s="1"/>
  <c r="M508" i="48" s="1"/>
  <c r="M509" i="48" s="1"/>
  <c r="M510" i="48" s="1"/>
  <c r="M511" i="48" s="1"/>
  <c r="M512" i="48" s="1"/>
  <c r="M513" i="48" s="1"/>
  <c r="M514" i="48" s="1"/>
  <c r="M515" i="48" s="1"/>
  <c r="M516" i="48" s="1"/>
  <c r="M517" i="48" s="1"/>
  <c r="M518" i="48" s="1"/>
  <c r="M519" i="48" s="1"/>
  <c r="M520" i="48" s="1"/>
  <c r="M521" i="48" s="1"/>
  <c r="M522" i="48" s="1"/>
  <c r="M523" i="48" s="1"/>
  <c r="M524" i="48" s="1"/>
  <c r="M525" i="48" s="1"/>
  <c r="M526" i="48" s="1"/>
  <c r="M527" i="48" s="1"/>
  <c r="M528" i="48" s="1"/>
  <c r="M529" i="48" s="1"/>
  <c r="M530" i="48" s="1"/>
  <c r="M531" i="48" s="1"/>
  <c r="M532" i="48" s="1"/>
  <c r="M533" i="48" s="1"/>
  <c r="M534" i="48" s="1"/>
  <c r="M535" i="48" s="1"/>
  <c r="M536" i="48" s="1"/>
  <c r="M537" i="48" s="1"/>
  <c r="M538" i="48" s="1"/>
  <c r="M539" i="48" s="1"/>
  <c r="M540" i="48" s="1"/>
  <c r="M541" i="48" s="1"/>
  <c r="M542" i="48" s="1"/>
  <c r="M543" i="48" s="1"/>
  <c r="M544" i="48" s="1"/>
  <c r="M545" i="48" s="1"/>
  <c r="M546" i="48" s="1"/>
  <c r="M547" i="48" s="1"/>
  <c r="M548" i="48" s="1"/>
  <c r="M549" i="48" s="1"/>
  <c r="M550" i="48" s="1"/>
  <c r="M551" i="48" s="1"/>
  <c r="M552" i="48" s="1"/>
  <c r="M553" i="48" s="1"/>
  <c r="M554" i="48" s="1"/>
  <c r="M555" i="48" s="1"/>
  <c r="M556" i="48" s="1"/>
  <c r="M557" i="48" s="1"/>
  <c r="M558" i="48" s="1"/>
  <c r="M559" i="48" s="1"/>
  <c r="M560" i="48" s="1"/>
  <c r="M561" i="48" s="1"/>
  <c r="M562" i="48" s="1"/>
  <c r="M563" i="48" s="1"/>
  <c r="M564" i="48" s="1"/>
  <c r="M565" i="48" s="1"/>
  <c r="M566" i="48" s="1"/>
  <c r="M567" i="48" s="1"/>
  <c r="M568" i="48" s="1"/>
  <c r="M569" i="48" s="1"/>
  <c r="M570" i="48" s="1"/>
  <c r="M571" i="48" s="1"/>
  <c r="M572" i="48" s="1"/>
  <c r="M573" i="48" s="1"/>
  <c r="M574" i="48" s="1"/>
  <c r="M575" i="48" s="1"/>
  <c r="M576" i="48" s="1"/>
  <c r="M577" i="48" s="1"/>
  <c r="M578" i="48" s="1"/>
  <c r="M579" i="48" s="1"/>
  <c r="M580" i="48" s="1"/>
  <c r="M581" i="48" s="1"/>
  <c r="M582" i="48" s="1"/>
  <c r="M583" i="48" s="1"/>
  <c r="M584" i="48" s="1"/>
  <c r="M585" i="48" s="1"/>
  <c r="M586" i="48" s="1"/>
  <c r="M587" i="48" s="1"/>
  <c r="M588" i="48" s="1"/>
  <c r="M589" i="48" s="1"/>
  <c r="M590" i="48" s="1"/>
  <c r="M591" i="48" s="1"/>
  <c r="M592" i="48" s="1"/>
  <c r="M593" i="48" s="1"/>
  <c r="M594" i="48" s="1"/>
  <c r="M595" i="48" s="1"/>
  <c r="M596" i="48" s="1"/>
  <c r="M597" i="48" s="1"/>
  <c r="M598" i="48" s="1"/>
  <c r="M599" i="48" s="1"/>
  <c r="M600" i="48" s="1"/>
  <c r="M601" i="48" s="1"/>
  <c r="M602" i="48" s="1"/>
  <c r="M603" i="48" s="1"/>
  <c r="M604" i="48" s="1"/>
  <c r="M605" i="48" s="1"/>
  <c r="M606" i="48" s="1"/>
  <c r="M607" i="48" s="1"/>
  <c r="M608" i="48" s="1"/>
  <c r="M609" i="48" s="1"/>
  <c r="M610" i="48" s="1"/>
  <c r="M611" i="48" s="1"/>
  <c r="M612" i="48" s="1"/>
  <c r="M613" i="48" s="1"/>
  <c r="M614" i="48" s="1"/>
  <c r="M615" i="48" s="1"/>
  <c r="M616" i="48" s="1"/>
  <c r="M617" i="48" s="1"/>
  <c r="M618" i="48" s="1"/>
  <c r="M619" i="48" s="1"/>
  <c r="M620" i="48" s="1"/>
  <c r="M621" i="48" s="1"/>
  <c r="M622" i="48" s="1"/>
  <c r="M623" i="48" s="1"/>
  <c r="M624" i="48" s="1"/>
  <c r="M625" i="48" s="1"/>
  <c r="M626" i="48" s="1"/>
  <c r="M627" i="48" s="1"/>
  <c r="M628" i="48" s="1"/>
  <c r="M629" i="48" s="1"/>
  <c r="M630" i="48" s="1"/>
  <c r="M631" i="48" s="1"/>
  <c r="M632" i="48" s="1"/>
  <c r="M633" i="48" s="1"/>
  <c r="M634" i="48" s="1"/>
  <c r="M635" i="48" s="1"/>
  <c r="M636" i="48" s="1"/>
  <c r="M637" i="48" s="1"/>
  <c r="M638" i="48" s="1"/>
  <c r="M639" i="48" s="1"/>
  <c r="M640" i="48" s="1"/>
  <c r="M641" i="48" s="1"/>
  <c r="M642" i="48" s="1"/>
  <c r="M643" i="48" s="1"/>
  <c r="M644" i="48" s="1"/>
  <c r="M645" i="48" s="1"/>
  <c r="M646" i="48" s="1"/>
  <c r="M647" i="48" s="1"/>
  <c r="M648" i="48" s="1"/>
  <c r="M649" i="48" s="1"/>
  <c r="M650" i="48" s="1"/>
  <c r="M651" i="48" s="1"/>
  <c r="M652" i="48" s="1"/>
  <c r="M653" i="48" s="1"/>
  <c r="M654" i="48" s="1"/>
  <c r="M655" i="48" s="1"/>
  <c r="M656" i="48" s="1"/>
  <c r="M657" i="48" s="1"/>
  <c r="M658" i="48" s="1"/>
  <c r="M659" i="48" s="1"/>
  <c r="M660" i="48" s="1"/>
  <c r="M661" i="48" s="1"/>
  <c r="M662" i="48" s="1"/>
  <c r="M663" i="48" s="1"/>
  <c r="M664" i="48" s="1"/>
  <c r="M665" i="48" s="1"/>
  <c r="M666" i="48" s="1"/>
  <c r="M667" i="48" s="1"/>
  <c r="M668" i="48" s="1"/>
  <c r="M669" i="48" s="1"/>
  <c r="M670" i="48" s="1"/>
  <c r="M671" i="48" s="1"/>
  <c r="M672" i="48" s="1"/>
  <c r="M673" i="48" s="1"/>
  <c r="M674" i="48" s="1"/>
  <c r="M675" i="48" s="1"/>
  <c r="M676" i="48" s="1"/>
  <c r="M677" i="48" s="1"/>
  <c r="M678" i="48" s="1"/>
  <c r="M679" i="48" s="1"/>
  <c r="M680" i="48" s="1"/>
  <c r="M681" i="48" s="1"/>
  <c r="M682" i="48" s="1"/>
  <c r="M683" i="48" s="1"/>
  <c r="M684" i="48" s="1"/>
  <c r="M685" i="48" s="1"/>
  <c r="M686" i="48" s="1"/>
  <c r="M687" i="48" s="1"/>
  <c r="M688" i="48" s="1"/>
  <c r="M689" i="48" s="1"/>
  <c r="M690" i="48" s="1"/>
  <c r="M691" i="48" s="1"/>
  <c r="M692" i="48" s="1"/>
  <c r="M693" i="48" s="1"/>
  <c r="M694" i="48" s="1"/>
  <c r="M695" i="48" s="1"/>
  <c r="M696" i="48" s="1"/>
  <c r="M697" i="48" s="1"/>
  <c r="M698" i="48" s="1"/>
  <c r="M699" i="48" s="1"/>
  <c r="M700" i="48" s="1"/>
  <c r="M701" i="48" s="1"/>
  <c r="M702" i="48" s="1"/>
  <c r="M703" i="48" s="1"/>
  <c r="M704" i="48" s="1"/>
  <c r="M705" i="48" s="1"/>
  <c r="M706" i="48" s="1"/>
  <c r="M707" i="48" s="1"/>
  <c r="M708" i="48" s="1"/>
  <c r="M709" i="48" s="1"/>
  <c r="M710" i="48" s="1"/>
  <c r="M711" i="48" s="1"/>
  <c r="M712" i="48" s="1"/>
  <c r="M713" i="48" s="1"/>
  <c r="M714" i="48" s="1"/>
  <c r="M715" i="48" s="1"/>
  <c r="M716" i="48" s="1"/>
  <c r="M717" i="48" s="1"/>
  <c r="M718" i="48" s="1"/>
  <c r="M719" i="48" s="1"/>
  <c r="M720" i="48" s="1"/>
  <c r="M721" i="48" s="1"/>
  <c r="M722" i="48" s="1"/>
  <c r="M723" i="48" s="1"/>
  <c r="M724" i="48" s="1"/>
  <c r="M725" i="48" s="1"/>
  <c r="M726" i="48" s="1"/>
  <c r="M727" i="48" s="1"/>
  <c r="M728" i="48" s="1"/>
  <c r="M729" i="48" s="1"/>
  <c r="M730" i="48" s="1"/>
  <c r="M731" i="48" s="1"/>
  <c r="M732" i="48" s="1"/>
  <c r="M733" i="48" s="1"/>
  <c r="M734" i="48" s="1"/>
  <c r="M735" i="48" s="1"/>
  <c r="M736" i="48" s="1"/>
  <c r="M737" i="48" s="1"/>
  <c r="M738" i="48" s="1"/>
  <c r="M739" i="48" s="1"/>
  <c r="M740" i="48" s="1"/>
  <c r="M741" i="48" s="1"/>
  <c r="M742" i="48" s="1"/>
  <c r="M743" i="48" s="1"/>
  <c r="M744" i="48" s="1"/>
  <c r="M745" i="48" s="1"/>
  <c r="M746" i="48" s="1"/>
  <c r="M747" i="48" s="1"/>
  <c r="M748" i="48" s="1"/>
  <c r="M749" i="48" s="1"/>
  <c r="M750" i="48" s="1"/>
  <c r="M751" i="48" s="1"/>
  <c r="M752" i="48" s="1"/>
  <c r="M753" i="48" s="1"/>
  <c r="M754" i="48" s="1"/>
  <c r="M755" i="48" s="1"/>
  <c r="M756" i="48" s="1"/>
  <c r="M757" i="48" s="1"/>
  <c r="M758" i="48" s="1"/>
  <c r="M759" i="48" s="1"/>
  <c r="M760" i="48" s="1"/>
  <c r="M761" i="48" s="1"/>
  <c r="M762" i="48" s="1"/>
  <c r="M763" i="48" s="1"/>
  <c r="M764" i="48" s="1"/>
  <c r="M765" i="48" s="1"/>
  <c r="M766" i="48" s="1"/>
  <c r="M767" i="48" s="1"/>
  <c r="M768" i="48" s="1"/>
  <c r="M769" i="48" s="1"/>
  <c r="M770" i="48" s="1"/>
  <c r="M771" i="48" s="1"/>
  <c r="M772" i="48" s="1"/>
  <c r="M773" i="48" s="1"/>
  <c r="M774" i="48" s="1"/>
  <c r="M775" i="48" s="1"/>
  <c r="M776" i="48" s="1"/>
  <c r="M777" i="48" s="1"/>
  <c r="M778" i="48" s="1"/>
  <c r="M779" i="48" s="1"/>
  <c r="M780" i="48" s="1"/>
  <c r="M781" i="48" s="1"/>
  <c r="M782" i="48" s="1"/>
  <c r="M783" i="48" s="1"/>
  <c r="M784" i="48" s="1"/>
  <c r="M785" i="48" s="1"/>
  <c r="M786" i="48" s="1"/>
  <c r="M787" i="48" s="1"/>
  <c r="M788" i="48" s="1"/>
  <c r="M789" i="48" s="1"/>
  <c r="M790" i="48" s="1"/>
  <c r="M791" i="48" s="1"/>
  <c r="M792" i="48" s="1"/>
  <c r="M793" i="48" s="1"/>
  <c r="M794" i="48" s="1"/>
  <c r="M795" i="48" s="1"/>
  <c r="M796" i="48" s="1"/>
  <c r="M797" i="48" s="1"/>
  <c r="M798" i="48" s="1"/>
  <c r="M799" i="48" s="1"/>
  <c r="M800" i="48" s="1"/>
  <c r="M801" i="48" s="1"/>
  <c r="M802" i="48" s="1"/>
  <c r="M803" i="48" s="1"/>
  <c r="M804" i="48" s="1"/>
  <c r="M805" i="48" s="1"/>
  <c r="M806" i="48" s="1"/>
  <c r="M807" i="48" s="1"/>
  <c r="M808" i="48" s="1"/>
  <c r="M809" i="48" s="1"/>
  <c r="M810" i="48" s="1"/>
  <c r="M811" i="48" s="1"/>
  <c r="M812" i="48" s="1"/>
  <c r="M813" i="48" s="1"/>
  <c r="M814" i="48" s="1"/>
  <c r="M815" i="48" s="1"/>
  <c r="M816" i="48" s="1"/>
  <c r="M817" i="48" s="1"/>
  <c r="M818" i="48" s="1"/>
  <c r="M819" i="48" s="1"/>
  <c r="M820" i="48" s="1"/>
  <c r="M821" i="48" s="1"/>
  <c r="M822" i="48" s="1"/>
  <c r="M823" i="48" s="1"/>
  <c r="M824" i="48" s="1"/>
  <c r="M825" i="48" s="1"/>
  <c r="M826" i="48" s="1"/>
  <c r="M827" i="48" s="1"/>
  <c r="M828" i="48" s="1"/>
  <c r="M829" i="48" s="1"/>
  <c r="M830" i="48" s="1"/>
  <c r="M831" i="48" s="1"/>
  <c r="M832" i="48" s="1"/>
  <c r="M833" i="48" s="1"/>
  <c r="M834" i="48" s="1"/>
  <c r="M835" i="48" s="1"/>
  <c r="M836" i="48" s="1"/>
  <c r="M837" i="48" s="1"/>
  <c r="M838" i="48" s="1"/>
  <c r="M839" i="48" s="1"/>
  <c r="M840" i="48" s="1"/>
  <c r="M841" i="48" s="1"/>
  <c r="M842" i="48" s="1"/>
  <c r="M843" i="48" s="1"/>
  <c r="M844" i="48" s="1"/>
  <c r="M845" i="48" s="1"/>
  <c r="M846" i="48" s="1"/>
  <c r="M847" i="48" s="1"/>
  <c r="M848" i="48" s="1"/>
  <c r="M849" i="48" s="1"/>
  <c r="M850" i="48" s="1"/>
  <c r="M851" i="48" s="1"/>
  <c r="M852" i="48" s="1"/>
  <c r="M853" i="48" s="1"/>
  <c r="M854" i="48" s="1"/>
  <c r="M855" i="48" s="1"/>
  <c r="M856" i="48" s="1"/>
  <c r="M857" i="48" s="1"/>
  <c r="M858" i="48" s="1"/>
  <c r="M859" i="48" s="1"/>
  <c r="M860" i="48" s="1"/>
  <c r="M861" i="48" s="1"/>
  <c r="M862" i="48" s="1"/>
  <c r="M863" i="48" s="1"/>
  <c r="M864" i="48" s="1"/>
  <c r="M865" i="48" s="1"/>
  <c r="M866" i="48" s="1"/>
  <c r="M867" i="48" s="1"/>
  <c r="M868" i="48" s="1"/>
  <c r="M869" i="48" s="1"/>
  <c r="M870" i="48" s="1"/>
  <c r="M871" i="48" s="1"/>
  <c r="M872" i="48" s="1"/>
  <c r="M873" i="48" s="1"/>
  <c r="M874" i="48" s="1"/>
  <c r="M875" i="48" s="1"/>
  <c r="M876" i="48" s="1"/>
  <c r="M877" i="48" s="1"/>
  <c r="M878" i="48" s="1"/>
  <c r="M879" i="48" s="1"/>
  <c r="M880" i="48" s="1"/>
  <c r="M881" i="48" s="1"/>
  <c r="M882" i="48" s="1"/>
  <c r="M883" i="48" s="1"/>
  <c r="M884" i="48" s="1"/>
  <c r="M885" i="48" s="1"/>
  <c r="M886" i="48" s="1"/>
  <c r="M887" i="48" s="1"/>
  <c r="M888" i="48" s="1"/>
  <c r="M889" i="48" s="1"/>
  <c r="M890" i="48" s="1"/>
  <c r="M891" i="48" s="1"/>
  <c r="M892" i="48" s="1"/>
  <c r="M893" i="48" s="1"/>
  <c r="M894" i="48" s="1"/>
  <c r="M895" i="48" s="1"/>
  <c r="M896" i="48" s="1"/>
  <c r="M897" i="48" s="1"/>
  <c r="M898" i="48" s="1"/>
  <c r="M899" i="48" s="1"/>
  <c r="M900" i="48" s="1"/>
  <c r="M901" i="48" s="1"/>
  <c r="M902" i="48" s="1"/>
  <c r="M903" i="48" s="1"/>
  <c r="M904" i="48" s="1"/>
  <c r="M905" i="48" s="1"/>
  <c r="M906" i="48" s="1"/>
  <c r="M907" i="48" s="1"/>
  <c r="M908" i="48" s="1"/>
  <c r="M909" i="48" s="1"/>
  <c r="M910" i="48" s="1"/>
  <c r="M911" i="48" s="1"/>
  <c r="M912" i="48" s="1"/>
  <c r="M913" i="48" s="1"/>
  <c r="M914" i="48" s="1"/>
  <c r="M915" i="48" s="1"/>
  <c r="M916" i="48" s="1"/>
  <c r="M917" i="48" s="1"/>
  <c r="M918" i="48" s="1"/>
  <c r="M919" i="48" s="1"/>
  <c r="M920" i="48" s="1"/>
  <c r="M921" i="48" s="1"/>
  <c r="M922" i="48" s="1"/>
  <c r="M923" i="48" s="1"/>
  <c r="M924" i="48" s="1"/>
  <c r="M925" i="48" s="1"/>
  <c r="M926" i="48" s="1"/>
  <c r="M927" i="48" s="1"/>
  <c r="M928" i="48" s="1"/>
  <c r="M929" i="48" s="1"/>
  <c r="M930" i="48" s="1"/>
  <c r="M931" i="48" s="1"/>
  <c r="M932" i="48" s="1"/>
  <c r="M933" i="48" s="1"/>
  <c r="M934" i="48" s="1"/>
  <c r="M935" i="48" s="1"/>
  <c r="M936" i="48" s="1"/>
  <c r="M937" i="48" s="1"/>
  <c r="M938" i="48" s="1"/>
  <c r="M939" i="48" s="1"/>
  <c r="M940" i="48" s="1"/>
  <c r="M941" i="48" s="1"/>
  <c r="M942" i="48" s="1"/>
  <c r="M943" i="48" s="1"/>
  <c r="M944" i="48" s="1"/>
  <c r="M945" i="48" s="1"/>
  <c r="M946" i="48" s="1"/>
  <c r="M947" i="48" s="1"/>
  <c r="M948" i="48" s="1"/>
  <c r="M949" i="48" s="1"/>
  <c r="M950" i="48" s="1"/>
  <c r="M951" i="48" s="1"/>
  <c r="M952" i="48" s="1"/>
  <c r="M953" i="48" s="1"/>
  <c r="M954" i="48" s="1"/>
  <c r="M955" i="48" s="1"/>
  <c r="M956" i="48" s="1"/>
  <c r="M957" i="48" s="1"/>
  <c r="M958" i="48" s="1"/>
  <c r="M959" i="48" s="1"/>
  <c r="M960" i="48" s="1"/>
  <c r="M961" i="48" s="1"/>
  <c r="M962" i="48" s="1"/>
  <c r="M963" i="48" s="1"/>
  <c r="M964" i="48" s="1"/>
  <c r="M965" i="48" s="1"/>
  <c r="M966" i="48" s="1"/>
  <c r="M967" i="48" s="1"/>
  <c r="M968" i="48" s="1"/>
  <c r="M969" i="48" s="1"/>
  <c r="M970" i="48" s="1"/>
  <c r="M971" i="48" s="1"/>
  <c r="M972" i="48" s="1"/>
  <c r="M973" i="48" s="1"/>
  <c r="M974" i="48" s="1"/>
  <c r="M975" i="48" s="1"/>
  <c r="M976" i="48" s="1"/>
  <c r="M977" i="48" s="1"/>
  <c r="M978" i="48" s="1"/>
  <c r="M979" i="48" s="1"/>
  <c r="M980" i="48" s="1"/>
  <c r="M981" i="48" s="1"/>
  <c r="M982" i="48" s="1"/>
  <c r="M983" i="48" s="1"/>
  <c r="M984" i="48" s="1"/>
  <c r="M985" i="48" s="1"/>
  <c r="M986" i="48" s="1"/>
  <c r="M987" i="48" s="1"/>
  <c r="M988" i="48" s="1"/>
  <c r="M989" i="48" s="1"/>
  <c r="M990" i="48" s="1"/>
  <c r="M991" i="48" s="1"/>
  <c r="M992" i="48" s="1"/>
  <c r="M993" i="48" s="1"/>
  <c r="M994" i="48" s="1"/>
  <c r="M995" i="48" s="1"/>
  <c r="M996" i="48" s="1"/>
  <c r="M997" i="48" s="1"/>
  <c r="M998" i="48" s="1"/>
  <c r="M999" i="48" s="1"/>
  <c r="M1000" i="48" s="1"/>
  <c r="M1001" i="48" s="1"/>
  <c r="M1002" i="48" s="1"/>
  <c r="M1003" i="48" s="1"/>
  <c r="M1004" i="48" s="1"/>
  <c r="M1005" i="48" s="1"/>
  <c r="M1006" i="48" s="1"/>
  <c r="M1007" i="48" s="1"/>
  <c r="M1008" i="48" s="1"/>
  <c r="M1009" i="48" s="1"/>
  <c r="M1010" i="48" s="1"/>
  <c r="M1011" i="48" s="1"/>
  <c r="M1012" i="48" s="1"/>
  <c r="M1013" i="48" s="1"/>
  <c r="M1014" i="48" s="1"/>
  <c r="M1015" i="48" s="1"/>
  <c r="M1016" i="48" s="1"/>
  <c r="M1017" i="48" s="1"/>
  <c r="M1018" i="48" s="1"/>
  <c r="M1019" i="48" s="1"/>
  <c r="M1020" i="48" s="1"/>
  <c r="M1021" i="48" s="1"/>
  <c r="M1022" i="48" s="1"/>
  <c r="M1023" i="48" s="1"/>
  <c r="M1024" i="48" s="1"/>
  <c r="M1025" i="48" s="1"/>
  <c r="M1026" i="48" s="1"/>
  <c r="M1027" i="48" s="1"/>
  <c r="M1028" i="48" s="1"/>
  <c r="M1029" i="48" s="1"/>
  <c r="M1030" i="48" s="1"/>
  <c r="M1031" i="48" s="1"/>
  <c r="M1032" i="48" s="1"/>
  <c r="M1033" i="48" s="1"/>
  <c r="M1034" i="48" s="1"/>
  <c r="M1035" i="48" s="1"/>
  <c r="M1036" i="48" s="1"/>
  <c r="M1037" i="48" s="1"/>
  <c r="M1038" i="48" s="1"/>
  <c r="M1039" i="48" s="1"/>
  <c r="M1040" i="48" s="1"/>
  <c r="M1041" i="48" s="1"/>
  <c r="M1042" i="48" s="1"/>
  <c r="M1043" i="48" s="1"/>
  <c r="M1044" i="48" s="1"/>
  <c r="M1045" i="48" s="1"/>
  <c r="M1046" i="48" s="1"/>
  <c r="M1047" i="48" s="1"/>
  <c r="M1048" i="48" s="1"/>
  <c r="M1049" i="48" s="1"/>
  <c r="M1050" i="48" s="1"/>
  <c r="M1051" i="48" s="1"/>
  <c r="M1052" i="48" s="1"/>
  <c r="M1053" i="48" s="1"/>
  <c r="M1054" i="48" s="1"/>
  <c r="M1055" i="48" s="1"/>
  <c r="M1056" i="48" s="1"/>
  <c r="M1057" i="48" s="1"/>
  <c r="M1058" i="48" s="1"/>
  <c r="M1059" i="48" s="1"/>
  <c r="M1060" i="48" s="1"/>
  <c r="M1061" i="48" s="1"/>
  <c r="M1062" i="48" s="1"/>
  <c r="M1063" i="48" s="1"/>
  <c r="M1064" i="48" s="1"/>
  <c r="M1065" i="48" s="1"/>
  <c r="M1066" i="48" s="1"/>
  <c r="M1067" i="48" s="1"/>
  <c r="M1068" i="48" s="1"/>
  <c r="M1069" i="48" s="1"/>
  <c r="M1070" i="48" s="1"/>
  <c r="M1071" i="48" s="1"/>
  <c r="M1072" i="48" s="1"/>
  <c r="M1073" i="48" s="1"/>
  <c r="M1074" i="48" s="1"/>
  <c r="M1075" i="48" s="1"/>
  <c r="M1076" i="48" s="1"/>
  <c r="M1077" i="48" s="1"/>
  <c r="M1078" i="48" s="1"/>
  <c r="M1079" i="48" s="1"/>
  <c r="M1080" i="48" s="1"/>
  <c r="M1081" i="48" s="1"/>
  <c r="M1082" i="48" s="1"/>
  <c r="M1083" i="48" s="1"/>
  <c r="M1084" i="48" s="1"/>
  <c r="M1085" i="48" s="1"/>
  <c r="M1086" i="48" s="1"/>
  <c r="M1087" i="48" s="1"/>
  <c r="M1088" i="48" s="1"/>
  <c r="M1089" i="48" s="1"/>
  <c r="M1090" i="48" s="1"/>
  <c r="M1091" i="48" s="1"/>
  <c r="M1092" i="48" s="1"/>
  <c r="M1093" i="48" s="1"/>
  <c r="M1094" i="48" s="1"/>
  <c r="M1095" i="48" s="1"/>
  <c r="M1096" i="48" s="1"/>
  <c r="M1097" i="48" s="1"/>
  <c r="M1098" i="48" s="1"/>
  <c r="M1099" i="48" s="1"/>
  <c r="M1100" i="48" s="1"/>
  <c r="M1101" i="48" s="1"/>
  <c r="M1102" i="48" s="1"/>
  <c r="M1103" i="48" s="1"/>
  <c r="M1104" i="48" s="1"/>
  <c r="M1105" i="48" s="1"/>
  <c r="M1106" i="48" s="1"/>
  <c r="M1107" i="48" s="1"/>
  <c r="M1108" i="48" s="1"/>
  <c r="M1109" i="48" s="1"/>
  <c r="M1110" i="48" s="1"/>
  <c r="M1111" i="48" s="1"/>
  <c r="M1112" i="48" s="1"/>
  <c r="M1113" i="48" s="1"/>
  <c r="M1114" i="48" s="1"/>
  <c r="M1115" i="48" s="1"/>
  <c r="M1116" i="48" s="1"/>
  <c r="M1117" i="48" s="1"/>
  <c r="M1118" i="48" s="1"/>
  <c r="M1119" i="48" s="1"/>
  <c r="M1120" i="48" s="1"/>
  <c r="M1121" i="48" s="1"/>
  <c r="M1122" i="48" s="1"/>
  <c r="M1123" i="48" s="1"/>
  <c r="M1124" i="48" s="1"/>
  <c r="M1125" i="48" s="1"/>
  <c r="M1126" i="48" s="1"/>
  <c r="M1127" i="48" s="1"/>
  <c r="M1128" i="48" s="1"/>
  <c r="M1129" i="48" s="1"/>
  <c r="M1130" i="48" s="1"/>
  <c r="M1131" i="48" s="1"/>
  <c r="M1132" i="48" s="1"/>
  <c r="M1133" i="48" s="1"/>
  <c r="M1134" i="48" s="1"/>
  <c r="M1135" i="48" s="1"/>
  <c r="M1136" i="48" s="1"/>
  <c r="M1137" i="48" s="1"/>
  <c r="M1138" i="48" s="1"/>
  <c r="M1139" i="48" s="1"/>
  <c r="M1140" i="48" s="1"/>
  <c r="M1141" i="48" s="1"/>
  <c r="M1142" i="48" s="1"/>
  <c r="M1143" i="48" s="1"/>
  <c r="M1144" i="48" s="1"/>
  <c r="M1145" i="48" s="1"/>
  <c r="M1146" i="48" s="1"/>
  <c r="M1147" i="48" s="1"/>
  <c r="M1148" i="48" s="1"/>
  <c r="M1149" i="48" s="1"/>
  <c r="M1150" i="48" s="1"/>
  <c r="M1151" i="48" s="1"/>
  <c r="M1152" i="48" s="1"/>
  <c r="M1153" i="48" s="1"/>
  <c r="M1154" i="48" s="1"/>
  <c r="M1155" i="48" s="1"/>
  <c r="M1156" i="48" s="1"/>
  <c r="M1157" i="48" s="1"/>
  <c r="M1158" i="48" s="1"/>
  <c r="M1159" i="48" s="1"/>
  <c r="M1160" i="48" s="1"/>
  <c r="M1161" i="48" s="1"/>
  <c r="M1162" i="48" s="1"/>
  <c r="M1163" i="48" s="1"/>
  <c r="M1164" i="48" s="1"/>
  <c r="M1165" i="48" s="1"/>
  <c r="M1166" i="48" s="1"/>
  <c r="M1167" i="48" s="1"/>
  <c r="M1168" i="48" s="1"/>
  <c r="M1169" i="48" s="1"/>
  <c r="M1170" i="48" s="1"/>
  <c r="M1171" i="48" s="1"/>
  <c r="M1172" i="48" s="1"/>
  <c r="M1173" i="48" s="1"/>
  <c r="M1174" i="48" s="1"/>
  <c r="M1175" i="48" s="1"/>
  <c r="M1176" i="48" s="1"/>
  <c r="M1177" i="48" s="1"/>
  <c r="M1178" i="48" s="1"/>
  <c r="M1179" i="48" s="1"/>
  <c r="M1180" i="48" s="1"/>
  <c r="M1181" i="48" s="1"/>
  <c r="M1182" i="48" s="1"/>
  <c r="M1183" i="48" s="1"/>
  <c r="M1184" i="48" s="1"/>
  <c r="M1185" i="48" s="1"/>
  <c r="M1186" i="48" s="1"/>
  <c r="M1187" i="48" s="1"/>
  <c r="M1188" i="48" s="1"/>
  <c r="M1189" i="48" s="1"/>
  <c r="M1190" i="48" s="1"/>
  <c r="M1191" i="48" s="1"/>
  <c r="M1192" i="48" s="1"/>
  <c r="M1193" i="48" s="1"/>
  <c r="M1194" i="48" s="1"/>
  <c r="M1195" i="48" s="1"/>
  <c r="M1196" i="48" s="1"/>
  <c r="M1197" i="48" s="1"/>
  <c r="M1198" i="48" s="1"/>
  <c r="M1199" i="48" s="1"/>
  <c r="M1200" i="48" s="1"/>
  <c r="M1201" i="48" s="1"/>
  <c r="M1202" i="48" s="1"/>
  <c r="M1203" i="48" s="1"/>
  <c r="M1204" i="48" s="1"/>
  <c r="M1205" i="48" s="1"/>
  <c r="M1206" i="48" s="1"/>
  <c r="M1207" i="48" s="1"/>
  <c r="M1208" i="48" s="1"/>
  <c r="M1209" i="48" s="1"/>
  <c r="M1210" i="48" s="1"/>
  <c r="M1211" i="48" s="1"/>
  <c r="M1212" i="48" s="1"/>
  <c r="M1213" i="48" s="1"/>
  <c r="M1214" i="48" s="1"/>
  <c r="M1215" i="48" s="1"/>
  <c r="M1216" i="48" s="1"/>
  <c r="M1217" i="48" s="1"/>
  <c r="M1218" i="48" s="1"/>
  <c r="M1219" i="48" s="1"/>
  <c r="M1220" i="48" s="1"/>
  <c r="M1221" i="48" s="1"/>
  <c r="M1222" i="48" s="1"/>
  <c r="M1223" i="48" s="1"/>
  <c r="M1224" i="48" s="1"/>
  <c r="M1225" i="48" s="1"/>
  <c r="M1226" i="48" s="1"/>
  <c r="M1227" i="48" s="1"/>
  <c r="M1228" i="48" s="1"/>
  <c r="M1229" i="48" s="1"/>
  <c r="M1230" i="48" s="1"/>
  <c r="M1231" i="48" s="1"/>
  <c r="M1232" i="48" s="1"/>
  <c r="M1233" i="48" s="1"/>
  <c r="M1234" i="48" s="1"/>
  <c r="M1235" i="48" s="1"/>
  <c r="M1236" i="48" s="1"/>
  <c r="M1237" i="48" s="1"/>
  <c r="M1238" i="48" s="1"/>
  <c r="M1239" i="48" s="1"/>
  <c r="M1240" i="48" s="1"/>
  <c r="M1241" i="48" s="1"/>
  <c r="M1242" i="48" s="1"/>
  <c r="M1243" i="48" s="1"/>
  <c r="M1244" i="48" s="1"/>
  <c r="M1245" i="48" s="1"/>
  <c r="M1246" i="48" s="1"/>
  <c r="M1247" i="48" s="1"/>
  <c r="M1248" i="48" s="1"/>
  <c r="M1249" i="48" s="1"/>
  <c r="M1250" i="48" s="1"/>
  <c r="M1251" i="48" s="1"/>
  <c r="M1252" i="48" s="1"/>
  <c r="M1253" i="48" s="1"/>
  <c r="M1254" i="48" s="1"/>
  <c r="M1255" i="48" s="1"/>
  <c r="M1256" i="48" s="1"/>
  <c r="M1257" i="48" s="1"/>
  <c r="M1258" i="48" s="1"/>
  <c r="M1259" i="48" s="1"/>
  <c r="M1260" i="48" s="1"/>
  <c r="M1261" i="48" s="1"/>
  <c r="M1262" i="48" s="1"/>
  <c r="M1263" i="48" s="1"/>
  <c r="M1264" i="48" s="1"/>
  <c r="M1265" i="48" s="1"/>
  <c r="M1266" i="48" s="1"/>
  <c r="M1267" i="48" s="1"/>
  <c r="M1268" i="48" s="1"/>
  <c r="M1269" i="48" s="1"/>
  <c r="M1270" i="48" s="1"/>
  <c r="M1271" i="48" s="1"/>
  <c r="M1272" i="48" s="1"/>
  <c r="M1273" i="48" s="1"/>
  <c r="M1274" i="48" s="1"/>
  <c r="M1275" i="48" s="1"/>
  <c r="M1276" i="48" s="1"/>
  <c r="M1277" i="48" s="1"/>
  <c r="M1278" i="48" s="1"/>
  <c r="M1279" i="48" s="1"/>
  <c r="M1280" i="48" s="1"/>
  <c r="M1281" i="48" s="1"/>
  <c r="M1282" i="48" s="1"/>
  <c r="M1283" i="48" s="1"/>
  <c r="M1284" i="48" s="1"/>
  <c r="M1285" i="48" s="1"/>
  <c r="M1286" i="48" s="1"/>
  <c r="M1287" i="48" s="1"/>
  <c r="M1288" i="48" s="1"/>
  <c r="M1289" i="48" s="1"/>
  <c r="M1290" i="48" s="1"/>
  <c r="M1291" i="48" s="1"/>
  <c r="M1292" i="48" s="1"/>
  <c r="M1293" i="48" s="1"/>
  <c r="M1294" i="48" s="1"/>
  <c r="M1295" i="48" s="1"/>
  <c r="M1296" i="48" s="1"/>
  <c r="M1297" i="48" s="1"/>
  <c r="M1298" i="48" s="1"/>
  <c r="M1299" i="48" s="1"/>
  <c r="M1300" i="48" s="1"/>
  <c r="M1301" i="48" s="1"/>
  <c r="M1302" i="48" s="1"/>
  <c r="M1303" i="48" s="1"/>
  <c r="M1304" i="48" s="1"/>
  <c r="M1305" i="48" s="1"/>
  <c r="M1306" i="48" s="1"/>
  <c r="M1307" i="48" s="1"/>
  <c r="M1308" i="48" s="1"/>
  <c r="M1309" i="48" s="1"/>
  <c r="M1310" i="48" s="1"/>
  <c r="M1311" i="48" s="1"/>
  <c r="M1312" i="48" s="1"/>
  <c r="M1313" i="48" s="1"/>
  <c r="M1314" i="48" s="1"/>
  <c r="M1315" i="48" s="1"/>
  <c r="M1316" i="48" s="1"/>
  <c r="M1317" i="48" s="1"/>
  <c r="M1318" i="48" s="1"/>
  <c r="M1319" i="48" s="1"/>
  <c r="M1320" i="48" s="1"/>
  <c r="M1321" i="48" s="1"/>
  <c r="M1322" i="48" s="1"/>
  <c r="M1323" i="48" s="1"/>
  <c r="M1324" i="48" s="1"/>
  <c r="M1325" i="48" s="1"/>
  <c r="M1326" i="48" s="1"/>
  <c r="M1327" i="48" s="1"/>
  <c r="M1328" i="48" s="1"/>
  <c r="M1329" i="48" s="1"/>
  <c r="M1330" i="48" s="1"/>
  <c r="M1331" i="48" s="1"/>
  <c r="M1332" i="48" s="1"/>
  <c r="M1333" i="48" s="1"/>
  <c r="M1334" i="48" s="1"/>
  <c r="M1335" i="48" s="1"/>
  <c r="M1336" i="48" s="1"/>
  <c r="M1337" i="48" s="1"/>
  <c r="M1338" i="48" s="1"/>
  <c r="M1339" i="48" s="1"/>
  <c r="M1340" i="48" s="1"/>
  <c r="M1341" i="48" s="1"/>
  <c r="M1342" i="48" s="1"/>
  <c r="M1343" i="48" s="1"/>
  <c r="M1344" i="48" s="1"/>
  <c r="M1345" i="48" s="1"/>
  <c r="M1346" i="48" s="1"/>
  <c r="M1347" i="48" s="1"/>
  <c r="M1348" i="48" s="1"/>
  <c r="M1349" i="48" s="1"/>
  <c r="M1350" i="48" s="1"/>
  <c r="M1351" i="48" s="1"/>
  <c r="M1352" i="48" s="1"/>
  <c r="M1353" i="48" s="1"/>
  <c r="M1354" i="48" s="1"/>
  <c r="M1355" i="48" s="1"/>
  <c r="M1356" i="48" s="1"/>
  <c r="M1357" i="48" s="1"/>
  <c r="M1358" i="48" s="1"/>
  <c r="M1359" i="48" s="1"/>
  <c r="M1360" i="48" s="1"/>
  <c r="M1361" i="48" s="1"/>
  <c r="M1362" i="48" s="1"/>
  <c r="M1363" i="48" s="1"/>
  <c r="M1364" i="48" s="1"/>
  <c r="M1365" i="48" s="1"/>
  <c r="M1366" i="48" s="1"/>
  <c r="M1367" i="48" s="1"/>
  <c r="M1368" i="48" s="1"/>
  <c r="M1369" i="48" s="1"/>
  <c r="M1370" i="48" s="1"/>
  <c r="M1371" i="48" s="1"/>
  <c r="M1372" i="48" s="1"/>
  <c r="M1373" i="48" s="1"/>
  <c r="M1374" i="48" s="1"/>
  <c r="M1375" i="48" s="1"/>
  <c r="M1376" i="48" s="1"/>
  <c r="M1377" i="48" s="1"/>
  <c r="M1378" i="48" s="1"/>
  <c r="M1379" i="48" s="1"/>
  <c r="M1380" i="48" s="1"/>
  <c r="M1381" i="48" s="1"/>
  <c r="M1382" i="48" s="1"/>
  <c r="M1383" i="48" s="1"/>
  <c r="M1384" i="48" s="1"/>
  <c r="M1385" i="48" s="1"/>
  <c r="M1386" i="48" s="1"/>
  <c r="M1387" i="48" s="1"/>
  <c r="M1388" i="48" s="1"/>
  <c r="M1389" i="48" s="1"/>
  <c r="M1390" i="48" s="1"/>
  <c r="M1391" i="48" s="1"/>
  <c r="M1392" i="48" s="1"/>
  <c r="M1393" i="48" s="1"/>
  <c r="M1394" i="48" s="1"/>
  <c r="M1395" i="48" s="1"/>
  <c r="M1396" i="48" s="1"/>
  <c r="M1397" i="48" s="1"/>
  <c r="M1398" i="48" s="1"/>
  <c r="M1399" i="48" s="1"/>
  <c r="M1400" i="48" s="1"/>
  <c r="M1401" i="48" s="1"/>
  <c r="M1402" i="48" s="1"/>
  <c r="M1403" i="48" s="1"/>
  <c r="M1404" i="48" s="1"/>
  <c r="M1405" i="48" s="1"/>
  <c r="M1406" i="48" s="1"/>
  <c r="M1407" i="48" s="1"/>
  <c r="M1408" i="48" s="1"/>
  <c r="M1409" i="48" s="1"/>
  <c r="M1410" i="48" s="1"/>
  <c r="M1411" i="48" s="1"/>
  <c r="M1412" i="48" s="1"/>
  <c r="M1413" i="48" s="1"/>
  <c r="M1414" i="48" s="1"/>
  <c r="M1415" i="48" s="1"/>
  <c r="M1416" i="48" s="1"/>
  <c r="M1417" i="48" s="1"/>
  <c r="M1418" i="48" s="1"/>
  <c r="M1419" i="48" s="1"/>
  <c r="M1420" i="48" s="1"/>
  <c r="M1421" i="48" s="1"/>
  <c r="M1422" i="48" s="1"/>
  <c r="M1423" i="48" s="1"/>
  <c r="M1424" i="48" s="1"/>
  <c r="M1425" i="48" s="1"/>
  <c r="M1426" i="48" s="1"/>
  <c r="M1427" i="48" s="1"/>
  <c r="M1428" i="48" s="1"/>
  <c r="M1429" i="48" s="1"/>
  <c r="M1430" i="48" s="1"/>
  <c r="M1431" i="48" s="1"/>
  <c r="M1432" i="48" s="1"/>
  <c r="M1433" i="48" s="1"/>
  <c r="M1434" i="48" s="1"/>
  <c r="M1435" i="48" s="1"/>
  <c r="M1436" i="48" s="1"/>
  <c r="M1437" i="48" s="1"/>
  <c r="M1438" i="48" s="1"/>
  <c r="M1439" i="48" s="1"/>
  <c r="M1440" i="48" s="1"/>
  <c r="M1441" i="48" s="1"/>
  <c r="M1442" i="48" s="1"/>
  <c r="M1443" i="48" s="1"/>
  <c r="M1444" i="48" s="1"/>
  <c r="M1445" i="48" s="1"/>
  <c r="M1446" i="48" s="1"/>
  <c r="M1447" i="48" s="1"/>
  <c r="M1448" i="48" s="1"/>
  <c r="M1449" i="48" s="1"/>
  <c r="M1450" i="48" s="1"/>
  <c r="M1451" i="48" s="1"/>
  <c r="M1452" i="48" s="1"/>
  <c r="M1453" i="48" s="1"/>
  <c r="M1454" i="48" s="1"/>
  <c r="M1455" i="48" s="1"/>
  <c r="M1456" i="48" s="1"/>
  <c r="M1457" i="48" s="1"/>
  <c r="M1458" i="48" s="1"/>
  <c r="M1459" i="48" s="1"/>
  <c r="M1460" i="48" s="1"/>
  <c r="M1461" i="48" s="1"/>
  <c r="M1462" i="48" s="1"/>
  <c r="M1463" i="48" s="1"/>
  <c r="M1464" i="48" s="1"/>
  <c r="M1465" i="48" s="1"/>
  <c r="M1466" i="48" s="1"/>
  <c r="M1467" i="48" s="1"/>
  <c r="M1468" i="48" s="1"/>
  <c r="M1469" i="48" s="1"/>
  <c r="M1470" i="48" s="1"/>
  <c r="M1471" i="48" s="1"/>
  <c r="M1472" i="48" s="1"/>
  <c r="M1473" i="48" s="1"/>
  <c r="M1474" i="48" s="1"/>
  <c r="M1475" i="48" s="1"/>
  <c r="M1476" i="48" s="1"/>
  <c r="M1477" i="48" s="1"/>
  <c r="M1478" i="48" s="1"/>
  <c r="M1479" i="48" s="1"/>
  <c r="M1480" i="48" s="1"/>
  <c r="M1481" i="48" s="1"/>
  <c r="M1482" i="48" s="1"/>
  <c r="M1483" i="48" s="1"/>
  <c r="M1484" i="48" s="1"/>
  <c r="M1485" i="48" s="1"/>
  <c r="M1486" i="48" s="1"/>
  <c r="M1487" i="48" s="1"/>
  <c r="M1488" i="48" s="1"/>
  <c r="M1489" i="48" s="1"/>
  <c r="M1490" i="48" s="1"/>
  <c r="M1491" i="48" s="1"/>
  <c r="M1492" i="48" s="1"/>
  <c r="M1493" i="48" s="1"/>
  <c r="M1494" i="48" s="1"/>
  <c r="M1495" i="48" s="1"/>
  <c r="M1496" i="48" s="1"/>
  <c r="M1497" i="48" s="1"/>
  <c r="M1498" i="48" s="1"/>
  <c r="M1499" i="48" s="1"/>
  <c r="M1500" i="48" s="1"/>
  <c r="M1501" i="48" s="1"/>
  <c r="M1502" i="48" s="1"/>
  <c r="M1503" i="48" s="1"/>
  <c r="M1504" i="48" s="1"/>
  <c r="M1505" i="48" s="1"/>
  <c r="M1506" i="48" s="1"/>
  <c r="M1507" i="48" s="1"/>
  <c r="M1508" i="48" s="1"/>
  <c r="M1509" i="48" s="1"/>
  <c r="M1510" i="48" s="1"/>
  <c r="M1511" i="48" s="1"/>
  <c r="M1512" i="48" s="1"/>
  <c r="M1513" i="48" s="1"/>
  <c r="M1514" i="48" s="1"/>
  <c r="M1515" i="48" s="1"/>
  <c r="M1516" i="48" s="1"/>
  <c r="M1517" i="48" s="1"/>
  <c r="M1518" i="48" s="1"/>
  <c r="M1519" i="48" s="1"/>
  <c r="M1520" i="48" s="1"/>
  <c r="M1521" i="48" s="1"/>
  <c r="M1522" i="48" s="1"/>
  <c r="M1523" i="48" s="1"/>
  <c r="M1524" i="48" s="1"/>
  <c r="M1525" i="48" s="1"/>
  <c r="M1526" i="48" s="1"/>
  <c r="M1527" i="48" s="1"/>
  <c r="M1528" i="48" s="1"/>
  <c r="M1529" i="48" s="1"/>
  <c r="M1530" i="48" s="1"/>
  <c r="M1531" i="48" s="1"/>
  <c r="M1532" i="48" s="1"/>
  <c r="M1533" i="48" s="1"/>
  <c r="M1534" i="48" s="1"/>
  <c r="M1535" i="48" s="1"/>
  <c r="M1536" i="48" s="1"/>
  <c r="M1537" i="48" s="1"/>
  <c r="M1538" i="48" s="1"/>
  <c r="M1539" i="48" s="1"/>
  <c r="M1540" i="48" s="1"/>
  <c r="M1541" i="48" s="1"/>
  <c r="M1542" i="48" s="1"/>
  <c r="M1543" i="48" s="1"/>
  <c r="M1544" i="48" s="1"/>
  <c r="M1545" i="48" s="1"/>
  <c r="M1546" i="48" s="1"/>
  <c r="M1547" i="48" s="1"/>
  <c r="M1548" i="48" s="1"/>
  <c r="M1549" i="48" s="1"/>
  <c r="M1550" i="48" s="1"/>
  <c r="M1551" i="48" s="1"/>
  <c r="M1552" i="48" s="1"/>
  <c r="M1553" i="48" s="1"/>
  <c r="M1554" i="48" s="1"/>
  <c r="M1555" i="48" s="1"/>
  <c r="M1556" i="48" s="1"/>
  <c r="M1557" i="48" s="1"/>
  <c r="M1558" i="48" s="1"/>
  <c r="M1559" i="48" s="1"/>
  <c r="M1560" i="48" s="1"/>
  <c r="M1561" i="48" s="1"/>
  <c r="M1562" i="48" s="1"/>
  <c r="M1563" i="48" s="1"/>
  <c r="M1564" i="48" s="1"/>
  <c r="M1565" i="48" s="1"/>
  <c r="M1566" i="48" s="1"/>
  <c r="M1567" i="48" s="1"/>
  <c r="M1568" i="48" s="1"/>
  <c r="M1569" i="48" s="1"/>
  <c r="M1570" i="48" s="1"/>
  <c r="M1571" i="48" s="1"/>
  <c r="M1572" i="48" s="1"/>
  <c r="M1573" i="48" s="1"/>
  <c r="M1574" i="48" s="1"/>
  <c r="M1575" i="48" s="1"/>
  <c r="M1576" i="48" s="1"/>
  <c r="M1577" i="48" s="1"/>
  <c r="M1578" i="48" s="1"/>
  <c r="M1579" i="48" s="1"/>
  <c r="M1580" i="48" s="1"/>
  <c r="M1581" i="48" s="1"/>
  <c r="M1582" i="48" s="1"/>
  <c r="M1583" i="48" s="1"/>
  <c r="M1584" i="48" s="1"/>
  <c r="M1585" i="48" s="1"/>
  <c r="M1586" i="48" s="1"/>
  <c r="M1587" i="48" s="1"/>
  <c r="M1588" i="48" s="1"/>
  <c r="M1589" i="48" s="1"/>
  <c r="M1590" i="48" s="1"/>
  <c r="M1591" i="48" s="1"/>
  <c r="M1592" i="48" s="1"/>
  <c r="M1593" i="48" s="1"/>
  <c r="M1594" i="48" s="1"/>
  <c r="M1595" i="48" s="1"/>
  <c r="M1596" i="48" s="1"/>
  <c r="M1597" i="48" s="1"/>
  <c r="M1598" i="48" s="1"/>
  <c r="M1599" i="48" s="1"/>
  <c r="M1600" i="48" s="1"/>
  <c r="M1601" i="48" s="1"/>
  <c r="M1602" i="48" s="1"/>
  <c r="M1603" i="48" s="1"/>
  <c r="M1604" i="48" s="1"/>
  <c r="M1605" i="48" s="1"/>
  <c r="M1606" i="48" s="1"/>
  <c r="M1607" i="48" s="1"/>
  <c r="M1608" i="48" s="1"/>
  <c r="M1609" i="48" s="1"/>
  <c r="M1610" i="48" s="1"/>
  <c r="M1611" i="48" s="1"/>
  <c r="M1612" i="48" s="1"/>
  <c r="M1613" i="48" s="1"/>
  <c r="M1614" i="48" s="1"/>
  <c r="M1615" i="48" s="1"/>
  <c r="M1616" i="48" s="1"/>
  <c r="M1617" i="48" s="1"/>
  <c r="M1618" i="48" s="1"/>
  <c r="M1619" i="48" s="1"/>
  <c r="M1620" i="48" s="1"/>
  <c r="M1621" i="48" s="1"/>
  <c r="M1622" i="48" s="1"/>
  <c r="M1623" i="48" s="1"/>
  <c r="M1624" i="48" s="1"/>
  <c r="M1625" i="48" s="1"/>
  <c r="M1626" i="48" s="1"/>
  <c r="M1627" i="48" s="1"/>
  <c r="M1628" i="48" s="1"/>
  <c r="M1629" i="48" s="1"/>
  <c r="M1630" i="48" s="1"/>
  <c r="M1631" i="48" s="1"/>
  <c r="M1632" i="48" s="1"/>
  <c r="M1633" i="48" s="1"/>
  <c r="M1634" i="48" s="1"/>
  <c r="M1635" i="48" s="1"/>
  <c r="M1636" i="48" s="1"/>
  <c r="M1637" i="48" s="1"/>
  <c r="M1638" i="48" s="1"/>
  <c r="M1639" i="48" s="1"/>
  <c r="M1640" i="48" s="1"/>
  <c r="M1641" i="48" s="1"/>
  <c r="M1642" i="48" s="1"/>
  <c r="M1643" i="48" s="1"/>
  <c r="M1644" i="48" s="1"/>
  <c r="M1645" i="48" s="1"/>
  <c r="M1646" i="48" s="1"/>
  <c r="M1647" i="48" s="1"/>
  <c r="M1648" i="48" s="1"/>
  <c r="M1649" i="48" s="1"/>
  <c r="M1650" i="48" s="1"/>
  <c r="M1651" i="48" s="1"/>
  <c r="M1652" i="48" s="1"/>
  <c r="M1653" i="48" s="1"/>
  <c r="M1654" i="48" s="1"/>
  <c r="M1655" i="48" s="1"/>
  <c r="M1656" i="48" s="1"/>
  <c r="M1657" i="48" s="1"/>
  <c r="M1658" i="48" s="1"/>
  <c r="M1659" i="48" s="1"/>
  <c r="M1660" i="48" s="1"/>
  <c r="M1661" i="48" s="1"/>
  <c r="M1662" i="48" s="1"/>
  <c r="M1663" i="48" s="1"/>
  <c r="M1664" i="48" s="1"/>
  <c r="M1665" i="48" s="1"/>
  <c r="M1666" i="48" s="1"/>
  <c r="M1667" i="48" s="1"/>
  <c r="M1668" i="48" s="1"/>
  <c r="M1669" i="48" s="1"/>
  <c r="M1670" i="48" s="1"/>
  <c r="M1671" i="48" s="1"/>
  <c r="M1672" i="48" s="1"/>
  <c r="M1673" i="48" s="1"/>
  <c r="M1674" i="48" s="1"/>
  <c r="M1675" i="48" s="1"/>
  <c r="M1676" i="48" s="1"/>
  <c r="M1677" i="48" s="1"/>
  <c r="M1678" i="48" s="1"/>
  <c r="M1679" i="48" s="1"/>
  <c r="M1680" i="48" s="1"/>
  <c r="M1681" i="48" s="1"/>
  <c r="M1682" i="48" s="1"/>
  <c r="M1683" i="48" s="1"/>
  <c r="M1684" i="48" s="1"/>
  <c r="M1685" i="48" s="1"/>
  <c r="M1686" i="48" s="1"/>
  <c r="M1687" i="48" s="1"/>
  <c r="M1688" i="48" s="1"/>
  <c r="M1689" i="48" s="1"/>
  <c r="M1690" i="48" s="1"/>
  <c r="M1691" i="48" s="1"/>
  <c r="M1692" i="48" s="1"/>
  <c r="M1693" i="48" s="1"/>
  <c r="M1694" i="48" s="1"/>
  <c r="M1695" i="48" s="1"/>
  <c r="M1696" i="48" s="1"/>
  <c r="M1697" i="48" s="1"/>
  <c r="M1698" i="48" s="1"/>
  <c r="M1699" i="48" s="1"/>
  <c r="M1700" i="48" s="1"/>
  <c r="M1701" i="48" s="1"/>
  <c r="M1702" i="48" s="1"/>
  <c r="M1703" i="48" s="1"/>
  <c r="M1704" i="48" s="1"/>
  <c r="M1705" i="48" s="1"/>
  <c r="M1706" i="48" s="1"/>
  <c r="M1707" i="48" s="1"/>
  <c r="M1708" i="48" s="1"/>
  <c r="M1709" i="48" s="1"/>
  <c r="M1710" i="48" s="1"/>
  <c r="M1711" i="48" s="1"/>
  <c r="M1712" i="48" s="1"/>
  <c r="M1713" i="48" s="1"/>
  <c r="M1714" i="48" s="1"/>
  <c r="M1715" i="48" s="1"/>
  <c r="M1716" i="48" s="1"/>
  <c r="M1717" i="48" s="1"/>
  <c r="M1718" i="48" s="1"/>
  <c r="M1719" i="48" s="1"/>
  <c r="M1720" i="48" s="1"/>
  <c r="M1721" i="48" s="1"/>
  <c r="M1722" i="48" s="1"/>
  <c r="M1723" i="48" s="1"/>
  <c r="M1724" i="48" s="1"/>
  <c r="M1725" i="48" s="1"/>
  <c r="M1726" i="48" s="1"/>
  <c r="M1727" i="48" s="1"/>
  <c r="M1728" i="48" s="1"/>
  <c r="M1729" i="48" s="1"/>
  <c r="M1730" i="48" s="1"/>
  <c r="M1731" i="48" s="1"/>
  <c r="M1732" i="48" s="1"/>
  <c r="M1733" i="48" s="1"/>
  <c r="M1734" i="48" s="1"/>
  <c r="M1735" i="48" s="1"/>
  <c r="M1736" i="48" s="1"/>
  <c r="M1737" i="48" s="1"/>
  <c r="M1738" i="48" s="1"/>
  <c r="M1739" i="48" s="1"/>
  <c r="M1740" i="48" s="1"/>
  <c r="M1741" i="48" s="1"/>
  <c r="M1742" i="48" s="1"/>
  <c r="M1743" i="48" s="1"/>
  <c r="M1744" i="48" s="1"/>
  <c r="M1745" i="48" s="1"/>
  <c r="M1746" i="48" s="1"/>
  <c r="M1747" i="48" s="1"/>
  <c r="M1748" i="48" s="1"/>
  <c r="M1749" i="48" s="1"/>
  <c r="M1750" i="48" s="1"/>
  <c r="M1751" i="48" s="1"/>
  <c r="M1752" i="48" s="1"/>
  <c r="M1753" i="48" s="1"/>
  <c r="M1754" i="48" s="1"/>
  <c r="M1755" i="48" s="1"/>
  <c r="M1756" i="48" s="1"/>
  <c r="M1757" i="48" s="1"/>
  <c r="M1758" i="48" s="1"/>
  <c r="M1759" i="48" s="1"/>
  <c r="M1760" i="48" s="1"/>
  <c r="M1761" i="48" s="1"/>
  <c r="M1762" i="48" s="1"/>
  <c r="M1763" i="48" s="1"/>
  <c r="M1764" i="48" s="1"/>
  <c r="M1765" i="48" s="1"/>
  <c r="M1766" i="48" s="1"/>
  <c r="M1767" i="48" s="1"/>
  <c r="M1768" i="48" s="1"/>
  <c r="M1769" i="48" s="1"/>
  <c r="M1770" i="48" s="1"/>
  <c r="M1771" i="48" s="1"/>
  <c r="M1772" i="48" s="1"/>
  <c r="M1773" i="48" s="1"/>
  <c r="M1774" i="48" s="1"/>
  <c r="M1775" i="48" s="1"/>
  <c r="M1776" i="48" s="1"/>
  <c r="M1777" i="48" s="1"/>
  <c r="M1778" i="48" s="1"/>
  <c r="M1779" i="48" s="1"/>
  <c r="M1780" i="48" s="1"/>
  <c r="M1781" i="48" s="1"/>
  <c r="M1782" i="48" s="1"/>
  <c r="M1783" i="48" s="1"/>
  <c r="M1784" i="48" s="1"/>
  <c r="M1785" i="48" s="1"/>
  <c r="M1786" i="48" s="1"/>
  <c r="M1787" i="48" s="1"/>
  <c r="M1788" i="48" s="1"/>
  <c r="M1789" i="48" s="1"/>
  <c r="M1790" i="48" s="1"/>
  <c r="M1791" i="48" s="1"/>
  <c r="M1792" i="48" s="1"/>
  <c r="M1793" i="48" s="1"/>
  <c r="M1794" i="48" s="1"/>
  <c r="M1795" i="48" s="1"/>
  <c r="M1796" i="48" s="1"/>
  <c r="M1797" i="48" s="1"/>
  <c r="M1798" i="48" s="1"/>
  <c r="M1799" i="48" s="1"/>
  <c r="M1800" i="48" s="1"/>
  <c r="M1801" i="48" s="1"/>
  <c r="M1802" i="48" s="1"/>
  <c r="M1803" i="48" s="1"/>
  <c r="M1804" i="48" s="1"/>
  <c r="M1805" i="48" s="1"/>
  <c r="M1806" i="48" s="1"/>
  <c r="M1807" i="48" s="1"/>
  <c r="M1808" i="48" s="1"/>
  <c r="M1809" i="48" s="1"/>
  <c r="M1810" i="48" s="1"/>
  <c r="M1811" i="48" s="1"/>
  <c r="M1812" i="48" s="1"/>
  <c r="M1813" i="48" s="1"/>
  <c r="M1814" i="48" s="1"/>
  <c r="M1815" i="48" s="1"/>
  <c r="M1816" i="48" s="1"/>
  <c r="M1817" i="48" s="1"/>
  <c r="M1818" i="48" s="1"/>
  <c r="M1819" i="48" s="1"/>
  <c r="M1820" i="48" s="1"/>
  <c r="M1821" i="48" s="1"/>
  <c r="M1822" i="48" s="1"/>
  <c r="M1823" i="48" s="1"/>
  <c r="M1824" i="48" s="1"/>
  <c r="M1825" i="48" s="1"/>
  <c r="M1826" i="48" s="1"/>
  <c r="M1827" i="48" s="1"/>
  <c r="M1828" i="48" s="1"/>
  <c r="M1829" i="48" s="1"/>
  <c r="M1830" i="48" s="1"/>
  <c r="M1831" i="48" s="1"/>
  <c r="M1832" i="48" s="1"/>
  <c r="M1833" i="48" s="1"/>
  <c r="M1834" i="48" s="1"/>
  <c r="M1835" i="48" s="1"/>
  <c r="M1836" i="48" s="1"/>
  <c r="M1837" i="48" s="1"/>
  <c r="M1838" i="48" s="1"/>
  <c r="M1839" i="48" s="1"/>
  <c r="M1840" i="48" s="1"/>
  <c r="M1841" i="48" s="1"/>
  <c r="M1842" i="48" s="1"/>
  <c r="M1843" i="48" s="1"/>
  <c r="M1844" i="48" s="1"/>
  <c r="M1845" i="48" s="1"/>
  <c r="M1846" i="48" s="1"/>
  <c r="M1847" i="48" s="1"/>
  <c r="M1848" i="48" s="1"/>
  <c r="M1849" i="48" s="1"/>
  <c r="M1850" i="48" s="1"/>
  <c r="M1851" i="48" s="1"/>
  <c r="M1852" i="48" s="1"/>
  <c r="M1853" i="48" s="1"/>
  <c r="M1854" i="48" s="1"/>
  <c r="M1855" i="48" s="1"/>
  <c r="M1856" i="48" s="1"/>
  <c r="M1857" i="48" s="1"/>
  <c r="M1858" i="48" s="1"/>
  <c r="M1859" i="48" s="1"/>
  <c r="M1860" i="48" s="1"/>
  <c r="M1861" i="48" s="1"/>
  <c r="M1862" i="48" s="1"/>
  <c r="M1863" i="48" s="1"/>
  <c r="M1864" i="48" s="1"/>
  <c r="M1865" i="48" s="1"/>
  <c r="M1866" i="48" s="1"/>
  <c r="M1867" i="48" s="1"/>
  <c r="M1868" i="48" s="1"/>
  <c r="M1869" i="48" s="1"/>
  <c r="M1870" i="48" s="1"/>
  <c r="M1871" i="48" s="1"/>
  <c r="M1872" i="48" s="1"/>
  <c r="M1873" i="48" s="1"/>
  <c r="M1874" i="48" s="1"/>
  <c r="M1875" i="48" s="1"/>
  <c r="M1876" i="48" s="1"/>
  <c r="M1877" i="48" s="1"/>
  <c r="M1878" i="48" s="1"/>
  <c r="M1879" i="48" s="1"/>
  <c r="M1880" i="48" s="1"/>
  <c r="M1881" i="48" s="1"/>
  <c r="M1882" i="48" s="1"/>
  <c r="M1883" i="48" s="1"/>
  <c r="M1884" i="48" s="1"/>
  <c r="M1885" i="48" s="1"/>
  <c r="M1886" i="48" s="1"/>
  <c r="M1887" i="48" s="1"/>
  <c r="M1888" i="48" s="1"/>
  <c r="M1889" i="48" s="1"/>
  <c r="M1890" i="48" s="1"/>
  <c r="M1891" i="48" s="1"/>
  <c r="M1892" i="48" s="1"/>
  <c r="M1893" i="48" s="1"/>
  <c r="M1894" i="48" s="1"/>
  <c r="M1895" i="48" s="1"/>
  <c r="M1896" i="48" s="1"/>
  <c r="M1897" i="48" s="1"/>
  <c r="M1898" i="48" s="1"/>
  <c r="M1899" i="48" s="1"/>
  <c r="M1900" i="48" s="1"/>
  <c r="M1901" i="48" s="1"/>
  <c r="M1902" i="48" s="1"/>
  <c r="M1903" i="48" s="1"/>
  <c r="M1904" i="48" s="1"/>
  <c r="M1905" i="48" s="1"/>
  <c r="M1906" i="48" s="1"/>
  <c r="M1907" i="48" s="1"/>
  <c r="M1908" i="48" s="1"/>
  <c r="M1909" i="48" s="1"/>
  <c r="M1910" i="48" s="1"/>
  <c r="M1911" i="48" s="1"/>
  <c r="M1912" i="48" s="1"/>
  <c r="M1913" i="48" s="1"/>
  <c r="M1914" i="48" s="1"/>
  <c r="M1915" i="48" s="1"/>
  <c r="M1916" i="48" s="1"/>
  <c r="M1917" i="48" s="1"/>
  <c r="M1918" i="48" s="1"/>
  <c r="M1919" i="48" s="1"/>
  <c r="M1920" i="48" s="1"/>
  <c r="M1921" i="48" s="1"/>
  <c r="M1922" i="48" s="1"/>
  <c r="M1923" i="48" s="1"/>
  <c r="M1924" i="48" s="1"/>
  <c r="M1925" i="48" s="1"/>
  <c r="M1926" i="48" s="1"/>
  <c r="M1927" i="48" s="1"/>
  <c r="M1928" i="48" s="1"/>
  <c r="M1929" i="48" s="1"/>
  <c r="M1930" i="48" s="1"/>
  <c r="M1931" i="48" s="1"/>
  <c r="M1932" i="48" s="1"/>
  <c r="M1933" i="48" s="1"/>
  <c r="M1934" i="48" s="1"/>
  <c r="M1935" i="48" s="1"/>
  <c r="M1936" i="48" s="1"/>
  <c r="M1937" i="48" s="1"/>
  <c r="M1938" i="48" s="1"/>
  <c r="M1939" i="48" s="1"/>
  <c r="M1940" i="48" s="1"/>
  <c r="M1941" i="48" s="1"/>
  <c r="M1942" i="48" s="1"/>
  <c r="M1943" i="48" s="1"/>
  <c r="M1944" i="48" s="1"/>
  <c r="M1945" i="48" s="1"/>
  <c r="M1946" i="48" s="1"/>
  <c r="M1947" i="48" s="1"/>
  <c r="M1948" i="48" s="1"/>
  <c r="M1949" i="48" s="1"/>
  <c r="M1950" i="48" s="1"/>
  <c r="M1951" i="48" s="1"/>
  <c r="M1952" i="48" s="1"/>
  <c r="M1953" i="48" s="1"/>
  <c r="M1954" i="48" s="1"/>
  <c r="M1955" i="48" s="1"/>
  <c r="M1956" i="48" s="1"/>
  <c r="M1957" i="48" s="1"/>
  <c r="M1958" i="48" s="1"/>
  <c r="M1959" i="48" s="1"/>
  <c r="M1960" i="48" s="1"/>
  <c r="M1961" i="48" s="1"/>
  <c r="M1962" i="48" s="1"/>
  <c r="M1963" i="48" s="1"/>
  <c r="M1964" i="48" s="1"/>
  <c r="M1965" i="48" s="1"/>
  <c r="M1966" i="48" s="1"/>
  <c r="M1967" i="48" s="1"/>
  <c r="M1968" i="48" s="1"/>
  <c r="M1969" i="48" s="1"/>
  <c r="M1970" i="48" s="1"/>
  <c r="M1971" i="48" s="1"/>
  <c r="M1972" i="48" s="1"/>
  <c r="M1973" i="48" s="1"/>
  <c r="W70" i="67"/>
  <c r="X70" i="67" s="1"/>
  <c r="E58" i="68"/>
  <c r="E71" i="68"/>
  <c r="E67" i="71"/>
  <c r="G67" i="71" s="1"/>
  <c r="E55" i="72"/>
  <c r="W66" i="91"/>
  <c r="X66" i="91" s="1"/>
  <c r="E54" i="37"/>
  <c r="G54" i="37" s="1"/>
  <c r="E78" i="39"/>
  <c r="V66" i="47"/>
  <c r="F102" i="143"/>
  <c r="N22" i="143" s="1"/>
  <c r="AF96" i="149"/>
  <c r="V324" i="47"/>
  <c r="V308" i="47"/>
  <c r="V300" i="47"/>
  <c r="V299" i="47"/>
  <c r="V226" i="47"/>
  <c r="V193" i="47"/>
  <c r="N333" i="47"/>
  <c r="V333" i="47"/>
  <c r="W40" i="139"/>
  <c r="X40" i="139" s="1"/>
  <c r="Y40" i="139" s="1"/>
  <c r="AF82" i="142"/>
  <c r="V53" i="142"/>
  <c r="J22" i="142"/>
  <c r="AE79" i="143"/>
  <c r="AF73" i="148"/>
  <c r="E102" i="150"/>
  <c r="E106" i="150" s="1"/>
  <c r="V332" i="47"/>
  <c r="W42" i="139"/>
  <c r="X42" i="139" s="1"/>
  <c r="Y42" i="139" s="1"/>
  <c r="AE97" i="142"/>
  <c r="AF97" i="142" s="1"/>
  <c r="AE81" i="142"/>
  <c r="AF81" i="142" s="1"/>
  <c r="AE73" i="142"/>
  <c r="AF73" i="142" s="1"/>
  <c r="AE86" i="143"/>
  <c r="H22" i="149"/>
  <c r="AF94" i="150"/>
  <c r="V123" i="47"/>
  <c r="N336" i="47"/>
  <c r="AE96" i="142"/>
  <c r="AF96" i="142" s="1"/>
  <c r="AE88" i="142"/>
  <c r="AE72" i="142"/>
  <c r="AF72" i="142" s="1"/>
  <c r="AF79" i="142"/>
  <c r="U102" i="142"/>
  <c r="AE102" i="148"/>
  <c r="V263" i="47"/>
  <c r="V247" i="47"/>
  <c r="K52" i="143"/>
  <c r="AE83" i="143"/>
  <c r="N329" i="47"/>
  <c r="AF71" i="142"/>
  <c r="AF97" i="144"/>
  <c r="AF91" i="144"/>
  <c r="AF95" i="144"/>
  <c r="K53" i="144"/>
  <c r="V53" i="144" s="1"/>
  <c r="AF85" i="144"/>
  <c r="AF75" i="144"/>
  <c r="AF79" i="144"/>
  <c r="AF83" i="144"/>
  <c r="AF92" i="144"/>
  <c r="M42" i="144"/>
  <c r="X41" i="144"/>
  <c r="Y41" i="144" s="1"/>
  <c r="X42" i="144"/>
  <c r="Y42" i="144" s="1"/>
  <c r="X40" i="144"/>
  <c r="X33" i="144"/>
  <c r="Y33" i="144" s="1"/>
  <c r="X32" i="144"/>
  <c r="Y32" i="144" s="1"/>
  <c r="X30" i="144"/>
  <c r="Y30" i="144" s="1"/>
  <c r="X28" i="144"/>
  <c r="X29" i="144"/>
  <c r="Y29" i="144" s="1"/>
  <c r="X31" i="144"/>
  <c r="Y31" i="144" s="1"/>
  <c r="Y329" i="47"/>
  <c r="J15" i="144"/>
  <c r="K15" i="144" s="1"/>
  <c r="V329" i="47"/>
  <c r="AF73" i="144"/>
  <c r="AF84" i="144"/>
  <c r="AF87" i="144"/>
  <c r="W103" i="144"/>
  <c r="J17" i="144"/>
  <c r="K17" i="144" s="1"/>
  <c r="L19" i="144" s="1"/>
  <c r="J16" i="144"/>
  <c r="K16" i="144" s="1"/>
  <c r="H72" i="83"/>
  <c r="H61" i="65"/>
  <c r="V33" i="138"/>
  <c r="W32" i="138" s="1"/>
  <c r="X32" i="138" s="1"/>
  <c r="Y32" i="138" s="1"/>
  <c r="H54" i="40"/>
  <c r="H66" i="38"/>
  <c r="H79" i="83"/>
  <c r="AB71" i="124"/>
  <c r="M41" i="52"/>
  <c r="M45" i="52" s="1"/>
  <c r="E33" i="47" s="1"/>
  <c r="L45" i="52"/>
  <c r="H33" i="47" s="1"/>
  <c r="M41" i="54"/>
  <c r="M45" i="54" s="1"/>
  <c r="E35" i="47" s="1"/>
  <c r="F35" i="47" s="1"/>
  <c r="L45" i="54"/>
  <c r="H35" i="47" s="1"/>
  <c r="I35" i="47" s="1"/>
  <c r="X29" i="139"/>
  <c r="Y29" i="139" s="1"/>
  <c r="H78" i="40"/>
  <c r="H74" i="40"/>
  <c r="J49" i="47"/>
  <c r="D50" i="40"/>
  <c r="H50" i="40" s="1"/>
  <c r="D55" i="40"/>
  <c r="D57" i="40"/>
  <c r="H57" i="40" s="1"/>
  <c r="D76" i="40"/>
  <c r="H76" i="40" s="1"/>
  <c r="D56" i="40"/>
  <c r="H56" i="40" s="1"/>
  <c r="D63" i="40"/>
  <c r="D70" i="40"/>
  <c r="H67" i="105"/>
  <c r="D80" i="55"/>
  <c r="D15" i="55" s="1"/>
  <c r="E15" i="55" s="1"/>
  <c r="U38" i="47"/>
  <c r="V38" i="47" s="1"/>
  <c r="X67" i="57"/>
  <c r="M42" i="106"/>
  <c r="O42" i="106"/>
  <c r="X55" i="47"/>
  <c r="P55" i="47"/>
  <c r="Z55" i="47"/>
  <c r="H58" i="83"/>
  <c r="H69" i="65"/>
  <c r="H64" i="38"/>
  <c r="X69" i="37"/>
  <c r="W80" i="37"/>
  <c r="U46" i="47" s="1"/>
  <c r="V46" i="47" s="1"/>
  <c r="M33" i="139"/>
  <c r="H76" i="51"/>
  <c r="H57" i="51"/>
  <c r="H65" i="40"/>
  <c r="H51" i="40"/>
  <c r="Q32" i="80"/>
  <c r="Q35" i="80" s="1"/>
  <c r="X56" i="104"/>
  <c r="Y56" i="104" s="1"/>
  <c r="Y57" i="104" s="1"/>
  <c r="Y58" i="104" s="1"/>
  <c r="Y59" i="104" s="1"/>
  <c r="Y60" i="104" s="1"/>
  <c r="Y61" i="104" s="1"/>
  <c r="Y62" i="104" s="1"/>
  <c r="Y63" i="104" s="1"/>
  <c r="Y64" i="104" s="1"/>
  <c r="Y65" i="104" s="1"/>
  <c r="Y66" i="104" s="1"/>
  <c r="Y67" i="104" s="1"/>
  <c r="Y68" i="104" s="1"/>
  <c r="Y69" i="104" s="1"/>
  <c r="Y70" i="104" s="1"/>
  <c r="Y71" i="104" s="1"/>
  <c r="Y72" i="104" s="1"/>
  <c r="Y73" i="104" s="1"/>
  <c r="Y74" i="104" s="1"/>
  <c r="Y75" i="104" s="1"/>
  <c r="Y76" i="104" s="1"/>
  <c r="Y77" i="104" s="1"/>
  <c r="Y78" i="104" s="1"/>
  <c r="Y79" i="104" s="1"/>
  <c r="W80" i="104"/>
  <c r="U62" i="47" s="1"/>
  <c r="V62" i="47" s="1"/>
  <c r="X55" i="41"/>
  <c r="W80" i="41"/>
  <c r="U50" i="47" s="1"/>
  <c r="V50" i="47" s="1"/>
  <c r="H49" i="82"/>
  <c r="H50" i="60"/>
  <c r="D67" i="80"/>
  <c r="D57" i="80"/>
  <c r="D53" i="80"/>
  <c r="D50" i="80"/>
  <c r="G60" i="74"/>
  <c r="H58" i="43"/>
  <c r="I99" i="139"/>
  <c r="H72" i="84"/>
  <c r="E80" i="52"/>
  <c r="M24" i="52" s="1"/>
  <c r="Q33" i="47" s="1"/>
  <c r="Z33" i="47" s="1"/>
  <c r="H58" i="55"/>
  <c r="H63" i="105"/>
  <c r="H53" i="82"/>
  <c r="H67" i="54"/>
  <c r="H62" i="60"/>
  <c r="G79" i="69"/>
  <c r="H79" i="69" s="1"/>
  <c r="K33" i="73"/>
  <c r="L33" i="73" s="1"/>
  <c r="M33" i="73" s="1"/>
  <c r="K30" i="73"/>
  <c r="L30" i="73" s="1"/>
  <c r="M30" i="73" s="1"/>
  <c r="H54" i="55"/>
  <c r="J73" i="47"/>
  <c r="D82" i="132"/>
  <c r="I82" i="132" s="1"/>
  <c r="D79" i="132"/>
  <c r="I79" i="132" s="1"/>
  <c r="D80" i="132"/>
  <c r="I80" i="132" s="1"/>
  <c r="X55" i="52"/>
  <c r="H61" i="71"/>
  <c r="H50" i="51"/>
  <c r="Y60" i="106"/>
  <c r="Y61" i="106" s="1"/>
  <c r="Y62" i="106" s="1"/>
  <c r="Y63" i="106" s="1"/>
  <c r="Y64" i="106" s="1"/>
  <c r="Y65" i="106" s="1"/>
  <c r="Y66" i="106" s="1"/>
  <c r="Y67" i="106" s="1"/>
  <c r="Y68" i="106" s="1"/>
  <c r="Y69" i="106" s="1"/>
  <c r="Y70" i="106" s="1"/>
  <c r="Y71" i="106" s="1"/>
  <c r="Y72" i="106" s="1"/>
  <c r="Y73" i="106" s="1"/>
  <c r="Y74" i="106" s="1"/>
  <c r="Y75" i="106" s="1"/>
  <c r="Y76" i="106" s="1"/>
  <c r="Y77" i="106" s="1"/>
  <c r="Y78" i="106" s="1"/>
  <c r="Y79" i="106" s="1"/>
  <c r="G62" i="45"/>
  <c r="H62" i="45" s="1"/>
  <c r="G56" i="45"/>
  <c r="G72" i="45"/>
  <c r="H72" i="45" s="1"/>
  <c r="G73" i="45"/>
  <c r="H73" i="45" s="1"/>
  <c r="D59" i="45"/>
  <c r="H59" i="45" s="1"/>
  <c r="D54" i="45"/>
  <c r="H54" i="45" s="1"/>
  <c r="D61" i="45"/>
  <c r="H61" i="45" s="1"/>
  <c r="H71" i="83"/>
  <c r="G39" i="47"/>
  <c r="H75" i="34"/>
  <c r="H59" i="82"/>
  <c r="H55" i="80"/>
  <c r="T105" i="134"/>
  <c r="H53" i="55"/>
  <c r="H56" i="71"/>
  <c r="H66" i="71"/>
  <c r="H71" i="82"/>
  <c r="H63" i="60"/>
  <c r="M35" i="106"/>
  <c r="AC71" i="134"/>
  <c r="AB102" i="134"/>
  <c r="I75" i="139"/>
  <c r="H66" i="34"/>
  <c r="H55" i="65"/>
  <c r="H67" i="65"/>
  <c r="Y58" i="83"/>
  <c r="Y59" i="83" s="1"/>
  <c r="Y60" i="83" s="1"/>
  <c r="Y61" i="83" s="1"/>
  <c r="Y62" i="83" s="1"/>
  <c r="Y63" i="83" s="1"/>
  <c r="Y64" i="83" s="1"/>
  <c r="Y65" i="83" s="1"/>
  <c r="H71" i="55"/>
  <c r="H63" i="54"/>
  <c r="Y44" i="138"/>
  <c r="AA103" i="139"/>
  <c r="M35" i="56"/>
  <c r="D37" i="47" s="1"/>
  <c r="G63" i="63"/>
  <c r="H63" i="63" s="1"/>
  <c r="G79" i="63"/>
  <c r="H79" i="63" s="1"/>
  <c r="H60" i="43"/>
  <c r="I89" i="139"/>
  <c r="L45" i="41"/>
  <c r="H50" i="47" s="1"/>
  <c r="I50" i="47" s="1"/>
  <c r="H66" i="60"/>
  <c r="D66" i="65"/>
  <c r="H66" i="65" s="1"/>
  <c r="D60" i="65"/>
  <c r="H60" i="65" s="1"/>
  <c r="V51" i="138"/>
  <c r="K54" i="138"/>
  <c r="K55" i="138" s="1"/>
  <c r="T106" i="138"/>
  <c r="M41" i="75"/>
  <c r="M45" i="75" s="1"/>
  <c r="G66" i="45"/>
  <c r="H66" i="45" s="1"/>
  <c r="G71" i="45"/>
  <c r="H71" i="45" s="1"/>
  <c r="G70" i="45"/>
  <c r="H70" i="45" s="1"/>
  <c r="G78" i="45"/>
  <c r="H78" i="45" s="1"/>
  <c r="D77" i="45"/>
  <c r="H77" i="45" s="1"/>
  <c r="D57" i="45"/>
  <c r="H57" i="45" s="1"/>
  <c r="M45" i="67"/>
  <c r="E21" i="47" s="1"/>
  <c r="H51" i="76"/>
  <c r="X44" i="138"/>
  <c r="G106" i="49"/>
  <c r="Q44" i="109"/>
  <c r="H74" i="55"/>
  <c r="H72" i="71"/>
  <c r="H68" i="71"/>
  <c r="H55" i="82"/>
  <c r="I23" i="47"/>
  <c r="O35" i="106"/>
  <c r="D64" i="47" s="1"/>
  <c r="Q30" i="106"/>
  <c r="G55" i="105"/>
  <c r="G50" i="105"/>
  <c r="H50" i="105" s="1"/>
  <c r="G59" i="105"/>
  <c r="G70" i="105"/>
  <c r="H70" i="105" s="1"/>
  <c r="G49" i="105"/>
  <c r="H49" i="105" s="1"/>
  <c r="X52" i="39"/>
  <c r="W80" i="39"/>
  <c r="U48" i="47" s="1"/>
  <c r="V48" i="47" s="1"/>
  <c r="H59" i="71"/>
  <c r="H75" i="71"/>
  <c r="W79" i="34"/>
  <c r="U43" i="47" s="1"/>
  <c r="J41" i="43"/>
  <c r="L41" i="43" s="1"/>
  <c r="J42" i="43"/>
  <c r="L42" i="43" s="1"/>
  <c r="M42" i="43" s="1"/>
  <c r="D53" i="105"/>
  <c r="H53" i="105" s="1"/>
  <c r="D56" i="105"/>
  <c r="H56" i="105" s="1"/>
  <c r="D55" i="105"/>
  <c r="D77" i="105"/>
  <c r="H77" i="105" s="1"/>
  <c r="H65" i="71"/>
  <c r="H75" i="84"/>
  <c r="G49" i="49"/>
  <c r="H53" i="71"/>
  <c r="H73" i="71"/>
  <c r="H69" i="82"/>
  <c r="G78" i="82"/>
  <c r="H78" i="82" s="1"/>
  <c r="H58" i="60"/>
  <c r="G63" i="76"/>
  <c r="H76" i="50"/>
  <c r="H69" i="59"/>
  <c r="W80" i="81"/>
  <c r="U58" i="47" s="1"/>
  <c r="V58" i="47" s="1"/>
  <c r="G80" i="91"/>
  <c r="G63" i="111"/>
  <c r="H63" i="111" s="1"/>
  <c r="H65" i="60"/>
  <c r="H64" i="36"/>
  <c r="H51" i="60"/>
  <c r="H78" i="50"/>
  <c r="X44" i="134"/>
  <c r="X80" i="104"/>
  <c r="N33" i="132"/>
  <c r="Y50" i="52"/>
  <c r="Y51" i="52" s="1"/>
  <c r="Y52" i="52" s="1"/>
  <c r="H61" i="62"/>
  <c r="H79" i="84"/>
  <c r="I80" i="139"/>
  <c r="M33" i="132"/>
  <c r="G73" i="47" s="1"/>
  <c r="G83" i="49"/>
  <c r="H61" i="91"/>
  <c r="L35" i="76"/>
  <c r="I74" i="133"/>
  <c r="I40" i="65"/>
  <c r="K40" i="65" s="1"/>
  <c r="L40" i="65" s="1"/>
  <c r="L44" i="65" s="1"/>
  <c r="E19" i="47" s="1"/>
  <c r="H78" i="111"/>
  <c r="H52" i="72"/>
  <c r="H62" i="112"/>
  <c r="H61" i="112"/>
  <c r="G20" i="49"/>
  <c r="L45" i="80"/>
  <c r="M43" i="80"/>
  <c r="Q43" i="80" s="1"/>
  <c r="J43" i="73"/>
  <c r="L43" i="73" s="1"/>
  <c r="M43" i="73" s="1"/>
  <c r="H78" i="109"/>
  <c r="M35" i="27"/>
  <c r="M18" i="27"/>
  <c r="K34" i="63"/>
  <c r="H24" i="81"/>
  <c r="I24" i="81"/>
  <c r="G51" i="81" s="1"/>
  <c r="H67" i="59"/>
  <c r="E80" i="82"/>
  <c r="M24" i="82" s="1"/>
  <c r="Q60" i="47" s="1"/>
  <c r="H76" i="72"/>
  <c r="K34" i="58"/>
  <c r="L34" i="58" s="1"/>
  <c r="M34" i="58" s="1"/>
  <c r="D53" i="72"/>
  <c r="D54" i="84"/>
  <c r="H54" i="84" s="1"/>
  <c r="D78" i="133"/>
  <c r="I78" i="133" s="1"/>
  <c r="M30" i="26"/>
  <c r="M32" i="26" s="1"/>
  <c r="M33" i="26" s="1"/>
  <c r="O35" i="81"/>
  <c r="D58" i="47" s="1"/>
  <c r="H59" i="69"/>
  <c r="D68" i="77"/>
  <c r="H68" i="77" s="1"/>
  <c r="D57" i="77"/>
  <c r="M35" i="11"/>
  <c r="M18" i="11"/>
  <c r="C50" i="39"/>
  <c r="C51" i="39" s="1"/>
  <c r="C52" i="39" s="1"/>
  <c r="C53" i="39" s="1"/>
  <c r="C54" i="39" s="1"/>
  <c r="C55" i="39" s="1"/>
  <c r="C56" i="39" s="1"/>
  <c r="C57" i="39" s="1"/>
  <c r="C58" i="39" s="1"/>
  <c r="C59" i="39" s="1"/>
  <c r="C60" i="39" s="1"/>
  <c r="C61" i="39" s="1"/>
  <c r="C62" i="39" s="1"/>
  <c r="C63" i="39" s="1"/>
  <c r="C64" i="39" s="1"/>
  <c r="C65" i="39" s="1"/>
  <c r="C66" i="39" s="1"/>
  <c r="C67" i="39" s="1"/>
  <c r="C68" i="39" s="1"/>
  <c r="C69" i="39" s="1"/>
  <c r="C70" i="39" s="1"/>
  <c r="C71" i="39" s="1"/>
  <c r="C72" i="39" s="1"/>
  <c r="C73" i="39" s="1"/>
  <c r="C74" i="39" s="1"/>
  <c r="C75" i="39" s="1"/>
  <c r="C76" i="39" s="1"/>
  <c r="C77" i="39" s="1"/>
  <c r="C78" i="39" s="1"/>
  <c r="C47" i="39"/>
  <c r="J41" i="39"/>
  <c r="L41" i="39" s="1"/>
  <c r="E74" i="64"/>
  <c r="G74" i="64" s="1"/>
  <c r="W74" i="64"/>
  <c r="X74" i="64" s="1"/>
  <c r="L35" i="80"/>
  <c r="D49" i="60"/>
  <c r="H49" i="60" s="1"/>
  <c r="D56" i="50"/>
  <c r="H56" i="50" s="1"/>
  <c r="G77" i="106"/>
  <c r="O35" i="83"/>
  <c r="D59" i="47" s="1"/>
  <c r="M33" i="81"/>
  <c r="Q33" i="81" s="1"/>
  <c r="D67" i="112"/>
  <c r="D63" i="112"/>
  <c r="H63" i="112" s="1"/>
  <c r="D68" i="112"/>
  <c r="D76" i="112"/>
  <c r="H76" i="112" s="1"/>
  <c r="D75" i="112"/>
  <c r="D77" i="112"/>
  <c r="H77" i="112" s="1"/>
  <c r="D66" i="112"/>
  <c r="H66" i="112" s="1"/>
  <c r="D59" i="112"/>
  <c r="H59" i="112" s="1"/>
  <c r="D64" i="112"/>
  <c r="H64" i="112" s="1"/>
  <c r="D82" i="112"/>
  <c r="H82" i="112" s="1"/>
  <c r="E57" i="62"/>
  <c r="W57" i="62"/>
  <c r="X57" i="62" s="1"/>
  <c r="J43" i="76"/>
  <c r="L43" i="76" s="1"/>
  <c r="D72" i="50"/>
  <c r="H72" i="50" s="1"/>
  <c r="D74" i="111"/>
  <c r="D97" i="133"/>
  <c r="I97" i="133" s="1"/>
  <c r="D63" i="72"/>
  <c r="H63" i="72" s="1"/>
  <c r="D76" i="111"/>
  <c r="H76" i="111" s="1"/>
  <c r="D64" i="72"/>
  <c r="H64" i="72" s="1"/>
  <c r="G76" i="74"/>
  <c r="M28" i="24"/>
  <c r="M35" i="31"/>
  <c r="M18" i="31"/>
  <c r="K30" i="53"/>
  <c r="L30" i="53" s="1"/>
  <c r="M30" i="53" s="1"/>
  <c r="K34" i="53"/>
  <c r="L34" i="53" s="1"/>
  <c r="M34" i="53" s="1"/>
  <c r="K53" i="123"/>
  <c r="L49" i="123" s="1"/>
  <c r="F50" i="49"/>
  <c r="F10" i="66"/>
  <c r="G10" i="66" s="1"/>
  <c r="W75" i="67"/>
  <c r="X75" i="67" s="1"/>
  <c r="E75" i="67"/>
  <c r="E59" i="70"/>
  <c r="G59" i="70" s="1"/>
  <c r="W59" i="70"/>
  <c r="E61" i="70"/>
  <c r="W61" i="70"/>
  <c r="X61" i="70" s="1"/>
  <c r="K33" i="74"/>
  <c r="L33" i="74" s="1"/>
  <c r="M33" i="74" s="1"/>
  <c r="K31" i="74"/>
  <c r="G74" i="54"/>
  <c r="H74" i="54" s="1"/>
  <c r="H61" i="72"/>
  <c r="D62" i="50"/>
  <c r="Y51" i="82"/>
  <c r="Y52" i="82" s="1"/>
  <c r="Y53" i="82" s="1"/>
  <c r="Y54" i="82" s="1"/>
  <c r="Y55" i="82" s="1"/>
  <c r="Y56" i="82" s="1"/>
  <c r="Y57" i="82" s="1"/>
  <c r="Y58" i="82" s="1"/>
  <c r="Y59" i="82" s="1"/>
  <c r="Y60" i="82" s="1"/>
  <c r="Y61" i="82" s="1"/>
  <c r="Y62" i="82" s="1"/>
  <c r="Y63" i="82" s="1"/>
  <c r="Y64" i="82" s="1"/>
  <c r="Y65" i="82" s="1"/>
  <c r="Y66" i="82" s="1"/>
  <c r="Y67" i="82" s="1"/>
  <c r="Y50" i="68"/>
  <c r="Y51" i="68" s="1"/>
  <c r="Y52" i="68" s="1"/>
  <c r="Y53" i="68" s="1"/>
  <c r="Y54" i="68" s="1"/>
  <c r="Y55" i="68" s="1"/>
  <c r="Y50" i="75"/>
  <c r="Y51" i="75" s="1"/>
  <c r="Y52" i="75" s="1"/>
  <c r="Y53" i="75" s="1"/>
  <c r="M35" i="41"/>
  <c r="D50" i="47" s="1"/>
  <c r="F50" i="47" s="1"/>
  <c r="V19" i="47"/>
  <c r="X52" i="124"/>
  <c r="D80" i="112"/>
  <c r="D52" i="64"/>
  <c r="D75" i="64"/>
  <c r="D72" i="64"/>
  <c r="D51" i="64"/>
  <c r="D49" i="64"/>
  <c r="D61" i="64"/>
  <c r="D78" i="64"/>
  <c r="D56" i="64"/>
  <c r="D65" i="64"/>
  <c r="D62" i="64"/>
  <c r="H62" i="64" s="1"/>
  <c r="D55" i="64"/>
  <c r="D73" i="64"/>
  <c r="D67" i="64"/>
  <c r="D74" i="64"/>
  <c r="D54" i="64"/>
  <c r="H54" i="64" s="1"/>
  <c r="D69" i="64"/>
  <c r="M26" i="30"/>
  <c r="E64" i="62"/>
  <c r="F10" i="65"/>
  <c r="G10" i="65" s="1"/>
  <c r="K33" i="65"/>
  <c r="L33" i="65" s="1"/>
  <c r="W48" i="65"/>
  <c r="E48" i="65"/>
  <c r="E51" i="65"/>
  <c r="G51" i="65" s="1"/>
  <c r="W51" i="65"/>
  <c r="X51" i="65" s="1"/>
  <c r="W58" i="67"/>
  <c r="X58" i="67" s="1"/>
  <c r="H54" i="69"/>
  <c r="D66" i="50"/>
  <c r="H66" i="50" s="1"/>
  <c r="Y50" i="53"/>
  <c r="Y51" i="53" s="1"/>
  <c r="Y52" i="53" s="1"/>
  <c r="Y53" i="53" s="1"/>
  <c r="O18" i="47"/>
  <c r="H51" i="109"/>
  <c r="H65" i="109"/>
  <c r="K30" i="51"/>
  <c r="K32" i="51"/>
  <c r="L32" i="51" s="1"/>
  <c r="M32" i="51" s="1"/>
  <c r="W54" i="67"/>
  <c r="W67" i="60"/>
  <c r="X67" i="60" s="1"/>
  <c r="E57" i="63"/>
  <c r="G57" i="63" s="1"/>
  <c r="H57" i="63" s="1"/>
  <c r="E72" i="63"/>
  <c r="G72" i="63" s="1"/>
  <c r="H72" i="63" s="1"/>
  <c r="E58" i="64"/>
  <c r="W49" i="65"/>
  <c r="X49" i="65" s="1"/>
  <c r="W66" i="65"/>
  <c r="E57" i="66"/>
  <c r="E80" i="66" s="1"/>
  <c r="M24" i="66" s="1"/>
  <c r="Q20" i="47" s="1"/>
  <c r="E78" i="68"/>
  <c r="E80" i="68" s="1"/>
  <c r="M24" i="68" s="1"/>
  <c r="Q22" i="47" s="1"/>
  <c r="W66" i="75"/>
  <c r="X66" i="75" s="1"/>
  <c r="Y54" i="47"/>
  <c r="AA54" i="47" s="1"/>
  <c r="N54" i="47"/>
  <c r="Y99" i="124"/>
  <c r="AB99" i="124"/>
  <c r="X67" i="34"/>
  <c r="D60" i="106"/>
  <c r="M35" i="45"/>
  <c r="D54" i="47" s="1"/>
  <c r="I91" i="123"/>
  <c r="W76" i="52"/>
  <c r="X76" i="52" s="1"/>
  <c r="E72" i="53"/>
  <c r="W63" i="57"/>
  <c r="X63" i="57" s="1"/>
  <c r="W67" i="59"/>
  <c r="W72" i="60"/>
  <c r="X72" i="60" s="1"/>
  <c r="E74" i="65"/>
  <c r="G74" i="65" s="1"/>
  <c r="G10" i="73"/>
  <c r="I45" i="36"/>
  <c r="J42" i="36" s="1"/>
  <c r="L42" i="36" s="1"/>
  <c r="E63" i="62"/>
  <c r="G63" i="62" s="1"/>
  <c r="H63" i="62" s="1"/>
  <c r="E67" i="62"/>
  <c r="W71" i="62"/>
  <c r="X71" i="62" s="1"/>
  <c r="W50" i="63"/>
  <c r="X50" i="63" s="1"/>
  <c r="Y50" i="63" s="1"/>
  <c r="W52" i="63"/>
  <c r="X52" i="63" s="1"/>
  <c r="W56" i="63"/>
  <c r="X56" i="63" s="1"/>
  <c r="G62" i="50"/>
  <c r="I55" i="47"/>
  <c r="M26" i="19"/>
  <c r="M26" i="20"/>
  <c r="M26" i="21"/>
  <c r="G10" i="53"/>
  <c r="G11" i="54"/>
  <c r="E72" i="54"/>
  <c r="W74" i="58"/>
  <c r="X74" i="58" s="1"/>
  <c r="W65" i="60"/>
  <c r="X65" i="60" s="1"/>
  <c r="W62" i="62"/>
  <c r="X62" i="62" s="1"/>
  <c r="E75" i="62"/>
  <c r="W62" i="65"/>
  <c r="X62" i="65" s="1"/>
  <c r="W54" i="72"/>
  <c r="X54" i="72" s="1"/>
  <c r="V75" i="47"/>
  <c r="X52" i="64"/>
  <c r="D66" i="106"/>
  <c r="G70" i="109"/>
  <c r="H70" i="109" s="1"/>
  <c r="G61" i="111"/>
  <c r="L30" i="64"/>
  <c r="M30" i="64" s="1"/>
  <c r="I65" i="47"/>
  <c r="M26" i="15"/>
  <c r="M30" i="15" s="1"/>
  <c r="M32" i="15" s="1"/>
  <c r="M33" i="15" s="1"/>
  <c r="W76" i="53"/>
  <c r="X76" i="53" s="1"/>
  <c r="W55" i="54"/>
  <c r="E79" i="54"/>
  <c r="G79" i="54" s="1"/>
  <c r="E50" i="59"/>
  <c r="G50" i="59" s="1"/>
  <c r="H50" i="59" s="1"/>
  <c r="W60" i="61"/>
  <c r="W61" i="63"/>
  <c r="X61" i="63" s="1"/>
  <c r="E69" i="64"/>
  <c r="G69" i="64" s="1"/>
  <c r="W62" i="72"/>
  <c r="X62" i="72" s="1"/>
  <c r="G10" i="75"/>
  <c r="G11" i="41"/>
  <c r="X54" i="53"/>
  <c r="W50" i="58"/>
  <c r="X50" i="58" s="1"/>
  <c r="Y50" i="58" s="1"/>
  <c r="Y51" i="58" s="1"/>
  <c r="Y52" i="58" s="1"/>
  <c r="Y53" i="58" s="1"/>
  <c r="Y54" i="58" s="1"/>
  <c r="E58" i="62"/>
  <c r="G58" i="62" s="1"/>
  <c r="H58" i="62" s="1"/>
  <c r="W73" i="62"/>
  <c r="X73" i="62" s="1"/>
  <c r="I45" i="63"/>
  <c r="E70" i="65"/>
  <c r="W63" i="71"/>
  <c r="X63" i="71" s="1"/>
  <c r="W70" i="72"/>
  <c r="X70" i="72" s="1"/>
  <c r="W55" i="74"/>
  <c r="X55" i="74" s="1"/>
  <c r="I63" i="47"/>
  <c r="K30" i="65"/>
  <c r="W61" i="52"/>
  <c r="X61" i="52" s="1"/>
  <c r="W68" i="53"/>
  <c r="X68" i="53" s="1"/>
  <c r="W76" i="58"/>
  <c r="X76" i="58" s="1"/>
  <c r="E53" i="59"/>
  <c r="W65" i="62"/>
  <c r="X65" i="62" s="1"/>
  <c r="E69" i="62"/>
  <c r="G69" i="62" s="1"/>
  <c r="H69" i="62" s="1"/>
  <c r="E49" i="63"/>
  <c r="G49" i="63" s="1"/>
  <c r="E51" i="63"/>
  <c r="W49" i="66"/>
  <c r="W58" i="69"/>
  <c r="X58" i="69" s="1"/>
  <c r="Y58" i="69" s="1"/>
  <c r="Y59" i="69" s="1"/>
  <c r="Y60" i="69" s="1"/>
  <c r="Y61" i="69" s="1"/>
  <c r="Y62" i="69" s="1"/>
  <c r="Y63" i="69" s="1"/>
  <c r="Y64" i="69" s="1"/>
  <c r="Y65" i="69" s="1"/>
  <c r="Y66" i="69" s="1"/>
  <c r="Y67" i="69" s="1"/>
  <c r="Y68" i="69" s="1"/>
  <c r="Y69" i="69" s="1"/>
  <c r="Y70" i="69" s="1"/>
  <c r="Y71" i="69" s="1"/>
  <c r="Y72" i="69" s="1"/>
  <c r="Y73" i="69" s="1"/>
  <c r="Y74" i="69" s="1"/>
  <c r="Y75" i="69" s="1"/>
  <c r="E74" i="69"/>
  <c r="E80" i="69" s="1"/>
  <c r="M24" i="69" s="1"/>
  <c r="Q23" i="47" s="1"/>
  <c r="W75" i="91"/>
  <c r="X75" i="91" s="1"/>
  <c r="E70" i="37"/>
  <c r="G70" i="37" s="1"/>
  <c r="E75" i="38"/>
  <c r="G75" i="38" s="1"/>
  <c r="E70" i="39"/>
  <c r="W59" i="91"/>
  <c r="E67" i="38"/>
  <c r="G67" i="38" s="1"/>
  <c r="X51" i="38"/>
  <c r="E59" i="40"/>
  <c r="D79" i="148"/>
  <c r="D80" i="148"/>
  <c r="AA81" i="133"/>
  <c r="N55" i="47"/>
  <c r="N61" i="47"/>
  <c r="W105" i="147"/>
  <c r="H76" i="148"/>
  <c r="H87" i="148"/>
  <c r="H92" i="148"/>
  <c r="H72" i="148"/>
  <c r="H80" i="148"/>
  <c r="H95" i="148"/>
  <c r="H71" i="148"/>
  <c r="H84" i="148"/>
  <c r="H99" i="148"/>
  <c r="E74" i="37"/>
  <c r="G74" i="37" s="1"/>
  <c r="H74" i="37" s="1"/>
  <c r="N66" i="47"/>
  <c r="AA99" i="123"/>
  <c r="AB99" i="123" s="1"/>
  <c r="E58" i="37"/>
  <c r="E79" i="38"/>
  <c r="G79" i="38" s="1"/>
  <c r="E58" i="39"/>
  <c r="N44" i="47"/>
  <c r="X58" i="91"/>
  <c r="Y58" i="91" s="1"/>
  <c r="H84" i="143"/>
  <c r="I84" i="143" s="1"/>
  <c r="H96" i="143"/>
  <c r="I96" i="143" s="1"/>
  <c r="AB95" i="124"/>
  <c r="N58" i="47"/>
  <c r="N57" i="47"/>
  <c r="AE102" i="144"/>
  <c r="AF79" i="148"/>
  <c r="AF85" i="148"/>
  <c r="H80" i="151"/>
  <c r="H83" i="151"/>
  <c r="H73" i="151"/>
  <c r="H95" i="151"/>
  <c r="H90" i="152"/>
  <c r="I90" i="152" s="1"/>
  <c r="H71" i="152"/>
  <c r="H97" i="152"/>
  <c r="AE101" i="143"/>
  <c r="AF77" i="144"/>
  <c r="AC77" i="144"/>
  <c r="H72" i="149"/>
  <c r="H92" i="149"/>
  <c r="AF78" i="149"/>
  <c r="AF84" i="149"/>
  <c r="D72" i="149"/>
  <c r="H73" i="152"/>
  <c r="I73" i="152" s="1"/>
  <c r="H91" i="152"/>
  <c r="I91" i="152" s="1"/>
  <c r="H77" i="153"/>
  <c r="AC75" i="149"/>
  <c r="AF75" i="149"/>
  <c r="AF73" i="150"/>
  <c r="AC73" i="150"/>
  <c r="AF89" i="150"/>
  <c r="AC89" i="150"/>
  <c r="AC83" i="149"/>
  <c r="AF83" i="149"/>
  <c r="D97" i="152"/>
  <c r="D71" i="152"/>
  <c r="D86" i="152"/>
  <c r="D99" i="152"/>
  <c r="D79" i="152"/>
  <c r="D95" i="152"/>
  <c r="D84" i="152"/>
  <c r="D77" i="152"/>
  <c r="D93" i="152"/>
  <c r="H98" i="142"/>
  <c r="H100" i="142"/>
  <c r="I100" i="142" s="1"/>
  <c r="H88" i="142"/>
  <c r="D84" i="149"/>
  <c r="D91" i="146"/>
  <c r="D89" i="146"/>
  <c r="D80" i="146"/>
  <c r="H89" i="152"/>
  <c r="H80" i="152"/>
  <c r="I80" i="152" s="1"/>
  <c r="H82" i="152"/>
  <c r="I82" i="152" s="1"/>
  <c r="AF81" i="144"/>
  <c r="AE97" i="143"/>
  <c r="H22" i="144"/>
  <c r="D71" i="144" s="1"/>
  <c r="E102" i="144"/>
  <c r="E106" i="144" s="1"/>
  <c r="F106" i="144" s="1"/>
  <c r="V103" i="149"/>
  <c r="AD102" i="149"/>
  <c r="D89" i="149"/>
  <c r="I89" i="149" s="1"/>
  <c r="H85" i="152"/>
  <c r="I85" i="152" s="1"/>
  <c r="H96" i="152"/>
  <c r="I96" i="152" s="1"/>
  <c r="AE91" i="143"/>
  <c r="E102" i="142"/>
  <c r="E106" i="142" s="1"/>
  <c r="F106" i="142" s="1"/>
  <c r="E102" i="143"/>
  <c r="E106" i="143" s="1"/>
  <c r="F106" i="143" s="1"/>
  <c r="AF94" i="149"/>
  <c r="AF100" i="149"/>
  <c r="AC99" i="150"/>
  <c r="AF99" i="150"/>
  <c r="H81" i="152"/>
  <c r="I81" i="152" s="1"/>
  <c r="H78" i="152"/>
  <c r="I78" i="152" s="1"/>
  <c r="H94" i="152"/>
  <c r="I94" i="152" s="1"/>
  <c r="H101" i="152"/>
  <c r="I101" i="152" s="1"/>
  <c r="H87" i="152"/>
  <c r="I87" i="152" s="1"/>
  <c r="H76" i="152"/>
  <c r="I76" i="152" s="1"/>
  <c r="H92" i="152"/>
  <c r="I92" i="152" s="1"/>
  <c r="AE85" i="143"/>
  <c r="AF93" i="144"/>
  <c r="AC93" i="144"/>
  <c r="AC96" i="150"/>
  <c r="AF96" i="150"/>
  <c r="D94" i="153"/>
  <c r="D83" i="153"/>
  <c r="AF87" i="148"/>
  <c r="H22" i="147"/>
  <c r="J332" i="47" s="1"/>
  <c r="E102" i="146"/>
  <c r="E106" i="146" s="1"/>
  <c r="AF77" i="148"/>
  <c r="AF93" i="148"/>
  <c r="W103" i="148"/>
  <c r="AF92" i="149"/>
  <c r="AC94" i="150"/>
  <c r="Y331" i="47"/>
  <c r="N331" i="47"/>
  <c r="E102" i="149"/>
  <c r="E106" i="149" s="1"/>
  <c r="V334" i="47"/>
  <c r="Y338" i="47"/>
  <c r="N338" i="47"/>
  <c r="AF74" i="150"/>
  <c r="H22" i="150"/>
  <c r="F102" i="144"/>
  <c r="M22" i="144" s="1"/>
  <c r="F102" i="146"/>
  <c r="N22" i="146" s="1"/>
  <c r="AF91" i="148"/>
  <c r="AF80" i="149"/>
  <c r="N332" i="47"/>
  <c r="N28" i="47"/>
  <c r="Y28" i="47"/>
  <c r="N335" i="47"/>
  <c r="N22" i="47"/>
  <c r="Y22" i="47"/>
  <c r="V148" i="47"/>
  <c r="V335" i="47"/>
  <c r="V15" i="47"/>
  <c r="W15" i="47" s="1"/>
  <c r="W16" i="47" s="1"/>
  <c r="W17" i="47" s="1"/>
  <c r="AF74" i="142"/>
  <c r="AF93" i="142"/>
  <c r="N37" i="47"/>
  <c r="Z102" i="142"/>
  <c r="AC98" i="142"/>
  <c r="R102" i="143"/>
  <c r="M29" i="143"/>
  <c r="N29" i="143" s="1"/>
  <c r="N31" i="47"/>
  <c r="AD102" i="142"/>
  <c r="AE100" i="142"/>
  <c r="AF100" i="142" s="1"/>
  <c r="AE84" i="142"/>
  <c r="AF84" i="142" s="1"/>
  <c r="AE76" i="142"/>
  <c r="AE99" i="142"/>
  <c r="AF99" i="142" s="1"/>
  <c r="AE91" i="142"/>
  <c r="AF91" i="142" s="1"/>
  <c r="AE83" i="142"/>
  <c r="AF83" i="142" s="1"/>
  <c r="AC96" i="142"/>
  <c r="V34" i="142"/>
  <c r="U103" i="143"/>
  <c r="V49" i="143" s="1"/>
  <c r="H56" i="154"/>
  <c r="AL80" i="73"/>
  <c r="Y80" i="73"/>
  <c r="Y80" i="76"/>
  <c r="AL80" i="76"/>
  <c r="Y38" i="110"/>
  <c r="M54" i="134"/>
  <c r="H75" i="47" s="1"/>
  <c r="M35" i="77"/>
  <c r="Q31" i="77"/>
  <c r="O45" i="81"/>
  <c r="E58" i="47" s="1"/>
  <c r="Q44" i="81"/>
  <c r="I73" i="140"/>
  <c r="X65" i="71"/>
  <c r="H55" i="71"/>
  <c r="I24" i="68"/>
  <c r="H24" i="68"/>
  <c r="AC102" i="133"/>
  <c r="AC72" i="133"/>
  <c r="AC73" i="133" s="1"/>
  <c r="AC74" i="133" s="1"/>
  <c r="AC75" i="133" s="1"/>
  <c r="AC76" i="133" s="1"/>
  <c r="AC77" i="133" s="1"/>
  <c r="AC78" i="133" s="1"/>
  <c r="AC79" i="133" s="1"/>
  <c r="AC80" i="133" s="1"/>
  <c r="K11" i="49"/>
  <c r="G11" i="49"/>
  <c r="N31" i="139"/>
  <c r="N33" i="139" s="1"/>
  <c r="L35" i="67"/>
  <c r="G21" i="47" s="1"/>
  <c r="M45" i="38"/>
  <c r="E47" i="47" s="1"/>
  <c r="F47" i="47" s="1"/>
  <c r="H56" i="76"/>
  <c r="P69" i="47"/>
  <c r="Z69" i="47"/>
  <c r="X69" i="47"/>
  <c r="L45" i="67"/>
  <c r="H21" i="47" s="1"/>
  <c r="E10" i="62"/>
  <c r="E15" i="62"/>
  <c r="G80" i="43"/>
  <c r="D16" i="43" s="1"/>
  <c r="E16" i="43" s="1"/>
  <c r="H63" i="43"/>
  <c r="L45" i="77"/>
  <c r="N37" i="91"/>
  <c r="M41" i="91"/>
  <c r="H67" i="47" s="1"/>
  <c r="I67" i="47" s="1"/>
  <c r="L35" i="83"/>
  <c r="M32" i="83"/>
  <c r="W80" i="36"/>
  <c r="U45" i="47" s="1"/>
  <c r="V45" i="47" s="1"/>
  <c r="X50" i="36"/>
  <c r="X66" i="83"/>
  <c r="X80" i="83" s="1"/>
  <c r="W80" i="83"/>
  <c r="U59" i="47" s="1"/>
  <c r="V59" i="47" s="1"/>
  <c r="X76" i="74"/>
  <c r="X58" i="53"/>
  <c r="Y51" i="55"/>
  <c r="Y52" i="55" s="1"/>
  <c r="Y53" i="55" s="1"/>
  <c r="Y54" i="55" s="1"/>
  <c r="Y55" i="55" s="1"/>
  <c r="Y56" i="55" s="1"/>
  <c r="Y57" i="55" s="1"/>
  <c r="Y58" i="55" s="1"/>
  <c r="Y59" i="55" s="1"/>
  <c r="Y60" i="55" s="1"/>
  <c r="Y61" i="55" s="1"/>
  <c r="Y62" i="55" s="1"/>
  <c r="Y63" i="55" s="1"/>
  <c r="Y64" i="55" s="1"/>
  <c r="Y65" i="55" s="1"/>
  <c r="Y66" i="55" s="1"/>
  <c r="Y67" i="55" s="1"/>
  <c r="Y68" i="55" s="1"/>
  <c r="Y69" i="55" s="1"/>
  <c r="Y70" i="55" s="1"/>
  <c r="Y71" i="55" s="1"/>
  <c r="Y72" i="55" s="1"/>
  <c r="Y73" i="55" s="1"/>
  <c r="Y74" i="55" s="1"/>
  <c r="Y75" i="55" s="1"/>
  <c r="Y76" i="55" s="1"/>
  <c r="Y77" i="55" s="1"/>
  <c r="Y78" i="55" s="1"/>
  <c r="Y80" i="55" s="1"/>
  <c r="X80" i="55"/>
  <c r="G65" i="50"/>
  <c r="H65" i="50" s="1"/>
  <c r="D80" i="51"/>
  <c r="D15" i="51" s="1"/>
  <c r="E15" i="51" s="1"/>
  <c r="M35" i="67"/>
  <c r="D21" i="47" s="1"/>
  <c r="F21" i="47" s="1"/>
  <c r="D89" i="110"/>
  <c r="E92" i="110" s="1"/>
  <c r="K35" i="67"/>
  <c r="Z61" i="47"/>
  <c r="P61" i="47"/>
  <c r="W32" i="139"/>
  <c r="X32" i="139" s="1"/>
  <c r="Y32" i="139" s="1"/>
  <c r="W28" i="139"/>
  <c r="W30" i="139"/>
  <c r="H65" i="82"/>
  <c r="M44" i="132"/>
  <c r="N40" i="132"/>
  <c r="N44" i="132" s="1"/>
  <c r="H49" i="65"/>
  <c r="AD75" i="138"/>
  <c r="Q41" i="77"/>
  <c r="Q45" i="77" s="1"/>
  <c r="M44" i="43"/>
  <c r="M42" i="105"/>
  <c r="H48" i="50"/>
  <c r="P66" i="47"/>
  <c r="Z66" i="47"/>
  <c r="X65" i="47"/>
  <c r="Z65" i="47"/>
  <c r="H102" i="134"/>
  <c r="E107" i="134" s="1"/>
  <c r="F107" i="134" s="1"/>
  <c r="AC76" i="138"/>
  <c r="AB103" i="138"/>
  <c r="I71" i="134"/>
  <c r="X62" i="110"/>
  <c r="X89" i="110" s="1"/>
  <c r="W89" i="110"/>
  <c r="U68" i="47" s="1"/>
  <c r="V68" i="47" s="1"/>
  <c r="I77" i="133"/>
  <c r="D102" i="133"/>
  <c r="E105" i="133" s="1"/>
  <c r="F105" i="133" s="1"/>
  <c r="X57" i="77"/>
  <c r="X80" i="77" s="1"/>
  <c r="W80" i="77"/>
  <c r="U56" i="47" s="1"/>
  <c r="V56" i="47" s="1"/>
  <c r="X68" i="82"/>
  <c r="X80" i="82" s="1"/>
  <c r="W80" i="82"/>
  <c r="U60" i="47" s="1"/>
  <c r="V60" i="47" s="1"/>
  <c r="X44" i="132"/>
  <c r="Y41" i="132"/>
  <c r="Y44" i="132" s="1"/>
  <c r="H69" i="105"/>
  <c r="I90" i="132"/>
  <c r="J20" i="47"/>
  <c r="D70" i="66"/>
  <c r="D57" i="66"/>
  <c r="D76" i="66"/>
  <c r="H76" i="66" s="1"/>
  <c r="D60" i="66"/>
  <c r="H60" i="66" s="1"/>
  <c r="D49" i="66"/>
  <c r="D64" i="66"/>
  <c r="D66" i="66"/>
  <c r="D54" i="66"/>
  <c r="D77" i="66"/>
  <c r="H77" i="66" s="1"/>
  <c r="D62" i="66"/>
  <c r="H62" i="66" s="1"/>
  <c r="D59" i="66"/>
  <c r="D74" i="66"/>
  <c r="D72" i="66"/>
  <c r="H72" i="66" s="1"/>
  <c r="D75" i="66"/>
  <c r="H75" i="66" s="1"/>
  <c r="M41" i="64"/>
  <c r="M45" i="64" s="1"/>
  <c r="E18" i="47" s="1"/>
  <c r="L45" i="64"/>
  <c r="H18" i="47" s="1"/>
  <c r="M41" i="66"/>
  <c r="M45" i="66" s="1"/>
  <c r="L45" i="66"/>
  <c r="H20" i="47" s="1"/>
  <c r="D60" i="76"/>
  <c r="H60" i="76" s="1"/>
  <c r="D62" i="76"/>
  <c r="H62" i="76" s="1"/>
  <c r="D55" i="76"/>
  <c r="H55" i="76" s="1"/>
  <c r="D49" i="76"/>
  <c r="D68" i="76"/>
  <c r="H68" i="76" s="1"/>
  <c r="D63" i="76"/>
  <c r="D79" i="76"/>
  <c r="H79" i="76" s="1"/>
  <c r="D65" i="76"/>
  <c r="H65" i="76" s="1"/>
  <c r="D71" i="76"/>
  <c r="H71" i="76" s="1"/>
  <c r="D70" i="76"/>
  <c r="H70" i="76" s="1"/>
  <c r="D76" i="76"/>
  <c r="H76" i="76" s="1"/>
  <c r="X59" i="47"/>
  <c r="P59" i="47"/>
  <c r="Z59" i="47"/>
  <c r="M35" i="105"/>
  <c r="Q30" i="105"/>
  <c r="Q35" i="105" s="1"/>
  <c r="V51" i="132"/>
  <c r="K51" i="132"/>
  <c r="X56" i="35"/>
  <c r="X80" i="35" s="1"/>
  <c r="W80" i="35"/>
  <c r="U44" i="47" s="1"/>
  <c r="V44" i="47" s="1"/>
  <c r="D72" i="138"/>
  <c r="D82" i="138"/>
  <c r="I82" i="138" s="1"/>
  <c r="D85" i="138"/>
  <c r="I85" i="138" s="1"/>
  <c r="D97" i="138"/>
  <c r="I97" i="138" s="1"/>
  <c r="D79" i="138"/>
  <c r="I79" i="138" s="1"/>
  <c r="D78" i="138"/>
  <c r="I78" i="138" s="1"/>
  <c r="D89" i="138"/>
  <c r="I89" i="138" s="1"/>
  <c r="D87" i="138"/>
  <c r="I87" i="138" s="1"/>
  <c r="D80" i="138"/>
  <c r="I80" i="138" s="1"/>
  <c r="D91" i="138"/>
  <c r="I91" i="138" s="1"/>
  <c r="D84" i="138"/>
  <c r="I84" i="138" s="1"/>
  <c r="D95" i="138"/>
  <c r="I95" i="138" s="1"/>
  <c r="D99" i="138"/>
  <c r="I99" i="138" s="1"/>
  <c r="D77" i="138"/>
  <c r="I77" i="138" s="1"/>
  <c r="D101" i="138"/>
  <c r="I101" i="138" s="1"/>
  <c r="D92" i="138"/>
  <c r="I92" i="138" s="1"/>
  <c r="D94" i="138"/>
  <c r="I94" i="138" s="1"/>
  <c r="D100" i="138"/>
  <c r="I100" i="138" s="1"/>
  <c r="D96" i="138"/>
  <c r="I96" i="138" s="1"/>
  <c r="D74" i="138"/>
  <c r="I74" i="138" s="1"/>
  <c r="D77" i="134"/>
  <c r="I77" i="134" s="1"/>
  <c r="D83" i="134"/>
  <c r="I83" i="134" s="1"/>
  <c r="D98" i="134"/>
  <c r="I98" i="134" s="1"/>
  <c r="D79" i="134"/>
  <c r="I79" i="134" s="1"/>
  <c r="D80" i="134"/>
  <c r="I80" i="134" s="1"/>
  <c r="D86" i="134"/>
  <c r="I86" i="134" s="1"/>
  <c r="D73" i="134"/>
  <c r="D89" i="134"/>
  <c r="I89" i="134" s="1"/>
  <c r="D94" i="134"/>
  <c r="I94" i="134" s="1"/>
  <c r="D95" i="134"/>
  <c r="I95" i="134" s="1"/>
  <c r="D75" i="134"/>
  <c r="I75" i="134" s="1"/>
  <c r="D82" i="134"/>
  <c r="I82" i="134" s="1"/>
  <c r="D90" i="134"/>
  <c r="I90" i="134" s="1"/>
  <c r="D74" i="134"/>
  <c r="I74" i="134" s="1"/>
  <c r="D81" i="134"/>
  <c r="I81" i="134" s="1"/>
  <c r="D91" i="134"/>
  <c r="I91" i="134" s="1"/>
  <c r="D92" i="134"/>
  <c r="I92" i="134" s="1"/>
  <c r="X52" i="38"/>
  <c r="W80" i="38"/>
  <c r="U47" i="47" s="1"/>
  <c r="V47" i="47" s="1"/>
  <c r="X53" i="45"/>
  <c r="W80" i="45"/>
  <c r="U54" i="47" s="1"/>
  <c r="V54" i="47" s="1"/>
  <c r="X63" i="64"/>
  <c r="G71" i="59"/>
  <c r="X58" i="56"/>
  <c r="W80" i="56"/>
  <c r="G68" i="112"/>
  <c r="H68" i="112" s="1"/>
  <c r="W80" i="109"/>
  <c r="X49" i="109"/>
  <c r="E80" i="55"/>
  <c r="M24" i="55" s="1"/>
  <c r="Q36" i="47" s="1"/>
  <c r="G60" i="55"/>
  <c r="Y50" i="57"/>
  <c r="Y51" i="57" s="1"/>
  <c r="Y52" i="57" s="1"/>
  <c r="Y53" i="57" s="1"/>
  <c r="Y54" i="57" s="1"/>
  <c r="Y55" i="57" s="1"/>
  <c r="Y56" i="57" s="1"/>
  <c r="Y57" i="57" s="1"/>
  <c r="Y58" i="57" s="1"/>
  <c r="Y59" i="57" s="1"/>
  <c r="Y60" i="57" s="1"/>
  <c r="Y61" i="57" s="1"/>
  <c r="Y62" i="57" s="1"/>
  <c r="W80" i="55"/>
  <c r="D65" i="66"/>
  <c r="D63" i="66"/>
  <c r="H63" i="66" s="1"/>
  <c r="D67" i="66"/>
  <c r="H67" i="66" s="1"/>
  <c r="D56" i="66"/>
  <c r="Q34" i="77"/>
  <c r="H66" i="53"/>
  <c r="H70" i="38"/>
  <c r="D66" i="76"/>
  <c r="H66" i="76" s="1"/>
  <c r="D53" i="76"/>
  <c r="H53" i="76" s="1"/>
  <c r="D59" i="76"/>
  <c r="H59" i="76" s="1"/>
  <c r="H57" i="65"/>
  <c r="L57" i="132"/>
  <c r="D86" i="138"/>
  <c r="I86" i="138" s="1"/>
  <c r="D98" i="138"/>
  <c r="I98" i="138" s="1"/>
  <c r="D75" i="138"/>
  <c r="I75" i="138" s="1"/>
  <c r="J76" i="47"/>
  <c r="X33" i="47"/>
  <c r="G69" i="54"/>
  <c r="H69" i="54" s="1"/>
  <c r="D78" i="134"/>
  <c r="I78" i="134" s="1"/>
  <c r="D96" i="134"/>
  <c r="I96" i="134" s="1"/>
  <c r="G50" i="66"/>
  <c r="H50" i="66" s="1"/>
  <c r="K20" i="47"/>
  <c r="G57" i="66"/>
  <c r="G65" i="66"/>
  <c r="G70" i="66"/>
  <c r="G53" i="66"/>
  <c r="G55" i="66"/>
  <c r="H55" i="66" s="1"/>
  <c r="G49" i="66"/>
  <c r="G74" i="66"/>
  <c r="G73" i="66"/>
  <c r="H73" i="66" s="1"/>
  <c r="G54" i="66"/>
  <c r="G59" i="66"/>
  <c r="G66" i="66"/>
  <c r="G51" i="66"/>
  <c r="H51" i="66" s="1"/>
  <c r="G56" i="66"/>
  <c r="W28" i="124"/>
  <c r="W30" i="124"/>
  <c r="X30" i="124" s="1"/>
  <c r="Y30" i="124" s="1"/>
  <c r="F56" i="47"/>
  <c r="S56" i="47" s="1"/>
  <c r="Z68" i="47"/>
  <c r="P68" i="47"/>
  <c r="H76" i="55"/>
  <c r="H69" i="55"/>
  <c r="Q86" i="47"/>
  <c r="Q91" i="47"/>
  <c r="Q104" i="47"/>
  <c r="Q115" i="47"/>
  <c r="Q120" i="47"/>
  <c r="Q132" i="47"/>
  <c r="Q169" i="47"/>
  <c r="Q140" i="47"/>
  <c r="Q172" i="47"/>
  <c r="Q176" i="47"/>
  <c r="Q165" i="47"/>
  <c r="Q203" i="47"/>
  <c r="Q187" i="47"/>
  <c r="Q230" i="47"/>
  <c r="Q269" i="47"/>
  <c r="Q289" i="47"/>
  <c r="Q129" i="47"/>
  <c r="Q237" i="47"/>
  <c r="Q270" i="47"/>
  <c r="Q170" i="47"/>
  <c r="Q260" i="47"/>
  <c r="Q321" i="47"/>
  <c r="Q218" i="47"/>
  <c r="Q231" i="47"/>
  <c r="Q284" i="47"/>
  <c r="Q309" i="47"/>
  <c r="Q259" i="47"/>
  <c r="Q144" i="47"/>
  <c r="Q148" i="47"/>
  <c r="Q302" i="47"/>
  <c r="Q312" i="47"/>
  <c r="Q88" i="47"/>
  <c r="Q85" i="47"/>
  <c r="Q113" i="47"/>
  <c r="Q124" i="47"/>
  <c r="Q155" i="47"/>
  <c r="Q121" i="47"/>
  <c r="Q175" i="47"/>
  <c r="Q125" i="47"/>
  <c r="Q199" i="47"/>
  <c r="Q198" i="47"/>
  <c r="Q257" i="47"/>
  <c r="Q288" i="47"/>
  <c r="Q151" i="47"/>
  <c r="Q254" i="47"/>
  <c r="Q150" i="47"/>
  <c r="Q278" i="47"/>
  <c r="Q196" i="47"/>
  <c r="Q227" i="47"/>
  <c r="Q299" i="47"/>
  <c r="Q197" i="47"/>
  <c r="Q319" i="47"/>
  <c r="Q232" i="47"/>
  <c r="Q185" i="47"/>
  <c r="H74" i="60"/>
  <c r="Z52" i="47"/>
  <c r="H70" i="91"/>
  <c r="H75" i="82"/>
  <c r="Y43" i="134"/>
  <c r="Y44" i="134" s="1"/>
  <c r="J44" i="104"/>
  <c r="L44" i="104" s="1"/>
  <c r="J41" i="104"/>
  <c r="L41" i="104" s="1"/>
  <c r="J42" i="104"/>
  <c r="L42" i="104" s="1"/>
  <c r="M42" i="104" s="1"/>
  <c r="AF78" i="140"/>
  <c r="AE102" i="140"/>
  <c r="G51" i="72"/>
  <c r="E80" i="72"/>
  <c r="M24" i="72" s="1"/>
  <c r="Q26" i="47" s="1"/>
  <c r="G66" i="64"/>
  <c r="G75" i="59"/>
  <c r="H75" i="59" s="1"/>
  <c r="G85" i="112"/>
  <c r="H85" i="112" s="1"/>
  <c r="H53" i="43"/>
  <c r="G53" i="84"/>
  <c r="D69" i="66"/>
  <c r="H69" i="66" s="1"/>
  <c r="D53" i="66"/>
  <c r="D68" i="66"/>
  <c r="H68" i="66" s="1"/>
  <c r="K35" i="57"/>
  <c r="M41" i="55"/>
  <c r="M45" i="55" s="1"/>
  <c r="E36" i="47" s="1"/>
  <c r="D58" i="76"/>
  <c r="H58" i="76" s="1"/>
  <c r="D50" i="76"/>
  <c r="H50" i="76" s="1"/>
  <c r="D72" i="76"/>
  <c r="H72" i="76" s="1"/>
  <c r="D78" i="76"/>
  <c r="H78" i="76" s="1"/>
  <c r="D64" i="76"/>
  <c r="H64" i="76" s="1"/>
  <c r="D67" i="76"/>
  <c r="H67" i="76" s="1"/>
  <c r="W80" i="84"/>
  <c r="U61" i="47" s="1"/>
  <c r="V61" i="47" s="1"/>
  <c r="D83" i="138"/>
  <c r="I83" i="138" s="1"/>
  <c r="D93" i="138"/>
  <c r="I93" i="138" s="1"/>
  <c r="K35" i="56"/>
  <c r="D53" i="40"/>
  <c r="D67" i="40"/>
  <c r="H67" i="40" s="1"/>
  <c r="W80" i="51"/>
  <c r="D88" i="134"/>
  <c r="I88" i="134" s="1"/>
  <c r="D99" i="134"/>
  <c r="I99" i="134" s="1"/>
  <c r="D85" i="134"/>
  <c r="I85" i="134" s="1"/>
  <c r="L45" i="53"/>
  <c r="H34" i="47" s="1"/>
  <c r="Q41" i="109"/>
  <c r="M45" i="109"/>
  <c r="Y60" i="111"/>
  <c r="Y61" i="111" s="1"/>
  <c r="Y62" i="111" s="1"/>
  <c r="Y63" i="111" s="1"/>
  <c r="Y64" i="111" s="1"/>
  <c r="Y65" i="111" s="1"/>
  <c r="Y66" i="111" s="1"/>
  <c r="Y67" i="111" s="1"/>
  <c r="Y68" i="111" s="1"/>
  <c r="Y69" i="111" s="1"/>
  <c r="Y70" i="111" s="1"/>
  <c r="Y71" i="111" s="1"/>
  <c r="Y72" i="111" s="1"/>
  <c r="Y73" i="111" s="1"/>
  <c r="Y74" i="111" s="1"/>
  <c r="Y75" i="111" s="1"/>
  <c r="Y76" i="111" s="1"/>
  <c r="Y77" i="111" s="1"/>
  <c r="Y78" i="111" s="1"/>
  <c r="Y79" i="111" s="1"/>
  <c r="Y80" i="111" s="1"/>
  <c r="Y81" i="111" s="1"/>
  <c r="Y82" i="111" s="1"/>
  <c r="Y83" i="111" s="1"/>
  <c r="Y84" i="111" s="1"/>
  <c r="Y85" i="111" s="1"/>
  <c r="Y86" i="111" s="1"/>
  <c r="Y87" i="111" s="1"/>
  <c r="Y88" i="111" s="1"/>
  <c r="L45" i="71"/>
  <c r="H25" i="47" s="1"/>
  <c r="L45" i="37"/>
  <c r="H46" i="47" s="1"/>
  <c r="M41" i="37"/>
  <c r="M45" i="37" s="1"/>
  <c r="E46" i="47" s="1"/>
  <c r="H52" i="54"/>
  <c r="X29" i="47"/>
  <c r="P29" i="47"/>
  <c r="D80" i="36"/>
  <c r="D15" i="36" s="1"/>
  <c r="E15" i="36" s="1"/>
  <c r="Z53" i="47"/>
  <c r="X53" i="47"/>
  <c r="H50" i="50"/>
  <c r="L45" i="51"/>
  <c r="M41" i="51"/>
  <c r="M45" i="51" s="1"/>
  <c r="M45" i="81"/>
  <c r="Q41" i="81"/>
  <c r="G63" i="80"/>
  <c r="H63" i="80" s="1"/>
  <c r="G64" i="80"/>
  <c r="H64" i="80" s="1"/>
  <c r="O57" i="47"/>
  <c r="G66" i="80"/>
  <c r="H66" i="80" s="1"/>
  <c r="G67" i="80"/>
  <c r="H67" i="80" s="1"/>
  <c r="G69" i="80"/>
  <c r="H69" i="80" s="1"/>
  <c r="G70" i="80"/>
  <c r="H70" i="80" s="1"/>
  <c r="G52" i="80"/>
  <c r="H52" i="80" s="1"/>
  <c r="G57" i="80"/>
  <c r="H57" i="80" s="1"/>
  <c r="G73" i="80"/>
  <c r="H73" i="80" s="1"/>
  <c r="G53" i="80"/>
  <c r="G54" i="80"/>
  <c r="H54" i="80" s="1"/>
  <c r="G72" i="80"/>
  <c r="H72" i="80" s="1"/>
  <c r="G59" i="80"/>
  <c r="H59" i="80" s="1"/>
  <c r="G76" i="80"/>
  <c r="H76" i="80" s="1"/>
  <c r="D74" i="65"/>
  <c r="H74" i="65" s="1"/>
  <c r="D50" i="65"/>
  <c r="H50" i="65" s="1"/>
  <c r="D56" i="65"/>
  <c r="H56" i="65" s="1"/>
  <c r="D54" i="65"/>
  <c r="H54" i="65" s="1"/>
  <c r="D64" i="65"/>
  <c r="H64" i="65" s="1"/>
  <c r="D59" i="65"/>
  <c r="H59" i="65" s="1"/>
  <c r="D73" i="65"/>
  <c r="H73" i="65" s="1"/>
  <c r="D71" i="65"/>
  <c r="H71" i="65" s="1"/>
  <c r="D77" i="65"/>
  <c r="H77" i="65" s="1"/>
  <c r="D63" i="65"/>
  <c r="H63" i="65" s="1"/>
  <c r="D75" i="65"/>
  <c r="H75" i="65" s="1"/>
  <c r="D52" i="65"/>
  <c r="H52" i="65" s="1"/>
  <c r="D68" i="65"/>
  <c r="H68" i="65" s="1"/>
  <c r="D53" i="65"/>
  <c r="H53" i="65" s="1"/>
  <c r="G62" i="84"/>
  <c r="H62" i="84" s="1"/>
  <c r="V55" i="138"/>
  <c r="V50" i="138"/>
  <c r="AB71" i="123"/>
  <c r="X57" i="80"/>
  <c r="X80" i="80" s="1"/>
  <c r="H59" i="84"/>
  <c r="U74" i="47"/>
  <c r="V74" i="47" s="1"/>
  <c r="AB101" i="133"/>
  <c r="X76" i="69"/>
  <c r="Z64" i="47"/>
  <c r="L31" i="58"/>
  <c r="AC72" i="139"/>
  <c r="AC73" i="139" s="1"/>
  <c r="AC74" i="139" s="1"/>
  <c r="AC75" i="139" s="1"/>
  <c r="AC76" i="139" s="1"/>
  <c r="AC77" i="139" s="1"/>
  <c r="AC78" i="139" s="1"/>
  <c r="AC79" i="139" s="1"/>
  <c r="AC80" i="139" s="1"/>
  <c r="AC81" i="139" s="1"/>
  <c r="AC82" i="139" s="1"/>
  <c r="AC83" i="139" s="1"/>
  <c r="AC84" i="139" s="1"/>
  <c r="AC85" i="139" s="1"/>
  <c r="AC86" i="139" s="1"/>
  <c r="AC87" i="139" s="1"/>
  <c r="AC88" i="139" s="1"/>
  <c r="AC89" i="139" s="1"/>
  <c r="AC90" i="139" s="1"/>
  <c r="AC91" i="139" s="1"/>
  <c r="AC92" i="139" s="1"/>
  <c r="AC93" i="139" s="1"/>
  <c r="AC94" i="139" s="1"/>
  <c r="AC95" i="139" s="1"/>
  <c r="AC96" i="139" s="1"/>
  <c r="AC97" i="139" s="1"/>
  <c r="AC98" i="139" s="1"/>
  <c r="AC99" i="139" s="1"/>
  <c r="AC100" i="139" s="1"/>
  <c r="AC101" i="139" s="1"/>
  <c r="AB103" i="139"/>
  <c r="W80" i="76"/>
  <c r="U55" i="47" s="1"/>
  <c r="V55" i="47" s="1"/>
  <c r="AA62" i="47"/>
  <c r="AB62" i="47"/>
  <c r="AC62" i="47" s="1"/>
  <c r="X80" i="43"/>
  <c r="G65" i="112"/>
  <c r="H65" i="112" s="1"/>
  <c r="G75" i="112"/>
  <c r="H75" i="112" s="1"/>
  <c r="G86" i="112"/>
  <c r="H86" i="112" s="1"/>
  <c r="G56" i="84"/>
  <c r="H56" i="84" s="1"/>
  <c r="L32" i="53"/>
  <c r="M32" i="53" s="1"/>
  <c r="M35" i="53" s="1"/>
  <c r="D34" i="47" s="1"/>
  <c r="F34" i="47" s="1"/>
  <c r="G77" i="59"/>
  <c r="H77" i="59" s="1"/>
  <c r="O17" i="47"/>
  <c r="G62" i="63"/>
  <c r="H62" i="63" s="1"/>
  <c r="G73" i="63"/>
  <c r="H73" i="63" s="1"/>
  <c r="G58" i="63"/>
  <c r="H58" i="63" s="1"/>
  <c r="G69" i="63"/>
  <c r="H69" i="63" s="1"/>
  <c r="G68" i="63"/>
  <c r="H68" i="63" s="1"/>
  <c r="G50" i="63"/>
  <c r="H50" i="63" s="1"/>
  <c r="G52" i="63"/>
  <c r="H52" i="63" s="1"/>
  <c r="G51" i="63"/>
  <c r="H51" i="63" s="1"/>
  <c r="G65" i="63"/>
  <c r="H65" i="63" s="1"/>
  <c r="G56" i="63"/>
  <c r="H56" i="63" s="1"/>
  <c r="G60" i="63"/>
  <c r="H60" i="63" s="1"/>
  <c r="G71" i="63"/>
  <c r="H71" i="63" s="1"/>
  <c r="D77" i="132"/>
  <c r="I77" i="132" s="1"/>
  <c r="D100" i="132"/>
  <c r="I100" i="132" s="1"/>
  <c r="D74" i="132"/>
  <c r="I74" i="132" s="1"/>
  <c r="D95" i="132"/>
  <c r="I95" i="132" s="1"/>
  <c r="D99" i="132"/>
  <c r="I99" i="132" s="1"/>
  <c r="D72" i="132"/>
  <c r="D92" i="132"/>
  <c r="I92" i="132" s="1"/>
  <c r="D87" i="132"/>
  <c r="I87" i="132" s="1"/>
  <c r="D93" i="132"/>
  <c r="I93" i="132" s="1"/>
  <c r="D96" i="132"/>
  <c r="I96" i="132" s="1"/>
  <c r="D98" i="132"/>
  <c r="I98" i="132" s="1"/>
  <c r="D84" i="132"/>
  <c r="I84" i="132" s="1"/>
  <c r="D75" i="132"/>
  <c r="I75" i="132" s="1"/>
  <c r="D76" i="132"/>
  <c r="I76" i="132" s="1"/>
  <c r="D81" i="132"/>
  <c r="I81" i="132" s="1"/>
  <c r="AB72" i="132"/>
  <c r="AA102" i="132"/>
  <c r="H103" i="139"/>
  <c r="E108" i="139" s="1"/>
  <c r="F108" i="139" s="1"/>
  <c r="I73" i="139"/>
  <c r="I86" i="139"/>
  <c r="X41" i="139"/>
  <c r="Y41" i="139" s="1"/>
  <c r="M43" i="139"/>
  <c r="N43" i="139" s="1"/>
  <c r="M40" i="139"/>
  <c r="X51" i="44"/>
  <c r="X80" i="44" s="1"/>
  <c r="W80" i="44"/>
  <c r="U53" i="47" s="1"/>
  <c r="V53" i="47" s="1"/>
  <c r="AC70" i="123"/>
  <c r="H77" i="84"/>
  <c r="W80" i="107"/>
  <c r="U65" i="47" s="1"/>
  <c r="V65" i="47" s="1"/>
  <c r="M32" i="66"/>
  <c r="M35" i="66" s="1"/>
  <c r="L35" i="66"/>
  <c r="G20" i="47" s="1"/>
  <c r="I20" i="47" s="1"/>
  <c r="V52" i="47"/>
  <c r="Y49" i="62"/>
  <c r="Y50" i="62" s="1"/>
  <c r="Y51" i="62" s="1"/>
  <c r="Y50" i="84"/>
  <c r="Y51" i="84" s="1"/>
  <c r="Y52" i="84" s="1"/>
  <c r="Y53" i="84" s="1"/>
  <c r="Y54" i="84" s="1"/>
  <c r="Y55" i="84" s="1"/>
  <c r="Y56" i="84" s="1"/>
  <c r="Y57" i="84" s="1"/>
  <c r="Y58" i="84" s="1"/>
  <c r="Y59" i="84" s="1"/>
  <c r="Y60" i="84" s="1"/>
  <c r="Y61" i="84" s="1"/>
  <c r="Y62" i="84" s="1"/>
  <c r="Y63" i="84" s="1"/>
  <c r="Y64" i="84" s="1"/>
  <c r="Y65" i="84" s="1"/>
  <c r="Y66" i="84" s="1"/>
  <c r="Y67" i="84" s="1"/>
  <c r="Y68" i="84" s="1"/>
  <c r="Y69" i="84" s="1"/>
  <c r="Y70" i="84" s="1"/>
  <c r="Y71" i="84" s="1"/>
  <c r="Y72" i="84" s="1"/>
  <c r="Y73" i="84" s="1"/>
  <c r="Y74" i="84" s="1"/>
  <c r="Y75" i="84" s="1"/>
  <c r="Y76" i="84" s="1"/>
  <c r="Y77" i="84" s="1"/>
  <c r="Y78" i="84" s="1"/>
  <c r="Y79" i="84" s="1"/>
  <c r="Z51" i="123"/>
  <c r="G60" i="51"/>
  <c r="H60" i="51" s="1"/>
  <c r="O35" i="80"/>
  <c r="D57" i="47" s="1"/>
  <c r="F57" i="47" s="1"/>
  <c r="S57" i="47" s="1"/>
  <c r="H62" i="83"/>
  <c r="H65" i="34"/>
  <c r="J16" i="139"/>
  <c r="K16" i="139" s="1"/>
  <c r="E80" i="56"/>
  <c r="M24" i="56" s="1"/>
  <c r="Q37" i="47" s="1"/>
  <c r="K31" i="73"/>
  <c r="G74" i="63"/>
  <c r="H74" i="63" s="1"/>
  <c r="G76" i="63"/>
  <c r="H76" i="63" s="1"/>
  <c r="G67" i="63"/>
  <c r="H67" i="63" s="1"/>
  <c r="G78" i="63"/>
  <c r="H78" i="63" s="1"/>
  <c r="H66" i="63"/>
  <c r="H64" i="63"/>
  <c r="G19" i="49"/>
  <c r="G71" i="49"/>
  <c r="D67" i="38"/>
  <c r="H67" i="38" s="1"/>
  <c r="D76" i="38"/>
  <c r="H76" i="38" s="1"/>
  <c r="D74" i="38"/>
  <c r="H74" i="38" s="1"/>
  <c r="D75" i="38"/>
  <c r="H75" i="38" s="1"/>
  <c r="D53" i="38"/>
  <c r="D65" i="38"/>
  <c r="H65" i="38" s="1"/>
  <c r="D57" i="38"/>
  <c r="H57" i="38" s="1"/>
  <c r="D73" i="38"/>
  <c r="H73" i="38" s="1"/>
  <c r="D63" i="38"/>
  <c r="H63" i="38" s="1"/>
  <c r="AB67" i="47"/>
  <c r="AC67" i="47" s="1"/>
  <c r="AA67" i="47"/>
  <c r="Q31" i="109"/>
  <c r="D53" i="45"/>
  <c r="H53" i="45" s="1"/>
  <c r="D60" i="45"/>
  <c r="H60" i="45" s="1"/>
  <c r="D49" i="45"/>
  <c r="D67" i="45"/>
  <c r="H67" i="45" s="1"/>
  <c r="D58" i="45"/>
  <c r="H58" i="45" s="1"/>
  <c r="D55" i="45"/>
  <c r="H55" i="45" s="1"/>
  <c r="D68" i="45"/>
  <c r="H68" i="45" s="1"/>
  <c r="D65" i="45"/>
  <c r="H65" i="45" s="1"/>
  <c r="G62" i="53"/>
  <c r="H62" i="53" s="1"/>
  <c r="O34" i="47"/>
  <c r="G54" i="53"/>
  <c r="H54" i="53" s="1"/>
  <c r="G64" i="53"/>
  <c r="H64" i="53" s="1"/>
  <c r="G78" i="53"/>
  <c r="H78" i="53" s="1"/>
  <c r="G74" i="53"/>
  <c r="H74" i="53" s="1"/>
  <c r="G59" i="53"/>
  <c r="H59" i="53" s="1"/>
  <c r="G52" i="53"/>
  <c r="H52" i="53" s="1"/>
  <c r="G53" i="53"/>
  <c r="H53" i="53" s="1"/>
  <c r="G56" i="53"/>
  <c r="H56" i="53" s="1"/>
  <c r="G51" i="53"/>
  <c r="G65" i="53"/>
  <c r="H65" i="53" s="1"/>
  <c r="H76" i="71"/>
  <c r="H58" i="71"/>
  <c r="D80" i="71"/>
  <c r="D15" i="71" s="1"/>
  <c r="E15" i="71" s="1"/>
  <c r="H60" i="82"/>
  <c r="H62" i="82"/>
  <c r="H53" i="61"/>
  <c r="K17" i="47"/>
  <c r="Y52" i="81"/>
  <c r="Y53" i="81" s="1"/>
  <c r="Y54" i="81" s="1"/>
  <c r="Y55" i="81" s="1"/>
  <c r="Y56" i="81" s="1"/>
  <c r="Y57" i="81" s="1"/>
  <c r="Y58" i="81" s="1"/>
  <c r="Y59" i="81" s="1"/>
  <c r="Y60" i="81" s="1"/>
  <c r="Y61" i="81" s="1"/>
  <c r="Y62" i="81" s="1"/>
  <c r="Y63" i="81" s="1"/>
  <c r="Y64" i="81" s="1"/>
  <c r="Y65" i="81" s="1"/>
  <c r="Y66" i="81" s="1"/>
  <c r="Y67" i="81" s="1"/>
  <c r="Y68" i="81" s="1"/>
  <c r="Y69" i="81" s="1"/>
  <c r="Y70" i="81" s="1"/>
  <c r="Y71" i="81" s="1"/>
  <c r="Y72" i="81" s="1"/>
  <c r="Y73" i="81" s="1"/>
  <c r="Y74" i="81" s="1"/>
  <c r="Y75" i="81" s="1"/>
  <c r="Y76" i="81" s="1"/>
  <c r="Y77" i="81" s="1"/>
  <c r="Y78" i="81" s="1"/>
  <c r="D80" i="59"/>
  <c r="D15" i="59" s="1"/>
  <c r="E15" i="59" s="1"/>
  <c r="D55" i="34"/>
  <c r="H55" i="34" s="1"/>
  <c r="D54" i="34"/>
  <c r="H54" i="34" s="1"/>
  <c r="D72" i="34"/>
  <c r="H72" i="34" s="1"/>
  <c r="D69" i="34"/>
  <c r="H69" i="34" s="1"/>
  <c r="J61" i="47"/>
  <c r="D53" i="34"/>
  <c r="H53" i="34" s="1"/>
  <c r="J62" i="47"/>
  <c r="D63" i="34"/>
  <c r="H63" i="34" s="1"/>
  <c r="D48" i="34"/>
  <c r="J56" i="47"/>
  <c r="W89" i="111"/>
  <c r="U69" i="47" s="1"/>
  <c r="V69" i="47" s="1"/>
  <c r="W80" i="106"/>
  <c r="U64" i="47" s="1"/>
  <c r="V64" i="47" s="1"/>
  <c r="V33" i="134"/>
  <c r="G71" i="84"/>
  <c r="H71" i="84" s="1"/>
  <c r="L45" i="106"/>
  <c r="O45" i="106" s="1"/>
  <c r="E64" i="47" s="1"/>
  <c r="F64" i="47" s="1"/>
  <c r="S64" i="47" s="1"/>
  <c r="H53" i="50"/>
  <c r="E79" i="50"/>
  <c r="M24" i="50" s="1"/>
  <c r="X54" i="75"/>
  <c r="X55" i="58"/>
  <c r="X49" i="105"/>
  <c r="W80" i="105"/>
  <c r="U63" i="47" s="1"/>
  <c r="V63" i="47" s="1"/>
  <c r="K49" i="47"/>
  <c r="G72" i="40"/>
  <c r="H72" i="40" s="1"/>
  <c r="G77" i="40"/>
  <c r="H77" i="40" s="1"/>
  <c r="G75" i="40"/>
  <c r="H75" i="40" s="1"/>
  <c r="G63" i="40"/>
  <c r="G79" i="40"/>
  <c r="H79" i="40" s="1"/>
  <c r="G70" i="40"/>
  <c r="H70" i="40" s="1"/>
  <c r="G71" i="40"/>
  <c r="H71" i="40" s="1"/>
  <c r="G55" i="40"/>
  <c r="H65" i="43"/>
  <c r="H61" i="43"/>
  <c r="H54" i="43"/>
  <c r="V32" i="132"/>
  <c r="V33" i="132" s="1"/>
  <c r="X50" i="72"/>
  <c r="L35" i="52"/>
  <c r="G33" i="47" s="1"/>
  <c r="I33" i="47" s="1"/>
  <c r="S74" i="49"/>
  <c r="G74" i="49"/>
  <c r="K107" i="49"/>
  <c r="G107" i="49"/>
  <c r="S39" i="49"/>
  <c r="G39" i="49"/>
  <c r="K66" i="49"/>
  <c r="G66" i="49"/>
  <c r="S91" i="49"/>
  <c r="G91" i="49"/>
  <c r="O42" i="109"/>
  <c r="O45" i="109" s="1"/>
  <c r="E66" i="47" s="1"/>
  <c r="M35" i="39"/>
  <c r="D48" i="47" s="1"/>
  <c r="Q32" i="77"/>
  <c r="Q77" i="47"/>
  <c r="L52" i="139"/>
  <c r="G56" i="82"/>
  <c r="H56" i="82" s="1"/>
  <c r="G63" i="82"/>
  <c r="H63" i="82" s="1"/>
  <c r="G73" i="82"/>
  <c r="H73" i="82" s="1"/>
  <c r="G74" i="82"/>
  <c r="H74" i="82" s="1"/>
  <c r="O44" i="76"/>
  <c r="O45" i="76" s="1"/>
  <c r="E55" i="47" s="1"/>
  <c r="M44" i="76"/>
  <c r="H76" i="69"/>
  <c r="H78" i="84"/>
  <c r="Q30" i="84"/>
  <c r="Q35" i="84" s="1"/>
  <c r="M35" i="69"/>
  <c r="D23" i="47" s="1"/>
  <c r="F23" i="47" s="1"/>
  <c r="N33" i="35"/>
  <c r="M33" i="35"/>
  <c r="M30" i="2"/>
  <c r="M32" i="2" s="1"/>
  <c r="M33" i="2" s="1"/>
  <c r="M36" i="2"/>
  <c r="M28" i="2"/>
  <c r="M30" i="10"/>
  <c r="M32" i="10" s="1"/>
  <c r="M33" i="10" s="1"/>
  <c r="M28" i="10"/>
  <c r="M36" i="10"/>
  <c r="H66" i="59"/>
  <c r="I24" i="73"/>
  <c r="H24" i="73"/>
  <c r="G61" i="69"/>
  <c r="H61" i="69" s="1"/>
  <c r="G68" i="69"/>
  <c r="H68" i="69" s="1"/>
  <c r="G65" i="69"/>
  <c r="H65" i="69" s="1"/>
  <c r="G77" i="69"/>
  <c r="H77" i="69" s="1"/>
  <c r="D63" i="77"/>
  <c r="H63" i="77" s="1"/>
  <c r="D65" i="77"/>
  <c r="H65" i="77" s="1"/>
  <c r="D64" i="77"/>
  <c r="H64" i="77" s="1"/>
  <c r="D60" i="77"/>
  <c r="H60" i="77" s="1"/>
  <c r="D67" i="77"/>
  <c r="H67" i="77" s="1"/>
  <c r="D76" i="77"/>
  <c r="H76" i="77" s="1"/>
  <c r="D53" i="77"/>
  <c r="H53" i="77" s="1"/>
  <c r="D74" i="77"/>
  <c r="H74" i="77" s="1"/>
  <c r="D71" i="77"/>
  <c r="H71" i="77" s="1"/>
  <c r="D69" i="77"/>
  <c r="H69" i="77" s="1"/>
  <c r="D70" i="77"/>
  <c r="H70" i="77" s="1"/>
  <c r="D55" i="77"/>
  <c r="H55" i="77" s="1"/>
  <c r="D61" i="77"/>
  <c r="H61" i="77" s="1"/>
  <c r="D54" i="77"/>
  <c r="H54" i="77" s="1"/>
  <c r="D49" i="77"/>
  <c r="D62" i="77"/>
  <c r="H62" i="77" s="1"/>
  <c r="D56" i="77"/>
  <c r="H56" i="77" s="1"/>
  <c r="D51" i="77"/>
  <c r="H51" i="77" s="1"/>
  <c r="D73" i="77"/>
  <c r="H73" i="77" s="1"/>
  <c r="M35" i="23"/>
  <c r="M18" i="23"/>
  <c r="U49" i="51"/>
  <c r="X49" i="51"/>
  <c r="I24" i="52"/>
  <c r="H24" i="52"/>
  <c r="U51" i="53"/>
  <c r="V80" i="53"/>
  <c r="U69" i="53"/>
  <c r="X69" i="53"/>
  <c r="H74" i="112"/>
  <c r="H73" i="111"/>
  <c r="H60" i="111"/>
  <c r="H63" i="91"/>
  <c r="H75" i="91"/>
  <c r="H60" i="112"/>
  <c r="H73" i="112"/>
  <c r="H56" i="59"/>
  <c r="V33" i="133"/>
  <c r="H73" i="109"/>
  <c r="F115" i="49"/>
  <c r="G72" i="69"/>
  <c r="H72" i="69" s="1"/>
  <c r="G58" i="69"/>
  <c r="H58" i="69" s="1"/>
  <c r="O35" i="105"/>
  <c r="D63" i="47" s="1"/>
  <c r="G50" i="106"/>
  <c r="D54" i="109"/>
  <c r="H54" i="109" s="1"/>
  <c r="D63" i="109"/>
  <c r="H63" i="109" s="1"/>
  <c r="D52" i="109"/>
  <c r="G75" i="69"/>
  <c r="H75" i="69" s="1"/>
  <c r="H81" i="123"/>
  <c r="Q30" i="81"/>
  <c r="G69" i="69"/>
  <c r="H69" i="69" s="1"/>
  <c r="D75" i="104"/>
  <c r="H75" i="104" s="1"/>
  <c r="D55" i="104"/>
  <c r="D57" i="104"/>
  <c r="H57" i="104" s="1"/>
  <c r="D77" i="104"/>
  <c r="H77" i="104" s="1"/>
  <c r="J34" i="65"/>
  <c r="D52" i="77"/>
  <c r="H52" i="77" s="1"/>
  <c r="D67" i="75"/>
  <c r="D58" i="75"/>
  <c r="D56" i="75"/>
  <c r="D75" i="75"/>
  <c r="M18" i="16"/>
  <c r="M35" i="16"/>
  <c r="I45" i="40"/>
  <c r="C50" i="41"/>
  <c r="C51" i="41" s="1"/>
  <c r="C52" i="41" s="1"/>
  <c r="C53" i="41" s="1"/>
  <c r="C54" i="41" s="1"/>
  <c r="C55" i="41" s="1"/>
  <c r="C56" i="41" s="1"/>
  <c r="C57" i="41" s="1"/>
  <c r="C58" i="41" s="1"/>
  <c r="C59" i="41" s="1"/>
  <c r="C60" i="41" s="1"/>
  <c r="C61" i="41" s="1"/>
  <c r="C62" i="41" s="1"/>
  <c r="C63" i="41" s="1"/>
  <c r="C64" i="41" s="1"/>
  <c r="C65" i="41" s="1"/>
  <c r="C66" i="41" s="1"/>
  <c r="C67" i="41" s="1"/>
  <c r="C68" i="41" s="1"/>
  <c r="C69" i="41" s="1"/>
  <c r="C70" i="41" s="1"/>
  <c r="C71" i="41" s="1"/>
  <c r="C72" i="41" s="1"/>
  <c r="C73" i="41" s="1"/>
  <c r="C74" i="41" s="1"/>
  <c r="C75" i="41" s="1"/>
  <c r="C76" i="41" s="1"/>
  <c r="C77" i="41" s="1"/>
  <c r="C78" i="41" s="1"/>
  <c r="C79" i="41" s="1"/>
  <c r="C47" i="41"/>
  <c r="C47" i="42"/>
  <c r="C50" i="42"/>
  <c r="C51" i="42" s="1"/>
  <c r="C52" i="42" s="1"/>
  <c r="C53" i="42" s="1"/>
  <c r="C54" i="42" s="1"/>
  <c r="C55" i="42" s="1"/>
  <c r="C56" i="42" s="1"/>
  <c r="C57" i="42" s="1"/>
  <c r="C58" i="42" s="1"/>
  <c r="C59" i="42" s="1"/>
  <c r="C60" i="42" s="1"/>
  <c r="C61" i="42" s="1"/>
  <c r="C62" i="42" s="1"/>
  <c r="C63" i="42" s="1"/>
  <c r="C64" i="42" s="1"/>
  <c r="C65" i="42" s="1"/>
  <c r="C66" i="42" s="1"/>
  <c r="C67" i="42" s="1"/>
  <c r="C68" i="42" s="1"/>
  <c r="C69" i="42" s="1"/>
  <c r="C70" i="42" s="1"/>
  <c r="C71" i="42" s="1"/>
  <c r="C72" i="42" s="1"/>
  <c r="C73" i="42" s="1"/>
  <c r="C74" i="42" s="1"/>
  <c r="C75" i="42" s="1"/>
  <c r="C76" i="42" s="1"/>
  <c r="C77" i="42" s="1"/>
  <c r="C78" i="42" s="1"/>
  <c r="G11" i="57"/>
  <c r="F10" i="59"/>
  <c r="G10" i="59" s="1"/>
  <c r="E55" i="60"/>
  <c r="W55" i="60"/>
  <c r="E64" i="61"/>
  <c r="E53" i="63"/>
  <c r="P80" i="63"/>
  <c r="E55" i="63"/>
  <c r="W55" i="63"/>
  <c r="W59" i="63"/>
  <c r="X59" i="63" s="1"/>
  <c r="E59" i="63"/>
  <c r="D60" i="60"/>
  <c r="D76" i="60"/>
  <c r="H76" i="60" s="1"/>
  <c r="L35" i="45"/>
  <c r="G54" i="47" s="1"/>
  <c r="G78" i="69"/>
  <c r="H78" i="69" s="1"/>
  <c r="G66" i="69"/>
  <c r="H66" i="69" s="1"/>
  <c r="G55" i="106"/>
  <c r="O64" i="47"/>
  <c r="G61" i="106"/>
  <c r="D68" i="60"/>
  <c r="H68" i="60" s="1"/>
  <c r="O23" i="47"/>
  <c r="D67" i="50"/>
  <c r="H67" i="50" s="1"/>
  <c r="D70" i="50"/>
  <c r="H70" i="50" s="1"/>
  <c r="U27" i="47"/>
  <c r="V27" i="47" s="1"/>
  <c r="G70" i="69"/>
  <c r="H70" i="69" s="1"/>
  <c r="J43" i="82"/>
  <c r="L43" i="82" s="1"/>
  <c r="M43" i="82" s="1"/>
  <c r="Q43" i="82" s="1"/>
  <c r="J41" i="82"/>
  <c r="L41" i="82" s="1"/>
  <c r="M35" i="70"/>
  <c r="D24" i="47" s="1"/>
  <c r="W41" i="124"/>
  <c r="D50" i="77"/>
  <c r="H50" i="77" s="1"/>
  <c r="J42" i="83"/>
  <c r="L42" i="83" s="1"/>
  <c r="J44" i="83"/>
  <c r="L44" i="83" s="1"/>
  <c r="D68" i="106"/>
  <c r="D79" i="106"/>
  <c r="D59" i="106"/>
  <c r="D67" i="106"/>
  <c r="D63" i="106"/>
  <c r="D76" i="106"/>
  <c r="D55" i="106"/>
  <c r="D52" i="106"/>
  <c r="D61" i="106"/>
  <c r="D69" i="106"/>
  <c r="D58" i="106"/>
  <c r="D65" i="106"/>
  <c r="D49" i="106"/>
  <c r="D77" i="106"/>
  <c r="D50" i="106"/>
  <c r="D78" i="106"/>
  <c r="D54" i="106"/>
  <c r="D72" i="106"/>
  <c r="D53" i="106"/>
  <c r="D64" i="106"/>
  <c r="D51" i="106"/>
  <c r="D57" i="106"/>
  <c r="D62" i="106"/>
  <c r="O42" i="107"/>
  <c r="M35" i="14"/>
  <c r="M18" i="14"/>
  <c r="K33" i="60"/>
  <c r="L33" i="60" s="1"/>
  <c r="M33" i="60" s="1"/>
  <c r="K31" i="60"/>
  <c r="L31" i="60" s="1"/>
  <c r="M31" i="60" s="1"/>
  <c r="K30" i="60"/>
  <c r="K32" i="60"/>
  <c r="L32" i="60" s="1"/>
  <c r="M32" i="60" s="1"/>
  <c r="E52" i="61"/>
  <c r="W52" i="62"/>
  <c r="P80" i="62"/>
  <c r="E60" i="62"/>
  <c r="I45" i="62"/>
  <c r="K34" i="64"/>
  <c r="L34" i="64" s="1"/>
  <c r="M34" i="64" s="1"/>
  <c r="K33" i="64"/>
  <c r="L33" i="64" s="1"/>
  <c r="M33" i="64" s="1"/>
  <c r="K31" i="64"/>
  <c r="K32" i="64"/>
  <c r="L32" i="64" s="1"/>
  <c r="M32" i="64" s="1"/>
  <c r="J42" i="60"/>
  <c r="L42" i="60" s="1"/>
  <c r="X60" i="34"/>
  <c r="Y60" i="34" s="1"/>
  <c r="Y61" i="34" s="1"/>
  <c r="Y62" i="34" s="1"/>
  <c r="Y63" i="34" s="1"/>
  <c r="Y64" i="34" s="1"/>
  <c r="Y65" i="34" s="1"/>
  <c r="Y66" i="34" s="1"/>
  <c r="J32" i="34"/>
  <c r="G69" i="36"/>
  <c r="H69" i="36" s="1"/>
  <c r="G72" i="36"/>
  <c r="H72" i="36" s="1"/>
  <c r="G60" i="36"/>
  <c r="H60" i="36" s="1"/>
  <c r="G68" i="36"/>
  <c r="H68" i="36" s="1"/>
  <c r="O32" i="107"/>
  <c r="M35" i="15"/>
  <c r="M18" i="15"/>
  <c r="M30" i="24"/>
  <c r="M32" i="24" s="1"/>
  <c r="M33" i="24" s="1"/>
  <c r="M35" i="24"/>
  <c r="M18" i="28"/>
  <c r="U49" i="34"/>
  <c r="V79" i="34"/>
  <c r="T43" i="47" s="1"/>
  <c r="V43" i="47" s="1"/>
  <c r="I24" i="44"/>
  <c r="H24" i="44"/>
  <c r="F11" i="52"/>
  <c r="G11" i="52" s="1"/>
  <c r="P80" i="56"/>
  <c r="G11" i="58"/>
  <c r="W78" i="58"/>
  <c r="X78" i="58" s="1"/>
  <c r="E78" i="58"/>
  <c r="E80" i="58" s="1"/>
  <c r="M24" i="58" s="1"/>
  <c r="Q15" i="47" s="1"/>
  <c r="U62" i="62"/>
  <c r="F11" i="63"/>
  <c r="G11" i="63" s="1"/>
  <c r="U52" i="63"/>
  <c r="D65" i="84"/>
  <c r="X51" i="124"/>
  <c r="G10" i="64"/>
  <c r="X66" i="39"/>
  <c r="E68" i="70"/>
  <c r="X79" i="40"/>
  <c r="H93" i="124"/>
  <c r="I93" i="124" s="1"/>
  <c r="H77" i="124"/>
  <c r="G11" i="34"/>
  <c r="G11" i="37"/>
  <c r="G11" i="106"/>
  <c r="N65" i="47"/>
  <c r="Y65" i="47"/>
  <c r="Y57" i="47"/>
  <c r="Y61" i="47"/>
  <c r="AA61" i="47" s="1"/>
  <c r="AC102" i="138"/>
  <c r="AC103" i="138" s="1"/>
  <c r="P339" i="47"/>
  <c r="X339" i="47"/>
  <c r="H77" i="144"/>
  <c r="H75" i="144"/>
  <c r="H87" i="144"/>
  <c r="H73" i="144"/>
  <c r="H96" i="144"/>
  <c r="H90" i="144"/>
  <c r="H91" i="144"/>
  <c r="H76" i="144"/>
  <c r="H78" i="144"/>
  <c r="H80" i="144"/>
  <c r="H97" i="144"/>
  <c r="H79" i="144"/>
  <c r="H88" i="144"/>
  <c r="H74" i="144"/>
  <c r="H83" i="144"/>
  <c r="H92" i="144"/>
  <c r="H94" i="144"/>
  <c r="H71" i="144"/>
  <c r="H98" i="144"/>
  <c r="H89" i="144"/>
  <c r="H72" i="144"/>
  <c r="AB71" i="143"/>
  <c r="AE71" i="143"/>
  <c r="AC102" i="143"/>
  <c r="H79" i="146"/>
  <c r="H91" i="146"/>
  <c r="H80" i="146"/>
  <c r="H92" i="146"/>
  <c r="H77" i="146"/>
  <c r="H89" i="146"/>
  <c r="H78" i="146"/>
  <c r="H94" i="146"/>
  <c r="H83" i="146"/>
  <c r="H72" i="146"/>
  <c r="H84" i="146"/>
  <c r="H81" i="146"/>
  <c r="H71" i="146"/>
  <c r="H82" i="146"/>
  <c r="H75" i="146"/>
  <c r="H95" i="146"/>
  <c r="H76" i="146"/>
  <c r="H96" i="146"/>
  <c r="H73" i="146"/>
  <c r="I73" i="146" s="1"/>
  <c r="H93" i="146"/>
  <c r="H86" i="146"/>
  <c r="H99" i="147"/>
  <c r="H74" i="147"/>
  <c r="H78" i="147"/>
  <c r="H81" i="147"/>
  <c r="H85" i="147"/>
  <c r="H89" i="147"/>
  <c r="H93" i="147"/>
  <c r="H97" i="147"/>
  <c r="H98" i="147"/>
  <c r="H75" i="147"/>
  <c r="H82" i="147"/>
  <c r="H86" i="147"/>
  <c r="H90" i="147"/>
  <c r="H94" i="147"/>
  <c r="H71" i="147"/>
  <c r="H101" i="147"/>
  <c r="H72" i="147"/>
  <c r="H76" i="147"/>
  <c r="H79" i="147"/>
  <c r="H83" i="147"/>
  <c r="H87" i="147"/>
  <c r="H91" i="147"/>
  <c r="H95" i="147"/>
  <c r="D73" i="153"/>
  <c r="D78" i="153"/>
  <c r="D81" i="153"/>
  <c r="D86" i="153"/>
  <c r="I86" i="153" s="1"/>
  <c r="D89" i="153"/>
  <c r="D92" i="153"/>
  <c r="D97" i="153"/>
  <c r="I97" i="153" s="1"/>
  <c r="D100" i="153"/>
  <c r="D76" i="153"/>
  <c r="D79" i="153"/>
  <c r="D84" i="153"/>
  <c r="D87" i="153"/>
  <c r="D95" i="153"/>
  <c r="D98" i="153"/>
  <c r="D72" i="153"/>
  <c r="D74" i="153"/>
  <c r="D77" i="153"/>
  <c r="D82" i="153"/>
  <c r="D85" i="153"/>
  <c r="D90" i="153"/>
  <c r="D93" i="153"/>
  <c r="D96" i="153"/>
  <c r="I96" i="153" s="1"/>
  <c r="J338" i="47"/>
  <c r="H86" i="144"/>
  <c r="H90" i="146"/>
  <c r="H97" i="146"/>
  <c r="I97" i="146" s="1"/>
  <c r="AE78" i="143"/>
  <c r="H73" i="143"/>
  <c r="I73" i="143" s="1"/>
  <c r="H75" i="143"/>
  <c r="I75" i="143" s="1"/>
  <c r="H77" i="143"/>
  <c r="I77" i="143" s="1"/>
  <c r="H79" i="143"/>
  <c r="I79" i="143" s="1"/>
  <c r="H81" i="143"/>
  <c r="I81" i="143" s="1"/>
  <c r="H83" i="143"/>
  <c r="I83" i="143" s="1"/>
  <c r="H99" i="143"/>
  <c r="I99" i="143" s="1"/>
  <c r="H95" i="143"/>
  <c r="I95" i="143" s="1"/>
  <c r="H91" i="143"/>
  <c r="I91" i="143" s="1"/>
  <c r="H87" i="143"/>
  <c r="I87" i="143" s="1"/>
  <c r="H71" i="143"/>
  <c r="H98" i="143"/>
  <c r="I98" i="143" s="1"/>
  <c r="H94" i="143"/>
  <c r="I94" i="143" s="1"/>
  <c r="H90" i="143"/>
  <c r="I90" i="143" s="1"/>
  <c r="H86" i="143"/>
  <c r="I86" i="143" s="1"/>
  <c r="H72" i="143"/>
  <c r="I72" i="143" s="1"/>
  <c r="H74" i="143"/>
  <c r="I74" i="143" s="1"/>
  <c r="H76" i="143"/>
  <c r="I76" i="143" s="1"/>
  <c r="H78" i="143"/>
  <c r="I78" i="143" s="1"/>
  <c r="H80" i="143"/>
  <c r="I80" i="143" s="1"/>
  <c r="H82" i="143"/>
  <c r="I82" i="143" s="1"/>
  <c r="H101" i="143"/>
  <c r="I101" i="143" s="1"/>
  <c r="H97" i="143"/>
  <c r="I97" i="143" s="1"/>
  <c r="H93" i="143"/>
  <c r="I93" i="143" s="1"/>
  <c r="H89" i="143"/>
  <c r="I89" i="143" s="1"/>
  <c r="H85" i="143"/>
  <c r="I85" i="143" s="1"/>
  <c r="AB76" i="143"/>
  <c r="AE76" i="143"/>
  <c r="AB84" i="143"/>
  <c r="AE84" i="143"/>
  <c r="AB92" i="143"/>
  <c r="AE92" i="143"/>
  <c r="AB100" i="143"/>
  <c r="AE100" i="143"/>
  <c r="Z339" i="47"/>
  <c r="D102" i="143"/>
  <c r="E105" i="143" s="1"/>
  <c r="F105" i="143" s="1"/>
  <c r="H85" i="144"/>
  <c r="H84" i="144"/>
  <c r="H81" i="144"/>
  <c r="H74" i="146"/>
  <c r="H100" i="146"/>
  <c r="H87" i="146"/>
  <c r="I87" i="146" s="1"/>
  <c r="H88" i="147"/>
  <c r="H73" i="147"/>
  <c r="H100" i="147"/>
  <c r="D86" i="147"/>
  <c r="D99" i="153"/>
  <c r="D88" i="153"/>
  <c r="D77" i="149"/>
  <c r="D90" i="149"/>
  <c r="D94" i="149"/>
  <c r="D96" i="149"/>
  <c r="I96" i="149" s="1"/>
  <c r="D78" i="149"/>
  <c r="D99" i="149"/>
  <c r="I99" i="149" s="1"/>
  <c r="D73" i="149"/>
  <c r="D85" i="149"/>
  <c r="I85" i="149" s="1"/>
  <c r="D76" i="149"/>
  <c r="D83" i="149"/>
  <c r="D98" i="149"/>
  <c r="D87" i="149"/>
  <c r="D88" i="149"/>
  <c r="D74" i="149"/>
  <c r="D97" i="149"/>
  <c r="D91" i="149"/>
  <c r="D100" i="149"/>
  <c r="D81" i="149"/>
  <c r="H91" i="153"/>
  <c r="I91" i="153" s="1"/>
  <c r="H75" i="153"/>
  <c r="H83" i="153"/>
  <c r="I83" i="153" s="1"/>
  <c r="H94" i="153"/>
  <c r="H95" i="153"/>
  <c r="H71" i="153"/>
  <c r="H90" i="153"/>
  <c r="H84" i="153"/>
  <c r="H78" i="153"/>
  <c r="H73" i="153"/>
  <c r="H81" i="153"/>
  <c r="H89" i="153"/>
  <c r="H92" i="153"/>
  <c r="H100" i="153"/>
  <c r="H99" i="153"/>
  <c r="H93" i="153"/>
  <c r="H88" i="153"/>
  <c r="H82" i="153"/>
  <c r="H76" i="153"/>
  <c r="H79" i="153"/>
  <c r="H87" i="153"/>
  <c r="H98" i="153"/>
  <c r="H80" i="153"/>
  <c r="I80" i="153" s="1"/>
  <c r="H74" i="153"/>
  <c r="J328" i="47"/>
  <c r="D75" i="142"/>
  <c r="D94" i="142"/>
  <c r="D80" i="142"/>
  <c r="D97" i="142"/>
  <c r="D81" i="142"/>
  <c r="D88" i="142"/>
  <c r="I88" i="142" s="1"/>
  <c r="D71" i="142"/>
  <c r="D91" i="142"/>
  <c r="D79" i="142"/>
  <c r="D98" i="142"/>
  <c r="D84" i="142"/>
  <c r="D101" i="142"/>
  <c r="D85" i="142"/>
  <c r="D92" i="142"/>
  <c r="D74" i="142"/>
  <c r="D95" i="142"/>
  <c r="D83" i="142"/>
  <c r="D72" i="142"/>
  <c r="D89" i="142"/>
  <c r="D73" i="142"/>
  <c r="D86" i="142"/>
  <c r="D96" i="142"/>
  <c r="D78" i="142"/>
  <c r="AB74" i="143"/>
  <c r="AE74" i="143"/>
  <c r="AB82" i="143"/>
  <c r="AE82" i="143"/>
  <c r="AB90" i="143"/>
  <c r="AE90" i="143"/>
  <c r="AB98" i="143"/>
  <c r="AE98" i="143"/>
  <c r="H93" i="144"/>
  <c r="H82" i="144"/>
  <c r="X41" i="142"/>
  <c r="M42" i="142"/>
  <c r="H95" i="144"/>
  <c r="H85" i="146"/>
  <c r="H84" i="147"/>
  <c r="D75" i="153"/>
  <c r="J333" i="47"/>
  <c r="D93" i="148"/>
  <c r="D73" i="148"/>
  <c r="D90" i="148"/>
  <c r="D84" i="148"/>
  <c r="D78" i="148"/>
  <c r="D97" i="148"/>
  <c r="D72" i="148"/>
  <c r="D95" i="148"/>
  <c r="D99" i="148"/>
  <c r="I99" i="148" s="1"/>
  <c r="D96" i="148"/>
  <c r="D82" i="148"/>
  <c r="D75" i="148"/>
  <c r="D77" i="148"/>
  <c r="I77" i="148" s="1"/>
  <c r="D89" i="148"/>
  <c r="D87" i="148"/>
  <c r="D91" i="148"/>
  <c r="D76" i="148"/>
  <c r="I76" i="148" s="1"/>
  <c r="D71" i="148"/>
  <c r="D100" i="148"/>
  <c r="D94" i="148"/>
  <c r="I94" i="148" s="1"/>
  <c r="D88" i="148"/>
  <c r="I88" i="148" s="1"/>
  <c r="AE94" i="143"/>
  <c r="AB72" i="143"/>
  <c r="AE72" i="143"/>
  <c r="AB80" i="143"/>
  <c r="AE80" i="143"/>
  <c r="AB88" i="143"/>
  <c r="AE88" i="143"/>
  <c r="AB96" i="143"/>
  <c r="AE96" i="143"/>
  <c r="H77" i="149"/>
  <c r="H101" i="149"/>
  <c r="H73" i="149"/>
  <c r="H74" i="149"/>
  <c r="H82" i="149"/>
  <c r="H87" i="149"/>
  <c r="H93" i="149"/>
  <c r="H97" i="149"/>
  <c r="H100" i="149"/>
  <c r="H75" i="149"/>
  <c r="H79" i="149"/>
  <c r="H76" i="149"/>
  <c r="H84" i="149"/>
  <c r="H90" i="149"/>
  <c r="H94" i="149"/>
  <c r="H81" i="149"/>
  <c r="H83" i="149"/>
  <c r="H78" i="149"/>
  <c r="H88" i="149"/>
  <c r="H91" i="149"/>
  <c r="H95" i="149"/>
  <c r="H98" i="149"/>
  <c r="H75" i="150"/>
  <c r="H83" i="150"/>
  <c r="H91" i="150"/>
  <c r="H72" i="150"/>
  <c r="H80" i="150"/>
  <c r="H88" i="150"/>
  <c r="H96" i="150"/>
  <c r="H77" i="150"/>
  <c r="H85" i="150"/>
  <c r="H93" i="150"/>
  <c r="H101" i="150"/>
  <c r="H74" i="150"/>
  <c r="H82" i="150"/>
  <c r="H90" i="150"/>
  <c r="H98" i="150"/>
  <c r="H99" i="150"/>
  <c r="H79" i="150"/>
  <c r="H87" i="150"/>
  <c r="H95" i="150"/>
  <c r="H71" i="151"/>
  <c r="H74" i="151"/>
  <c r="H82" i="151"/>
  <c r="H79" i="151"/>
  <c r="H85" i="151"/>
  <c r="H90" i="151"/>
  <c r="H93" i="151"/>
  <c r="H98" i="151"/>
  <c r="H76" i="151"/>
  <c r="H84" i="151"/>
  <c r="H75" i="151"/>
  <c r="H81" i="151"/>
  <c r="H88" i="151"/>
  <c r="H91" i="151"/>
  <c r="H96" i="151"/>
  <c r="H99" i="151"/>
  <c r="H78" i="151"/>
  <c r="H77" i="151"/>
  <c r="H86" i="151"/>
  <c r="H89" i="151"/>
  <c r="H94" i="151"/>
  <c r="H97" i="151"/>
  <c r="AF72" i="148"/>
  <c r="AG72" i="148" s="1"/>
  <c r="AD102" i="148"/>
  <c r="AF98" i="144"/>
  <c r="AF90" i="144"/>
  <c r="AF82" i="144"/>
  <c r="AF74" i="144"/>
  <c r="Y330" i="47"/>
  <c r="N330" i="47"/>
  <c r="D97" i="151"/>
  <c r="H97" i="148"/>
  <c r="H93" i="148"/>
  <c r="H90" i="148"/>
  <c r="H86" i="148"/>
  <c r="I86" i="148" s="1"/>
  <c r="H83" i="148"/>
  <c r="H79" i="148"/>
  <c r="I79" i="148" s="1"/>
  <c r="H75" i="148"/>
  <c r="AC71" i="149"/>
  <c r="AD102" i="150"/>
  <c r="AD102" i="144"/>
  <c r="V103" i="144"/>
  <c r="AF96" i="144"/>
  <c r="AF88" i="144"/>
  <c r="AF80" i="144"/>
  <c r="AF72" i="144"/>
  <c r="H100" i="148"/>
  <c r="H96" i="148"/>
  <c r="H89" i="148"/>
  <c r="H85" i="148"/>
  <c r="H82" i="148"/>
  <c r="H78" i="148"/>
  <c r="H73" i="148"/>
  <c r="AF94" i="144"/>
  <c r="AF86" i="144"/>
  <c r="AF78" i="144"/>
  <c r="AF100" i="150"/>
  <c r="AF98" i="150"/>
  <c r="V142" i="47"/>
  <c r="V141" i="47"/>
  <c r="Y334" i="47"/>
  <c r="N334" i="47"/>
  <c r="W43" i="139"/>
  <c r="X43" i="139" s="1"/>
  <c r="Y43" i="139" s="1"/>
  <c r="W39" i="139"/>
  <c r="V331" i="47"/>
  <c r="M32" i="143"/>
  <c r="N32" i="143" s="1"/>
  <c r="W32" i="143"/>
  <c r="V51" i="143"/>
  <c r="K51" i="143"/>
  <c r="AC100" i="142"/>
  <c r="K49" i="142"/>
  <c r="AC86" i="142"/>
  <c r="AF86" i="142"/>
  <c r="AF89" i="142"/>
  <c r="AC89" i="142"/>
  <c r="AF101" i="142"/>
  <c r="AC101" i="142"/>
  <c r="V103" i="142"/>
  <c r="W103" i="142"/>
  <c r="V50" i="142" s="1"/>
  <c r="N33" i="47"/>
  <c r="Y33" i="47"/>
  <c r="AF76" i="142"/>
  <c r="AC76" i="142"/>
  <c r="AF87" i="142"/>
  <c r="AC87" i="142"/>
  <c r="AF95" i="142"/>
  <c r="V103" i="143"/>
  <c r="V50" i="143" s="1"/>
  <c r="Y19" i="47"/>
  <c r="N19" i="47"/>
  <c r="Y39" i="47"/>
  <c r="N39" i="47"/>
  <c r="AF77" i="142"/>
  <c r="AC77" i="142"/>
  <c r="AF88" i="142"/>
  <c r="AC88" i="142"/>
  <c r="X102" i="142"/>
  <c r="AE75" i="142"/>
  <c r="AF75" i="142" s="1"/>
  <c r="S102" i="142"/>
  <c r="AC71" i="142"/>
  <c r="M40" i="143"/>
  <c r="V53" i="143"/>
  <c r="M31" i="143"/>
  <c r="N31" i="143" s="1"/>
  <c r="K49" i="143"/>
  <c r="M30" i="143"/>
  <c r="N30" i="143" s="1"/>
  <c r="M33" i="143"/>
  <c r="N33" i="143" s="1"/>
  <c r="D73" i="47" l="1"/>
  <c r="D102" i="140"/>
  <c r="E105" i="140" s="1"/>
  <c r="I15" i="140" s="1"/>
  <c r="G52" i="104"/>
  <c r="E80" i="104"/>
  <c r="H59" i="104"/>
  <c r="J43" i="44"/>
  <c r="L43" i="44" s="1"/>
  <c r="M43" i="44" s="1"/>
  <c r="J41" i="44"/>
  <c r="L41" i="44" s="1"/>
  <c r="J44" i="44"/>
  <c r="L44" i="44" s="1"/>
  <c r="M44" i="44" s="1"/>
  <c r="J42" i="44"/>
  <c r="L42" i="44" s="1"/>
  <c r="M42" i="44" s="1"/>
  <c r="H64" i="104"/>
  <c r="Z39" i="123"/>
  <c r="E80" i="59"/>
  <c r="M24" i="59" s="1"/>
  <c r="I102" i="133"/>
  <c r="Q42" i="106"/>
  <c r="G68" i="74"/>
  <c r="H65" i="51"/>
  <c r="H50" i="38"/>
  <c r="P58" i="47"/>
  <c r="Z58" i="47"/>
  <c r="X58" i="47"/>
  <c r="H52" i="104"/>
  <c r="D75" i="147"/>
  <c r="X54" i="124"/>
  <c r="D88" i="147"/>
  <c r="H77" i="106"/>
  <c r="W80" i="75"/>
  <c r="L52" i="123"/>
  <c r="X80" i="52"/>
  <c r="Q215" i="47"/>
  <c r="Z215" i="47" s="1"/>
  <c r="Q277" i="47"/>
  <c r="P277" i="47" s="1"/>
  <c r="Q281" i="47"/>
  <c r="Z281" i="47" s="1"/>
  <c r="Q90" i="47"/>
  <c r="X90" i="47" s="1"/>
  <c r="Q325" i="47"/>
  <c r="P325" i="47" s="1"/>
  <c r="Q141" i="47"/>
  <c r="Z141" i="47" s="1"/>
  <c r="Q275" i="47"/>
  <c r="Q183" i="47"/>
  <c r="X183" i="47" s="1"/>
  <c r="Q213" i="47"/>
  <c r="Q226" i="47"/>
  <c r="Q89" i="47"/>
  <c r="Q136" i="47"/>
  <c r="Q105" i="47"/>
  <c r="Q256" i="47"/>
  <c r="Z256" i="47" s="1"/>
  <c r="Q149" i="47"/>
  <c r="Z149" i="47" s="1"/>
  <c r="Q181" i="47"/>
  <c r="Q128" i="47"/>
  <c r="X128" i="47" s="1"/>
  <c r="G72" i="74"/>
  <c r="H70" i="72"/>
  <c r="H65" i="80"/>
  <c r="D80" i="53"/>
  <c r="D15" i="53" s="1"/>
  <c r="E15" i="53" s="1"/>
  <c r="M36" i="26"/>
  <c r="M28" i="26"/>
  <c r="J44" i="84"/>
  <c r="L44" i="84" s="1"/>
  <c r="O44" i="84" s="1"/>
  <c r="O45" i="84" s="1"/>
  <c r="E61" i="47" s="1"/>
  <c r="F61" i="47" s="1"/>
  <c r="S61" i="47" s="1"/>
  <c r="J41" i="84"/>
  <c r="L41" i="84" s="1"/>
  <c r="J42" i="84"/>
  <c r="L42" i="84" s="1"/>
  <c r="M42" i="84" s="1"/>
  <c r="Q42" i="84" s="1"/>
  <c r="G74" i="69"/>
  <c r="H74" i="69" s="1"/>
  <c r="Q42" i="109"/>
  <c r="X80" i="75"/>
  <c r="AA101" i="124"/>
  <c r="U72" i="47" s="1"/>
  <c r="V72" i="47" s="1"/>
  <c r="Q250" i="47"/>
  <c r="X250" i="47" s="1"/>
  <c r="Q315" i="47"/>
  <c r="X315" i="47" s="1"/>
  <c r="Q207" i="47"/>
  <c r="Q80" i="47"/>
  <c r="X80" i="47" s="1"/>
  <c r="Q262" i="47"/>
  <c r="X262" i="47" s="1"/>
  <c r="Q93" i="47"/>
  <c r="Z93" i="47" s="1"/>
  <c r="Q225" i="47"/>
  <c r="X225" i="47" s="1"/>
  <c r="Q82" i="47"/>
  <c r="P82" i="47" s="1"/>
  <c r="Q193" i="47"/>
  <c r="Q324" i="47"/>
  <c r="Q263" i="47"/>
  <c r="Q119" i="47"/>
  <c r="Q79" i="47"/>
  <c r="Q285" i="47"/>
  <c r="X285" i="47" s="1"/>
  <c r="Q238" i="47"/>
  <c r="Q163" i="47"/>
  <c r="Z163" i="47" s="1"/>
  <c r="AA163" i="47" s="1"/>
  <c r="G80" i="77"/>
  <c r="D16" i="77" s="1"/>
  <c r="E16" i="77" s="1"/>
  <c r="G80" i="83"/>
  <c r="D16" i="83" s="1"/>
  <c r="E16" i="83" s="1"/>
  <c r="F33" i="47"/>
  <c r="H86" i="111"/>
  <c r="G86" i="111"/>
  <c r="G60" i="104"/>
  <c r="H60" i="104" s="1"/>
  <c r="G70" i="60"/>
  <c r="H70" i="60" s="1"/>
  <c r="H72" i="104"/>
  <c r="J43" i="84"/>
  <c r="L43" i="84" s="1"/>
  <c r="M43" i="84" s="1"/>
  <c r="Q43" i="84" s="1"/>
  <c r="H67" i="112"/>
  <c r="W89" i="112"/>
  <c r="U70" i="47" s="1"/>
  <c r="V70" i="47" s="1"/>
  <c r="Y63" i="112"/>
  <c r="Y64" i="112" s="1"/>
  <c r="Y65" i="112" s="1"/>
  <c r="Y66" i="112" s="1"/>
  <c r="Y67" i="112" s="1"/>
  <c r="Y68" i="112" s="1"/>
  <c r="Y69" i="112" s="1"/>
  <c r="Y70" i="112" s="1"/>
  <c r="Y71" i="112" s="1"/>
  <c r="Y72" i="112" s="1"/>
  <c r="Y73" i="112" s="1"/>
  <c r="Y74" i="112" s="1"/>
  <c r="Y75" i="112" s="1"/>
  <c r="Y76" i="112" s="1"/>
  <c r="Y77" i="112" s="1"/>
  <c r="Y78" i="112" s="1"/>
  <c r="Y79" i="112" s="1"/>
  <c r="Y80" i="112" s="1"/>
  <c r="Y81" i="112" s="1"/>
  <c r="Y82" i="112" s="1"/>
  <c r="Y83" i="112" s="1"/>
  <c r="Y84" i="112" s="1"/>
  <c r="Y85" i="112" s="1"/>
  <c r="Y86" i="112" s="1"/>
  <c r="Y87" i="112" s="1"/>
  <c r="AB70" i="47"/>
  <c r="AC70" i="47" s="1"/>
  <c r="E89" i="112"/>
  <c r="M21" i="112" s="1"/>
  <c r="H80" i="112"/>
  <c r="X89" i="112"/>
  <c r="K50" i="143"/>
  <c r="AA33" i="47"/>
  <c r="AA65" i="47"/>
  <c r="Y67" i="34"/>
  <c r="Y68" i="34" s="1"/>
  <c r="Y69" i="34" s="1"/>
  <c r="Y70" i="34" s="1"/>
  <c r="P64" i="47"/>
  <c r="W80" i="80"/>
  <c r="U57" i="47" s="1"/>
  <c r="V57" i="47" s="1"/>
  <c r="Q45" i="81"/>
  <c r="AB54" i="47"/>
  <c r="AC54" i="47" s="1"/>
  <c r="D80" i="54"/>
  <c r="D15" i="54" s="1"/>
  <c r="E15" i="54" s="1"/>
  <c r="W80" i="64"/>
  <c r="U18" i="47" s="1"/>
  <c r="V18" i="47" s="1"/>
  <c r="H64" i="66"/>
  <c r="H54" i="51"/>
  <c r="D92" i="148"/>
  <c r="Y51" i="63"/>
  <c r="H56" i="64"/>
  <c r="H51" i="64"/>
  <c r="H57" i="77"/>
  <c r="Y53" i="52"/>
  <c r="Y54" i="52" s="1"/>
  <c r="Y55" i="52" s="1"/>
  <c r="Y56" i="52" s="1"/>
  <c r="Y57" i="52" s="1"/>
  <c r="Y58" i="52" s="1"/>
  <c r="Y59" i="52" s="1"/>
  <c r="Y60" i="52" s="1"/>
  <c r="X80" i="41"/>
  <c r="G58" i="106"/>
  <c r="Z315" i="47"/>
  <c r="W55" i="139"/>
  <c r="Q31" i="106"/>
  <c r="X56" i="74"/>
  <c r="X80" i="74" s="1"/>
  <c r="U29" i="47"/>
  <c r="V29" i="47" s="1"/>
  <c r="K69" i="49"/>
  <c r="G69" i="49"/>
  <c r="G76" i="64"/>
  <c r="M41" i="59"/>
  <c r="M45" i="59" s="1"/>
  <c r="L45" i="59"/>
  <c r="E80" i="80"/>
  <c r="M24" i="80" s="1"/>
  <c r="Q57" i="47" s="1"/>
  <c r="P75" i="47"/>
  <c r="D83" i="148"/>
  <c r="D85" i="148"/>
  <c r="I85" i="148" s="1"/>
  <c r="D98" i="148"/>
  <c r="I98" i="148" s="1"/>
  <c r="I88" i="146"/>
  <c r="Y58" i="61"/>
  <c r="Y59" i="61" s="1"/>
  <c r="H76" i="53"/>
  <c r="I43" i="34"/>
  <c r="K43" i="34" s="1"/>
  <c r="L43" i="34" s="1"/>
  <c r="I42" i="34"/>
  <c r="K42" i="34" s="1"/>
  <c r="L42" i="34" s="1"/>
  <c r="I41" i="34"/>
  <c r="K41" i="34" s="1"/>
  <c r="L41" i="34" s="1"/>
  <c r="I40" i="34"/>
  <c r="K40" i="34" s="1"/>
  <c r="I11" i="83"/>
  <c r="L24" i="83" s="1"/>
  <c r="M33" i="83" s="1"/>
  <c r="Q33" i="83" s="1"/>
  <c r="Q34" i="83"/>
  <c r="G72" i="64"/>
  <c r="G60" i="64"/>
  <c r="H60" i="64" s="1"/>
  <c r="G79" i="64"/>
  <c r="G59" i="64"/>
  <c r="G78" i="64"/>
  <c r="G57" i="64"/>
  <c r="G75" i="64"/>
  <c r="G77" i="64"/>
  <c r="G49" i="64"/>
  <c r="K18" i="47"/>
  <c r="G64" i="64"/>
  <c r="G53" i="64"/>
  <c r="G67" i="64"/>
  <c r="G65" i="64"/>
  <c r="G50" i="64"/>
  <c r="H50" i="64" s="1"/>
  <c r="G55" i="64"/>
  <c r="H55" i="64" s="1"/>
  <c r="G70" i="64"/>
  <c r="G52" i="64"/>
  <c r="K13" i="49"/>
  <c r="G13" i="49"/>
  <c r="N34" i="35"/>
  <c r="M34" i="35"/>
  <c r="H78" i="64"/>
  <c r="H72" i="64"/>
  <c r="I83" i="148"/>
  <c r="I94" i="153"/>
  <c r="I83" i="146"/>
  <c r="X80" i="39"/>
  <c r="H58" i="106"/>
  <c r="Z63" i="47"/>
  <c r="P63" i="47"/>
  <c r="K35" i="53"/>
  <c r="AA101" i="123"/>
  <c r="U71" i="47" s="1"/>
  <c r="V71" i="47" s="1"/>
  <c r="X52" i="47"/>
  <c r="P33" i="47"/>
  <c r="L54" i="134"/>
  <c r="N54" i="134"/>
  <c r="E75" i="47" s="1"/>
  <c r="E80" i="40"/>
  <c r="M24" i="40" s="1"/>
  <c r="Q49" i="47" s="1"/>
  <c r="H61" i="64"/>
  <c r="H75" i="64"/>
  <c r="G80" i="76"/>
  <c r="D16" i="76" s="1"/>
  <c r="E16" i="76" s="1"/>
  <c r="E80" i="41"/>
  <c r="M24" i="41" s="1"/>
  <c r="Q50" i="47" s="1"/>
  <c r="L54" i="124"/>
  <c r="M35" i="63"/>
  <c r="D17" i="47" s="1"/>
  <c r="Z75" i="47"/>
  <c r="D74" i="148"/>
  <c r="I74" i="148" s="1"/>
  <c r="D81" i="148"/>
  <c r="E80" i="35"/>
  <c r="M24" i="35" s="1"/>
  <c r="Q44" i="47" s="1"/>
  <c r="H66" i="72"/>
  <c r="M36" i="12"/>
  <c r="M28" i="12"/>
  <c r="D58" i="64"/>
  <c r="D59" i="64"/>
  <c r="D70" i="64"/>
  <c r="D53" i="64"/>
  <c r="D57" i="64"/>
  <c r="D79" i="64"/>
  <c r="D77" i="64"/>
  <c r="D64" i="64"/>
  <c r="J18" i="47"/>
  <c r="D76" i="64"/>
  <c r="H76" i="64" s="1"/>
  <c r="D71" i="64"/>
  <c r="D66" i="64"/>
  <c r="H66" i="64" s="1"/>
  <c r="S109" i="49"/>
  <c r="G109" i="49"/>
  <c r="H78" i="72"/>
  <c r="H54" i="63"/>
  <c r="AA56" i="47"/>
  <c r="AB56" i="47"/>
  <c r="AC56" i="47" s="1"/>
  <c r="X80" i="71"/>
  <c r="H67" i="64"/>
  <c r="H65" i="64"/>
  <c r="H52" i="64"/>
  <c r="I81" i="148"/>
  <c r="U24" i="47"/>
  <c r="V24" i="47" s="1"/>
  <c r="X56" i="70"/>
  <c r="Y56" i="70" s="1"/>
  <c r="Y57" i="70" s="1"/>
  <c r="Y58" i="70" s="1"/>
  <c r="I24" i="35"/>
  <c r="G70" i="35" s="1"/>
  <c r="H24" i="35"/>
  <c r="M30" i="35"/>
  <c r="M35" i="35" s="1"/>
  <c r="L35" i="35"/>
  <c r="G44" i="47" s="1"/>
  <c r="S34" i="49"/>
  <c r="G34" i="49"/>
  <c r="S37" i="49"/>
  <c r="G37" i="49"/>
  <c r="I11" i="80"/>
  <c r="L24" i="80" s="1"/>
  <c r="M41" i="80" s="1"/>
  <c r="Q34" i="80"/>
  <c r="P244" i="47"/>
  <c r="X118" i="47"/>
  <c r="Z101" i="47"/>
  <c r="Z244" i="47"/>
  <c r="AA244" i="47" s="1"/>
  <c r="Z240" i="47"/>
  <c r="Z180" i="47"/>
  <c r="AB180" i="47" s="1"/>
  <c r="AC180" i="47" s="1"/>
  <c r="AF102" i="140"/>
  <c r="AA281" i="47"/>
  <c r="AB281" i="47"/>
  <c r="AC281" i="47" s="1"/>
  <c r="X149" i="47"/>
  <c r="P149" i="47"/>
  <c r="Z242" i="47"/>
  <c r="AB242" i="47" s="1"/>
  <c r="AC242" i="47" s="1"/>
  <c r="I85" i="153"/>
  <c r="I77" i="153"/>
  <c r="I72" i="153"/>
  <c r="L51" i="152"/>
  <c r="L49" i="152"/>
  <c r="L53" i="152"/>
  <c r="I89" i="152"/>
  <c r="L53" i="151"/>
  <c r="L51" i="151"/>
  <c r="L49" i="151"/>
  <c r="L53" i="150"/>
  <c r="L49" i="150"/>
  <c r="L51" i="150"/>
  <c r="L53" i="149"/>
  <c r="L49" i="149"/>
  <c r="L51" i="149"/>
  <c r="L53" i="146"/>
  <c r="L51" i="146"/>
  <c r="L49" i="146"/>
  <c r="AG73" i="149"/>
  <c r="AG74" i="149" s="1"/>
  <c r="AG75" i="149" s="1"/>
  <c r="AG76" i="149" s="1"/>
  <c r="AG77" i="149" s="1"/>
  <c r="AG78" i="149" s="1"/>
  <c r="AG79" i="149" s="1"/>
  <c r="AG80" i="149" s="1"/>
  <c r="AG81" i="149" s="1"/>
  <c r="AG82" i="149" s="1"/>
  <c r="AG83" i="149" s="1"/>
  <c r="AG84" i="149" s="1"/>
  <c r="AG85" i="149" s="1"/>
  <c r="AG86" i="149" s="1"/>
  <c r="AG87" i="149" s="1"/>
  <c r="AG88" i="149" s="1"/>
  <c r="AG89" i="149" s="1"/>
  <c r="AG90" i="149" s="1"/>
  <c r="AG91" i="149" s="1"/>
  <c r="AG92" i="149" s="1"/>
  <c r="AG93" i="149" s="1"/>
  <c r="AG94" i="149" s="1"/>
  <c r="AG95" i="149" s="1"/>
  <c r="AG96" i="149" s="1"/>
  <c r="AG97" i="149" s="1"/>
  <c r="AG98" i="149" s="1"/>
  <c r="AG99" i="149" s="1"/>
  <c r="AG100" i="149" s="1"/>
  <c r="AG101" i="149" s="1"/>
  <c r="AG73" i="148"/>
  <c r="AG74" i="148" s="1"/>
  <c r="AG75" i="148" s="1"/>
  <c r="AG76" i="148" s="1"/>
  <c r="AG77" i="148" s="1"/>
  <c r="AG78" i="148" s="1"/>
  <c r="AG79" i="148" s="1"/>
  <c r="AG80" i="148" s="1"/>
  <c r="AG81" i="148" s="1"/>
  <c r="AG82" i="148" s="1"/>
  <c r="AG83" i="148" s="1"/>
  <c r="AG84" i="148" s="1"/>
  <c r="AG85" i="148" s="1"/>
  <c r="AG86" i="148" s="1"/>
  <c r="AG87" i="148" s="1"/>
  <c r="AG88" i="148" s="1"/>
  <c r="AG89" i="148" s="1"/>
  <c r="AG90" i="148" s="1"/>
  <c r="AG91" i="148" s="1"/>
  <c r="AG92" i="148" s="1"/>
  <c r="AG93" i="148" s="1"/>
  <c r="AG94" i="148" s="1"/>
  <c r="AG95" i="148" s="1"/>
  <c r="AG96" i="148" s="1"/>
  <c r="AG97" i="148" s="1"/>
  <c r="AG98" i="148" s="1"/>
  <c r="AG99" i="148" s="1"/>
  <c r="AG100" i="148" s="1"/>
  <c r="I87" i="148"/>
  <c r="I91" i="148"/>
  <c r="I95" i="148"/>
  <c r="X240" i="47"/>
  <c r="Z277" i="47"/>
  <c r="AB277" i="47" s="1"/>
  <c r="AC277" i="47" s="1"/>
  <c r="X277" i="47"/>
  <c r="P281" i="47"/>
  <c r="X281" i="47"/>
  <c r="Z90" i="47"/>
  <c r="AB90" i="47" s="1"/>
  <c r="AC90" i="47" s="1"/>
  <c r="P90" i="47"/>
  <c r="P275" i="47"/>
  <c r="X275" i="47"/>
  <c r="Z275" i="47"/>
  <c r="AB275" i="47" s="1"/>
  <c r="AC275" i="47" s="1"/>
  <c r="X201" i="47"/>
  <c r="Z201" i="47"/>
  <c r="AA201" i="47" s="1"/>
  <c r="P146" i="47"/>
  <c r="X146" i="47"/>
  <c r="L49" i="140"/>
  <c r="L53" i="140"/>
  <c r="L51" i="140"/>
  <c r="Q291" i="47"/>
  <c r="X291" i="47" s="1"/>
  <c r="Q286" i="47"/>
  <c r="Z286" i="47" s="1"/>
  <c r="Q247" i="47"/>
  <c r="X247" i="47" s="1"/>
  <c r="Q320" i="47"/>
  <c r="Z320" i="47" s="1"/>
  <c r="Q279" i="47"/>
  <c r="P279" i="47" s="1"/>
  <c r="Q303" i="47"/>
  <c r="X303" i="47" s="1"/>
  <c r="Q229" i="47"/>
  <c r="X229" i="47" s="1"/>
  <c r="Q188" i="47"/>
  <c r="Z188" i="47" s="1"/>
  <c r="Q157" i="47"/>
  <c r="Z157" i="47" s="1"/>
  <c r="Q131" i="47"/>
  <c r="Q107" i="47"/>
  <c r="P107" i="47" s="1"/>
  <c r="Q251" i="47"/>
  <c r="P251" i="47" s="1"/>
  <c r="Q265" i="47"/>
  <c r="P265" i="47" s="1"/>
  <c r="Q327" i="47"/>
  <c r="X327" i="47" s="1"/>
  <c r="Q301" i="47"/>
  <c r="Z301" i="47" s="1"/>
  <c r="Q224" i="47"/>
  <c r="X224" i="47" s="1"/>
  <c r="Q311" i="47"/>
  <c r="X311" i="47" s="1"/>
  <c r="Q295" i="47"/>
  <c r="Q219" i="47"/>
  <c r="P219" i="47" s="1"/>
  <c r="Q280" i="47"/>
  <c r="Z280" i="47" s="1"/>
  <c r="Q206" i="47"/>
  <c r="X206" i="47" s="1"/>
  <c r="Q190" i="47"/>
  <c r="Z190" i="47" s="1"/>
  <c r="Q102" i="47"/>
  <c r="X102" i="47" s="1"/>
  <c r="Q100" i="47"/>
  <c r="P100" i="47" s="1"/>
  <c r="Q127" i="47"/>
  <c r="Z127" i="47" s="1"/>
  <c r="Q109" i="47"/>
  <c r="Z109" i="47" s="1"/>
  <c r="Q92" i="47"/>
  <c r="Z92" i="47" s="1"/>
  <c r="X322" i="47"/>
  <c r="X180" i="47"/>
  <c r="X256" i="47"/>
  <c r="P80" i="47"/>
  <c r="X242" i="47"/>
  <c r="Q283" i="47"/>
  <c r="Q171" i="47"/>
  <c r="Q276" i="47"/>
  <c r="X276" i="47" s="1"/>
  <c r="Q245" i="47"/>
  <c r="Z245" i="47" s="1"/>
  <c r="AB245" i="47" s="1"/>
  <c r="AC245" i="47" s="1"/>
  <c r="Q217" i="47"/>
  <c r="Q178" i="47"/>
  <c r="P178" i="47" s="1"/>
  <c r="Q106" i="47"/>
  <c r="X106" i="47" s="1"/>
  <c r="Q326" i="47"/>
  <c r="P326" i="47" s="1"/>
  <c r="Q236" i="47"/>
  <c r="Z236" i="47" s="1"/>
  <c r="Q122" i="47"/>
  <c r="Z122" i="47" s="1"/>
  <c r="AA122" i="47" s="1"/>
  <c r="Q164" i="47"/>
  <c r="P164" i="47" s="1"/>
  <c r="Q94" i="47"/>
  <c r="P94" i="47" s="1"/>
  <c r="Q147" i="47"/>
  <c r="P147" i="47" s="1"/>
  <c r="Q318" i="47"/>
  <c r="X318" i="47" s="1"/>
  <c r="Q258" i="47"/>
  <c r="P258" i="47" s="1"/>
  <c r="Q103" i="47"/>
  <c r="P103" i="47" s="1"/>
  <c r="Q323" i="47"/>
  <c r="Z323" i="47" s="1"/>
  <c r="Q204" i="47"/>
  <c r="Z204" i="47" s="1"/>
  <c r="Q261" i="47"/>
  <c r="X261" i="47" s="1"/>
  <c r="Q264" i="47"/>
  <c r="Z264" i="47" s="1"/>
  <c r="Q228" i="47"/>
  <c r="X228" i="47" s="1"/>
  <c r="Q235" i="47"/>
  <c r="P235" i="47" s="1"/>
  <c r="Q179" i="47"/>
  <c r="X179" i="47" s="1"/>
  <c r="Q168" i="47"/>
  <c r="P168" i="47" s="1"/>
  <c r="Q108" i="47"/>
  <c r="Z108" i="47" s="1"/>
  <c r="Q220" i="47"/>
  <c r="Z220" i="47" s="1"/>
  <c r="Q293" i="47"/>
  <c r="X293" i="47" s="1"/>
  <c r="Q241" i="47"/>
  <c r="Z241" i="47" s="1"/>
  <c r="Q216" i="47"/>
  <c r="Z216" i="47" s="1"/>
  <c r="Q139" i="47"/>
  <c r="X139" i="47" s="1"/>
  <c r="Q210" i="47"/>
  <c r="P210" i="47" s="1"/>
  <c r="Q177" i="47"/>
  <c r="P177" i="47" s="1"/>
  <c r="Q152" i="47"/>
  <c r="P152" i="47" s="1"/>
  <c r="Q98" i="47"/>
  <c r="Z98" i="47" s="1"/>
  <c r="Q209" i="47"/>
  <c r="P209" i="47" s="1"/>
  <c r="Q306" i="47"/>
  <c r="Z306" i="47" s="1"/>
  <c r="Q308" i="47"/>
  <c r="Z308" i="47" s="1"/>
  <c r="Q222" i="47"/>
  <c r="Z222" i="47" s="1"/>
  <c r="Q205" i="47"/>
  <c r="X205" i="47" s="1"/>
  <c r="Q234" i="47"/>
  <c r="X234" i="47" s="1"/>
  <c r="Q273" i="47"/>
  <c r="Z273" i="47" s="1"/>
  <c r="Q161" i="47"/>
  <c r="Z161" i="47" s="1"/>
  <c r="Q166" i="47"/>
  <c r="P166" i="47" s="1"/>
  <c r="Q174" i="47"/>
  <c r="X174" i="47" s="1"/>
  <c r="Q110" i="47"/>
  <c r="X110" i="47" s="1"/>
  <c r="Q84" i="47"/>
  <c r="Z84" i="47" s="1"/>
  <c r="Q135" i="47"/>
  <c r="P135" i="47" s="1"/>
  <c r="Q266" i="47"/>
  <c r="P266" i="47" s="1"/>
  <c r="Q317" i="47"/>
  <c r="Z317" i="47" s="1"/>
  <c r="Q246" i="47"/>
  <c r="X246" i="47" s="1"/>
  <c r="Q186" i="47"/>
  <c r="P186" i="47" s="1"/>
  <c r="Q200" i="47"/>
  <c r="P200" i="47" s="1"/>
  <c r="Q252" i="47"/>
  <c r="Z252" i="47" s="1"/>
  <c r="Q298" i="47"/>
  <c r="X298" i="47" s="1"/>
  <c r="Q255" i="47"/>
  <c r="Z255" i="47" s="1"/>
  <c r="Q154" i="47"/>
  <c r="P154" i="47" s="1"/>
  <c r="Q192" i="47"/>
  <c r="X192" i="47" s="1"/>
  <c r="Q156" i="47"/>
  <c r="Z156" i="47" s="1"/>
  <c r="Q153" i="47"/>
  <c r="X153" i="47" s="1"/>
  <c r="Q95" i="47"/>
  <c r="X95" i="47" s="1"/>
  <c r="Q83" i="47"/>
  <c r="P83" i="47" s="1"/>
  <c r="P322" i="47"/>
  <c r="X101" i="47"/>
  <c r="P256" i="47"/>
  <c r="X238" i="47"/>
  <c r="Q160" i="47"/>
  <c r="P160" i="47" s="1"/>
  <c r="Q138" i="47"/>
  <c r="Z138" i="47" s="1"/>
  <c r="AA138" i="47" s="1"/>
  <c r="Q294" i="47"/>
  <c r="Z294" i="47" s="1"/>
  <c r="Q145" i="47"/>
  <c r="Q253" i="47"/>
  <c r="Q214" i="47"/>
  <c r="Q158" i="47"/>
  <c r="Q126" i="47"/>
  <c r="Q249" i="47"/>
  <c r="X249" i="47" s="1"/>
  <c r="Q184" i="47"/>
  <c r="X184" i="47" s="1"/>
  <c r="Q202" i="47"/>
  <c r="Z202" i="47" s="1"/>
  <c r="Q143" i="47"/>
  <c r="Z143" i="47" s="1"/>
  <c r="AA143" i="47" s="1"/>
  <c r="Q111" i="47"/>
  <c r="Q300" i="47"/>
  <c r="P300" i="47" s="1"/>
  <c r="Q243" i="47"/>
  <c r="P243" i="47" s="1"/>
  <c r="Q167" i="47"/>
  <c r="Z167" i="47" s="1"/>
  <c r="Q116" i="47"/>
  <c r="Q307" i="47"/>
  <c r="X307" i="47" s="1"/>
  <c r="Q316" i="47"/>
  <c r="P316" i="47" s="1"/>
  <c r="Q212" i="47"/>
  <c r="X212" i="47" s="1"/>
  <c r="Q287" i="47"/>
  <c r="Q282" i="47"/>
  <c r="P282" i="47" s="1"/>
  <c r="Q211" i="47"/>
  <c r="X211" i="47" s="1"/>
  <c r="Q159" i="47"/>
  <c r="P159" i="47" s="1"/>
  <c r="Q123" i="47"/>
  <c r="Q99" i="47"/>
  <c r="P99" i="47" s="1"/>
  <c r="Q267" i="47"/>
  <c r="Z267" i="47" s="1"/>
  <c r="Q313" i="47"/>
  <c r="X313" i="47" s="1"/>
  <c r="Q137" i="47"/>
  <c r="Q268" i="47"/>
  <c r="Z268" i="47" s="1"/>
  <c r="Q274" i="47"/>
  <c r="P274" i="47" s="1"/>
  <c r="Q195" i="47"/>
  <c r="P195" i="47" s="1"/>
  <c r="Q142" i="47"/>
  <c r="Q114" i="47"/>
  <c r="X114" i="47" s="1"/>
  <c r="Q87" i="47"/>
  <c r="Z87" i="47" s="1"/>
  <c r="L53" i="153"/>
  <c r="L51" i="153"/>
  <c r="F106" i="149"/>
  <c r="I16" i="149"/>
  <c r="D95" i="147"/>
  <c r="I95" i="147" s="1"/>
  <c r="D77" i="147"/>
  <c r="D78" i="147"/>
  <c r="I78" i="147" s="1"/>
  <c r="D93" i="147"/>
  <c r="D82" i="147"/>
  <c r="I82" i="147" s="1"/>
  <c r="D71" i="147"/>
  <c r="D99" i="147"/>
  <c r="D96" i="147"/>
  <c r="I96" i="147" s="1"/>
  <c r="D87" i="147"/>
  <c r="D79" i="147"/>
  <c r="D72" i="147"/>
  <c r="D89" i="147"/>
  <c r="D92" i="147"/>
  <c r="I92" i="147" s="1"/>
  <c r="D81" i="147"/>
  <c r="D97" i="147"/>
  <c r="G76" i="81"/>
  <c r="G63" i="81"/>
  <c r="G71" i="81"/>
  <c r="G57" i="81"/>
  <c r="G65" i="81"/>
  <c r="G70" i="81"/>
  <c r="G67" i="81"/>
  <c r="G59" i="81"/>
  <c r="G74" i="81"/>
  <c r="G42" i="47"/>
  <c r="I42" i="47" s="1"/>
  <c r="L34" i="61"/>
  <c r="AB81" i="133"/>
  <c r="AB102" i="133" s="1"/>
  <c r="AA102" i="133"/>
  <c r="X59" i="91"/>
  <c r="W89" i="91"/>
  <c r="U67" i="47" s="1"/>
  <c r="V67" i="47" s="1"/>
  <c r="M41" i="43"/>
  <c r="L45" i="43"/>
  <c r="H59" i="105"/>
  <c r="G80" i="105"/>
  <c r="D16" i="105" s="1"/>
  <c r="E16" i="105" s="1"/>
  <c r="Y80" i="106"/>
  <c r="AL80" i="106"/>
  <c r="Q42" i="107"/>
  <c r="G61" i="81"/>
  <c r="H80" i="91"/>
  <c r="G89" i="91"/>
  <c r="E93" i="91" s="1"/>
  <c r="F93" i="91" s="1"/>
  <c r="D91" i="147"/>
  <c r="D83" i="147"/>
  <c r="M45" i="43"/>
  <c r="AC71" i="123"/>
  <c r="AC72" i="123" s="1"/>
  <c r="AC73" i="123" s="1"/>
  <c r="AC74" i="123" s="1"/>
  <c r="AC75" i="123" s="1"/>
  <c r="AC76" i="123" s="1"/>
  <c r="AC77" i="123" s="1"/>
  <c r="AC78" i="123" s="1"/>
  <c r="AC79" i="123" s="1"/>
  <c r="AC80" i="123" s="1"/>
  <c r="AC81" i="123" s="1"/>
  <c r="AC82" i="123" s="1"/>
  <c r="AC83" i="123" s="1"/>
  <c r="AC84" i="123" s="1"/>
  <c r="AC85" i="123" s="1"/>
  <c r="AC86" i="123" s="1"/>
  <c r="AC87" i="123" s="1"/>
  <c r="AC88" i="123" s="1"/>
  <c r="AC89" i="123" s="1"/>
  <c r="AC90" i="123" s="1"/>
  <c r="AC91" i="123" s="1"/>
  <c r="AC92" i="123" s="1"/>
  <c r="AC93" i="123" s="1"/>
  <c r="AC94" i="123" s="1"/>
  <c r="AC95" i="123" s="1"/>
  <c r="AC96" i="123" s="1"/>
  <c r="AC97" i="123" s="1"/>
  <c r="AC98" i="123" s="1"/>
  <c r="F58" i="47"/>
  <c r="S58" i="47" s="1"/>
  <c r="F106" i="150"/>
  <c r="I16" i="150"/>
  <c r="H71" i="38"/>
  <c r="V54" i="150"/>
  <c r="V54" i="147"/>
  <c r="G62" i="37"/>
  <c r="H62" i="37" s="1"/>
  <c r="G10" i="109"/>
  <c r="G12" i="109" s="1"/>
  <c r="F12" i="109"/>
  <c r="I24" i="107"/>
  <c r="H24" i="107"/>
  <c r="O31" i="107"/>
  <c r="Q31" i="107" s="1"/>
  <c r="K54" i="148"/>
  <c r="M28" i="9"/>
  <c r="M30" i="9"/>
  <c r="M32" i="9" s="1"/>
  <c r="M33" i="9" s="1"/>
  <c r="M36" i="9"/>
  <c r="L42" i="123"/>
  <c r="M42" i="123" s="1"/>
  <c r="N42" i="123" s="1"/>
  <c r="L40" i="123"/>
  <c r="M40" i="123" s="1"/>
  <c r="N40" i="123" s="1"/>
  <c r="L38" i="123"/>
  <c r="L41" i="123"/>
  <c r="M41" i="123" s="1"/>
  <c r="N41" i="123" s="1"/>
  <c r="M32" i="43"/>
  <c r="M35" i="43" s="1"/>
  <c r="L35" i="43"/>
  <c r="G55" i="75"/>
  <c r="G58" i="75"/>
  <c r="H58" i="75" s="1"/>
  <c r="G75" i="75"/>
  <c r="G70" i="75"/>
  <c r="G59" i="75"/>
  <c r="G65" i="75"/>
  <c r="G71" i="75"/>
  <c r="G50" i="75"/>
  <c r="G73" i="75"/>
  <c r="G62" i="75"/>
  <c r="G53" i="75"/>
  <c r="G68" i="75"/>
  <c r="G49" i="75"/>
  <c r="G78" i="75"/>
  <c r="G50" i="74"/>
  <c r="G74" i="74"/>
  <c r="G61" i="75"/>
  <c r="H73" i="106"/>
  <c r="G72" i="75"/>
  <c r="H77" i="34"/>
  <c r="H52" i="66"/>
  <c r="I84" i="148"/>
  <c r="H75" i="75"/>
  <c r="I84" i="149"/>
  <c r="H53" i="80"/>
  <c r="W80" i="74"/>
  <c r="G80" i="109"/>
  <c r="D16" i="109" s="1"/>
  <c r="E16" i="109" s="1"/>
  <c r="F106" i="148"/>
  <c r="I16" i="148"/>
  <c r="AG71" i="142"/>
  <c r="AG72" i="142" s="1"/>
  <c r="AG73" i="142" s="1"/>
  <c r="AG74" i="142" s="1"/>
  <c r="AG75" i="142" s="1"/>
  <c r="AG76" i="142" s="1"/>
  <c r="AG77" i="142" s="1"/>
  <c r="AG78" i="142" s="1"/>
  <c r="AG79" i="142" s="1"/>
  <c r="AG80" i="142" s="1"/>
  <c r="AG81" i="142" s="1"/>
  <c r="AG82" i="142" s="1"/>
  <c r="AG83" i="142" s="1"/>
  <c r="AG84" i="142" s="1"/>
  <c r="AG85" i="142" s="1"/>
  <c r="AG86" i="142" s="1"/>
  <c r="AG87" i="142" s="1"/>
  <c r="AG88" i="142" s="1"/>
  <c r="AG89" i="142" s="1"/>
  <c r="AG90" i="142" s="1"/>
  <c r="AG91" i="142" s="1"/>
  <c r="AG92" i="142" s="1"/>
  <c r="AG93" i="142" s="1"/>
  <c r="AG94" i="142" s="1"/>
  <c r="AG95" i="142" s="1"/>
  <c r="AG96" i="142" s="1"/>
  <c r="AG97" i="142" s="1"/>
  <c r="AG98" i="142" s="1"/>
  <c r="AG99" i="142" s="1"/>
  <c r="AG100" i="142" s="1"/>
  <c r="AG101" i="142" s="1"/>
  <c r="W54" i="124"/>
  <c r="Q41" i="106"/>
  <c r="Q45" i="106" s="1"/>
  <c r="F106" i="151"/>
  <c r="I16" i="151"/>
  <c r="I89" i="140"/>
  <c r="F106" i="152"/>
  <c r="I16" i="152"/>
  <c r="G62" i="111"/>
  <c r="H62" i="111" s="1"/>
  <c r="V54" i="151"/>
  <c r="Q221" i="47"/>
  <c r="Q290" i="47"/>
  <c r="Q310" i="47"/>
  <c r="Q162" i="47"/>
  <c r="E80" i="36"/>
  <c r="M24" i="36" s="1"/>
  <c r="Q45" i="47" s="1"/>
  <c r="E80" i="75"/>
  <c r="M24" i="75" s="1"/>
  <c r="M28" i="29"/>
  <c r="M30" i="29"/>
  <c r="M32" i="29" s="1"/>
  <c r="M33" i="29" s="1"/>
  <c r="M36" i="29"/>
  <c r="G77" i="62"/>
  <c r="H77" i="62"/>
  <c r="M28" i="32"/>
  <c r="M36" i="32"/>
  <c r="M30" i="32"/>
  <c r="M32" i="32" s="1"/>
  <c r="M33" i="32" s="1"/>
  <c r="O41" i="107"/>
  <c r="L45" i="107"/>
  <c r="M41" i="107"/>
  <c r="M34" i="107"/>
  <c r="O34" i="107"/>
  <c r="O35" i="107" s="1"/>
  <c r="D65" i="47" s="1"/>
  <c r="K30" i="72"/>
  <c r="K33" i="72"/>
  <c r="L33" i="72" s="1"/>
  <c r="M33" i="72" s="1"/>
  <c r="K31" i="72"/>
  <c r="L31" i="72" s="1"/>
  <c r="M31" i="72" s="1"/>
  <c r="K32" i="72"/>
  <c r="L32" i="72" s="1"/>
  <c r="M32" i="72" s="1"/>
  <c r="V54" i="149"/>
  <c r="V54" i="148"/>
  <c r="O34" i="82"/>
  <c r="M34" i="82"/>
  <c r="G78" i="74"/>
  <c r="G60" i="71"/>
  <c r="H60" i="71" s="1"/>
  <c r="G71" i="69"/>
  <c r="H71" i="69" s="1"/>
  <c r="G66" i="106"/>
  <c r="H66" i="106" s="1"/>
  <c r="G78" i="106"/>
  <c r="H78" i="106" s="1"/>
  <c r="G60" i="106"/>
  <c r="G63" i="106"/>
  <c r="H63" i="106" s="1"/>
  <c r="G69" i="106"/>
  <c r="H69" i="106" s="1"/>
  <c r="G76" i="106"/>
  <c r="H76" i="106" s="1"/>
  <c r="G74" i="106"/>
  <c r="H74" i="106" s="1"/>
  <c r="G56" i="106"/>
  <c r="H56" i="106" s="1"/>
  <c r="G59" i="106"/>
  <c r="G57" i="106"/>
  <c r="H57" i="106" s="1"/>
  <c r="G79" i="106"/>
  <c r="H79" i="106" s="1"/>
  <c r="G64" i="106"/>
  <c r="H64" i="106" s="1"/>
  <c r="G62" i="106"/>
  <c r="G70" i="106"/>
  <c r="H70" i="106" s="1"/>
  <c r="G53" i="106"/>
  <c r="G54" i="106"/>
  <c r="H54" i="106" s="1"/>
  <c r="G72" i="106"/>
  <c r="H72" i="106" s="1"/>
  <c r="G68" i="106"/>
  <c r="H68" i="106" s="1"/>
  <c r="G67" i="106"/>
  <c r="H67" i="106" s="1"/>
  <c r="G71" i="106"/>
  <c r="H71" i="106" s="1"/>
  <c r="G75" i="106"/>
  <c r="H75" i="106" s="1"/>
  <c r="G51" i="106"/>
  <c r="H51" i="106" s="1"/>
  <c r="G52" i="106"/>
  <c r="H52" i="106" s="1"/>
  <c r="G65" i="106"/>
  <c r="H65" i="106" s="1"/>
  <c r="G49" i="106"/>
  <c r="G52" i="74"/>
  <c r="G54" i="75"/>
  <c r="D52" i="75"/>
  <c r="H52" i="75" s="1"/>
  <c r="D61" i="75"/>
  <c r="D59" i="75"/>
  <c r="D72" i="75"/>
  <c r="D53" i="75"/>
  <c r="H53" i="75" s="1"/>
  <c r="D77" i="75"/>
  <c r="H77" i="75" s="1"/>
  <c r="D66" i="75"/>
  <c r="H66" i="75" s="1"/>
  <c r="D69" i="75"/>
  <c r="H69" i="75" s="1"/>
  <c r="D73" i="75"/>
  <c r="H73" i="75" s="1"/>
  <c r="D60" i="75"/>
  <c r="H60" i="75" s="1"/>
  <c r="D63" i="75"/>
  <c r="D65" i="75"/>
  <c r="H65" i="75" s="1"/>
  <c r="D50" i="75"/>
  <c r="H50" i="75" s="1"/>
  <c r="D76" i="75"/>
  <c r="J30" i="47"/>
  <c r="D57" i="75"/>
  <c r="H57" i="75" s="1"/>
  <c r="D71" i="75"/>
  <c r="H71" i="75" s="1"/>
  <c r="D62" i="75"/>
  <c r="H62" i="75" s="1"/>
  <c r="D64" i="75"/>
  <c r="D78" i="75"/>
  <c r="D79" i="75"/>
  <c r="H79" i="75" s="1"/>
  <c r="D55" i="75"/>
  <c r="H55" i="75" s="1"/>
  <c r="D54" i="75"/>
  <c r="D51" i="75"/>
  <c r="D49" i="75"/>
  <c r="D68" i="75"/>
  <c r="H68" i="75" s="1"/>
  <c r="D70" i="75"/>
  <c r="H70" i="75" s="1"/>
  <c r="D74" i="75"/>
  <c r="H52" i="69"/>
  <c r="D80" i="69"/>
  <c r="D15" i="69" s="1"/>
  <c r="E15" i="69" s="1"/>
  <c r="G59" i="74"/>
  <c r="G63" i="75"/>
  <c r="G64" i="75"/>
  <c r="H64" i="60"/>
  <c r="M45" i="70"/>
  <c r="E24" i="47" s="1"/>
  <c r="AG72" i="150"/>
  <c r="AG73" i="150" s="1"/>
  <c r="AG74" i="150" s="1"/>
  <c r="AG75" i="150" s="1"/>
  <c r="AG76" i="150" s="1"/>
  <c r="AG77" i="150" s="1"/>
  <c r="AG78" i="150" s="1"/>
  <c r="AG79" i="150" s="1"/>
  <c r="AG80" i="150" s="1"/>
  <c r="AG81" i="150" s="1"/>
  <c r="AG82" i="150" s="1"/>
  <c r="AG83" i="150" s="1"/>
  <c r="AG84" i="150" s="1"/>
  <c r="AG85" i="150" s="1"/>
  <c r="AG86" i="150" s="1"/>
  <c r="AG87" i="150" s="1"/>
  <c r="AG88" i="150" s="1"/>
  <c r="AG89" i="150" s="1"/>
  <c r="AG90" i="150" s="1"/>
  <c r="AG91" i="150" s="1"/>
  <c r="AG92" i="150" s="1"/>
  <c r="AG93" i="150" s="1"/>
  <c r="AG94" i="150" s="1"/>
  <c r="AG95" i="150" s="1"/>
  <c r="AG96" i="150" s="1"/>
  <c r="AG97" i="150" s="1"/>
  <c r="AG98" i="150" s="1"/>
  <c r="AG99" i="150" s="1"/>
  <c r="AG100" i="150" s="1"/>
  <c r="AG101" i="150" s="1"/>
  <c r="G66" i="111"/>
  <c r="H66" i="111"/>
  <c r="V54" i="153"/>
  <c r="V54" i="152"/>
  <c r="F106" i="147"/>
  <c r="I16" i="147"/>
  <c r="O34" i="109"/>
  <c r="M34" i="109"/>
  <c r="Q34" i="109" s="1"/>
  <c r="H24" i="67"/>
  <c r="I24" i="67"/>
  <c r="G67" i="67" s="1"/>
  <c r="M30" i="18"/>
  <c r="M32" i="18" s="1"/>
  <c r="M33" i="18" s="1"/>
  <c r="M28" i="18"/>
  <c r="M36" i="18"/>
  <c r="O33" i="76"/>
  <c r="M33" i="76"/>
  <c r="L44" i="124"/>
  <c r="M41" i="124"/>
  <c r="O33" i="82"/>
  <c r="L35" i="82"/>
  <c r="J44" i="56"/>
  <c r="L44" i="56" s="1"/>
  <c r="M44" i="56" s="1"/>
  <c r="J41" i="56"/>
  <c r="L41" i="56" s="1"/>
  <c r="J42" i="56"/>
  <c r="L42" i="56" s="1"/>
  <c r="M42" i="56" s="1"/>
  <c r="J43" i="56"/>
  <c r="L43" i="56" s="1"/>
  <c r="M43" i="56" s="1"/>
  <c r="O29" i="47"/>
  <c r="K29" i="47"/>
  <c r="G54" i="74"/>
  <c r="G67" i="74"/>
  <c r="G69" i="74"/>
  <c r="G55" i="74"/>
  <c r="G61" i="74"/>
  <c r="G77" i="74"/>
  <c r="G62" i="74"/>
  <c r="G56" i="74"/>
  <c r="G70" i="74"/>
  <c r="G51" i="74"/>
  <c r="G64" i="74"/>
  <c r="G63" i="74"/>
  <c r="G71" i="74"/>
  <c r="G49" i="74"/>
  <c r="G57" i="74"/>
  <c r="G73" i="74"/>
  <c r="G79" i="74"/>
  <c r="G65" i="74"/>
  <c r="G58" i="74"/>
  <c r="G67" i="75"/>
  <c r="G74" i="75"/>
  <c r="G66" i="74"/>
  <c r="G76" i="75"/>
  <c r="H76" i="75" s="1"/>
  <c r="H62" i="106"/>
  <c r="H53" i="106"/>
  <c r="H59" i="106"/>
  <c r="H67" i="75"/>
  <c r="H63" i="40"/>
  <c r="AB101" i="123"/>
  <c r="AC81" i="133"/>
  <c r="AC82" i="133" s="1"/>
  <c r="AC83" i="133" s="1"/>
  <c r="AC84" i="133" s="1"/>
  <c r="AC85" i="133" s="1"/>
  <c r="AC86" i="133" s="1"/>
  <c r="AC87" i="133" s="1"/>
  <c r="AC88" i="133" s="1"/>
  <c r="AC89" i="133" s="1"/>
  <c r="AC90" i="133" s="1"/>
  <c r="AC91" i="133" s="1"/>
  <c r="AC92" i="133" s="1"/>
  <c r="AC93" i="133" s="1"/>
  <c r="AC94" i="133" s="1"/>
  <c r="AC95" i="133" s="1"/>
  <c r="AC96" i="133" s="1"/>
  <c r="AC97" i="133" s="1"/>
  <c r="AC98" i="133" s="1"/>
  <c r="AC99" i="133" s="1"/>
  <c r="F106" i="146"/>
  <c r="I16" i="146"/>
  <c r="H60" i="106"/>
  <c r="H67" i="71"/>
  <c r="D80" i="63"/>
  <c r="D15" i="63" s="1"/>
  <c r="E15" i="63" s="1"/>
  <c r="G79" i="34"/>
  <c r="D16" i="34" s="1"/>
  <c r="E16" i="34" s="1"/>
  <c r="X41" i="110"/>
  <c r="X29" i="140"/>
  <c r="Y29" i="140" s="1"/>
  <c r="X31" i="140"/>
  <c r="Y31" i="140" s="1"/>
  <c r="X32" i="140"/>
  <c r="Y32" i="140" s="1"/>
  <c r="X33" i="140"/>
  <c r="Y33" i="140" s="1"/>
  <c r="X30" i="140"/>
  <c r="Y30" i="140" s="1"/>
  <c r="X28" i="140"/>
  <c r="F106" i="153"/>
  <c r="I16" i="153"/>
  <c r="K54" i="147"/>
  <c r="V54" i="140"/>
  <c r="P44" i="47"/>
  <c r="X44" i="47"/>
  <c r="Z44" i="47"/>
  <c r="M28" i="23"/>
  <c r="M36" i="23"/>
  <c r="M30" i="23"/>
  <c r="M32" i="23" s="1"/>
  <c r="M33" i="23" s="1"/>
  <c r="M32" i="109"/>
  <c r="L35" i="109"/>
  <c r="M44" i="107"/>
  <c r="O44" i="107"/>
  <c r="O43" i="107"/>
  <c r="Q43" i="107" s="1"/>
  <c r="M34" i="76"/>
  <c r="O34" i="76"/>
  <c r="K33" i="61"/>
  <c r="L33" i="61" s="1"/>
  <c r="M33" i="61" s="1"/>
  <c r="K31" i="61"/>
  <c r="L31" i="61" s="1"/>
  <c r="M31" i="61" s="1"/>
  <c r="K30" i="61"/>
  <c r="K32" i="61"/>
  <c r="L32" i="61" s="1"/>
  <c r="M32" i="61" s="1"/>
  <c r="D74" i="74"/>
  <c r="D63" i="74"/>
  <c r="D64" i="74"/>
  <c r="H64" i="74" s="1"/>
  <c r="D50" i="74"/>
  <c r="H50" i="74" s="1"/>
  <c r="D59" i="74"/>
  <c r="H59" i="74" s="1"/>
  <c r="D56" i="74"/>
  <c r="H56" i="74" s="1"/>
  <c r="D61" i="74"/>
  <c r="H61" i="74" s="1"/>
  <c r="D78" i="74"/>
  <c r="H78" i="74" s="1"/>
  <c r="D51" i="74"/>
  <c r="H51" i="74" s="1"/>
  <c r="D54" i="74"/>
  <c r="D53" i="74"/>
  <c r="H53" i="74" s="1"/>
  <c r="D67" i="74"/>
  <c r="H67" i="74" s="1"/>
  <c r="D52" i="74"/>
  <c r="H52" i="74" s="1"/>
  <c r="D57" i="74"/>
  <c r="D72" i="74"/>
  <c r="H72" i="74" s="1"/>
  <c r="D71" i="74"/>
  <c r="D73" i="74"/>
  <c r="H73" i="74" s="1"/>
  <c r="D75" i="74"/>
  <c r="D49" i="74"/>
  <c r="D77" i="74"/>
  <c r="H77" i="74" s="1"/>
  <c r="D70" i="74"/>
  <c r="H70" i="74" s="1"/>
  <c r="D55" i="74"/>
  <c r="H55" i="74" s="1"/>
  <c r="D62" i="74"/>
  <c r="H62" i="74" s="1"/>
  <c r="D68" i="74"/>
  <c r="H68" i="74" s="1"/>
  <c r="D58" i="74"/>
  <c r="H58" i="74" s="1"/>
  <c r="D76" i="74"/>
  <c r="H76" i="74" s="1"/>
  <c r="D60" i="74"/>
  <c r="H60" i="74" s="1"/>
  <c r="J29" i="47"/>
  <c r="D65" i="74"/>
  <c r="H65" i="74" s="1"/>
  <c r="D79" i="74"/>
  <c r="H79" i="74" s="1"/>
  <c r="D66" i="74"/>
  <c r="H66" i="74" s="1"/>
  <c r="D69" i="74"/>
  <c r="H69" i="74" s="1"/>
  <c r="H51" i="75"/>
  <c r="I24" i="56"/>
  <c r="H24" i="56"/>
  <c r="G75" i="74"/>
  <c r="H54" i="60"/>
  <c r="AA29" i="123"/>
  <c r="Z32" i="123"/>
  <c r="H64" i="40"/>
  <c r="Z207" i="47"/>
  <c r="AA207" i="47" s="1"/>
  <c r="P315" i="47"/>
  <c r="Z250" i="47"/>
  <c r="AB250" i="47" s="1"/>
  <c r="AC250" i="47" s="1"/>
  <c r="X233" i="47"/>
  <c r="Z118" i="47"/>
  <c r="AB118" i="47" s="1"/>
  <c r="AC118" i="47" s="1"/>
  <c r="Z80" i="47"/>
  <c r="AA80" i="47" s="1"/>
  <c r="AB233" i="47"/>
  <c r="AC233" i="47" s="1"/>
  <c r="P250" i="47"/>
  <c r="F105" i="140"/>
  <c r="H102" i="140"/>
  <c r="E107" i="140" s="1"/>
  <c r="F107" i="140" s="1"/>
  <c r="I101" i="140"/>
  <c r="Z178" i="47"/>
  <c r="AB178" i="47" s="1"/>
  <c r="AC178" i="47" s="1"/>
  <c r="Z239" i="47"/>
  <c r="AA239" i="47" s="1"/>
  <c r="D85" i="151"/>
  <c r="D80" i="151"/>
  <c r="D88" i="151"/>
  <c r="D90" i="151"/>
  <c r="I93" i="146"/>
  <c r="P215" i="47"/>
  <c r="P239" i="47"/>
  <c r="Z271" i="47"/>
  <c r="P271" i="47"/>
  <c r="X271" i="47"/>
  <c r="P305" i="47"/>
  <c r="X305" i="47"/>
  <c r="Z305" i="47"/>
  <c r="Z262" i="47"/>
  <c r="P262" i="47"/>
  <c r="X191" i="47"/>
  <c r="P191" i="47"/>
  <c r="X93" i="47"/>
  <c r="P93" i="47"/>
  <c r="Z208" i="47"/>
  <c r="P208" i="47"/>
  <c r="P225" i="47"/>
  <c r="Z225" i="47"/>
  <c r="Z297" i="47"/>
  <c r="P297" i="47"/>
  <c r="X82" i="47"/>
  <c r="Z82" i="47"/>
  <c r="Z193" i="47"/>
  <c r="P193" i="47"/>
  <c r="X193" i="47"/>
  <c r="X304" i="47"/>
  <c r="Z304" i="47"/>
  <c r="P304" i="47"/>
  <c r="Z324" i="47"/>
  <c r="P324" i="47"/>
  <c r="X324" i="47"/>
  <c r="Z248" i="47"/>
  <c r="X248" i="47"/>
  <c r="P248" i="47"/>
  <c r="P263" i="47"/>
  <c r="Z263" i="47"/>
  <c r="X263" i="47"/>
  <c r="Z189" i="47"/>
  <c r="P189" i="47"/>
  <c r="X189" i="47"/>
  <c r="Z119" i="47"/>
  <c r="P119" i="47"/>
  <c r="X119" i="47"/>
  <c r="Z117" i="47"/>
  <c r="X117" i="47"/>
  <c r="P117" i="47"/>
  <c r="X79" i="47"/>
  <c r="Z79" i="47"/>
  <c r="P79" i="47"/>
  <c r="P133" i="47"/>
  <c r="X133" i="47"/>
  <c r="Z133" i="47"/>
  <c r="P285" i="47"/>
  <c r="Z285" i="47"/>
  <c r="Z314" i="47"/>
  <c r="P314" i="47"/>
  <c r="X314" i="47"/>
  <c r="P163" i="47"/>
  <c r="X163" i="47"/>
  <c r="X96" i="47"/>
  <c r="Z96" i="47"/>
  <c r="P96" i="47"/>
  <c r="Z112" i="47"/>
  <c r="P112" i="47"/>
  <c r="AB163" i="47"/>
  <c r="AC163" i="47" s="1"/>
  <c r="X122" i="47"/>
  <c r="P122" i="47"/>
  <c r="P318" i="47"/>
  <c r="Z318" i="47"/>
  <c r="X323" i="47"/>
  <c r="X204" i="47"/>
  <c r="P204" i="47"/>
  <c r="Z261" i="47"/>
  <c r="X264" i="47"/>
  <c r="P228" i="47"/>
  <c r="X235" i="47"/>
  <c r="Z235" i="47"/>
  <c r="X168" i="47"/>
  <c r="X108" i="47"/>
  <c r="X220" i="47"/>
  <c r="P220" i="47"/>
  <c r="P293" i="47"/>
  <c r="X241" i="47"/>
  <c r="P216" i="47"/>
  <c r="P139" i="47"/>
  <c r="Z139" i="47"/>
  <c r="Z177" i="47"/>
  <c r="X152" i="47"/>
  <c r="P98" i="47"/>
  <c r="X98" i="47"/>
  <c r="X147" i="47"/>
  <c r="X178" i="47"/>
  <c r="X217" i="47"/>
  <c r="X215" i="47"/>
  <c r="P233" i="47"/>
  <c r="X325" i="47"/>
  <c r="Z325" i="47"/>
  <c r="X272" i="47"/>
  <c r="P272" i="47"/>
  <c r="Z272" i="47"/>
  <c r="P141" i="47"/>
  <c r="X141" i="47"/>
  <c r="X81" i="47"/>
  <c r="Z81" i="47"/>
  <c r="Z183" i="47"/>
  <c r="P183" i="47"/>
  <c r="Z130" i="47"/>
  <c r="P130" i="47"/>
  <c r="X130" i="47"/>
  <c r="X213" i="47"/>
  <c r="Z213" i="47"/>
  <c r="P213" i="47"/>
  <c r="Z292" i="47"/>
  <c r="P292" i="47"/>
  <c r="X292" i="47"/>
  <c r="P226" i="47"/>
  <c r="X226" i="47"/>
  <c r="Z226" i="47"/>
  <c r="P182" i="47"/>
  <c r="Z182" i="47"/>
  <c r="X182" i="47"/>
  <c r="P89" i="47"/>
  <c r="X89" i="47"/>
  <c r="Z89" i="47"/>
  <c r="P194" i="47"/>
  <c r="Z194" i="47"/>
  <c r="X194" i="47"/>
  <c r="X136" i="47"/>
  <c r="Z136" i="47"/>
  <c r="P136" i="47"/>
  <c r="X134" i="47"/>
  <c r="P134" i="47"/>
  <c r="Z134" i="47"/>
  <c r="Z105" i="47"/>
  <c r="X105" i="47"/>
  <c r="P105" i="47"/>
  <c r="AB322" i="47"/>
  <c r="AC322" i="47" s="1"/>
  <c r="AA322" i="47"/>
  <c r="AB256" i="47"/>
  <c r="AC256" i="47" s="1"/>
  <c r="AA256" i="47"/>
  <c r="P223" i="47"/>
  <c r="Z223" i="47"/>
  <c r="X223" i="47"/>
  <c r="AB149" i="47"/>
  <c r="AC149" i="47" s="1"/>
  <c r="AA149" i="47"/>
  <c r="P296" i="47"/>
  <c r="X296" i="47"/>
  <c r="Z181" i="47"/>
  <c r="P181" i="47"/>
  <c r="X181" i="47"/>
  <c r="X173" i="47"/>
  <c r="Z173" i="47"/>
  <c r="P173" i="47"/>
  <c r="Z128" i="47"/>
  <c r="P128" i="47"/>
  <c r="Z97" i="47"/>
  <c r="X97" i="47"/>
  <c r="P97" i="47"/>
  <c r="Z249" i="47"/>
  <c r="P249" i="47"/>
  <c r="X300" i="47"/>
  <c r="P116" i="47"/>
  <c r="X116" i="47"/>
  <c r="Z116" i="47"/>
  <c r="Z287" i="47"/>
  <c r="X287" i="47"/>
  <c r="P287" i="47"/>
  <c r="P123" i="47"/>
  <c r="X123" i="47"/>
  <c r="Z123" i="47"/>
  <c r="P137" i="47"/>
  <c r="Z137" i="47"/>
  <c r="X137" i="47"/>
  <c r="P142" i="47"/>
  <c r="Z142" i="47"/>
  <c r="X142" i="47"/>
  <c r="D84" i="151"/>
  <c r="D94" i="151"/>
  <c r="D78" i="151"/>
  <c r="I77" i="151"/>
  <c r="D99" i="151"/>
  <c r="D76" i="151"/>
  <c r="I76" i="151" s="1"/>
  <c r="D74" i="151"/>
  <c r="D98" i="151"/>
  <c r="D81" i="151"/>
  <c r="I81" i="151" s="1"/>
  <c r="D82" i="151"/>
  <c r="I82" i="151" s="1"/>
  <c r="D75" i="151"/>
  <c r="I75" i="151" s="1"/>
  <c r="D96" i="151"/>
  <c r="I96" i="151" s="1"/>
  <c r="D73" i="151"/>
  <c r="D86" i="151"/>
  <c r="I86" i="151" s="1"/>
  <c r="D91" i="151"/>
  <c r="I91" i="151" s="1"/>
  <c r="D89" i="151"/>
  <c r="I89" i="151" s="1"/>
  <c r="D95" i="151"/>
  <c r="D93" i="151"/>
  <c r="I93" i="151" s="1"/>
  <c r="J336" i="47"/>
  <c r="I90" i="151"/>
  <c r="D92" i="151"/>
  <c r="I92" i="151" s="1"/>
  <c r="D83" i="151"/>
  <c r="I83" i="151" s="1"/>
  <c r="D100" i="151"/>
  <c r="I100" i="151" s="1"/>
  <c r="D87" i="151"/>
  <c r="I87" i="151" s="1"/>
  <c r="I79" i="147"/>
  <c r="I87" i="147"/>
  <c r="I79" i="146"/>
  <c r="I71" i="152"/>
  <c r="H98" i="152"/>
  <c r="I98" i="152" s="1"/>
  <c r="H100" i="152"/>
  <c r="I100" i="152" s="1"/>
  <c r="H95" i="152"/>
  <c r="I95" i="152" s="1"/>
  <c r="H84" i="152"/>
  <c r="I84" i="152" s="1"/>
  <c r="H74" i="152"/>
  <c r="I74" i="152" s="1"/>
  <c r="H83" i="152"/>
  <c r="I83" i="152" s="1"/>
  <c r="H72" i="152"/>
  <c r="H99" i="152"/>
  <c r="I99" i="152" s="1"/>
  <c r="H75" i="152"/>
  <c r="I75" i="152" s="1"/>
  <c r="H88" i="152"/>
  <c r="I88" i="152" s="1"/>
  <c r="H77" i="152"/>
  <c r="I77" i="152" s="1"/>
  <c r="H93" i="152"/>
  <c r="I93" i="152" s="1"/>
  <c r="H79" i="152"/>
  <c r="I79" i="152" s="1"/>
  <c r="H86" i="152"/>
  <c r="I86" i="152" s="1"/>
  <c r="D72" i="151"/>
  <c r="I72" i="151" s="1"/>
  <c r="D79" i="151"/>
  <c r="I79" i="151" s="1"/>
  <c r="D71" i="151"/>
  <c r="I86" i="147"/>
  <c r="I83" i="147"/>
  <c r="I81" i="147"/>
  <c r="I91" i="146"/>
  <c r="D78" i="146"/>
  <c r="I78" i="146" s="1"/>
  <c r="D95" i="146"/>
  <c r="I95" i="146" s="1"/>
  <c r="D96" i="146"/>
  <c r="I96" i="146" s="1"/>
  <c r="D100" i="146"/>
  <c r="I100" i="146" s="1"/>
  <c r="D99" i="146"/>
  <c r="I99" i="146" s="1"/>
  <c r="D77" i="146"/>
  <c r="I77" i="146" s="1"/>
  <c r="D92" i="146"/>
  <c r="I92" i="146" s="1"/>
  <c r="D75" i="146"/>
  <c r="I75" i="146" s="1"/>
  <c r="D90" i="146"/>
  <c r="I90" i="146" s="1"/>
  <c r="D72" i="146"/>
  <c r="I72" i="146" s="1"/>
  <c r="D71" i="146"/>
  <c r="I71" i="146" s="1"/>
  <c r="D82" i="146"/>
  <c r="I82" i="146" s="1"/>
  <c r="D84" i="146"/>
  <c r="I84" i="146" s="1"/>
  <c r="D74" i="146"/>
  <c r="I74" i="146" s="1"/>
  <c r="D98" i="146"/>
  <c r="I98" i="146" s="1"/>
  <c r="D81" i="146"/>
  <c r="I81" i="146" s="1"/>
  <c r="D76" i="146"/>
  <c r="I76" i="146" s="1"/>
  <c r="D94" i="146"/>
  <c r="I94" i="146" s="1"/>
  <c r="G41" i="47"/>
  <c r="I41" i="47" s="1"/>
  <c r="L34" i="60"/>
  <c r="Z57" i="47"/>
  <c r="X57" i="47"/>
  <c r="P57" i="47"/>
  <c r="X38" i="47"/>
  <c r="Z38" i="47"/>
  <c r="AB38" i="47" s="1"/>
  <c r="AC38" i="47" s="1"/>
  <c r="P38" i="47"/>
  <c r="J43" i="83"/>
  <c r="L43" i="83" s="1"/>
  <c r="M43" i="83" s="1"/>
  <c r="Q43" i="83" s="1"/>
  <c r="J41" i="83"/>
  <c r="L41" i="83" s="1"/>
  <c r="M41" i="83" s="1"/>
  <c r="Q41" i="83" s="1"/>
  <c r="J43" i="35"/>
  <c r="L43" i="35" s="1"/>
  <c r="M43" i="35" s="1"/>
  <c r="J41" i="35"/>
  <c r="L41" i="35" s="1"/>
  <c r="J44" i="35"/>
  <c r="L44" i="35" s="1"/>
  <c r="M44" i="35" s="1"/>
  <c r="J42" i="35"/>
  <c r="L42" i="35" s="1"/>
  <c r="M42" i="35" s="1"/>
  <c r="K51" i="133"/>
  <c r="T105" i="133"/>
  <c r="G51" i="37"/>
  <c r="H51" i="37" s="1"/>
  <c r="I11" i="84"/>
  <c r="L24" i="84" s="1"/>
  <c r="Q34" i="84"/>
  <c r="AB143" i="47"/>
  <c r="AC143" i="47" s="1"/>
  <c r="M41" i="105"/>
  <c r="O41" i="105"/>
  <c r="L45" i="105"/>
  <c r="AB244" i="47"/>
  <c r="AC244" i="47" s="1"/>
  <c r="H57" i="53"/>
  <c r="AB146" i="47"/>
  <c r="AC146" i="47" s="1"/>
  <c r="AA146" i="47"/>
  <c r="AA242" i="47"/>
  <c r="AA215" i="47"/>
  <c r="AB215" i="47"/>
  <c r="AC215" i="47" s="1"/>
  <c r="M30" i="36"/>
  <c r="M35" i="36" s="1"/>
  <c r="D45" i="47" s="1"/>
  <c r="L35" i="36"/>
  <c r="G45" i="47" s="1"/>
  <c r="W80" i="40"/>
  <c r="U49" i="47" s="1"/>
  <c r="V49" i="47" s="1"/>
  <c r="X80" i="37"/>
  <c r="I72" i="148"/>
  <c r="I85" i="146"/>
  <c r="I89" i="146"/>
  <c r="Q51" i="47"/>
  <c r="X51" i="47" s="1"/>
  <c r="H63" i="76"/>
  <c r="L45" i="38"/>
  <c r="H47" i="47" s="1"/>
  <c r="I47" i="47" s="1"/>
  <c r="M41" i="110"/>
  <c r="H68" i="47" s="1"/>
  <c r="Y59" i="91"/>
  <c r="Y60" i="91" s="1"/>
  <c r="Y61" i="91" s="1"/>
  <c r="Y62" i="91" s="1"/>
  <c r="Y63" i="91" s="1"/>
  <c r="Y64" i="91" s="1"/>
  <c r="Y65" i="91" s="1"/>
  <c r="Y66" i="91" s="1"/>
  <c r="Y67" i="91" s="1"/>
  <c r="Y68" i="91" s="1"/>
  <c r="Y69" i="91" s="1"/>
  <c r="Y70" i="91" s="1"/>
  <c r="Y71" i="91" s="1"/>
  <c r="Y72" i="91" s="1"/>
  <c r="Y73" i="91" s="1"/>
  <c r="Y74" i="91" s="1"/>
  <c r="Y75" i="91" s="1"/>
  <c r="Y76" i="91" s="1"/>
  <c r="Y77" i="91" s="1"/>
  <c r="Y78" i="91" s="1"/>
  <c r="Y79" i="91" s="1"/>
  <c r="Y80" i="91" s="1"/>
  <c r="Y81" i="91" s="1"/>
  <c r="Y82" i="91" s="1"/>
  <c r="Y83" i="91" s="1"/>
  <c r="Y84" i="91" s="1"/>
  <c r="Y85" i="91" s="1"/>
  <c r="Y86" i="91" s="1"/>
  <c r="Y87" i="91" s="1"/>
  <c r="Y88" i="91" s="1"/>
  <c r="AL89" i="91" s="1"/>
  <c r="AA296" i="47"/>
  <c r="M33" i="71"/>
  <c r="M35" i="71" s="1"/>
  <c r="D25" i="47" s="1"/>
  <c r="F25" i="47" s="1"/>
  <c r="L35" i="71"/>
  <c r="G25" i="47" s="1"/>
  <c r="I25" i="47" s="1"/>
  <c r="X56" i="68"/>
  <c r="X80" i="68" s="1"/>
  <c r="U22" i="47"/>
  <c r="V22" i="47" s="1"/>
  <c r="G64" i="71"/>
  <c r="G80" i="71" s="1"/>
  <c r="D16" i="71" s="1"/>
  <c r="E16" i="71" s="1"/>
  <c r="I16" i="140"/>
  <c r="F106" i="140"/>
  <c r="D103" i="139"/>
  <c r="E106" i="139" s="1"/>
  <c r="F106" i="139" s="1"/>
  <c r="G29" i="47"/>
  <c r="G53" i="47"/>
  <c r="M41" i="57"/>
  <c r="M45" i="57" s="1"/>
  <c r="E38" i="47" s="1"/>
  <c r="F38" i="47" s="1"/>
  <c r="L45" i="57"/>
  <c r="H38" i="47" s="1"/>
  <c r="AA180" i="47"/>
  <c r="W80" i="68"/>
  <c r="AA72" i="47"/>
  <c r="AB72" i="47"/>
  <c r="AC72" i="47" s="1"/>
  <c r="Y51" i="139"/>
  <c r="Y55" i="139" s="1"/>
  <c r="X55" i="139"/>
  <c r="I99" i="147"/>
  <c r="K35" i="58"/>
  <c r="M45" i="106"/>
  <c r="J334" i="47"/>
  <c r="D71" i="149"/>
  <c r="I71" i="149" s="1"/>
  <c r="D82" i="149"/>
  <c r="D92" i="149"/>
  <c r="D75" i="149"/>
  <c r="D101" i="149"/>
  <c r="I101" i="149" s="1"/>
  <c r="D80" i="149"/>
  <c r="I80" i="149" s="1"/>
  <c r="D95" i="149"/>
  <c r="D93" i="149"/>
  <c r="D79" i="149"/>
  <c r="I79" i="149" s="1"/>
  <c r="D86" i="149"/>
  <c r="I86" i="149" s="1"/>
  <c r="H86" i="142"/>
  <c r="I86" i="142" s="1"/>
  <c r="H96" i="142"/>
  <c r="I96" i="142" s="1"/>
  <c r="H81" i="142"/>
  <c r="I81" i="142" s="1"/>
  <c r="H85" i="142"/>
  <c r="I85" i="142" s="1"/>
  <c r="H73" i="142"/>
  <c r="I73" i="142" s="1"/>
  <c r="H89" i="142"/>
  <c r="I89" i="142" s="1"/>
  <c r="H77" i="142"/>
  <c r="I77" i="142" s="1"/>
  <c r="H97" i="142"/>
  <c r="I97" i="142" s="1"/>
  <c r="H72" i="142"/>
  <c r="H101" i="142"/>
  <c r="I101" i="142" s="1"/>
  <c r="H80" i="142"/>
  <c r="I80" i="142" s="1"/>
  <c r="H94" i="142"/>
  <c r="I94" i="142" s="1"/>
  <c r="H93" i="142"/>
  <c r="I93" i="142" s="1"/>
  <c r="H83" i="142"/>
  <c r="I83" i="142" s="1"/>
  <c r="H75" i="142"/>
  <c r="I75" i="142" s="1"/>
  <c r="H84" i="142"/>
  <c r="I84" i="142" s="1"/>
  <c r="H91" i="142"/>
  <c r="I91" i="142" s="1"/>
  <c r="H78" i="142"/>
  <c r="I78" i="142" s="1"/>
  <c r="H76" i="142"/>
  <c r="I76" i="142" s="1"/>
  <c r="H95" i="142"/>
  <c r="I95" i="142" s="1"/>
  <c r="H87" i="142"/>
  <c r="I87" i="142" s="1"/>
  <c r="H71" i="142"/>
  <c r="I71" i="142" s="1"/>
  <c r="H90" i="142"/>
  <c r="I90" i="142" s="1"/>
  <c r="H74" i="142"/>
  <c r="I74" i="142" s="1"/>
  <c r="H82" i="142"/>
  <c r="I82" i="142" s="1"/>
  <c r="H92" i="142"/>
  <c r="I92" i="142" s="1"/>
  <c r="H79" i="142"/>
  <c r="I79" i="142" s="1"/>
  <c r="H99" i="142"/>
  <c r="I99" i="142" s="1"/>
  <c r="J44" i="68"/>
  <c r="L44" i="68" s="1"/>
  <c r="M44" i="68" s="1"/>
  <c r="J41" i="68"/>
  <c r="L41" i="68" s="1"/>
  <c r="J42" i="68"/>
  <c r="L42" i="68" s="1"/>
  <c r="M42" i="68" s="1"/>
  <c r="J43" i="68"/>
  <c r="L43" i="68" s="1"/>
  <c r="M43" i="68" s="1"/>
  <c r="G75" i="72"/>
  <c r="H75" i="72" s="1"/>
  <c r="M28" i="27"/>
  <c r="M36" i="27"/>
  <c r="M30" i="27"/>
  <c r="M32" i="27" s="1"/>
  <c r="M33" i="27" s="1"/>
  <c r="P43" i="47"/>
  <c r="Z43" i="47"/>
  <c r="X43" i="47"/>
  <c r="D53" i="47"/>
  <c r="D29" i="47"/>
  <c r="X397" i="47"/>
  <c r="AA75" i="47"/>
  <c r="AB75" i="47"/>
  <c r="AC75" i="47" s="1"/>
  <c r="AB141" i="47"/>
  <c r="AC141" i="47" s="1"/>
  <c r="AA141" i="47"/>
  <c r="AA178" i="47"/>
  <c r="I38" i="47"/>
  <c r="Y52" i="124"/>
  <c r="Y54" i="124" s="1"/>
  <c r="N54" i="124"/>
  <c r="E72" i="47" s="1"/>
  <c r="I86" i="146"/>
  <c r="Y71" i="34"/>
  <c r="Y72" i="34" s="1"/>
  <c r="Y73" i="34" s="1"/>
  <c r="Y74" i="34" s="1"/>
  <c r="Y75" i="34" s="1"/>
  <c r="Y76" i="34" s="1"/>
  <c r="Y77" i="34" s="1"/>
  <c r="Y78" i="34" s="1"/>
  <c r="AL79" i="34" s="1"/>
  <c r="Q35" i="81"/>
  <c r="I75" i="149"/>
  <c r="I72" i="142"/>
  <c r="I98" i="142"/>
  <c r="I99" i="153"/>
  <c r="I93" i="147"/>
  <c r="I77" i="147"/>
  <c r="X80" i="40"/>
  <c r="M35" i="81"/>
  <c r="H80" i="83"/>
  <c r="H53" i="66"/>
  <c r="Y58" i="56"/>
  <c r="Y59" i="56" s="1"/>
  <c r="Y60" i="56" s="1"/>
  <c r="Y61" i="56" s="1"/>
  <c r="Y62" i="56" s="1"/>
  <c r="Y63" i="56" s="1"/>
  <c r="Y64" i="56" s="1"/>
  <c r="Y65" i="56" s="1"/>
  <c r="Y66" i="56" s="1"/>
  <c r="Y67" i="56" s="1"/>
  <c r="Y68" i="56" s="1"/>
  <c r="Y69" i="56" s="1"/>
  <c r="Y70" i="56" s="1"/>
  <c r="Y71" i="56" s="1"/>
  <c r="Y72" i="56" s="1"/>
  <c r="Y73" i="56" s="1"/>
  <c r="Y74" i="56" s="1"/>
  <c r="Y75" i="56" s="1"/>
  <c r="Y76" i="56" s="1"/>
  <c r="Y77" i="56" s="1"/>
  <c r="Y78" i="56" s="1"/>
  <c r="Y79" i="56" s="1"/>
  <c r="G79" i="50"/>
  <c r="D16" i="50" s="1"/>
  <c r="E16" i="50" s="1"/>
  <c r="W80" i="71"/>
  <c r="E80" i="39"/>
  <c r="M24" i="39" s="1"/>
  <c r="Q48" i="47" s="1"/>
  <c r="Y68" i="82"/>
  <c r="Y69" i="82" s="1"/>
  <c r="Y70" i="82" s="1"/>
  <c r="Y71" i="82" s="1"/>
  <c r="Y72" i="82" s="1"/>
  <c r="Y73" i="82" s="1"/>
  <c r="Y74" i="82" s="1"/>
  <c r="Y75" i="82" s="1"/>
  <c r="Y76" i="82" s="1"/>
  <c r="Y77" i="82" s="1"/>
  <c r="Y78" i="82" s="1"/>
  <c r="G55" i="72"/>
  <c r="H55" i="72" s="1"/>
  <c r="Q330" i="47"/>
  <c r="M36" i="13"/>
  <c r="M30" i="13"/>
  <c r="M32" i="13" s="1"/>
  <c r="M33" i="13" s="1"/>
  <c r="M28" i="13"/>
  <c r="G71" i="64"/>
  <c r="H71" i="64" s="1"/>
  <c r="K30" i="50"/>
  <c r="J34" i="50"/>
  <c r="Y50" i="64"/>
  <c r="Y51" i="64" s="1"/>
  <c r="Y52" i="64" s="1"/>
  <c r="Y53" i="64" s="1"/>
  <c r="Y54" i="64" s="1"/>
  <c r="Y55" i="64" s="1"/>
  <c r="Y56" i="64" s="1"/>
  <c r="Y57" i="64" s="1"/>
  <c r="Y58" i="64" s="1"/>
  <c r="Y59" i="64" s="1"/>
  <c r="Y60" i="64" s="1"/>
  <c r="Y61" i="64" s="1"/>
  <c r="Y62" i="64" s="1"/>
  <c r="Y63" i="64" s="1"/>
  <c r="Y64" i="64" s="1"/>
  <c r="Y65" i="64" s="1"/>
  <c r="Y66" i="64" s="1"/>
  <c r="Y67" i="64" s="1"/>
  <c r="Y68" i="64" s="1"/>
  <c r="Y69" i="64" s="1"/>
  <c r="Y70" i="64" s="1"/>
  <c r="Y71" i="64" s="1"/>
  <c r="Y72" i="64" s="1"/>
  <c r="Y73" i="64" s="1"/>
  <c r="Y74" i="64" s="1"/>
  <c r="Y75" i="64" s="1"/>
  <c r="Y76" i="64" s="1"/>
  <c r="Y77" i="64" s="1"/>
  <c r="Y78" i="64" s="1"/>
  <c r="Y79" i="64" s="1"/>
  <c r="L30" i="37"/>
  <c r="K35" i="37"/>
  <c r="AA93" i="47"/>
  <c r="AB93" i="47"/>
  <c r="AC93" i="47" s="1"/>
  <c r="E80" i="71"/>
  <c r="M24" i="71" s="1"/>
  <c r="Q25" i="47" s="1"/>
  <c r="AB315" i="47"/>
  <c r="AC315" i="47" s="1"/>
  <c r="AA315" i="47"/>
  <c r="I92" i="149"/>
  <c r="I82" i="149"/>
  <c r="I97" i="151"/>
  <c r="I98" i="151"/>
  <c r="H54" i="37"/>
  <c r="Y56" i="68"/>
  <c r="Y57" i="68" s="1"/>
  <c r="Y58" i="68" s="1"/>
  <c r="Y59" i="68" s="1"/>
  <c r="Y60" i="68" s="1"/>
  <c r="Y61" i="68" s="1"/>
  <c r="Y62" i="68" s="1"/>
  <c r="Y63" i="68" s="1"/>
  <c r="Y64" i="68" s="1"/>
  <c r="Y65" i="68" s="1"/>
  <c r="Y66" i="68" s="1"/>
  <c r="Y67" i="68" s="1"/>
  <c r="Y68" i="68" s="1"/>
  <c r="Y69" i="68" s="1"/>
  <c r="Y70" i="68" s="1"/>
  <c r="Y71" i="68" s="1"/>
  <c r="Y72" i="68" s="1"/>
  <c r="Y73" i="68" s="1"/>
  <c r="Y74" i="68" s="1"/>
  <c r="Y75" i="68" s="1"/>
  <c r="Y76" i="68" s="1"/>
  <c r="Y77" i="68" s="1"/>
  <c r="Y78" i="68" s="1"/>
  <c r="Y80" i="68" s="1"/>
  <c r="X80" i="38"/>
  <c r="N41" i="110"/>
  <c r="E68" i="47" s="1"/>
  <c r="I24" i="58"/>
  <c r="H24" i="58"/>
  <c r="K33" i="55"/>
  <c r="L33" i="55" s="1"/>
  <c r="M33" i="55" s="1"/>
  <c r="K31" i="55"/>
  <c r="L31" i="55" s="1"/>
  <c r="M31" i="55" s="1"/>
  <c r="K32" i="55"/>
  <c r="L32" i="55" s="1"/>
  <c r="M32" i="55" s="1"/>
  <c r="K30" i="55"/>
  <c r="L45" i="70"/>
  <c r="H24" i="47" s="1"/>
  <c r="I24" i="47" s="1"/>
  <c r="E80" i="51"/>
  <c r="M24" i="51" s="1"/>
  <c r="AA191" i="47"/>
  <c r="AB191" i="47"/>
  <c r="AC191" i="47" s="1"/>
  <c r="AA101" i="47"/>
  <c r="AB101" i="47"/>
  <c r="AC101" i="47" s="1"/>
  <c r="D102" i="152"/>
  <c r="E105" i="152" s="1"/>
  <c r="I80" i="146"/>
  <c r="F24" i="47"/>
  <c r="D80" i="105"/>
  <c r="D15" i="105" s="1"/>
  <c r="E15" i="105" s="1"/>
  <c r="Y57" i="80"/>
  <c r="Y58" i="80" s="1"/>
  <c r="Y59" i="80" s="1"/>
  <c r="Y60" i="80" s="1"/>
  <c r="Y61" i="80" s="1"/>
  <c r="Y62" i="80" s="1"/>
  <c r="Y63" i="80" s="1"/>
  <c r="Y64" i="80" s="1"/>
  <c r="Y65" i="80" s="1"/>
  <c r="Y66" i="80" s="1"/>
  <c r="Y67" i="80" s="1"/>
  <c r="Y68" i="80" s="1"/>
  <c r="Y69" i="80" s="1"/>
  <c r="Y70" i="80" s="1"/>
  <c r="Y71" i="80" s="1"/>
  <c r="Y72" i="80" s="1"/>
  <c r="Y73" i="80" s="1"/>
  <c r="Y74" i="80" s="1"/>
  <c r="Y75" i="80" s="1"/>
  <c r="Y76" i="80" s="1"/>
  <c r="Y77" i="80" s="1"/>
  <c r="Y78" i="80" s="1"/>
  <c r="Y79" i="80" s="1"/>
  <c r="O45" i="105"/>
  <c r="E63" i="47" s="1"/>
  <c r="F63" i="47" s="1"/>
  <c r="S63" i="47" s="1"/>
  <c r="Y41" i="110"/>
  <c r="I92" i="148"/>
  <c r="Y54" i="53"/>
  <c r="Y55" i="53" s="1"/>
  <c r="Y56" i="53" s="1"/>
  <c r="Y57" i="53" s="1"/>
  <c r="H73" i="64"/>
  <c r="Q35" i="106"/>
  <c r="M28" i="22"/>
  <c r="M36" i="22"/>
  <c r="D39" i="47"/>
  <c r="D40" i="47"/>
  <c r="N42" i="134"/>
  <c r="N44" i="134" s="1"/>
  <c r="D75" i="47" s="1"/>
  <c r="F75" i="47" s="1"/>
  <c r="M44" i="134"/>
  <c r="G75" i="47" s="1"/>
  <c r="I75" i="47" s="1"/>
  <c r="J41" i="45"/>
  <c r="L41" i="45" s="1"/>
  <c r="J42" i="45"/>
  <c r="L42" i="45" s="1"/>
  <c r="M42" i="45" s="1"/>
  <c r="J43" i="45"/>
  <c r="L43" i="45" s="1"/>
  <c r="M43" i="45" s="1"/>
  <c r="G64" i="111"/>
  <c r="H64" i="111" s="1"/>
  <c r="E89" i="111"/>
  <c r="M21" i="111" s="1"/>
  <c r="I95" i="149"/>
  <c r="I93" i="149"/>
  <c r="I72" i="147"/>
  <c r="W80" i="72"/>
  <c r="X80" i="64"/>
  <c r="AF102" i="149"/>
  <c r="I80" i="151"/>
  <c r="X80" i="57"/>
  <c r="H55" i="105"/>
  <c r="G68" i="40"/>
  <c r="H68" i="40" s="1"/>
  <c r="H72" i="51"/>
  <c r="H80" i="51" s="1"/>
  <c r="M36" i="28"/>
  <c r="M28" i="28"/>
  <c r="D78" i="70"/>
  <c r="H78" i="70" s="1"/>
  <c r="D77" i="70"/>
  <c r="H77" i="70" s="1"/>
  <c r="D68" i="70"/>
  <c r="J24" i="47"/>
  <c r="D56" i="70"/>
  <c r="H56" i="70" s="1"/>
  <c r="D60" i="70"/>
  <c r="H60" i="70" s="1"/>
  <c r="D67" i="70"/>
  <c r="H67" i="70" s="1"/>
  <c r="D55" i="70"/>
  <c r="H55" i="70" s="1"/>
  <c r="D52" i="70"/>
  <c r="H52" i="70" s="1"/>
  <c r="D75" i="70"/>
  <c r="H75" i="70" s="1"/>
  <c r="D50" i="70"/>
  <c r="H50" i="70" s="1"/>
  <c r="D53" i="70"/>
  <c r="H53" i="70" s="1"/>
  <c r="D58" i="70"/>
  <c r="H58" i="70" s="1"/>
  <c r="D59" i="70"/>
  <c r="H59" i="70" s="1"/>
  <c r="D76" i="70"/>
  <c r="H76" i="70" s="1"/>
  <c r="D57" i="70"/>
  <c r="H57" i="70" s="1"/>
  <c r="D62" i="70"/>
  <c r="H62" i="70" s="1"/>
  <c r="D64" i="70"/>
  <c r="H64" i="70" s="1"/>
  <c r="D74" i="70"/>
  <c r="H74" i="70" s="1"/>
  <c r="D72" i="70"/>
  <c r="H72" i="70" s="1"/>
  <c r="D71" i="70"/>
  <c r="H71" i="70" s="1"/>
  <c r="D65" i="70"/>
  <c r="H65" i="70" s="1"/>
  <c r="D69" i="70"/>
  <c r="H69" i="70" s="1"/>
  <c r="D49" i="70"/>
  <c r="D54" i="70"/>
  <c r="H54" i="70" s="1"/>
  <c r="D63" i="70"/>
  <c r="H63" i="70" s="1"/>
  <c r="D61" i="70"/>
  <c r="D73" i="70"/>
  <c r="H73" i="70" s="1"/>
  <c r="D70" i="70"/>
  <c r="H70" i="70" s="1"/>
  <c r="D51" i="70"/>
  <c r="H51" i="70" s="1"/>
  <c r="D66" i="70"/>
  <c r="H66" i="70" s="1"/>
  <c r="I24" i="57"/>
  <c r="H24" i="57"/>
  <c r="J43" i="42"/>
  <c r="L43" i="42" s="1"/>
  <c r="M43" i="42" s="1"/>
  <c r="J42" i="42"/>
  <c r="L42" i="42" s="1"/>
  <c r="M42" i="42" s="1"/>
  <c r="J41" i="42"/>
  <c r="L41" i="42" s="1"/>
  <c r="J44" i="42"/>
  <c r="L44" i="42" s="1"/>
  <c r="M44" i="42" s="1"/>
  <c r="Z336" i="47"/>
  <c r="X336" i="47"/>
  <c r="J44" i="45"/>
  <c r="L44" i="45" s="1"/>
  <c r="M44" i="45" s="1"/>
  <c r="M41" i="73"/>
  <c r="M45" i="73" s="1"/>
  <c r="E28" i="47" s="1"/>
  <c r="L45" i="73"/>
  <c r="H28" i="47" s="1"/>
  <c r="X16" i="47"/>
  <c r="P16" i="47"/>
  <c r="Z16" i="47"/>
  <c r="K54" i="144"/>
  <c r="V54" i="144"/>
  <c r="W53" i="144" s="1"/>
  <c r="X53" i="144" s="1"/>
  <c r="Y53" i="144" s="1"/>
  <c r="M43" i="144"/>
  <c r="G329" i="47" s="1"/>
  <c r="N42" i="144"/>
  <c r="N43" i="144" s="1"/>
  <c r="D329" i="47" s="1"/>
  <c r="Y40" i="144"/>
  <c r="Y43" i="144" s="1"/>
  <c r="X43" i="144"/>
  <c r="X34" i="144"/>
  <c r="Y28" i="144"/>
  <c r="Y34" i="144" s="1"/>
  <c r="Z22" i="47"/>
  <c r="P22" i="47"/>
  <c r="X22" i="47"/>
  <c r="Z20" i="47"/>
  <c r="P20" i="47"/>
  <c r="X20" i="47"/>
  <c r="Y80" i="104"/>
  <c r="AL80" i="104"/>
  <c r="Z49" i="47"/>
  <c r="X49" i="47"/>
  <c r="P49" i="47"/>
  <c r="Y89" i="91"/>
  <c r="I88" i="151"/>
  <c r="I97" i="147"/>
  <c r="I84" i="153"/>
  <c r="I81" i="153"/>
  <c r="W80" i="69"/>
  <c r="H80" i="105"/>
  <c r="W80" i="53"/>
  <c r="W30" i="142"/>
  <c r="X30" i="142" s="1"/>
  <c r="Y30" i="142" s="1"/>
  <c r="W31" i="142"/>
  <c r="X31" i="142" s="1"/>
  <c r="Y31" i="142" s="1"/>
  <c r="W32" i="142"/>
  <c r="X32" i="142" s="1"/>
  <c r="Y32" i="142" s="1"/>
  <c r="W29" i="142"/>
  <c r="X29" i="142" s="1"/>
  <c r="Y29" i="142" s="1"/>
  <c r="W28" i="142"/>
  <c r="I80" i="148"/>
  <c r="P23" i="47"/>
  <c r="X23" i="47"/>
  <c r="Z23" i="47"/>
  <c r="G67" i="62"/>
  <c r="H67" i="62" s="1"/>
  <c r="U39" i="47"/>
  <c r="V39" i="47" s="1"/>
  <c r="U40" i="47"/>
  <c r="V40" i="47" s="1"/>
  <c r="X67" i="59"/>
  <c r="X80" i="59" s="1"/>
  <c r="X48" i="65"/>
  <c r="Y48" i="65" s="1"/>
  <c r="W79" i="65"/>
  <c r="D80" i="64"/>
  <c r="D15" i="64" s="1"/>
  <c r="E15" i="64" s="1"/>
  <c r="H49" i="64"/>
  <c r="M43" i="76"/>
  <c r="Q43" i="76" s="1"/>
  <c r="L45" i="76"/>
  <c r="H74" i="64"/>
  <c r="G75" i="81"/>
  <c r="W80" i="59"/>
  <c r="G58" i="64"/>
  <c r="H58" i="64" s="1"/>
  <c r="E80" i="64"/>
  <c r="M24" i="64" s="1"/>
  <c r="Q18" i="47" s="1"/>
  <c r="S50" i="49"/>
  <c r="G50" i="49"/>
  <c r="M41" i="39"/>
  <c r="M45" i="39" s="1"/>
  <c r="E48" i="47" s="1"/>
  <c r="F48" i="47" s="1"/>
  <c r="L45" i="39"/>
  <c r="H48" i="47" s="1"/>
  <c r="I48" i="47" s="1"/>
  <c r="P60" i="47"/>
  <c r="X60" i="47"/>
  <c r="Z60" i="47"/>
  <c r="Y61" i="52"/>
  <c r="Y62" i="52" s="1"/>
  <c r="Y63" i="52" s="1"/>
  <c r="Y64" i="52" s="1"/>
  <c r="Y65" i="52" s="1"/>
  <c r="Y66" i="52" s="1"/>
  <c r="Y67" i="52" s="1"/>
  <c r="Y68" i="52" s="1"/>
  <c r="Y69" i="52" s="1"/>
  <c r="Y70" i="52" s="1"/>
  <c r="Y71" i="52" s="1"/>
  <c r="Y72" i="52" s="1"/>
  <c r="Y73" i="52" s="1"/>
  <c r="Y74" i="52" s="1"/>
  <c r="Y75" i="52" s="1"/>
  <c r="Y76" i="52" s="1"/>
  <c r="Y77" i="52" s="1"/>
  <c r="Y78" i="52" s="1"/>
  <c r="Y79" i="52" s="1"/>
  <c r="W80" i="57"/>
  <c r="H50" i="80"/>
  <c r="D80" i="80"/>
  <c r="D15" i="80" s="1"/>
  <c r="E15" i="80" s="1"/>
  <c r="AF102" i="142"/>
  <c r="Y52" i="63"/>
  <c r="Y53" i="63" s="1"/>
  <c r="Y54" i="63" s="1"/>
  <c r="Y49" i="65"/>
  <c r="Y50" i="65" s="1"/>
  <c r="Y51" i="65" s="1"/>
  <c r="Y52" i="65" s="1"/>
  <c r="Y53" i="65" s="1"/>
  <c r="Y54" i="65" s="1"/>
  <c r="Y55" i="65" s="1"/>
  <c r="Y56" i="65" s="1"/>
  <c r="Y57" i="65" s="1"/>
  <c r="Y58" i="65" s="1"/>
  <c r="Y59" i="65" s="1"/>
  <c r="Y60" i="65" s="1"/>
  <c r="Y61" i="65" s="1"/>
  <c r="Y62" i="65" s="1"/>
  <c r="Y63" i="65" s="1"/>
  <c r="Y64" i="65" s="1"/>
  <c r="Y65" i="65" s="1"/>
  <c r="Q32" i="107"/>
  <c r="H61" i="106"/>
  <c r="G80" i="106"/>
  <c r="D16" i="106" s="1"/>
  <c r="E16" i="106" s="1"/>
  <c r="D85" i="147"/>
  <c r="D94" i="147"/>
  <c r="I94" i="147" s="1"/>
  <c r="D84" i="147"/>
  <c r="I84" i="147" s="1"/>
  <c r="D101" i="147"/>
  <c r="I101" i="147" s="1"/>
  <c r="D76" i="147"/>
  <c r="I76" i="147" s="1"/>
  <c r="D90" i="147"/>
  <c r="I90" i="147" s="1"/>
  <c r="D80" i="147"/>
  <c r="I80" i="147" s="1"/>
  <c r="D73" i="147"/>
  <c r="I73" i="147" s="1"/>
  <c r="D74" i="147"/>
  <c r="I74" i="147" s="1"/>
  <c r="D100" i="147"/>
  <c r="I100" i="147" s="1"/>
  <c r="D98" i="147"/>
  <c r="I97" i="152"/>
  <c r="X49" i="66"/>
  <c r="W80" i="66"/>
  <c r="X55" i="54"/>
  <c r="W80" i="54"/>
  <c r="G72" i="54"/>
  <c r="G80" i="54" s="1"/>
  <c r="D16" i="54" s="1"/>
  <c r="E16" i="54" s="1"/>
  <c r="J41" i="36"/>
  <c r="L41" i="36" s="1"/>
  <c r="M41" i="36" s="1"/>
  <c r="J43" i="36"/>
  <c r="L43" i="36" s="1"/>
  <c r="M43" i="36" s="1"/>
  <c r="J44" i="36"/>
  <c r="L44" i="36" s="1"/>
  <c r="M44" i="36" s="1"/>
  <c r="E80" i="53"/>
  <c r="M24" i="53" s="1"/>
  <c r="Q34" i="47" s="1"/>
  <c r="G72" i="53"/>
  <c r="H72" i="53" s="1"/>
  <c r="H62" i="50"/>
  <c r="G61" i="70"/>
  <c r="H61" i="70" s="1"/>
  <c r="Z40" i="123"/>
  <c r="Z38" i="123"/>
  <c r="Z52" i="123"/>
  <c r="Z50" i="123"/>
  <c r="L50" i="123"/>
  <c r="L53" i="123" s="1"/>
  <c r="Z49" i="123"/>
  <c r="L51" i="123"/>
  <c r="M51" i="123" s="1"/>
  <c r="Q71" i="47"/>
  <c r="E80" i="38"/>
  <c r="M24" i="38" s="1"/>
  <c r="Q47" i="47" s="1"/>
  <c r="H24" i="39"/>
  <c r="I24" i="39"/>
  <c r="AD71" i="134"/>
  <c r="AD72" i="134" s="1"/>
  <c r="AD73" i="134" s="1"/>
  <c r="AD74" i="134" s="1"/>
  <c r="AD75" i="134" s="1"/>
  <c r="AD76" i="134" s="1"/>
  <c r="AD77" i="134" s="1"/>
  <c r="AD78" i="134" s="1"/>
  <c r="AD79" i="134" s="1"/>
  <c r="AD80" i="134" s="1"/>
  <c r="AD81" i="134" s="1"/>
  <c r="AD82" i="134" s="1"/>
  <c r="AD83" i="134" s="1"/>
  <c r="AD84" i="134" s="1"/>
  <c r="AD85" i="134" s="1"/>
  <c r="AD86" i="134" s="1"/>
  <c r="AD87" i="134" s="1"/>
  <c r="AD88" i="134" s="1"/>
  <c r="AD89" i="134" s="1"/>
  <c r="AD90" i="134" s="1"/>
  <c r="AD91" i="134" s="1"/>
  <c r="AD92" i="134" s="1"/>
  <c r="AD93" i="134" s="1"/>
  <c r="AD94" i="134" s="1"/>
  <c r="AD95" i="134" s="1"/>
  <c r="AD96" i="134" s="1"/>
  <c r="AD97" i="134" s="1"/>
  <c r="AD98" i="134" s="1"/>
  <c r="AD99" i="134" s="1"/>
  <c r="AC102" i="134"/>
  <c r="W80" i="52"/>
  <c r="W29" i="138"/>
  <c r="W30" i="138"/>
  <c r="W28" i="138"/>
  <c r="I99" i="151"/>
  <c r="I94" i="151"/>
  <c r="I88" i="147"/>
  <c r="H80" i="80"/>
  <c r="AA28" i="47"/>
  <c r="AB28" i="47"/>
  <c r="AC28" i="47" s="1"/>
  <c r="D92" i="150"/>
  <c r="I92" i="150" s="1"/>
  <c r="D97" i="150"/>
  <c r="I97" i="150" s="1"/>
  <c r="D82" i="150"/>
  <c r="I82" i="150" s="1"/>
  <c r="D99" i="150"/>
  <c r="I99" i="150" s="1"/>
  <c r="D89" i="150"/>
  <c r="I89" i="150" s="1"/>
  <c r="D78" i="150"/>
  <c r="I78" i="150" s="1"/>
  <c r="D84" i="150"/>
  <c r="I84" i="150" s="1"/>
  <c r="D93" i="150"/>
  <c r="I93" i="150" s="1"/>
  <c r="D86" i="150"/>
  <c r="I86" i="150" s="1"/>
  <c r="D79" i="150"/>
  <c r="I79" i="150" s="1"/>
  <c r="D88" i="150"/>
  <c r="I88" i="150" s="1"/>
  <c r="D77" i="150"/>
  <c r="I77" i="150" s="1"/>
  <c r="D101" i="150"/>
  <c r="I101" i="150" s="1"/>
  <c r="D90" i="150"/>
  <c r="I90" i="150" s="1"/>
  <c r="D87" i="150"/>
  <c r="I87" i="150" s="1"/>
  <c r="D80" i="150"/>
  <c r="I80" i="150" s="1"/>
  <c r="D73" i="150"/>
  <c r="I73" i="150" s="1"/>
  <c r="D74" i="150"/>
  <c r="D83" i="150"/>
  <c r="I83" i="150" s="1"/>
  <c r="D81" i="150"/>
  <c r="I81" i="150" s="1"/>
  <c r="D91" i="150"/>
  <c r="I91" i="150" s="1"/>
  <c r="D95" i="150"/>
  <c r="I95" i="150" s="1"/>
  <c r="J335" i="47"/>
  <c r="D96" i="150"/>
  <c r="I96" i="150" s="1"/>
  <c r="D85" i="150"/>
  <c r="I85" i="150" s="1"/>
  <c r="D94" i="150"/>
  <c r="I94" i="150" s="1"/>
  <c r="D100" i="150"/>
  <c r="I100" i="150" s="1"/>
  <c r="D72" i="150"/>
  <c r="I72" i="150" s="1"/>
  <c r="D98" i="150"/>
  <c r="I98" i="150" s="1"/>
  <c r="D76" i="150"/>
  <c r="I76" i="150" s="1"/>
  <c r="D71" i="150"/>
  <c r="D75" i="150"/>
  <c r="I75" i="150" s="1"/>
  <c r="I95" i="151"/>
  <c r="P48" i="47"/>
  <c r="Z48" i="47"/>
  <c r="X48" i="47"/>
  <c r="L30" i="65"/>
  <c r="L34" i="65" s="1"/>
  <c r="D19" i="47" s="1"/>
  <c r="F19" i="47" s="1"/>
  <c r="K34" i="65"/>
  <c r="G19" i="47" s="1"/>
  <c r="G70" i="65"/>
  <c r="H70" i="65" s="1"/>
  <c r="G64" i="62"/>
  <c r="H64" i="62" s="1"/>
  <c r="X59" i="70"/>
  <c r="X80" i="70" s="1"/>
  <c r="W80" i="70"/>
  <c r="Y55" i="74"/>
  <c r="Y56" i="74" s="1"/>
  <c r="Y57" i="74" s="1"/>
  <c r="Y58" i="74" s="1"/>
  <c r="Y59" i="74" s="1"/>
  <c r="Y60" i="74" s="1"/>
  <c r="Y61" i="74" s="1"/>
  <c r="Y62" i="74" s="1"/>
  <c r="Y63" i="74" s="1"/>
  <c r="Y64" i="74" s="1"/>
  <c r="Y65" i="74" s="1"/>
  <c r="Y66" i="74" s="1"/>
  <c r="Y67" i="74" s="1"/>
  <c r="Y68" i="74" s="1"/>
  <c r="Y69" i="74" s="1"/>
  <c r="Y70" i="74" s="1"/>
  <c r="Y71" i="74" s="1"/>
  <c r="Y72" i="74" s="1"/>
  <c r="Y73" i="74" s="1"/>
  <c r="Y74" i="74" s="1"/>
  <c r="Y75" i="74" s="1"/>
  <c r="H56" i="45"/>
  <c r="G80" i="45"/>
  <c r="D16" i="45" s="1"/>
  <c r="E16" i="45" s="1"/>
  <c r="K44" i="65"/>
  <c r="H19" i="47" s="1"/>
  <c r="I19" i="47" s="1"/>
  <c r="AA240" i="47"/>
  <c r="AB240" i="47"/>
  <c r="AC240" i="47" s="1"/>
  <c r="H51" i="65"/>
  <c r="I85" i="151"/>
  <c r="I75" i="153"/>
  <c r="H55" i="106"/>
  <c r="G59" i="40"/>
  <c r="H59" i="40" s="1"/>
  <c r="J44" i="63"/>
  <c r="L44" i="63" s="1"/>
  <c r="M44" i="63" s="1"/>
  <c r="J41" i="63"/>
  <c r="L41" i="63" s="1"/>
  <c r="J42" i="63"/>
  <c r="L42" i="63" s="1"/>
  <c r="M42" i="63" s="1"/>
  <c r="J43" i="63"/>
  <c r="L43" i="63" s="1"/>
  <c r="M43" i="63" s="1"/>
  <c r="M36" i="15"/>
  <c r="M28" i="15"/>
  <c r="M36" i="30"/>
  <c r="M28" i="30"/>
  <c r="M30" i="30"/>
  <c r="M32" i="30" s="1"/>
  <c r="M33" i="30" s="1"/>
  <c r="H57" i="62"/>
  <c r="G57" i="62"/>
  <c r="H53" i="72"/>
  <c r="D80" i="72"/>
  <c r="D15" i="72" s="1"/>
  <c r="E15" i="72" s="1"/>
  <c r="G77" i="81"/>
  <c r="G49" i="81"/>
  <c r="G73" i="81"/>
  <c r="G54" i="81"/>
  <c r="G58" i="81"/>
  <c r="G56" i="81"/>
  <c r="G72" i="81"/>
  <c r="G50" i="81"/>
  <c r="G64" i="81"/>
  <c r="G62" i="81"/>
  <c r="G78" i="81"/>
  <c r="G68" i="81"/>
  <c r="O58" i="47"/>
  <c r="G60" i="81"/>
  <c r="G55" i="81"/>
  <c r="G53" i="81"/>
  <c r="G69" i="81"/>
  <c r="H79" i="38"/>
  <c r="AB55" i="47"/>
  <c r="AC55" i="47" s="1"/>
  <c r="AA55" i="47"/>
  <c r="AB101" i="124"/>
  <c r="I85" i="147"/>
  <c r="W105" i="142"/>
  <c r="I74" i="150"/>
  <c r="I98" i="147"/>
  <c r="X89" i="91"/>
  <c r="W105" i="148"/>
  <c r="W105" i="149"/>
  <c r="D83" i="144"/>
  <c r="I83" i="144" s="1"/>
  <c r="D88" i="144"/>
  <c r="I88" i="144" s="1"/>
  <c r="D77" i="144"/>
  <c r="I77" i="144" s="1"/>
  <c r="D82" i="144"/>
  <c r="I82" i="144" s="1"/>
  <c r="D72" i="144"/>
  <c r="I72" i="144" s="1"/>
  <c r="D85" i="144"/>
  <c r="I85" i="144" s="1"/>
  <c r="D90" i="144"/>
  <c r="I90" i="144" s="1"/>
  <c r="D80" i="144"/>
  <c r="I80" i="144" s="1"/>
  <c r="J329" i="47"/>
  <c r="D93" i="144"/>
  <c r="I93" i="144" s="1"/>
  <c r="D98" i="144"/>
  <c r="I98" i="144" s="1"/>
  <c r="D92" i="144"/>
  <c r="I92" i="144" s="1"/>
  <c r="D97" i="144"/>
  <c r="I97" i="144" s="1"/>
  <c r="D76" i="144"/>
  <c r="I76" i="144" s="1"/>
  <c r="D74" i="144"/>
  <c r="I74" i="144" s="1"/>
  <c r="D84" i="144"/>
  <c r="I84" i="144" s="1"/>
  <c r="D78" i="144"/>
  <c r="I78" i="144" s="1"/>
  <c r="D96" i="144"/>
  <c r="I96" i="144" s="1"/>
  <c r="D75" i="144"/>
  <c r="I75" i="144" s="1"/>
  <c r="D86" i="144"/>
  <c r="I86" i="144" s="1"/>
  <c r="D79" i="144"/>
  <c r="I79" i="144" s="1"/>
  <c r="D94" i="144"/>
  <c r="I94" i="144" s="1"/>
  <c r="D73" i="144"/>
  <c r="I73" i="144" s="1"/>
  <c r="D87" i="144"/>
  <c r="I87" i="144" s="1"/>
  <c r="D81" i="144"/>
  <c r="I81" i="144" s="1"/>
  <c r="D91" i="144"/>
  <c r="I91" i="144" s="1"/>
  <c r="D89" i="144"/>
  <c r="I89" i="144" s="1"/>
  <c r="D95" i="144"/>
  <c r="I95" i="144" s="1"/>
  <c r="G58" i="37"/>
  <c r="G80" i="37" s="1"/>
  <c r="D16" i="37" s="1"/>
  <c r="E16" i="37" s="1"/>
  <c r="E80" i="37"/>
  <c r="M24" i="37" s="1"/>
  <c r="Q46" i="47" s="1"/>
  <c r="M30" i="21"/>
  <c r="M32" i="21" s="1"/>
  <c r="M33" i="21" s="1"/>
  <c r="M36" i="21"/>
  <c r="M28" i="21"/>
  <c r="X54" i="67"/>
  <c r="W80" i="67"/>
  <c r="H69" i="64"/>
  <c r="E80" i="67"/>
  <c r="M24" i="67" s="1"/>
  <c r="Q21" i="47" s="1"/>
  <c r="G75" i="67"/>
  <c r="D54" i="81"/>
  <c r="D73" i="81"/>
  <c r="H73" i="81" s="1"/>
  <c r="D78" i="81"/>
  <c r="D76" i="81"/>
  <c r="H76" i="81" s="1"/>
  <c r="D62" i="81"/>
  <c r="H62" i="81" s="1"/>
  <c r="D55" i="81"/>
  <c r="D66" i="81"/>
  <c r="D51" i="81"/>
  <c r="H51" i="81" s="1"/>
  <c r="D71" i="81"/>
  <c r="H71" i="81" s="1"/>
  <c r="D74" i="81"/>
  <c r="H74" i="81" s="1"/>
  <c r="D67" i="81"/>
  <c r="H67" i="81" s="1"/>
  <c r="D56" i="81"/>
  <c r="D49" i="81"/>
  <c r="D52" i="81"/>
  <c r="D72" i="81"/>
  <c r="D75" i="81"/>
  <c r="H75" i="81" s="1"/>
  <c r="D57" i="81"/>
  <c r="H57" i="81" s="1"/>
  <c r="D58" i="81"/>
  <c r="H58" i="81" s="1"/>
  <c r="D53" i="81"/>
  <c r="D70" i="81"/>
  <c r="H70" i="81" s="1"/>
  <c r="D60" i="81"/>
  <c r="H60" i="81" s="1"/>
  <c r="D64" i="81"/>
  <c r="H64" i="81" s="1"/>
  <c r="D61" i="81"/>
  <c r="H61" i="81" s="1"/>
  <c r="D50" i="81"/>
  <c r="H50" i="81" s="1"/>
  <c r="D77" i="81"/>
  <c r="D65" i="81"/>
  <c r="H65" i="81" s="1"/>
  <c r="D59" i="81"/>
  <c r="H59" i="81" s="1"/>
  <c r="D69" i="81"/>
  <c r="H69" i="81" s="1"/>
  <c r="D68" i="81"/>
  <c r="D63" i="81"/>
  <c r="H63" i="81" s="1"/>
  <c r="H79" i="54"/>
  <c r="H89" i="91"/>
  <c r="Y63" i="57"/>
  <c r="Y64" i="57" s="1"/>
  <c r="Y65" i="57" s="1"/>
  <c r="Y66" i="57" s="1"/>
  <c r="Y67" i="57" s="1"/>
  <c r="Y68" i="57" s="1"/>
  <c r="Y69" i="57" s="1"/>
  <c r="Y70" i="57" s="1"/>
  <c r="Y71" i="57" s="1"/>
  <c r="Y72" i="57" s="1"/>
  <c r="Y73" i="57" s="1"/>
  <c r="Y74" i="57" s="1"/>
  <c r="Y75" i="57" s="1"/>
  <c r="Y76" i="57" s="1"/>
  <c r="Y77" i="57" s="1"/>
  <c r="Y78" i="57" s="1"/>
  <c r="Y79" i="57" s="1"/>
  <c r="I21" i="47"/>
  <c r="G80" i="38"/>
  <c r="D16" i="38" s="1"/>
  <c r="E16" i="38" s="1"/>
  <c r="G75" i="62"/>
  <c r="H75" i="62" s="1"/>
  <c r="M30" i="20"/>
  <c r="M32" i="20" s="1"/>
  <c r="M33" i="20" s="1"/>
  <c r="M36" i="20"/>
  <c r="M28" i="20"/>
  <c r="H74" i="111"/>
  <c r="D89" i="111"/>
  <c r="E92" i="111" s="1"/>
  <c r="G66" i="81"/>
  <c r="L34" i="63"/>
  <c r="K35" i="63"/>
  <c r="Y69" i="37"/>
  <c r="Y70" i="37" s="1"/>
  <c r="Y71" i="37" s="1"/>
  <c r="Y72" i="37" s="1"/>
  <c r="Y73" i="37" s="1"/>
  <c r="Y74" i="37" s="1"/>
  <c r="Y75" i="37" s="1"/>
  <c r="Y76" i="37" s="1"/>
  <c r="Y77" i="37" s="1"/>
  <c r="Y78" i="37" s="1"/>
  <c r="Y80" i="37" s="1"/>
  <c r="Y46" i="38" s="1"/>
  <c r="Y49" i="38" s="1"/>
  <c r="Y50" i="38" s="1"/>
  <c r="Y51" i="38" s="1"/>
  <c r="I98" i="149"/>
  <c r="I94" i="149"/>
  <c r="Q35" i="107"/>
  <c r="Z53" i="123"/>
  <c r="X80" i="69"/>
  <c r="E80" i="54"/>
  <c r="M24" i="54" s="1"/>
  <c r="Q35" i="47" s="1"/>
  <c r="W33" i="142"/>
  <c r="X33" i="142" s="1"/>
  <c r="Y33" i="142" s="1"/>
  <c r="I72" i="149"/>
  <c r="G53" i="59"/>
  <c r="H53" i="59" s="1"/>
  <c r="X60" i="61"/>
  <c r="W80" i="61"/>
  <c r="H61" i="111"/>
  <c r="G89" i="111"/>
  <c r="E93" i="111" s="1"/>
  <c r="M30" i="19"/>
  <c r="M32" i="19" s="1"/>
  <c r="M33" i="19" s="1"/>
  <c r="M36" i="19"/>
  <c r="M28" i="19"/>
  <c r="X66" i="65"/>
  <c r="U30" i="47"/>
  <c r="V30" i="47" s="1"/>
  <c r="K35" i="51"/>
  <c r="L30" i="51"/>
  <c r="E79" i="65"/>
  <c r="M24" i="65" s="1"/>
  <c r="G48" i="65"/>
  <c r="G79" i="65" s="1"/>
  <c r="D16" i="65" s="1"/>
  <c r="E16" i="65" s="1"/>
  <c r="L31" i="74"/>
  <c r="K35" i="74"/>
  <c r="D89" i="112"/>
  <c r="E92" i="112" s="1"/>
  <c r="G52" i="81"/>
  <c r="Y63" i="71"/>
  <c r="Y64" i="71" s="1"/>
  <c r="Y65" i="71" s="1"/>
  <c r="Y66" i="71" s="1"/>
  <c r="Y67" i="71" s="1"/>
  <c r="Y68" i="71" s="1"/>
  <c r="Y69" i="71" s="1"/>
  <c r="Y70" i="71" s="1"/>
  <c r="Y71" i="71" s="1"/>
  <c r="Y72" i="71" s="1"/>
  <c r="Y73" i="71" s="1"/>
  <c r="Y74" i="71" s="1"/>
  <c r="Y75" i="71" s="1"/>
  <c r="Y76" i="71" s="1"/>
  <c r="Y77" i="71" s="1"/>
  <c r="Y78" i="71" s="1"/>
  <c r="Y79" i="71" s="1"/>
  <c r="H70" i="37"/>
  <c r="X15" i="47"/>
  <c r="P15" i="47"/>
  <c r="Z15" i="47"/>
  <c r="H80" i="82"/>
  <c r="V54" i="143"/>
  <c r="W53" i="143" s="1"/>
  <c r="X53" i="143" s="1"/>
  <c r="Y53" i="143" s="1"/>
  <c r="W28" i="132"/>
  <c r="W29" i="132"/>
  <c r="X29" i="132" s="1"/>
  <c r="Y29" i="132" s="1"/>
  <c r="W30" i="132"/>
  <c r="X30" i="132" s="1"/>
  <c r="Y30" i="132" s="1"/>
  <c r="AL80" i="80"/>
  <c r="Y80" i="80"/>
  <c r="AL80" i="56"/>
  <c r="Y80" i="56"/>
  <c r="E52" i="47"/>
  <c r="E16" i="47"/>
  <c r="Q337" i="47"/>
  <c r="H80" i="36"/>
  <c r="K54" i="143"/>
  <c r="L49" i="143" s="1"/>
  <c r="M28" i="143"/>
  <c r="I74" i="151"/>
  <c r="I78" i="148"/>
  <c r="I93" i="148"/>
  <c r="Y41" i="142"/>
  <c r="Y43" i="142" s="1"/>
  <c r="X43" i="142"/>
  <c r="H102" i="153"/>
  <c r="E107" i="153" s="1"/>
  <c r="I91" i="149"/>
  <c r="I87" i="149"/>
  <c r="I88" i="153"/>
  <c r="I71" i="147"/>
  <c r="I90" i="153"/>
  <c r="I74" i="153"/>
  <c r="I87" i="153"/>
  <c r="I100" i="153"/>
  <c r="H102" i="147"/>
  <c r="E107" i="147" s="1"/>
  <c r="H102" i="146"/>
  <c r="E107" i="146" s="1"/>
  <c r="AE102" i="143"/>
  <c r="AF71" i="143"/>
  <c r="AF72" i="143" s="1"/>
  <c r="AF73" i="143" s="1"/>
  <c r="AF74" i="143" s="1"/>
  <c r="AF75" i="143" s="1"/>
  <c r="AF76" i="143" s="1"/>
  <c r="AF77" i="143" s="1"/>
  <c r="AF78" i="143" s="1"/>
  <c r="AF79" i="143" s="1"/>
  <c r="AF80" i="143" s="1"/>
  <c r="AF81" i="143" s="1"/>
  <c r="AF82" i="143" s="1"/>
  <c r="AF83" i="143" s="1"/>
  <c r="AF84" i="143" s="1"/>
  <c r="AF85" i="143" s="1"/>
  <c r="AF86" i="143" s="1"/>
  <c r="AF87" i="143" s="1"/>
  <c r="AF88" i="143" s="1"/>
  <c r="AF89" i="143" s="1"/>
  <c r="AF90" i="143" s="1"/>
  <c r="AF91" i="143" s="1"/>
  <c r="AF92" i="143" s="1"/>
  <c r="AF93" i="143" s="1"/>
  <c r="AF94" i="143" s="1"/>
  <c r="AF95" i="143" s="1"/>
  <c r="AF96" i="143" s="1"/>
  <c r="AF97" i="143" s="1"/>
  <c r="AF98" i="143" s="1"/>
  <c r="AF99" i="143" s="1"/>
  <c r="AF100" i="143" s="1"/>
  <c r="AF101" i="143" s="1"/>
  <c r="I71" i="153"/>
  <c r="AF102" i="148"/>
  <c r="AF102" i="150"/>
  <c r="AA57" i="47"/>
  <c r="AB57" i="47"/>
  <c r="AC57" i="47" s="1"/>
  <c r="D80" i="84"/>
  <c r="D15" i="84" s="1"/>
  <c r="E15" i="84" s="1"/>
  <c r="H65" i="84"/>
  <c r="M42" i="60"/>
  <c r="M45" i="60" s="1"/>
  <c r="L45" i="60"/>
  <c r="L30" i="60"/>
  <c r="K35" i="60"/>
  <c r="M42" i="83"/>
  <c r="L45" i="83"/>
  <c r="M42" i="36"/>
  <c r="M45" i="36" s="1"/>
  <c r="E45" i="47" s="1"/>
  <c r="F45" i="47" s="1"/>
  <c r="L45" i="36"/>
  <c r="H45" i="47" s="1"/>
  <c r="I45" i="47" s="1"/>
  <c r="G59" i="63"/>
  <c r="H59" i="63" s="1"/>
  <c r="G55" i="60"/>
  <c r="G80" i="60" s="1"/>
  <c r="D16" i="60" s="1"/>
  <c r="E16" i="60" s="1"/>
  <c r="E80" i="60"/>
  <c r="M24" i="60" s="1"/>
  <c r="Q41" i="47" s="1"/>
  <c r="J41" i="40"/>
  <c r="L41" i="40" s="1"/>
  <c r="J42" i="40"/>
  <c r="L42" i="40" s="1"/>
  <c r="M42" i="40" s="1"/>
  <c r="J43" i="40"/>
  <c r="L43" i="40" s="1"/>
  <c r="M43" i="40" s="1"/>
  <c r="J44" i="40"/>
  <c r="L44" i="40" s="1"/>
  <c r="M44" i="40" s="1"/>
  <c r="H56" i="75"/>
  <c r="D80" i="75"/>
  <c r="D15" i="75" s="1"/>
  <c r="E15" i="75" s="1"/>
  <c r="H55" i="104"/>
  <c r="D80" i="104"/>
  <c r="D15" i="104" s="1"/>
  <c r="E15" i="104" s="1"/>
  <c r="W28" i="133"/>
  <c r="W30" i="133"/>
  <c r="X30" i="133" s="1"/>
  <c r="Y30" i="133" s="1"/>
  <c r="W29" i="133"/>
  <c r="X29" i="133" s="1"/>
  <c r="Y29" i="133" s="1"/>
  <c r="W32" i="133"/>
  <c r="X32" i="133" s="1"/>
  <c r="Y32" i="133" s="1"/>
  <c r="G51" i="52"/>
  <c r="G57" i="52"/>
  <c r="K33" i="47"/>
  <c r="G61" i="52"/>
  <c r="G54" i="52"/>
  <c r="G65" i="52"/>
  <c r="O33" i="47"/>
  <c r="G59" i="52"/>
  <c r="G50" i="52"/>
  <c r="G55" i="52"/>
  <c r="G70" i="52"/>
  <c r="G77" i="52"/>
  <c r="G53" i="52"/>
  <c r="G78" i="52"/>
  <c r="G60" i="52"/>
  <c r="G68" i="52"/>
  <c r="G69" i="52"/>
  <c r="G49" i="52"/>
  <c r="G74" i="52"/>
  <c r="G56" i="52"/>
  <c r="G64" i="52"/>
  <c r="G62" i="52"/>
  <c r="G58" i="52"/>
  <c r="G79" i="52"/>
  <c r="G52" i="52"/>
  <c r="G66" i="52"/>
  <c r="G73" i="52"/>
  <c r="G76" i="52"/>
  <c r="G67" i="52"/>
  <c r="G63" i="52"/>
  <c r="G71" i="52"/>
  <c r="G72" i="52"/>
  <c r="G75" i="52"/>
  <c r="AB63" i="47"/>
  <c r="AC63" i="47" s="1"/>
  <c r="AA63" i="47"/>
  <c r="Q44" i="76"/>
  <c r="Q45" i="76" s="1"/>
  <c r="M45" i="76"/>
  <c r="G80" i="69"/>
  <c r="D16" i="69" s="1"/>
  <c r="E16" i="69" s="1"/>
  <c r="W80" i="58"/>
  <c r="H48" i="34"/>
  <c r="H79" i="34" s="1"/>
  <c r="D79" i="34"/>
  <c r="D15" i="34" s="1"/>
  <c r="E15" i="34" s="1"/>
  <c r="X37" i="47"/>
  <c r="P37" i="47"/>
  <c r="Z37" i="47"/>
  <c r="AA39" i="123"/>
  <c r="Z43" i="123"/>
  <c r="AB39" i="123"/>
  <c r="I103" i="139"/>
  <c r="M31" i="58"/>
  <c r="M35" i="58" s="1"/>
  <c r="D15" i="47" s="1"/>
  <c r="F15" i="47" s="1"/>
  <c r="L35" i="58"/>
  <c r="G15" i="47" s="1"/>
  <c r="I15" i="47" s="1"/>
  <c r="Q45" i="109"/>
  <c r="G80" i="84"/>
  <c r="D16" i="84" s="1"/>
  <c r="E16" i="84" s="1"/>
  <c r="L45" i="104"/>
  <c r="M41" i="104"/>
  <c r="X232" i="47"/>
  <c r="Z232" i="47"/>
  <c r="P232" i="47"/>
  <c r="Z197" i="47"/>
  <c r="X197" i="47"/>
  <c r="P197" i="47"/>
  <c r="Z227" i="47"/>
  <c r="P227" i="47"/>
  <c r="X227" i="47"/>
  <c r="X278" i="47"/>
  <c r="P278" i="47"/>
  <c r="Z278" i="47"/>
  <c r="Z254" i="47"/>
  <c r="X254" i="47"/>
  <c r="P254" i="47"/>
  <c r="X288" i="47"/>
  <c r="P288" i="47"/>
  <c r="Z288" i="47"/>
  <c r="P198" i="47"/>
  <c r="X198" i="47"/>
  <c r="Z198" i="47"/>
  <c r="P125" i="47"/>
  <c r="X125" i="47"/>
  <c r="Z125" i="47"/>
  <c r="X121" i="47"/>
  <c r="Z121" i="47"/>
  <c r="P121" i="47"/>
  <c r="P124" i="47"/>
  <c r="X124" i="47"/>
  <c r="Z124" i="47"/>
  <c r="P85" i="47"/>
  <c r="X85" i="47"/>
  <c r="Z85" i="47"/>
  <c r="Z265" i="47"/>
  <c r="Z327" i="47"/>
  <c r="P327" i="47"/>
  <c r="P224" i="47"/>
  <c r="X295" i="47"/>
  <c r="P295" i="47"/>
  <c r="Z295" i="47"/>
  <c r="P280" i="47"/>
  <c r="P206" i="47"/>
  <c r="X190" i="47"/>
  <c r="P190" i="47"/>
  <c r="Z100" i="47"/>
  <c r="P109" i="47"/>
  <c r="X109" i="47"/>
  <c r="W33" i="124"/>
  <c r="W35" i="124" s="1"/>
  <c r="X28" i="124"/>
  <c r="Y80" i="57"/>
  <c r="AL80" i="57"/>
  <c r="H60" i="55"/>
  <c r="H80" i="55" s="1"/>
  <c r="G80" i="55"/>
  <c r="D16" i="55" s="1"/>
  <c r="E16" i="55" s="1"/>
  <c r="W18" i="47"/>
  <c r="W19" i="47" s="1"/>
  <c r="W20" i="47" s="1"/>
  <c r="W21" i="47" s="1"/>
  <c r="W22" i="47" s="1"/>
  <c r="W23" i="47" s="1"/>
  <c r="W24" i="47" s="1"/>
  <c r="W25" i="47" s="1"/>
  <c r="W26" i="47" s="1"/>
  <c r="W27" i="47" s="1"/>
  <c r="W28" i="47" s="1"/>
  <c r="W29" i="47" s="1"/>
  <c r="W30" i="47" s="1"/>
  <c r="W31" i="47" s="1"/>
  <c r="W32" i="47" s="1"/>
  <c r="W33" i="47" s="1"/>
  <c r="W34" i="47" s="1"/>
  <c r="W35" i="47" s="1"/>
  <c r="W36" i="47" s="1"/>
  <c r="W37" i="47" s="1"/>
  <c r="W38" i="47" s="1"/>
  <c r="W39" i="47" s="1"/>
  <c r="W40" i="47" s="1"/>
  <c r="W41" i="47" s="1"/>
  <c r="W42" i="47" s="1"/>
  <c r="W43" i="47" s="1"/>
  <c r="W44" i="47" s="1"/>
  <c r="W45" i="47" s="1"/>
  <c r="W46" i="47" s="1"/>
  <c r="W47" i="47" s="1"/>
  <c r="W48" i="47" s="1"/>
  <c r="AA59" i="47"/>
  <c r="AB59" i="47"/>
  <c r="AC59" i="47" s="1"/>
  <c r="H59" i="66"/>
  <c r="H66" i="66"/>
  <c r="H79" i="50"/>
  <c r="AD76" i="138"/>
  <c r="AD77" i="138" s="1"/>
  <c r="AD78" i="138" s="1"/>
  <c r="AD79" i="138" s="1"/>
  <c r="AD80" i="138" s="1"/>
  <c r="AD81" i="138" s="1"/>
  <c r="AD82" i="138" s="1"/>
  <c r="AD83" i="138" s="1"/>
  <c r="AD84" i="138" s="1"/>
  <c r="AD85" i="138" s="1"/>
  <c r="AD86" i="138" s="1"/>
  <c r="AD87" i="138" s="1"/>
  <c r="AD88" i="138" s="1"/>
  <c r="AD89" i="138" s="1"/>
  <c r="AD90" i="138" s="1"/>
  <c r="AD91" i="138" s="1"/>
  <c r="AD92" i="138" s="1"/>
  <c r="AD93" i="138" s="1"/>
  <c r="AD94" i="138" s="1"/>
  <c r="AD95" i="138" s="1"/>
  <c r="AD96" i="138" s="1"/>
  <c r="AD97" i="138" s="1"/>
  <c r="AD98" i="138" s="1"/>
  <c r="AD99" i="138" s="1"/>
  <c r="AD100" i="138" s="1"/>
  <c r="AD101" i="138" s="1"/>
  <c r="AD102" i="138" s="1"/>
  <c r="O393" i="47"/>
  <c r="X28" i="139"/>
  <c r="W33" i="139"/>
  <c r="W35" i="139" s="1"/>
  <c r="X80" i="53"/>
  <c r="Q32" i="83"/>
  <c r="Q35" i="83" s="1"/>
  <c r="M35" i="83"/>
  <c r="G80" i="82"/>
  <c r="D16" i="82" s="1"/>
  <c r="E16" i="82" s="1"/>
  <c r="Y58" i="53"/>
  <c r="Y59" i="53" s="1"/>
  <c r="Y60" i="53" s="1"/>
  <c r="Y61" i="53" s="1"/>
  <c r="Y62" i="53" s="1"/>
  <c r="Y63" i="53" s="1"/>
  <c r="Y64" i="53" s="1"/>
  <c r="Y65" i="53" s="1"/>
  <c r="Y66" i="53" s="1"/>
  <c r="Y67" i="53" s="1"/>
  <c r="Y68" i="53" s="1"/>
  <c r="Y69" i="53" s="1"/>
  <c r="Y70" i="53" s="1"/>
  <c r="Y71" i="53" s="1"/>
  <c r="Y72" i="53" s="1"/>
  <c r="Y73" i="53" s="1"/>
  <c r="Y74" i="53" s="1"/>
  <c r="Y75" i="53" s="1"/>
  <c r="Y76" i="53" s="1"/>
  <c r="Y77" i="53" s="1"/>
  <c r="Y78" i="53" s="1"/>
  <c r="Y80" i="53" s="1"/>
  <c r="AC101" i="133"/>
  <c r="AC100" i="133"/>
  <c r="D69" i="68"/>
  <c r="D67" i="68"/>
  <c r="D53" i="68"/>
  <c r="D49" i="68"/>
  <c r="D68" i="68"/>
  <c r="D76" i="68"/>
  <c r="D59" i="68"/>
  <c r="D78" i="68"/>
  <c r="D51" i="68"/>
  <c r="D72" i="68"/>
  <c r="D63" i="68"/>
  <c r="D56" i="68"/>
  <c r="D73" i="68"/>
  <c r="D58" i="68"/>
  <c r="D57" i="68"/>
  <c r="D65" i="68"/>
  <c r="D66" i="68"/>
  <c r="D52" i="68"/>
  <c r="D75" i="68"/>
  <c r="D70" i="68"/>
  <c r="D61" i="68"/>
  <c r="D71" i="68"/>
  <c r="D62" i="68"/>
  <c r="D54" i="68"/>
  <c r="D77" i="68"/>
  <c r="J22" i="47"/>
  <c r="D74" i="68"/>
  <c r="D60" i="68"/>
  <c r="D55" i="68"/>
  <c r="D64" i="68"/>
  <c r="D50" i="68"/>
  <c r="AB33" i="47"/>
  <c r="AC33" i="47" s="1"/>
  <c r="Y76" i="69"/>
  <c r="Y77" i="69" s="1"/>
  <c r="Y78" i="69" s="1"/>
  <c r="Y79" i="69" s="1"/>
  <c r="I73" i="149"/>
  <c r="Q335" i="47"/>
  <c r="H102" i="144"/>
  <c r="E107" i="144" s="1"/>
  <c r="I71" i="144"/>
  <c r="G68" i="70"/>
  <c r="G80" i="70" s="1"/>
  <c r="D16" i="70" s="1"/>
  <c r="E16" i="70" s="1"/>
  <c r="E80" i="70"/>
  <c r="M24" i="70" s="1"/>
  <c r="Q24" i="47" s="1"/>
  <c r="D52" i="44"/>
  <c r="D57" i="44"/>
  <c r="D71" i="44"/>
  <c r="D56" i="44"/>
  <c r="D63" i="44"/>
  <c r="D72" i="44"/>
  <c r="D78" i="44"/>
  <c r="D70" i="44"/>
  <c r="D66" i="44"/>
  <c r="D73" i="44"/>
  <c r="D62" i="44"/>
  <c r="D49" i="44"/>
  <c r="D64" i="44"/>
  <c r="D54" i="44"/>
  <c r="D74" i="44"/>
  <c r="D76" i="44"/>
  <c r="D50" i="44"/>
  <c r="D68" i="44"/>
  <c r="D77" i="44"/>
  <c r="D60" i="44"/>
  <c r="D69" i="44"/>
  <c r="D53" i="44"/>
  <c r="J53" i="47"/>
  <c r="D58" i="44"/>
  <c r="D55" i="44"/>
  <c r="D67" i="44"/>
  <c r="D59" i="44"/>
  <c r="D75" i="44"/>
  <c r="D51" i="44"/>
  <c r="D65" i="44"/>
  <c r="D61" i="44"/>
  <c r="X52" i="62"/>
  <c r="X80" i="62" s="1"/>
  <c r="W80" i="62"/>
  <c r="D80" i="106"/>
  <c r="D15" i="106" s="1"/>
  <c r="E15" i="106" s="1"/>
  <c r="H49" i="106"/>
  <c r="H60" i="60"/>
  <c r="D80" i="60"/>
  <c r="D15" i="60" s="1"/>
  <c r="E15" i="60" s="1"/>
  <c r="E80" i="63"/>
  <c r="M24" i="63" s="1"/>
  <c r="Q17" i="47" s="1"/>
  <c r="H24" i="42"/>
  <c r="I24" i="42"/>
  <c r="D80" i="109"/>
  <c r="D15" i="109" s="1"/>
  <c r="E15" i="109" s="1"/>
  <c r="H52" i="109"/>
  <c r="H80" i="109" s="1"/>
  <c r="S115" i="49"/>
  <c r="G115" i="49"/>
  <c r="Y49" i="51"/>
  <c r="Y50" i="51" s="1"/>
  <c r="Y51" i="51" s="1"/>
  <c r="Y52" i="51" s="1"/>
  <c r="Y53" i="51" s="1"/>
  <c r="Y54" i="51" s="1"/>
  <c r="Y55" i="51" s="1"/>
  <c r="Y56" i="51" s="1"/>
  <c r="Y57" i="51" s="1"/>
  <c r="Y58" i="51" s="1"/>
  <c r="Y59" i="51" s="1"/>
  <c r="Y60" i="51" s="1"/>
  <c r="Y61" i="51" s="1"/>
  <c r="Y62" i="51" s="1"/>
  <c r="Y63" i="51" s="1"/>
  <c r="Y64" i="51" s="1"/>
  <c r="Y65" i="51" s="1"/>
  <c r="Y66" i="51" s="1"/>
  <c r="Y67" i="51" s="1"/>
  <c r="Y68" i="51" s="1"/>
  <c r="Y69" i="51" s="1"/>
  <c r="Y70" i="51" s="1"/>
  <c r="Y71" i="51" s="1"/>
  <c r="Y72" i="51" s="1"/>
  <c r="Y73" i="51" s="1"/>
  <c r="Y74" i="51" s="1"/>
  <c r="Y75" i="51" s="1"/>
  <c r="Y76" i="51" s="1"/>
  <c r="Y77" i="51" s="1"/>
  <c r="Y80" i="51" s="1"/>
  <c r="X80" i="51"/>
  <c r="H49" i="77"/>
  <c r="H80" i="77" s="1"/>
  <c r="D80" i="77"/>
  <c r="D15" i="77" s="1"/>
  <c r="E15" i="77" s="1"/>
  <c r="D69" i="73"/>
  <c r="D77" i="73"/>
  <c r="D63" i="73"/>
  <c r="D74" i="73"/>
  <c r="D76" i="73"/>
  <c r="D75" i="73"/>
  <c r="D51" i="73"/>
  <c r="D64" i="73"/>
  <c r="D65" i="73"/>
  <c r="D68" i="73"/>
  <c r="D60" i="73"/>
  <c r="D53" i="73"/>
  <c r="D49" i="73"/>
  <c r="D67" i="73"/>
  <c r="D79" i="73"/>
  <c r="D55" i="73"/>
  <c r="D73" i="73"/>
  <c r="D78" i="73"/>
  <c r="D56" i="73"/>
  <c r="D66" i="73"/>
  <c r="D72" i="73"/>
  <c r="D61" i="73"/>
  <c r="D71" i="73"/>
  <c r="D52" i="73"/>
  <c r="J28" i="47"/>
  <c r="D54" i="73"/>
  <c r="D70" i="73"/>
  <c r="D59" i="73"/>
  <c r="D50" i="73"/>
  <c r="D57" i="73"/>
  <c r="D58" i="73"/>
  <c r="D62" i="73"/>
  <c r="H55" i="40"/>
  <c r="G80" i="40"/>
  <c r="D16" i="40" s="1"/>
  <c r="E16" i="40" s="1"/>
  <c r="X80" i="58"/>
  <c r="W29" i="134"/>
  <c r="X29" i="134" s="1"/>
  <c r="Y29" i="134" s="1"/>
  <c r="W28" i="134"/>
  <c r="W30" i="134"/>
  <c r="X30" i="134" s="1"/>
  <c r="Y30" i="134" s="1"/>
  <c r="W32" i="134"/>
  <c r="X32" i="134" s="1"/>
  <c r="Y32" i="134" s="1"/>
  <c r="AL80" i="84"/>
  <c r="Y80" i="84"/>
  <c r="N40" i="139"/>
  <c r="N44" i="139" s="1"/>
  <c r="M44" i="139"/>
  <c r="G77" i="47" s="1"/>
  <c r="I72" i="132"/>
  <c r="I102" i="132" s="1"/>
  <c r="D102" i="132"/>
  <c r="E105" i="132" s="1"/>
  <c r="F105" i="132" s="1"/>
  <c r="W51" i="138"/>
  <c r="X51" i="138" s="1"/>
  <c r="W53" i="138"/>
  <c r="X53" i="138" s="1"/>
  <c r="Y53" i="138" s="1"/>
  <c r="W52" i="138"/>
  <c r="X52" i="138" s="1"/>
  <c r="Y52" i="138" s="1"/>
  <c r="W54" i="138"/>
  <c r="X54" i="138" s="1"/>
  <c r="Y54" i="138" s="1"/>
  <c r="G80" i="80"/>
  <c r="D16" i="80" s="1"/>
  <c r="E16" i="80" s="1"/>
  <c r="E32" i="47"/>
  <c r="E31" i="47"/>
  <c r="O44" i="104"/>
  <c r="O45" i="104" s="1"/>
  <c r="E62" i="47" s="1"/>
  <c r="F62" i="47" s="1"/>
  <c r="S62" i="47" s="1"/>
  <c r="M44" i="104"/>
  <c r="X209" i="47"/>
  <c r="P306" i="47"/>
  <c r="P308" i="47"/>
  <c r="P222" i="47"/>
  <c r="X222" i="47"/>
  <c r="Z234" i="47"/>
  <c r="P273" i="47"/>
  <c r="X161" i="47"/>
  <c r="P161" i="47"/>
  <c r="X84" i="47"/>
  <c r="P84" i="47"/>
  <c r="P312" i="47"/>
  <c r="Z312" i="47"/>
  <c r="X312" i="47"/>
  <c r="X148" i="47"/>
  <c r="Z148" i="47"/>
  <c r="P148" i="47"/>
  <c r="P259" i="47"/>
  <c r="X259" i="47"/>
  <c r="Z259" i="47"/>
  <c r="P284" i="47"/>
  <c r="X284" i="47"/>
  <c r="Z284" i="47"/>
  <c r="X218" i="47"/>
  <c r="Z218" i="47"/>
  <c r="P218" i="47"/>
  <c r="Z260" i="47"/>
  <c r="P260" i="47"/>
  <c r="X260" i="47"/>
  <c r="Z270" i="47"/>
  <c r="P270" i="47"/>
  <c r="X270" i="47"/>
  <c r="Z129" i="47"/>
  <c r="P129" i="47"/>
  <c r="X129" i="47"/>
  <c r="P269" i="47"/>
  <c r="X269" i="47"/>
  <c r="Z269" i="47"/>
  <c r="P187" i="47"/>
  <c r="X187" i="47"/>
  <c r="Z187" i="47"/>
  <c r="Z165" i="47"/>
  <c r="P165" i="47"/>
  <c r="X165" i="47"/>
  <c r="P172" i="47"/>
  <c r="Z172" i="47"/>
  <c r="X172" i="47"/>
  <c r="X169" i="47"/>
  <c r="Z169" i="47"/>
  <c r="P169" i="47"/>
  <c r="X120" i="47"/>
  <c r="Z120" i="47"/>
  <c r="P120" i="47"/>
  <c r="X104" i="47"/>
  <c r="P104" i="47"/>
  <c r="Z104" i="47"/>
  <c r="X86" i="47"/>
  <c r="Z86" i="47"/>
  <c r="P86" i="47"/>
  <c r="AB68" i="47"/>
  <c r="AC68" i="47" s="1"/>
  <c r="AA68" i="47"/>
  <c r="G80" i="66"/>
  <c r="D16" i="66" s="1"/>
  <c r="E16" i="66" s="1"/>
  <c r="P35" i="47"/>
  <c r="Z35" i="47"/>
  <c r="X35" i="47"/>
  <c r="Z36" i="47"/>
  <c r="P36" i="47"/>
  <c r="X36" i="47"/>
  <c r="Q39" i="47"/>
  <c r="Q40" i="47"/>
  <c r="X80" i="45"/>
  <c r="Y53" i="45"/>
  <c r="Y54" i="45" s="1"/>
  <c r="Y55" i="45" s="1"/>
  <c r="Y56" i="45" s="1"/>
  <c r="Y57" i="45" s="1"/>
  <c r="Y58" i="45" s="1"/>
  <c r="Y59" i="45" s="1"/>
  <c r="Y60" i="45" s="1"/>
  <c r="Y61" i="45" s="1"/>
  <c r="Y62" i="45" s="1"/>
  <c r="Y63" i="45" s="1"/>
  <c r="Y64" i="45" s="1"/>
  <c r="Y65" i="45" s="1"/>
  <c r="Y66" i="45" s="1"/>
  <c r="Y67" i="45" s="1"/>
  <c r="Y68" i="45" s="1"/>
  <c r="Y69" i="45" s="1"/>
  <c r="Y70" i="45" s="1"/>
  <c r="Y71" i="45" s="1"/>
  <c r="Y72" i="45" s="1"/>
  <c r="Y73" i="45" s="1"/>
  <c r="Y74" i="45" s="1"/>
  <c r="Y75" i="45" s="1"/>
  <c r="Y76" i="45" s="1"/>
  <c r="Y77" i="45" s="1"/>
  <c r="Y78" i="45" s="1"/>
  <c r="Y79" i="45" s="1"/>
  <c r="H57" i="66"/>
  <c r="L35" i="53"/>
  <c r="G34" i="47" s="1"/>
  <c r="I34" i="47" s="1"/>
  <c r="L50" i="138"/>
  <c r="M50" i="138" s="1"/>
  <c r="N50" i="138" s="1"/>
  <c r="L43" i="138"/>
  <c r="M43" i="138" s="1"/>
  <c r="N43" i="138" s="1"/>
  <c r="L41" i="138"/>
  <c r="Q76" i="47"/>
  <c r="L52" i="138"/>
  <c r="M52" i="138" s="1"/>
  <c r="N52" i="138" s="1"/>
  <c r="L42" i="138"/>
  <c r="M42" i="138" s="1"/>
  <c r="N42" i="138" s="1"/>
  <c r="L51" i="138"/>
  <c r="L53" i="138"/>
  <c r="M53" i="138" s="1"/>
  <c r="N53" i="138" s="1"/>
  <c r="AB61" i="47"/>
  <c r="AC61" i="47" s="1"/>
  <c r="F92" i="110"/>
  <c r="I15" i="110"/>
  <c r="Y50" i="36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X80" i="36"/>
  <c r="L32" i="62"/>
  <c r="M32" i="62" s="1"/>
  <c r="F10" i="62"/>
  <c r="G10" i="62" s="1"/>
  <c r="L30" i="62"/>
  <c r="L34" i="62"/>
  <c r="M34" i="62" s="1"/>
  <c r="L31" i="62"/>
  <c r="M31" i="62" s="1"/>
  <c r="L33" i="62"/>
  <c r="M33" i="62" s="1"/>
  <c r="AA69" i="47"/>
  <c r="AB69" i="47"/>
  <c r="AC69" i="47" s="1"/>
  <c r="Y66" i="83"/>
  <c r="Y67" i="83" s="1"/>
  <c r="Y68" i="83" s="1"/>
  <c r="Y69" i="83" s="1"/>
  <c r="Y70" i="83" s="1"/>
  <c r="Y71" i="83" s="1"/>
  <c r="Y72" i="83" s="1"/>
  <c r="Y73" i="83" s="1"/>
  <c r="Y74" i="83" s="1"/>
  <c r="Y75" i="83" s="1"/>
  <c r="Y76" i="83" s="1"/>
  <c r="Y77" i="83" s="1"/>
  <c r="Y78" i="83" s="1"/>
  <c r="H11" i="49"/>
  <c r="H12" i="49" s="1"/>
  <c r="H13" i="49" s="1"/>
  <c r="H14" i="49" s="1"/>
  <c r="H15" i="49" s="1"/>
  <c r="H16" i="49" s="1"/>
  <c r="H17" i="49" s="1"/>
  <c r="H18" i="49" s="1"/>
  <c r="O22" i="47"/>
  <c r="G67" i="68"/>
  <c r="G51" i="68"/>
  <c r="G71" i="68"/>
  <c r="G59" i="68"/>
  <c r="G63" i="68"/>
  <c r="G73" i="68"/>
  <c r="G62" i="68"/>
  <c r="G52" i="68"/>
  <c r="G61" i="68"/>
  <c r="G69" i="68"/>
  <c r="G72" i="68"/>
  <c r="G74" i="68"/>
  <c r="G57" i="68"/>
  <c r="G64" i="68"/>
  <c r="G77" i="68"/>
  <c r="G78" i="68"/>
  <c r="K22" i="47"/>
  <c r="G75" i="68"/>
  <c r="G53" i="68"/>
  <c r="G60" i="68"/>
  <c r="G65" i="68"/>
  <c r="G68" i="68"/>
  <c r="G76" i="68"/>
  <c r="G55" i="68"/>
  <c r="G58" i="68"/>
  <c r="G50" i="68"/>
  <c r="G66" i="68"/>
  <c r="G49" i="68"/>
  <c r="G70" i="68"/>
  <c r="G56" i="68"/>
  <c r="G54" i="68"/>
  <c r="Y57" i="77"/>
  <c r="Y58" i="77" s="1"/>
  <c r="Y59" i="77" s="1"/>
  <c r="Y60" i="77" s="1"/>
  <c r="Y61" i="77" s="1"/>
  <c r="Y62" i="77" s="1"/>
  <c r="Y63" i="77" s="1"/>
  <c r="Y64" i="77" s="1"/>
  <c r="Y65" i="77" s="1"/>
  <c r="Y66" i="77" s="1"/>
  <c r="Y67" i="77" s="1"/>
  <c r="Y68" i="77" s="1"/>
  <c r="Y69" i="77" s="1"/>
  <c r="Y70" i="77" s="1"/>
  <c r="Y71" i="77" s="1"/>
  <c r="Y72" i="77" s="1"/>
  <c r="Y73" i="77" s="1"/>
  <c r="Y74" i="77" s="1"/>
  <c r="Y75" i="77" s="1"/>
  <c r="Y76" i="77" s="1"/>
  <c r="Y52" i="38"/>
  <c r="Y53" i="38" s="1"/>
  <c r="Y54" i="38" s="1"/>
  <c r="Y55" i="38" s="1"/>
  <c r="Y56" i="38" s="1"/>
  <c r="Y57" i="38" s="1"/>
  <c r="Y58" i="38" s="1"/>
  <c r="Y59" i="38" s="1"/>
  <c r="Y60" i="38" s="1"/>
  <c r="Y61" i="38" s="1"/>
  <c r="Y62" i="38" s="1"/>
  <c r="Y63" i="38" s="1"/>
  <c r="Y64" i="38" s="1"/>
  <c r="Y65" i="38" s="1"/>
  <c r="Y66" i="38" s="1"/>
  <c r="Y67" i="38" s="1"/>
  <c r="Y68" i="38" s="1"/>
  <c r="Y69" i="38" s="1"/>
  <c r="Y70" i="38" s="1"/>
  <c r="Y71" i="38" s="1"/>
  <c r="Y72" i="38" s="1"/>
  <c r="Y73" i="38" s="1"/>
  <c r="Y74" i="38" s="1"/>
  <c r="Y75" i="38" s="1"/>
  <c r="Y76" i="38" s="1"/>
  <c r="Y77" i="38" s="1"/>
  <c r="Y78" i="38" s="1"/>
  <c r="Y79" i="38" s="1"/>
  <c r="N40" i="143"/>
  <c r="N43" i="143" s="1"/>
  <c r="M43" i="143"/>
  <c r="V49" i="142"/>
  <c r="I97" i="149"/>
  <c r="K54" i="142"/>
  <c r="L49" i="142" s="1"/>
  <c r="W51" i="143"/>
  <c r="X51" i="143" s="1"/>
  <c r="Y51" i="143" s="1"/>
  <c r="W44" i="139"/>
  <c r="X39" i="139"/>
  <c r="I73" i="151"/>
  <c r="H102" i="151"/>
  <c r="E107" i="151" s="1"/>
  <c r="I71" i="151"/>
  <c r="H102" i="149"/>
  <c r="E107" i="149" s="1"/>
  <c r="I100" i="148"/>
  <c r="I82" i="148"/>
  <c r="I90" i="148"/>
  <c r="D102" i="142"/>
  <c r="E105" i="142" s="1"/>
  <c r="F105" i="142" s="1"/>
  <c r="I81" i="149"/>
  <c r="I74" i="149"/>
  <c r="I83" i="149"/>
  <c r="I90" i="149"/>
  <c r="I91" i="147"/>
  <c r="I75" i="147"/>
  <c r="AB339" i="47"/>
  <c r="AC339" i="47" s="1"/>
  <c r="AA339" i="47"/>
  <c r="I82" i="153"/>
  <c r="I98" i="153"/>
  <c r="I79" i="153"/>
  <c r="I92" i="153"/>
  <c r="I78" i="153"/>
  <c r="I77" i="124"/>
  <c r="I101" i="124" s="1"/>
  <c r="H101" i="124"/>
  <c r="E106" i="124" s="1"/>
  <c r="F106" i="124" s="1"/>
  <c r="G61" i="44"/>
  <c r="G76" i="44"/>
  <c r="G60" i="44"/>
  <c r="G52" i="44"/>
  <c r="G79" i="44"/>
  <c r="H79" i="44" s="1"/>
  <c r="G65" i="44"/>
  <c r="G64" i="44"/>
  <c r="G53" i="44"/>
  <c r="G67" i="44"/>
  <c r="G50" i="44"/>
  <c r="G68" i="44"/>
  <c r="G70" i="44"/>
  <c r="G74" i="44"/>
  <c r="G71" i="44"/>
  <c r="G75" i="44"/>
  <c r="G58" i="44"/>
  <c r="G59" i="44"/>
  <c r="G56" i="44"/>
  <c r="G69" i="44"/>
  <c r="G78" i="44"/>
  <c r="G55" i="44"/>
  <c r="O53" i="47"/>
  <c r="G54" i="44"/>
  <c r="G51" i="44"/>
  <c r="G63" i="44"/>
  <c r="G66" i="44"/>
  <c r="G57" i="44"/>
  <c r="G73" i="44"/>
  <c r="G62" i="44"/>
  <c r="G77" i="44"/>
  <c r="G49" i="44"/>
  <c r="K53" i="47"/>
  <c r="G72" i="44"/>
  <c r="K32" i="34"/>
  <c r="J34" i="34"/>
  <c r="J42" i="62"/>
  <c r="J41" i="62"/>
  <c r="J43" i="62"/>
  <c r="J44" i="62"/>
  <c r="G52" i="61"/>
  <c r="H52" i="61" s="1"/>
  <c r="E80" i="61"/>
  <c r="M24" i="61" s="1"/>
  <c r="Q42" i="47" s="1"/>
  <c r="X41" i="124"/>
  <c r="W44" i="124"/>
  <c r="L45" i="82"/>
  <c r="X55" i="63"/>
  <c r="X80" i="63" s="1"/>
  <c r="W80" i="63"/>
  <c r="G64" i="61"/>
  <c r="H64" i="61" s="1"/>
  <c r="H24" i="41"/>
  <c r="I24" i="41"/>
  <c r="I81" i="123"/>
  <c r="I101" i="123" s="1"/>
  <c r="H101" i="123"/>
  <c r="E106" i="123" s="1"/>
  <c r="F106" i="123" s="1"/>
  <c r="G68" i="73"/>
  <c r="G52" i="73"/>
  <c r="O28" i="47"/>
  <c r="G55" i="73"/>
  <c r="G58" i="73"/>
  <c r="G61" i="73"/>
  <c r="G65" i="73"/>
  <c r="G66" i="73"/>
  <c r="G79" i="73"/>
  <c r="G67" i="73"/>
  <c r="G71" i="73"/>
  <c r="G73" i="73"/>
  <c r="G76" i="73"/>
  <c r="G77" i="73"/>
  <c r="G64" i="73"/>
  <c r="G60" i="73"/>
  <c r="G50" i="73"/>
  <c r="G51" i="73"/>
  <c r="G53" i="73"/>
  <c r="G54" i="73"/>
  <c r="G57" i="73"/>
  <c r="G59" i="73"/>
  <c r="G62" i="73"/>
  <c r="G75" i="73"/>
  <c r="K28" i="47"/>
  <c r="G69" i="73"/>
  <c r="G56" i="73"/>
  <c r="G72" i="73"/>
  <c r="G63" i="73"/>
  <c r="G74" i="73"/>
  <c r="G78" i="73"/>
  <c r="G49" i="73"/>
  <c r="G70" i="73"/>
  <c r="M52" i="139"/>
  <c r="L55" i="139"/>
  <c r="Y50" i="72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Y62" i="72" s="1"/>
  <c r="Y63" i="72" s="1"/>
  <c r="Y64" i="72" s="1"/>
  <c r="Y65" i="72" s="1"/>
  <c r="Y66" i="72" s="1"/>
  <c r="Y67" i="72" s="1"/>
  <c r="Y68" i="72" s="1"/>
  <c r="Y69" i="72" s="1"/>
  <c r="Y70" i="72" s="1"/>
  <c r="Y71" i="72" s="1"/>
  <c r="Y72" i="72" s="1"/>
  <c r="Y73" i="72" s="1"/>
  <c r="Y74" i="72" s="1"/>
  <c r="Y75" i="72" s="1"/>
  <c r="Y76" i="72" s="1"/>
  <c r="Y77" i="72" s="1"/>
  <c r="Y78" i="72" s="1"/>
  <c r="Y79" i="72" s="1"/>
  <c r="X80" i="72"/>
  <c r="H51" i="53"/>
  <c r="D80" i="38"/>
  <c r="D15" i="38" s="1"/>
  <c r="E15" i="38" s="1"/>
  <c r="H53" i="38"/>
  <c r="H80" i="38" s="1"/>
  <c r="H19" i="49"/>
  <c r="H20" i="49" s="1"/>
  <c r="H21" i="49" s="1"/>
  <c r="H22" i="49" s="1"/>
  <c r="H23" i="49" s="1"/>
  <c r="H24" i="49" s="1"/>
  <c r="H25" i="49" s="1"/>
  <c r="H26" i="49" s="1"/>
  <c r="H27" i="49" s="1"/>
  <c r="H28" i="49" s="1"/>
  <c r="H29" i="49" s="1"/>
  <c r="H30" i="49" s="1"/>
  <c r="H31" i="49" s="1"/>
  <c r="H32" i="49" s="1"/>
  <c r="H33" i="49" s="1"/>
  <c r="H34" i="49" s="1"/>
  <c r="H35" i="49" s="1"/>
  <c r="H36" i="49" s="1"/>
  <c r="H37" i="49" s="1"/>
  <c r="H38" i="49" s="1"/>
  <c r="H39" i="49" s="1"/>
  <c r="H40" i="49" s="1"/>
  <c r="H41" i="49" s="1"/>
  <c r="H42" i="49" s="1"/>
  <c r="H43" i="49" s="1"/>
  <c r="H44" i="49" s="1"/>
  <c r="H45" i="49" s="1"/>
  <c r="H46" i="49" s="1"/>
  <c r="H47" i="49" s="1"/>
  <c r="H48" i="49" s="1"/>
  <c r="H49" i="49" s="1"/>
  <c r="H50" i="49" s="1"/>
  <c r="H51" i="49" s="1"/>
  <c r="H52" i="49" s="1"/>
  <c r="H53" i="49" s="1"/>
  <c r="H54" i="49" s="1"/>
  <c r="H55" i="49" s="1"/>
  <c r="H56" i="49" s="1"/>
  <c r="H57" i="49" s="1"/>
  <c r="H58" i="49" s="1"/>
  <c r="H59" i="49" s="1"/>
  <c r="H60" i="49" s="1"/>
  <c r="H61" i="49" s="1"/>
  <c r="H62" i="49" s="1"/>
  <c r="H63" i="49" s="1"/>
  <c r="H64" i="49" s="1"/>
  <c r="H65" i="49" s="1"/>
  <c r="H66" i="49" s="1"/>
  <c r="H67" i="49" s="1"/>
  <c r="H68" i="49" s="1"/>
  <c r="H69" i="49" s="1"/>
  <c r="H70" i="49" s="1"/>
  <c r="H71" i="49" s="1"/>
  <c r="H72" i="49" s="1"/>
  <c r="H73" i="49" s="1"/>
  <c r="H74" i="49" s="1"/>
  <c r="H75" i="49" s="1"/>
  <c r="H76" i="49" s="1"/>
  <c r="H77" i="49" s="1"/>
  <c r="H78" i="49" s="1"/>
  <c r="H79" i="49" s="1"/>
  <c r="H80" i="49" s="1"/>
  <c r="H81" i="49" s="1"/>
  <c r="H82" i="49" s="1"/>
  <c r="H83" i="49" s="1"/>
  <c r="H84" i="49" s="1"/>
  <c r="H85" i="49" s="1"/>
  <c r="H86" i="49" s="1"/>
  <c r="H87" i="49" s="1"/>
  <c r="H88" i="49" s="1"/>
  <c r="H89" i="49" s="1"/>
  <c r="H90" i="49" s="1"/>
  <c r="H91" i="49" s="1"/>
  <c r="H92" i="49" s="1"/>
  <c r="H93" i="49" s="1"/>
  <c r="H94" i="49" s="1"/>
  <c r="H95" i="49" s="1"/>
  <c r="H96" i="49" s="1"/>
  <c r="H97" i="49" s="1"/>
  <c r="H98" i="49" s="1"/>
  <c r="H99" i="49" s="1"/>
  <c r="H100" i="49" s="1"/>
  <c r="H101" i="49" s="1"/>
  <c r="H102" i="49" s="1"/>
  <c r="H103" i="49" s="1"/>
  <c r="H104" i="49" s="1"/>
  <c r="H105" i="49" s="1"/>
  <c r="H106" i="49" s="1"/>
  <c r="H107" i="49" s="1"/>
  <c r="H108" i="49" s="1"/>
  <c r="H109" i="49" s="1"/>
  <c r="H110" i="49" s="1"/>
  <c r="H111" i="49" s="1"/>
  <c r="H112" i="49" s="1"/>
  <c r="H113" i="49" s="1"/>
  <c r="H114" i="49" s="1"/>
  <c r="L31" i="73"/>
  <c r="K35" i="73"/>
  <c r="AC99" i="123"/>
  <c r="AC100" i="123"/>
  <c r="AC101" i="123" s="1"/>
  <c r="AC68" i="124" s="1"/>
  <c r="AC71" i="124" s="1"/>
  <c r="AC72" i="124" s="1"/>
  <c r="AC73" i="124" s="1"/>
  <c r="AC74" i="124" s="1"/>
  <c r="AC75" i="124" s="1"/>
  <c r="AC76" i="124" s="1"/>
  <c r="AC77" i="124" s="1"/>
  <c r="AC78" i="124" s="1"/>
  <c r="AC79" i="124" s="1"/>
  <c r="AC80" i="124" s="1"/>
  <c r="AC81" i="124" s="1"/>
  <c r="AC82" i="124" s="1"/>
  <c r="AC83" i="124" s="1"/>
  <c r="AC84" i="124" s="1"/>
  <c r="AC85" i="124" s="1"/>
  <c r="AC86" i="124" s="1"/>
  <c r="AC87" i="124" s="1"/>
  <c r="AC88" i="124" s="1"/>
  <c r="AC89" i="124" s="1"/>
  <c r="AC90" i="124" s="1"/>
  <c r="AC91" i="124" s="1"/>
  <c r="AC92" i="124" s="1"/>
  <c r="AC93" i="124" s="1"/>
  <c r="AC94" i="124" s="1"/>
  <c r="AC95" i="124" s="1"/>
  <c r="AC96" i="124" s="1"/>
  <c r="AC97" i="124" s="1"/>
  <c r="AC98" i="124" s="1"/>
  <c r="AC99" i="124" s="1"/>
  <c r="AC100" i="124" s="1"/>
  <c r="G53" i="63"/>
  <c r="H53" i="63" s="1"/>
  <c r="AB64" i="47"/>
  <c r="AC64" i="47" s="1"/>
  <c r="AA64" i="47"/>
  <c r="H32" i="47"/>
  <c r="H31" i="47"/>
  <c r="AA53" i="47"/>
  <c r="AB53" i="47"/>
  <c r="AC53" i="47" s="1"/>
  <c r="AL89" i="111"/>
  <c r="Y89" i="111"/>
  <c r="Y55" i="58"/>
  <c r="Y56" i="58" s="1"/>
  <c r="Y57" i="58" s="1"/>
  <c r="Y58" i="58" s="1"/>
  <c r="Y59" i="58" s="1"/>
  <c r="Y60" i="58" s="1"/>
  <c r="Y61" i="58" s="1"/>
  <c r="Y62" i="58" s="1"/>
  <c r="Y63" i="58" s="1"/>
  <c r="Y64" i="58" s="1"/>
  <c r="Y65" i="58" s="1"/>
  <c r="Y66" i="58" s="1"/>
  <c r="Y67" i="58" s="1"/>
  <c r="Y68" i="58" s="1"/>
  <c r="Y69" i="58" s="1"/>
  <c r="Y70" i="58" s="1"/>
  <c r="Y71" i="58" s="1"/>
  <c r="Y72" i="58" s="1"/>
  <c r="Y73" i="58" s="1"/>
  <c r="Y74" i="58" s="1"/>
  <c r="Y75" i="58" s="1"/>
  <c r="Y76" i="58" s="1"/>
  <c r="Y77" i="58" s="1"/>
  <c r="Y78" i="58" s="1"/>
  <c r="Y80" i="58" s="1"/>
  <c r="H80" i="43"/>
  <c r="P26" i="47"/>
  <c r="Z26" i="47"/>
  <c r="X26" i="47"/>
  <c r="AA52" i="47"/>
  <c r="AB52" i="47"/>
  <c r="AC52" i="47" s="1"/>
  <c r="P185" i="47"/>
  <c r="Z185" i="47"/>
  <c r="X185" i="47"/>
  <c r="X319" i="47"/>
  <c r="Z319" i="47"/>
  <c r="P319" i="47"/>
  <c r="X299" i="47"/>
  <c r="P299" i="47"/>
  <c r="Z299" i="47"/>
  <c r="X196" i="47"/>
  <c r="Z196" i="47"/>
  <c r="P196" i="47"/>
  <c r="X150" i="47"/>
  <c r="Z150" i="47"/>
  <c r="P150" i="47"/>
  <c r="X151" i="47"/>
  <c r="P151" i="47"/>
  <c r="Z151" i="47"/>
  <c r="Z257" i="47"/>
  <c r="X257" i="47"/>
  <c r="P257" i="47"/>
  <c r="Z199" i="47"/>
  <c r="P199" i="47"/>
  <c r="X199" i="47"/>
  <c r="X175" i="47"/>
  <c r="P175" i="47"/>
  <c r="Z175" i="47"/>
  <c r="X155" i="47"/>
  <c r="Z155" i="47"/>
  <c r="P155" i="47"/>
  <c r="X113" i="47"/>
  <c r="Z113" i="47"/>
  <c r="P113" i="47"/>
  <c r="X88" i="47"/>
  <c r="Z88" i="47"/>
  <c r="P88" i="47"/>
  <c r="X317" i="47"/>
  <c r="P246" i="47"/>
  <c r="Z246" i="47"/>
  <c r="Z200" i="47"/>
  <c r="P298" i="47"/>
  <c r="Z298" i="47"/>
  <c r="Z154" i="47"/>
  <c r="P156" i="47"/>
  <c r="X156" i="47"/>
  <c r="X83" i="47"/>
  <c r="H65" i="66"/>
  <c r="Y49" i="109"/>
  <c r="Y50" i="109" s="1"/>
  <c r="Y51" i="109" s="1"/>
  <c r="Y52" i="109" s="1"/>
  <c r="Y53" i="109" s="1"/>
  <c r="Y54" i="109" s="1"/>
  <c r="Y55" i="109" s="1"/>
  <c r="Y56" i="109" s="1"/>
  <c r="Y57" i="109" s="1"/>
  <c r="Y58" i="109" s="1"/>
  <c r="Y59" i="109" s="1"/>
  <c r="Y60" i="109" s="1"/>
  <c r="Y61" i="109" s="1"/>
  <c r="Y62" i="109" s="1"/>
  <c r="Y63" i="109" s="1"/>
  <c r="Y64" i="109" s="1"/>
  <c r="Y65" i="109" s="1"/>
  <c r="Y66" i="109" s="1"/>
  <c r="Y67" i="109" s="1"/>
  <c r="Y68" i="109" s="1"/>
  <c r="Y69" i="109" s="1"/>
  <c r="Y70" i="109" s="1"/>
  <c r="Y71" i="109" s="1"/>
  <c r="Y72" i="109" s="1"/>
  <c r="Y73" i="109" s="1"/>
  <c r="Y74" i="109" s="1"/>
  <c r="Y75" i="109" s="1"/>
  <c r="Y76" i="109" s="1"/>
  <c r="Y77" i="109" s="1"/>
  <c r="Y78" i="109" s="1"/>
  <c r="Y79" i="109" s="1"/>
  <c r="X80" i="109"/>
  <c r="G80" i="36"/>
  <c r="D16" i="36" s="1"/>
  <c r="E16" i="36" s="1"/>
  <c r="G80" i="59"/>
  <c r="D16" i="59" s="1"/>
  <c r="E16" i="59" s="1"/>
  <c r="I73" i="134"/>
  <c r="I102" i="134" s="1"/>
  <c r="D102" i="134"/>
  <c r="E105" i="134" s="1"/>
  <c r="F105" i="134" s="1"/>
  <c r="D103" i="138"/>
  <c r="E106" i="138" s="1"/>
  <c r="F106" i="138" s="1"/>
  <c r="I72" i="138"/>
  <c r="I103" i="138" s="1"/>
  <c r="K54" i="132"/>
  <c r="L51" i="132" s="1"/>
  <c r="H49" i="76"/>
  <c r="H80" i="76" s="1"/>
  <c r="D80" i="76"/>
  <c r="D15" i="76" s="1"/>
  <c r="E15" i="76" s="1"/>
  <c r="J15" i="140"/>
  <c r="K15" i="140" s="1"/>
  <c r="D80" i="66"/>
  <c r="D15" i="66" s="1"/>
  <c r="E15" i="66" s="1"/>
  <c r="H49" i="66"/>
  <c r="H70" i="66"/>
  <c r="L54" i="138"/>
  <c r="M54" i="138" s="1"/>
  <c r="N54" i="138" s="1"/>
  <c r="AA66" i="47"/>
  <c r="AB66" i="47"/>
  <c r="AC66" i="47" s="1"/>
  <c r="M45" i="105"/>
  <c r="Q42" i="105"/>
  <c r="H16" i="47"/>
  <c r="H52" i="47"/>
  <c r="X80" i="56"/>
  <c r="Y76" i="74"/>
  <c r="Y77" i="74" s="1"/>
  <c r="Y78" i="74" s="1"/>
  <c r="Y79" i="74" s="1"/>
  <c r="Y54" i="75"/>
  <c r="Y55" i="75" s="1"/>
  <c r="Y56" i="75" s="1"/>
  <c r="Y57" i="75" s="1"/>
  <c r="Y58" i="75" s="1"/>
  <c r="Y59" i="75" s="1"/>
  <c r="Y60" i="75" s="1"/>
  <c r="Y61" i="75" s="1"/>
  <c r="Y62" i="75" s="1"/>
  <c r="Y63" i="75" s="1"/>
  <c r="Y64" i="75" s="1"/>
  <c r="Y65" i="75" s="1"/>
  <c r="Y66" i="75" s="1"/>
  <c r="Y67" i="75" s="1"/>
  <c r="Y68" i="75" s="1"/>
  <c r="Y69" i="75" s="1"/>
  <c r="Y70" i="75" s="1"/>
  <c r="Y71" i="75" s="1"/>
  <c r="Y72" i="75" s="1"/>
  <c r="Y73" i="75" s="1"/>
  <c r="Y74" i="75" s="1"/>
  <c r="Y75" i="75" s="1"/>
  <c r="Y76" i="75" s="1"/>
  <c r="Y77" i="75" s="1"/>
  <c r="Y78" i="75" s="1"/>
  <c r="Y79" i="75" s="1"/>
  <c r="Y62" i="110"/>
  <c r="Y63" i="110" s="1"/>
  <c r="Y64" i="110" s="1"/>
  <c r="Y65" i="110" s="1"/>
  <c r="Y66" i="110" s="1"/>
  <c r="Y67" i="110" s="1"/>
  <c r="Y68" i="110" s="1"/>
  <c r="Y69" i="110" s="1"/>
  <c r="Y70" i="110" s="1"/>
  <c r="Y71" i="110" s="1"/>
  <c r="Y72" i="110" s="1"/>
  <c r="Y73" i="110" s="1"/>
  <c r="Y74" i="110" s="1"/>
  <c r="Y75" i="110" s="1"/>
  <c r="Y76" i="110" s="1"/>
  <c r="Y77" i="110" s="1"/>
  <c r="Y78" i="110" s="1"/>
  <c r="Y79" i="110" s="1"/>
  <c r="Y80" i="110" s="1"/>
  <c r="Y81" i="110" s="1"/>
  <c r="Y82" i="110" s="1"/>
  <c r="Y83" i="110" s="1"/>
  <c r="Y84" i="110" s="1"/>
  <c r="Y85" i="110" s="1"/>
  <c r="I75" i="148"/>
  <c r="AE102" i="142"/>
  <c r="V32" i="143"/>
  <c r="X32" i="143"/>
  <c r="Y32" i="143" s="1"/>
  <c r="H102" i="148"/>
  <c r="E107" i="148" s="1"/>
  <c r="I84" i="151"/>
  <c r="AF102" i="144"/>
  <c r="AG72" i="144"/>
  <c r="AG73" i="144" s="1"/>
  <c r="AG74" i="144" s="1"/>
  <c r="AG75" i="144" s="1"/>
  <c r="AG76" i="144" s="1"/>
  <c r="AG77" i="144" s="1"/>
  <c r="AG78" i="144" s="1"/>
  <c r="AG79" i="144" s="1"/>
  <c r="AG80" i="144" s="1"/>
  <c r="AG81" i="144" s="1"/>
  <c r="AG82" i="144" s="1"/>
  <c r="AG83" i="144" s="1"/>
  <c r="AG84" i="144" s="1"/>
  <c r="AG85" i="144" s="1"/>
  <c r="AG86" i="144" s="1"/>
  <c r="AG87" i="144" s="1"/>
  <c r="AG88" i="144" s="1"/>
  <c r="AG89" i="144" s="1"/>
  <c r="AG90" i="144" s="1"/>
  <c r="AG91" i="144" s="1"/>
  <c r="AG92" i="144" s="1"/>
  <c r="AG93" i="144" s="1"/>
  <c r="AG94" i="144" s="1"/>
  <c r="AG95" i="144" s="1"/>
  <c r="AG96" i="144" s="1"/>
  <c r="AG97" i="144" s="1"/>
  <c r="AG98" i="144" s="1"/>
  <c r="V105" i="144"/>
  <c r="I78" i="151"/>
  <c r="H102" i="150"/>
  <c r="E107" i="150" s="1"/>
  <c r="D102" i="148"/>
  <c r="E105" i="148" s="1"/>
  <c r="I71" i="148"/>
  <c r="I89" i="148"/>
  <c r="I96" i="148"/>
  <c r="I97" i="148"/>
  <c r="I73" i="148"/>
  <c r="N42" i="142"/>
  <c r="N43" i="142" s="1"/>
  <c r="D328" i="47" s="1"/>
  <c r="M43" i="142"/>
  <c r="G328" i="47" s="1"/>
  <c r="I100" i="149"/>
  <c r="I88" i="149"/>
  <c r="I76" i="149"/>
  <c r="I78" i="149"/>
  <c r="I77" i="149"/>
  <c r="I89" i="147"/>
  <c r="H102" i="143"/>
  <c r="E107" i="143" s="1"/>
  <c r="F107" i="143" s="1"/>
  <c r="I71" i="143"/>
  <c r="I102" i="143" s="1"/>
  <c r="Q338" i="47"/>
  <c r="I93" i="153"/>
  <c r="I95" i="153"/>
  <c r="I76" i="153"/>
  <c r="I89" i="153"/>
  <c r="I73" i="153"/>
  <c r="D102" i="153"/>
  <c r="E105" i="153" s="1"/>
  <c r="G78" i="58"/>
  <c r="L31" i="64"/>
  <c r="K35" i="64"/>
  <c r="G60" i="62"/>
  <c r="E80" i="62"/>
  <c r="M24" i="62" s="1"/>
  <c r="Q14" i="47" s="1"/>
  <c r="H50" i="106"/>
  <c r="O44" i="83"/>
  <c r="O45" i="83" s="1"/>
  <c r="E59" i="47" s="1"/>
  <c r="F59" i="47" s="1"/>
  <c r="S59" i="47" s="1"/>
  <c r="M44" i="83"/>
  <c r="G55" i="63"/>
  <c r="H55" i="63" s="1"/>
  <c r="X55" i="60"/>
  <c r="W80" i="60"/>
  <c r="H89" i="112"/>
  <c r="J33" i="47"/>
  <c r="D76" i="52"/>
  <c r="H76" i="52" s="1"/>
  <c r="D72" i="52"/>
  <c r="H72" i="52" s="1"/>
  <c r="D63" i="52"/>
  <c r="H63" i="52" s="1"/>
  <c r="D56" i="52"/>
  <c r="H56" i="52" s="1"/>
  <c r="D69" i="52"/>
  <c r="D79" i="52"/>
  <c r="H79" i="52" s="1"/>
  <c r="D75" i="52"/>
  <c r="D58" i="52"/>
  <c r="H58" i="52" s="1"/>
  <c r="D70" i="52"/>
  <c r="H70" i="52" s="1"/>
  <c r="D64" i="52"/>
  <c r="H64" i="52" s="1"/>
  <c r="D53" i="52"/>
  <c r="H53" i="52" s="1"/>
  <c r="D62" i="52"/>
  <c r="H62" i="52" s="1"/>
  <c r="D68" i="52"/>
  <c r="H68" i="52" s="1"/>
  <c r="D55" i="52"/>
  <c r="H55" i="52" s="1"/>
  <c r="D73" i="52"/>
  <c r="H73" i="52" s="1"/>
  <c r="D61" i="52"/>
  <c r="H61" i="52" s="1"/>
  <c r="D51" i="52"/>
  <c r="D77" i="52"/>
  <c r="H77" i="52" s="1"/>
  <c r="D49" i="52"/>
  <c r="D52" i="52"/>
  <c r="H52" i="52" s="1"/>
  <c r="D60" i="52"/>
  <c r="H60" i="52" s="1"/>
  <c r="D54" i="52"/>
  <c r="H54" i="52" s="1"/>
  <c r="D50" i="52"/>
  <c r="D78" i="52"/>
  <c r="H78" i="52" s="1"/>
  <c r="D67" i="52"/>
  <c r="H67" i="52" s="1"/>
  <c r="D59" i="52"/>
  <c r="H59" i="52" s="1"/>
  <c r="D74" i="52"/>
  <c r="H74" i="52" s="1"/>
  <c r="D71" i="52"/>
  <c r="H71" i="52" s="1"/>
  <c r="D57" i="52"/>
  <c r="H57" i="52" s="1"/>
  <c r="D66" i="52"/>
  <c r="H66" i="52" s="1"/>
  <c r="D65" i="52"/>
  <c r="H65" i="52" s="1"/>
  <c r="P77" i="47"/>
  <c r="X77" i="47"/>
  <c r="Z77" i="47"/>
  <c r="W32" i="132"/>
  <c r="X32" i="132" s="1"/>
  <c r="Y32" i="132" s="1"/>
  <c r="Y49" i="105"/>
  <c r="Y50" i="105" s="1"/>
  <c r="Y51" i="105" s="1"/>
  <c r="Y52" i="105" s="1"/>
  <c r="Y53" i="105" s="1"/>
  <c r="Y54" i="105" s="1"/>
  <c r="Y55" i="105" s="1"/>
  <c r="Y56" i="105" s="1"/>
  <c r="Y57" i="105" s="1"/>
  <c r="Y58" i="105" s="1"/>
  <c r="Y59" i="105" s="1"/>
  <c r="Y60" i="105" s="1"/>
  <c r="Y61" i="105" s="1"/>
  <c r="Y62" i="105" s="1"/>
  <c r="Y63" i="105" s="1"/>
  <c r="Y64" i="105" s="1"/>
  <c r="Y65" i="105" s="1"/>
  <c r="Y66" i="105" s="1"/>
  <c r="Y67" i="105" s="1"/>
  <c r="Y68" i="105" s="1"/>
  <c r="Y69" i="105" s="1"/>
  <c r="Y70" i="105" s="1"/>
  <c r="Y71" i="105" s="1"/>
  <c r="Y72" i="105" s="1"/>
  <c r="Y73" i="105" s="1"/>
  <c r="Y74" i="105" s="1"/>
  <c r="Y75" i="105" s="1"/>
  <c r="Y76" i="105" s="1"/>
  <c r="Y77" i="105" s="1"/>
  <c r="Y78" i="105" s="1"/>
  <c r="X80" i="105"/>
  <c r="D80" i="45"/>
  <c r="D15" i="45" s="1"/>
  <c r="E15" i="45" s="1"/>
  <c r="H49" i="45"/>
  <c r="H80" i="45" s="1"/>
  <c r="AA51" i="123"/>
  <c r="AB51" i="123"/>
  <c r="AB102" i="132"/>
  <c r="AC72" i="132"/>
  <c r="AC102" i="132" s="1"/>
  <c r="G89" i="112"/>
  <c r="E93" i="112" s="1"/>
  <c r="D79" i="50"/>
  <c r="D15" i="50" s="1"/>
  <c r="E15" i="50" s="1"/>
  <c r="H53" i="40"/>
  <c r="D80" i="40"/>
  <c r="D15" i="40" s="1"/>
  <c r="E15" i="40" s="1"/>
  <c r="H53" i="84"/>
  <c r="H80" i="84" s="1"/>
  <c r="H51" i="72"/>
  <c r="G80" i="72"/>
  <c r="D16" i="72" s="1"/>
  <c r="E16" i="72" s="1"/>
  <c r="Z27" i="47"/>
  <c r="P27" i="47"/>
  <c r="X27" i="47"/>
  <c r="X286" i="47"/>
  <c r="P286" i="47"/>
  <c r="P320" i="47"/>
  <c r="X279" i="47"/>
  <c r="Z303" i="47"/>
  <c r="P303" i="47"/>
  <c r="X188" i="47"/>
  <c r="Z131" i="47"/>
  <c r="P131" i="47"/>
  <c r="X131" i="47"/>
  <c r="Z302" i="47"/>
  <c r="X302" i="47"/>
  <c r="P302" i="47"/>
  <c r="P144" i="47"/>
  <c r="X144" i="47"/>
  <c r="Z144" i="47"/>
  <c r="Z309" i="47"/>
  <c r="X309" i="47"/>
  <c r="P309" i="47"/>
  <c r="Z231" i="47"/>
  <c r="P231" i="47"/>
  <c r="X231" i="47"/>
  <c r="Z321" i="47"/>
  <c r="X321" i="47"/>
  <c r="P321" i="47"/>
  <c r="P170" i="47"/>
  <c r="X170" i="47"/>
  <c r="Z170" i="47"/>
  <c r="Z237" i="47"/>
  <c r="X237" i="47"/>
  <c r="P237" i="47"/>
  <c r="P289" i="47"/>
  <c r="Z289" i="47"/>
  <c r="X289" i="47"/>
  <c r="Z230" i="47"/>
  <c r="X230" i="47"/>
  <c r="P230" i="47"/>
  <c r="X203" i="47"/>
  <c r="Z203" i="47"/>
  <c r="P203" i="47"/>
  <c r="P176" i="47"/>
  <c r="Z176" i="47"/>
  <c r="X176" i="47"/>
  <c r="Z140" i="47"/>
  <c r="X140" i="47"/>
  <c r="P140" i="47"/>
  <c r="P132" i="47"/>
  <c r="Z132" i="47"/>
  <c r="X132" i="47"/>
  <c r="Z115" i="47"/>
  <c r="X115" i="47"/>
  <c r="P115" i="47"/>
  <c r="P91" i="47"/>
  <c r="X91" i="47"/>
  <c r="Z91" i="47"/>
  <c r="H49" i="63"/>
  <c r="H56" i="66"/>
  <c r="W51" i="132"/>
  <c r="H71" i="59"/>
  <c r="H74" i="66"/>
  <c r="H54" i="66"/>
  <c r="AB65" i="47"/>
  <c r="AC65" i="47" s="1"/>
  <c r="O395" i="47"/>
  <c r="X30" i="139"/>
  <c r="Y30" i="139" s="1"/>
  <c r="Y37" i="91"/>
  <c r="Y41" i="91" s="1"/>
  <c r="N41" i="91"/>
  <c r="E67" i="47" s="1"/>
  <c r="F67" i="47" s="1"/>
  <c r="S67" i="47" s="1"/>
  <c r="AG78" i="140"/>
  <c r="AG79" i="140" s="1"/>
  <c r="AG80" i="140" s="1"/>
  <c r="AG81" i="140" s="1"/>
  <c r="AG82" i="140" s="1"/>
  <c r="AG83" i="140" s="1"/>
  <c r="AG84" i="140" s="1"/>
  <c r="AG85" i="140" s="1"/>
  <c r="AG86" i="140" s="1"/>
  <c r="AG87" i="140" s="1"/>
  <c r="AG88" i="140" s="1"/>
  <c r="AG89" i="140" s="1"/>
  <c r="AG90" i="140" s="1"/>
  <c r="AG91" i="140" s="1"/>
  <c r="AG92" i="140" s="1"/>
  <c r="AG93" i="140" s="1"/>
  <c r="AG94" i="140" s="1"/>
  <c r="AG95" i="140" s="1"/>
  <c r="AG96" i="140" s="1"/>
  <c r="AG97" i="140" s="1"/>
  <c r="AG98" i="140" s="1"/>
  <c r="AG99" i="140" s="1"/>
  <c r="AG100" i="140" s="1"/>
  <c r="AG101" i="140" s="1"/>
  <c r="AA22" i="47"/>
  <c r="AB22" i="47"/>
  <c r="AC22" i="47" s="1"/>
  <c r="D77" i="47"/>
  <c r="AA38" i="47"/>
  <c r="Q35" i="77"/>
  <c r="D79" i="65"/>
  <c r="D15" i="65" s="1"/>
  <c r="E15" i="65" s="1"/>
  <c r="G80" i="51"/>
  <c r="D16" i="51" s="1"/>
  <c r="E16" i="51" s="1"/>
  <c r="Y56" i="35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80" i="35" s="1"/>
  <c r="P238" i="47" l="1"/>
  <c r="Z238" i="47"/>
  <c r="P207" i="47"/>
  <c r="X207" i="47"/>
  <c r="L45" i="84"/>
  <c r="H54" i="74"/>
  <c r="AB58" i="47"/>
  <c r="AC58" i="47" s="1"/>
  <c r="AA58" i="47"/>
  <c r="L45" i="44"/>
  <c r="M41" i="44"/>
  <c r="M45" i="44" s="1"/>
  <c r="G80" i="104"/>
  <c r="D16" i="104" s="1"/>
  <c r="E16" i="104" s="1"/>
  <c r="H80" i="104"/>
  <c r="H71" i="74"/>
  <c r="Q44" i="107"/>
  <c r="L50" i="143"/>
  <c r="M50" i="143" s="1"/>
  <c r="N50" i="143" s="1"/>
  <c r="D44" i="47"/>
  <c r="D20" i="47"/>
  <c r="H54" i="75"/>
  <c r="D63" i="35"/>
  <c r="D51" i="35"/>
  <c r="D61" i="35"/>
  <c r="D77" i="35"/>
  <c r="D57" i="35"/>
  <c r="D58" i="35"/>
  <c r="D67" i="35"/>
  <c r="D68" i="35"/>
  <c r="D66" i="35"/>
  <c r="D75" i="35"/>
  <c r="D72" i="35"/>
  <c r="D53" i="35"/>
  <c r="D56" i="35"/>
  <c r="D54" i="35"/>
  <c r="D64" i="35"/>
  <c r="D60" i="35"/>
  <c r="D55" i="35"/>
  <c r="D69" i="35"/>
  <c r="D74" i="35"/>
  <c r="D50" i="35"/>
  <c r="D52" i="35"/>
  <c r="D62" i="35"/>
  <c r="D76" i="35"/>
  <c r="J44" i="47"/>
  <c r="D71" i="35"/>
  <c r="D59" i="35"/>
  <c r="D73" i="35"/>
  <c r="D49" i="35"/>
  <c r="D70" i="35"/>
  <c r="H70" i="35" s="1"/>
  <c r="D65" i="35"/>
  <c r="H53" i="64"/>
  <c r="H77" i="64"/>
  <c r="H59" i="64"/>
  <c r="F65" i="47"/>
  <c r="S65" i="47" s="1"/>
  <c r="O45" i="107"/>
  <c r="E65" i="47" s="1"/>
  <c r="M45" i="80"/>
  <c r="Q41" i="80"/>
  <c r="Q45" i="80" s="1"/>
  <c r="G60" i="35"/>
  <c r="G72" i="35"/>
  <c r="G55" i="35"/>
  <c r="G74" i="35"/>
  <c r="G51" i="35"/>
  <c r="G58" i="35"/>
  <c r="G71" i="35"/>
  <c r="G66" i="35"/>
  <c r="O44" i="47"/>
  <c r="K44" i="47"/>
  <c r="G53" i="35"/>
  <c r="G75" i="35"/>
  <c r="G61" i="35"/>
  <c r="G57" i="35"/>
  <c r="G52" i="35"/>
  <c r="G62" i="35"/>
  <c r="H62" i="35" s="1"/>
  <c r="G69" i="35"/>
  <c r="G56" i="35"/>
  <c r="G59" i="35"/>
  <c r="G65" i="35"/>
  <c r="G63" i="35"/>
  <c r="G68" i="35"/>
  <c r="G67" i="35"/>
  <c r="G54" i="35"/>
  <c r="H54" i="35" s="1"/>
  <c r="G77" i="35"/>
  <c r="G64" i="35"/>
  <c r="G73" i="35"/>
  <c r="G49" i="35"/>
  <c r="G76" i="35"/>
  <c r="G50" i="35"/>
  <c r="H64" i="64"/>
  <c r="H79" i="64"/>
  <c r="H80" i="69"/>
  <c r="P50" i="47"/>
  <c r="Z50" i="47"/>
  <c r="X50" i="47"/>
  <c r="H57" i="64"/>
  <c r="L40" i="34"/>
  <c r="L44" i="34" s="1"/>
  <c r="K44" i="34"/>
  <c r="H39" i="47"/>
  <c r="I39" i="47" s="1"/>
  <c r="H40" i="47"/>
  <c r="I40" i="47" s="1"/>
  <c r="H75" i="74"/>
  <c r="H70" i="64"/>
  <c r="E39" i="47"/>
  <c r="F39" i="47" s="1"/>
  <c r="E40" i="47"/>
  <c r="F40" i="47" s="1"/>
  <c r="P229" i="47"/>
  <c r="X166" i="47"/>
  <c r="X255" i="47"/>
  <c r="Z210" i="47"/>
  <c r="AB210" i="47" s="1"/>
  <c r="AC210" i="47" s="1"/>
  <c r="P179" i="47"/>
  <c r="P157" i="47"/>
  <c r="Z135" i="47"/>
  <c r="Z311" i="47"/>
  <c r="AB311" i="47" s="1"/>
  <c r="AC311" i="47" s="1"/>
  <c r="AB207" i="47"/>
  <c r="AC207" i="47" s="1"/>
  <c r="X195" i="47"/>
  <c r="Z313" i="47"/>
  <c r="Z159" i="47"/>
  <c r="AB159" i="47" s="1"/>
  <c r="AC159" i="47" s="1"/>
  <c r="Z212" i="47"/>
  <c r="P167" i="47"/>
  <c r="Z164" i="47"/>
  <c r="I102" i="140"/>
  <c r="P291" i="47"/>
  <c r="Z83" i="47"/>
  <c r="Z192" i="47"/>
  <c r="X252" i="47"/>
  <c r="P317" i="47"/>
  <c r="Z110" i="47"/>
  <c r="X273" i="47"/>
  <c r="X308" i="47"/>
  <c r="P127" i="47"/>
  <c r="Z206" i="47"/>
  <c r="P311" i="47"/>
  <c r="AA277" i="47"/>
  <c r="AA90" i="47"/>
  <c r="P313" i="47"/>
  <c r="P212" i="47"/>
  <c r="Z152" i="47"/>
  <c r="AA152" i="47" s="1"/>
  <c r="X216" i="47"/>
  <c r="P108" i="47"/>
  <c r="Z228" i="47"/>
  <c r="P323" i="47"/>
  <c r="Z147" i="47"/>
  <c r="X157" i="47"/>
  <c r="P192" i="47"/>
  <c r="P252" i="47"/>
  <c r="P110" i="47"/>
  <c r="X127" i="47"/>
  <c r="X265" i="47"/>
  <c r="AA275" i="47"/>
  <c r="Z195" i="47"/>
  <c r="X159" i="47"/>
  <c r="X167" i="47"/>
  <c r="P143" i="47"/>
  <c r="P236" i="47"/>
  <c r="X236" i="47"/>
  <c r="Z279" i="47"/>
  <c r="Z291" i="47"/>
  <c r="AB291" i="47" s="1"/>
  <c r="AC291" i="47" s="1"/>
  <c r="X143" i="47"/>
  <c r="AA294" i="47"/>
  <c r="AB294" i="47"/>
  <c r="AC294" i="47" s="1"/>
  <c r="X320" i="47"/>
  <c r="Z95" i="47"/>
  <c r="X154" i="47"/>
  <c r="Z266" i="47"/>
  <c r="Z174" i="47"/>
  <c r="AA174" i="47" s="1"/>
  <c r="P234" i="47"/>
  <c r="I17" i="140"/>
  <c r="M51" i="140" s="1"/>
  <c r="N51" i="140" s="1"/>
  <c r="X100" i="47"/>
  <c r="X280" i="47"/>
  <c r="Z251" i="47"/>
  <c r="AB239" i="47"/>
  <c r="AC239" i="47" s="1"/>
  <c r="X87" i="47"/>
  <c r="Z211" i="47"/>
  <c r="AA211" i="47" s="1"/>
  <c r="P188" i="47"/>
  <c r="P95" i="47"/>
  <c r="X200" i="47"/>
  <c r="X266" i="47"/>
  <c r="P174" i="47"/>
  <c r="X306" i="47"/>
  <c r="Z224" i="47"/>
  <c r="X251" i="47"/>
  <c r="AA245" i="47"/>
  <c r="Z243" i="47"/>
  <c r="AA243" i="47" s="1"/>
  <c r="Z274" i="47"/>
  <c r="Z316" i="47"/>
  <c r="AB316" i="47" s="1"/>
  <c r="AC316" i="47" s="1"/>
  <c r="X103" i="47"/>
  <c r="M53" i="140"/>
  <c r="N53" i="140" s="1"/>
  <c r="Z107" i="47"/>
  <c r="P247" i="47"/>
  <c r="Z153" i="47"/>
  <c r="X186" i="47"/>
  <c r="Z205" i="47"/>
  <c r="Z102" i="47"/>
  <c r="AB102" i="47" s="1"/>
  <c r="AC102" i="47" s="1"/>
  <c r="X301" i="47"/>
  <c r="Z184" i="47"/>
  <c r="Z258" i="47"/>
  <c r="Z106" i="47"/>
  <c r="AA106" i="47" s="1"/>
  <c r="X92" i="47"/>
  <c r="Z219" i="47"/>
  <c r="AA118" i="47"/>
  <c r="AB122" i="47"/>
  <c r="AC122" i="47" s="1"/>
  <c r="X274" i="47"/>
  <c r="X267" i="47"/>
  <c r="P211" i="47"/>
  <c r="X202" i="47"/>
  <c r="X177" i="47"/>
  <c r="P241" i="47"/>
  <c r="Z168" i="47"/>
  <c r="P264" i="47"/>
  <c r="X94" i="47"/>
  <c r="X326" i="47"/>
  <c r="P245" i="47"/>
  <c r="P87" i="47"/>
  <c r="P267" i="47"/>
  <c r="X316" i="47"/>
  <c r="Z103" i="47"/>
  <c r="Z94" i="47"/>
  <c r="AB94" i="47" s="1"/>
  <c r="AC94" i="47" s="1"/>
  <c r="X243" i="47"/>
  <c r="P202" i="47"/>
  <c r="Z326" i="47"/>
  <c r="X245" i="47"/>
  <c r="L54" i="140"/>
  <c r="L53" i="148"/>
  <c r="L49" i="148"/>
  <c r="L51" i="148"/>
  <c r="L49" i="147"/>
  <c r="L53" i="147"/>
  <c r="L51" i="147"/>
  <c r="L54" i="146"/>
  <c r="W53" i="140"/>
  <c r="W51" i="140"/>
  <c r="X51" i="140" s="1"/>
  <c r="Y51" i="140" s="1"/>
  <c r="W50" i="140"/>
  <c r="W52" i="140"/>
  <c r="X52" i="140" s="1"/>
  <c r="Y52" i="140" s="1"/>
  <c r="W49" i="140"/>
  <c r="W53" i="153"/>
  <c r="W51" i="153"/>
  <c r="W50" i="153"/>
  <c r="W52" i="153"/>
  <c r="W49" i="153"/>
  <c r="W51" i="152"/>
  <c r="W49" i="152"/>
  <c r="W52" i="152"/>
  <c r="W53" i="152"/>
  <c r="W50" i="152"/>
  <c r="W52" i="151"/>
  <c r="W51" i="151"/>
  <c r="W53" i="151"/>
  <c r="W50" i="151"/>
  <c r="W49" i="151"/>
  <c r="W53" i="150"/>
  <c r="W51" i="150"/>
  <c r="W50" i="150"/>
  <c r="W52" i="150"/>
  <c r="W49" i="150"/>
  <c r="W53" i="149"/>
  <c r="W52" i="149"/>
  <c r="W51" i="149"/>
  <c r="W50" i="149"/>
  <c r="W49" i="149"/>
  <c r="W52" i="148"/>
  <c r="W53" i="148"/>
  <c r="W51" i="148"/>
  <c r="W50" i="148"/>
  <c r="W49" i="148"/>
  <c r="W53" i="147"/>
  <c r="W50" i="147"/>
  <c r="W51" i="147"/>
  <c r="W49" i="147"/>
  <c r="W52" i="147"/>
  <c r="P214" i="47"/>
  <c r="Z214" i="47"/>
  <c r="X214" i="47"/>
  <c r="P153" i="47"/>
  <c r="P255" i="47"/>
  <c r="Z186" i="47"/>
  <c r="AA186" i="47" s="1"/>
  <c r="X135" i="47"/>
  <c r="AB201" i="47"/>
  <c r="AC201" i="47" s="1"/>
  <c r="Z114" i="47"/>
  <c r="P268" i="47"/>
  <c r="Z99" i="47"/>
  <c r="X282" i="47"/>
  <c r="P307" i="47"/>
  <c r="Z300" i="47"/>
  <c r="AB300" i="47" s="1"/>
  <c r="AC300" i="47" s="1"/>
  <c r="P276" i="47"/>
  <c r="X164" i="47"/>
  <c r="AB138" i="47"/>
  <c r="AC138" i="47" s="1"/>
  <c r="AA250" i="47"/>
  <c r="P111" i="47"/>
  <c r="Z111" i="47"/>
  <c r="X111" i="47"/>
  <c r="X253" i="47"/>
  <c r="P253" i="47"/>
  <c r="Z253" i="47"/>
  <c r="X160" i="47"/>
  <c r="Z160" i="47"/>
  <c r="P171" i="47"/>
  <c r="X171" i="47"/>
  <c r="Z171" i="47"/>
  <c r="X107" i="47"/>
  <c r="Z229" i="47"/>
  <c r="Z247" i="47"/>
  <c r="AB247" i="47" s="1"/>
  <c r="AC247" i="47" s="1"/>
  <c r="Z166" i="47"/>
  <c r="P205" i="47"/>
  <c r="Z209" i="47"/>
  <c r="P92" i="47"/>
  <c r="P102" i="47"/>
  <c r="X219" i="47"/>
  <c r="P301" i="47"/>
  <c r="P114" i="47"/>
  <c r="X268" i="47"/>
  <c r="X99" i="47"/>
  <c r="Z282" i="47"/>
  <c r="AB282" i="47" s="1"/>
  <c r="AC282" i="47" s="1"/>
  <c r="Z307" i="47"/>
  <c r="AA307" i="47" s="1"/>
  <c r="P184" i="47"/>
  <c r="X258" i="47"/>
  <c r="X210" i="47"/>
  <c r="Z293" i="47"/>
  <c r="AB293" i="47" s="1"/>
  <c r="AC293" i="47" s="1"/>
  <c r="Z179" i="47"/>
  <c r="AA179" i="47" s="1"/>
  <c r="P261" i="47"/>
  <c r="P138" i="47"/>
  <c r="P106" i="47"/>
  <c r="X138" i="47"/>
  <c r="Z126" i="47"/>
  <c r="X126" i="47"/>
  <c r="P126" i="47"/>
  <c r="P145" i="47"/>
  <c r="Z145" i="47"/>
  <c r="X145" i="47"/>
  <c r="Z217" i="47"/>
  <c r="P217" i="47"/>
  <c r="P283" i="47"/>
  <c r="Z283" i="47"/>
  <c r="X283" i="47"/>
  <c r="Z276" i="47"/>
  <c r="AB202" i="47"/>
  <c r="AC202" i="47" s="1"/>
  <c r="AA202" i="47"/>
  <c r="X158" i="47"/>
  <c r="Z158" i="47"/>
  <c r="P158" i="47"/>
  <c r="X294" i="47"/>
  <c r="P294" i="47"/>
  <c r="L54" i="151"/>
  <c r="L54" i="150"/>
  <c r="F105" i="148"/>
  <c r="I15" i="148"/>
  <c r="F107" i="149"/>
  <c r="I17" i="149"/>
  <c r="M51" i="149" s="1"/>
  <c r="N51" i="149" s="1"/>
  <c r="L51" i="143"/>
  <c r="M51" i="143" s="1"/>
  <c r="N51" i="143" s="1"/>
  <c r="Q41" i="105"/>
  <c r="AB29" i="123"/>
  <c r="K37" i="47"/>
  <c r="G52" i="56"/>
  <c r="G66" i="56"/>
  <c r="G72" i="56"/>
  <c r="G62" i="56"/>
  <c r="G76" i="56"/>
  <c r="G56" i="56"/>
  <c r="G69" i="56"/>
  <c r="G68" i="56"/>
  <c r="G67" i="56"/>
  <c r="G63" i="56"/>
  <c r="G64" i="56"/>
  <c r="G75" i="56"/>
  <c r="G55" i="56"/>
  <c r="G77" i="56"/>
  <c r="G49" i="56"/>
  <c r="G70" i="56"/>
  <c r="G79" i="56"/>
  <c r="G57" i="56"/>
  <c r="G71" i="56"/>
  <c r="G74" i="56"/>
  <c r="G65" i="56"/>
  <c r="G50" i="56"/>
  <c r="G60" i="56"/>
  <c r="G51" i="56"/>
  <c r="G53" i="56"/>
  <c r="G58" i="56"/>
  <c r="G54" i="56"/>
  <c r="O37" i="47"/>
  <c r="G59" i="56"/>
  <c r="G73" i="56"/>
  <c r="G61" i="56"/>
  <c r="G78" i="56"/>
  <c r="G80" i="74"/>
  <c r="D16" i="74" s="1"/>
  <c r="E16" i="74" s="1"/>
  <c r="Q34" i="107"/>
  <c r="P290" i="47"/>
  <c r="Z290" i="47"/>
  <c r="X290" i="47"/>
  <c r="H74" i="74"/>
  <c r="L43" i="123"/>
  <c r="G66" i="107"/>
  <c r="G50" i="107"/>
  <c r="G60" i="107"/>
  <c r="G55" i="107"/>
  <c r="G49" i="107"/>
  <c r="G75" i="107"/>
  <c r="G71" i="107"/>
  <c r="G69" i="107"/>
  <c r="G64" i="107"/>
  <c r="G70" i="107"/>
  <c r="G52" i="107"/>
  <c r="G78" i="107"/>
  <c r="G57" i="107"/>
  <c r="G63" i="107"/>
  <c r="G62" i="107"/>
  <c r="G68" i="107"/>
  <c r="G77" i="107"/>
  <c r="G59" i="107"/>
  <c r="G72" i="107"/>
  <c r="G58" i="107"/>
  <c r="G76" i="107"/>
  <c r="G51" i="107"/>
  <c r="G54" i="107"/>
  <c r="G67" i="107"/>
  <c r="G53" i="107"/>
  <c r="G65" i="107"/>
  <c r="G56" i="107"/>
  <c r="G74" i="107"/>
  <c r="G73" i="107"/>
  <c r="G61" i="107"/>
  <c r="O65" i="47"/>
  <c r="D42" i="47"/>
  <c r="F42" i="47" s="1"/>
  <c r="M34" i="61"/>
  <c r="F107" i="150"/>
  <c r="I17" i="150"/>
  <c r="M53" i="150" s="1"/>
  <c r="N53" i="150" s="1"/>
  <c r="Q45" i="105"/>
  <c r="H66" i="81"/>
  <c r="F105" i="152"/>
  <c r="I15" i="152"/>
  <c r="H80" i="64"/>
  <c r="Q33" i="82"/>
  <c r="Q35" i="82" s="1"/>
  <c r="O35" i="82"/>
  <c r="D60" i="47" s="1"/>
  <c r="F60" i="47" s="1"/>
  <c r="S60" i="47" s="1"/>
  <c r="Q33" i="76"/>
  <c r="Q35" i="76" s="1"/>
  <c r="M35" i="76"/>
  <c r="J16" i="147"/>
  <c r="K16" i="147" s="1"/>
  <c r="X42" i="147"/>
  <c r="Y42" i="147" s="1"/>
  <c r="X40" i="147"/>
  <c r="M42" i="147"/>
  <c r="X41" i="147"/>
  <c r="Y41" i="147" s="1"/>
  <c r="H63" i="75"/>
  <c r="H74" i="75"/>
  <c r="I11" i="82"/>
  <c r="L24" i="82" s="1"/>
  <c r="Q34" i="82"/>
  <c r="M35" i="82"/>
  <c r="Q41" i="107"/>
  <c r="Q45" i="107" s="1"/>
  <c r="M45" i="107"/>
  <c r="P45" i="47"/>
  <c r="Z45" i="47"/>
  <c r="X45" i="47"/>
  <c r="P221" i="47"/>
  <c r="Z221" i="47"/>
  <c r="X221" i="47"/>
  <c r="L54" i="152"/>
  <c r="X40" i="148"/>
  <c r="M42" i="148"/>
  <c r="J16" i="148"/>
  <c r="K16" i="148" s="1"/>
  <c r="X41" i="148"/>
  <c r="Y41" i="148" s="1"/>
  <c r="X42" i="148"/>
  <c r="Y42" i="148" s="1"/>
  <c r="H72" i="75"/>
  <c r="G16" i="47"/>
  <c r="I16" i="47" s="1"/>
  <c r="G52" i="47"/>
  <c r="M35" i="107"/>
  <c r="L54" i="149"/>
  <c r="F105" i="153"/>
  <c r="I15" i="153"/>
  <c r="F107" i="151"/>
  <c r="I17" i="151"/>
  <c r="M53" i="151" s="1"/>
  <c r="N53" i="151" s="1"/>
  <c r="F107" i="146"/>
  <c r="I17" i="146"/>
  <c r="M51" i="146" s="1"/>
  <c r="N51" i="146" s="1"/>
  <c r="F107" i="153"/>
  <c r="I17" i="153"/>
  <c r="M49" i="153" s="1"/>
  <c r="N49" i="153" s="1"/>
  <c r="M35" i="109"/>
  <c r="O32" i="109"/>
  <c r="AA44" i="47"/>
  <c r="AB44" i="47"/>
  <c r="AC44" i="47" s="1"/>
  <c r="M42" i="146"/>
  <c r="X41" i="146"/>
  <c r="Y41" i="146" s="1"/>
  <c r="X40" i="146"/>
  <c r="X42" i="146"/>
  <c r="Y42" i="146" s="1"/>
  <c r="J16" i="146"/>
  <c r="K16" i="146" s="1"/>
  <c r="H63" i="74"/>
  <c r="L45" i="56"/>
  <c r="H37" i="47" s="1"/>
  <c r="I37" i="47" s="1"/>
  <c r="M41" i="56"/>
  <c r="M45" i="56" s="1"/>
  <c r="E37" i="47" s="1"/>
  <c r="F37" i="47" s="1"/>
  <c r="N41" i="124"/>
  <c r="N44" i="124" s="1"/>
  <c r="D72" i="47" s="1"/>
  <c r="F72" i="47" s="1"/>
  <c r="S72" i="47" s="1"/>
  <c r="M44" i="124"/>
  <c r="O35" i="76"/>
  <c r="D55" i="47" s="1"/>
  <c r="F55" i="47" s="1"/>
  <c r="S55" i="47" s="1"/>
  <c r="K21" i="47"/>
  <c r="G59" i="67"/>
  <c r="G58" i="67"/>
  <c r="G77" i="67"/>
  <c r="G66" i="67"/>
  <c r="G50" i="67"/>
  <c r="G68" i="67"/>
  <c r="G73" i="67"/>
  <c r="G56" i="67"/>
  <c r="G57" i="67"/>
  <c r="G55" i="67"/>
  <c r="G76" i="67"/>
  <c r="G69" i="67"/>
  <c r="G71" i="67"/>
  <c r="G79" i="67"/>
  <c r="G78" i="67"/>
  <c r="G64" i="67"/>
  <c r="G53" i="67"/>
  <c r="G65" i="67"/>
  <c r="G63" i="67"/>
  <c r="G52" i="67"/>
  <c r="G70" i="67"/>
  <c r="G72" i="67"/>
  <c r="G51" i="67"/>
  <c r="G62" i="67"/>
  <c r="G49" i="67"/>
  <c r="O21" i="47"/>
  <c r="G61" i="67"/>
  <c r="G54" i="67"/>
  <c r="G60" i="67"/>
  <c r="G74" i="67"/>
  <c r="H64" i="75"/>
  <c r="L30" i="72"/>
  <c r="K35" i="72"/>
  <c r="X162" i="47"/>
  <c r="Z162" i="47"/>
  <c r="P162" i="47"/>
  <c r="X41" i="152"/>
  <c r="Y41" i="152" s="1"/>
  <c r="X40" i="152"/>
  <c r="M42" i="152"/>
  <c r="X42" i="152"/>
  <c r="Y42" i="152" s="1"/>
  <c r="J16" i="152"/>
  <c r="K16" i="152" s="1"/>
  <c r="X40" i="151"/>
  <c r="X42" i="151"/>
  <c r="Y42" i="151" s="1"/>
  <c r="J16" i="151"/>
  <c r="K16" i="151" s="1"/>
  <c r="X41" i="151"/>
  <c r="Y41" i="151" s="1"/>
  <c r="M42" i="151"/>
  <c r="H78" i="75"/>
  <c r="D16" i="47"/>
  <c r="F16" i="47" s="1"/>
  <c r="D52" i="47"/>
  <c r="F52" i="47" s="1"/>
  <c r="X41" i="149"/>
  <c r="Y41" i="149" s="1"/>
  <c r="X40" i="149"/>
  <c r="X42" i="149"/>
  <c r="Y42" i="149" s="1"/>
  <c r="M42" i="149"/>
  <c r="J16" i="149"/>
  <c r="K16" i="149" s="1"/>
  <c r="F107" i="148"/>
  <c r="I17" i="148"/>
  <c r="J17" i="148" s="1"/>
  <c r="K17" i="148" s="1"/>
  <c r="L19" i="148" s="1"/>
  <c r="I52" i="47"/>
  <c r="F107" i="147"/>
  <c r="I17" i="147"/>
  <c r="J17" i="147" s="1"/>
  <c r="K17" i="147" s="1"/>
  <c r="L19" i="147" s="1"/>
  <c r="L53" i="144"/>
  <c r="M53" i="144" s="1"/>
  <c r="N53" i="144" s="1"/>
  <c r="Q329" i="47"/>
  <c r="M42" i="140"/>
  <c r="X41" i="140"/>
  <c r="Y41" i="140" s="1"/>
  <c r="X42" i="140"/>
  <c r="Y42" i="140" s="1"/>
  <c r="X40" i="140"/>
  <c r="AA32" i="123"/>
  <c r="AB32" i="123" s="1"/>
  <c r="Z33" i="123"/>
  <c r="D79" i="56"/>
  <c r="D69" i="56"/>
  <c r="D66" i="56"/>
  <c r="D53" i="56"/>
  <c r="H53" i="56" s="1"/>
  <c r="D56" i="56"/>
  <c r="D78" i="56"/>
  <c r="H78" i="56" s="1"/>
  <c r="D68" i="56"/>
  <c r="H68" i="56" s="1"/>
  <c r="D55" i="56"/>
  <c r="H55" i="56" s="1"/>
  <c r="D65" i="56"/>
  <c r="H65" i="56" s="1"/>
  <c r="D52" i="56"/>
  <c r="H52" i="56" s="1"/>
  <c r="D75" i="56"/>
  <c r="H75" i="56" s="1"/>
  <c r="D77" i="56"/>
  <c r="D73" i="56"/>
  <c r="D61" i="56"/>
  <c r="H61" i="56" s="1"/>
  <c r="D50" i="56"/>
  <c r="D64" i="56"/>
  <c r="H64" i="56" s="1"/>
  <c r="D62" i="56"/>
  <c r="H62" i="56" s="1"/>
  <c r="D60" i="56"/>
  <c r="H60" i="56" s="1"/>
  <c r="D51" i="56"/>
  <c r="H51" i="56" s="1"/>
  <c r="D72" i="56"/>
  <c r="H72" i="56" s="1"/>
  <c r="D71" i="56"/>
  <c r="H71" i="56" s="1"/>
  <c r="D63" i="56"/>
  <c r="D74" i="56"/>
  <c r="H74" i="56" s="1"/>
  <c r="D57" i="56"/>
  <c r="D49" i="56"/>
  <c r="D67" i="56"/>
  <c r="H67" i="56" s="1"/>
  <c r="D54" i="56"/>
  <c r="H54" i="56" s="1"/>
  <c r="D59" i="56"/>
  <c r="H59" i="56" s="1"/>
  <c r="D58" i="56"/>
  <c r="J37" i="47"/>
  <c r="D76" i="56"/>
  <c r="H76" i="56" s="1"/>
  <c r="D70" i="56"/>
  <c r="H70" i="56" s="1"/>
  <c r="H49" i="74"/>
  <c r="D80" i="74"/>
  <c r="D15" i="74" s="1"/>
  <c r="E15" i="74" s="1"/>
  <c r="L30" i="61"/>
  <c r="K35" i="61"/>
  <c r="Q34" i="76"/>
  <c r="M42" i="153"/>
  <c r="X41" i="153"/>
  <c r="Y41" i="153" s="1"/>
  <c r="X40" i="153"/>
  <c r="J16" i="153"/>
  <c r="K16" i="153" s="1"/>
  <c r="X42" i="153"/>
  <c r="Y42" i="153" s="1"/>
  <c r="Y28" i="140"/>
  <c r="X34" i="140"/>
  <c r="H57" i="74"/>
  <c r="D71" i="67"/>
  <c r="H71" i="67" s="1"/>
  <c r="D75" i="67"/>
  <c r="D65" i="67"/>
  <c r="H65" i="67" s="1"/>
  <c r="D60" i="67"/>
  <c r="H60" i="67" s="1"/>
  <c r="D68" i="67"/>
  <c r="H68" i="67" s="1"/>
  <c r="D76" i="67"/>
  <c r="D77" i="67"/>
  <c r="H77" i="67" s="1"/>
  <c r="D61" i="67"/>
  <c r="D55" i="67"/>
  <c r="H55" i="67" s="1"/>
  <c r="D49" i="67"/>
  <c r="D59" i="67"/>
  <c r="H59" i="67" s="1"/>
  <c r="D70" i="67"/>
  <c r="D73" i="67"/>
  <c r="D67" i="67"/>
  <c r="H67" i="67" s="1"/>
  <c r="J21" i="47"/>
  <c r="D69" i="67"/>
  <c r="H69" i="67" s="1"/>
  <c r="D50" i="67"/>
  <c r="H50" i="67" s="1"/>
  <c r="D56" i="67"/>
  <c r="H56" i="67" s="1"/>
  <c r="D51" i="67"/>
  <c r="H51" i="67" s="1"/>
  <c r="D52" i="67"/>
  <c r="H52" i="67" s="1"/>
  <c r="D58" i="67"/>
  <c r="H58" i="67" s="1"/>
  <c r="D66" i="67"/>
  <c r="H66" i="67" s="1"/>
  <c r="D62" i="67"/>
  <c r="D72" i="67"/>
  <c r="H72" i="67" s="1"/>
  <c r="D63" i="67"/>
  <c r="D79" i="67"/>
  <c r="H79" i="67" s="1"/>
  <c r="D57" i="67"/>
  <c r="H57" i="67" s="1"/>
  <c r="D53" i="67"/>
  <c r="H53" i="67" s="1"/>
  <c r="D64" i="67"/>
  <c r="H64" i="67" s="1"/>
  <c r="D78" i="67"/>
  <c r="D74" i="67"/>
  <c r="D54" i="67"/>
  <c r="H54" i="67" s="1"/>
  <c r="P310" i="47"/>
  <c r="X310" i="47"/>
  <c r="Z310" i="47"/>
  <c r="H61" i="75"/>
  <c r="H49" i="75"/>
  <c r="G80" i="75"/>
  <c r="D16" i="75" s="1"/>
  <c r="E16" i="75" s="1"/>
  <c r="H59" i="75"/>
  <c r="D60" i="107"/>
  <c r="H60" i="107" s="1"/>
  <c r="D76" i="107"/>
  <c r="H76" i="107" s="1"/>
  <c r="D50" i="107"/>
  <c r="H50" i="107" s="1"/>
  <c r="D73" i="107"/>
  <c r="D66" i="107"/>
  <c r="H66" i="107" s="1"/>
  <c r="D61" i="107"/>
  <c r="D63" i="107"/>
  <c r="H63" i="107" s="1"/>
  <c r="D62" i="107"/>
  <c r="D58" i="107"/>
  <c r="D70" i="107"/>
  <c r="H70" i="107" s="1"/>
  <c r="D77" i="107"/>
  <c r="H77" i="107" s="1"/>
  <c r="D52" i="107"/>
  <c r="D69" i="107"/>
  <c r="H69" i="107" s="1"/>
  <c r="D59" i="107"/>
  <c r="H59" i="107" s="1"/>
  <c r="D53" i="107"/>
  <c r="D71" i="107"/>
  <c r="D75" i="107"/>
  <c r="H75" i="107" s="1"/>
  <c r="D65" i="107"/>
  <c r="D55" i="107"/>
  <c r="H55" i="107" s="1"/>
  <c r="D49" i="107"/>
  <c r="D74" i="107"/>
  <c r="H74" i="107" s="1"/>
  <c r="D64" i="107"/>
  <c r="H64" i="107" s="1"/>
  <c r="D67" i="107"/>
  <c r="H67" i="107" s="1"/>
  <c r="D78" i="107"/>
  <c r="H78" i="107" s="1"/>
  <c r="D56" i="107"/>
  <c r="H56" i="107" s="1"/>
  <c r="D72" i="107"/>
  <c r="D68" i="107"/>
  <c r="H68" i="107" s="1"/>
  <c r="D57" i="107"/>
  <c r="H57" i="107" s="1"/>
  <c r="D51" i="107"/>
  <c r="H51" i="107" s="1"/>
  <c r="D54" i="107"/>
  <c r="J16" i="150"/>
  <c r="M42" i="150"/>
  <c r="X41" i="150"/>
  <c r="Y41" i="150" s="1"/>
  <c r="X42" i="150"/>
  <c r="Y42" i="150" s="1"/>
  <c r="K16" i="150"/>
  <c r="X40" i="150"/>
  <c r="L54" i="153"/>
  <c r="AB80" i="47"/>
  <c r="AC80" i="47" s="1"/>
  <c r="D102" i="151"/>
  <c r="E105" i="151" s="1"/>
  <c r="AB114" i="47"/>
  <c r="AC114" i="47" s="1"/>
  <c r="AA114" i="47"/>
  <c r="AA142" i="47"/>
  <c r="AB142" i="47"/>
  <c r="AC142" i="47" s="1"/>
  <c r="AB137" i="47"/>
  <c r="AC137" i="47" s="1"/>
  <c r="AA137" i="47"/>
  <c r="AB99" i="47"/>
  <c r="AC99" i="47" s="1"/>
  <c r="AA99" i="47"/>
  <c r="AA159" i="47"/>
  <c r="AA134" i="47"/>
  <c r="AB134" i="47"/>
  <c r="AC134" i="47" s="1"/>
  <c r="AA136" i="47"/>
  <c r="AB136" i="47"/>
  <c r="AC136" i="47" s="1"/>
  <c r="AB292" i="47"/>
  <c r="AC292" i="47" s="1"/>
  <c r="AA292" i="47"/>
  <c r="AA183" i="47"/>
  <c r="AB183" i="47"/>
  <c r="AC183" i="47" s="1"/>
  <c r="AA325" i="47"/>
  <c r="AB325" i="47"/>
  <c r="AC325" i="47" s="1"/>
  <c r="AB168" i="47"/>
  <c r="AC168" i="47" s="1"/>
  <c r="AA168" i="47"/>
  <c r="AA228" i="47"/>
  <c r="AB228" i="47"/>
  <c r="AC228" i="47" s="1"/>
  <c r="AB318" i="47"/>
  <c r="AC318" i="47" s="1"/>
  <c r="AA318" i="47"/>
  <c r="AA236" i="47"/>
  <c r="AB236" i="47"/>
  <c r="AC236" i="47" s="1"/>
  <c r="AB96" i="47"/>
  <c r="AC96" i="47" s="1"/>
  <c r="AA96" i="47"/>
  <c r="AB119" i="47"/>
  <c r="AC119" i="47" s="1"/>
  <c r="AA119" i="47"/>
  <c r="AB324" i="47"/>
  <c r="AC324" i="47" s="1"/>
  <c r="AA324" i="47"/>
  <c r="AB262" i="47"/>
  <c r="AC262" i="47" s="1"/>
  <c r="AA262" i="47"/>
  <c r="AB274" i="47"/>
  <c r="AC274" i="47" s="1"/>
  <c r="AA274" i="47"/>
  <c r="AB267" i="47"/>
  <c r="AC267" i="47" s="1"/>
  <c r="AA267" i="47"/>
  <c r="AA282" i="47"/>
  <c r="AB287" i="47"/>
  <c r="AC287" i="47" s="1"/>
  <c r="AA287" i="47"/>
  <c r="AB243" i="47"/>
  <c r="AC243" i="47" s="1"/>
  <c r="AB249" i="47"/>
  <c r="AC249" i="47" s="1"/>
  <c r="AA249" i="47"/>
  <c r="AB97" i="47"/>
  <c r="AC97" i="47" s="1"/>
  <c r="AA97" i="47"/>
  <c r="AB173" i="47"/>
  <c r="AC173" i="47" s="1"/>
  <c r="AA173" i="47"/>
  <c r="AA181" i="47"/>
  <c r="AB181" i="47"/>
  <c r="AC181" i="47" s="1"/>
  <c r="AA89" i="47"/>
  <c r="AB89" i="47"/>
  <c r="AC89" i="47" s="1"/>
  <c r="AB182" i="47"/>
  <c r="AC182" i="47" s="1"/>
  <c r="AA182" i="47"/>
  <c r="AA81" i="47"/>
  <c r="AB81" i="47"/>
  <c r="AC81" i="47" s="1"/>
  <c r="AB272" i="47"/>
  <c r="AC272" i="47" s="1"/>
  <c r="AA272" i="47"/>
  <c r="AA139" i="47"/>
  <c r="AB139" i="47"/>
  <c r="AC139" i="47" s="1"/>
  <c r="AA216" i="47"/>
  <c r="AB216" i="47"/>
  <c r="AC216" i="47" s="1"/>
  <c r="AB108" i="47"/>
  <c r="AC108" i="47" s="1"/>
  <c r="AA108" i="47"/>
  <c r="AA235" i="47"/>
  <c r="AB235" i="47"/>
  <c r="AC235" i="47" s="1"/>
  <c r="AB323" i="47"/>
  <c r="AC323" i="47" s="1"/>
  <c r="AA323" i="47"/>
  <c r="AA326" i="47"/>
  <c r="AB326" i="47"/>
  <c r="AC326" i="47" s="1"/>
  <c r="AB133" i="47"/>
  <c r="AC133" i="47" s="1"/>
  <c r="AA133" i="47"/>
  <c r="AB79" i="47"/>
  <c r="AC79" i="47" s="1"/>
  <c r="AA79" i="47"/>
  <c r="AB117" i="47"/>
  <c r="AC117" i="47" s="1"/>
  <c r="AA117" i="47"/>
  <c r="AB263" i="47"/>
  <c r="AC263" i="47" s="1"/>
  <c r="AA263" i="47"/>
  <c r="AB248" i="47"/>
  <c r="AC248" i="47" s="1"/>
  <c r="AA248" i="47"/>
  <c r="AB305" i="47"/>
  <c r="AC305" i="47" s="1"/>
  <c r="AA305" i="47"/>
  <c r="AB195" i="47"/>
  <c r="AC195" i="47" s="1"/>
  <c r="AA195" i="47"/>
  <c r="AB268" i="47"/>
  <c r="AC268" i="47" s="1"/>
  <c r="AA268" i="47"/>
  <c r="AB313" i="47"/>
  <c r="AC313" i="47" s="1"/>
  <c r="AA313" i="47"/>
  <c r="AB212" i="47"/>
  <c r="AC212" i="47" s="1"/>
  <c r="AA212" i="47"/>
  <c r="AB213" i="47"/>
  <c r="AC213" i="47" s="1"/>
  <c r="AA213" i="47"/>
  <c r="AB130" i="47"/>
  <c r="AC130" i="47" s="1"/>
  <c r="AA130" i="47"/>
  <c r="AB98" i="47"/>
  <c r="AC98" i="47" s="1"/>
  <c r="AA98" i="47"/>
  <c r="AB177" i="47"/>
  <c r="AC177" i="47" s="1"/>
  <c r="AA177" i="47"/>
  <c r="AB220" i="47"/>
  <c r="AC220" i="47" s="1"/>
  <c r="AA220" i="47"/>
  <c r="AB204" i="47"/>
  <c r="AC204" i="47" s="1"/>
  <c r="AA204" i="47"/>
  <c r="AB147" i="47"/>
  <c r="AC147" i="47" s="1"/>
  <c r="AA147" i="47"/>
  <c r="AB112" i="47"/>
  <c r="AC112" i="47" s="1"/>
  <c r="AA112" i="47"/>
  <c r="AB314" i="47"/>
  <c r="AC314" i="47" s="1"/>
  <c r="AA314" i="47"/>
  <c r="AA304" i="47"/>
  <c r="AB304" i="47"/>
  <c r="AC304" i="47" s="1"/>
  <c r="AB193" i="47"/>
  <c r="AC193" i="47" s="1"/>
  <c r="AA193" i="47"/>
  <c r="AB297" i="47"/>
  <c r="AC297" i="47" s="1"/>
  <c r="AA297" i="47"/>
  <c r="AB208" i="47"/>
  <c r="AC208" i="47" s="1"/>
  <c r="AA208" i="47"/>
  <c r="AB271" i="47"/>
  <c r="AC271" i="47" s="1"/>
  <c r="AA271" i="47"/>
  <c r="AA87" i="47"/>
  <c r="AB87" i="47"/>
  <c r="AC87" i="47" s="1"/>
  <c r="AA123" i="47"/>
  <c r="AB123" i="47"/>
  <c r="AC123" i="47" s="1"/>
  <c r="AA116" i="47"/>
  <c r="AB116" i="47"/>
  <c r="AC116" i="47" s="1"/>
  <c r="AA167" i="47"/>
  <c r="AB167" i="47"/>
  <c r="AC167" i="47" s="1"/>
  <c r="AB184" i="47"/>
  <c r="AC184" i="47" s="1"/>
  <c r="AA184" i="47"/>
  <c r="AB128" i="47"/>
  <c r="AC128" i="47" s="1"/>
  <c r="AA128" i="47"/>
  <c r="AA223" i="47"/>
  <c r="AB223" i="47"/>
  <c r="AC223" i="47" s="1"/>
  <c r="AB105" i="47"/>
  <c r="AC105" i="47" s="1"/>
  <c r="AA105" i="47"/>
  <c r="AA194" i="47"/>
  <c r="AB194" i="47"/>
  <c r="AC194" i="47" s="1"/>
  <c r="AA226" i="47"/>
  <c r="AB226" i="47"/>
  <c r="AC226" i="47" s="1"/>
  <c r="AB241" i="47"/>
  <c r="AC241" i="47" s="1"/>
  <c r="AA241" i="47"/>
  <c r="AB264" i="47"/>
  <c r="AC264" i="47" s="1"/>
  <c r="AA264" i="47"/>
  <c r="AB261" i="47"/>
  <c r="AC261" i="47" s="1"/>
  <c r="AA261" i="47"/>
  <c r="AA258" i="47"/>
  <c r="AB258" i="47"/>
  <c r="AC258" i="47" s="1"/>
  <c r="AB164" i="47"/>
  <c r="AC164" i="47" s="1"/>
  <c r="AA164" i="47"/>
  <c r="AB285" i="47"/>
  <c r="AC285" i="47" s="1"/>
  <c r="AA285" i="47"/>
  <c r="AB189" i="47"/>
  <c r="AC189" i="47" s="1"/>
  <c r="AA189" i="47"/>
  <c r="AA82" i="47"/>
  <c r="AB82" i="47"/>
  <c r="AC82" i="47" s="1"/>
  <c r="AB225" i="47"/>
  <c r="AC225" i="47" s="1"/>
  <c r="AA225" i="47"/>
  <c r="H102" i="152"/>
  <c r="E107" i="152" s="1"/>
  <c r="D102" i="146"/>
  <c r="E105" i="146" s="1"/>
  <c r="I72" i="152"/>
  <c r="I102" i="152" s="1"/>
  <c r="I102" i="146"/>
  <c r="L30" i="50"/>
  <c r="L34" i="50" s="1"/>
  <c r="K34" i="50"/>
  <c r="J16" i="140"/>
  <c r="K16" i="140" s="1"/>
  <c r="G80" i="62"/>
  <c r="D16" i="62" s="1"/>
  <c r="E16" i="62" s="1"/>
  <c r="D102" i="149"/>
  <c r="E105" i="149" s="1"/>
  <c r="H89" i="111"/>
  <c r="H77" i="81"/>
  <c r="H54" i="81"/>
  <c r="AA16" i="47"/>
  <c r="AB16" i="47"/>
  <c r="AC16" i="47" s="1"/>
  <c r="M41" i="45"/>
  <c r="M45" i="45" s="1"/>
  <c r="E54" i="47" s="1"/>
  <c r="F54" i="47" s="1"/>
  <c r="L45" i="45"/>
  <c r="H54" i="47" s="1"/>
  <c r="I54" i="47" s="1"/>
  <c r="L30" i="55"/>
  <c r="K35" i="55"/>
  <c r="Z25" i="47"/>
  <c r="P25" i="47"/>
  <c r="X25" i="47"/>
  <c r="M41" i="68"/>
  <c r="L45" i="68"/>
  <c r="H22" i="47" s="1"/>
  <c r="I22" i="47" s="1"/>
  <c r="H102" i="142"/>
  <c r="E107" i="142" s="1"/>
  <c r="F107" i="142" s="1"/>
  <c r="H64" i="71"/>
  <c r="H80" i="71" s="1"/>
  <c r="M44" i="84"/>
  <c r="Q44" i="84" s="1"/>
  <c r="M41" i="84"/>
  <c r="AB43" i="47"/>
  <c r="AC43" i="47" s="1"/>
  <c r="AA43" i="47"/>
  <c r="M41" i="35"/>
  <c r="M45" i="35" s="1"/>
  <c r="L45" i="35"/>
  <c r="H44" i="47" s="1"/>
  <c r="I44" i="47" s="1"/>
  <c r="M41" i="42"/>
  <c r="M45" i="42" s="1"/>
  <c r="L45" i="42"/>
  <c r="H51" i="52"/>
  <c r="I102" i="142"/>
  <c r="D102" i="147"/>
  <c r="E105" i="147" s="1"/>
  <c r="H72" i="81"/>
  <c r="S75" i="47"/>
  <c r="W49" i="47"/>
  <c r="W50" i="47" s="1"/>
  <c r="W51" i="47" s="1"/>
  <c r="W52" i="47" s="1"/>
  <c r="W53" i="47" s="1"/>
  <c r="W54" i="47" s="1"/>
  <c r="W55" i="47" s="1"/>
  <c r="W56" i="47" s="1"/>
  <c r="W57" i="47" s="1"/>
  <c r="W58" i="47" s="1"/>
  <c r="W59" i="47" s="1"/>
  <c r="W60" i="47" s="1"/>
  <c r="W61" i="47" s="1"/>
  <c r="W62" i="47" s="1"/>
  <c r="W63" i="47" s="1"/>
  <c r="W64" i="47" s="1"/>
  <c r="W65" i="47" s="1"/>
  <c r="W66" i="47" s="1"/>
  <c r="W67" i="47" s="1"/>
  <c r="W68" i="47" s="1"/>
  <c r="W69" i="47" s="1"/>
  <c r="W70" i="47" s="1"/>
  <c r="W71" i="47" s="1"/>
  <c r="W72" i="47" s="1"/>
  <c r="W73" i="47" s="1"/>
  <c r="W74" i="47" s="1"/>
  <c r="W75" i="47" s="1"/>
  <c r="W76" i="47" s="1"/>
  <c r="W77" i="47" s="1"/>
  <c r="W78" i="47" s="1"/>
  <c r="W79" i="47" s="1"/>
  <c r="W80" i="47" s="1"/>
  <c r="W81" i="47" s="1"/>
  <c r="W82" i="47" s="1"/>
  <c r="W83" i="47" s="1"/>
  <c r="W84" i="47" s="1"/>
  <c r="W85" i="47" s="1"/>
  <c r="W86" i="47" s="1"/>
  <c r="W87" i="47" s="1"/>
  <c r="W88" i="47" s="1"/>
  <c r="W89" i="47" s="1"/>
  <c r="W90" i="47" s="1"/>
  <c r="W91" i="47" s="1"/>
  <c r="W92" i="47" s="1"/>
  <c r="W93" i="47" s="1"/>
  <c r="W94" i="47" s="1"/>
  <c r="W95" i="47" s="1"/>
  <c r="W96" i="47" s="1"/>
  <c r="W97" i="47" s="1"/>
  <c r="W98" i="47" s="1"/>
  <c r="W99" i="47" s="1"/>
  <c r="W100" i="47" s="1"/>
  <c r="W101" i="47" s="1"/>
  <c r="W102" i="47" s="1"/>
  <c r="W103" i="47" s="1"/>
  <c r="W104" i="47" s="1"/>
  <c r="W105" i="47" s="1"/>
  <c r="W106" i="47" s="1"/>
  <c r="W107" i="47" s="1"/>
  <c r="W108" i="47" s="1"/>
  <c r="W109" i="47" s="1"/>
  <c r="W110" i="47" s="1"/>
  <c r="W111" i="47" s="1"/>
  <c r="W112" i="47" s="1"/>
  <c r="W113" i="47" s="1"/>
  <c r="W114" i="47" s="1"/>
  <c r="W115" i="47" s="1"/>
  <c r="W116" i="47" s="1"/>
  <c r="W117" i="47" s="1"/>
  <c r="W118" i="47" s="1"/>
  <c r="W119" i="47" s="1"/>
  <c r="W120" i="47" s="1"/>
  <c r="W121" i="47" s="1"/>
  <c r="W122" i="47" s="1"/>
  <c r="W123" i="47" s="1"/>
  <c r="W124" i="47" s="1"/>
  <c r="W125" i="47" s="1"/>
  <c r="W126" i="47" s="1"/>
  <c r="W127" i="47" s="1"/>
  <c r="W128" i="47" s="1"/>
  <c r="W129" i="47" s="1"/>
  <c r="W130" i="47" s="1"/>
  <c r="W131" i="47" s="1"/>
  <c r="W132" i="47" s="1"/>
  <c r="W133" i="47" s="1"/>
  <c r="W134" i="47" s="1"/>
  <c r="W135" i="47" s="1"/>
  <c r="W136" i="47" s="1"/>
  <c r="W137" i="47" s="1"/>
  <c r="W138" i="47" s="1"/>
  <c r="W139" i="47" s="1"/>
  <c r="W140" i="47" s="1"/>
  <c r="W141" i="47" s="1"/>
  <c r="W142" i="47" s="1"/>
  <c r="W143" i="47" s="1"/>
  <c r="W144" i="47" s="1"/>
  <c r="W145" i="47" s="1"/>
  <c r="W146" i="47" s="1"/>
  <c r="W147" i="47" s="1"/>
  <c r="W148" i="47" s="1"/>
  <c r="W149" i="47" s="1"/>
  <c r="W150" i="47" s="1"/>
  <c r="W151" i="47" s="1"/>
  <c r="W152" i="47" s="1"/>
  <c r="W153" i="47" s="1"/>
  <c r="W154" i="47" s="1"/>
  <c r="W155" i="47" s="1"/>
  <c r="W156" i="47" s="1"/>
  <c r="W157" i="47" s="1"/>
  <c r="W158" i="47" s="1"/>
  <c r="W159" i="47" s="1"/>
  <c r="W160" i="47" s="1"/>
  <c r="W161" i="47" s="1"/>
  <c r="W162" i="47" s="1"/>
  <c r="W163" i="47" s="1"/>
  <c r="W164" i="47" s="1"/>
  <c r="W165" i="47" s="1"/>
  <c r="W166" i="47" s="1"/>
  <c r="W167" i="47" s="1"/>
  <c r="W168" i="47" s="1"/>
  <c r="W169" i="47" s="1"/>
  <c r="W170" i="47" s="1"/>
  <c r="W171" i="47" s="1"/>
  <c r="W172" i="47" s="1"/>
  <c r="W173" i="47" s="1"/>
  <c r="W174" i="47" s="1"/>
  <c r="W175" i="47" s="1"/>
  <c r="W176" i="47" s="1"/>
  <c r="W177" i="47" s="1"/>
  <c r="W178" i="47" s="1"/>
  <c r="W179" i="47" s="1"/>
  <c r="W180" i="47" s="1"/>
  <c r="W181" i="47" s="1"/>
  <c r="W182" i="47" s="1"/>
  <c r="W183" i="47" s="1"/>
  <c r="W184" i="47" s="1"/>
  <c r="W185" i="47" s="1"/>
  <c r="W186" i="47" s="1"/>
  <c r="W187" i="47" s="1"/>
  <c r="W188" i="47" s="1"/>
  <c r="W189" i="47" s="1"/>
  <c r="W190" i="47" s="1"/>
  <c r="W191" i="47" s="1"/>
  <c r="W192" i="47" s="1"/>
  <c r="W193" i="47" s="1"/>
  <c r="W194" i="47" s="1"/>
  <c r="W195" i="47" s="1"/>
  <c r="W196" i="47" s="1"/>
  <c r="W197" i="47" s="1"/>
  <c r="W198" i="47" s="1"/>
  <c r="W199" i="47" s="1"/>
  <c r="W200" i="47" s="1"/>
  <c r="W201" i="47" s="1"/>
  <c r="W202" i="47" s="1"/>
  <c r="W203" i="47" s="1"/>
  <c r="W204" i="47" s="1"/>
  <c r="W205" i="47" s="1"/>
  <c r="W206" i="47" s="1"/>
  <c r="W207" i="47" s="1"/>
  <c r="W208" i="47" s="1"/>
  <c r="W209" i="47" s="1"/>
  <c r="W210" i="47" s="1"/>
  <c r="W211" i="47" s="1"/>
  <c r="W212" i="47" s="1"/>
  <c r="W213" i="47" s="1"/>
  <c r="W214" i="47" s="1"/>
  <c r="W215" i="47" s="1"/>
  <c r="W216" i="47" s="1"/>
  <c r="W217" i="47" s="1"/>
  <c r="W218" i="47" s="1"/>
  <c r="W219" i="47" s="1"/>
  <c r="W220" i="47" s="1"/>
  <c r="W221" i="47" s="1"/>
  <c r="W222" i="47" s="1"/>
  <c r="W223" i="47" s="1"/>
  <c r="W224" i="47" s="1"/>
  <c r="W225" i="47" s="1"/>
  <c r="W226" i="47" s="1"/>
  <c r="W227" i="47" s="1"/>
  <c r="W228" i="47" s="1"/>
  <c r="W229" i="47" s="1"/>
  <c r="W230" i="47" s="1"/>
  <c r="W231" i="47" s="1"/>
  <c r="W232" i="47" s="1"/>
  <c r="W233" i="47" s="1"/>
  <c r="W234" i="47" s="1"/>
  <c r="W235" i="47" s="1"/>
  <c r="W236" i="47" s="1"/>
  <c r="W237" i="47" s="1"/>
  <c r="W238" i="47" s="1"/>
  <c r="W239" i="47" s="1"/>
  <c r="W240" i="47" s="1"/>
  <c r="W241" i="47" s="1"/>
  <c r="W242" i="47" s="1"/>
  <c r="W243" i="47" s="1"/>
  <c r="W244" i="47" s="1"/>
  <c r="W245" i="47" s="1"/>
  <c r="W246" i="47" s="1"/>
  <c r="W247" i="47" s="1"/>
  <c r="W248" i="47" s="1"/>
  <c r="W249" i="47" s="1"/>
  <c r="W250" i="47" s="1"/>
  <c r="W251" i="47" s="1"/>
  <c r="W252" i="47" s="1"/>
  <c r="W253" i="47" s="1"/>
  <c r="W254" i="47" s="1"/>
  <c r="W255" i="47" s="1"/>
  <c r="W256" i="47" s="1"/>
  <c r="W257" i="47" s="1"/>
  <c r="W258" i="47" s="1"/>
  <c r="W259" i="47" s="1"/>
  <c r="W260" i="47" s="1"/>
  <c r="W261" i="47" s="1"/>
  <c r="W262" i="47" s="1"/>
  <c r="W263" i="47" s="1"/>
  <c r="W264" i="47" s="1"/>
  <c r="W265" i="47" s="1"/>
  <c r="W266" i="47" s="1"/>
  <c r="W267" i="47" s="1"/>
  <c r="W268" i="47" s="1"/>
  <c r="W269" i="47" s="1"/>
  <c r="W270" i="47" s="1"/>
  <c r="W271" i="47" s="1"/>
  <c r="W272" i="47" s="1"/>
  <c r="W273" i="47" s="1"/>
  <c r="W274" i="47" s="1"/>
  <c r="W275" i="47" s="1"/>
  <c r="W276" i="47" s="1"/>
  <c r="W277" i="47" s="1"/>
  <c r="W278" i="47" s="1"/>
  <c r="W279" i="47" s="1"/>
  <c r="W280" i="47" s="1"/>
  <c r="W281" i="47" s="1"/>
  <c r="W282" i="47" s="1"/>
  <c r="W283" i="47" s="1"/>
  <c r="W284" i="47" s="1"/>
  <c r="W285" i="47" s="1"/>
  <c r="W286" i="47" s="1"/>
  <c r="W287" i="47" s="1"/>
  <c r="W288" i="47" s="1"/>
  <c r="W289" i="47" s="1"/>
  <c r="W290" i="47" s="1"/>
  <c r="W291" i="47" s="1"/>
  <c r="W292" i="47" s="1"/>
  <c r="W293" i="47" s="1"/>
  <c r="W294" i="47" s="1"/>
  <c r="W295" i="47" s="1"/>
  <c r="W296" i="47" s="1"/>
  <c r="W297" i="47" s="1"/>
  <c r="W298" i="47" s="1"/>
  <c r="W299" i="47" s="1"/>
  <c r="W300" i="47" s="1"/>
  <c r="W301" i="47" s="1"/>
  <c r="W302" i="47" s="1"/>
  <c r="W303" i="47" s="1"/>
  <c r="W304" i="47" s="1"/>
  <c r="W305" i="47" s="1"/>
  <c r="W306" i="47" s="1"/>
  <c r="W307" i="47" s="1"/>
  <c r="W308" i="47" s="1"/>
  <c r="W309" i="47" s="1"/>
  <c r="W310" i="47" s="1"/>
  <c r="W311" i="47" s="1"/>
  <c r="W312" i="47" s="1"/>
  <c r="W313" i="47" s="1"/>
  <c r="W314" i="47" s="1"/>
  <c r="W315" i="47" s="1"/>
  <c r="W316" i="47" s="1"/>
  <c r="W317" i="47" s="1"/>
  <c r="W318" i="47" s="1"/>
  <c r="W319" i="47" s="1"/>
  <c r="W320" i="47" s="1"/>
  <c r="W321" i="47" s="1"/>
  <c r="W322" i="47" s="1"/>
  <c r="W323" i="47" s="1"/>
  <c r="W324" i="47" s="1"/>
  <c r="W325" i="47" s="1"/>
  <c r="W326" i="47" s="1"/>
  <c r="W327" i="47" s="1"/>
  <c r="W328" i="47" s="1"/>
  <c r="W329" i="47" s="1"/>
  <c r="W330" i="47" s="1"/>
  <c r="W331" i="47" s="1"/>
  <c r="W332" i="47" s="1"/>
  <c r="W333" i="47" s="1"/>
  <c r="W334" i="47" s="1"/>
  <c r="W335" i="47" s="1"/>
  <c r="W336" i="47" s="1"/>
  <c r="W337" i="47" s="1"/>
  <c r="W338" i="47" s="1"/>
  <c r="W339" i="47" s="1"/>
  <c r="P51" i="47"/>
  <c r="H55" i="81"/>
  <c r="H50" i="52"/>
  <c r="G80" i="53"/>
  <c r="D16" i="53" s="1"/>
  <c r="E16" i="53" s="1"/>
  <c r="Z51" i="47"/>
  <c r="AB51" i="47" s="1"/>
  <c r="AC51" i="47" s="1"/>
  <c r="H68" i="81"/>
  <c r="Y59" i="70"/>
  <c r="Y60" i="70" s="1"/>
  <c r="Y61" i="70" s="1"/>
  <c r="Y62" i="70" s="1"/>
  <c r="Y63" i="70" s="1"/>
  <c r="Y64" i="70" s="1"/>
  <c r="Y65" i="70" s="1"/>
  <c r="Y66" i="70" s="1"/>
  <c r="Y67" i="70" s="1"/>
  <c r="Y68" i="70" s="1"/>
  <c r="Y69" i="70" s="1"/>
  <c r="Y70" i="70" s="1"/>
  <c r="Y71" i="70" s="1"/>
  <c r="Y72" i="70" s="1"/>
  <c r="Y73" i="70" s="1"/>
  <c r="Y74" i="70" s="1"/>
  <c r="Y75" i="70" s="1"/>
  <c r="Y76" i="70" s="1"/>
  <c r="Y77" i="70" s="1"/>
  <c r="Y78" i="70" s="1"/>
  <c r="Y80" i="70" s="1"/>
  <c r="J38" i="47"/>
  <c r="D66" i="57"/>
  <c r="D71" i="57"/>
  <c r="D74" i="57"/>
  <c r="D52" i="57"/>
  <c r="D65" i="57"/>
  <c r="D69" i="57"/>
  <c r="D79" i="57"/>
  <c r="D53" i="57"/>
  <c r="D59" i="57"/>
  <c r="D55" i="57"/>
  <c r="D72" i="57"/>
  <c r="D76" i="57"/>
  <c r="D64" i="57"/>
  <c r="D56" i="57"/>
  <c r="D62" i="57"/>
  <c r="D75" i="57"/>
  <c r="D63" i="57"/>
  <c r="D57" i="57"/>
  <c r="D68" i="57"/>
  <c r="D51" i="57"/>
  <c r="D58" i="57"/>
  <c r="D60" i="57"/>
  <c r="D61" i="57"/>
  <c r="D50" i="57"/>
  <c r="D54" i="57"/>
  <c r="D78" i="57"/>
  <c r="D49" i="57"/>
  <c r="D73" i="57"/>
  <c r="D67" i="57"/>
  <c r="D70" i="57"/>
  <c r="D77" i="57"/>
  <c r="D56" i="58"/>
  <c r="D73" i="58"/>
  <c r="D58" i="58"/>
  <c r="D66" i="58"/>
  <c r="D53" i="58"/>
  <c r="D72" i="58"/>
  <c r="D64" i="58"/>
  <c r="D65" i="58"/>
  <c r="D52" i="58"/>
  <c r="D49" i="58"/>
  <c r="D61" i="58"/>
  <c r="D69" i="58"/>
  <c r="D60" i="58"/>
  <c r="D77" i="58"/>
  <c r="D68" i="58"/>
  <c r="D70" i="58"/>
  <c r="D78" i="58"/>
  <c r="H78" i="58" s="1"/>
  <c r="D55" i="58"/>
  <c r="D76" i="58"/>
  <c r="D63" i="58"/>
  <c r="D54" i="58"/>
  <c r="J15" i="47"/>
  <c r="D51" i="58"/>
  <c r="D50" i="58"/>
  <c r="D57" i="58"/>
  <c r="D67" i="58"/>
  <c r="D59" i="58"/>
  <c r="D75" i="58"/>
  <c r="D71" i="58"/>
  <c r="D62" i="58"/>
  <c r="D74" i="58"/>
  <c r="M30" i="37"/>
  <c r="M35" i="37" s="1"/>
  <c r="D46" i="47" s="1"/>
  <c r="F46" i="47" s="1"/>
  <c r="L35" i="37"/>
  <c r="G46" i="47" s="1"/>
  <c r="I46" i="47" s="1"/>
  <c r="K54" i="133"/>
  <c r="AB336" i="47"/>
  <c r="AC336" i="47" s="1"/>
  <c r="AA336" i="47"/>
  <c r="H75" i="52"/>
  <c r="H80" i="53"/>
  <c r="K38" i="47"/>
  <c r="G50" i="57"/>
  <c r="G62" i="57"/>
  <c r="G70" i="57"/>
  <c r="G55" i="57"/>
  <c r="G72" i="57"/>
  <c r="G61" i="57"/>
  <c r="G60" i="57"/>
  <c r="G53" i="57"/>
  <c r="G68" i="57"/>
  <c r="G49" i="57"/>
  <c r="G71" i="57"/>
  <c r="G66" i="57"/>
  <c r="G75" i="57"/>
  <c r="G76" i="57"/>
  <c r="O38" i="47"/>
  <c r="G51" i="57"/>
  <c r="G52" i="57"/>
  <c r="G64" i="57"/>
  <c r="G69" i="57"/>
  <c r="G56" i="57"/>
  <c r="G58" i="57"/>
  <c r="G77" i="57"/>
  <c r="G54" i="57"/>
  <c r="G57" i="57"/>
  <c r="G59" i="57"/>
  <c r="G74" i="57"/>
  <c r="G67" i="57"/>
  <c r="G65" i="57"/>
  <c r="G73" i="57"/>
  <c r="G79" i="57"/>
  <c r="G78" i="57"/>
  <c r="G63" i="57"/>
  <c r="H49" i="70"/>
  <c r="D80" i="70"/>
  <c r="D15" i="70" s="1"/>
  <c r="E15" i="70" s="1"/>
  <c r="G51" i="58"/>
  <c r="G69" i="58"/>
  <c r="G58" i="58"/>
  <c r="G59" i="58"/>
  <c r="G71" i="58"/>
  <c r="G77" i="58"/>
  <c r="H77" i="58" s="1"/>
  <c r="G64" i="58"/>
  <c r="G62" i="58"/>
  <c r="G55" i="58"/>
  <c r="G60" i="58"/>
  <c r="G54" i="58"/>
  <c r="O15" i="47"/>
  <c r="G66" i="58"/>
  <c r="G56" i="58"/>
  <c r="G63" i="58"/>
  <c r="G74" i="58"/>
  <c r="G76" i="58"/>
  <c r="G68" i="58"/>
  <c r="G72" i="58"/>
  <c r="G61" i="58"/>
  <c r="G52" i="58"/>
  <c r="G70" i="58"/>
  <c r="G50" i="58"/>
  <c r="G49" i="58"/>
  <c r="H49" i="58" s="1"/>
  <c r="G65" i="58"/>
  <c r="G75" i="58"/>
  <c r="H75" i="58" s="1"/>
  <c r="K15" i="47"/>
  <c r="G67" i="58"/>
  <c r="H67" i="58" s="1"/>
  <c r="G53" i="58"/>
  <c r="G73" i="58"/>
  <c r="H73" i="58" s="1"/>
  <c r="G57" i="58"/>
  <c r="M34" i="60"/>
  <c r="D41" i="47"/>
  <c r="F41" i="47" s="1"/>
  <c r="H80" i="72"/>
  <c r="H69" i="52"/>
  <c r="Y67" i="59"/>
  <c r="Y68" i="59" s="1"/>
  <c r="Y69" i="59" s="1"/>
  <c r="Y70" i="59" s="1"/>
  <c r="Y71" i="59" s="1"/>
  <c r="Y72" i="59" s="1"/>
  <c r="Y73" i="59" s="1"/>
  <c r="Y74" i="59" s="1"/>
  <c r="Y75" i="59" s="1"/>
  <c r="Y76" i="59" s="1"/>
  <c r="Y77" i="59" s="1"/>
  <c r="Y78" i="59" s="1"/>
  <c r="Y79" i="59" s="1"/>
  <c r="Y80" i="59" s="1"/>
  <c r="Q32" i="47"/>
  <c r="Q31" i="47"/>
  <c r="P330" i="47"/>
  <c r="X330" i="47"/>
  <c r="Z330" i="47"/>
  <c r="M45" i="68"/>
  <c r="E22" i="47" s="1"/>
  <c r="F22" i="47" s="1"/>
  <c r="W52" i="144"/>
  <c r="X52" i="144" s="1"/>
  <c r="Y52" i="144" s="1"/>
  <c r="W51" i="144"/>
  <c r="X51" i="144" s="1"/>
  <c r="Y51" i="144" s="1"/>
  <c r="W49" i="144"/>
  <c r="W50" i="144"/>
  <c r="X50" i="144" s="1"/>
  <c r="Y50" i="144" s="1"/>
  <c r="L49" i="144"/>
  <c r="L51" i="144"/>
  <c r="M51" i="144" s="1"/>
  <c r="N51" i="144" s="1"/>
  <c r="F107" i="144"/>
  <c r="AL80" i="71"/>
  <c r="Y80" i="71"/>
  <c r="H80" i="40"/>
  <c r="M31" i="74"/>
  <c r="M35" i="74" s="1"/>
  <c r="L35" i="74"/>
  <c r="H49" i="81"/>
  <c r="D80" i="81"/>
  <c r="D15" i="81" s="1"/>
  <c r="E15" i="81" s="1"/>
  <c r="M41" i="63"/>
  <c r="M45" i="63" s="1"/>
  <c r="E17" i="47" s="1"/>
  <c r="F17" i="47" s="1"/>
  <c r="L45" i="63"/>
  <c r="H17" i="47" s="1"/>
  <c r="G68" i="39"/>
  <c r="G59" i="39"/>
  <c r="G51" i="39"/>
  <c r="G73" i="39"/>
  <c r="G72" i="39"/>
  <c r="G60" i="39"/>
  <c r="G54" i="39"/>
  <c r="G71" i="39"/>
  <c r="G77" i="39"/>
  <c r="G56" i="39"/>
  <c r="G76" i="39"/>
  <c r="K48" i="47"/>
  <c r="G63" i="39"/>
  <c r="G55" i="39"/>
  <c r="G65" i="39"/>
  <c r="G57" i="39"/>
  <c r="G69" i="39"/>
  <c r="G67" i="39"/>
  <c r="G61" i="39"/>
  <c r="G62" i="39"/>
  <c r="G78" i="39"/>
  <c r="G70" i="39"/>
  <c r="G75" i="39"/>
  <c r="G58" i="39"/>
  <c r="G66" i="39"/>
  <c r="O48" i="47"/>
  <c r="G50" i="39"/>
  <c r="G74" i="39"/>
  <c r="G49" i="39"/>
  <c r="G52" i="39"/>
  <c r="G64" i="39"/>
  <c r="G53" i="39"/>
  <c r="AB52" i="123"/>
  <c r="AA52" i="123"/>
  <c r="H75" i="67"/>
  <c r="H48" i="65"/>
  <c r="H79" i="65" s="1"/>
  <c r="M34" i="63"/>
  <c r="L35" i="63"/>
  <c r="G17" i="47" s="1"/>
  <c r="N393" i="47"/>
  <c r="X28" i="138"/>
  <c r="W33" i="138"/>
  <c r="W35" i="138" s="1"/>
  <c r="D49" i="39"/>
  <c r="D67" i="39"/>
  <c r="D61" i="39"/>
  <c r="D53" i="39"/>
  <c r="D59" i="39"/>
  <c r="D62" i="39"/>
  <c r="H62" i="39" s="1"/>
  <c r="D57" i="39"/>
  <c r="H57" i="39" s="1"/>
  <c r="D76" i="39"/>
  <c r="D50" i="39"/>
  <c r="D68" i="39"/>
  <c r="H68" i="39" s="1"/>
  <c r="D64" i="39"/>
  <c r="D58" i="39"/>
  <c r="D56" i="39"/>
  <c r="D75" i="39"/>
  <c r="H75" i="39" s="1"/>
  <c r="D77" i="39"/>
  <c r="H77" i="39" s="1"/>
  <c r="D51" i="39"/>
  <c r="D78" i="39"/>
  <c r="H78" i="39" s="1"/>
  <c r="D66" i="39"/>
  <c r="H66" i="39" s="1"/>
  <c r="D74" i="39"/>
  <c r="H74" i="39" s="1"/>
  <c r="D69" i="39"/>
  <c r="H69" i="39" s="1"/>
  <c r="D70" i="39"/>
  <c r="H70" i="39" s="1"/>
  <c r="D73" i="39"/>
  <c r="H73" i="39" s="1"/>
  <c r="D63" i="39"/>
  <c r="H63" i="39" s="1"/>
  <c r="D54" i="39"/>
  <c r="J48" i="47"/>
  <c r="D65" i="39"/>
  <c r="D60" i="39"/>
  <c r="D55" i="39"/>
  <c r="D72" i="39"/>
  <c r="H72" i="39" s="1"/>
  <c r="D52" i="39"/>
  <c r="D71" i="39"/>
  <c r="H71" i="39" s="1"/>
  <c r="AB38" i="123"/>
  <c r="AA38" i="123"/>
  <c r="X34" i="47"/>
  <c r="P34" i="47"/>
  <c r="Z34" i="47"/>
  <c r="X80" i="54"/>
  <c r="Y55" i="54"/>
  <c r="Y56" i="54" s="1"/>
  <c r="Y57" i="54" s="1"/>
  <c r="Y58" i="54" s="1"/>
  <c r="Y59" i="54" s="1"/>
  <c r="Y60" i="54" s="1"/>
  <c r="Y61" i="54" s="1"/>
  <c r="Y62" i="54" s="1"/>
  <c r="Y63" i="54" s="1"/>
  <c r="Y64" i="54" s="1"/>
  <c r="Y65" i="54" s="1"/>
  <c r="Y66" i="54" s="1"/>
  <c r="Y67" i="54" s="1"/>
  <c r="Y68" i="54" s="1"/>
  <c r="Y69" i="54" s="1"/>
  <c r="Y70" i="54" s="1"/>
  <c r="Y71" i="54" s="1"/>
  <c r="Y72" i="54" s="1"/>
  <c r="Y73" i="54" s="1"/>
  <c r="Y74" i="54" s="1"/>
  <c r="Y75" i="54" s="1"/>
  <c r="Y76" i="54" s="1"/>
  <c r="Y77" i="54" s="1"/>
  <c r="Y78" i="54" s="1"/>
  <c r="Y79" i="54" s="1"/>
  <c r="H53" i="81"/>
  <c r="X80" i="67"/>
  <c r="Y54" i="67"/>
  <c r="Y55" i="67" s="1"/>
  <c r="Y56" i="67" s="1"/>
  <c r="Y57" i="67" s="1"/>
  <c r="Y58" i="67" s="1"/>
  <c r="Y59" i="67" s="1"/>
  <c r="Y60" i="67" s="1"/>
  <c r="Y61" i="67" s="1"/>
  <c r="Y62" i="67" s="1"/>
  <c r="Y63" i="67" s="1"/>
  <c r="Y64" i="67" s="1"/>
  <c r="Y65" i="67" s="1"/>
  <c r="Y66" i="67" s="1"/>
  <c r="Y67" i="67" s="1"/>
  <c r="Y68" i="67" s="1"/>
  <c r="Y69" i="67" s="1"/>
  <c r="Y70" i="67" s="1"/>
  <c r="Y71" i="67" s="1"/>
  <c r="Y72" i="67" s="1"/>
  <c r="Y73" i="67" s="1"/>
  <c r="Y74" i="67" s="1"/>
  <c r="Y75" i="67" s="1"/>
  <c r="Y76" i="67" s="1"/>
  <c r="Y77" i="67" s="1"/>
  <c r="Y78" i="67" s="1"/>
  <c r="Y79" i="67" s="1"/>
  <c r="H78" i="81"/>
  <c r="AB48" i="47"/>
  <c r="AC48" i="47" s="1"/>
  <c r="AA48" i="47"/>
  <c r="I71" i="150"/>
  <c r="I102" i="150" s="1"/>
  <c r="D102" i="150"/>
  <c r="E105" i="150" s="1"/>
  <c r="X30" i="138"/>
  <c r="Y30" i="138" s="1"/>
  <c r="N395" i="47"/>
  <c r="P47" i="47"/>
  <c r="X47" i="47"/>
  <c r="Z47" i="47"/>
  <c r="AA40" i="123"/>
  <c r="AB40" i="123"/>
  <c r="H80" i="59"/>
  <c r="G80" i="63"/>
  <c r="D16" i="63" s="1"/>
  <c r="E16" i="63" s="1"/>
  <c r="I102" i="144"/>
  <c r="W50" i="143"/>
  <c r="X50" i="143" s="1"/>
  <c r="Y50" i="143" s="1"/>
  <c r="Q30" i="47"/>
  <c r="Q19" i="47"/>
  <c r="I16" i="111"/>
  <c r="F93" i="111"/>
  <c r="Q332" i="47"/>
  <c r="I15" i="111"/>
  <c r="F92" i="111"/>
  <c r="G80" i="81"/>
  <c r="D16" i="81" s="1"/>
  <c r="E16" i="81" s="1"/>
  <c r="X29" i="138"/>
  <c r="Y29" i="138" s="1"/>
  <c r="N394" i="47"/>
  <c r="X71" i="47"/>
  <c r="P71" i="47"/>
  <c r="Z71" i="47"/>
  <c r="Y49" i="66"/>
  <c r="Y50" i="66" s="1"/>
  <c r="Y51" i="66" s="1"/>
  <c r="Y52" i="66" s="1"/>
  <c r="Y53" i="66" s="1"/>
  <c r="Y54" i="66" s="1"/>
  <c r="Y55" i="66" s="1"/>
  <c r="Y56" i="66" s="1"/>
  <c r="Y57" i="66" s="1"/>
  <c r="Y58" i="66" s="1"/>
  <c r="Y59" i="66" s="1"/>
  <c r="Y60" i="66" s="1"/>
  <c r="Y61" i="66" s="1"/>
  <c r="Y62" i="66" s="1"/>
  <c r="Y63" i="66" s="1"/>
  <c r="Y64" i="66" s="1"/>
  <c r="Y65" i="66" s="1"/>
  <c r="Y66" i="66" s="1"/>
  <c r="Y67" i="66" s="1"/>
  <c r="Y68" i="66" s="1"/>
  <c r="Y69" i="66" s="1"/>
  <c r="Y70" i="66" s="1"/>
  <c r="Y71" i="66" s="1"/>
  <c r="Y72" i="66" s="1"/>
  <c r="Y73" i="66" s="1"/>
  <c r="Y74" i="66" s="1"/>
  <c r="Y75" i="66" s="1"/>
  <c r="Y76" i="66" s="1"/>
  <c r="Y77" i="66" s="1"/>
  <c r="Y80" i="66" s="1"/>
  <c r="X80" i="66"/>
  <c r="AA20" i="47"/>
  <c r="AB20" i="47"/>
  <c r="AC20" i="47" s="1"/>
  <c r="M30" i="51"/>
  <c r="M35" i="51" s="1"/>
  <c r="L35" i="51"/>
  <c r="D102" i="144"/>
  <c r="E105" i="144" s="1"/>
  <c r="F105" i="144" s="1"/>
  <c r="M53" i="123"/>
  <c r="H71" i="47" s="1"/>
  <c r="N51" i="123"/>
  <c r="N53" i="123" s="1"/>
  <c r="E71" i="47" s="1"/>
  <c r="Y66" i="65"/>
  <c r="Y67" i="65" s="1"/>
  <c r="Y68" i="65" s="1"/>
  <c r="Y69" i="65" s="1"/>
  <c r="Y70" i="65" s="1"/>
  <c r="Y71" i="65" s="1"/>
  <c r="Y72" i="65" s="1"/>
  <c r="Y73" i="65" s="1"/>
  <c r="Y74" i="65" s="1"/>
  <c r="Y75" i="65" s="1"/>
  <c r="Y76" i="65" s="1"/>
  <c r="Y77" i="65" s="1"/>
  <c r="Y78" i="65" s="1"/>
  <c r="AL79" i="65" s="1"/>
  <c r="G80" i="64"/>
  <c r="D16" i="64" s="1"/>
  <c r="E16" i="64" s="1"/>
  <c r="H58" i="37"/>
  <c r="H80" i="37" s="1"/>
  <c r="AA49" i="123"/>
  <c r="AB49" i="123"/>
  <c r="Y80" i="52"/>
  <c r="AL80" i="52"/>
  <c r="P18" i="47"/>
  <c r="Z18" i="47"/>
  <c r="X18" i="47"/>
  <c r="AA23" i="47"/>
  <c r="AB23" i="47"/>
  <c r="AC23" i="47" s="1"/>
  <c r="W34" i="142"/>
  <c r="X28" i="142"/>
  <c r="AB49" i="47"/>
  <c r="AC49" i="47" s="1"/>
  <c r="AA49" i="47"/>
  <c r="F92" i="112"/>
  <c r="I15" i="112"/>
  <c r="Y60" i="61"/>
  <c r="Y61" i="61" s="1"/>
  <c r="Y62" i="61" s="1"/>
  <c r="Y63" i="61" s="1"/>
  <c r="Y64" i="61" s="1"/>
  <c r="Y65" i="61" s="1"/>
  <c r="Y66" i="61" s="1"/>
  <c r="Y67" i="61" s="1"/>
  <c r="Y68" i="61" s="1"/>
  <c r="Y69" i="61" s="1"/>
  <c r="Y70" i="61" s="1"/>
  <c r="Y71" i="61" s="1"/>
  <c r="Y72" i="61" s="1"/>
  <c r="Y73" i="61" s="1"/>
  <c r="Y74" i="61" s="1"/>
  <c r="Y75" i="61" s="1"/>
  <c r="Y76" i="61" s="1"/>
  <c r="Y77" i="61" s="1"/>
  <c r="Y78" i="61" s="1"/>
  <c r="Y79" i="61" s="1"/>
  <c r="X80" i="61"/>
  <c r="X21" i="47"/>
  <c r="Z21" i="47"/>
  <c r="P21" i="47"/>
  <c r="P46" i="47"/>
  <c r="Z46" i="47"/>
  <c r="X46" i="47"/>
  <c r="AD100" i="134"/>
  <c r="AD101" i="134"/>
  <c r="H72" i="54"/>
  <c r="H80" i="54" s="1"/>
  <c r="AB60" i="47"/>
  <c r="AC60" i="47" s="1"/>
  <c r="AA60" i="47"/>
  <c r="Y52" i="62"/>
  <c r="Y53" i="62" s="1"/>
  <c r="Y54" i="62" s="1"/>
  <c r="Y55" i="62" s="1"/>
  <c r="Y56" i="62" s="1"/>
  <c r="Y57" i="62" s="1"/>
  <c r="Y58" i="62" s="1"/>
  <c r="Y59" i="62" s="1"/>
  <c r="Y60" i="62" s="1"/>
  <c r="Y61" i="62" s="1"/>
  <c r="Y62" i="62" s="1"/>
  <c r="Y63" i="62" s="1"/>
  <c r="Y64" i="62" s="1"/>
  <c r="Y65" i="62" s="1"/>
  <c r="Y66" i="62" s="1"/>
  <c r="Y67" i="62" s="1"/>
  <c r="Y68" i="62" s="1"/>
  <c r="Y69" i="62" s="1"/>
  <c r="Y70" i="62" s="1"/>
  <c r="Y71" i="62" s="1"/>
  <c r="Y72" i="62" s="1"/>
  <c r="Y73" i="62" s="1"/>
  <c r="Y74" i="62" s="1"/>
  <c r="Y75" i="62" s="1"/>
  <c r="Y76" i="62" s="1"/>
  <c r="Y77" i="62" s="1"/>
  <c r="Y78" i="62" s="1"/>
  <c r="Y79" i="62" s="1"/>
  <c r="Y80" i="62" s="1"/>
  <c r="H52" i="81"/>
  <c r="H56" i="81"/>
  <c r="AA50" i="123"/>
  <c r="AB50" i="123"/>
  <c r="M49" i="143"/>
  <c r="M49" i="142"/>
  <c r="AA91" i="47"/>
  <c r="AB91" i="47"/>
  <c r="AC91" i="47" s="1"/>
  <c r="AB203" i="47"/>
  <c r="AC203" i="47" s="1"/>
  <c r="AA203" i="47"/>
  <c r="AA230" i="47"/>
  <c r="AB230" i="47"/>
  <c r="AC230" i="47" s="1"/>
  <c r="AB321" i="47"/>
  <c r="AC321" i="47" s="1"/>
  <c r="AA321" i="47"/>
  <c r="AA302" i="47"/>
  <c r="AB302" i="47"/>
  <c r="AC302" i="47" s="1"/>
  <c r="AA131" i="47"/>
  <c r="AB131" i="47"/>
  <c r="AC131" i="47" s="1"/>
  <c r="AB303" i="47"/>
  <c r="AC303" i="47" s="1"/>
  <c r="AA303" i="47"/>
  <c r="AA320" i="47"/>
  <c r="AB320" i="47"/>
  <c r="AC320" i="47" s="1"/>
  <c r="I16" i="112"/>
  <c r="F93" i="112"/>
  <c r="Y55" i="60"/>
  <c r="Y56" i="60" s="1"/>
  <c r="Y57" i="60" s="1"/>
  <c r="Y58" i="60" s="1"/>
  <c r="Y59" i="60" s="1"/>
  <c r="Y60" i="60" s="1"/>
  <c r="Y61" i="60" s="1"/>
  <c r="Y62" i="60" s="1"/>
  <c r="Y63" i="60" s="1"/>
  <c r="Y64" i="60" s="1"/>
  <c r="Y65" i="60" s="1"/>
  <c r="Y66" i="60" s="1"/>
  <c r="Y67" i="60" s="1"/>
  <c r="Y68" i="60" s="1"/>
  <c r="Y69" i="60" s="1"/>
  <c r="Y70" i="60" s="1"/>
  <c r="Y71" i="60" s="1"/>
  <c r="Y72" i="60" s="1"/>
  <c r="Y73" i="60" s="1"/>
  <c r="Y74" i="60" s="1"/>
  <c r="Y75" i="60" s="1"/>
  <c r="Y76" i="60" s="1"/>
  <c r="Y77" i="60" s="1"/>
  <c r="Y78" i="60" s="1"/>
  <c r="X80" i="60"/>
  <c r="P394" i="47"/>
  <c r="H60" i="62"/>
  <c r="H80" i="62" s="1"/>
  <c r="H80" i="66"/>
  <c r="AB95" i="47"/>
  <c r="AC95" i="47" s="1"/>
  <c r="AA95" i="47"/>
  <c r="AB154" i="47"/>
  <c r="AC154" i="47" s="1"/>
  <c r="AA154" i="47"/>
  <c r="AB266" i="47"/>
  <c r="AC266" i="47" s="1"/>
  <c r="AA266" i="47"/>
  <c r="AA113" i="47"/>
  <c r="AB113" i="47"/>
  <c r="AC113" i="47" s="1"/>
  <c r="AA26" i="47"/>
  <c r="AB26" i="47"/>
  <c r="AC26" i="47" s="1"/>
  <c r="G69" i="41"/>
  <c r="G67" i="41"/>
  <c r="G54" i="41"/>
  <c r="G79" i="41"/>
  <c r="G61" i="41"/>
  <c r="G72" i="41"/>
  <c r="G73" i="41"/>
  <c r="G51" i="41"/>
  <c r="G50" i="41"/>
  <c r="G74" i="41"/>
  <c r="G63" i="41"/>
  <c r="G78" i="41"/>
  <c r="G71" i="41"/>
  <c r="G56" i="41"/>
  <c r="G57" i="41"/>
  <c r="G59" i="41"/>
  <c r="G66" i="41"/>
  <c r="O50" i="47"/>
  <c r="G58" i="41"/>
  <c r="G68" i="41"/>
  <c r="G62" i="41"/>
  <c r="G49" i="41"/>
  <c r="G76" i="41"/>
  <c r="G75" i="41"/>
  <c r="G64" i="41"/>
  <c r="G60" i="41"/>
  <c r="G55" i="41"/>
  <c r="G65" i="41"/>
  <c r="G52" i="41"/>
  <c r="G70" i="41"/>
  <c r="G53" i="41"/>
  <c r="G77" i="41"/>
  <c r="K50" i="47"/>
  <c r="X42" i="47"/>
  <c r="Z42" i="47"/>
  <c r="P42" i="47"/>
  <c r="L32" i="34"/>
  <c r="L34" i="34" s="1"/>
  <c r="M32" i="34"/>
  <c r="M34" i="34" s="1"/>
  <c r="K34" i="34"/>
  <c r="L51" i="142"/>
  <c r="M51" i="142" s="1"/>
  <c r="N51" i="142" s="1"/>
  <c r="Y80" i="38"/>
  <c r="Y46" i="39" s="1"/>
  <c r="Y49" i="39" s="1"/>
  <c r="Y50" i="39" s="1"/>
  <c r="Y51" i="39" s="1"/>
  <c r="Y52" i="39" s="1"/>
  <c r="Y53" i="39" s="1"/>
  <c r="Y54" i="39" s="1"/>
  <c r="Y55" i="39" s="1"/>
  <c r="Y56" i="39" s="1"/>
  <c r="Y57" i="39" s="1"/>
  <c r="Y58" i="39" s="1"/>
  <c r="Y59" i="39" s="1"/>
  <c r="Y60" i="39" s="1"/>
  <c r="Y61" i="39" s="1"/>
  <c r="Y62" i="39" s="1"/>
  <c r="Y63" i="39" s="1"/>
  <c r="Y64" i="39" s="1"/>
  <c r="Y65" i="39" s="1"/>
  <c r="Y66" i="39" s="1"/>
  <c r="Y67" i="39" s="1"/>
  <c r="Y68" i="39" s="1"/>
  <c r="Y69" i="39" s="1"/>
  <c r="Y70" i="39" s="1"/>
  <c r="Y71" i="39" s="1"/>
  <c r="Y72" i="39" s="1"/>
  <c r="Y73" i="39" s="1"/>
  <c r="Y74" i="39" s="1"/>
  <c r="Y75" i="39" s="1"/>
  <c r="Y76" i="39" s="1"/>
  <c r="Y77" i="39" s="1"/>
  <c r="Y78" i="39" s="1"/>
  <c r="Y80" i="39" s="1"/>
  <c r="Y46" i="40" s="1"/>
  <c r="Y49" i="40" s="1"/>
  <c r="Y50" i="40" s="1"/>
  <c r="Y51" i="40" s="1"/>
  <c r="Y52" i="40" s="1"/>
  <c r="Y53" i="40" s="1"/>
  <c r="Y54" i="40" s="1"/>
  <c r="Y55" i="40" s="1"/>
  <c r="Y56" i="40" s="1"/>
  <c r="Y57" i="40" s="1"/>
  <c r="Y58" i="40" s="1"/>
  <c r="Y59" i="40" s="1"/>
  <c r="Y60" i="40" s="1"/>
  <c r="Y61" i="40" s="1"/>
  <c r="Y62" i="40" s="1"/>
  <c r="Y63" i="40" s="1"/>
  <c r="Y64" i="40" s="1"/>
  <c r="Y65" i="40" s="1"/>
  <c r="Y66" i="40" s="1"/>
  <c r="Y67" i="40" s="1"/>
  <c r="Y68" i="40" s="1"/>
  <c r="Y69" i="40" s="1"/>
  <c r="Y70" i="40" s="1"/>
  <c r="Y71" i="40" s="1"/>
  <c r="Y72" i="40" s="1"/>
  <c r="Y73" i="40" s="1"/>
  <c r="Y74" i="40" s="1"/>
  <c r="Y75" i="40" s="1"/>
  <c r="Y76" i="40" s="1"/>
  <c r="Y77" i="40" s="1"/>
  <c r="Y78" i="40" s="1"/>
  <c r="Y79" i="40" s="1"/>
  <c r="AL80" i="38"/>
  <c r="J15" i="110"/>
  <c r="K15" i="110" s="1"/>
  <c r="M30" i="110"/>
  <c r="M31" i="110"/>
  <c r="N31" i="110" s="1"/>
  <c r="Y31" i="110" s="1"/>
  <c r="L55" i="138"/>
  <c r="M51" i="138"/>
  <c r="L44" i="138"/>
  <c r="M41" i="138"/>
  <c r="X39" i="47"/>
  <c r="P39" i="47"/>
  <c r="Z39" i="47"/>
  <c r="AA169" i="47"/>
  <c r="AB169" i="47"/>
  <c r="AC169" i="47" s="1"/>
  <c r="AA187" i="47"/>
  <c r="AB187" i="47"/>
  <c r="AC187" i="47" s="1"/>
  <c r="AA129" i="47"/>
  <c r="AB129" i="47"/>
  <c r="AC129" i="47" s="1"/>
  <c r="AB218" i="47"/>
  <c r="AC218" i="47" s="1"/>
  <c r="AA218" i="47"/>
  <c r="AB312" i="47"/>
  <c r="AC312" i="47" s="1"/>
  <c r="AA312" i="47"/>
  <c r="Q44" i="104"/>
  <c r="Q45" i="104" s="1"/>
  <c r="H58" i="73"/>
  <c r="H70" i="73"/>
  <c r="H71" i="73"/>
  <c r="H56" i="73"/>
  <c r="H79" i="73"/>
  <c r="H60" i="73"/>
  <c r="H51" i="73"/>
  <c r="H63" i="73"/>
  <c r="J27" i="47"/>
  <c r="D56" i="42"/>
  <c r="D54" i="42"/>
  <c r="D58" i="42"/>
  <c r="D67" i="42"/>
  <c r="D53" i="42"/>
  <c r="D50" i="42"/>
  <c r="D49" i="42"/>
  <c r="D69" i="42"/>
  <c r="D55" i="42"/>
  <c r="D65" i="42"/>
  <c r="D52" i="42"/>
  <c r="D64" i="42"/>
  <c r="D73" i="42"/>
  <c r="D78" i="42"/>
  <c r="D72" i="42"/>
  <c r="D68" i="42"/>
  <c r="D62" i="42"/>
  <c r="D70" i="42"/>
  <c r="D51" i="42"/>
  <c r="D71" i="42"/>
  <c r="D75" i="42"/>
  <c r="D74" i="42"/>
  <c r="D63" i="42"/>
  <c r="D59" i="42"/>
  <c r="D66" i="42"/>
  <c r="D77" i="42"/>
  <c r="D57" i="42"/>
  <c r="D61" i="42"/>
  <c r="D76" i="42"/>
  <c r="J51" i="47"/>
  <c r="D60" i="42"/>
  <c r="H75" i="44"/>
  <c r="H58" i="44"/>
  <c r="H60" i="44"/>
  <c r="H76" i="44"/>
  <c r="H49" i="44"/>
  <c r="D80" i="44"/>
  <c r="D15" i="44" s="1"/>
  <c r="E15" i="44" s="1"/>
  <c r="H70" i="44"/>
  <c r="H56" i="44"/>
  <c r="H68" i="70"/>
  <c r="H80" i="70" s="1"/>
  <c r="I102" i="149"/>
  <c r="AL80" i="69"/>
  <c r="Y80" i="69"/>
  <c r="H50" i="68"/>
  <c r="H74" i="68"/>
  <c r="H62" i="68"/>
  <c r="H75" i="68"/>
  <c r="H57" i="68"/>
  <c r="H63" i="68"/>
  <c r="H59" i="68"/>
  <c r="H53" i="68"/>
  <c r="AA92" i="47"/>
  <c r="AB92" i="47"/>
  <c r="AC92" i="47" s="1"/>
  <c r="AA301" i="47"/>
  <c r="AB301" i="47"/>
  <c r="AC301" i="47" s="1"/>
  <c r="AA125" i="47"/>
  <c r="AB125" i="47"/>
  <c r="AC125" i="47" s="1"/>
  <c r="AA278" i="47"/>
  <c r="AB278" i="47"/>
  <c r="AC278" i="47" s="1"/>
  <c r="AA197" i="47"/>
  <c r="AB197" i="47"/>
  <c r="AC197" i="47" s="1"/>
  <c r="M45" i="104"/>
  <c r="M41" i="40"/>
  <c r="M45" i="40" s="1"/>
  <c r="E49" i="47" s="1"/>
  <c r="F49" i="47" s="1"/>
  <c r="L45" i="40"/>
  <c r="H49" i="47" s="1"/>
  <c r="I49" i="47" s="1"/>
  <c r="I102" i="153"/>
  <c r="N28" i="143"/>
  <c r="N34" i="143" s="1"/>
  <c r="M34" i="143"/>
  <c r="AA107" i="47"/>
  <c r="AB107" i="47"/>
  <c r="AC107" i="47" s="1"/>
  <c r="AB279" i="47"/>
  <c r="AC279" i="47" s="1"/>
  <c r="AA279" i="47"/>
  <c r="D80" i="52"/>
  <c r="D15" i="52" s="1"/>
  <c r="E15" i="52" s="1"/>
  <c r="H49" i="52"/>
  <c r="P393" i="47"/>
  <c r="E11" i="62"/>
  <c r="L42" i="62" s="1"/>
  <c r="M42" i="62" s="1"/>
  <c r="I102" i="148"/>
  <c r="AL80" i="75"/>
  <c r="Y80" i="75"/>
  <c r="AA83" i="47"/>
  <c r="AB83" i="47"/>
  <c r="AC83" i="47" s="1"/>
  <c r="AB153" i="47"/>
  <c r="AC153" i="47" s="1"/>
  <c r="AA153" i="47"/>
  <c r="AA156" i="47"/>
  <c r="AB156" i="47"/>
  <c r="AC156" i="47" s="1"/>
  <c r="AB298" i="47"/>
  <c r="AC298" i="47" s="1"/>
  <c r="AA298" i="47"/>
  <c r="AA252" i="47"/>
  <c r="AB252" i="47"/>
  <c r="AC252" i="47" s="1"/>
  <c r="AB246" i="47"/>
  <c r="AC246" i="47" s="1"/>
  <c r="AA246" i="47"/>
  <c r="AB317" i="47"/>
  <c r="AC317" i="47" s="1"/>
  <c r="AA317" i="47"/>
  <c r="AB135" i="47"/>
  <c r="AC135" i="47" s="1"/>
  <c r="AA135" i="47"/>
  <c r="AB88" i="47"/>
  <c r="AC88" i="47" s="1"/>
  <c r="AA88" i="47"/>
  <c r="AB175" i="47"/>
  <c r="AC175" i="47" s="1"/>
  <c r="AA175" i="47"/>
  <c r="AA257" i="47"/>
  <c r="AB257" i="47"/>
  <c r="AC257" i="47" s="1"/>
  <c r="AA196" i="47"/>
  <c r="AB196" i="47"/>
  <c r="AC196" i="47" s="1"/>
  <c r="D68" i="41"/>
  <c r="D79" i="41"/>
  <c r="H79" i="41" s="1"/>
  <c r="D53" i="41"/>
  <c r="D58" i="41"/>
  <c r="D69" i="41"/>
  <c r="D55" i="41"/>
  <c r="D63" i="41"/>
  <c r="D49" i="41"/>
  <c r="D54" i="41"/>
  <c r="D60" i="41"/>
  <c r="D77" i="41"/>
  <c r="H77" i="41" s="1"/>
  <c r="D72" i="41"/>
  <c r="D52" i="41"/>
  <c r="D65" i="41"/>
  <c r="D71" i="41"/>
  <c r="H71" i="41" s="1"/>
  <c r="D66" i="41"/>
  <c r="D76" i="41"/>
  <c r="D50" i="41"/>
  <c r="D70" i="41"/>
  <c r="D62" i="41"/>
  <c r="D61" i="41"/>
  <c r="D59" i="41"/>
  <c r="H59" i="41" s="1"/>
  <c r="D74" i="41"/>
  <c r="D78" i="41"/>
  <c r="D67" i="41"/>
  <c r="H67" i="41" s="1"/>
  <c r="D57" i="41"/>
  <c r="J50" i="47"/>
  <c r="D64" i="41"/>
  <c r="D51" i="41"/>
  <c r="H51" i="41" s="1"/>
  <c r="D73" i="41"/>
  <c r="D56" i="41"/>
  <c r="D75" i="41"/>
  <c r="H75" i="41" s="1"/>
  <c r="Y41" i="124"/>
  <c r="Y44" i="124" s="1"/>
  <c r="X44" i="124"/>
  <c r="H80" i="61"/>
  <c r="I102" i="151"/>
  <c r="Y80" i="45"/>
  <c r="AL80" i="45"/>
  <c r="AB35" i="47"/>
  <c r="AC35" i="47" s="1"/>
  <c r="AA35" i="47"/>
  <c r="AA104" i="47"/>
  <c r="AB104" i="47"/>
  <c r="AC104" i="47" s="1"/>
  <c r="AA120" i="47"/>
  <c r="AB120" i="47"/>
  <c r="AC120" i="47" s="1"/>
  <c r="AA259" i="47"/>
  <c r="AB259" i="47"/>
  <c r="AC259" i="47" s="1"/>
  <c r="AB148" i="47"/>
  <c r="AC148" i="47" s="1"/>
  <c r="AA148" i="47"/>
  <c r="AA110" i="47"/>
  <c r="AB110" i="47"/>
  <c r="AC110" i="47" s="1"/>
  <c r="AB234" i="47"/>
  <c r="AC234" i="47" s="1"/>
  <c r="AA234" i="47"/>
  <c r="AA205" i="47"/>
  <c r="AB205" i="47"/>
  <c r="AC205" i="47" s="1"/>
  <c r="AB308" i="47"/>
  <c r="AC308" i="47" s="1"/>
  <c r="AA308" i="47"/>
  <c r="X55" i="138"/>
  <c r="Y51" i="138"/>
  <c r="Y55" i="138" s="1"/>
  <c r="H57" i="73"/>
  <c r="H54" i="73"/>
  <c r="H61" i="73"/>
  <c r="H78" i="73"/>
  <c r="H67" i="73"/>
  <c r="H68" i="73"/>
  <c r="H75" i="73"/>
  <c r="H77" i="73"/>
  <c r="Z17" i="47"/>
  <c r="P17" i="47"/>
  <c r="X17" i="47"/>
  <c r="H80" i="106"/>
  <c r="H61" i="44"/>
  <c r="H59" i="44"/>
  <c r="H77" i="44"/>
  <c r="H74" i="44"/>
  <c r="H62" i="44"/>
  <c r="H78" i="44"/>
  <c r="H71" i="44"/>
  <c r="X24" i="47"/>
  <c r="Z24" i="47"/>
  <c r="P24" i="47"/>
  <c r="H64" i="68"/>
  <c r="H71" i="68"/>
  <c r="H52" i="68"/>
  <c r="H58" i="68"/>
  <c r="H72" i="68"/>
  <c r="H76" i="68"/>
  <c r="H67" i="68"/>
  <c r="Y28" i="139"/>
  <c r="X33" i="139"/>
  <c r="Y28" i="124"/>
  <c r="X33" i="124"/>
  <c r="AB219" i="47"/>
  <c r="AC219" i="47" s="1"/>
  <c r="AA219" i="47"/>
  <c r="AA224" i="47"/>
  <c r="AB224" i="47"/>
  <c r="AC224" i="47" s="1"/>
  <c r="AB227" i="47"/>
  <c r="AC227" i="47" s="1"/>
  <c r="AA227" i="47"/>
  <c r="AB37" i="47"/>
  <c r="AC37" i="47" s="1"/>
  <c r="AA37" i="47"/>
  <c r="G80" i="52"/>
  <c r="D16" i="52" s="1"/>
  <c r="E16" i="52" s="1"/>
  <c r="P41" i="47"/>
  <c r="Z41" i="47"/>
  <c r="X41" i="47"/>
  <c r="L35" i="60"/>
  <c r="M30" i="60"/>
  <c r="M35" i="60" s="1"/>
  <c r="I102" i="147"/>
  <c r="X337" i="47"/>
  <c r="P337" i="47"/>
  <c r="Z337" i="47"/>
  <c r="Y55" i="63"/>
  <c r="Y56" i="63" s="1"/>
  <c r="Y57" i="63" s="1"/>
  <c r="Y58" i="63" s="1"/>
  <c r="Y59" i="63" s="1"/>
  <c r="Y60" i="63" s="1"/>
  <c r="Y61" i="63" s="1"/>
  <c r="Y62" i="63" s="1"/>
  <c r="Y63" i="63" s="1"/>
  <c r="Y64" i="63" s="1"/>
  <c r="Y65" i="63" s="1"/>
  <c r="Y66" i="63" s="1"/>
  <c r="Y67" i="63" s="1"/>
  <c r="Y68" i="63" s="1"/>
  <c r="Y69" i="63" s="1"/>
  <c r="Y70" i="63" s="1"/>
  <c r="Y71" i="63" s="1"/>
  <c r="Y72" i="63" s="1"/>
  <c r="Y73" i="63" s="1"/>
  <c r="Y74" i="63" s="1"/>
  <c r="Y75" i="63" s="1"/>
  <c r="Y76" i="63" s="1"/>
  <c r="Y77" i="63" s="1"/>
  <c r="Y78" i="63" s="1"/>
  <c r="Y79" i="63" s="1"/>
  <c r="AB115" i="47"/>
  <c r="AC115" i="47" s="1"/>
  <c r="AA115" i="47"/>
  <c r="AB176" i="47"/>
  <c r="AC176" i="47" s="1"/>
  <c r="AA176" i="47"/>
  <c r="AA289" i="47"/>
  <c r="AB289" i="47"/>
  <c r="AC289" i="47" s="1"/>
  <c r="AA237" i="47"/>
  <c r="AB237" i="47"/>
  <c r="AC237" i="47" s="1"/>
  <c r="AA309" i="47"/>
  <c r="AB309" i="47"/>
  <c r="AC309" i="47" s="1"/>
  <c r="AB157" i="47"/>
  <c r="AC157" i="47" s="1"/>
  <c r="AA157" i="47"/>
  <c r="AA188" i="47"/>
  <c r="AB188" i="47"/>
  <c r="AC188" i="47" s="1"/>
  <c r="AB286" i="47"/>
  <c r="AC286" i="47" s="1"/>
  <c r="AA286" i="47"/>
  <c r="AA27" i="47"/>
  <c r="AB27" i="47"/>
  <c r="AC27" i="47" s="1"/>
  <c r="AA77" i="47"/>
  <c r="AB77" i="47"/>
  <c r="AC77" i="47" s="1"/>
  <c r="Q44" i="83"/>
  <c r="Z338" i="47"/>
  <c r="P338" i="47"/>
  <c r="X338" i="47"/>
  <c r="Y80" i="74"/>
  <c r="AL80" i="74"/>
  <c r="G93" i="47"/>
  <c r="G88" i="47"/>
  <c r="G172" i="47"/>
  <c r="G167" i="47"/>
  <c r="G196" i="47"/>
  <c r="G139" i="47"/>
  <c r="G205" i="47"/>
  <c r="G233" i="47"/>
  <c r="G282" i="47"/>
  <c r="G223" i="47"/>
  <c r="G114" i="47"/>
  <c r="G316" i="47"/>
  <c r="G270" i="47"/>
  <c r="G133" i="47"/>
  <c r="G128" i="47"/>
  <c r="G255" i="47"/>
  <c r="G111" i="47"/>
  <c r="G185" i="47"/>
  <c r="G211" i="47"/>
  <c r="G238" i="47"/>
  <c r="G217" i="47"/>
  <c r="G98" i="47"/>
  <c r="G143" i="47"/>
  <c r="G142" i="47"/>
  <c r="G153" i="47"/>
  <c r="G214" i="47"/>
  <c r="G188" i="47"/>
  <c r="G176" i="47"/>
  <c r="G264" i="47"/>
  <c r="G110" i="47"/>
  <c r="G271" i="47"/>
  <c r="G261" i="47"/>
  <c r="G235" i="47"/>
  <c r="G307" i="47"/>
  <c r="G245" i="47"/>
  <c r="G166" i="47"/>
  <c r="G85" i="47"/>
  <c r="G92" i="47"/>
  <c r="G200" i="47"/>
  <c r="G209" i="47"/>
  <c r="G289" i="47"/>
  <c r="G106" i="47"/>
  <c r="G265" i="47"/>
  <c r="G309" i="47"/>
  <c r="G103" i="47"/>
  <c r="G281" i="47"/>
  <c r="G99" i="47"/>
  <c r="G162" i="47"/>
  <c r="G129" i="47"/>
  <c r="G227" i="47"/>
  <c r="G182" i="47"/>
  <c r="G321" i="47"/>
  <c r="G189" i="47"/>
  <c r="G296" i="47"/>
  <c r="G147" i="47"/>
  <c r="G202" i="47"/>
  <c r="G127" i="47"/>
  <c r="G171" i="47"/>
  <c r="G266" i="47"/>
  <c r="G310" i="47"/>
  <c r="G130" i="47"/>
  <c r="G221" i="47"/>
  <c r="G79" i="47"/>
  <c r="G105" i="47"/>
  <c r="G109" i="47"/>
  <c r="G131" i="47"/>
  <c r="G204" i="47"/>
  <c r="G159" i="47"/>
  <c r="G213" i="47"/>
  <c r="G247" i="47"/>
  <c r="G292" i="47"/>
  <c r="G241" i="47"/>
  <c r="G168" i="47"/>
  <c r="G120" i="47"/>
  <c r="G288" i="47"/>
  <c r="G225" i="47"/>
  <c r="G294" i="47"/>
  <c r="G89" i="47"/>
  <c r="G163" i="47"/>
  <c r="G210" i="47"/>
  <c r="G230" i="47"/>
  <c r="G287" i="47"/>
  <c r="G83" i="47"/>
  <c r="G96" i="47"/>
  <c r="G158" i="47"/>
  <c r="G160" i="47"/>
  <c r="G190" i="47"/>
  <c r="G126" i="47"/>
  <c r="G199" i="47"/>
  <c r="G224" i="47"/>
  <c r="G274" i="47"/>
  <c r="G178" i="47"/>
  <c r="G313" i="47"/>
  <c r="G299" i="47"/>
  <c r="G252" i="47"/>
  <c r="G322" i="47"/>
  <c r="G301" i="47"/>
  <c r="G177" i="47"/>
  <c r="G100" i="47"/>
  <c r="G146" i="47"/>
  <c r="G216" i="47"/>
  <c r="G179" i="47"/>
  <c r="G124" i="47"/>
  <c r="G226" i="47"/>
  <c r="G302" i="47"/>
  <c r="G315" i="47"/>
  <c r="G194" i="47"/>
  <c r="G184" i="47"/>
  <c r="G121" i="47"/>
  <c r="G138" i="47"/>
  <c r="G181" i="47"/>
  <c r="G256" i="47"/>
  <c r="G279" i="47"/>
  <c r="G242" i="47"/>
  <c r="G280" i="47"/>
  <c r="G80" i="47"/>
  <c r="G136" i="47"/>
  <c r="G116" i="47"/>
  <c r="G240" i="47"/>
  <c r="G259" i="47"/>
  <c r="G304" i="47"/>
  <c r="G319" i="47"/>
  <c r="G323" i="47"/>
  <c r="G253" i="47"/>
  <c r="G94" i="47"/>
  <c r="G115" i="47"/>
  <c r="G141" i="47"/>
  <c r="G150" i="47"/>
  <c r="G212" i="47"/>
  <c r="G186" i="47"/>
  <c r="G169" i="47"/>
  <c r="G258" i="47"/>
  <c r="G303" i="47"/>
  <c r="G262" i="47"/>
  <c r="G260" i="47"/>
  <c r="G220" i="47"/>
  <c r="G306" i="47"/>
  <c r="G327" i="47"/>
  <c r="G164" i="47"/>
  <c r="G87" i="47"/>
  <c r="G149" i="47"/>
  <c r="G135" i="47"/>
  <c r="G269" i="47"/>
  <c r="G155" i="47"/>
  <c r="G95" i="47"/>
  <c r="G90" i="47"/>
  <c r="G174" i="47"/>
  <c r="G112" i="47"/>
  <c r="G198" i="47"/>
  <c r="G140" i="47"/>
  <c r="G207" i="47"/>
  <c r="G236" i="47"/>
  <c r="G284" i="47"/>
  <c r="G231" i="47"/>
  <c r="G123" i="47"/>
  <c r="G318" i="47"/>
  <c r="G272" i="47"/>
  <c r="G180" i="47"/>
  <c r="G232" i="47"/>
  <c r="G275" i="47"/>
  <c r="G84" i="47"/>
  <c r="G97" i="47"/>
  <c r="G118" i="47"/>
  <c r="G145" i="47"/>
  <c r="G237" i="47"/>
  <c r="G234" i="47"/>
  <c r="G312" i="47"/>
  <c r="G326" i="47"/>
  <c r="G228" i="47"/>
  <c r="G183" i="47"/>
  <c r="G108" i="47"/>
  <c r="G161" i="47"/>
  <c r="G192" i="47"/>
  <c r="G201" i="47"/>
  <c r="G276" i="47"/>
  <c r="G137" i="47"/>
  <c r="G277" i="47"/>
  <c r="G248" i="47"/>
  <c r="G107" i="47"/>
  <c r="G165" i="47"/>
  <c r="G152" i="47"/>
  <c r="G257" i="47"/>
  <c r="G246" i="47"/>
  <c r="G291" i="47"/>
  <c r="G324" i="47"/>
  <c r="G250" i="47"/>
  <c r="G317" i="47"/>
  <c r="G82" i="47"/>
  <c r="G91" i="47"/>
  <c r="G156" i="47"/>
  <c r="G151" i="47"/>
  <c r="G187" i="47"/>
  <c r="G122" i="47"/>
  <c r="G197" i="47"/>
  <c r="G222" i="47"/>
  <c r="G273" i="47"/>
  <c r="G173" i="47"/>
  <c r="G295" i="47"/>
  <c r="G283" i="47"/>
  <c r="G249" i="47"/>
  <c r="G311" i="47"/>
  <c r="G229" i="47"/>
  <c r="G154" i="47"/>
  <c r="G86" i="47"/>
  <c r="G125" i="47"/>
  <c r="G195" i="47"/>
  <c r="G300" i="47"/>
  <c r="G314" i="47"/>
  <c r="G81" i="47"/>
  <c r="G119" i="47"/>
  <c r="G113" i="47"/>
  <c r="G132" i="47"/>
  <c r="G206" i="47"/>
  <c r="G170" i="47"/>
  <c r="G215" i="47"/>
  <c r="G251" i="47"/>
  <c r="G297" i="47"/>
  <c r="G244" i="47"/>
  <c r="G218" i="47"/>
  <c r="G134" i="47"/>
  <c r="G293" i="47"/>
  <c r="G239" i="47"/>
  <c r="G305" i="47"/>
  <c r="G102" i="47"/>
  <c r="G144" i="47"/>
  <c r="G175" i="47"/>
  <c r="G193" i="47"/>
  <c r="G267" i="47"/>
  <c r="G254" i="47"/>
  <c r="G157" i="47"/>
  <c r="G278" i="47"/>
  <c r="G104" i="47"/>
  <c r="G191" i="47"/>
  <c r="G268" i="47"/>
  <c r="G117" i="47"/>
  <c r="G208" i="47"/>
  <c r="G219" i="47"/>
  <c r="G298" i="47"/>
  <c r="G263" i="47"/>
  <c r="G308" i="47"/>
  <c r="G285" i="47"/>
  <c r="G101" i="47"/>
  <c r="G148" i="47"/>
  <c r="G203" i="47"/>
  <c r="G290" i="47"/>
  <c r="G325" i="47"/>
  <c r="G320" i="47"/>
  <c r="G243" i="47"/>
  <c r="G286" i="47"/>
  <c r="W53" i="132"/>
  <c r="Q73" i="47"/>
  <c r="L50" i="132"/>
  <c r="L53" i="132"/>
  <c r="W50" i="132"/>
  <c r="L52" i="132"/>
  <c r="M52" i="132" s="1"/>
  <c r="W52" i="132"/>
  <c r="X52" i="132" s="1"/>
  <c r="Y52" i="132" s="1"/>
  <c r="Y54" i="132" s="1"/>
  <c r="AA200" i="47"/>
  <c r="AB200" i="47"/>
  <c r="AC200" i="47" s="1"/>
  <c r="AA199" i="47"/>
  <c r="AB199" i="47"/>
  <c r="AC199" i="47" s="1"/>
  <c r="AA151" i="47"/>
  <c r="AB151" i="47"/>
  <c r="AC151" i="47" s="1"/>
  <c r="AA150" i="47"/>
  <c r="AB150" i="47"/>
  <c r="AC150" i="47" s="1"/>
  <c r="AB185" i="47"/>
  <c r="AC185" i="47" s="1"/>
  <c r="AA185" i="47"/>
  <c r="M31" i="73"/>
  <c r="M35" i="73" s="1"/>
  <c r="D28" i="47" s="1"/>
  <c r="F28" i="47" s="1"/>
  <c r="L35" i="73"/>
  <c r="G28" i="47" s="1"/>
  <c r="I28" i="47" s="1"/>
  <c r="AL80" i="72"/>
  <c r="Y80" i="72"/>
  <c r="N52" i="139"/>
  <c r="N55" i="139" s="1"/>
  <c r="M55" i="139"/>
  <c r="H77" i="47" s="1"/>
  <c r="I77" i="47" s="1"/>
  <c r="G80" i="73"/>
  <c r="D16" i="73" s="1"/>
  <c r="E16" i="73" s="1"/>
  <c r="G80" i="61"/>
  <c r="D16" i="61" s="1"/>
  <c r="E16" i="61" s="1"/>
  <c r="G80" i="68"/>
  <c r="D16" i="68" s="1"/>
  <c r="E16" i="68" s="1"/>
  <c r="AA260" i="47"/>
  <c r="AB260" i="47"/>
  <c r="AC260" i="47" s="1"/>
  <c r="AA284" i="47"/>
  <c r="AB284" i="47"/>
  <c r="AC284" i="47" s="1"/>
  <c r="AA222" i="47"/>
  <c r="AB222" i="47"/>
  <c r="AC222" i="47" s="1"/>
  <c r="AA306" i="47"/>
  <c r="AB306" i="47"/>
  <c r="AC306" i="47" s="1"/>
  <c r="X28" i="134"/>
  <c r="W33" i="134"/>
  <c r="H50" i="73"/>
  <c r="H72" i="73"/>
  <c r="H73" i="73"/>
  <c r="D80" i="73"/>
  <c r="D15" i="73" s="1"/>
  <c r="E15" i="73" s="1"/>
  <c r="H49" i="73"/>
  <c r="H65" i="73"/>
  <c r="H76" i="73"/>
  <c r="H69" i="73"/>
  <c r="H65" i="44"/>
  <c r="H67" i="44"/>
  <c r="H53" i="44"/>
  <c r="H68" i="44"/>
  <c r="H54" i="44"/>
  <c r="H73" i="44"/>
  <c r="H72" i="44"/>
  <c r="H57" i="44"/>
  <c r="Z335" i="47"/>
  <c r="X335" i="47"/>
  <c r="P335" i="47"/>
  <c r="H55" i="68"/>
  <c r="H77" i="68"/>
  <c r="H61" i="68"/>
  <c r="H66" i="68"/>
  <c r="H73" i="68"/>
  <c r="H51" i="68"/>
  <c r="H68" i="68"/>
  <c r="H69" i="68"/>
  <c r="O396" i="47"/>
  <c r="AB109" i="47"/>
  <c r="AC109" i="47" s="1"/>
  <c r="AA109" i="47"/>
  <c r="AA100" i="47"/>
  <c r="AB100" i="47"/>
  <c r="AC100" i="47" s="1"/>
  <c r="AB190" i="47"/>
  <c r="AC190" i="47" s="1"/>
  <c r="AA190" i="47"/>
  <c r="AB206" i="47"/>
  <c r="AC206" i="47" s="1"/>
  <c r="AA206" i="47"/>
  <c r="AB280" i="47"/>
  <c r="AC280" i="47" s="1"/>
  <c r="AA280" i="47"/>
  <c r="AB295" i="47"/>
  <c r="AC295" i="47" s="1"/>
  <c r="AA295" i="47"/>
  <c r="AA311" i="47"/>
  <c r="AB251" i="47"/>
  <c r="AC251" i="47" s="1"/>
  <c r="AA251" i="47"/>
  <c r="AA124" i="47"/>
  <c r="AB124" i="47"/>
  <c r="AC124" i="47" s="1"/>
  <c r="AB121" i="47"/>
  <c r="AC121" i="47" s="1"/>
  <c r="AA121" i="47"/>
  <c r="AA288" i="47"/>
  <c r="AB288" i="47"/>
  <c r="AC288" i="47" s="1"/>
  <c r="AA232" i="47"/>
  <c r="AB232" i="47"/>
  <c r="AC232" i="47" s="1"/>
  <c r="X28" i="133"/>
  <c r="W33" i="133"/>
  <c r="W35" i="133" s="1"/>
  <c r="L53" i="143"/>
  <c r="M53" i="143" s="1"/>
  <c r="Q78" i="47"/>
  <c r="L52" i="143"/>
  <c r="M52" i="143" s="1"/>
  <c r="N52" i="143" s="1"/>
  <c r="AB15" i="47"/>
  <c r="AC15" i="47" s="1"/>
  <c r="AA15" i="47"/>
  <c r="H80" i="63"/>
  <c r="AA132" i="47"/>
  <c r="AB132" i="47"/>
  <c r="AC132" i="47" s="1"/>
  <c r="AB140" i="47"/>
  <c r="AC140" i="47" s="1"/>
  <c r="AA140" i="47"/>
  <c r="AA170" i="47"/>
  <c r="AB170" i="47"/>
  <c r="AC170" i="47" s="1"/>
  <c r="AA231" i="47"/>
  <c r="AB231" i="47"/>
  <c r="AC231" i="47" s="1"/>
  <c r="AB144" i="47"/>
  <c r="AC144" i="47" s="1"/>
  <c r="AA144" i="47"/>
  <c r="AA229" i="47"/>
  <c r="AB229" i="47"/>
  <c r="AC229" i="47" s="1"/>
  <c r="AA247" i="47"/>
  <c r="P395" i="47"/>
  <c r="P14" i="47"/>
  <c r="Z14" i="47"/>
  <c r="X14" i="47"/>
  <c r="M31" i="64"/>
  <c r="M35" i="64" s="1"/>
  <c r="D18" i="47" s="1"/>
  <c r="F18" i="47" s="1"/>
  <c r="L35" i="64"/>
  <c r="G18" i="47" s="1"/>
  <c r="I18" i="47" s="1"/>
  <c r="V33" i="143"/>
  <c r="V34" i="143" s="1"/>
  <c r="Y80" i="109"/>
  <c r="AL80" i="109"/>
  <c r="AB192" i="47"/>
  <c r="AC192" i="47" s="1"/>
  <c r="AA192" i="47"/>
  <c r="AB255" i="47"/>
  <c r="AC255" i="47" s="1"/>
  <c r="AA255" i="47"/>
  <c r="AB155" i="47"/>
  <c r="AC155" i="47" s="1"/>
  <c r="AA155" i="47"/>
  <c r="AB299" i="47"/>
  <c r="AC299" i="47" s="1"/>
  <c r="AA299" i="47"/>
  <c r="AA319" i="47"/>
  <c r="AB319" i="47"/>
  <c r="AC319" i="47" s="1"/>
  <c r="G80" i="44"/>
  <c r="D16" i="44" s="1"/>
  <c r="E16" i="44" s="1"/>
  <c r="Y39" i="139"/>
  <c r="Y44" i="139" s="1"/>
  <c r="X44" i="139"/>
  <c r="Q328" i="47"/>
  <c r="L53" i="142"/>
  <c r="M53" i="142" s="1"/>
  <c r="N53" i="142" s="1"/>
  <c r="V54" i="142"/>
  <c r="W49" i="142" s="1"/>
  <c r="M30" i="62"/>
  <c r="M35" i="62" s="1"/>
  <c r="D14" i="47" s="1"/>
  <c r="L35" i="62"/>
  <c r="G14" i="47" s="1"/>
  <c r="AL80" i="36"/>
  <c r="Y80" i="36"/>
  <c r="Z76" i="47"/>
  <c r="P76" i="47"/>
  <c r="X76" i="47"/>
  <c r="Z40" i="47"/>
  <c r="X40" i="47"/>
  <c r="P40" i="47"/>
  <c r="AA36" i="47"/>
  <c r="AB36" i="47"/>
  <c r="AC36" i="47" s="1"/>
  <c r="AA86" i="47"/>
  <c r="AB86" i="47"/>
  <c r="AC86" i="47" s="1"/>
  <c r="AA172" i="47"/>
  <c r="AB172" i="47"/>
  <c r="AC172" i="47" s="1"/>
  <c r="AB165" i="47"/>
  <c r="AC165" i="47" s="1"/>
  <c r="AA165" i="47"/>
  <c r="AA269" i="47"/>
  <c r="AB269" i="47"/>
  <c r="AC269" i="47" s="1"/>
  <c r="AA270" i="47"/>
  <c r="AB270" i="47"/>
  <c r="AC270" i="47" s="1"/>
  <c r="AA84" i="47"/>
  <c r="AB84" i="47"/>
  <c r="AC84" i="47" s="1"/>
  <c r="AA166" i="47"/>
  <c r="AB166" i="47"/>
  <c r="AC166" i="47" s="1"/>
  <c r="AB161" i="47"/>
  <c r="AC161" i="47" s="1"/>
  <c r="AA161" i="47"/>
  <c r="AB273" i="47"/>
  <c r="AC273" i="47" s="1"/>
  <c r="AA273" i="47"/>
  <c r="AB209" i="47"/>
  <c r="AC209" i="47" s="1"/>
  <c r="AA209" i="47"/>
  <c r="H62" i="73"/>
  <c r="H59" i="73"/>
  <c r="H52" i="73"/>
  <c r="H66" i="73"/>
  <c r="H55" i="73"/>
  <c r="H53" i="73"/>
  <c r="H64" i="73"/>
  <c r="H74" i="73"/>
  <c r="H115" i="49"/>
  <c r="H116" i="49" s="1"/>
  <c r="G77" i="42"/>
  <c r="G57" i="42"/>
  <c r="G53" i="42"/>
  <c r="G75" i="42"/>
  <c r="G63" i="42"/>
  <c r="G70" i="42"/>
  <c r="G67" i="42"/>
  <c r="G60" i="42"/>
  <c r="G55" i="42"/>
  <c r="G51" i="42"/>
  <c r="G56" i="42"/>
  <c r="G78" i="42"/>
  <c r="G52" i="42"/>
  <c r="G69" i="42"/>
  <c r="G54" i="42"/>
  <c r="O27" i="47"/>
  <c r="G59" i="42"/>
  <c r="G72" i="42"/>
  <c r="G49" i="42"/>
  <c r="G50" i="42"/>
  <c r="G66" i="42"/>
  <c r="G62" i="42"/>
  <c r="G58" i="42"/>
  <c r="G71" i="42"/>
  <c r="G64" i="42"/>
  <c r="K27" i="47"/>
  <c r="G61" i="42"/>
  <c r="G65" i="42"/>
  <c r="G74" i="42"/>
  <c r="G68" i="42"/>
  <c r="G76" i="42"/>
  <c r="K51" i="47"/>
  <c r="G73" i="42"/>
  <c r="O51" i="47"/>
  <c r="H51" i="44"/>
  <c r="H55" i="44"/>
  <c r="H69" i="44"/>
  <c r="H50" i="44"/>
  <c r="H64" i="44"/>
  <c r="H66" i="44"/>
  <c r="H63" i="44"/>
  <c r="H52" i="44"/>
  <c r="J17" i="140"/>
  <c r="K17" i="140" s="1"/>
  <c r="L19" i="140" s="1"/>
  <c r="H60" i="68"/>
  <c r="H54" i="68"/>
  <c r="H70" i="68"/>
  <c r="H65" i="68"/>
  <c r="H56" i="68"/>
  <c r="H78" i="68"/>
  <c r="H49" i="68"/>
  <c r="D80" i="68"/>
  <c r="D15" i="68" s="1"/>
  <c r="E15" i="68" s="1"/>
  <c r="AL80" i="64"/>
  <c r="Y80" i="64"/>
  <c r="AA127" i="47"/>
  <c r="AB127" i="47"/>
  <c r="AC127" i="47" s="1"/>
  <c r="AA327" i="47"/>
  <c r="AB327" i="47"/>
  <c r="AC327" i="47" s="1"/>
  <c r="AA265" i="47"/>
  <c r="AB265" i="47"/>
  <c r="AC265" i="47" s="1"/>
  <c r="AB85" i="47"/>
  <c r="AC85" i="47" s="1"/>
  <c r="AA85" i="47"/>
  <c r="AA198" i="47"/>
  <c r="AB198" i="47"/>
  <c r="AC198" i="47" s="1"/>
  <c r="AB254" i="47"/>
  <c r="AC254" i="47" s="1"/>
  <c r="AA254" i="47"/>
  <c r="H55" i="60"/>
  <c r="H80" i="60" s="1"/>
  <c r="Q42" i="83"/>
  <c r="Q45" i="83" s="1"/>
  <c r="M45" i="83"/>
  <c r="W33" i="132"/>
  <c r="W35" i="132" s="1"/>
  <c r="X28" i="132"/>
  <c r="W49" i="143"/>
  <c r="W52" i="143"/>
  <c r="X52" i="143" s="1"/>
  <c r="Y52" i="143" s="1"/>
  <c r="H57" i="41" l="1"/>
  <c r="E29" i="47"/>
  <c r="F29" i="47" s="1"/>
  <c r="E53" i="47"/>
  <c r="F53" i="47" s="1"/>
  <c r="AB238" i="47"/>
  <c r="AC238" i="47" s="1"/>
  <c r="AA238" i="47"/>
  <c r="H74" i="35"/>
  <c r="H53" i="47"/>
  <c r="I53" i="47" s="1"/>
  <c r="H29" i="47"/>
  <c r="I29" i="47" s="1"/>
  <c r="H62" i="41"/>
  <c r="H52" i="39"/>
  <c r="H53" i="58"/>
  <c r="H61" i="67"/>
  <c r="X52" i="147"/>
  <c r="Y52" i="147" s="1"/>
  <c r="X53" i="147"/>
  <c r="Y53" i="147" s="1"/>
  <c r="M51" i="148"/>
  <c r="N51" i="148" s="1"/>
  <c r="M53" i="146"/>
  <c r="N53" i="146" s="1"/>
  <c r="H30" i="47"/>
  <c r="H43" i="47"/>
  <c r="AA50" i="47"/>
  <c r="AB50" i="47"/>
  <c r="AC50" i="47" s="1"/>
  <c r="M49" i="149"/>
  <c r="N49" i="149" s="1"/>
  <c r="H65" i="35"/>
  <c r="H59" i="35"/>
  <c r="H69" i="35"/>
  <c r="H75" i="35"/>
  <c r="H58" i="35"/>
  <c r="H51" i="35"/>
  <c r="X49" i="147"/>
  <c r="Y49" i="147" s="1"/>
  <c r="M51" i="147"/>
  <c r="N51" i="147" s="1"/>
  <c r="M49" i="148"/>
  <c r="N49" i="148" s="1"/>
  <c r="E43" i="47"/>
  <c r="E30" i="47"/>
  <c r="G80" i="35"/>
  <c r="D16" i="35" s="1"/>
  <c r="E16" i="35" s="1"/>
  <c r="M49" i="146"/>
  <c r="N49" i="146" s="1"/>
  <c r="H71" i="35"/>
  <c r="H52" i="35"/>
  <c r="H55" i="35"/>
  <c r="H56" i="35"/>
  <c r="H66" i="35"/>
  <c r="H57" i="35"/>
  <c r="H63" i="35"/>
  <c r="H50" i="41"/>
  <c r="H77" i="57"/>
  <c r="H61" i="57"/>
  <c r="H79" i="57"/>
  <c r="H80" i="75"/>
  <c r="X51" i="147"/>
  <c r="Y51" i="147" s="1"/>
  <c r="M53" i="147"/>
  <c r="N53" i="147" s="1"/>
  <c r="M53" i="148"/>
  <c r="N53" i="148" s="1"/>
  <c r="M53" i="149"/>
  <c r="N53" i="149" s="1"/>
  <c r="H49" i="35"/>
  <c r="D80" i="35"/>
  <c r="D15" i="35" s="1"/>
  <c r="E15" i="35" s="1"/>
  <c r="H50" i="35"/>
  <c r="H60" i="35"/>
  <c r="H53" i="35"/>
  <c r="H68" i="35"/>
  <c r="H77" i="35"/>
  <c r="M49" i="150"/>
  <c r="N49" i="150" s="1"/>
  <c r="H61" i="41"/>
  <c r="H52" i="41"/>
  <c r="AL80" i="59"/>
  <c r="H60" i="39"/>
  <c r="H76" i="58"/>
  <c r="H64" i="58"/>
  <c r="H58" i="58"/>
  <c r="H78" i="57"/>
  <c r="H71" i="57"/>
  <c r="X50" i="147"/>
  <c r="Y50" i="147" s="1"/>
  <c r="M49" i="147"/>
  <c r="N49" i="147" s="1"/>
  <c r="M51" i="150"/>
  <c r="N51" i="150" s="1"/>
  <c r="H73" i="35"/>
  <c r="H76" i="35"/>
  <c r="H64" i="35"/>
  <c r="H72" i="35"/>
  <c r="H67" i="35"/>
  <c r="H61" i="35"/>
  <c r="AA210" i="47"/>
  <c r="AB307" i="47"/>
  <c r="AC307" i="47" s="1"/>
  <c r="AB174" i="47"/>
  <c r="AC174" i="47" s="1"/>
  <c r="AA293" i="47"/>
  <c r="M49" i="140"/>
  <c r="N49" i="140" s="1"/>
  <c r="AB152" i="47"/>
  <c r="AC152" i="47" s="1"/>
  <c r="X49" i="140"/>
  <c r="Y49" i="140" s="1"/>
  <c r="X53" i="140"/>
  <c r="Y53" i="140" s="1"/>
  <c r="AA291" i="47"/>
  <c r="AA102" i="47"/>
  <c r="AB211" i="47"/>
  <c r="AC211" i="47" s="1"/>
  <c r="X50" i="140"/>
  <c r="Y50" i="140" s="1"/>
  <c r="AA316" i="47"/>
  <c r="AB186" i="47"/>
  <c r="AC186" i="47" s="1"/>
  <c r="AB179" i="47"/>
  <c r="AC179" i="47" s="1"/>
  <c r="AA300" i="47"/>
  <c r="AB106" i="47"/>
  <c r="AC106" i="47" s="1"/>
  <c r="AA94" i="47"/>
  <c r="AA103" i="47"/>
  <c r="AB103" i="47"/>
  <c r="AC103" i="47" s="1"/>
  <c r="X49" i="153"/>
  <c r="Y49" i="153" s="1"/>
  <c r="X52" i="153"/>
  <c r="Y52" i="153" s="1"/>
  <c r="M53" i="153"/>
  <c r="N53" i="153" s="1"/>
  <c r="X53" i="153"/>
  <c r="Y53" i="153" s="1"/>
  <c r="X50" i="153"/>
  <c r="Y50" i="153" s="1"/>
  <c r="M51" i="153"/>
  <c r="N51" i="153" s="1"/>
  <c r="X51" i="153"/>
  <c r="Y51" i="153" s="1"/>
  <c r="X51" i="151"/>
  <c r="Y51" i="151" s="1"/>
  <c r="X53" i="151"/>
  <c r="Y53" i="151" s="1"/>
  <c r="M51" i="151"/>
  <c r="N51" i="151" s="1"/>
  <c r="X49" i="151"/>
  <c r="Y49" i="151" s="1"/>
  <c r="X52" i="151"/>
  <c r="Y52" i="151" s="1"/>
  <c r="M49" i="151"/>
  <c r="N49" i="151" s="1"/>
  <c r="X50" i="151"/>
  <c r="Y50" i="151" s="1"/>
  <c r="X51" i="150"/>
  <c r="Y51" i="150" s="1"/>
  <c r="X49" i="150"/>
  <c r="Y49" i="150" s="1"/>
  <c r="X53" i="150"/>
  <c r="Y53" i="150" s="1"/>
  <c r="X52" i="150"/>
  <c r="Y52" i="150" s="1"/>
  <c r="X50" i="150"/>
  <c r="Y50" i="150" s="1"/>
  <c r="X51" i="149"/>
  <c r="Y51" i="149" s="1"/>
  <c r="X52" i="149"/>
  <c r="Y52" i="149" s="1"/>
  <c r="X49" i="149"/>
  <c r="Y49" i="149" s="1"/>
  <c r="X53" i="149"/>
  <c r="Y53" i="149" s="1"/>
  <c r="X50" i="149"/>
  <c r="Y50" i="149" s="1"/>
  <c r="X49" i="148"/>
  <c r="Y49" i="148" s="1"/>
  <c r="X52" i="148"/>
  <c r="Y52" i="148" s="1"/>
  <c r="X50" i="148"/>
  <c r="Y50" i="148" s="1"/>
  <c r="X53" i="148"/>
  <c r="Y53" i="148" s="1"/>
  <c r="X51" i="148"/>
  <c r="Y51" i="148" s="1"/>
  <c r="AA283" i="47"/>
  <c r="AB283" i="47"/>
  <c r="AC283" i="47" s="1"/>
  <c r="AA253" i="47"/>
  <c r="AB253" i="47"/>
  <c r="AC253" i="47" s="1"/>
  <c r="AB111" i="47"/>
  <c r="AC111" i="47" s="1"/>
  <c r="AA111" i="47"/>
  <c r="AA145" i="47"/>
  <c r="AB145" i="47"/>
  <c r="AC145" i="47" s="1"/>
  <c r="AB126" i="47"/>
  <c r="AC126" i="47" s="1"/>
  <c r="AA126" i="47"/>
  <c r="AA158" i="47"/>
  <c r="AB158" i="47"/>
  <c r="AC158" i="47" s="1"/>
  <c r="AA276" i="47"/>
  <c r="AB276" i="47"/>
  <c r="AC276" i="47" s="1"/>
  <c r="AB160" i="47"/>
  <c r="AC160" i="47" s="1"/>
  <c r="AA160" i="47"/>
  <c r="AB214" i="47"/>
  <c r="AC214" i="47" s="1"/>
  <c r="AA214" i="47"/>
  <c r="AA217" i="47"/>
  <c r="AB217" i="47"/>
  <c r="AC217" i="47" s="1"/>
  <c r="AB171" i="47"/>
  <c r="AC171" i="47" s="1"/>
  <c r="AA171" i="47"/>
  <c r="W54" i="150"/>
  <c r="L54" i="148"/>
  <c r="L54" i="147"/>
  <c r="H57" i="57"/>
  <c r="H55" i="57"/>
  <c r="F107" i="152"/>
  <c r="I17" i="152"/>
  <c r="Y40" i="149"/>
  <c r="Y43" i="149" s="1"/>
  <c r="X43" i="149"/>
  <c r="Y40" i="152"/>
  <c r="Y43" i="152" s="1"/>
  <c r="X43" i="152"/>
  <c r="AB162" i="47"/>
  <c r="AC162" i="47" s="1"/>
  <c r="AA162" i="47"/>
  <c r="Y40" i="146"/>
  <c r="Y43" i="146" s="1"/>
  <c r="X43" i="146"/>
  <c r="X30" i="153"/>
  <c r="Y30" i="153" s="1"/>
  <c r="X29" i="153"/>
  <c r="Y29" i="153" s="1"/>
  <c r="X33" i="153"/>
  <c r="Y33" i="153" s="1"/>
  <c r="X28" i="153"/>
  <c r="J15" i="153"/>
  <c r="K15" i="153" s="1"/>
  <c r="X31" i="153"/>
  <c r="Y31" i="153" s="1"/>
  <c r="X32" i="153"/>
  <c r="Y32" i="153" s="1"/>
  <c r="H63" i="56"/>
  <c r="L41" i="62"/>
  <c r="M41" i="62" s="1"/>
  <c r="M45" i="62" s="1"/>
  <c r="E14" i="47" s="1"/>
  <c r="F14" i="47" s="1"/>
  <c r="H72" i="41"/>
  <c r="H49" i="107"/>
  <c r="D80" i="107"/>
  <c r="D15" i="107" s="1"/>
  <c r="E15" i="107" s="1"/>
  <c r="H71" i="107"/>
  <c r="H52" i="107"/>
  <c r="H62" i="107"/>
  <c r="AA310" i="47"/>
  <c r="AB310" i="47"/>
  <c r="AC310" i="47" s="1"/>
  <c r="W54" i="148"/>
  <c r="H78" i="67"/>
  <c r="D80" i="67"/>
  <c r="D15" i="67" s="1"/>
  <c r="E15" i="67" s="1"/>
  <c r="H76" i="67"/>
  <c r="Y34" i="140"/>
  <c r="Y40" i="153"/>
  <c r="Y43" i="153" s="1"/>
  <c r="X43" i="153"/>
  <c r="H80" i="74"/>
  <c r="H58" i="56"/>
  <c r="H49" i="56"/>
  <c r="D80" i="56"/>
  <c r="D15" i="56" s="1"/>
  <c r="E15" i="56" s="1"/>
  <c r="H73" i="56"/>
  <c r="H56" i="56"/>
  <c r="H74" i="67"/>
  <c r="D330" i="47"/>
  <c r="G330" i="47"/>
  <c r="AB45" i="47"/>
  <c r="AC45" i="47" s="1"/>
  <c r="AA45" i="47"/>
  <c r="M43" i="147"/>
  <c r="G332" i="47" s="1"/>
  <c r="N42" i="147"/>
  <c r="N43" i="147" s="1"/>
  <c r="D332" i="47" s="1"/>
  <c r="X28" i="152"/>
  <c r="X32" i="152"/>
  <c r="Y32" i="152" s="1"/>
  <c r="J15" i="152"/>
  <c r="K15" i="152" s="1"/>
  <c r="X33" i="152"/>
  <c r="Y33" i="152" s="1"/>
  <c r="X29" i="152"/>
  <c r="Y29" i="152" s="1"/>
  <c r="X30" i="152"/>
  <c r="Y30" i="152" s="1"/>
  <c r="X31" i="152"/>
  <c r="Y31" i="152" s="1"/>
  <c r="H61" i="107"/>
  <c r="H65" i="107"/>
  <c r="N38" i="123"/>
  <c r="O38" i="123"/>
  <c r="M43" i="123"/>
  <c r="G71" i="47" s="1"/>
  <c r="I71" i="47" s="1"/>
  <c r="H79" i="56"/>
  <c r="X32" i="148"/>
  <c r="Y32" i="148" s="1"/>
  <c r="X33" i="148"/>
  <c r="Y33" i="148" s="1"/>
  <c r="X28" i="148"/>
  <c r="J15" i="148"/>
  <c r="K15" i="148" s="1"/>
  <c r="X30" i="148"/>
  <c r="Y30" i="148" s="1"/>
  <c r="X29" i="148"/>
  <c r="Y29" i="148" s="1"/>
  <c r="X31" i="148"/>
  <c r="Y31" i="148" s="1"/>
  <c r="W54" i="153"/>
  <c r="F105" i="147"/>
  <c r="I15" i="147"/>
  <c r="Y40" i="140"/>
  <c r="Y43" i="140" s="1"/>
  <c r="AA28" i="140" s="1"/>
  <c r="X43" i="140"/>
  <c r="W54" i="149"/>
  <c r="J17" i="146"/>
  <c r="K17" i="146" s="1"/>
  <c r="L19" i="146" s="1"/>
  <c r="X43" i="148"/>
  <c r="Y40" i="148"/>
  <c r="Y43" i="148" s="1"/>
  <c r="AA290" i="47"/>
  <c r="AB290" i="47"/>
  <c r="AC290" i="47" s="1"/>
  <c r="AD29" i="123"/>
  <c r="AD38" i="123" s="1"/>
  <c r="AB33" i="123"/>
  <c r="L44" i="62"/>
  <c r="M44" i="62" s="1"/>
  <c r="H56" i="41"/>
  <c r="H74" i="41"/>
  <c r="H70" i="41"/>
  <c r="H54" i="58"/>
  <c r="H73" i="57"/>
  <c r="H50" i="57"/>
  <c r="H75" i="57"/>
  <c r="H52" i="57"/>
  <c r="Y40" i="150"/>
  <c r="Y43" i="150" s="1"/>
  <c r="X43" i="150"/>
  <c r="N42" i="150"/>
  <c r="N43" i="150" s="1"/>
  <c r="D335" i="47" s="1"/>
  <c r="M43" i="150"/>
  <c r="G335" i="47" s="1"/>
  <c r="H63" i="67"/>
  <c r="H73" i="67"/>
  <c r="H57" i="56"/>
  <c r="H77" i="56"/>
  <c r="M43" i="149"/>
  <c r="G334" i="47" s="1"/>
  <c r="N42" i="149"/>
  <c r="N43" i="149" s="1"/>
  <c r="D334" i="47" s="1"/>
  <c r="N42" i="151"/>
  <c r="N43" i="151" s="1"/>
  <c r="D336" i="47" s="1"/>
  <c r="M43" i="151"/>
  <c r="G336" i="47" s="1"/>
  <c r="H49" i="67"/>
  <c r="H70" i="67"/>
  <c r="M43" i="146"/>
  <c r="G331" i="47" s="1"/>
  <c r="N42" i="146"/>
  <c r="N43" i="146" s="1"/>
  <c r="D331" i="47" s="1"/>
  <c r="J17" i="153"/>
  <c r="K17" i="153" s="1"/>
  <c r="L19" i="153" s="1"/>
  <c r="J17" i="151"/>
  <c r="K17" i="151" s="1"/>
  <c r="L19" i="151" s="1"/>
  <c r="AB221" i="47"/>
  <c r="AC221" i="47" s="1"/>
  <c r="AA221" i="47"/>
  <c r="Y40" i="147"/>
  <c r="Y43" i="147" s="1"/>
  <c r="X43" i="147"/>
  <c r="J17" i="150"/>
  <c r="K17" i="150" s="1"/>
  <c r="L19" i="150" s="1"/>
  <c r="H73" i="107"/>
  <c r="H53" i="107"/>
  <c r="G80" i="107"/>
  <c r="D16" i="107" s="1"/>
  <c r="E16" i="107" s="1"/>
  <c r="J17" i="149"/>
  <c r="K17" i="149" s="1"/>
  <c r="L19" i="149" s="1"/>
  <c r="W54" i="151"/>
  <c r="M54" i="140"/>
  <c r="H60" i="41"/>
  <c r="F105" i="150"/>
  <c r="I15" i="150"/>
  <c r="H63" i="58"/>
  <c r="H68" i="57"/>
  <c r="H72" i="57"/>
  <c r="F105" i="149"/>
  <c r="I15" i="149"/>
  <c r="F105" i="146"/>
  <c r="I15" i="146"/>
  <c r="F105" i="151"/>
  <c r="I15" i="151"/>
  <c r="H54" i="107"/>
  <c r="H72" i="107"/>
  <c r="N42" i="153"/>
  <c r="N43" i="153" s="1"/>
  <c r="D338" i="47" s="1"/>
  <c r="M43" i="153"/>
  <c r="G338" i="47" s="1"/>
  <c r="M30" i="61"/>
  <c r="M35" i="61" s="1"/>
  <c r="L35" i="61"/>
  <c r="H50" i="56"/>
  <c r="H66" i="56"/>
  <c r="N42" i="140"/>
  <c r="N43" i="140" s="1"/>
  <c r="M43" i="140"/>
  <c r="Y40" i="151"/>
  <c r="Y43" i="151" s="1"/>
  <c r="X43" i="151"/>
  <c r="M43" i="152"/>
  <c r="G337" i="47" s="1"/>
  <c r="N42" i="152"/>
  <c r="N43" i="152" s="1"/>
  <c r="D337" i="47" s="1"/>
  <c r="M30" i="72"/>
  <c r="M35" i="72" s="1"/>
  <c r="D26" i="47" s="1"/>
  <c r="F26" i="47" s="1"/>
  <c r="L35" i="72"/>
  <c r="G26" i="47" s="1"/>
  <c r="I26" i="47" s="1"/>
  <c r="H62" i="67"/>
  <c r="H80" i="67" s="1"/>
  <c r="Q32" i="109"/>
  <c r="Q35" i="109" s="1"/>
  <c r="O35" i="109"/>
  <c r="D66" i="47" s="1"/>
  <c r="F66" i="47" s="1"/>
  <c r="S66" i="47" s="1"/>
  <c r="W54" i="147"/>
  <c r="M43" i="148"/>
  <c r="G333" i="47" s="1"/>
  <c r="N42" i="148"/>
  <c r="N43" i="148" s="1"/>
  <c r="D333" i="47" s="1"/>
  <c r="M44" i="82"/>
  <c r="Q44" i="82" s="1"/>
  <c r="M41" i="82"/>
  <c r="W54" i="140"/>
  <c r="H58" i="107"/>
  <c r="W54" i="152"/>
  <c r="G80" i="56"/>
  <c r="D16" i="56" s="1"/>
  <c r="E16" i="56" s="1"/>
  <c r="H69" i="56"/>
  <c r="AA33" i="123"/>
  <c r="G80" i="67"/>
  <c r="D16" i="67" s="1"/>
  <c r="E16" i="67" s="1"/>
  <c r="N54" i="140"/>
  <c r="AA51" i="47"/>
  <c r="P31" i="47"/>
  <c r="Z31" i="47"/>
  <c r="X31" i="47"/>
  <c r="G80" i="57"/>
  <c r="D16" i="57" s="1"/>
  <c r="E16" i="57" s="1"/>
  <c r="W52" i="133"/>
  <c r="X52" i="133" s="1"/>
  <c r="W51" i="133"/>
  <c r="X51" i="133" s="1"/>
  <c r="L53" i="133"/>
  <c r="M53" i="133" s="1"/>
  <c r="N53" i="133" s="1"/>
  <c r="Y53" i="133" s="1"/>
  <c r="Q74" i="47"/>
  <c r="L50" i="133"/>
  <c r="W50" i="133"/>
  <c r="L52" i="133"/>
  <c r="M52" i="133" s="1"/>
  <c r="N52" i="133" s="1"/>
  <c r="W53" i="133"/>
  <c r="X53" i="133" s="1"/>
  <c r="H51" i="47"/>
  <c r="I51" i="47" s="1"/>
  <c r="H27" i="47"/>
  <c r="I27" i="47" s="1"/>
  <c r="M30" i="55"/>
  <c r="M35" i="55" s="1"/>
  <c r="D36" i="47" s="1"/>
  <c r="F36" i="47" s="1"/>
  <c r="L35" i="55"/>
  <c r="G36" i="47" s="1"/>
  <c r="I36" i="47" s="1"/>
  <c r="H76" i="41"/>
  <c r="H68" i="41"/>
  <c r="N396" i="47"/>
  <c r="H54" i="39"/>
  <c r="Z32" i="47"/>
  <c r="P32" i="47"/>
  <c r="X32" i="47"/>
  <c r="H57" i="58"/>
  <c r="H50" i="58"/>
  <c r="L51" i="133"/>
  <c r="M51" i="133" s="1"/>
  <c r="N51" i="133" s="1"/>
  <c r="Y51" i="133" s="1"/>
  <c r="H55" i="58"/>
  <c r="D80" i="58"/>
  <c r="D15" i="58" s="1"/>
  <c r="E15" i="58" s="1"/>
  <c r="H54" i="57"/>
  <c r="H63" i="57"/>
  <c r="H59" i="57"/>
  <c r="H66" i="57"/>
  <c r="E27" i="47"/>
  <c r="F27" i="47" s="1"/>
  <c r="E51" i="47"/>
  <c r="F51" i="47" s="1"/>
  <c r="H78" i="41"/>
  <c r="H66" i="41"/>
  <c r="H70" i="58"/>
  <c r="H52" i="58"/>
  <c r="H56" i="58"/>
  <c r="H53" i="57"/>
  <c r="H62" i="57"/>
  <c r="E20" i="47"/>
  <c r="F20" i="47" s="1"/>
  <c r="E44" i="47"/>
  <c r="F44" i="47" s="1"/>
  <c r="H73" i="41"/>
  <c r="H65" i="41"/>
  <c r="H56" i="39"/>
  <c r="H59" i="39"/>
  <c r="H61" i="58"/>
  <c r="H59" i="58"/>
  <c r="H74" i="58"/>
  <c r="H51" i="58"/>
  <c r="H68" i="58"/>
  <c r="H70" i="57"/>
  <c r="H60" i="57"/>
  <c r="H56" i="57"/>
  <c r="H69" i="57"/>
  <c r="H69" i="41"/>
  <c r="AA53" i="123"/>
  <c r="H55" i="39"/>
  <c r="H58" i="39"/>
  <c r="H53" i="39"/>
  <c r="AB330" i="47"/>
  <c r="AC330" i="47" s="1"/>
  <c r="AA330" i="47"/>
  <c r="H62" i="58"/>
  <c r="H72" i="58"/>
  <c r="H67" i="57"/>
  <c r="H58" i="57"/>
  <c r="H64" i="57"/>
  <c r="H65" i="57"/>
  <c r="AL80" i="62"/>
  <c r="H80" i="52"/>
  <c r="H71" i="58"/>
  <c r="H60" i="58"/>
  <c r="H51" i="57"/>
  <c r="H76" i="57"/>
  <c r="Q41" i="84"/>
  <c r="Q45" i="84" s="1"/>
  <c r="M45" i="84"/>
  <c r="AA25" i="47"/>
  <c r="AB25" i="47"/>
  <c r="AC25" i="47" s="1"/>
  <c r="H53" i="41"/>
  <c r="H65" i="39"/>
  <c r="H67" i="39"/>
  <c r="H50" i="39"/>
  <c r="H65" i="58"/>
  <c r="H69" i="58"/>
  <c r="H66" i="58"/>
  <c r="H49" i="57"/>
  <c r="D80" i="57"/>
  <c r="D15" i="57" s="1"/>
  <c r="E15" i="57" s="1"/>
  <c r="H74" i="57"/>
  <c r="G80" i="58"/>
  <c r="D16" i="58" s="1"/>
  <c r="E16" i="58" s="1"/>
  <c r="X49" i="144"/>
  <c r="W54" i="144"/>
  <c r="L54" i="144"/>
  <c r="M49" i="144"/>
  <c r="AB53" i="123"/>
  <c r="X39" i="111"/>
  <c r="J16" i="111"/>
  <c r="K16" i="111" s="1"/>
  <c r="M39" i="111"/>
  <c r="N39" i="111" s="1"/>
  <c r="Y39" i="111" s="1"/>
  <c r="M38" i="111"/>
  <c r="N38" i="111" s="1"/>
  <c r="Y38" i="111" s="1"/>
  <c r="M37" i="111"/>
  <c r="X37" i="111"/>
  <c r="X38" i="111"/>
  <c r="X33" i="138"/>
  <c r="Y28" i="138"/>
  <c r="AA28" i="138" s="1"/>
  <c r="H63" i="41"/>
  <c r="Z19" i="47"/>
  <c r="X19" i="47"/>
  <c r="P19" i="47"/>
  <c r="AB47" i="47"/>
  <c r="AC47" i="47" s="1"/>
  <c r="AA47" i="47"/>
  <c r="Y80" i="54"/>
  <c r="AL80" i="54"/>
  <c r="H80" i="81"/>
  <c r="H55" i="41"/>
  <c r="Q334" i="47"/>
  <c r="Y80" i="61"/>
  <c r="AL80" i="61"/>
  <c r="J15" i="111"/>
  <c r="K15" i="111" s="1"/>
  <c r="M31" i="111"/>
  <c r="N31" i="111" s="1"/>
  <c r="Y31" i="111" s="1"/>
  <c r="M30" i="111"/>
  <c r="Z30" i="47"/>
  <c r="X30" i="47"/>
  <c r="P30" i="47"/>
  <c r="M30" i="112"/>
  <c r="J15" i="112"/>
  <c r="K15" i="112" s="1"/>
  <c r="M31" i="112"/>
  <c r="N31" i="112" s="1"/>
  <c r="Y31" i="112" s="1"/>
  <c r="Y52" i="133"/>
  <c r="AA71" i="47"/>
  <c r="AB71" i="47"/>
  <c r="AC71" i="47" s="1"/>
  <c r="AL80" i="67"/>
  <c r="Y80" i="67"/>
  <c r="AA34" i="47"/>
  <c r="AB34" i="47"/>
  <c r="AC34" i="47" s="1"/>
  <c r="H64" i="41"/>
  <c r="H58" i="41"/>
  <c r="AA46" i="47"/>
  <c r="AB46" i="47"/>
  <c r="AC46" i="47" s="1"/>
  <c r="AB18" i="47"/>
  <c r="AC18" i="47" s="1"/>
  <c r="AA18" i="47"/>
  <c r="G32" i="47"/>
  <c r="I32" i="47" s="1"/>
  <c r="G31" i="47"/>
  <c r="I31" i="47" s="1"/>
  <c r="P332" i="47"/>
  <c r="X332" i="47"/>
  <c r="Z332" i="47"/>
  <c r="H61" i="39"/>
  <c r="H64" i="39"/>
  <c r="I17" i="47"/>
  <c r="D31" i="47"/>
  <c r="F31" i="47" s="1"/>
  <c r="D32" i="47"/>
  <c r="F32" i="47" s="1"/>
  <c r="Y33" i="138"/>
  <c r="AA43" i="123"/>
  <c r="H49" i="39"/>
  <c r="D80" i="39"/>
  <c r="D15" i="39" s="1"/>
  <c r="E15" i="39" s="1"/>
  <c r="G80" i="39"/>
  <c r="D16" i="39" s="1"/>
  <c r="E16" i="39" s="1"/>
  <c r="H54" i="41"/>
  <c r="AB21" i="47"/>
  <c r="AC21" i="47" s="1"/>
  <c r="AA21" i="47"/>
  <c r="Y28" i="142"/>
  <c r="Y34" i="142" s="1"/>
  <c r="X34" i="142"/>
  <c r="AB43" i="123"/>
  <c r="H51" i="39"/>
  <c r="H76" i="39"/>
  <c r="Q333" i="47"/>
  <c r="W30" i="143"/>
  <c r="X30" i="143" s="1"/>
  <c r="Y30" i="143" s="1"/>
  <c r="W28" i="143"/>
  <c r="W31" i="143"/>
  <c r="X31" i="143" s="1"/>
  <c r="Y31" i="143" s="1"/>
  <c r="W42" i="143"/>
  <c r="W29" i="143"/>
  <c r="X29" i="143" s="1"/>
  <c r="Y29" i="143" s="1"/>
  <c r="X49" i="142"/>
  <c r="X49" i="143"/>
  <c r="W54" i="143"/>
  <c r="AB76" i="47"/>
  <c r="AC76" i="47" s="1"/>
  <c r="AA76" i="47"/>
  <c r="Z328" i="47"/>
  <c r="X328" i="47"/>
  <c r="P328" i="47"/>
  <c r="N53" i="143"/>
  <c r="E339" i="47" s="1"/>
  <c r="H339" i="47"/>
  <c r="AA24" i="47"/>
  <c r="AB24" i="47"/>
  <c r="AC24" i="47" s="1"/>
  <c r="AA17" i="47"/>
  <c r="AB17" i="47"/>
  <c r="AC17" i="47" s="1"/>
  <c r="F11" i="62"/>
  <c r="G11" i="62" s="1"/>
  <c r="P396" i="47"/>
  <c r="Q331" i="47"/>
  <c r="H60" i="42"/>
  <c r="H57" i="42"/>
  <c r="H63" i="42"/>
  <c r="H51" i="42"/>
  <c r="H72" i="42"/>
  <c r="H52" i="42"/>
  <c r="H49" i="42"/>
  <c r="D80" i="42"/>
  <c r="D15" i="42" s="1"/>
  <c r="E15" i="42" s="1"/>
  <c r="H58" i="42"/>
  <c r="N51" i="138"/>
  <c r="N55" i="138" s="1"/>
  <c r="E76" i="47" s="1"/>
  <c r="M55" i="138"/>
  <c r="H76" i="47" s="1"/>
  <c r="G30" i="47"/>
  <c r="I30" i="47" s="1"/>
  <c r="G43" i="47"/>
  <c r="I43" i="47" s="1"/>
  <c r="M54" i="142"/>
  <c r="H328" i="47" s="1"/>
  <c r="I328" i="47" s="1"/>
  <c r="N49" i="142"/>
  <c r="N54" i="142" s="1"/>
  <c r="E328" i="47" s="1"/>
  <c r="F328" i="47" s="1"/>
  <c r="G80" i="42"/>
  <c r="D16" i="42" s="1"/>
  <c r="E16" i="42" s="1"/>
  <c r="AB40" i="47"/>
  <c r="AC40" i="47" s="1"/>
  <c r="AA40" i="47"/>
  <c r="X33" i="134"/>
  <c r="Y28" i="134"/>
  <c r="E77" i="47"/>
  <c r="F77" i="47" s="1"/>
  <c r="S77" i="47" s="1"/>
  <c r="N57" i="139"/>
  <c r="AA28" i="124"/>
  <c r="Y33" i="124"/>
  <c r="G339" i="47"/>
  <c r="G78" i="47"/>
  <c r="H77" i="42"/>
  <c r="H74" i="42"/>
  <c r="H70" i="42"/>
  <c r="H78" i="42"/>
  <c r="H65" i="42"/>
  <c r="H50" i="42"/>
  <c r="H54" i="42"/>
  <c r="AA42" i="47"/>
  <c r="AB42" i="47"/>
  <c r="AC42" i="47" s="1"/>
  <c r="X39" i="112"/>
  <c r="X38" i="112"/>
  <c r="M37" i="112"/>
  <c r="J16" i="112"/>
  <c r="K16" i="112" s="1"/>
  <c r="M39" i="112"/>
  <c r="N39" i="112" s="1"/>
  <c r="Y39" i="112" s="1"/>
  <c r="M38" i="112"/>
  <c r="N38" i="112" s="1"/>
  <c r="Y38" i="112" s="1"/>
  <c r="X37" i="112"/>
  <c r="H80" i="68"/>
  <c r="W51" i="142"/>
  <c r="X51" i="142" s="1"/>
  <c r="Y51" i="142" s="1"/>
  <c r="W53" i="142"/>
  <c r="X53" i="142" s="1"/>
  <c r="Y53" i="142" s="1"/>
  <c r="W52" i="142"/>
  <c r="X52" i="142" s="1"/>
  <c r="Y52" i="142" s="1"/>
  <c r="W50" i="142"/>
  <c r="X50" i="142" s="1"/>
  <c r="Y50" i="142" s="1"/>
  <c r="AA335" i="47"/>
  <c r="AB335" i="47"/>
  <c r="AC335" i="47" s="1"/>
  <c r="L54" i="132"/>
  <c r="AA338" i="47"/>
  <c r="AB338" i="47"/>
  <c r="AC338" i="47" s="1"/>
  <c r="AL80" i="63"/>
  <c r="Y80" i="63"/>
  <c r="L45" i="62"/>
  <c r="H14" i="47" s="1"/>
  <c r="I14" i="47" s="1"/>
  <c r="D80" i="41"/>
  <c r="D15" i="41" s="1"/>
  <c r="E15" i="41" s="1"/>
  <c r="H49" i="41"/>
  <c r="D78" i="47"/>
  <c r="D339" i="47"/>
  <c r="H76" i="42"/>
  <c r="H66" i="42"/>
  <c r="H75" i="42"/>
  <c r="H62" i="42"/>
  <c r="H73" i="42"/>
  <c r="H55" i="42"/>
  <c r="H53" i="42"/>
  <c r="H56" i="42"/>
  <c r="M44" i="138"/>
  <c r="G76" i="47" s="1"/>
  <c r="I76" i="47" s="1"/>
  <c r="N41" i="138"/>
  <c r="N44" i="138" s="1"/>
  <c r="D76" i="47" s="1"/>
  <c r="D43" i="47"/>
  <c r="F43" i="47" s="1"/>
  <c r="D30" i="47"/>
  <c r="F30" i="47" s="1"/>
  <c r="G80" i="41"/>
  <c r="D16" i="41" s="1"/>
  <c r="E16" i="41" s="1"/>
  <c r="L54" i="143"/>
  <c r="X33" i="132"/>
  <c r="Y28" i="132"/>
  <c r="W33" i="143"/>
  <c r="X33" i="143" s="1"/>
  <c r="Y33" i="143" s="1"/>
  <c r="AA14" i="47"/>
  <c r="AB14" i="47"/>
  <c r="AC14" i="47" s="1"/>
  <c r="Z78" i="47"/>
  <c r="P78" i="47"/>
  <c r="X78" i="47"/>
  <c r="X33" i="133"/>
  <c r="Y28" i="133"/>
  <c r="H80" i="73"/>
  <c r="N52" i="132"/>
  <c r="N54" i="132" s="1"/>
  <c r="E73" i="47" s="1"/>
  <c r="F73" i="47" s="1"/>
  <c r="M54" i="132"/>
  <c r="H73" i="47" s="1"/>
  <c r="I73" i="47" s="1"/>
  <c r="Z73" i="47"/>
  <c r="P73" i="47"/>
  <c r="X73" i="47"/>
  <c r="AB337" i="47"/>
  <c r="AC337" i="47" s="1"/>
  <c r="AA337" i="47"/>
  <c r="AA41" i="47"/>
  <c r="AB41" i="47"/>
  <c r="AC41" i="47" s="1"/>
  <c r="Y33" i="139"/>
  <c r="AA28" i="139"/>
  <c r="H80" i="44"/>
  <c r="H61" i="42"/>
  <c r="H59" i="42"/>
  <c r="H71" i="42"/>
  <c r="H68" i="42"/>
  <c r="H64" i="42"/>
  <c r="H69" i="42"/>
  <c r="H67" i="42"/>
  <c r="AB39" i="47"/>
  <c r="AC39" i="47" s="1"/>
  <c r="AA39" i="47"/>
  <c r="N30" i="110"/>
  <c r="M32" i="110"/>
  <c r="G68" i="47" s="1"/>
  <c r="I68" i="47" s="1"/>
  <c r="AL80" i="40"/>
  <c r="Y80" i="40"/>
  <c r="Y46" i="41" s="1"/>
  <c r="Y49" i="41" s="1"/>
  <c r="Y50" i="41" s="1"/>
  <c r="Y51" i="41" s="1"/>
  <c r="Y52" i="41" s="1"/>
  <c r="Y53" i="41" s="1"/>
  <c r="Y54" i="41" s="1"/>
  <c r="Y55" i="41" s="1"/>
  <c r="Y56" i="41" s="1"/>
  <c r="Y57" i="41" s="1"/>
  <c r="Y58" i="41" s="1"/>
  <c r="Y59" i="41" s="1"/>
  <c r="Y60" i="41" s="1"/>
  <c r="Y61" i="41" s="1"/>
  <c r="Y62" i="41" s="1"/>
  <c r="Y63" i="41" s="1"/>
  <c r="Y64" i="41" s="1"/>
  <c r="Y65" i="41" s="1"/>
  <c r="Y66" i="41" s="1"/>
  <c r="Y67" i="41" s="1"/>
  <c r="Y68" i="41" s="1"/>
  <c r="Y69" i="41" s="1"/>
  <c r="Y70" i="41" s="1"/>
  <c r="Y71" i="41" s="1"/>
  <c r="Y72" i="41" s="1"/>
  <c r="Y73" i="41" s="1"/>
  <c r="Y74" i="41" s="1"/>
  <c r="Y75" i="41" s="1"/>
  <c r="Y76" i="41" s="1"/>
  <c r="Y77" i="41" s="1"/>
  <c r="Y78" i="41" s="1"/>
  <c r="Y79" i="41" s="1"/>
  <c r="L43" i="62"/>
  <c r="M43" i="62" s="1"/>
  <c r="L54" i="142"/>
  <c r="M54" i="143"/>
  <c r="H78" i="47" s="1"/>
  <c r="N49" i="143"/>
  <c r="N54" i="143" l="1"/>
  <c r="E78" i="47" s="1"/>
  <c r="F78" i="47" s="1"/>
  <c r="F339" i="47"/>
  <c r="H80" i="35"/>
  <c r="H80" i="107"/>
  <c r="M53" i="152"/>
  <c r="N53" i="152" s="1"/>
  <c r="M49" i="152"/>
  <c r="N49" i="152" s="1"/>
  <c r="M51" i="152"/>
  <c r="N51" i="152" s="1"/>
  <c r="X50" i="152"/>
  <c r="Y50" i="152" s="1"/>
  <c r="X49" i="152"/>
  <c r="Y49" i="152" s="1"/>
  <c r="X52" i="152"/>
  <c r="Y52" i="152" s="1"/>
  <c r="X51" i="152"/>
  <c r="Y51" i="152" s="1"/>
  <c r="X53" i="152"/>
  <c r="Y53" i="152" s="1"/>
  <c r="Y54" i="150"/>
  <c r="X54" i="150"/>
  <c r="F76" i="47"/>
  <c r="S76" i="47" s="1"/>
  <c r="M45" i="82"/>
  <c r="Q41" i="82"/>
  <c r="Q45" i="82" s="1"/>
  <c r="Y54" i="147"/>
  <c r="X54" i="147"/>
  <c r="X30" i="151"/>
  <c r="Y30" i="151" s="1"/>
  <c r="X32" i="151"/>
  <c r="Y32" i="151" s="1"/>
  <c r="J15" i="151"/>
  <c r="K15" i="151" s="1"/>
  <c r="X28" i="151"/>
  <c r="X31" i="151"/>
  <c r="Y31" i="151" s="1"/>
  <c r="X33" i="151"/>
  <c r="Y33" i="151" s="1"/>
  <c r="X29" i="151"/>
  <c r="Y29" i="151" s="1"/>
  <c r="J15" i="149"/>
  <c r="K15" i="149" s="1"/>
  <c r="X29" i="149"/>
  <c r="Y29" i="149" s="1"/>
  <c r="X33" i="149"/>
  <c r="Y33" i="149" s="1"/>
  <c r="X32" i="149"/>
  <c r="Y32" i="149" s="1"/>
  <c r="X31" i="149"/>
  <c r="Y31" i="149" s="1"/>
  <c r="X28" i="149"/>
  <c r="X30" i="149"/>
  <c r="Y30" i="149" s="1"/>
  <c r="X54" i="153"/>
  <c r="N54" i="147"/>
  <c r="X34" i="152"/>
  <c r="Y28" i="152"/>
  <c r="N54" i="148"/>
  <c r="M54" i="148"/>
  <c r="H80" i="56"/>
  <c r="X34" i="153"/>
  <c r="Y28" i="153"/>
  <c r="Y34" i="153" s="1"/>
  <c r="P38" i="123"/>
  <c r="N43" i="123"/>
  <c r="D71" i="47" s="1"/>
  <c r="F71" i="47" s="1"/>
  <c r="S71" i="47" s="1"/>
  <c r="X41" i="111"/>
  <c r="X29" i="150"/>
  <c r="Y29" i="150" s="1"/>
  <c r="J15" i="150"/>
  <c r="K15" i="150" s="1"/>
  <c r="X28" i="150"/>
  <c r="X33" i="150"/>
  <c r="Y33" i="150" s="1"/>
  <c r="X31" i="150"/>
  <c r="Y31" i="150" s="1"/>
  <c r="X30" i="150"/>
  <c r="Y30" i="150" s="1"/>
  <c r="X32" i="150"/>
  <c r="Y32" i="150" s="1"/>
  <c r="M54" i="149"/>
  <c r="H334" i="47" s="1"/>
  <c r="I334" i="47" s="1"/>
  <c r="N54" i="149"/>
  <c r="N54" i="153"/>
  <c r="E338" i="47" s="1"/>
  <c r="F338" i="47" s="1"/>
  <c r="M54" i="153"/>
  <c r="H338" i="47" s="1"/>
  <c r="I338" i="47" s="1"/>
  <c r="Y54" i="153"/>
  <c r="M54" i="147"/>
  <c r="M54" i="146"/>
  <c r="H331" i="47" s="1"/>
  <c r="I331" i="47" s="1"/>
  <c r="N54" i="146"/>
  <c r="X34" i="148"/>
  <c r="Y28" i="148"/>
  <c r="Y54" i="148"/>
  <c r="Y54" i="151"/>
  <c r="N54" i="151"/>
  <c r="E336" i="47" s="1"/>
  <c r="F336" i="47" s="1"/>
  <c r="M54" i="151"/>
  <c r="H336" i="47" s="1"/>
  <c r="I336" i="47" s="1"/>
  <c r="J17" i="152"/>
  <c r="K17" i="152" s="1"/>
  <c r="L19" i="152" s="1"/>
  <c r="H80" i="58"/>
  <c r="Y54" i="140"/>
  <c r="X54" i="140"/>
  <c r="J15" i="146"/>
  <c r="K15" i="146" s="1"/>
  <c r="X28" i="146"/>
  <c r="X33" i="146"/>
  <c r="Y33" i="146" s="1"/>
  <c r="X32" i="146"/>
  <c r="Y32" i="146" s="1"/>
  <c r="X29" i="146"/>
  <c r="Y29" i="146" s="1"/>
  <c r="X30" i="146"/>
  <c r="Y30" i="146" s="1"/>
  <c r="X31" i="146"/>
  <c r="Y31" i="146" s="1"/>
  <c r="N54" i="150"/>
  <c r="E335" i="47" s="1"/>
  <c r="F335" i="47" s="1"/>
  <c r="M54" i="150"/>
  <c r="H335" i="47" s="1"/>
  <c r="I335" i="47" s="1"/>
  <c r="X54" i="149"/>
  <c r="Y54" i="149"/>
  <c r="X32" i="147"/>
  <c r="Y32" i="147" s="1"/>
  <c r="J15" i="147"/>
  <c r="K15" i="147" s="1"/>
  <c r="X30" i="147"/>
  <c r="Y30" i="147" s="1"/>
  <c r="X33" i="147"/>
  <c r="Y33" i="147" s="1"/>
  <c r="X31" i="147"/>
  <c r="Y31" i="147" s="1"/>
  <c r="X29" i="147"/>
  <c r="Y29" i="147" s="1"/>
  <c r="X28" i="147"/>
  <c r="X54" i="148"/>
  <c r="X54" i="151"/>
  <c r="H80" i="57"/>
  <c r="AB32" i="47"/>
  <c r="AC32" i="47" s="1"/>
  <c r="AA32" i="47"/>
  <c r="H80" i="41"/>
  <c r="H80" i="39"/>
  <c r="X50" i="133"/>
  <c r="X54" i="133" s="1"/>
  <c r="W54" i="133"/>
  <c r="AB31" i="47"/>
  <c r="AC31" i="47" s="1"/>
  <c r="AA31" i="47"/>
  <c r="M50" i="133"/>
  <c r="L54" i="133"/>
  <c r="X74" i="47"/>
  <c r="P74" i="47"/>
  <c r="Z74" i="47"/>
  <c r="Y49" i="144"/>
  <c r="Y54" i="144" s="1"/>
  <c r="X54" i="144"/>
  <c r="M54" i="144"/>
  <c r="H329" i="47" s="1"/>
  <c r="I329" i="47" s="1"/>
  <c r="N49" i="144"/>
  <c r="N54" i="144" s="1"/>
  <c r="E329" i="47" s="1"/>
  <c r="F329" i="47" s="1"/>
  <c r="Z333" i="47"/>
  <c r="P333" i="47"/>
  <c r="X333" i="47"/>
  <c r="AB30" i="47"/>
  <c r="AC30" i="47" s="1"/>
  <c r="AA30" i="47"/>
  <c r="I339" i="47"/>
  <c r="N30" i="111"/>
  <c r="M32" i="111"/>
  <c r="G69" i="47" s="1"/>
  <c r="P334" i="47"/>
  <c r="X334" i="47"/>
  <c r="Z334" i="47"/>
  <c r="N37" i="111"/>
  <c r="M41" i="111"/>
  <c r="H69" i="47" s="1"/>
  <c r="AA332" i="47"/>
  <c r="AB332" i="47"/>
  <c r="AC332" i="47" s="1"/>
  <c r="H332" i="47"/>
  <c r="I332" i="47" s="1"/>
  <c r="M32" i="112"/>
  <c r="G70" i="47" s="1"/>
  <c r="N30" i="112"/>
  <c r="AA19" i="47"/>
  <c r="AB19" i="47"/>
  <c r="AC19" i="47" s="1"/>
  <c r="D309" i="47"/>
  <c r="D223" i="47"/>
  <c r="D247" i="47"/>
  <c r="D194" i="47"/>
  <c r="D252" i="47"/>
  <c r="D283" i="47"/>
  <c r="D236" i="47"/>
  <c r="D134" i="47"/>
  <c r="D221" i="47"/>
  <c r="D216" i="47"/>
  <c r="D130" i="47"/>
  <c r="D99" i="47"/>
  <c r="D125" i="47"/>
  <c r="D137" i="47"/>
  <c r="D79" i="47"/>
  <c r="D92" i="47"/>
  <c r="D202" i="47"/>
  <c r="D183" i="47"/>
  <c r="D155" i="47"/>
  <c r="D320" i="47"/>
  <c r="D93" i="47"/>
  <c r="D273" i="47"/>
  <c r="D215" i="47"/>
  <c r="D280" i="47"/>
  <c r="D205" i="47"/>
  <c r="D196" i="47"/>
  <c r="D184" i="47"/>
  <c r="D163" i="47"/>
  <c r="D175" i="47"/>
  <c r="D91" i="47"/>
  <c r="D109" i="47"/>
  <c r="D224" i="47"/>
  <c r="D245" i="47"/>
  <c r="D253" i="47"/>
  <c r="D234" i="47"/>
  <c r="D262" i="47"/>
  <c r="D290" i="47"/>
  <c r="D240" i="47"/>
  <c r="D162" i="47"/>
  <c r="D232" i="47"/>
  <c r="D98" i="47"/>
  <c r="D146" i="47"/>
  <c r="D126" i="47"/>
  <c r="D129" i="47"/>
  <c r="D139" i="47"/>
  <c r="D89" i="47"/>
  <c r="D80" i="47"/>
  <c r="D316" i="47"/>
  <c r="D301" i="47"/>
  <c r="D292" i="47"/>
  <c r="D315" i="47"/>
  <c r="D308" i="47"/>
  <c r="D266" i="47"/>
  <c r="D207" i="47"/>
  <c r="D265" i="47"/>
  <c r="D197" i="47"/>
  <c r="D185" i="47"/>
  <c r="D179" i="47"/>
  <c r="D154" i="47"/>
  <c r="D166" i="47"/>
  <c r="D118" i="47"/>
  <c r="D106" i="47"/>
  <c r="D86" i="47"/>
  <c r="D227" i="47"/>
  <c r="D269" i="47"/>
  <c r="D187" i="47"/>
  <c r="D323" i="47"/>
  <c r="D94" i="47"/>
  <c r="D274" i="47"/>
  <c r="D217" i="47"/>
  <c r="D288" i="47"/>
  <c r="D209" i="47"/>
  <c r="D200" i="47"/>
  <c r="D189" i="47"/>
  <c r="D168" i="47"/>
  <c r="D81" i="47"/>
  <c r="D107" i="47"/>
  <c r="D113" i="47"/>
  <c r="D312" i="47"/>
  <c r="D268" i="47"/>
  <c r="D276" i="47"/>
  <c r="D302" i="47"/>
  <c r="D304" i="47"/>
  <c r="D257" i="47"/>
  <c r="D199" i="47"/>
  <c r="D260" i="47"/>
  <c r="D192" i="47"/>
  <c r="D178" i="47"/>
  <c r="D172" i="47"/>
  <c r="D147" i="47"/>
  <c r="D159" i="47"/>
  <c r="D114" i="47"/>
  <c r="D101" i="47"/>
  <c r="D254" i="47"/>
  <c r="D322" i="47"/>
  <c r="D206" i="47"/>
  <c r="D327" i="47"/>
  <c r="D214" i="47"/>
  <c r="D281" i="47"/>
  <c r="D226" i="47"/>
  <c r="D306" i="47"/>
  <c r="D219" i="47"/>
  <c r="D208" i="47"/>
  <c r="D119" i="47"/>
  <c r="D173" i="47"/>
  <c r="D100" i="47"/>
  <c r="D128" i="47"/>
  <c r="D120" i="47"/>
  <c r="D88" i="47"/>
  <c r="D278" i="47"/>
  <c r="D284" i="47"/>
  <c r="D326" i="47"/>
  <c r="D251" i="47"/>
  <c r="D286" i="47"/>
  <c r="D298" i="47"/>
  <c r="D250" i="47"/>
  <c r="D188" i="47"/>
  <c r="D242" i="47"/>
  <c r="D167" i="47"/>
  <c r="D171" i="47"/>
  <c r="D151" i="47"/>
  <c r="D135" i="47"/>
  <c r="D150" i="47"/>
  <c r="D110" i="47"/>
  <c r="D95" i="47"/>
  <c r="D313" i="47"/>
  <c r="D300" i="47"/>
  <c r="D287" i="47"/>
  <c r="D303" i="47"/>
  <c r="D307" i="47"/>
  <c r="D264" i="47"/>
  <c r="D203" i="47"/>
  <c r="D263" i="47"/>
  <c r="D193" i="47"/>
  <c r="D180" i="47"/>
  <c r="D177" i="47"/>
  <c r="D152" i="47"/>
  <c r="D164" i="47"/>
  <c r="D116" i="47"/>
  <c r="D105" i="47"/>
  <c r="D225" i="47"/>
  <c r="D258" i="47"/>
  <c r="D294" i="47"/>
  <c r="D241" i="47"/>
  <c r="D267" i="47"/>
  <c r="D291" i="47"/>
  <c r="D243" i="47"/>
  <c r="D174" i="47"/>
  <c r="D235" i="47"/>
  <c r="D142" i="47"/>
  <c r="D149" i="47"/>
  <c r="D143" i="47"/>
  <c r="D131" i="47"/>
  <c r="D145" i="47"/>
  <c r="D102" i="47"/>
  <c r="D83" i="47"/>
  <c r="D165" i="47"/>
  <c r="D321" i="47"/>
  <c r="D317" i="47"/>
  <c r="D319" i="47"/>
  <c r="D311" i="47"/>
  <c r="D270" i="47"/>
  <c r="D211" i="47"/>
  <c r="D272" i="47"/>
  <c r="D201" i="47"/>
  <c r="D191" i="47"/>
  <c r="D182" i="47"/>
  <c r="D157" i="47"/>
  <c r="D169" i="47"/>
  <c r="D87" i="47"/>
  <c r="D104" i="47"/>
  <c r="D314" i="47"/>
  <c r="D230" i="47"/>
  <c r="D248" i="47"/>
  <c r="D210" i="47"/>
  <c r="D259" i="47"/>
  <c r="D289" i="47"/>
  <c r="D237" i="47"/>
  <c r="D136" i="47"/>
  <c r="D229" i="47"/>
  <c r="D218" i="47"/>
  <c r="D141" i="47"/>
  <c r="D111" i="47"/>
  <c r="D127" i="47"/>
  <c r="D138" i="47"/>
  <c r="D82" i="47"/>
  <c r="D103" i="47"/>
  <c r="D238" i="47"/>
  <c r="D279" i="47"/>
  <c r="D305" i="47"/>
  <c r="D244" i="47"/>
  <c r="D277" i="47"/>
  <c r="D297" i="47"/>
  <c r="D246" i="47"/>
  <c r="D181" i="47"/>
  <c r="D239" i="47"/>
  <c r="D160" i="47"/>
  <c r="D156" i="47"/>
  <c r="D144" i="47"/>
  <c r="D133" i="47"/>
  <c r="D148" i="47"/>
  <c r="D108" i="47"/>
  <c r="D84" i="47"/>
  <c r="D295" i="47"/>
  <c r="D325" i="47"/>
  <c r="D231" i="47"/>
  <c r="D158" i="47"/>
  <c r="D249" i="47"/>
  <c r="D282" i="47"/>
  <c r="D233" i="47"/>
  <c r="D310" i="47"/>
  <c r="D220" i="47"/>
  <c r="D212" i="47"/>
  <c r="D121" i="47"/>
  <c r="D85" i="47"/>
  <c r="D123" i="47"/>
  <c r="D132" i="47"/>
  <c r="D122" i="47"/>
  <c r="D90" i="47"/>
  <c r="D285" i="47"/>
  <c r="D261" i="47"/>
  <c r="D271" i="47"/>
  <c r="D293" i="47"/>
  <c r="D299" i="47"/>
  <c r="D256" i="47"/>
  <c r="D195" i="47"/>
  <c r="D255" i="47"/>
  <c r="D186" i="47"/>
  <c r="D176" i="47"/>
  <c r="D161" i="47"/>
  <c r="D140" i="47"/>
  <c r="D153" i="47"/>
  <c r="D112" i="47"/>
  <c r="D97" i="47"/>
  <c r="D228" i="47"/>
  <c r="D318" i="47"/>
  <c r="D190" i="47"/>
  <c r="D324" i="47"/>
  <c r="D198" i="47"/>
  <c r="D275" i="47"/>
  <c r="D222" i="47"/>
  <c r="D296" i="47"/>
  <c r="D213" i="47"/>
  <c r="D204" i="47"/>
  <c r="D115" i="47"/>
  <c r="D170" i="47"/>
  <c r="D96" i="47"/>
  <c r="D124" i="47"/>
  <c r="D117" i="47"/>
  <c r="S73" i="47"/>
  <c r="Z331" i="47"/>
  <c r="X331" i="47"/>
  <c r="P331" i="47"/>
  <c r="P329" i="47"/>
  <c r="X329" i="47"/>
  <c r="Z329" i="47"/>
  <c r="Y49" i="143"/>
  <c r="Y54" i="143" s="1"/>
  <c r="X54" i="143"/>
  <c r="X42" i="143"/>
  <c r="W43" i="143"/>
  <c r="AA28" i="132"/>
  <c r="Y33" i="132"/>
  <c r="I78" i="47"/>
  <c r="H88" i="47"/>
  <c r="I88" i="47" s="1"/>
  <c r="H97" i="47"/>
  <c r="I97" i="47" s="1"/>
  <c r="H103" i="47"/>
  <c r="I103" i="47" s="1"/>
  <c r="H106" i="47"/>
  <c r="I106" i="47" s="1"/>
  <c r="H82" i="47"/>
  <c r="I82" i="47" s="1"/>
  <c r="H84" i="47"/>
  <c r="I84" i="47" s="1"/>
  <c r="H93" i="47"/>
  <c r="I93" i="47" s="1"/>
  <c r="H102" i="47"/>
  <c r="I102" i="47" s="1"/>
  <c r="H81" i="47"/>
  <c r="I81" i="47" s="1"/>
  <c r="H99" i="47"/>
  <c r="I99" i="47" s="1"/>
  <c r="H110" i="47"/>
  <c r="I110" i="47" s="1"/>
  <c r="H114" i="47"/>
  <c r="I114" i="47" s="1"/>
  <c r="H118" i="47"/>
  <c r="I118" i="47" s="1"/>
  <c r="H96" i="47"/>
  <c r="I96" i="47" s="1"/>
  <c r="H85" i="47"/>
  <c r="I85" i="47" s="1"/>
  <c r="H119" i="47"/>
  <c r="I119" i="47" s="1"/>
  <c r="H123" i="47"/>
  <c r="I123" i="47" s="1"/>
  <c r="H127" i="47"/>
  <c r="I127" i="47" s="1"/>
  <c r="H131" i="47"/>
  <c r="I131" i="47" s="1"/>
  <c r="H135" i="47"/>
  <c r="I135" i="47" s="1"/>
  <c r="H138" i="47"/>
  <c r="I138" i="47" s="1"/>
  <c r="H145" i="47"/>
  <c r="I145" i="47" s="1"/>
  <c r="H154" i="47"/>
  <c r="I154" i="47" s="1"/>
  <c r="H159" i="47"/>
  <c r="I159" i="47" s="1"/>
  <c r="H170" i="47"/>
  <c r="I170" i="47" s="1"/>
  <c r="H175" i="47"/>
  <c r="I175" i="47" s="1"/>
  <c r="H115" i="47"/>
  <c r="I115" i="47" s="1"/>
  <c r="H144" i="47"/>
  <c r="I144" i="47" s="1"/>
  <c r="H156" i="47"/>
  <c r="I156" i="47" s="1"/>
  <c r="H161" i="47"/>
  <c r="I161" i="47" s="1"/>
  <c r="H172" i="47"/>
  <c r="I172" i="47" s="1"/>
  <c r="H94" i="47"/>
  <c r="I94" i="47" s="1"/>
  <c r="H128" i="47"/>
  <c r="I128" i="47" s="1"/>
  <c r="H142" i="47"/>
  <c r="I142" i="47" s="1"/>
  <c r="H162" i="47"/>
  <c r="I162" i="47" s="1"/>
  <c r="H167" i="47"/>
  <c r="I167" i="47" s="1"/>
  <c r="H176" i="47"/>
  <c r="I176" i="47" s="1"/>
  <c r="H180" i="47"/>
  <c r="I180" i="47" s="1"/>
  <c r="H191" i="47"/>
  <c r="I191" i="47" s="1"/>
  <c r="H109" i="47"/>
  <c r="I109" i="47" s="1"/>
  <c r="H148" i="47"/>
  <c r="I148" i="47" s="1"/>
  <c r="H153" i="47"/>
  <c r="I153" i="47" s="1"/>
  <c r="H187" i="47"/>
  <c r="I187" i="47" s="1"/>
  <c r="H192" i="47"/>
  <c r="I192" i="47" s="1"/>
  <c r="H196" i="47"/>
  <c r="I196" i="47" s="1"/>
  <c r="H200" i="47"/>
  <c r="I200" i="47" s="1"/>
  <c r="H204" i="47"/>
  <c r="I204" i="47" s="1"/>
  <c r="H208" i="47"/>
  <c r="I208" i="47" s="1"/>
  <c r="H212" i="47"/>
  <c r="I212" i="47" s="1"/>
  <c r="H216" i="47"/>
  <c r="I216" i="47" s="1"/>
  <c r="H220" i="47"/>
  <c r="I220" i="47" s="1"/>
  <c r="H122" i="47"/>
  <c r="I122" i="47" s="1"/>
  <c r="H146" i="47"/>
  <c r="I146" i="47" s="1"/>
  <c r="H164" i="47"/>
  <c r="I164" i="47" s="1"/>
  <c r="H226" i="47"/>
  <c r="I226" i="47" s="1"/>
  <c r="H232" i="47"/>
  <c r="I232" i="47" s="1"/>
  <c r="H246" i="47"/>
  <c r="I246" i="47" s="1"/>
  <c r="H260" i="47"/>
  <c r="I260" i="47" s="1"/>
  <c r="H266" i="47"/>
  <c r="I266" i="47" s="1"/>
  <c r="H275" i="47"/>
  <c r="I275" i="47" s="1"/>
  <c r="H291" i="47"/>
  <c r="I291" i="47" s="1"/>
  <c r="H304" i="47"/>
  <c r="I304" i="47" s="1"/>
  <c r="H308" i="47"/>
  <c r="I308" i="47" s="1"/>
  <c r="H139" i="47"/>
  <c r="I139" i="47" s="1"/>
  <c r="H160" i="47"/>
  <c r="I160" i="47" s="1"/>
  <c r="H186" i="47"/>
  <c r="I186" i="47" s="1"/>
  <c r="H197" i="47"/>
  <c r="I197" i="47" s="1"/>
  <c r="H205" i="47"/>
  <c r="I205" i="47" s="1"/>
  <c r="H213" i="47"/>
  <c r="I213" i="47" s="1"/>
  <c r="H224" i="47"/>
  <c r="I224" i="47" s="1"/>
  <c r="H230" i="47"/>
  <c r="I230" i="47" s="1"/>
  <c r="H236" i="47"/>
  <c r="I236" i="47" s="1"/>
  <c r="H240" i="47"/>
  <c r="I240" i="47" s="1"/>
  <c r="H251" i="47"/>
  <c r="I251" i="47" s="1"/>
  <c r="H257" i="47"/>
  <c r="I257" i="47" s="1"/>
  <c r="H264" i="47"/>
  <c r="I264" i="47" s="1"/>
  <c r="H269" i="47"/>
  <c r="I269" i="47" s="1"/>
  <c r="H274" i="47"/>
  <c r="I274" i="47" s="1"/>
  <c r="H281" i="47"/>
  <c r="I281" i="47" s="1"/>
  <c r="H284" i="47"/>
  <c r="I284" i="47" s="1"/>
  <c r="H290" i="47"/>
  <c r="I290" i="47" s="1"/>
  <c r="H297" i="47"/>
  <c r="I297" i="47" s="1"/>
  <c r="H300" i="47"/>
  <c r="I300" i="47" s="1"/>
  <c r="H312" i="47"/>
  <c r="I312" i="47" s="1"/>
  <c r="H136" i="47"/>
  <c r="I136" i="47" s="1"/>
  <c r="H188" i="47"/>
  <c r="I188" i="47" s="1"/>
  <c r="H221" i="47"/>
  <c r="I221" i="47" s="1"/>
  <c r="H228" i="47"/>
  <c r="I228" i="47" s="1"/>
  <c r="H238" i="47"/>
  <c r="I238" i="47" s="1"/>
  <c r="H245" i="47"/>
  <c r="I245" i="47" s="1"/>
  <c r="H253" i="47"/>
  <c r="I253" i="47" s="1"/>
  <c r="H255" i="47"/>
  <c r="I255" i="47" s="1"/>
  <c r="H279" i="47"/>
  <c r="I279" i="47" s="1"/>
  <c r="H285" i="47"/>
  <c r="I285" i="47" s="1"/>
  <c r="H295" i="47"/>
  <c r="I295" i="47" s="1"/>
  <c r="H301" i="47"/>
  <c r="I301" i="47" s="1"/>
  <c r="H309" i="47"/>
  <c r="I309" i="47" s="1"/>
  <c r="H315" i="47"/>
  <c r="I315" i="47" s="1"/>
  <c r="H319" i="47"/>
  <c r="I319" i="47" s="1"/>
  <c r="H323" i="47"/>
  <c r="I323" i="47" s="1"/>
  <c r="H327" i="47"/>
  <c r="I327" i="47" s="1"/>
  <c r="H117" i="47"/>
  <c r="I117" i="47" s="1"/>
  <c r="H141" i="47"/>
  <c r="I141" i="47" s="1"/>
  <c r="H215" i="47"/>
  <c r="I215" i="47" s="1"/>
  <c r="H261" i="47"/>
  <c r="I261" i="47" s="1"/>
  <c r="H263" i="47"/>
  <c r="I263" i="47" s="1"/>
  <c r="H314" i="47"/>
  <c r="I314" i="47" s="1"/>
  <c r="H318" i="47"/>
  <c r="I318" i="47" s="1"/>
  <c r="H325" i="47"/>
  <c r="I325" i="47" s="1"/>
  <c r="H171" i="47"/>
  <c r="I171" i="47" s="1"/>
  <c r="H184" i="47"/>
  <c r="I184" i="47" s="1"/>
  <c r="H234" i="47"/>
  <c r="I234" i="47" s="1"/>
  <c r="H252" i="47"/>
  <c r="I252" i="47" s="1"/>
  <c r="H286" i="47"/>
  <c r="I286" i="47" s="1"/>
  <c r="H322" i="47"/>
  <c r="I322" i="47" s="1"/>
  <c r="H195" i="47"/>
  <c r="I195" i="47" s="1"/>
  <c r="H211" i="47"/>
  <c r="I211" i="47" s="1"/>
  <c r="H244" i="47"/>
  <c r="I244" i="47" s="1"/>
  <c r="H271" i="47"/>
  <c r="I271" i="47" s="1"/>
  <c r="H302" i="47"/>
  <c r="I302" i="47" s="1"/>
  <c r="H326" i="47"/>
  <c r="I326" i="47" s="1"/>
  <c r="H182" i="47"/>
  <c r="I182" i="47" s="1"/>
  <c r="H235" i="47"/>
  <c r="I235" i="47" s="1"/>
  <c r="H272" i="47"/>
  <c r="I272" i="47" s="1"/>
  <c r="H311" i="47"/>
  <c r="I311" i="47" s="1"/>
  <c r="H92" i="47"/>
  <c r="I92" i="47" s="1"/>
  <c r="H101" i="47"/>
  <c r="I101" i="47" s="1"/>
  <c r="H105" i="47"/>
  <c r="I105" i="47" s="1"/>
  <c r="H80" i="47"/>
  <c r="I80" i="47" s="1"/>
  <c r="H83" i="47"/>
  <c r="I83" i="47" s="1"/>
  <c r="H89" i="47"/>
  <c r="I89" i="47" s="1"/>
  <c r="H95" i="47"/>
  <c r="I95" i="47" s="1"/>
  <c r="H107" i="47"/>
  <c r="I107" i="47" s="1"/>
  <c r="H87" i="47"/>
  <c r="I87" i="47" s="1"/>
  <c r="H108" i="47"/>
  <c r="I108" i="47" s="1"/>
  <c r="H112" i="47"/>
  <c r="I112" i="47" s="1"/>
  <c r="H116" i="47"/>
  <c r="I116" i="47" s="1"/>
  <c r="H91" i="47"/>
  <c r="I91" i="47" s="1"/>
  <c r="H100" i="47"/>
  <c r="I100" i="47" s="1"/>
  <c r="H86" i="47"/>
  <c r="I86" i="47" s="1"/>
  <c r="H121" i="47"/>
  <c r="I121" i="47" s="1"/>
  <c r="H125" i="47"/>
  <c r="I125" i="47" s="1"/>
  <c r="H129" i="47"/>
  <c r="I129" i="47" s="1"/>
  <c r="H133" i="47"/>
  <c r="I133" i="47" s="1"/>
  <c r="H137" i="47"/>
  <c r="I137" i="47" s="1"/>
  <c r="H140" i="47"/>
  <c r="I140" i="47" s="1"/>
  <c r="H152" i="47"/>
  <c r="I152" i="47" s="1"/>
  <c r="H157" i="47"/>
  <c r="I157" i="47" s="1"/>
  <c r="H168" i="47"/>
  <c r="I168" i="47" s="1"/>
  <c r="H173" i="47"/>
  <c r="I173" i="47" s="1"/>
  <c r="H111" i="47"/>
  <c r="I111" i="47" s="1"/>
  <c r="H143" i="47"/>
  <c r="I143" i="47" s="1"/>
  <c r="H147" i="47"/>
  <c r="I147" i="47" s="1"/>
  <c r="H158" i="47"/>
  <c r="I158" i="47" s="1"/>
  <c r="H163" i="47"/>
  <c r="I163" i="47" s="1"/>
  <c r="H174" i="47"/>
  <c r="I174" i="47" s="1"/>
  <c r="H98" i="47"/>
  <c r="I98" i="47" s="1"/>
  <c r="H134" i="47"/>
  <c r="I134" i="47" s="1"/>
  <c r="H155" i="47"/>
  <c r="I155" i="47" s="1"/>
  <c r="H165" i="47"/>
  <c r="I165" i="47" s="1"/>
  <c r="H169" i="47"/>
  <c r="I169" i="47" s="1"/>
  <c r="H178" i="47"/>
  <c r="I178" i="47" s="1"/>
  <c r="H189" i="47"/>
  <c r="I189" i="47" s="1"/>
  <c r="H104" i="47"/>
  <c r="I104" i="47" s="1"/>
  <c r="H132" i="47"/>
  <c r="I132" i="47" s="1"/>
  <c r="H150" i="47"/>
  <c r="I150" i="47" s="1"/>
  <c r="H185" i="47"/>
  <c r="I185" i="47" s="1"/>
  <c r="H190" i="47"/>
  <c r="I190" i="47" s="1"/>
  <c r="H194" i="47"/>
  <c r="I194" i="47" s="1"/>
  <c r="H198" i="47"/>
  <c r="I198" i="47" s="1"/>
  <c r="H202" i="47"/>
  <c r="I202" i="47" s="1"/>
  <c r="H206" i="47"/>
  <c r="I206" i="47" s="1"/>
  <c r="H210" i="47"/>
  <c r="I210" i="47" s="1"/>
  <c r="H214" i="47"/>
  <c r="I214" i="47" s="1"/>
  <c r="H218" i="47"/>
  <c r="I218" i="47" s="1"/>
  <c r="H120" i="47"/>
  <c r="I120" i="47" s="1"/>
  <c r="H130" i="47"/>
  <c r="I130" i="47" s="1"/>
  <c r="H151" i="47"/>
  <c r="I151" i="47" s="1"/>
  <c r="H177" i="47"/>
  <c r="I177" i="47" s="1"/>
  <c r="H229" i="47"/>
  <c r="I229" i="47" s="1"/>
  <c r="H243" i="47"/>
  <c r="I243" i="47" s="1"/>
  <c r="H250" i="47"/>
  <c r="I250" i="47" s="1"/>
  <c r="H265" i="47"/>
  <c r="I265" i="47" s="1"/>
  <c r="H270" i="47"/>
  <c r="I270" i="47" s="1"/>
  <c r="H283" i="47"/>
  <c r="I283" i="47" s="1"/>
  <c r="H299" i="47"/>
  <c r="I299" i="47" s="1"/>
  <c r="H307" i="47"/>
  <c r="I307" i="47" s="1"/>
  <c r="H113" i="47"/>
  <c r="I113" i="47" s="1"/>
  <c r="H149" i="47"/>
  <c r="I149" i="47" s="1"/>
  <c r="H179" i="47"/>
  <c r="I179" i="47" s="1"/>
  <c r="H193" i="47"/>
  <c r="I193" i="47" s="1"/>
  <c r="H201" i="47"/>
  <c r="I201" i="47" s="1"/>
  <c r="H209" i="47"/>
  <c r="I209" i="47" s="1"/>
  <c r="H222" i="47"/>
  <c r="I222" i="47" s="1"/>
  <c r="H227" i="47"/>
  <c r="I227" i="47" s="1"/>
  <c r="H233" i="47"/>
  <c r="I233" i="47" s="1"/>
  <c r="H237" i="47"/>
  <c r="I237" i="47" s="1"/>
  <c r="H247" i="47"/>
  <c r="I247" i="47" s="1"/>
  <c r="H256" i="47"/>
  <c r="I256" i="47" s="1"/>
  <c r="H258" i="47"/>
  <c r="I258" i="47" s="1"/>
  <c r="H267" i="47"/>
  <c r="I267" i="47" s="1"/>
  <c r="H273" i="47"/>
  <c r="I273" i="47" s="1"/>
  <c r="H276" i="47"/>
  <c r="I276" i="47" s="1"/>
  <c r="H282" i="47"/>
  <c r="I282" i="47" s="1"/>
  <c r="H289" i="47"/>
  <c r="I289" i="47" s="1"/>
  <c r="H292" i="47"/>
  <c r="I292" i="47" s="1"/>
  <c r="H298" i="47"/>
  <c r="I298" i="47" s="1"/>
  <c r="H303" i="47"/>
  <c r="I303" i="47" s="1"/>
  <c r="H90" i="47"/>
  <c r="I90" i="47" s="1"/>
  <c r="H166" i="47"/>
  <c r="I166" i="47" s="1"/>
  <c r="H203" i="47"/>
  <c r="I203" i="47" s="1"/>
  <c r="H225" i="47"/>
  <c r="I225" i="47" s="1"/>
  <c r="H231" i="47"/>
  <c r="I231" i="47" s="1"/>
  <c r="H239" i="47"/>
  <c r="I239" i="47" s="1"/>
  <c r="H248" i="47"/>
  <c r="I248" i="47" s="1"/>
  <c r="H254" i="47"/>
  <c r="I254" i="47" s="1"/>
  <c r="H278" i="47"/>
  <c r="I278" i="47" s="1"/>
  <c r="H280" i="47"/>
  <c r="I280" i="47" s="1"/>
  <c r="H294" i="47"/>
  <c r="I294" i="47" s="1"/>
  <c r="H296" i="47"/>
  <c r="I296" i="47" s="1"/>
  <c r="H305" i="47"/>
  <c r="I305" i="47" s="1"/>
  <c r="H313" i="47"/>
  <c r="I313" i="47" s="1"/>
  <c r="H317" i="47"/>
  <c r="I317" i="47" s="1"/>
  <c r="H320" i="47"/>
  <c r="I320" i="47" s="1"/>
  <c r="H324" i="47"/>
  <c r="I324" i="47" s="1"/>
  <c r="H79" i="47"/>
  <c r="I79" i="47" s="1"/>
  <c r="H124" i="47"/>
  <c r="I124" i="47" s="1"/>
  <c r="H199" i="47"/>
  <c r="I199" i="47" s="1"/>
  <c r="H259" i="47"/>
  <c r="I259" i="47" s="1"/>
  <c r="H262" i="47"/>
  <c r="I262" i="47" s="1"/>
  <c r="H268" i="47"/>
  <c r="I268" i="47" s="1"/>
  <c r="H316" i="47"/>
  <c r="I316" i="47" s="1"/>
  <c r="H321" i="47"/>
  <c r="I321" i="47" s="1"/>
  <c r="H126" i="47"/>
  <c r="I126" i="47" s="1"/>
  <c r="H183" i="47"/>
  <c r="I183" i="47" s="1"/>
  <c r="H217" i="47"/>
  <c r="I217" i="47" s="1"/>
  <c r="H241" i="47"/>
  <c r="I241" i="47" s="1"/>
  <c r="H277" i="47"/>
  <c r="I277" i="47" s="1"/>
  <c r="H288" i="47"/>
  <c r="I288" i="47" s="1"/>
  <c r="H287" i="47"/>
  <c r="I287" i="47" s="1"/>
  <c r="H207" i="47"/>
  <c r="I207" i="47" s="1"/>
  <c r="H219" i="47"/>
  <c r="I219" i="47" s="1"/>
  <c r="H249" i="47"/>
  <c r="I249" i="47" s="1"/>
  <c r="H293" i="47"/>
  <c r="I293" i="47" s="1"/>
  <c r="H310" i="47"/>
  <c r="I310" i="47" s="1"/>
  <c r="H181" i="47"/>
  <c r="I181" i="47" s="1"/>
  <c r="H223" i="47"/>
  <c r="I223" i="47" s="1"/>
  <c r="H242" i="47"/>
  <c r="I242" i="47" s="1"/>
  <c r="H306" i="47"/>
  <c r="I306" i="47" s="1"/>
  <c r="X54" i="142"/>
  <c r="Y49" i="142"/>
  <c r="Y54" i="142" s="1"/>
  <c r="AL80" i="41"/>
  <c r="Y80" i="41"/>
  <c r="Y46" i="42" s="1"/>
  <c r="Y49" i="42" s="1"/>
  <c r="Y50" i="42" s="1"/>
  <c r="Y51" i="42" s="1"/>
  <c r="Y52" i="42" s="1"/>
  <c r="Y53" i="42" s="1"/>
  <c r="Y54" i="42" s="1"/>
  <c r="Y55" i="42" s="1"/>
  <c r="Y56" i="42" s="1"/>
  <c r="Y57" i="42" s="1"/>
  <c r="Y58" i="42" s="1"/>
  <c r="Y59" i="42" s="1"/>
  <c r="Y60" i="42" s="1"/>
  <c r="Y61" i="42" s="1"/>
  <c r="Y62" i="42" s="1"/>
  <c r="Y63" i="42" s="1"/>
  <c r="Y64" i="42" s="1"/>
  <c r="Y65" i="42" s="1"/>
  <c r="Y66" i="42" s="1"/>
  <c r="Y67" i="42" s="1"/>
  <c r="Y68" i="42" s="1"/>
  <c r="Y69" i="42" s="1"/>
  <c r="Y70" i="42" s="1"/>
  <c r="Y71" i="42" s="1"/>
  <c r="Y72" i="42" s="1"/>
  <c r="Y73" i="42" s="1"/>
  <c r="Y74" i="42" s="1"/>
  <c r="Y75" i="42" s="1"/>
  <c r="Y76" i="42" s="1"/>
  <c r="Y77" i="42" s="1"/>
  <c r="Y78" i="42" s="1"/>
  <c r="Y80" i="42" s="1"/>
  <c r="Y46" i="43" s="1"/>
  <c r="Y49" i="43" s="1"/>
  <c r="Y50" i="43" s="1"/>
  <c r="Y51" i="43" s="1"/>
  <c r="Y52" i="43" s="1"/>
  <c r="Y53" i="43" s="1"/>
  <c r="Y54" i="43" s="1"/>
  <c r="Y55" i="43" s="1"/>
  <c r="Y56" i="43" s="1"/>
  <c r="Y57" i="43" s="1"/>
  <c r="Y58" i="43" s="1"/>
  <c r="Y59" i="43" s="1"/>
  <c r="Y60" i="43" s="1"/>
  <c r="Y61" i="43" s="1"/>
  <c r="Y62" i="43" s="1"/>
  <c r="Y63" i="43" s="1"/>
  <c r="Y64" i="43" s="1"/>
  <c r="Y65" i="43" s="1"/>
  <c r="Y66" i="43" s="1"/>
  <c r="Y67" i="43" s="1"/>
  <c r="Y68" i="43" s="1"/>
  <c r="Y69" i="43" s="1"/>
  <c r="Y70" i="43" s="1"/>
  <c r="Y71" i="43" s="1"/>
  <c r="Y72" i="43" s="1"/>
  <c r="Y73" i="43" s="1"/>
  <c r="Y74" i="43" s="1"/>
  <c r="Y75" i="43" s="1"/>
  <c r="Y76" i="43" s="1"/>
  <c r="Y77" i="43" s="1"/>
  <c r="Y78" i="43" s="1"/>
  <c r="Y79" i="43" s="1"/>
  <c r="AA73" i="47"/>
  <c r="AB73" i="47"/>
  <c r="AC73" i="47" s="1"/>
  <c r="AA28" i="133"/>
  <c r="Y33" i="133"/>
  <c r="AB78" i="47"/>
  <c r="AC78" i="47" s="1"/>
  <c r="AA78" i="47"/>
  <c r="AA28" i="134"/>
  <c r="Y33" i="134"/>
  <c r="H80" i="42"/>
  <c r="W54" i="142"/>
  <c r="W34" i="143"/>
  <c r="X28" i="143"/>
  <c r="N32" i="110"/>
  <c r="D68" i="47" s="1"/>
  <c r="F68" i="47" s="1"/>
  <c r="S68" i="47" s="1"/>
  <c r="Y30" i="110"/>
  <c r="Y32" i="110" s="1"/>
  <c r="E88" i="47"/>
  <c r="E103" i="47"/>
  <c r="E83" i="47"/>
  <c r="E113" i="47"/>
  <c r="E120" i="47"/>
  <c r="E149" i="47"/>
  <c r="E160" i="47"/>
  <c r="E171" i="47"/>
  <c r="E89" i="47"/>
  <c r="E169" i="47"/>
  <c r="E129" i="47"/>
  <c r="E183" i="47"/>
  <c r="E193" i="47"/>
  <c r="E197" i="47"/>
  <c r="E201" i="47"/>
  <c r="E205" i="47"/>
  <c r="E211" i="47"/>
  <c r="E215" i="47"/>
  <c r="E123" i="47"/>
  <c r="E161" i="47"/>
  <c r="E245" i="47"/>
  <c r="E252" i="47"/>
  <c r="E254" i="47"/>
  <c r="E271" i="47"/>
  <c r="E286" i="47"/>
  <c r="E293" i="47"/>
  <c r="E295" i="47"/>
  <c r="E142" i="47"/>
  <c r="E167" i="47"/>
  <c r="E200" i="47"/>
  <c r="E219" i="47"/>
  <c r="E239" i="47"/>
  <c r="E260" i="47"/>
  <c r="E272" i="47"/>
  <c r="E174" i="47"/>
  <c r="E191" i="47"/>
  <c r="E227" i="47"/>
  <c r="E247" i="47"/>
  <c r="E258" i="47"/>
  <c r="E300" i="47"/>
  <c r="E198" i="47"/>
  <c r="E233" i="47"/>
  <c r="E267" i="47"/>
  <c r="E282" i="47"/>
  <c r="E298" i="47"/>
  <c r="E315" i="47"/>
  <c r="E327" i="47"/>
  <c r="E244" i="47"/>
  <c r="E194" i="47"/>
  <c r="E314" i="47"/>
  <c r="E274" i="47"/>
  <c r="E236" i="47"/>
  <c r="E317" i="47"/>
  <c r="E241" i="47"/>
  <c r="E96" i="47"/>
  <c r="E92" i="47"/>
  <c r="E105" i="47"/>
  <c r="E115" i="47"/>
  <c r="E104" i="47"/>
  <c r="E99" i="47"/>
  <c r="E146" i="47"/>
  <c r="E80" i="47"/>
  <c r="E107" i="47"/>
  <c r="E112" i="47"/>
  <c r="E124" i="47"/>
  <c r="E137" i="47"/>
  <c r="E139" i="47"/>
  <c r="E153" i="47"/>
  <c r="E166" i="47"/>
  <c r="E175" i="47"/>
  <c r="E152" i="47"/>
  <c r="E170" i="47"/>
  <c r="E188" i="47"/>
  <c r="E195" i="47"/>
  <c r="E199" i="47"/>
  <c r="E203" i="47"/>
  <c r="E207" i="47"/>
  <c r="E110" i="47"/>
  <c r="E147" i="47"/>
  <c r="E154" i="47"/>
  <c r="E177" i="47"/>
  <c r="E182" i="47"/>
  <c r="E131" i="47"/>
  <c r="E218" i="47"/>
  <c r="E231" i="47"/>
  <c r="E238" i="47"/>
  <c r="E249" i="47"/>
  <c r="E253" i="47"/>
  <c r="E261" i="47"/>
  <c r="E278" i="47"/>
  <c r="E287" i="47"/>
  <c r="E294" i="47"/>
  <c r="E302" i="47"/>
  <c r="E309" i="47"/>
  <c r="E106" i="47"/>
  <c r="E157" i="47"/>
  <c r="E180" i="47"/>
  <c r="E192" i="47"/>
  <c r="E204" i="47"/>
  <c r="E212" i="47"/>
  <c r="E229" i="47"/>
  <c r="E235" i="47"/>
  <c r="E263" i="47"/>
  <c r="E310" i="47"/>
  <c r="E156" i="47"/>
  <c r="E202" i="47"/>
  <c r="E240" i="47"/>
  <c r="E284" i="47"/>
  <c r="E307" i="47"/>
  <c r="E311" i="47"/>
  <c r="E326" i="47"/>
  <c r="E119" i="47"/>
  <c r="E176" i="47"/>
  <c r="E323" i="47"/>
  <c r="E318" i="47"/>
  <c r="E276" i="47"/>
  <c r="E246" i="47"/>
  <c r="E190" i="47"/>
  <c r="E210" i="47"/>
  <c r="E226" i="47"/>
  <c r="E163" i="47"/>
  <c r="E251" i="47"/>
  <c r="E273" i="47"/>
  <c r="E81" i="47"/>
  <c r="E91" i="47"/>
  <c r="E98" i="47"/>
  <c r="E86" i="47"/>
  <c r="E97" i="47"/>
  <c r="E111" i="47"/>
  <c r="E121" i="47"/>
  <c r="E122" i="47"/>
  <c r="E126" i="47"/>
  <c r="E134" i="47"/>
  <c r="E165" i="47"/>
  <c r="E87" i="47"/>
  <c r="E132" i="47"/>
  <c r="E138" i="47"/>
  <c r="E145" i="47"/>
  <c r="E150" i="47"/>
  <c r="E159" i="47"/>
  <c r="E135" i="47"/>
  <c r="E158" i="47"/>
  <c r="E143" i="47"/>
  <c r="E151" i="47"/>
  <c r="E172" i="47"/>
  <c r="E179" i="47"/>
  <c r="E189" i="47"/>
  <c r="E178" i="47"/>
  <c r="E225" i="47"/>
  <c r="E259" i="47"/>
  <c r="E262" i="47"/>
  <c r="E285" i="47"/>
  <c r="E305" i="47"/>
  <c r="E79" i="47"/>
  <c r="E114" i="47"/>
  <c r="E168" i="47"/>
  <c r="E196" i="47"/>
  <c r="E221" i="47"/>
  <c r="E242" i="47"/>
  <c r="E280" i="47"/>
  <c r="E296" i="47"/>
  <c r="E224" i="47"/>
  <c r="E266" i="47"/>
  <c r="E270" i="47"/>
  <c r="E297" i="47"/>
  <c r="E308" i="47"/>
  <c r="E322" i="47"/>
  <c r="E118" i="47"/>
  <c r="E214" i="47"/>
  <c r="E250" i="47"/>
  <c r="E264" i="47"/>
  <c r="E319" i="47"/>
  <c r="E324" i="47"/>
  <c r="E127" i="47"/>
  <c r="E283" i="47"/>
  <c r="E230" i="47"/>
  <c r="E312" i="47"/>
  <c r="E316" i="47"/>
  <c r="E102" i="47"/>
  <c r="E321" i="47"/>
  <c r="E85" i="47"/>
  <c r="E94" i="47"/>
  <c r="E100" i="47"/>
  <c r="E90" i="47"/>
  <c r="E93" i="47"/>
  <c r="E101" i="47"/>
  <c r="E109" i="47"/>
  <c r="E117" i="47"/>
  <c r="E130" i="47"/>
  <c r="E136" i="47"/>
  <c r="E155" i="47"/>
  <c r="E162" i="47"/>
  <c r="E82" i="47"/>
  <c r="E108" i="47"/>
  <c r="E116" i="47"/>
  <c r="E128" i="47"/>
  <c r="E148" i="47"/>
  <c r="E164" i="47"/>
  <c r="E95" i="47"/>
  <c r="E140" i="47"/>
  <c r="E186" i="47"/>
  <c r="E209" i="47"/>
  <c r="E213" i="47"/>
  <c r="E84" i="47"/>
  <c r="E133" i="47"/>
  <c r="E144" i="47"/>
  <c r="E173" i="47"/>
  <c r="E184" i="47"/>
  <c r="E217" i="47"/>
  <c r="E223" i="47"/>
  <c r="E228" i="47"/>
  <c r="E234" i="47"/>
  <c r="E248" i="47"/>
  <c r="E268" i="47"/>
  <c r="E277" i="47"/>
  <c r="E279" i="47"/>
  <c r="E301" i="47"/>
  <c r="E185" i="47"/>
  <c r="E208" i="47"/>
  <c r="E216" i="47"/>
  <c r="E220" i="47"/>
  <c r="E232" i="47"/>
  <c r="E255" i="47"/>
  <c r="E265" i="47"/>
  <c r="E288" i="47"/>
  <c r="E306" i="47"/>
  <c r="E141" i="47"/>
  <c r="E187" i="47"/>
  <c r="E243" i="47"/>
  <c r="E256" i="47"/>
  <c r="E269" i="47"/>
  <c r="E281" i="47"/>
  <c r="E304" i="47"/>
  <c r="E125" i="47"/>
  <c r="E257" i="47"/>
  <c r="E275" i="47"/>
  <c r="E291" i="47"/>
  <c r="E303" i="47"/>
  <c r="E320" i="47"/>
  <c r="E289" i="47"/>
  <c r="E325" i="47"/>
  <c r="E290" i="47"/>
  <c r="E313" i="47"/>
  <c r="E237" i="47"/>
  <c r="E181" i="47"/>
  <c r="E206" i="47"/>
  <c r="E222" i="47"/>
  <c r="E299" i="47"/>
  <c r="E292" i="47"/>
  <c r="M41" i="112"/>
  <c r="H70" i="47" s="1"/>
  <c r="I70" i="47" s="1"/>
  <c r="N37" i="112"/>
  <c r="AA328" i="47"/>
  <c r="AB328" i="47"/>
  <c r="AC328" i="47" s="1"/>
  <c r="X34" i="146" l="1"/>
  <c r="Y28" i="146"/>
  <c r="E330" i="47"/>
  <c r="F330" i="47" s="1"/>
  <c r="H330" i="47"/>
  <c r="I330" i="47" s="1"/>
  <c r="Y28" i="149"/>
  <c r="X34" i="149"/>
  <c r="Y54" i="152"/>
  <c r="X54" i="152"/>
  <c r="X34" i="150"/>
  <c r="Y28" i="150"/>
  <c r="Y34" i="150" s="1"/>
  <c r="Y34" i="152"/>
  <c r="AA28" i="152"/>
  <c r="S78" i="47"/>
  <c r="X34" i="147"/>
  <c r="Y28" i="147"/>
  <c r="N54" i="152"/>
  <c r="E337" i="47" s="1"/>
  <c r="F337" i="47" s="1"/>
  <c r="M54" i="152"/>
  <c r="H337" i="47" s="1"/>
  <c r="I337" i="47" s="1"/>
  <c r="Y34" i="148"/>
  <c r="AA28" i="148"/>
  <c r="X34" i="151"/>
  <c r="Y28" i="151"/>
  <c r="AB74" i="47"/>
  <c r="AC74" i="47" s="1"/>
  <c r="AA74" i="47"/>
  <c r="N50" i="133"/>
  <c r="M54" i="133"/>
  <c r="H74" i="47" s="1"/>
  <c r="I74" i="47" s="1"/>
  <c r="Y37" i="111"/>
  <c r="Y41" i="111" s="1"/>
  <c r="N41" i="111"/>
  <c r="E69" i="47" s="1"/>
  <c r="N32" i="112"/>
  <c r="D70" i="47" s="1"/>
  <c r="Y30" i="112"/>
  <c r="Y32" i="112" s="1"/>
  <c r="AB334" i="47"/>
  <c r="AC334" i="47" s="1"/>
  <c r="AA334" i="47"/>
  <c r="E334" i="47"/>
  <c r="F334" i="47" s="1"/>
  <c r="E332" i="47"/>
  <c r="F332" i="47" s="1"/>
  <c r="I69" i="47"/>
  <c r="N32" i="111"/>
  <c r="D69" i="47" s="1"/>
  <c r="Y30" i="111"/>
  <c r="Y32" i="111" s="1"/>
  <c r="H333" i="47"/>
  <c r="I333" i="47" s="1"/>
  <c r="AA333" i="47"/>
  <c r="AB333" i="47"/>
  <c r="AC333" i="47" s="1"/>
  <c r="E331" i="47"/>
  <c r="F331" i="47" s="1"/>
  <c r="F170" i="47"/>
  <c r="S170" i="47" s="1"/>
  <c r="F296" i="47"/>
  <c r="S296" i="47" s="1"/>
  <c r="F324" i="47"/>
  <c r="S324" i="47" s="1"/>
  <c r="F97" i="47"/>
  <c r="S97" i="47" s="1"/>
  <c r="F161" i="47"/>
  <c r="S161" i="47" s="1"/>
  <c r="F195" i="47"/>
  <c r="S195" i="47" s="1"/>
  <c r="F271" i="47"/>
  <c r="S271" i="47" s="1"/>
  <c r="F122" i="47"/>
  <c r="S122" i="47" s="1"/>
  <c r="F121" i="47"/>
  <c r="S121" i="47" s="1"/>
  <c r="F233" i="47"/>
  <c r="S233" i="47" s="1"/>
  <c r="F231" i="47"/>
  <c r="S231" i="47" s="1"/>
  <c r="F108" i="47"/>
  <c r="S108" i="47" s="1"/>
  <c r="F156" i="47"/>
  <c r="S156" i="47" s="1"/>
  <c r="F246" i="47"/>
  <c r="S246" i="47" s="1"/>
  <c r="F305" i="47"/>
  <c r="S305" i="47" s="1"/>
  <c r="F82" i="47"/>
  <c r="S82" i="47" s="1"/>
  <c r="F141" i="47"/>
  <c r="S141" i="47" s="1"/>
  <c r="F237" i="47"/>
  <c r="S237" i="47" s="1"/>
  <c r="F248" i="47"/>
  <c r="S248" i="47" s="1"/>
  <c r="F87" i="47"/>
  <c r="S87" i="47" s="1"/>
  <c r="F191" i="47"/>
  <c r="S191" i="47" s="1"/>
  <c r="F270" i="47"/>
  <c r="S270" i="47" s="1"/>
  <c r="F321" i="47"/>
  <c r="S321" i="47" s="1"/>
  <c r="F145" i="47"/>
  <c r="S145" i="47" s="1"/>
  <c r="F142" i="47"/>
  <c r="S142" i="47" s="1"/>
  <c r="F291" i="47"/>
  <c r="S291" i="47" s="1"/>
  <c r="F258" i="47"/>
  <c r="S258" i="47" s="1"/>
  <c r="F164" i="47"/>
  <c r="S164" i="47" s="1"/>
  <c r="F193" i="47"/>
  <c r="S193" i="47" s="1"/>
  <c r="F307" i="47"/>
  <c r="S307" i="47" s="1"/>
  <c r="F313" i="47"/>
  <c r="S313" i="47" s="1"/>
  <c r="F135" i="47"/>
  <c r="S135" i="47" s="1"/>
  <c r="F242" i="47"/>
  <c r="S242" i="47" s="1"/>
  <c r="F286" i="47"/>
  <c r="S286" i="47" s="1"/>
  <c r="F278" i="47"/>
  <c r="S278" i="47" s="1"/>
  <c r="F100" i="47"/>
  <c r="S100" i="47" s="1"/>
  <c r="F219" i="47"/>
  <c r="S219" i="47" s="1"/>
  <c r="F214" i="47"/>
  <c r="S214" i="47" s="1"/>
  <c r="F254" i="47"/>
  <c r="S254" i="47" s="1"/>
  <c r="F147" i="47"/>
  <c r="S147" i="47" s="1"/>
  <c r="F260" i="47"/>
  <c r="S260" i="47" s="1"/>
  <c r="F302" i="47"/>
  <c r="S302" i="47" s="1"/>
  <c r="F113" i="47"/>
  <c r="S113" i="47" s="1"/>
  <c r="F189" i="47"/>
  <c r="S189" i="47" s="1"/>
  <c r="F217" i="47"/>
  <c r="S217" i="47" s="1"/>
  <c r="F187" i="47"/>
  <c r="S187" i="47" s="1"/>
  <c r="F106" i="47"/>
  <c r="S106" i="47" s="1"/>
  <c r="F179" i="47"/>
  <c r="S179" i="47" s="1"/>
  <c r="F207" i="47"/>
  <c r="S207" i="47" s="1"/>
  <c r="F292" i="47"/>
  <c r="S292" i="47" s="1"/>
  <c r="F89" i="47"/>
  <c r="S89" i="47" s="1"/>
  <c r="F146" i="47"/>
  <c r="S146" i="47" s="1"/>
  <c r="F240" i="47"/>
  <c r="S240" i="47" s="1"/>
  <c r="F253" i="47"/>
  <c r="S253" i="47" s="1"/>
  <c r="F91" i="47"/>
  <c r="S91" i="47" s="1"/>
  <c r="F196" i="47"/>
  <c r="S196" i="47" s="1"/>
  <c r="F273" i="47"/>
  <c r="S273" i="47" s="1"/>
  <c r="F183" i="47"/>
  <c r="S183" i="47" s="1"/>
  <c r="F137" i="47"/>
  <c r="S137" i="47" s="1"/>
  <c r="F216" i="47"/>
  <c r="S216" i="47" s="1"/>
  <c r="F283" i="47"/>
  <c r="S283" i="47" s="1"/>
  <c r="F223" i="47"/>
  <c r="S223" i="47" s="1"/>
  <c r="AA28" i="153"/>
  <c r="X34" i="143"/>
  <c r="Y28" i="143"/>
  <c r="Y34" i="143" s="1"/>
  <c r="F117" i="47"/>
  <c r="S117" i="47" s="1"/>
  <c r="F115" i="47"/>
  <c r="S115" i="47" s="1"/>
  <c r="F222" i="47"/>
  <c r="S222" i="47" s="1"/>
  <c r="F190" i="47"/>
  <c r="S190" i="47" s="1"/>
  <c r="F112" i="47"/>
  <c r="S112" i="47" s="1"/>
  <c r="F176" i="47"/>
  <c r="S176" i="47" s="1"/>
  <c r="F256" i="47"/>
  <c r="S256" i="47" s="1"/>
  <c r="F261" i="47"/>
  <c r="S261" i="47" s="1"/>
  <c r="F132" i="47"/>
  <c r="S132" i="47" s="1"/>
  <c r="F212" i="47"/>
  <c r="S212" i="47" s="1"/>
  <c r="F282" i="47"/>
  <c r="S282" i="47" s="1"/>
  <c r="F325" i="47"/>
  <c r="S325" i="47" s="1"/>
  <c r="F148" i="47"/>
  <c r="S148" i="47" s="1"/>
  <c r="F160" i="47"/>
  <c r="S160" i="47" s="1"/>
  <c r="F297" i="47"/>
  <c r="S297" i="47" s="1"/>
  <c r="F279" i="47"/>
  <c r="S279" i="47" s="1"/>
  <c r="F138" i="47"/>
  <c r="S138" i="47" s="1"/>
  <c r="F218" i="47"/>
  <c r="S218" i="47" s="1"/>
  <c r="F289" i="47"/>
  <c r="S289" i="47" s="1"/>
  <c r="F230" i="47"/>
  <c r="S230" i="47" s="1"/>
  <c r="F169" i="47"/>
  <c r="S169" i="47" s="1"/>
  <c r="F201" i="47"/>
  <c r="S201" i="47" s="1"/>
  <c r="F311" i="47"/>
  <c r="S311" i="47" s="1"/>
  <c r="F165" i="47"/>
  <c r="S165" i="47" s="1"/>
  <c r="F131" i="47"/>
  <c r="S131" i="47" s="1"/>
  <c r="F235" i="47"/>
  <c r="S235" i="47" s="1"/>
  <c r="F267" i="47"/>
  <c r="S267" i="47" s="1"/>
  <c r="F225" i="47"/>
  <c r="S225" i="47" s="1"/>
  <c r="F152" i="47"/>
  <c r="S152" i="47" s="1"/>
  <c r="F263" i="47"/>
  <c r="S263" i="47" s="1"/>
  <c r="F303" i="47"/>
  <c r="S303" i="47" s="1"/>
  <c r="F95" i="47"/>
  <c r="S95" i="47" s="1"/>
  <c r="F151" i="47"/>
  <c r="S151" i="47" s="1"/>
  <c r="F188" i="47"/>
  <c r="S188" i="47" s="1"/>
  <c r="F251" i="47"/>
  <c r="S251" i="47" s="1"/>
  <c r="F88" i="47"/>
  <c r="S88" i="47" s="1"/>
  <c r="F173" i="47"/>
  <c r="S173" i="47" s="1"/>
  <c r="F306" i="47"/>
  <c r="S306" i="47" s="1"/>
  <c r="F327" i="47"/>
  <c r="S327" i="47" s="1"/>
  <c r="F101" i="47"/>
  <c r="S101" i="47" s="1"/>
  <c r="F172" i="47"/>
  <c r="S172" i="47" s="1"/>
  <c r="F199" i="47"/>
  <c r="S199" i="47" s="1"/>
  <c r="F276" i="47"/>
  <c r="S276" i="47" s="1"/>
  <c r="F107" i="47"/>
  <c r="S107" i="47" s="1"/>
  <c r="F200" i="47"/>
  <c r="S200" i="47" s="1"/>
  <c r="F274" i="47"/>
  <c r="S274" i="47" s="1"/>
  <c r="F269" i="47"/>
  <c r="S269" i="47" s="1"/>
  <c r="F118" i="47"/>
  <c r="S118" i="47" s="1"/>
  <c r="F185" i="47"/>
  <c r="S185" i="47" s="1"/>
  <c r="F266" i="47"/>
  <c r="S266" i="47" s="1"/>
  <c r="F301" i="47"/>
  <c r="S301" i="47" s="1"/>
  <c r="F139" i="47"/>
  <c r="S139" i="47" s="1"/>
  <c r="F98" i="47"/>
  <c r="S98" i="47" s="1"/>
  <c r="F290" i="47"/>
  <c r="S290" i="47" s="1"/>
  <c r="F245" i="47"/>
  <c r="S245" i="47" s="1"/>
  <c r="F175" i="47"/>
  <c r="S175" i="47" s="1"/>
  <c r="F205" i="47"/>
  <c r="S205" i="47" s="1"/>
  <c r="F93" i="47"/>
  <c r="S93" i="47" s="1"/>
  <c r="F202" i="47"/>
  <c r="S202" i="47" s="1"/>
  <c r="F125" i="47"/>
  <c r="S125" i="47" s="1"/>
  <c r="F221" i="47"/>
  <c r="S221" i="47" s="1"/>
  <c r="F252" i="47"/>
  <c r="S252" i="47" s="1"/>
  <c r="F309" i="47"/>
  <c r="S309" i="47" s="1"/>
  <c r="Y80" i="43"/>
  <c r="Y46" i="44" s="1"/>
  <c r="Y49" i="44" s="1"/>
  <c r="Y50" i="44" s="1"/>
  <c r="Y51" i="44" s="1"/>
  <c r="Y52" i="44" s="1"/>
  <c r="Y53" i="44" s="1"/>
  <c r="Y54" i="44" s="1"/>
  <c r="Y55" i="44" s="1"/>
  <c r="Y56" i="44" s="1"/>
  <c r="Y57" i="44" s="1"/>
  <c r="Y58" i="44" s="1"/>
  <c r="Y59" i="44" s="1"/>
  <c r="Y60" i="44" s="1"/>
  <c r="Y61" i="44" s="1"/>
  <c r="Y62" i="44" s="1"/>
  <c r="Y63" i="44" s="1"/>
  <c r="Y64" i="44" s="1"/>
  <c r="Y65" i="44" s="1"/>
  <c r="Y66" i="44" s="1"/>
  <c r="Y67" i="44" s="1"/>
  <c r="Y68" i="44" s="1"/>
  <c r="Y69" i="44" s="1"/>
  <c r="Y70" i="44" s="1"/>
  <c r="Y71" i="44" s="1"/>
  <c r="Y72" i="44" s="1"/>
  <c r="Y73" i="44" s="1"/>
  <c r="Y74" i="44" s="1"/>
  <c r="Y75" i="44" s="1"/>
  <c r="Y76" i="44" s="1"/>
  <c r="Y77" i="44" s="1"/>
  <c r="Y78" i="44" s="1"/>
  <c r="Y79" i="44" s="1"/>
  <c r="AL80" i="43"/>
  <c r="AA329" i="47"/>
  <c r="AB329" i="47"/>
  <c r="AC329" i="47" s="1"/>
  <c r="F124" i="47"/>
  <c r="S124" i="47" s="1"/>
  <c r="F204" i="47"/>
  <c r="S204" i="47" s="1"/>
  <c r="F275" i="47"/>
  <c r="S275" i="47" s="1"/>
  <c r="F318" i="47"/>
  <c r="S318" i="47" s="1"/>
  <c r="F153" i="47"/>
  <c r="S153" i="47" s="1"/>
  <c r="F186" i="47"/>
  <c r="S186" i="47" s="1"/>
  <c r="F299" i="47"/>
  <c r="S299" i="47" s="1"/>
  <c r="F285" i="47"/>
  <c r="S285" i="47" s="1"/>
  <c r="F123" i="47"/>
  <c r="S123" i="47" s="1"/>
  <c r="F220" i="47"/>
  <c r="S220" i="47" s="1"/>
  <c r="F249" i="47"/>
  <c r="S249" i="47" s="1"/>
  <c r="F295" i="47"/>
  <c r="S295" i="47" s="1"/>
  <c r="F133" i="47"/>
  <c r="S133" i="47" s="1"/>
  <c r="F239" i="47"/>
  <c r="S239" i="47" s="1"/>
  <c r="F277" i="47"/>
  <c r="S277" i="47" s="1"/>
  <c r="F238" i="47"/>
  <c r="S238" i="47" s="1"/>
  <c r="F127" i="47"/>
  <c r="S127" i="47" s="1"/>
  <c r="F229" i="47"/>
  <c r="S229" i="47" s="1"/>
  <c r="F259" i="47"/>
  <c r="S259" i="47" s="1"/>
  <c r="F314" i="47"/>
  <c r="S314" i="47" s="1"/>
  <c r="F157" i="47"/>
  <c r="S157" i="47" s="1"/>
  <c r="F272" i="47"/>
  <c r="S272" i="47" s="1"/>
  <c r="F319" i="47"/>
  <c r="S319" i="47" s="1"/>
  <c r="F83" i="47"/>
  <c r="S83" i="47" s="1"/>
  <c r="F143" i="47"/>
  <c r="S143" i="47" s="1"/>
  <c r="F174" i="47"/>
  <c r="S174" i="47" s="1"/>
  <c r="F241" i="47"/>
  <c r="S241" i="47" s="1"/>
  <c r="F105" i="47"/>
  <c r="S105" i="47" s="1"/>
  <c r="F177" i="47"/>
  <c r="S177" i="47" s="1"/>
  <c r="F203" i="47"/>
  <c r="S203" i="47" s="1"/>
  <c r="F287" i="47"/>
  <c r="S287" i="47" s="1"/>
  <c r="F110" i="47"/>
  <c r="S110" i="47" s="1"/>
  <c r="F171" i="47"/>
  <c r="S171" i="47" s="1"/>
  <c r="F250" i="47"/>
  <c r="S250" i="47" s="1"/>
  <c r="F326" i="47"/>
  <c r="S326" i="47" s="1"/>
  <c r="F120" i="47"/>
  <c r="S120" i="47" s="1"/>
  <c r="F119" i="47"/>
  <c r="S119" i="47" s="1"/>
  <c r="F226" i="47"/>
  <c r="S226" i="47" s="1"/>
  <c r="F206" i="47"/>
  <c r="S206" i="47" s="1"/>
  <c r="F114" i="47"/>
  <c r="S114" i="47" s="1"/>
  <c r="F178" i="47"/>
  <c r="S178" i="47" s="1"/>
  <c r="F257" i="47"/>
  <c r="S257" i="47" s="1"/>
  <c r="F268" i="47"/>
  <c r="S268" i="47" s="1"/>
  <c r="F81" i="47"/>
  <c r="S81" i="47" s="1"/>
  <c r="F209" i="47"/>
  <c r="S209" i="47" s="1"/>
  <c r="F94" i="47"/>
  <c r="S94" i="47" s="1"/>
  <c r="F227" i="47"/>
  <c r="S227" i="47" s="1"/>
  <c r="F166" i="47"/>
  <c r="S166" i="47" s="1"/>
  <c r="F197" i="47"/>
  <c r="S197" i="47" s="1"/>
  <c r="F308" i="47"/>
  <c r="S308" i="47" s="1"/>
  <c r="F316" i="47"/>
  <c r="S316" i="47" s="1"/>
  <c r="F129" i="47"/>
  <c r="S129" i="47" s="1"/>
  <c r="F232" i="47"/>
  <c r="S232" i="47" s="1"/>
  <c r="F262" i="47"/>
  <c r="S262" i="47" s="1"/>
  <c r="F224" i="47"/>
  <c r="S224" i="47" s="1"/>
  <c r="F163" i="47"/>
  <c r="S163" i="47" s="1"/>
  <c r="F280" i="47"/>
  <c r="S280" i="47" s="1"/>
  <c r="F320" i="47"/>
  <c r="S320" i="47" s="1"/>
  <c r="F92" i="47"/>
  <c r="S92" i="47" s="1"/>
  <c r="F99" i="47"/>
  <c r="S99" i="47" s="1"/>
  <c r="F134" i="47"/>
  <c r="S134" i="47" s="1"/>
  <c r="F194" i="47"/>
  <c r="S194" i="47" s="1"/>
  <c r="N41" i="112"/>
  <c r="E70" i="47" s="1"/>
  <c r="Y37" i="112"/>
  <c r="Y41" i="112" s="1"/>
  <c r="Y42" i="143"/>
  <c r="Y43" i="143" s="1"/>
  <c r="X43" i="143"/>
  <c r="AB331" i="47"/>
  <c r="AC331" i="47" s="1"/>
  <c r="AA331" i="47"/>
  <c r="F96" i="47"/>
  <c r="S96" i="47" s="1"/>
  <c r="F213" i="47"/>
  <c r="S213" i="47" s="1"/>
  <c r="F198" i="47"/>
  <c r="S198" i="47" s="1"/>
  <c r="F228" i="47"/>
  <c r="S228" i="47" s="1"/>
  <c r="F140" i="47"/>
  <c r="S140" i="47" s="1"/>
  <c r="F255" i="47"/>
  <c r="S255" i="47" s="1"/>
  <c r="F293" i="47"/>
  <c r="S293" i="47" s="1"/>
  <c r="F90" i="47"/>
  <c r="S90" i="47" s="1"/>
  <c r="F85" i="47"/>
  <c r="S85" i="47" s="1"/>
  <c r="F310" i="47"/>
  <c r="S310" i="47" s="1"/>
  <c r="F158" i="47"/>
  <c r="S158" i="47" s="1"/>
  <c r="F84" i="47"/>
  <c r="S84" i="47" s="1"/>
  <c r="F144" i="47"/>
  <c r="S144" i="47" s="1"/>
  <c r="F181" i="47"/>
  <c r="S181" i="47" s="1"/>
  <c r="F244" i="47"/>
  <c r="S244" i="47" s="1"/>
  <c r="F103" i="47"/>
  <c r="S103" i="47" s="1"/>
  <c r="F111" i="47"/>
  <c r="S111" i="47" s="1"/>
  <c r="F136" i="47"/>
  <c r="S136" i="47" s="1"/>
  <c r="F210" i="47"/>
  <c r="S210" i="47" s="1"/>
  <c r="F104" i="47"/>
  <c r="S104" i="47" s="1"/>
  <c r="F182" i="47"/>
  <c r="S182" i="47" s="1"/>
  <c r="F211" i="47"/>
  <c r="S211" i="47" s="1"/>
  <c r="F317" i="47"/>
  <c r="S317" i="47" s="1"/>
  <c r="F102" i="47"/>
  <c r="S102" i="47" s="1"/>
  <c r="F149" i="47"/>
  <c r="S149" i="47" s="1"/>
  <c r="F243" i="47"/>
  <c r="S243" i="47" s="1"/>
  <c r="F294" i="47"/>
  <c r="S294" i="47" s="1"/>
  <c r="F116" i="47"/>
  <c r="S116" i="47" s="1"/>
  <c r="F180" i="47"/>
  <c r="S180" i="47" s="1"/>
  <c r="F264" i="47"/>
  <c r="S264" i="47" s="1"/>
  <c r="F300" i="47"/>
  <c r="S300" i="47" s="1"/>
  <c r="F150" i="47"/>
  <c r="S150" i="47" s="1"/>
  <c r="F167" i="47"/>
  <c r="S167" i="47" s="1"/>
  <c r="F298" i="47"/>
  <c r="S298" i="47" s="1"/>
  <c r="F284" i="47"/>
  <c r="S284" i="47" s="1"/>
  <c r="F128" i="47"/>
  <c r="S128" i="47" s="1"/>
  <c r="F208" i="47"/>
  <c r="S208" i="47" s="1"/>
  <c r="F281" i="47"/>
  <c r="S281" i="47" s="1"/>
  <c r="F322" i="47"/>
  <c r="S322" i="47" s="1"/>
  <c r="F159" i="47"/>
  <c r="S159" i="47" s="1"/>
  <c r="F192" i="47"/>
  <c r="S192" i="47" s="1"/>
  <c r="F304" i="47"/>
  <c r="S304" i="47" s="1"/>
  <c r="F312" i="47"/>
  <c r="S312" i="47" s="1"/>
  <c r="F168" i="47"/>
  <c r="S168" i="47" s="1"/>
  <c r="F288" i="47"/>
  <c r="S288" i="47" s="1"/>
  <c r="F323" i="47"/>
  <c r="S323" i="47" s="1"/>
  <c r="F86" i="47"/>
  <c r="S86" i="47" s="1"/>
  <c r="F154" i="47"/>
  <c r="S154" i="47" s="1"/>
  <c r="F265" i="47"/>
  <c r="S265" i="47" s="1"/>
  <c r="F315" i="47"/>
  <c r="S315" i="47" s="1"/>
  <c r="F80" i="47"/>
  <c r="S80" i="47" s="1"/>
  <c r="F126" i="47"/>
  <c r="S126" i="47" s="1"/>
  <c r="F162" i="47"/>
  <c r="S162" i="47" s="1"/>
  <c r="F234" i="47"/>
  <c r="S234" i="47" s="1"/>
  <c r="F109" i="47"/>
  <c r="S109" i="47" s="1"/>
  <c r="F184" i="47"/>
  <c r="S184" i="47" s="1"/>
  <c r="F215" i="47"/>
  <c r="S215" i="47" s="1"/>
  <c r="F155" i="47"/>
  <c r="S155" i="47" s="1"/>
  <c r="F79" i="47"/>
  <c r="S79" i="47" s="1"/>
  <c r="F130" i="47"/>
  <c r="S130" i="47" s="1"/>
  <c r="F236" i="47"/>
  <c r="S236" i="47" s="1"/>
  <c r="F247" i="47"/>
  <c r="S247" i="47" s="1"/>
  <c r="Y34" i="151" l="1"/>
  <c r="AA28" i="151"/>
  <c r="Y34" i="147"/>
  <c r="AA28" i="147"/>
  <c r="F70" i="47"/>
  <c r="S70" i="47" s="1"/>
  <c r="Y34" i="146"/>
  <c r="AA28" i="146"/>
  <c r="Y34" i="149"/>
  <c r="AA28" i="149"/>
  <c r="Y50" i="133"/>
  <c r="Y54" i="133" s="1"/>
  <c r="N54" i="133"/>
  <c r="E74" i="47" s="1"/>
  <c r="F74" i="47" s="1"/>
  <c r="S74" i="47" s="1"/>
  <c r="F69" i="47"/>
  <c r="S69" i="47" s="1"/>
  <c r="E333" i="47"/>
  <c r="F333" i="47" s="1"/>
  <c r="AA28" i="150"/>
  <c r="Y80" i="44"/>
  <c r="AL80" i="44"/>
  <c r="V54" i="146" l="1"/>
  <c r="W53" i="146" l="1"/>
  <c r="X53" i="146" s="1"/>
  <c r="Y53" i="146" s="1"/>
  <c r="W52" i="146"/>
  <c r="X52" i="146" s="1"/>
  <c r="Y52" i="146" s="1"/>
  <c r="W51" i="146"/>
  <c r="X51" i="146" s="1"/>
  <c r="Y51" i="146" s="1"/>
  <c r="W50" i="146"/>
  <c r="X50" i="146" s="1"/>
  <c r="Y50" i="146" s="1"/>
  <c r="W49" i="146"/>
  <c r="X49" i="146" s="1"/>
  <c r="Y49" i="146" s="1"/>
  <c r="W54" i="146" l="1"/>
  <c r="Y54" i="146"/>
  <c r="X54" i="146"/>
</calcChain>
</file>

<file path=xl/comments1.xml><?xml version="1.0" encoding="utf-8"?>
<comments xmlns="http://schemas.openxmlformats.org/spreadsheetml/2006/main">
  <authors>
    <author>Autor</author>
  </authors>
  <commentList>
    <comment ref="U44" authorId="0" shapeId="0">
      <text>
        <r>
          <rPr>
            <b/>
            <sz val="9"/>
            <color indexed="81"/>
            <rFont val="Tahoma"/>
            <family val="2"/>
          </rPr>
          <t>Se registra en 2277</t>
        </r>
      </text>
    </comment>
    <comment ref="U53" authorId="0" shapeId="0">
      <text>
        <r>
          <rPr>
            <b/>
            <sz val="9"/>
            <color indexed="81"/>
            <rFont val="Tahoma"/>
            <family val="2"/>
          </rPr>
          <t>2277</t>
        </r>
      </text>
    </comment>
  </commentList>
</comments>
</file>

<file path=xl/comments2.xml><?xml version="1.0" encoding="utf-8"?>
<comments xmlns="http://schemas.openxmlformats.org/spreadsheetml/2006/main">
  <authors>
    <author>Fernando Casillas</author>
  </authors>
  <commentList>
    <comment ref="H10" authorId="0" shapeId="0">
      <text>
        <r>
          <rPr>
            <b/>
            <sz val="9"/>
            <color indexed="81"/>
            <rFont val="Tahoma"/>
            <family val="2"/>
          </rPr>
          <t xml:space="preserve">Datos TPL
</t>
        </r>
      </text>
    </comment>
    <comment ref="F11" authorId="0" shapeId="0">
      <text>
        <r>
          <rPr>
            <b/>
            <sz val="9"/>
            <color indexed="81"/>
            <rFont val="Tahoma"/>
            <family val="2"/>
          </rPr>
          <t>Suministro Ducto PEMEX</t>
        </r>
      </text>
    </comment>
  </commentList>
</comments>
</file>

<file path=xl/comments3.xml><?xml version="1.0" encoding="utf-8"?>
<comments xmlns="http://schemas.openxmlformats.org/spreadsheetml/2006/main">
  <authors>
    <author>Fernando Casillas</author>
    <author>Fernando López Casillas</author>
  </authors>
  <commentList>
    <comment ref="J7" authorId="0" shapeId="0">
      <text>
        <r>
          <rPr>
            <b/>
            <sz val="9"/>
            <color indexed="81"/>
            <rFont val="Tahoma"/>
            <family val="2"/>
          </rPr>
          <t>Facturas de Provedores de Gas</t>
        </r>
      </text>
    </comment>
    <comment ref="J23" authorId="1" shapeId="0">
      <text>
        <r>
          <rPr>
            <b/>
            <sz val="9"/>
            <color indexed="81"/>
            <rFont val="Tahoma"/>
            <family val="2"/>
          </rPr>
          <t>El Suministrador es SEQUENT</t>
        </r>
      </text>
    </comment>
    <comment ref="J39" authorId="1" shapeId="0">
      <text>
        <r>
          <rPr>
            <b/>
            <sz val="9"/>
            <color indexed="81"/>
            <rFont val="Tahoma"/>
            <family val="2"/>
          </rPr>
          <t>El suministrador es CONOCO</t>
        </r>
      </text>
    </comment>
  </commentList>
</comments>
</file>

<file path=xl/comments4.xml><?xml version="1.0" encoding="utf-8"?>
<comments xmlns="http://schemas.openxmlformats.org/spreadsheetml/2006/main">
  <authors>
    <author>Fernando López Casillas</author>
    <author>GUILLERMO</author>
  </authors>
  <commentList>
    <comment ref="C47" authorId="0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I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L48" authorId="0" shapeId="0">
      <text>
        <r>
          <rPr>
            <b/>
            <sz val="9"/>
            <color indexed="81"/>
            <rFont val="Tahoma"/>
            <family val="2"/>
          </rPr>
          <t>ENERGIA TOTAL (GJ) REPORTE OPERATIVO EL ENCINO - NORTE II</t>
        </r>
      </text>
    </comment>
    <comment ref="M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UNIDAD1</t>
        </r>
      </text>
    </comment>
    <comment ref="N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UNIDAD2</t>
        </r>
      </text>
    </comment>
  </commentList>
</comments>
</file>

<file path=xl/comments5.xml><?xml version="1.0" encoding="utf-8"?>
<comments xmlns="http://schemas.openxmlformats.org/spreadsheetml/2006/main">
  <authors>
    <author>Fernando López Casillas</author>
    <author>GUILLERMO</author>
  </authors>
  <commentList>
    <comment ref="C47" authorId="0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I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L48" authorId="0" shapeId="0">
      <text>
        <r>
          <rPr>
            <b/>
            <sz val="9"/>
            <color indexed="81"/>
            <rFont val="Tahoma"/>
            <family val="2"/>
          </rPr>
          <t>ENERGIA TOTAL (GJ) REPORTE OPERATIVO EL ENCINO - NORTE II</t>
        </r>
      </text>
    </comment>
    <comment ref="M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UNIDAD1</t>
        </r>
      </text>
    </comment>
    <comment ref="N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UNIDAD2</t>
        </r>
      </text>
    </comment>
  </commentList>
</comments>
</file>

<file path=xl/comments6.xml><?xml version="1.0" encoding="utf-8"?>
<comments xmlns="http://schemas.openxmlformats.org/spreadsheetml/2006/main">
  <authors>
    <author>Fernando López Casillas</author>
    <author>GUILLERMO</author>
  </authors>
  <commentList>
    <comment ref="C47" authorId="0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I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L48" authorId="0" shapeId="0">
      <text>
        <r>
          <rPr>
            <b/>
            <sz val="9"/>
            <color indexed="81"/>
            <rFont val="Tahoma"/>
            <family val="2"/>
          </rPr>
          <t>ENERGIA TOTAL (GJ) REPORTE OPERATIVO EL ENCINO - NORTE II</t>
        </r>
      </text>
    </comment>
    <comment ref="M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UNIDAD1</t>
        </r>
      </text>
    </comment>
    <comment ref="N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UNIDAD2</t>
        </r>
      </text>
    </comment>
  </commentList>
</comments>
</file>

<file path=xl/comments7.xml><?xml version="1.0" encoding="utf-8"?>
<comments xmlns="http://schemas.openxmlformats.org/spreadsheetml/2006/main">
  <authors>
    <author>Fernando López Casillas</author>
    <author>GUILLERMO</author>
  </authors>
  <commentList>
    <comment ref="C47" authorId="0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I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L48" authorId="0" shapeId="0">
      <text>
        <r>
          <rPr>
            <b/>
            <sz val="9"/>
            <color indexed="81"/>
            <rFont val="Tahoma"/>
            <family val="2"/>
          </rPr>
          <t>ENERGIA TOTAL (GJ) REPORTE OPERATIVO EL ENCINO - NORTE II</t>
        </r>
      </text>
    </comment>
    <comment ref="M48" authorId="1" shapeId="0">
      <text>
        <r>
          <rPr>
            <b/>
            <sz val="9"/>
            <color rgb="FF000000"/>
            <rFont val="Tahoma"/>
            <family val="2"/>
          </rPr>
          <t>GUILLERMO: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DATOS SINE 2201-ENO UNIDAD1</t>
        </r>
      </text>
    </comment>
    <comment ref="N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UNIDAD2</t>
        </r>
      </text>
    </comment>
  </commentList>
</comments>
</file>

<file path=xl/comments8.xml><?xml version="1.0" encoding="utf-8"?>
<comments xmlns="http://schemas.openxmlformats.org/spreadsheetml/2006/main">
  <authors>
    <author>Fernando López Casillas</author>
  </authors>
  <commentList>
    <comment ref="C46" authorId="0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L47" authorId="0" shapeId="0">
      <text>
        <r>
          <rPr>
            <b/>
            <sz val="9"/>
            <color indexed="81"/>
            <rFont val="Tahoma"/>
            <family val="2"/>
          </rPr>
          <t>Información Obtenida de SINE
"ZENA31"</t>
        </r>
      </text>
    </comment>
  </commentList>
</comments>
</file>

<file path=xl/comments9.xml><?xml version="1.0" encoding="utf-8"?>
<comments xmlns="http://schemas.openxmlformats.org/spreadsheetml/2006/main">
  <authors>
    <author>Fernando López Casillas</author>
    <author>GUILLERMO</author>
  </authors>
  <commentList>
    <comment ref="C47" authorId="0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I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L48" authorId="0" shapeId="0">
      <text>
        <r>
          <rPr>
            <b/>
            <sz val="9"/>
            <color indexed="81"/>
            <rFont val="Tahoma"/>
            <family val="2"/>
          </rPr>
          <t>ENERGIA TOTAL (GJ) REPORTE OPERATIVO EL ENCINO - NORTE II</t>
        </r>
      </text>
    </comment>
    <comment ref="M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UNIDAD1</t>
        </r>
      </text>
    </comment>
    <comment ref="N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UNIDAD2</t>
        </r>
      </text>
    </comment>
  </commentList>
</comments>
</file>

<file path=xl/comments10.xml><?xml version="1.0" encoding="utf-8"?>
<comments xmlns="http://schemas.openxmlformats.org/spreadsheetml/2006/main">
  <authors>
    <author>Fernando López Casillas</author>
    <author>GUILLERMO</author>
  </authors>
  <commentList>
    <comment ref="C47" authorId="0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I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L48" authorId="0" shapeId="0">
      <text>
        <r>
          <rPr>
            <b/>
            <sz val="9"/>
            <color indexed="81"/>
            <rFont val="Tahoma"/>
            <family val="2"/>
          </rPr>
          <t>ENERGIA TOTAL (GJ) REPORTE OPERATIVO EL ENCINO - NORTE II</t>
        </r>
      </text>
    </comment>
    <comment ref="M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UNIDAD1</t>
        </r>
      </text>
    </comment>
    <comment ref="N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UNIDAD2</t>
        </r>
      </text>
    </comment>
  </commentList>
</comments>
</file>

<file path=xl/comments11.xml><?xml version="1.0" encoding="utf-8"?>
<comments xmlns="http://schemas.openxmlformats.org/spreadsheetml/2006/main">
  <authors>
    <author>Fernando López Casillas</author>
    <author>GUILLERMO</author>
  </authors>
  <commentList>
    <comment ref="C47" authorId="0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I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L48" authorId="0" shapeId="0">
      <text>
        <r>
          <rPr>
            <b/>
            <sz val="9"/>
            <color indexed="81"/>
            <rFont val="Tahoma"/>
            <family val="2"/>
          </rPr>
          <t>ENERGIA TOTAL (GJ) REPORTE OPERATIVO EL ENCINO - NORTE II</t>
        </r>
      </text>
    </comment>
    <comment ref="M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UNIDAD1</t>
        </r>
      </text>
    </comment>
    <comment ref="N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UNIDAD2</t>
        </r>
      </text>
    </comment>
  </commentList>
</comments>
</file>

<file path=xl/comments12.xml><?xml version="1.0" encoding="utf-8"?>
<comments xmlns="http://schemas.openxmlformats.org/spreadsheetml/2006/main">
  <authors>
    <author>Fernando López Casillas</author>
    <author>GUILLERMO</author>
  </authors>
  <commentList>
    <comment ref="C47" authorId="0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I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L48" authorId="0" shapeId="0">
      <text>
        <r>
          <rPr>
            <b/>
            <sz val="9"/>
            <color indexed="81"/>
            <rFont val="Tahoma"/>
            <family val="2"/>
          </rPr>
          <t>ENERGIA TOTAL (GJ) REPORTE OPERATIVO EL ENCINO - NORTE II</t>
        </r>
      </text>
    </comment>
    <comment ref="M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UNIDAD1</t>
        </r>
      </text>
    </comment>
    <comment ref="N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UNIDAD2</t>
        </r>
      </text>
    </comment>
  </commentList>
</comments>
</file>

<file path=xl/comments13.xml><?xml version="1.0" encoding="utf-8"?>
<comments xmlns="http://schemas.openxmlformats.org/spreadsheetml/2006/main">
  <authors>
    <author>Fernando López Casillas</author>
    <author>GUILLERMO</author>
  </authors>
  <commentList>
    <comment ref="C47" authorId="0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I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L48" authorId="0" shapeId="0">
      <text>
        <r>
          <rPr>
            <b/>
            <sz val="9"/>
            <color indexed="81"/>
            <rFont val="Tahoma"/>
            <family val="2"/>
          </rPr>
          <t>ENERGIA TOTAL (GJ) REPORTE OPERATIVO EL ENCINO - NORTE II</t>
        </r>
      </text>
    </comment>
    <comment ref="M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UNIDAD1</t>
        </r>
      </text>
    </comment>
    <comment ref="N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UNIDAD2</t>
        </r>
      </text>
    </comment>
  </commentList>
</comments>
</file>

<file path=xl/comments14.xml><?xml version="1.0" encoding="utf-8"?>
<comments xmlns="http://schemas.openxmlformats.org/spreadsheetml/2006/main">
  <authors>
    <author>Fernando López Casillas</author>
    <author>GUILLERMO</author>
  </authors>
  <commentList>
    <comment ref="C47" authorId="0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I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L48" authorId="0" shapeId="0">
      <text>
        <r>
          <rPr>
            <b/>
            <sz val="9"/>
            <color indexed="81"/>
            <rFont val="Tahoma"/>
            <family val="2"/>
          </rPr>
          <t>ENERGIA TOTAL (GJ) REPORTE OPERATIVO EL ENCINO - NORTE II</t>
        </r>
      </text>
    </comment>
    <comment ref="M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UNIDAD1</t>
        </r>
      </text>
    </comment>
    <comment ref="N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UNIDAD2</t>
        </r>
      </text>
    </comment>
  </commentList>
</comments>
</file>

<file path=xl/comments15.xml><?xml version="1.0" encoding="utf-8"?>
<comments xmlns="http://schemas.openxmlformats.org/spreadsheetml/2006/main">
  <authors>
    <author>Fernando López Casillas</author>
    <author>GUILLERMO</author>
  </authors>
  <commentList>
    <comment ref="C47" authorId="0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I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L48" authorId="0" shapeId="0">
      <text>
        <r>
          <rPr>
            <b/>
            <sz val="9"/>
            <color indexed="81"/>
            <rFont val="Tahoma"/>
            <family val="2"/>
          </rPr>
          <t>ENERGIA TOTAL (GJ) REPORTE OPERATIVO EL ENCINO - NORTE II</t>
        </r>
      </text>
    </comment>
    <comment ref="M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UNIDAD1</t>
        </r>
      </text>
    </comment>
    <comment ref="N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UNIDAD2</t>
        </r>
      </text>
    </comment>
  </commentList>
</comments>
</file>

<file path=xl/comments16.xml><?xml version="1.0" encoding="utf-8"?>
<comments xmlns="http://schemas.openxmlformats.org/spreadsheetml/2006/main">
  <authors>
    <author>Fernando López Casillas</author>
    <author>GUILLERMO</author>
  </authors>
  <commentList>
    <comment ref="C47" authorId="0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I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L48" authorId="0" shapeId="0">
      <text>
        <r>
          <rPr>
            <b/>
            <sz val="9"/>
            <color indexed="81"/>
            <rFont val="Tahoma"/>
            <family val="2"/>
          </rPr>
          <t>ENERGIA TOTAL (GJ) REPORTE OPERATIVO EL ENCINO - NORTE II</t>
        </r>
      </text>
    </comment>
    <comment ref="M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UNIDAD1</t>
        </r>
      </text>
    </comment>
    <comment ref="N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UNIDAD2</t>
        </r>
      </text>
    </comment>
  </commentList>
</comments>
</file>

<file path=xl/comments17.xml><?xml version="1.0" encoding="utf-8"?>
<comments xmlns="http://schemas.openxmlformats.org/spreadsheetml/2006/main">
  <authors>
    <author>Fernando López Casillas</author>
    <author>GUILLERMO</author>
  </authors>
  <commentList>
    <comment ref="C47" authorId="0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I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L48" authorId="0" shapeId="0">
      <text>
        <r>
          <rPr>
            <b/>
            <sz val="9"/>
            <color indexed="81"/>
            <rFont val="Tahoma"/>
            <family val="2"/>
          </rPr>
          <t>ENERGIA TOTAL (GJ) REPORTE OPERATIVO EL ENCINO - NORTE II</t>
        </r>
      </text>
    </comment>
    <comment ref="M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UNIDAD1</t>
        </r>
      </text>
    </comment>
    <comment ref="N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UNIDAD2</t>
        </r>
      </text>
    </comment>
  </commentList>
</comments>
</file>

<file path=xl/comments18.xml><?xml version="1.0" encoding="utf-8"?>
<comments xmlns="http://schemas.openxmlformats.org/spreadsheetml/2006/main">
  <authors>
    <author>Fernando López Casillas</author>
    <author>GUILLERMO</author>
  </authors>
  <commentList>
    <comment ref="C47" authorId="0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I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L48" authorId="0" shapeId="0">
      <text>
        <r>
          <rPr>
            <b/>
            <sz val="9"/>
            <color indexed="81"/>
            <rFont val="Tahoma"/>
            <family val="2"/>
          </rPr>
          <t>ENERGIA TOTAL (GJ) REPORTE OPERATIVO EL ENCINO - NORTE II</t>
        </r>
      </text>
    </comment>
    <comment ref="M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UNIDAD1</t>
        </r>
      </text>
    </comment>
    <comment ref="N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UNIDAD2</t>
        </r>
      </text>
    </comment>
  </commentList>
</comments>
</file>

<file path=xl/comments19.xml><?xml version="1.0" encoding="utf-8"?>
<comments xmlns="http://schemas.openxmlformats.org/spreadsheetml/2006/main">
  <authors>
    <author>Fernando López Casillas</author>
    <author>GUILLERMO</author>
  </authors>
  <commentList>
    <comment ref="C46" authorId="0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I47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L47" authorId="0" shapeId="0">
      <text>
        <r>
          <rPr>
            <b/>
            <sz val="9"/>
            <color indexed="81"/>
            <rFont val="Tahoma"/>
            <family val="2"/>
          </rPr>
          <t>Información Obtenida de SINE
"ZENA31"</t>
        </r>
      </text>
    </comment>
  </commentList>
</comments>
</file>

<file path=xl/comments20.xml><?xml version="1.0" encoding="utf-8"?>
<comments xmlns="http://schemas.openxmlformats.org/spreadsheetml/2006/main">
  <authors>
    <author>Fernando López Casillas</author>
    <author>GUILLERMO</author>
  </authors>
  <commentList>
    <comment ref="C47" authorId="0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I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L48" authorId="0" shapeId="0">
      <text>
        <r>
          <rPr>
            <b/>
            <sz val="9"/>
            <color indexed="81"/>
            <rFont val="Tahoma"/>
            <family val="2"/>
          </rPr>
          <t>ENERGIA TOTAL (GJ) REPORTE OPERATIVO EL ENCINO - NORTE II</t>
        </r>
      </text>
    </comment>
    <comment ref="M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UNIDAD1</t>
        </r>
      </text>
    </comment>
    <comment ref="N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UNIDAD2</t>
        </r>
      </text>
    </comment>
  </commentList>
</comments>
</file>

<file path=xl/comments21.xml><?xml version="1.0" encoding="utf-8"?>
<comments xmlns="http://schemas.openxmlformats.org/spreadsheetml/2006/main">
  <authors>
    <author>Fernando López Casillas</author>
    <author>GUILLERMO</author>
  </authors>
  <commentList>
    <comment ref="C47" authorId="0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I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L48" authorId="0" shapeId="0">
      <text>
        <r>
          <rPr>
            <b/>
            <sz val="9"/>
            <color indexed="81"/>
            <rFont val="Tahoma"/>
            <family val="2"/>
          </rPr>
          <t>ENERGIA TOTAL (GJ) REPORTE OPERATIVO EL ENCINO - NORTE II</t>
        </r>
      </text>
    </comment>
    <comment ref="M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UNIDAD1</t>
        </r>
      </text>
    </comment>
    <comment ref="N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UNIDAD2</t>
        </r>
      </text>
    </comment>
  </commentList>
</comments>
</file>

<file path=xl/comments22.xml><?xml version="1.0" encoding="utf-8"?>
<comments xmlns="http://schemas.openxmlformats.org/spreadsheetml/2006/main">
  <authors>
    <author>Fernando López Casillas</author>
    <author>GUILLERMO</author>
  </authors>
  <commentList>
    <comment ref="C47" authorId="0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I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L48" authorId="0" shapeId="0">
      <text>
        <r>
          <rPr>
            <b/>
            <sz val="9"/>
            <color indexed="81"/>
            <rFont val="Tahoma"/>
            <family val="2"/>
          </rPr>
          <t>ENERGIA TOTAL (GJ) REPORTE OPERATIVO EL ENCINO - NORTE II</t>
        </r>
      </text>
    </comment>
    <comment ref="M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UNIDAD1</t>
        </r>
      </text>
    </comment>
    <comment ref="N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UNIDAD2</t>
        </r>
      </text>
    </comment>
  </commentList>
</comments>
</file>

<file path=xl/comments23.xml><?xml version="1.0" encoding="utf-8"?>
<comments xmlns="http://schemas.openxmlformats.org/spreadsheetml/2006/main">
  <authors>
    <author>Fernando López Casillas</author>
    <author>GUILLERMO</author>
  </authors>
  <commentList>
    <comment ref="C47" authorId="0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I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L48" authorId="0" shapeId="0">
      <text>
        <r>
          <rPr>
            <b/>
            <sz val="9"/>
            <color indexed="81"/>
            <rFont val="Tahoma"/>
            <family val="2"/>
          </rPr>
          <t>ENERGIA TOTAL (GJ) REPORTE OPERATIVO EL ENCINO - NORTE II</t>
        </r>
      </text>
    </comment>
    <comment ref="M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UNIDAD1</t>
        </r>
      </text>
    </comment>
    <comment ref="N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UNIDAD2</t>
        </r>
      </text>
    </comment>
  </commentList>
</comments>
</file>

<file path=xl/comments24.xml><?xml version="1.0" encoding="utf-8"?>
<comments xmlns="http://schemas.openxmlformats.org/spreadsheetml/2006/main">
  <authors>
    <author>Fernando López Casillas</author>
    <author>GUILLERMO</author>
  </authors>
  <commentList>
    <comment ref="C47" authorId="0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I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L48" authorId="0" shapeId="0">
      <text>
        <r>
          <rPr>
            <b/>
            <sz val="9"/>
            <color rgb="FF000000"/>
            <rFont val="Tahoma"/>
            <family val="2"/>
          </rPr>
          <t>ENERGIA TOTAL (GJ) REPORTE OPERATIVO EL ENCINO - NORTE II</t>
        </r>
      </text>
    </comment>
    <comment ref="M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UNIDAD1</t>
        </r>
      </text>
    </comment>
    <comment ref="N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UNIDAD2</t>
        </r>
      </text>
    </comment>
  </commentList>
</comments>
</file>

<file path=xl/comments25.xml><?xml version="1.0" encoding="utf-8"?>
<comments xmlns="http://schemas.openxmlformats.org/spreadsheetml/2006/main">
  <authors>
    <author>Fernando López Casillas</author>
    <author>GUILLERMO</author>
  </authors>
  <commentList>
    <comment ref="C47" authorId="0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I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L48" authorId="0" shapeId="0">
      <text>
        <r>
          <rPr>
            <b/>
            <sz val="9"/>
            <color indexed="81"/>
            <rFont val="Tahoma"/>
            <family val="2"/>
          </rPr>
          <t>ENERGIA TOTAL (GJ) REPORTE OPERATIVO EL ENCINO - NORTE II</t>
        </r>
      </text>
    </comment>
    <comment ref="M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UNIDAD1</t>
        </r>
      </text>
    </comment>
    <comment ref="N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UNIDAD2</t>
        </r>
      </text>
    </comment>
  </commentList>
</comments>
</file>

<file path=xl/comments26.xml><?xml version="1.0" encoding="utf-8"?>
<comments xmlns="http://schemas.openxmlformats.org/spreadsheetml/2006/main">
  <authors>
    <author>Fernando López Casillas</author>
    <author>GUILLERMO</author>
  </authors>
  <commentList>
    <comment ref="C47" authorId="0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I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L48" authorId="0" shapeId="0">
      <text>
        <r>
          <rPr>
            <b/>
            <sz val="9"/>
            <color indexed="81"/>
            <rFont val="Tahoma"/>
            <family val="2"/>
          </rPr>
          <t>ENERGIA TOTAL (GJ) REPORTE OPERATIVO EL ENCINO - NORTE II</t>
        </r>
      </text>
    </comment>
    <comment ref="M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UNIDAD1</t>
        </r>
      </text>
    </comment>
    <comment ref="N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UNIDAD2</t>
        </r>
      </text>
    </comment>
  </commentList>
</comments>
</file>

<file path=xl/comments27.xml><?xml version="1.0" encoding="utf-8"?>
<comments xmlns="http://schemas.openxmlformats.org/spreadsheetml/2006/main">
  <authors>
    <author>Fernando López Casillas</author>
    <author>GUILLERMO</author>
  </authors>
  <commentList>
    <comment ref="C47" authorId="0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I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L48" authorId="0" shapeId="0">
      <text>
        <r>
          <rPr>
            <b/>
            <sz val="9"/>
            <color indexed="81"/>
            <rFont val="Tahoma"/>
            <family val="2"/>
          </rPr>
          <t>ENERGIA TOTAL (GJ) REPORTE OPERATIVO EL ENCINO - NORTE II</t>
        </r>
      </text>
    </comment>
    <comment ref="M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UNIDAD1</t>
        </r>
      </text>
    </comment>
    <comment ref="N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UNIDAD2</t>
        </r>
      </text>
    </comment>
  </commentList>
</comments>
</file>

<file path=xl/comments28.xml><?xml version="1.0" encoding="utf-8"?>
<comments xmlns="http://schemas.openxmlformats.org/spreadsheetml/2006/main">
  <authors>
    <author>Fernando López Casillas</author>
    <author>GUILLERMO</author>
  </authors>
  <commentList>
    <comment ref="C47" authorId="0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I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L48" authorId="0" shapeId="0">
      <text>
        <r>
          <rPr>
            <b/>
            <sz val="9"/>
            <color indexed="81"/>
            <rFont val="Tahoma"/>
            <family val="2"/>
          </rPr>
          <t>ENERGIA TOTAL (GJ) REPORTE OPERATIVO EL ENCINO - NORTE II</t>
        </r>
      </text>
    </comment>
    <comment ref="M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UNIDAD1</t>
        </r>
      </text>
    </comment>
    <comment ref="N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UNIDAD2</t>
        </r>
      </text>
    </comment>
  </commentList>
</comments>
</file>

<file path=xl/comments29.xml><?xml version="1.0" encoding="utf-8"?>
<comments xmlns="http://schemas.openxmlformats.org/spreadsheetml/2006/main">
  <authors>
    <author>Fernando López Casillas</author>
    <author>GUILLERMO</author>
  </authors>
  <commentList>
    <comment ref="C47" authorId="0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I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L48" authorId="0" shapeId="0">
      <text>
        <r>
          <rPr>
            <b/>
            <sz val="9"/>
            <color indexed="81"/>
            <rFont val="Tahoma"/>
            <family val="2"/>
          </rPr>
          <t>ENERGIA TOTAL (GJ) REPORTE OPERATIVO EL ENCINO - NORTE II</t>
        </r>
      </text>
    </comment>
    <comment ref="M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UNIDAD1</t>
        </r>
      </text>
    </comment>
    <comment ref="N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UNIDAD2</t>
        </r>
      </text>
    </comment>
  </commentList>
</comments>
</file>

<file path=xl/comments30.xml><?xml version="1.0" encoding="utf-8"?>
<comments xmlns="http://schemas.openxmlformats.org/spreadsheetml/2006/main">
  <authors>
    <author>Fernando López Casillas</author>
  </authors>
  <commentList>
    <comment ref="C46" authorId="0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L47" authorId="0" shapeId="0">
      <text>
        <r>
          <rPr>
            <b/>
            <sz val="9"/>
            <color indexed="81"/>
            <rFont val="Tahoma"/>
            <family val="2"/>
          </rPr>
          <t>Información Obtenida de SINE
"ZENA31"</t>
        </r>
      </text>
    </comment>
  </commentList>
</comments>
</file>

<file path=xl/comments31.xml><?xml version="1.0" encoding="utf-8"?>
<comments xmlns="http://schemas.openxmlformats.org/spreadsheetml/2006/main">
  <authors>
    <author>Fernando López Casillas</author>
    <author>GUILLERMO</author>
  </authors>
  <commentList>
    <comment ref="C47" authorId="0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I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L48" authorId="0" shapeId="0">
      <text>
        <r>
          <rPr>
            <b/>
            <sz val="9"/>
            <color indexed="81"/>
            <rFont val="Tahoma"/>
            <family val="2"/>
          </rPr>
          <t>ENERGIA TOTAL (GJ) REPORTE OPERATIVO EL ENCINO - NORTE II</t>
        </r>
      </text>
    </comment>
    <comment ref="M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UNIDAD1</t>
        </r>
      </text>
    </comment>
    <comment ref="N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UNIDAD2</t>
        </r>
      </text>
    </comment>
  </commentList>
</comments>
</file>

<file path=xl/comments32.xml><?xml version="1.0" encoding="utf-8"?>
<comments xmlns="http://schemas.openxmlformats.org/spreadsheetml/2006/main">
  <authors>
    <author>Fernando López Casillas</author>
    <author>GUILLERMO</author>
  </authors>
  <commentList>
    <comment ref="C47" authorId="0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I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L48" authorId="0" shapeId="0">
      <text>
        <r>
          <rPr>
            <b/>
            <sz val="9"/>
            <color indexed="81"/>
            <rFont val="Tahoma"/>
            <family val="2"/>
          </rPr>
          <t>ENERGIA TOTAL (GJ) REPORTE OPERATIVO EL ENCINO - NORTE II</t>
        </r>
      </text>
    </comment>
    <comment ref="M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UNIDAD1</t>
        </r>
      </text>
    </comment>
    <comment ref="N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UNIDAD2</t>
        </r>
      </text>
    </comment>
  </commentList>
</comments>
</file>

<file path=xl/comments33.xml><?xml version="1.0" encoding="utf-8"?>
<comments xmlns="http://schemas.openxmlformats.org/spreadsheetml/2006/main">
  <authors>
    <author>Fernando López Casillas</author>
    <author>GUILLERMO</author>
  </authors>
  <commentList>
    <comment ref="C47" authorId="0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I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L48" authorId="0" shapeId="0">
      <text>
        <r>
          <rPr>
            <b/>
            <sz val="9"/>
            <color indexed="81"/>
            <rFont val="Tahoma"/>
            <family val="2"/>
          </rPr>
          <t>ENERGIA TOTAL (GJ) REPORTE OPERATIVO EL ENCINO - NORTE II</t>
        </r>
      </text>
    </comment>
    <comment ref="M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UNIDAD1</t>
        </r>
      </text>
    </comment>
    <comment ref="N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UNIDAD2</t>
        </r>
      </text>
    </comment>
  </commentList>
</comments>
</file>

<file path=xl/comments34.xml><?xml version="1.0" encoding="utf-8"?>
<comments xmlns="http://schemas.openxmlformats.org/spreadsheetml/2006/main">
  <authors>
    <author>Fernando López Casillas</author>
    <author>GUILLERMO</author>
  </authors>
  <commentList>
    <comment ref="C47" authorId="0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I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L48" authorId="0" shapeId="0">
      <text>
        <r>
          <rPr>
            <b/>
            <sz val="9"/>
            <color indexed="81"/>
            <rFont val="Tahoma"/>
            <family val="2"/>
          </rPr>
          <t>ENERGIA TOTAL (GJ) REPORTE OPERATIVO EL ENCINO - NORTE II</t>
        </r>
      </text>
    </comment>
    <comment ref="M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UNIDAD1</t>
        </r>
      </text>
    </comment>
    <comment ref="N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UNIDAD2</t>
        </r>
      </text>
    </comment>
  </commentList>
</comments>
</file>

<file path=xl/comments35.xml><?xml version="1.0" encoding="utf-8"?>
<comments xmlns="http://schemas.openxmlformats.org/spreadsheetml/2006/main">
  <authors>
    <author>Fernando López Casillas</author>
    <author>GUILLERMO</author>
  </authors>
  <commentList>
    <comment ref="C47" authorId="0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I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L48" authorId="0" shapeId="0">
      <text>
        <r>
          <rPr>
            <b/>
            <sz val="9"/>
            <color indexed="81"/>
            <rFont val="Tahoma"/>
            <family val="2"/>
          </rPr>
          <t>ENERGIA TOTAL (GJ) REPORTE OPERATIVO EL ENCINO - NORTE II</t>
        </r>
      </text>
    </comment>
    <comment ref="M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UNIDAD1</t>
        </r>
      </text>
    </comment>
    <comment ref="N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UNIDAD2</t>
        </r>
      </text>
    </comment>
  </commentList>
</comments>
</file>

<file path=xl/comments36.xml><?xml version="1.0" encoding="utf-8"?>
<comments xmlns="http://schemas.openxmlformats.org/spreadsheetml/2006/main">
  <authors>
    <author>Fernando López Casillas</author>
    <author>GUILLERMO</author>
  </authors>
  <commentList>
    <comment ref="C47" authorId="0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I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L48" authorId="0" shapeId="0">
      <text>
        <r>
          <rPr>
            <b/>
            <sz val="9"/>
            <color indexed="81"/>
            <rFont val="Tahoma"/>
            <family val="2"/>
          </rPr>
          <t>ENERGIA TOTAL (GJ) REPORTE OPERATIVO EL ENCINO - NORTE II</t>
        </r>
      </text>
    </comment>
    <comment ref="M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UNIDAD1</t>
        </r>
      </text>
    </comment>
    <comment ref="N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UNIDAD2</t>
        </r>
      </text>
    </comment>
  </commentList>
</comments>
</file>

<file path=xl/comments37.xml><?xml version="1.0" encoding="utf-8"?>
<comments xmlns="http://schemas.openxmlformats.org/spreadsheetml/2006/main">
  <authors>
    <author>Fernando López Casillas</author>
    <author>GUILLERMO</author>
  </authors>
  <commentList>
    <comment ref="C47" authorId="0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I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L48" authorId="0" shapeId="0">
      <text>
        <r>
          <rPr>
            <b/>
            <sz val="9"/>
            <color indexed="81"/>
            <rFont val="Tahoma"/>
            <family val="2"/>
          </rPr>
          <t>ENERGIA TOTAL (GJ) REPORTE OPERATIVO EL ENCINO - NORTE II</t>
        </r>
      </text>
    </comment>
    <comment ref="M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UNIDAD1</t>
        </r>
      </text>
    </comment>
    <comment ref="N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UNIDAD2</t>
        </r>
      </text>
    </comment>
  </commentList>
</comments>
</file>

<file path=xl/comments38.xml><?xml version="1.0" encoding="utf-8"?>
<comments xmlns="http://schemas.openxmlformats.org/spreadsheetml/2006/main">
  <authors>
    <author>Fernando López Casillas</author>
    <author>GUILLERMO</author>
  </authors>
  <commentList>
    <comment ref="C47" authorId="0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I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L48" authorId="0" shapeId="0">
      <text>
        <r>
          <rPr>
            <b/>
            <sz val="9"/>
            <color indexed="81"/>
            <rFont val="Tahoma"/>
            <family val="2"/>
          </rPr>
          <t>ENERGIA TOTAL (GJ) REPORTE OPERATIVO EL ENCINO - NORTE II</t>
        </r>
      </text>
    </comment>
    <comment ref="M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UNIDAD1</t>
        </r>
      </text>
    </comment>
    <comment ref="N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UNIDAD2</t>
        </r>
      </text>
    </comment>
  </commentList>
</comments>
</file>

<file path=xl/comments39.xml><?xml version="1.0" encoding="utf-8"?>
<comments xmlns="http://schemas.openxmlformats.org/spreadsheetml/2006/main">
  <authors>
    <author>Fernando López Casillas</author>
    <author>GUILLERMO</author>
  </authors>
  <commentList>
    <comment ref="C47" authorId="0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I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L48" authorId="0" shapeId="0">
      <text>
        <r>
          <rPr>
            <b/>
            <sz val="9"/>
            <color indexed="81"/>
            <rFont val="Tahoma"/>
            <family val="2"/>
          </rPr>
          <t>ENERGIA TOTAL (GJ) REPORTE OPERATIVO EL ENCINO - NORTE II</t>
        </r>
      </text>
    </comment>
    <comment ref="M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UNIDAD1</t>
        </r>
      </text>
    </comment>
    <comment ref="N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UNIDAD2</t>
        </r>
      </text>
    </comment>
  </commentList>
</comments>
</file>

<file path=xl/comments40.xml><?xml version="1.0" encoding="utf-8"?>
<comments xmlns="http://schemas.openxmlformats.org/spreadsheetml/2006/main">
  <authors>
    <author>Fernando López Casillas</author>
    <author>GUILLERMO</author>
  </authors>
  <commentList>
    <comment ref="C47" authorId="0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I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L48" authorId="0" shapeId="0">
      <text>
        <r>
          <rPr>
            <b/>
            <sz val="9"/>
            <color indexed="81"/>
            <rFont val="Tahoma"/>
            <family val="2"/>
          </rPr>
          <t>ENERGIA TOTAL (GJ) REPORTE OPERATIVO EL ENCINO - NORTE II</t>
        </r>
      </text>
    </comment>
    <comment ref="M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UNIDAD1</t>
        </r>
      </text>
    </comment>
    <comment ref="N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UNIDAD2</t>
        </r>
      </text>
    </comment>
  </commentList>
</comments>
</file>

<file path=xl/comments41.xml><?xml version="1.0" encoding="utf-8"?>
<comments xmlns="http://schemas.openxmlformats.org/spreadsheetml/2006/main">
  <authors>
    <author>Fernando López Casillas</author>
    <author>GUILLERMO</author>
  </authors>
  <commentList>
    <comment ref="C47" authorId="0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I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L48" authorId="0" shapeId="0">
      <text>
        <r>
          <rPr>
            <b/>
            <sz val="9"/>
            <color indexed="81"/>
            <rFont val="Tahoma"/>
            <family val="2"/>
          </rPr>
          <t>ENERGIA TOTAL (GJ) REPORTE OPERATIVO EL ENCINO - NORTE II</t>
        </r>
      </text>
    </comment>
    <comment ref="M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UNIDAD1</t>
        </r>
      </text>
    </comment>
    <comment ref="N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UNIDAD2</t>
        </r>
      </text>
    </comment>
  </commentList>
</comments>
</file>

<file path=xl/comments42.xml><?xml version="1.0" encoding="utf-8"?>
<comments xmlns="http://schemas.openxmlformats.org/spreadsheetml/2006/main">
  <authors>
    <author>Fernando López Casillas</author>
    <author>GUILLERMO</author>
  </authors>
  <commentList>
    <comment ref="C47" authorId="0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I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L48" authorId="0" shapeId="0">
      <text>
        <r>
          <rPr>
            <b/>
            <sz val="9"/>
            <color indexed="81"/>
            <rFont val="Tahoma"/>
            <family val="2"/>
          </rPr>
          <t>ENERGIA TOTAL (GJ) REPORTE OPERATIVO EL ENCINO - NORTE II</t>
        </r>
      </text>
    </comment>
    <comment ref="M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UNIDAD1</t>
        </r>
      </text>
    </comment>
    <comment ref="N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UNIDAD2</t>
        </r>
      </text>
    </comment>
  </commentList>
</comments>
</file>

<file path=xl/comments43.xml><?xml version="1.0" encoding="utf-8"?>
<comments xmlns="http://schemas.openxmlformats.org/spreadsheetml/2006/main">
  <authors>
    <author>Fernando López Casillas</author>
    <author>GUILLERMO</author>
  </authors>
  <commentList>
    <comment ref="C47" authorId="0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I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L48" authorId="0" shapeId="0">
      <text>
        <r>
          <rPr>
            <b/>
            <sz val="9"/>
            <color indexed="81"/>
            <rFont val="Tahoma"/>
            <family val="2"/>
          </rPr>
          <t>ENERGIA TOTAL (GJ) REPORTE OPERATIVO EL ENCINO - NORTE II</t>
        </r>
      </text>
    </comment>
    <comment ref="M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UNIDAD1</t>
        </r>
      </text>
    </comment>
    <comment ref="N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UNIDAD2</t>
        </r>
      </text>
    </comment>
  </commentList>
</comments>
</file>

<file path=xl/comments44.xml><?xml version="1.0" encoding="utf-8"?>
<comments xmlns="http://schemas.openxmlformats.org/spreadsheetml/2006/main">
  <authors>
    <author>Ing. Guillermo Medina Gorostiza</author>
    <author>Fernando López Casillas</author>
    <author>GUILLERMO</author>
  </authors>
  <commentList>
    <comment ref="H10" authorId="0" shapeId="0">
      <text>
        <r>
          <rPr>
            <b/>
            <sz val="9"/>
            <color indexed="81"/>
            <rFont val="Tahoma"/>
            <family val="2"/>
          </rPr>
          <t>Ing. Guillermo Medina Gorostiza:</t>
        </r>
        <r>
          <rPr>
            <sz val="9"/>
            <color indexed="81"/>
            <rFont val="Tahoma"/>
            <family val="2"/>
          </rPr>
          <t xml:space="preserve">
Se pago con la factura FE 158 pero tenia un error en la dirección de facturación, se mando la FE 159 que es la correcta.</t>
        </r>
      </text>
    </comment>
    <comment ref="C47" authorId="1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I48" authorId="2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L48" authorId="1" shapeId="0">
      <text>
        <r>
          <rPr>
            <b/>
            <sz val="9"/>
            <color indexed="81"/>
            <rFont val="Tahoma"/>
            <family val="2"/>
          </rPr>
          <t>ENERGIA TOTAL (GJ) REPORTE OPERATIVO EL ENCINO - NORTE II</t>
        </r>
      </text>
    </comment>
    <comment ref="M48" authorId="2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UNIDAD1</t>
        </r>
      </text>
    </comment>
    <comment ref="N48" authorId="2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UNIDAD2</t>
        </r>
      </text>
    </comment>
  </commentList>
</comments>
</file>

<file path=xl/comments45.xml><?xml version="1.0" encoding="utf-8"?>
<comments xmlns="http://schemas.openxmlformats.org/spreadsheetml/2006/main">
  <authors>
    <author>Fernando López Casillas</author>
    <author>GUILLERMO</author>
  </authors>
  <commentList>
    <comment ref="C47" authorId="0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I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L48" authorId="0" shapeId="0">
      <text>
        <r>
          <rPr>
            <b/>
            <sz val="9"/>
            <color indexed="81"/>
            <rFont val="Tahoma"/>
            <family val="2"/>
          </rPr>
          <t>ENERGIA TOTAL (GJ) REPORTE OPERATIVO EL ENCINO - NORTE II</t>
        </r>
      </text>
    </comment>
    <comment ref="M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UNIDAD1</t>
        </r>
      </text>
    </comment>
    <comment ref="N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UNIDAD2</t>
        </r>
      </text>
    </comment>
  </commentList>
</comments>
</file>

<file path=xl/comments46.xml><?xml version="1.0" encoding="utf-8"?>
<comments xmlns="http://schemas.openxmlformats.org/spreadsheetml/2006/main">
  <authors>
    <author>Fernando López Casillas</author>
    <author>GUILLERMO</author>
  </authors>
  <commentList>
    <comment ref="C47" authorId="0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I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L48" authorId="0" shapeId="0">
      <text>
        <r>
          <rPr>
            <b/>
            <sz val="9"/>
            <color indexed="81"/>
            <rFont val="Tahoma"/>
            <family val="2"/>
          </rPr>
          <t>ENERGIA TOTAL (GJ) REPORTE OPERATIVO EL ENCINO - NORTE II</t>
        </r>
      </text>
    </comment>
    <comment ref="M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UNIDAD1</t>
        </r>
      </text>
    </comment>
    <comment ref="N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UNIDAD2</t>
        </r>
      </text>
    </comment>
  </commentList>
</comments>
</file>

<file path=xl/comments47.xml><?xml version="1.0" encoding="utf-8"?>
<comments xmlns="http://schemas.openxmlformats.org/spreadsheetml/2006/main">
  <authors>
    <author>Fernando López Casillas</author>
    <author>GUILLERMO</author>
  </authors>
  <commentList>
    <comment ref="C47" authorId="0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I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L48" authorId="0" shapeId="0">
      <text>
        <r>
          <rPr>
            <b/>
            <sz val="9"/>
            <color indexed="81"/>
            <rFont val="Tahoma"/>
            <family val="2"/>
          </rPr>
          <t>ENERGIA TOTAL (GJ) REPORTE OPERATIVO EL ENCINO - NORTE II</t>
        </r>
      </text>
    </comment>
    <comment ref="M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UNIDAD1</t>
        </r>
      </text>
    </comment>
    <comment ref="N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UNIDAD2</t>
        </r>
      </text>
    </comment>
  </commentList>
</comments>
</file>

<file path=xl/comments48.xml><?xml version="1.0" encoding="utf-8"?>
<comments xmlns="http://schemas.openxmlformats.org/spreadsheetml/2006/main">
  <authors>
    <author>Fernando López Casillas</author>
    <author>GUILLERMO</author>
  </authors>
  <commentList>
    <comment ref="C47" authorId="0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I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L48" authorId="0" shapeId="0">
      <text>
        <r>
          <rPr>
            <b/>
            <sz val="9"/>
            <color indexed="81"/>
            <rFont val="Tahoma"/>
            <family val="2"/>
          </rPr>
          <t>ENERGIA TOTAL (GJ) REPORTE OPERATIVO EL ENCINO - NORTE II</t>
        </r>
      </text>
    </comment>
    <comment ref="M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UNIDAD1</t>
        </r>
      </text>
    </comment>
    <comment ref="N48" authorId="1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UNIDAD2</t>
        </r>
      </text>
    </comment>
  </commentList>
</comments>
</file>

<file path=xl/comments49.xml><?xml version="1.0" encoding="utf-8"?>
<comments xmlns="http://schemas.openxmlformats.org/spreadsheetml/2006/main">
  <authors>
    <author>Ing. Guillermo Medina Gorostiza</author>
    <author>Fernando López Casillas</author>
    <author>GUILLERMO</author>
  </authors>
  <commentList>
    <comment ref="D33" authorId="0" shapeId="0">
      <text>
        <r>
          <rPr>
            <b/>
            <sz val="9"/>
            <color indexed="81"/>
            <rFont val="Tahoma"/>
            <family val="2"/>
          </rPr>
          <t>Ing. Guillermo Medina Gorostiza:</t>
        </r>
        <r>
          <rPr>
            <sz val="9"/>
            <color indexed="81"/>
            <rFont val="Tahoma"/>
            <family val="2"/>
          </rPr>
          <t xml:space="preserve">
hay que checar la posicion en el pedido acorde con el mes que se paga "ojo" empiezamos con Septiembre de 2017 cuando inicia la nueva estructura y pedidos</t>
        </r>
      </text>
    </comment>
    <comment ref="C47" authorId="1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I48" authorId="2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L48" authorId="1" shapeId="0">
      <text>
        <r>
          <rPr>
            <b/>
            <sz val="9"/>
            <color indexed="81"/>
            <rFont val="Tahoma"/>
            <family val="2"/>
          </rPr>
          <t>ENERGIA TOTAL (GJ) REPORTE OPERATIVO EL ENCINO - NORTE II</t>
        </r>
      </text>
    </comment>
    <comment ref="M48" authorId="2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UNIDAD1</t>
        </r>
      </text>
    </comment>
    <comment ref="N48" authorId="2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UNIDAD2</t>
        </r>
      </text>
    </comment>
  </commentList>
</comments>
</file>

<file path=xl/comments50.xml><?xml version="1.0" encoding="utf-8"?>
<comments xmlns="http://schemas.openxmlformats.org/spreadsheetml/2006/main">
  <authors>
    <author>Ing. Guillermo Medina Gorostiza</author>
    <author>Fernando López Casillas</author>
    <author>GUILLERMO</author>
  </authors>
  <commentList>
    <comment ref="D33" authorId="0" shapeId="0">
      <text>
        <r>
          <rPr>
            <b/>
            <sz val="9"/>
            <color indexed="81"/>
            <rFont val="Tahoma"/>
            <family val="2"/>
          </rPr>
          <t>Ing. Guillermo Medina Gorostiza:</t>
        </r>
        <r>
          <rPr>
            <sz val="9"/>
            <color indexed="81"/>
            <rFont val="Tahoma"/>
            <family val="2"/>
          </rPr>
          <t xml:space="preserve">
hay que checar la posicion en el pedido acorde con el mes que se paga "ojo" empiezamos con Septiembre de 2017 cuando inicia la nueva estructura y pedidos</t>
        </r>
      </text>
    </comment>
    <comment ref="C47" authorId="1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I48" authorId="2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L48" authorId="1" shapeId="0">
      <text>
        <r>
          <rPr>
            <b/>
            <sz val="9"/>
            <color indexed="81"/>
            <rFont val="Tahoma"/>
            <family val="2"/>
          </rPr>
          <t>ENERGIA TOTAL (GJ) REPORTE OPERATIVO EL ENCINO - NORTE II</t>
        </r>
      </text>
    </comment>
    <comment ref="M48" authorId="2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UNIDAD1</t>
        </r>
      </text>
    </comment>
    <comment ref="N48" authorId="2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UNIDAD2</t>
        </r>
      </text>
    </comment>
  </commentList>
</comments>
</file>

<file path=xl/comments51.xml><?xml version="1.0" encoding="utf-8"?>
<comments xmlns="http://schemas.openxmlformats.org/spreadsheetml/2006/main">
  <authors>
    <author>Ing. Guillermo Medina Gorostiza</author>
    <author>Fernando López Casillas</author>
    <author>GUILLERMO</author>
  </authors>
  <commentList>
    <comment ref="J24" authorId="0" shapeId="0">
      <text>
        <r>
          <rPr>
            <b/>
            <sz val="9"/>
            <color rgb="FF000000"/>
            <rFont val="Tahoma"/>
            <family val="2"/>
          </rPr>
          <t xml:space="preserve">Ing. Guillermo Medina Gorostiza:
</t>
        </r>
        <r>
          <rPr>
            <b/>
            <sz val="9"/>
            <color rgb="FF000000"/>
            <rFont val="Tahoma"/>
            <family val="2"/>
          </rPr>
          <t>Checar este valor en la memoria de calculo del proveedor ya que este valor asi viene y no da para que salga en ceros la diferencia</t>
        </r>
      </text>
    </comment>
    <comment ref="D33" authorId="0" shapeId="0">
      <text>
        <r>
          <rPr>
            <b/>
            <sz val="9"/>
            <color indexed="81"/>
            <rFont val="Tahoma"/>
            <family val="2"/>
          </rPr>
          <t>Ing. Guillermo Medina Gorostiza:</t>
        </r>
        <r>
          <rPr>
            <sz val="9"/>
            <color indexed="81"/>
            <rFont val="Tahoma"/>
            <family val="2"/>
          </rPr>
          <t xml:space="preserve">
hay que checar la posicion en el pedido acorde con el mes que se paga "ojo" empiezamos con Septiembre de 2017 cuando inicia la nueva estructura y pedidos</t>
        </r>
      </text>
    </comment>
    <comment ref="C47" authorId="1" shapeId="0">
      <text>
        <r>
          <rPr>
            <b/>
            <sz val="9"/>
            <color rgb="FF000000"/>
            <rFont val="Tahoma"/>
            <family val="2"/>
          </rPr>
          <t>Capturar el Numero de Mes</t>
        </r>
      </text>
    </comment>
    <comment ref="I48" authorId="2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L48" authorId="1" shapeId="0">
      <text>
        <r>
          <rPr>
            <b/>
            <sz val="9"/>
            <color indexed="81"/>
            <rFont val="Tahoma"/>
            <family val="2"/>
          </rPr>
          <t>ENERGIA TOTAL (GJ) REPORTE OPERATIVO EL ENCINO - NORTE II</t>
        </r>
      </text>
    </comment>
    <comment ref="M48" authorId="2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UNIDAD1</t>
        </r>
      </text>
    </comment>
    <comment ref="N48" authorId="2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UNIDAD2</t>
        </r>
      </text>
    </comment>
  </commentList>
</comments>
</file>

<file path=xl/comments52.xml><?xml version="1.0" encoding="utf-8"?>
<comments xmlns="http://schemas.openxmlformats.org/spreadsheetml/2006/main">
  <authors>
    <author>Ing. Guillermo Medina Gorostiza</author>
    <author>Fernando López Casillas</author>
    <author>GUILLERMO</author>
  </authors>
  <commentList>
    <comment ref="D33" authorId="0" shapeId="0">
      <text>
        <r>
          <rPr>
            <b/>
            <sz val="9"/>
            <color indexed="81"/>
            <rFont val="Tahoma"/>
            <family val="2"/>
          </rPr>
          <t>Ing. Guillermo Medina Gorostiza:</t>
        </r>
        <r>
          <rPr>
            <sz val="9"/>
            <color indexed="81"/>
            <rFont val="Tahoma"/>
            <family val="2"/>
          </rPr>
          <t xml:space="preserve">
hay que checar la posicion en el pedido acorde con el mes que se paga "ojo" empiezamos con Septiembre de 2017 cuando inicia la nueva estructura y pedidos</t>
        </r>
      </text>
    </comment>
    <comment ref="C47" authorId="1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I48" authorId="2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L48" authorId="1" shapeId="0">
      <text>
        <r>
          <rPr>
            <b/>
            <sz val="9"/>
            <color indexed="81"/>
            <rFont val="Tahoma"/>
            <family val="2"/>
          </rPr>
          <t>ENERGIA TOTAL (GJ) REPORTE OPERATIVO EL ENCINO - NORTE II</t>
        </r>
      </text>
    </comment>
    <comment ref="M48" authorId="2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UNIDAD1</t>
        </r>
      </text>
    </comment>
    <comment ref="N48" authorId="2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UNIDAD2</t>
        </r>
      </text>
    </comment>
  </commentList>
</comments>
</file>

<file path=xl/comments53.xml><?xml version="1.0" encoding="utf-8"?>
<comments xmlns="http://schemas.openxmlformats.org/spreadsheetml/2006/main">
  <authors>
    <author>Ing. Guillermo Medina Gorostiza</author>
    <author>Fernando López Casillas</author>
    <author>GUILLERMO</author>
  </authors>
  <commentList>
    <comment ref="I10" authorId="0" shapeId="0">
      <text>
        <r>
          <rPr>
            <b/>
            <sz val="9"/>
            <color indexed="81"/>
            <rFont val="Tahoma"/>
            <family val="2"/>
          </rPr>
          <t>Ing. Guillermo Medina Gorostiza:</t>
        </r>
        <r>
          <rPr>
            <sz val="9"/>
            <color indexed="81"/>
            <rFont val="Tahoma"/>
            <family val="2"/>
          </rPr>
          <t xml:space="preserve">
T.C. ENTRADA DE ACTIVIDAD DOCUMENTO 18000</t>
        </r>
      </text>
    </comment>
    <comment ref="P28" authorId="0" shapeId="0">
      <text>
        <r>
          <rPr>
            <b/>
            <sz val="9"/>
            <color indexed="81"/>
            <rFont val="Tahoma"/>
            <family val="2"/>
          </rPr>
          <t>Ing. Guillermo Medina Gorostiza:</t>
        </r>
        <r>
          <rPr>
            <sz val="9"/>
            <color indexed="81"/>
            <rFont val="Tahoma"/>
            <family val="2"/>
          </rPr>
          <t xml:space="preserve">
T.C. PAGO DOCUMENTO 14000</t>
        </r>
      </text>
    </comment>
    <comment ref="D33" authorId="0" shapeId="0">
      <text>
        <r>
          <rPr>
            <b/>
            <sz val="9"/>
            <color indexed="81"/>
            <rFont val="Tahoma"/>
            <family val="2"/>
          </rPr>
          <t>Ing. Guillermo Medina Gorostiza:</t>
        </r>
        <r>
          <rPr>
            <sz val="9"/>
            <color indexed="81"/>
            <rFont val="Tahoma"/>
            <family val="2"/>
          </rPr>
          <t xml:space="preserve">
hay que checar la posicion en el pedido acorde con el mes que se paga "ojo" empiezamos con Septiembre de 2017 cuando inicia la nueva estructura y pedidos</t>
        </r>
      </text>
    </comment>
    <comment ref="C47" authorId="1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I48" authorId="2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L48" authorId="1" shapeId="0">
      <text>
        <r>
          <rPr>
            <b/>
            <sz val="9"/>
            <color indexed="81"/>
            <rFont val="Tahoma"/>
            <family val="2"/>
          </rPr>
          <t>ENERGIA TOTAL (GJ) REPORTE OPERATIVO EL ENCINO - NORTE II</t>
        </r>
      </text>
    </comment>
    <comment ref="M48" authorId="2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UNIDAD1</t>
        </r>
      </text>
    </comment>
    <comment ref="N48" authorId="2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UNIDAD2</t>
        </r>
      </text>
    </comment>
  </commentList>
</comments>
</file>

<file path=xl/comments54.xml><?xml version="1.0" encoding="utf-8"?>
<comments xmlns="http://schemas.openxmlformats.org/spreadsheetml/2006/main">
  <authors>
    <author>Fer Casillas</author>
    <author>Ing. Guillermo Medina Gorostiza</author>
    <author>Fernando López Casillas</author>
    <author>GUILLERMO</author>
  </authors>
  <commentList>
    <comment ref="Q24" authorId="0" shapeId="0">
      <text>
        <r>
          <rPr>
            <b/>
            <sz val="9"/>
            <color indexed="81"/>
            <rFont val="Tahoma"/>
            <family val="2"/>
          </rPr>
          <t>Informacion para llenar las Cedulas de Solicitud de Traspasos</t>
        </r>
      </text>
    </comment>
    <comment ref="D30" authorId="1" shapeId="0">
      <text>
        <r>
          <rPr>
            <b/>
            <sz val="9"/>
            <color indexed="81"/>
            <rFont val="Tahoma"/>
            <family val="2"/>
          </rPr>
          <t>Ing. Guillermo Medina Gorostiza:</t>
        </r>
        <r>
          <rPr>
            <sz val="9"/>
            <color indexed="81"/>
            <rFont val="Tahoma"/>
            <family val="2"/>
          </rPr>
          <t xml:space="preserve">
hay que checar la posicion en el pedido acorde con el mes que se paga "ojo" empezamos con Septiembre de 2017 cuando inicia la nueva estructura y pedidos</t>
        </r>
      </text>
    </comment>
    <comment ref="C56" authorId="2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I57" authorId="3" shapeId="0">
      <text>
        <r>
          <rPr>
            <b/>
            <sz val="9"/>
            <color rgb="FF000000"/>
            <rFont val="Tahoma"/>
            <family val="2"/>
          </rPr>
          <t>GUILLERMO: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CONFIRMACION (MMBTU) DEL REPORTE OPERATIVO ESTACION EL ENCINO - NORTE II</t>
        </r>
      </text>
    </comment>
    <comment ref="L57" authorId="2" shapeId="0">
      <text>
        <r>
          <rPr>
            <b/>
            <sz val="9"/>
            <color indexed="81"/>
            <rFont val="Tahoma"/>
            <family val="2"/>
          </rPr>
          <t>ENERGIA TOTAL (GJ) REPORTE OPERATIVO EL ENCINO - NORTE II</t>
        </r>
      </text>
    </comment>
    <comment ref="M57" authorId="3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UNIDAD1</t>
        </r>
      </text>
    </comment>
    <comment ref="N57" authorId="3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UNIDAD2</t>
        </r>
      </text>
    </comment>
  </commentList>
</comments>
</file>

<file path=xl/comments55.xml><?xml version="1.0" encoding="utf-8"?>
<comments xmlns="http://schemas.openxmlformats.org/spreadsheetml/2006/main">
  <authors>
    <author>Fer Casillas</author>
    <author>Ing. Guillermo Medina Gorostiza</author>
    <author>Fernando López Casillas</author>
    <author>GUILLERMO</author>
  </authors>
  <commentList>
    <comment ref="Q24" authorId="0" shapeId="0">
      <text>
        <r>
          <rPr>
            <b/>
            <sz val="9"/>
            <color indexed="81"/>
            <rFont val="Tahoma"/>
            <family val="2"/>
          </rPr>
          <t>Informacion para llenar las Cedulas de Solicitud de Traspasos</t>
        </r>
      </text>
    </comment>
    <comment ref="D30" authorId="1" shapeId="0">
      <text>
        <r>
          <rPr>
            <b/>
            <sz val="9"/>
            <color indexed="81"/>
            <rFont val="Tahoma"/>
            <family val="2"/>
          </rPr>
          <t>Ing. Guillermo Medina Gorostiza:</t>
        </r>
        <r>
          <rPr>
            <sz val="9"/>
            <color indexed="81"/>
            <rFont val="Tahoma"/>
            <family val="2"/>
          </rPr>
          <t xml:space="preserve">
hay que checar la posicion en el pedido acorde con el mes que se paga "ojo" empezamos con Septiembre de 2017 cuando inicia la nueva estructura y pedidos</t>
        </r>
      </text>
    </comment>
    <comment ref="C56" authorId="2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I57" authorId="3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L57" authorId="2" shapeId="0">
      <text>
        <r>
          <rPr>
            <b/>
            <sz val="9"/>
            <color rgb="FF000000"/>
            <rFont val="Tahoma"/>
            <family val="2"/>
          </rPr>
          <t>ENERGIA TOTAL (GJ) REPORTE OPERATIVO EL ENCINO - NORTE II</t>
        </r>
      </text>
    </comment>
    <comment ref="M57" authorId="3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UNIDAD1</t>
        </r>
      </text>
    </comment>
    <comment ref="N57" authorId="3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UNIDAD2</t>
        </r>
      </text>
    </comment>
  </commentList>
</comments>
</file>

<file path=xl/comments56.xml><?xml version="1.0" encoding="utf-8"?>
<comments xmlns="http://schemas.openxmlformats.org/spreadsheetml/2006/main">
  <authors>
    <author>Fer Casillas</author>
    <author>Ing. Guillermo Medina Gorostiza</author>
    <author>Fernando López Casillas</author>
    <author>GUILLERMO</author>
  </authors>
  <commentList>
    <comment ref="Q24" authorId="0" shapeId="0">
      <text>
        <r>
          <rPr>
            <b/>
            <sz val="9"/>
            <color indexed="81"/>
            <rFont val="Tahoma"/>
            <family val="2"/>
          </rPr>
          <t>Informacion para llenar las Cedulas de Solicitud de Traspasos</t>
        </r>
      </text>
    </comment>
    <comment ref="D30" authorId="1" shapeId="0">
      <text>
        <r>
          <rPr>
            <b/>
            <sz val="9"/>
            <color rgb="FF000000"/>
            <rFont val="Tahoma"/>
            <family val="2"/>
          </rPr>
          <t>Ing. Guillermo Medina Gorostiza: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hay que checar la posicion en el pedido acorde con el mes que se paga "ojo" empezamos con Septiembre de 2017 cuando inicia la nueva estructura y pedidos</t>
        </r>
      </text>
    </comment>
    <comment ref="C56" authorId="2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I57" authorId="3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L57" authorId="2" shapeId="0">
      <text>
        <r>
          <rPr>
            <b/>
            <sz val="9"/>
            <color indexed="81"/>
            <rFont val="Tahoma"/>
            <family val="2"/>
          </rPr>
          <t>ENERGIA TOTAL (GJ) REPORTE OPERATIVO EL ENCINO - NORTE II</t>
        </r>
      </text>
    </comment>
    <comment ref="M57" authorId="3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UNIDAD1</t>
        </r>
      </text>
    </comment>
    <comment ref="N57" authorId="3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UNIDAD2</t>
        </r>
      </text>
    </comment>
  </commentList>
</comments>
</file>

<file path=xl/comments57.xml><?xml version="1.0" encoding="utf-8"?>
<comments xmlns="http://schemas.openxmlformats.org/spreadsheetml/2006/main">
  <authors>
    <author>Fer Casillas</author>
    <author>Ing. Guillermo Medina Gorostiza</author>
    <author>Fernando López Casillas</author>
    <author>GUILLERMO</author>
  </authors>
  <commentList>
    <comment ref="Q24" authorId="0" shapeId="0">
      <text>
        <r>
          <rPr>
            <b/>
            <sz val="9"/>
            <color indexed="81"/>
            <rFont val="Tahoma"/>
            <family val="2"/>
          </rPr>
          <t>Informacion para llenar las Cedulas de Solicitud de Traspasos</t>
        </r>
      </text>
    </comment>
    <comment ref="D30" authorId="1" shapeId="0">
      <text>
        <r>
          <rPr>
            <b/>
            <sz val="9"/>
            <color indexed="81"/>
            <rFont val="Tahoma"/>
            <family val="2"/>
          </rPr>
          <t>Ing. Guillermo Medina Gorostiza:</t>
        </r>
        <r>
          <rPr>
            <sz val="9"/>
            <color indexed="81"/>
            <rFont val="Tahoma"/>
            <family val="2"/>
          </rPr>
          <t xml:space="preserve">
hay que checar la posicion en el pedido acorde con el mes que se paga "ojo" empezamos con Septiembre de 2017 cuando inicia la nueva estructura y pedidos</t>
        </r>
      </text>
    </comment>
    <comment ref="C56" authorId="2" shapeId="0">
      <text>
        <r>
          <rPr>
            <b/>
            <sz val="9"/>
            <color rgb="FF000000"/>
            <rFont val="Tahoma"/>
            <family val="2"/>
          </rPr>
          <t>Capturar el Numero de Mes</t>
        </r>
      </text>
    </comment>
    <comment ref="I57" authorId="3" shapeId="0">
      <text>
        <r>
          <rPr>
            <b/>
            <sz val="9"/>
            <color rgb="FF000000"/>
            <rFont val="Tahoma"/>
            <family val="2"/>
          </rPr>
          <t>GUILLERMO: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CONFIRMACION (MMBTU) DEL REPORTE OPERATIVO ESTACION EL ENCINO - NORTE II</t>
        </r>
      </text>
    </comment>
    <comment ref="L57" authorId="2" shapeId="0">
      <text>
        <r>
          <rPr>
            <b/>
            <sz val="9"/>
            <color indexed="81"/>
            <rFont val="Tahoma"/>
            <family val="2"/>
          </rPr>
          <t>ENERGIA TOTAL (GJ) REPORTE OPERATIVO EL ENCINO - NORTE II</t>
        </r>
      </text>
    </comment>
    <comment ref="M57" authorId="3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UNIDAD1</t>
        </r>
      </text>
    </comment>
    <comment ref="N57" authorId="3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DATOS SINE 2201-ENO UNIDAD2</t>
        </r>
      </text>
    </comment>
  </commentList>
</comments>
</file>

<file path=xl/comments58.xml><?xml version="1.0" encoding="utf-8"?>
<comments xmlns="http://schemas.openxmlformats.org/spreadsheetml/2006/main">
  <authors>
    <author>Fer Casillas</author>
    <author>Ing. Guillermo Medina Gorostiza</author>
    <author>Fernando López Casillas</author>
    <author>GUILLERMO</author>
  </authors>
  <commentList>
    <comment ref="S25" authorId="0" shapeId="0">
      <text>
        <r>
          <rPr>
            <b/>
            <sz val="9"/>
            <color indexed="81"/>
            <rFont val="Tahoma"/>
            <family val="2"/>
          </rPr>
          <t>Informacion para llenar las Cedulas de Solicitud de Traspasos</t>
        </r>
      </text>
    </comment>
    <comment ref="D31" authorId="1" shapeId="0">
      <text>
        <r>
          <rPr>
            <b/>
            <sz val="9"/>
            <color indexed="8"/>
            <rFont val="Tahoma"/>
            <family val="2"/>
          </rPr>
          <t>Ing. Guillermo Medina Gorostiza: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>hay que checar la posicion en el pedido acorde con el mes que se paga "ojo" empezamos con Septiembre de 2017 cuando inicia la nueva estructura y pedidos</t>
        </r>
      </text>
    </comment>
    <comment ref="D41" authorId="1" shapeId="0">
      <text>
        <r>
          <rPr>
            <b/>
            <sz val="9"/>
            <color indexed="8"/>
            <rFont val="Tahoma"/>
            <family val="2"/>
          </rPr>
          <t>Ing. Guillermo Medina Gorostiza: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>hay que checar la posicion en el pedido acorde con el mes que se paga "ojo" empezamos con Septiembre de 2017 cuando inicia la nueva estructura y pedidos</t>
        </r>
      </text>
    </comment>
    <comment ref="M49" authorId="0" shapeId="0">
      <text>
        <r>
          <rPr>
            <b/>
            <sz val="9"/>
            <color rgb="FF000000"/>
            <rFont val="Tahoma"/>
            <family val="2"/>
          </rPr>
          <t>NOTA AJUSTE FE-295</t>
        </r>
      </text>
    </comment>
    <comment ref="O49" authorId="0" shapeId="0">
      <text>
        <r>
          <rPr>
            <b/>
            <sz val="9"/>
            <color rgb="FF000000"/>
            <rFont val="Tahoma"/>
            <family val="2"/>
          </rPr>
          <t>27/07/2018</t>
        </r>
      </text>
    </comment>
    <comment ref="O52" authorId="0" shapeId="0">
      <text>
        <r>
          <rPr>
            <b/>
            <sz val="9"/>
            <color rgb="FF000000"/>
            <rFont val="Tahoma"/>
            <family val="2"/>
          </rPr>
          <t>25/06/2018</t>
        </r>
      </text>
    </comment>
    <comment ref="C68" authorId="2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J69" authorId="3" shapeId="0">
      <text>
        <r>
          <rPr>
            <b/>
            <sz val="9"/>
            <color indexed="8"/>
            <rFont val="Tahoma"/>
            <family val="2"/>
          </rPr>
          <t>GUILLERMO: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>CONFIRMACION (MMBTU) DEL REPORTE OPERATIVO ESTACION EL ENCINO - NORTE II</t>
        </r>
      </text>
    </comment>
    <comment ref="V69" authorId="0" shapeId="0">
      <text>
        <r>
          <rPr>
            <b/>
            <sz val="9"/>
            <color rgb="FF000000"/>
            <rFont val="Tahoma"/>
            <family val="2"/>
          </rPr>
          <t>TRANSCANADA</t>
        </r>
      </text>
    </comment>
    <comment ref="U101" authorId="0" shapeId="0">
      <text>
        <r>
          <rPr>
            <b/>
            <sz val="9"/>
            <color indexed="81"/>
            <rFont val="Tahoma"/>
            <family val="2"/>
          </rPr>
          <t>suministro cenagas</t>
        </r>
      </text>
    </comment>
  </commentList>
</comments>
</file>

<file path=xl/comments59.xml><?xml version="1.0" encoding="utf-8"?>
<comments xmlns="http://schemas.openxmlformats.org/spreadsheetml/2006/main">
  <authors>
    <author>Fer Casillas</author>
    <author>Ing. Guillermo Medina Gorostiza</author>
    <author>Fernando López Casillas</author>
    <author>GUILLERMO</author>
  </authors>
  <commentList>
    <comment ref="Q25" authorId="0" shapeId="0">
      <text>
        <r>
          <rPr>
            <b/>
            <sz val="9"/>
            <color indexed="81"/>
            <rFont val="Tahoma"/>
            <family val="2"/>
          </rPr>
          <t>Informacion para llenar las Cedulas de Solicitud de Traspasos</t>
        </r>
      </text>
    </comment>
    <comment ref="D31" authorId="1" shapeId="0">
      <text>
        <r>
          <rPr>
            <b/>
            <sz val="9"/>
            <color indexed="8"/>
            <rFont val="Tahoma"/>
            <family val="2"/>
          </rPr>
          <t>Ing. Guillermo Medina Gorostiza: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>hay que checar la posicion en el pedido acorde con el mes que se paga "ojo" empezamos con Septiembre de 2017 cuando inicia la nueva estructura y pedidos</t>
        </r>
      </text>
    </comment>
    <comment ref="C69" authorId="2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J70" authorId="3" shapeId="0">
      <text>
        <r>
          <rPr>
            <b/>
            <sz val="9"/>
            <color indexed="8"/>
            <rFont val="Tahoma"/>
            <family val="2"/>
          </rPr>
          <t>GUILLERMO: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>CONFIRMACION (MMBTU) DEL REPORTE OPERATIVO ESTACION EL ENCINO - NORTE II</t>
        </r>
      </text>
    </comment>
    <comment ref="V70" authorId="0" shapeId="0">
      <text>
        <r>
          <rPr>
            <b/>
            <sz val="9"/>
            <color indexed="8"/>
            <rFont val="Tahoma"/>
            <family val="2"/>
          </rPr>
          <t>TRANSCANADA</t>
        </r>
      </text>
    </comment>
  </commentList>
</comments>
</file>

<file path=xl/comments60.xml><?xml version="1.0" encoding="utf-8"?>
<comments xmlns="http://schemas.openxmlformats.org/spreadsheetml/2006/main">
  <authors>
    <author>Fer Casillas</author>
    <author>Ing. Guillermo Medina Gorostiza</author>
    <author>Fernando López Casillas</author>
    <author>GUILLERMO</author>
  </authors>
  <commentList>
    <comment ref="Q25" authorId="0" shapeId="0">
      <text>
        <r>
          <rPr>
            <b/>
            <sz val="9"/>
            <color indexed="81"/>
            <rFont val="Tahoma"/>
            <family val="2"/>
          </rPr>
          <t>Informacion para llenar las Cedulas de Solicitud de Traspasos</t>
        </r>
      </text>
    </comment>
    <comment ref="D31" authorId="1" shapeId="0">
      <text>
        <r>
          <rPr>
            <b/>
            <sz val="9"/>
            <color rgb="FF000000"/>
            <rFont val="Tahoma"/>
            <family val="2"/>
          </rPr>
          <t>Ing. Guillermo Medina Gorostiza: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hay que checar la posicion en el pedido acorde con el mes que se paga "ojo" empezamos con Septiembre de 2017 cuando inicia la nueva estructura y pedidos</t>
        </r>
      </text>
    </comment>
    <comment ref="D42" authorId="1" shapeId="0">
      <text>
        <r>
          <rPr>
            <b/>
            <sz val="9"/>
            <color indexed="8"/>
            <rFont val="Tahoma"/>
            <family val="2"/>
          </rPr>
          <t>Ing. Guillermo Medina Gorostiza: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>hay que checar la posicion en el pedido acorde con el mes que se paga "ojo" empezamos con Septiembre de 2017 cuando inicia la nueva estructura y pedidos</t>
        </r>
      </text>
    </comment>
    <comment ref="C69" authorId="2" shapeId="0">
      <text>
        <r>
          <rPr>
            <b/>
            <sz val="9"/>
            <color indexed="8"/>
            <rFont val="Tahoma"/>
            <family val="2"/>
          </rPr>
          <t>Capturar el Numero de Mes</t>
        </r>
      </text>
    </comment>
    <comment ref="J70" authorId="3" shapeId="0">
      <text>
        <r>
          <rPr>
            <b/>
            <sz val="9"/>
            <color indexed="8"/>
            <rFont val="Tahoma"/>
            <family val="2"/>
          </rPr>
          <t>GUILLERMO: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>CONFIRMACION (MMBTU) DEL REPORTE OPERATIVO ESTACION EL ENCINO - NORTE II</t>
        </r>
      </text>
    </comment>
    <comment ref="V70" authorId="0" shapeId="0">
      <text>
        <r>
          <rPr>
            <b/>
            <sz val="9"/>
            <color indexed="8"/>
            <rFont val="Tahoma"/>
            <family val="2"/>
          </rPr>
          <t>TRANSCANADA</t>
        </r>
      </text>
    </comment>
  </commentList>
</comments>
</file>

<file path=xl/comments61.xml><?xml version="1.0" encoding="utf-8"?>
<comments xmlns="http://schemas.openxmlformats.org/spreadsheetml/2006/main">
  <authors>
    <author>Fer Casillas</author>
    <author>Ing. Guillermo Medina Gorostiza</author>
    <author>Fernando López Casillas</author>
    <author>GUILLERMO</author>
  </authors>
  <commentList>
    <comment ref="Q25" authorId="0" shapeId="0">
      <text>
        <r>
          <rPr>
            <b/>
            <sz val="9"/>
            <color indexed="81"/>
            <rFont val="Tahoma"/>
            <family val="2"/>
          </rPr>
          <t>Informacion para llenar las Cedulas de Solicitud de Traspasos</t>
        </r>
      </text>
    </comment>
    <comment ref="D31" authorId="1" shapeId="0">
      <text>
        <r>
          <rPr>
            <b/>
            <sz val="9"/>
            <color rgb="FF000000"/>
            <rFont val="Tahoma"/>
            <family val="2"/>
          </rPr>
          <t>Ing. Guillermo Medina Gorostiza: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hay que checar la posicion en el pedido acorde con el mes que se paga "ojo" empezamos con Septiembre de 2017 cuando inicia la nueva estructura y pedidos</t>
        </r>
      </text>
    </comment>
    <comment ref="D42" authorId="1" shapeId="0">
      <text>
        <r>
          <rPr>
            <b/>
            <sz val="9"/>
            <color indexed="8"/>
            <rFont val="Tahoma"/>
            <family val="2"/>
          </rPr>
          <t>Ing. Guillermo Medina Gorostiza: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>hay que checar la posicion en el pedido acorde con el mes que se paga "ojo" empezamos con Septiembre de 2017 cuando inicia la nueva estructura y pedidos</t>
        </r>
      </text>
    </comment>
    <comment ref="C69" authorId="2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J70" authorId="3" shapeId="0">
      <text>
        <r>
          <rPr>
            <b/>
            <sz val="9"/>
            <color rgb="FF000000"/>
            <rFont val="Tahoma"/>
            <family val="2"/>
          </rPr>
          <t>GUILLERMO: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CONFIRMACION (MMBTU) DEL REPORTE OPERATIVO ESTACION EL ENCINO - NORTE II</t>
        </r>
      </text>
    </comment>
    <comment ref="V70" authorId="0" shapeId="0">
      <text>
        <r>
          <rPr>
            <b/>
            <sz val="9"/>
            <color indexed="8"/>
            <rFont val="Tahoma"/>
            <family val="2"/>
          </rPr>
          <t>TRANSCANADA</t>
        </r>
      </text>
    </comment>
  </commentList>
</comments>
</file>

<file path=xl/comments62.xml><?xml version="1.0" encoding="utf-8"?>
<comments xmlns="http://schemas.openxmlformats.org/spreadsheetml/2006/main">
  <authors>
    <author>Ing. Guillermo Medina Gorostiza</author>
    <author>Fernando López Casillas</author>
    <author>GUILLERMO</author>
    <author>Fer Casillas</author>
  </authors>
  <commentList>
    <comment ref="D31" authorId="0" shapeId="0">
      <text>
        <r>
          <rPr>
            <b/>
            <sz val="9"/>
            <color indexed="8"/>
            <rFont val="Tahoma"/>
            <family val="2"/>
          </rPr>
          <t>Ing. Guillermo Medina Gorostiza: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>hay que checar la posicion en el pedido acorde con el mes que se paga "ojo" empezamos con Septiembre de 2017 cuando inicia la nueva estructura y pedidos</t>
        </r>
      </text>
    </comment>
    <comment ref="D42" authorId="0" shapeId="0">
      <text>
        <r>
          <rPr>
            <b/>
            <sz val="9"/>
            <color indexed="8"/>
            <rFont val="Tahoma"/>
            <family val="2"/>
          </rPr>
          <t>Ing. Guillermo Medina Gorostiza: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>hay que checar la posicion en el pedido acorde con el mes que se paga "ojo" empezamos con Septiembre de 2017 cuando inicia la nueva estructura y pedidos</t>
        </r>
      </text>
    </comment>
    <comment ref="C69" authorId="1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J70" authorId="2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V70" authorId="3" shapeId="0">
      <text>
        <r>
          <rPr>
            <b/>
            <sz val="9"/>
            <color rgb="FF000000"/>
            <rFont val="Tahoma"/>
            <family val="2"/>
          </rPr>
          <t>TRANSCANADA</t>
        </r>
      </text>
    </comment>
  </commentList>
</comments>
</file>

<file path=xl/comments63.xml><?xml version="1.0" encoding="utf-8"?>
<comments xmlns="http://schemas.openxmlformats.org/spreadsheetml/2006/main">
  <authors>
    <author>Fer Casillas</author>
    <author>Ing. Guillermo Medina Gorostiza</author>
    <author>Fernando López Casillas</author>
    <author>GUILLERMO</author>
  </authors>
  <commentList>
    <comment ref="Q25" authorId="0" shapeId="0">
      <text>
        <r>
          <rPr>
            <b/>
            <sz val="9"/>
            <color rgb="FF000000"/>
            <rFont val="Tahoma"/>
            <family val="2"/>
          </rPr>
          <t>Informacion para llenar las Cedulas de Solicitud de Traspasos</t>
        </r>
      </text>
    </comment>
    <comment ref="D31" authorId="1" shapeId="0">
      <text>
        <r>
          <rPr>
            <b/>
            <sz val="9"/>
            <color rgb="FF000000"/>
            <rFont val="Tahoma"/>
            <family val="2"/>
          </rPr>
          <t>Ing. Guillermo Medina Gorostiza: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hay que checar la posicion en el pedido acorde con el mes que se paga "ojo" empezamos con Septiembre de 2017 cuando inicia la nueva estructura y pedidos</t>
        </r>
      </text>
    </comment>
    <comment ref="D42" authorId="1" shapeId="0">
      <text>
        <r>
          <rPr>
            <b/>
            <sz val="9"/>
            <color indexed="8"/>
            <rFont val="Tahoma"/>
            <family val="2"/>
          </rPr>
          <t>Ing. Guillermo Medina Gorostiza: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>hay que checar la posicion en el pedido acorde con el mes que se paga "ojo" empezamos con Septiembre de 2017 cuando inicia la nueva estructura y pedidos</t>
        </r>
      </text>
    </comment>
    <comment ref="C70" authorId="2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J71" authorId="3" shapeId="0">
      <text>
        <r>
          <rPr>
            <b/>
            <sz val="9"/>
            <color rgb="FF000000"/>
            <rFont val="Tahoma"/>
            <family val="2"/>
          </rPr>
          <t>GUILLERMO: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CONFIRMACION (MMBTU) DEL REPORTE OPERATIVO ESTACION EL ENCINO - NORTE II</t>
        </r>
      </text>
    </comment>
    <comment ref="V71" authorId="0" shapeId="0">
      <text>
        <r>
          <rPr>
            <b/>
            <sz val="9"/>
            <color rgb="FF000000"/>
            <rFont val="Tahoma"/>
            <family val="2"/>
          </rPr>
          <t>TRANSCANADA</t>
        </r>
      </text>
    </comment>
  </commentList>
</comments>
</file>

<file path=xl/comments64.xml><?xml version="1.0" encoding="utf-8"?>
<comments xmlns="http://schemas.openxmlformats.org/spreadsheetml/2006/main">
  <authors>
    <author>Fer Casillas</author>
    <author>Ing. Guillermo Medina Gorostiza</author>
    <author>Fernando López Casillas</author>
    <author>GUILLERMO</author>
  </authors>
  <commentList>
    <comment ref="Q25" authorId="0" shapeId="0">
      <text>
        <r>
          <rPr>
            <b/>
            <sz val="9"/>
            <color indexed="81"/>
            <rFont val="Tahoma"/>
            <family val="2"/>
          </rPr>
          <t>Informacion para llenar las Cedulas de Solicitud de Traspasos</t>
        </r>
      </text>
    </comment>
    <comment ref="D31" authorId="1" shapeId="0">
      <text>
        <r>
          <rPr>
            <b/>
            <sz val="9"/>
            <color indexed="8"/>
            <rFont val="Tahoma"/>
            <family val="2"/>
          </rPr>
          <t>Ing. Guillermo Medina Gorostiza: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>hay que checar la posicion en el pedido acorde con el mes que se paga "ojo" empezamos con Septiembre de 2017 cuando inicia la nueva estructura y pedidos</t>
        </r>
      </text>
    </comment>
    <comment ref="D42" authorId="1" shapeId="0">
      <text>
        <r>
          <rPr>
            <b/>
            <sz val="9"/>
            <color indexed="8"/>
            <rFont val="Tahoma"/>
            <family val="2"/>
          </rPr>
          <t>Ing. Guillermo Medina Gorostiza: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>hay que checar la posicion en el pedido acorde con el mes que se paga "ojo" empezamos con Septiembre de 2017 cuando inicia la nueva estructura y pedidos</t>
        </r>
      </text>
    </comment>
    <comment ref="C70" authorId="2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J71" authorId="3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U71" authorId="0" shapeId="0">
      <text>
        <r>
          <rPr>
            <b/>
            <sz val="9"/>
            <color indexed="81"/>
            <rFont val="Tahoma"/>
            <family val="2"/>
          </rPr>
          <t>TRANSCANADA</t>
        </r>
      </text>
    </comment>
  </commentList>
</comments>
</file>

<file path=xl/comments65.xml><?xml version="1.0" encoding="utf-8"?>
<comments xmlns="http://schemas.openxmlformats.org/spreadsheetml/2006/main">
  <authors>
    <author>Fer Casillas</author>
    <author>Ing. Guillermo Medina Gorostiza</author>
    <author>Fernando López Casillas</author>
    <author>GUILLERMO</author>
  </authors>
  <commentList>
    <comment ref="Q25" authorId="0" shapeId="0">
      <text>
        <r>
          <rPr>
            <b/>
            <sz val="9"/>
            <color indexed="81"/>
            <rFont val="Tahoma"/>
            <family val="2"/>
          </rPr>
          <t>Informacion para llenar las Cedulas de Solicitud de Traspasos</t>
        </r>
      </text>
    </comment>
    <comment ref="D32" authorId="1" shapeId="0">
      <text>
        <r>
          <rPr>
            <b/>
            <sz val="9"/>
            <color rgb="FF000000"/>
            <rFont val="Tahoma"/>
            <family val="2"/>
          </rPr>
          <t>Ing. Guillermo Medina Gorostiza: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hay que checar la posicion en el pedido acorde con el mes que se paga "ojo" empezamos con Septiembre de 2017 cuando inicia la nueva estructura y pedidos</t>
        </r>
      </text>
    </comment>
    <comment ref="C69" authorId="2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J70" authorId="3" shapeId="0">
      <text>
        <r>
          <rPr>
            <b/>
            <sz val="9"/>
            <color rgb="FF000000"/>
            <rFont val="Tahoma"/>
            <family val="2"/>
          </rPr>
          <t>GUILLERMO: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CONFIRMACION (MMBTU) DEL REPORTE OPERATIVO ESTACION EL ENCINO - NORTE II</t>
        </r>
      </text>
    </comment>
    <comment ref="X70" authorId="0" shapeId="0">
      <text>
        <r>
          <rPr>
            <b/>
            <sz val="9"/>
            <color rgb="FF000000"/>
            <rFont val="Tahoma"/>
            <family val="2"/>
          </rPr>
          <t>TRANSCANADA</t>
        </r>
      </text>
    </comment>
  </commentList>
</comments>
</file>

<file path=xl/comments66.xml><?xml version="1.0" encoding="utf-8"?>
<comments xmlns="http://schemas.openxmlformats.org/spreadsheetml/2006/main">
  <authors>
    <author>Fer Casillas</author>
    <author>Ing. Guillermo Medina Gorostiza</author>
    <author>Fernando López Casillas</author>
    <author>GUILLERMO</author>
  </authors>
  <commentList>
    <comment ref="Q24" authorId="0" shapeId="0">
      <text>
        <r>
          <rPr>
            <b/>
            <sz val="9"/>
            <color indexed="81"/>
            <rFont val="Tahoma"/>
            <family val="2"/>
          </rPr>
          <t>Informacion para llenar las Cedulas de Solicitud de Traspasos</t>
        </r>
      </text>
    </comment>
    <comment ref="D32" authorId="1" shapeId="0">
      <text>
        <r>
          <rPr>
            <b/>
            <sz val="9"/>
            <color rgb="FF000000"/>
            <rFont val="Tahoma"/>
            <family val="2"/>
          </rPr>
          <t>Ing. Guillermo Medina Gorostiza: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hay que checar la posicion en el pedido acorde con el mes que se paga "ojo" empezamos con Septiembre de 2017 cuando inicia la nueva estructura y pedidos</t>
        </r>
      </text>
    </comment>
    <comment ref="C69" authorId="2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J70" authorId="3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Y70" authorId="0" shapeId="0">
      <text>
        <r>
          <rPr>
            <b/>
            <sz val="9"/>
            <color rgb="FF000000"/>
            <rFont val="Tahoma"/>
            <family val="2"/>
          </rPr>
          <t>TRANSCANADA</t>
        </r>
      </text>
    </comment>
  </commentList>
</comments>
</file>

<file path=xl/comments67.xml><?xml version="1.0" encoding="utf-8"?>
<comments xmlns="http://schemas.openxmlformats.org/spreadsheetml/2006/main">
  <authors>
    <author>Fer Casillas</author>
    <author>Ing. Guillermo Medina Gorostiza</author>
    <author>Fernando López Casillas</author>
    <author>GUILLERMO</author>
  </authors>
  <commentList>
    <comment ref="Q24" authorId="0" shapeId="0">
      <text>
        <r>
          <rPr>
            <b/>
            <sz val="9"/>
            <color indexed="81"/>
            <rFont val="Tahoma"/>
            <family val="2"/>
          </rPr>
          <t>Informacion para llenar las Cedulas de Solicitud de Traspasos</t>
        </r>
      </text>
    </comment>
    <comment ref="D32" authorId="1" shapeId="0">
      <text>
        <r>
          <rPr>
            <b/>
            <sz val="9"/>
            <color rgb="FF000000"/>
            <rFont val="Tahoma"/>
            <family val="2"/>
          </rPr>
          <t>Ing. Guillermo Medina Gorostiza: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hay que checar la posicion en el pedido acorde con el mes que se paga "ojo" empezamos con Septiembre de 2017 cuando inicia la nueva estructura y pedidos</t>
        </r>
      </text>
    </comment>
    <comment ref="C69" authorId="2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J70" authorId="3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Y70" authorId="0" shapeId="0">
      <text>
        <r>
          <rPr>
            <b/>
            <sz val="9"/>
            <color indexed="81"/>
            <rFont val="Tahoma"/>
            <family val="2"/>
          </rPr>
          <t>TRANSCANADA</t>
        </r>
      </text>
    </comment>
  </commentList>
</comments>
</file>

<file path=xl/comments68.xml><?xml version="1.0" encoding="utf-8"?>
<comments xmlns="http://schemas.openxmlformats.org/spreadsheetml/2006/main">
  <authors>
    <author>Fer Casillas</author>
    <author>Ing. Guillermo Medina Gorostiza</author>
    <author>Fernando López Casillas</author>
    <author>GUILLERMO</author>
  </authors>
  <commentList>
    <comment ref="Q25" authorId="0" shapeId="0">
      <text>
        <r>
          <rPr>
            <b/>
            <sz val="9"/>
            <color indexed="81"/>
            <rFont val="Tahoma"/>
            <family val="2"/>
          </rPr>
          <t>Informacion para llenar las Cedulas de Solicitud de Traspasos</t>
        </r>
      </text>
    </comment>
    <comment ref="D32" authorId="1" shapeId="0">
      <text>
        <r>
          <rPr>
            <b/>
            <sz val="9"/>
            <color indexed="8"/>
            <rFont val="Tahoma"/>
            <family val="2"/>
          </rPr>
          <t>Ing. Guillermo Medina Gorostiza: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>hay que checar la posicion en el pedido acorde con el mes que se paga "ojo" empezamos con Septiembre de 2017 cuando inicia la nueva estructura y pedidos</t>
        </r>
      </text>
    </comment>
    <comment ref="D41" authorId="1" shapeId="0">
      <text>
        <r>
          <rPr>
            <b/>
            <sz val="9"/>
            <color indexed="8"/>
            <rFont val="Tahoma"/>
            <family val="2"/>
          </rPr>
          <t>Ing. Guillermo Medina Gorostiza: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>hay que checar la posicion en el pedido acorde con el mes que se paga "ojo" empezamos con Septiembre de 2017 cuando inicia la nueva estructura y pedidos</t>
        </r>
      </text>
    </comment>
    <comment ref="C69" authorId="2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J70" authorId="3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U70" authorId="0" shapeId="0">
      <text>
        <r>
          <rPr>
            <b/>
            <sz val="9"/>
            <color indexed="81"/>
            <rFont val="Tahoma"/>
            <family val="2"/>
          </rPr>
          <t>TRANSCANADA</t>
        </r>
      </text>
    </comment>
  </commentList>
</comments>
</file>

<file path=xl/comments69.xml><?xml version="1.0" encoding="utf-8"?>
<comments xmlns="http://schemas.openxmlformats.org/spreadsheetml/2006/main">
  <authors>
    <author>Fer Casillas</author>
    <author>Ing. Guillermo Medina Gorostiza</author>
    <author>Fernando López Casillas</author>
    <author>GUILLERMO</author>
  </authors>
  <commentList>
    <comment ref="Q25" authorId="0" shapeId="0">
      <text>
        <r>
          <rPr>
            <b/>
            <sz val="9"/>
            <color indexed="81"/>
            <rFont val="Tahoma"/>
            <family val="2"/>
          </rPr>
          <t>Informacion para llenar las Cedulas de Solicitud de Traspasos</t>
        </r>
      </text>
    </comment>
    <comment ref="D32" authorId="1" shapeId="0">
      <text>
        <r>
          <rPr>
            <b/>
            <sz val="9"/>
            <color indexed="8"/>
            <rFont val="Tahoma"/>
            <family val="2"/>
          </rPr>
          <t>Ing. Guillermo Medina Gorostiza: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>hay que checar la posicion en el pedido acorde con el mes que se paga "ojo" empezamos con Septiembre de 2017 cuando inicia la nueva estructura y pedidos</t>
        </r>
      </text>
    </comment>
    <comment ref="D41" authorId="1" shapeId="0">
      <text>
        <r>
          <rPr>
            <b/>
            <sz val="9"/>
            <color indexed="8"/>
            <rFont val="Tahoma"/>
            <family val="2"/>
          </rPr>
          <t>Ing. Guillermo Medina Gorostiza: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>hay que checar la posicion en el pedido acorde con el mes que se paga "ojo" empezamos con Septiembre de 2017 cuando inicia la nueva estructura y pedidos</t>
        </r>
      </text>
    </comment>
    <comment ref="C69" authorId="2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J70" authorId="3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U70" authorId="0" shapeId="0">
      <text>
        <r>
          <rPr>
            <b/>
            <sz val="9"/>
            <color indexed="81"/>
            <rFont val="Tahoma"/>
            <family val="2"/>
          </rPr>
          <t>TRANSCANADA</t>
        </r>
      </text>
    </comment>
  </commentList>
</comments>
</file>

<file path=xl/comments70.xml><?xml version="1.0" encoding="utf-8"?>
<comments xmlns="http://schemas.openxmlformats.org/spreadsheetml/2006/main">
  <authors>
    <author>Fer Casillas</author>
    <author>Ing. Guillermo Medina Gorostiza</author>
    <author>Fernando López Casillas</author>
    <author>GUILLERMO</author>
  </authors>
  <commentList>
    <comment ref="Q25" authorId="0" shapeId="0">
      <text>
        <r>
          <rPr>
            <b/>
            <sz val="9"/>
            <color indexed="81"/>
            <rFont val="Tahoma"/>
            <family val="2"/>
          </rPr>
          <t>Informacion para llenar las Cedulas de Solicitud de Traspasos</t>
        </r>
      </text>
    </comment>
    <comment ref="D32" authorId="1" shapeId="0">
      <text>
        <r>
          <rPr>
            <b/>
            <sz val="9"/>
            <color indexed="8"/>
            <rFont val="Tahoma"/>
            <family val="2"/>
          </rPr>
          <t>Ing. Guillermo Medina Gorostiza: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>hay que checar la posicion en el pedido acorde con el mes que se paga "ojo" empezamos con Septiembre de 2017 cuando inicia la nueva estructura y pedidos</t>
        </r>
      </text>
    </comment>
    <comment ref="C69" authorId="2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J70" authorId="3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K70" authorId="3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Y70" authorId="0" shapeId="0">
      <text>
        <r>
          <rPr>
            <b/>
            <sz val="9"/>
            <color indexed="81"/>
            <rFont val="Tahoma"/>
            <family val="2"/>
          </rPr>
          <t>TRANSCANADA</t>
        </r>
      </text>
    </comment>
  </commentList>
</comments>
</file>

<file path=xl/comments71.xml><?xml version="1.0" encoding="utf-8"?>
<comments xmlns="http://schemas.openxmlformats.org/spreadsheetml/2006/main">
  <authors>
    <author>Fer Casillas</author>
    <author>Ing. Guillermo Medina Gorostiza</author>
    <author>Fernando López Casillas</author>
    <author>GUILLERMO</author>
  </authors>
  <commentList>
    <comment ref="Q25" authorId="0" shapeId="0">
      <text>
        <r>
          <rPr>
            <b/>
            <sz val="9"/>
            <color indexed="81"/>
            <rFont val="Tahoma"/>
            <family val="2"/>
          </rPr>
          <t>Informacion para llenar las Cedulas de Solicitud de Traspasos</t>
        </r>
      </text>
    </comment>
    <comment ref="D32" authorId="1" shapeId="0">
      <text>
        <r>
          <rPr>
            <b/>
            <sz val="9"/>
            <color indexed="8"/>
            <rFont val="Tahoma"/>
            <family val="2"/>
          </rPr>
          <t>Ing. Guillermo Medina Gorostiza: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>hay que checar la posicion en el pedido acorde con el mes que se paga "ojo" empezamos con Septiembre de 2017 cuando inicia la nueva estructura y pedidos</t>
        </r>
      </text>
    </comment>
    <comment ref="C69" authorId="2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K70" authorId="3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Y70" authorId="0" shapeId="0">
      <text>
        <r>
          <rPr>
            <b/>
            <sz val="9"/>
            <color indexed="81"/>
            <rFont val="Tahoma"/>
            <family val="2"/>
          </rPr>
          <t>TRANSCANADA</t>
        </r>
      </text>
    </comment>
  </commentList>
</comments>
</file>

<file path=xl/comments72.xml><?xml version="1.0" encoding="utf-8"?>
<comments xmlns="http://schemas.openxmlformats.org/spreadsheetml/2006/main">
  <authors>
    <author>Fer Casillas</author>
    <author>Ing. Guillermo Medina Gorostiza</author>
    <author>Fernando López Casillas</author>
    <author>GUILLERMO</author>
  </authors>
  <commentList>
    <comment ref="Q25" authorId="0" shapeId="0">
      <text>
        <r>
          <rPr>
            <b/>
            <sz val="9"/>
            <color indexed="81"/>
            <rFont val="Tahoma"/>
            <family val="2"/>
          </rPr>
          <t>Informacion para llenar las Cedulas de Solicitud de Traspasos</t>
        </r>
      </text>
    </comment>
    <comment ref="D32" authorId="1" shapeId="0">
      <text>
        <r>
          <rPr>
            <b/>
            <sz val="9"/>
            <color indexed="8"/>
            <rFont val="Tahoma"/>
            <family val="2"/>
          </rPr>
          <t>Ing. Guillermo Medina Gorostiza: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>hay que checar la posicion en el pedido acorde con el mes que se paga "ojo" empezamos con Septiembre de 2017 cuando inicia la nueva estructura y pedidos</t>
        </r>
      </text>
    </comment>
    <comment ref="D41" authorId="1" shapeId="0">
      <text>
        <r>
          <rPr>
            <b/>
            <sz val="9"/>
            <color indexed="8"/>
            <rFont val="Tahoma"/>
            <family val="2"/>
          </rPr>
          <t>Ing. Guillermo Medina Gorostiza: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>hay que checar la posicion en el pedido acorde con el mes que se paga "ojo" empezamos con Septiembre de 2017 cuando inicia la nueva estructura y pedidos</t>
        </r>
      </text>
    </comment>
    <comment ref="C69" authorId="2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K70" authorId="3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Y70" authorId="0" shapeId="0">
      <text>
        <r>
          <rPr>
            <b/>
            <sz val="9"/>
            <color indexed="81"/>
            <rFont val="Tahoma"/>
            <family val="2"/>
          </rPr>
          <t>TRANSCANADA</t>
        </r>
      </text>
    </comment>
  </commentList>
</comments>
</file>

<file path=xl/comments73.xml><?xml version="1.0" encoding="utf-8"?>
<comments xmlns="http://schemas.openxmlformats.org/spreadsheetml/2006/main">
  <authors>
    <author>Fer Casillas</author>
    <author>Ing. Guillermo Medina Gorostiza</author>
    <author>Fernando López Casillas</author>
    <author>GUILLERMO</author>
  </authors>
  <commentList>
    <comment ref="Q25" authorId="0" shapeId="0">
      <text>
        <r>
          <rPr>
            <b/>
            <sz val="9"/>
            <color indexed="81"/>
            <rFont val="Tahoma"/>
            <family val="2"/>
          </rPr>
          <t>Informacion para llenar las Cedulas de Solicitud de Traspasos</t>
        </r>
      </text>
    </comment>
    <comment ref="D32" authorId="1" shapeId="0">
      <text>
        <r>
          <rPr>
            <b/>
            <sz val="9"/>
            <color indexed="8"/>
            <rFont val="Tahoma"/>
            <family val="2"/>
          </rPr>
          <t>Ing. Guillermo Medina Gorostiza: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>hay que checar la posicion en el pedido acorde con el mes que se paga "ojo" empezamos con Septiembre de 2017 cuando inicia la nueva estructura y pedidos</t>
        </r>
      </text>
    </comment>
    <comment ref="D41" authorId="1" shapeId="0">
      <text>
        <r>
          <rPr>
            <b/>
            <sz val="9"/>
            <color indexed="8"/>
            <rFont val="Tahoma"/>
            <family val="2"/>
          </rPr>
          <t>Ing. Guillermo Medina Gorostiza: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>hay que checar la posicion en el pedido acorde con el mes que se paga "ojo" empezamos con Septiembre de 2017 cuando inicia la nueva estructura y pedidos</t>
        </r>
      </text>
    </comment>
    <comment ref="C69" authorId="2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K70" authorId="3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Y70" authorId="0" shapeId="0">
      <text>
        <r>
          <rPr>
            <b/>
            <sz val="9"/>
            <color indexed="81"/>
            <rFont val="Tahoma"/>
            <family val="2"/>
          </rPr>
          <t>TRANSCANADA</t>
        </r>
      </text>
    </comment>
  </commentList>
</comments>
</file>

<file path=xl/comments74.xml><?xml version="1.0" encoding="utf-8"?>
<comments xmlns="http://schemas.openxmlformats.org/spreadsheetml/2006/main">
  <authors>
    <author>Fer Casillas</author>
    <author>Ing. Guillermo Medina Gorostiza</author>
    <author>Fernando López Casillas</author>
    <author>GUILLERMO</author>
  </authors>
  <commentList>
    <comment ref="Q25" authorId="0" shapeId="0">
      <text>
        <r>
          <rPr>
            <b/>
            <sz val="9"/>
            <color indexed="81"/>
            <rFont val="Tahoma"/>
            <family val="2"/>
          </rPr>
          <t>Informacion para llenar las Cedulas de Solicitud de Traspasos</t>
        </r>
      </text>
    </comment>
    <comment ref="D32" authorId="1" shapeId="0">
      <text>
        <r>
          <rPr>
            <b/>
            <sz val="9"/>
            <color indexed="8"/>
            <rFont val="Tahoma"/>
            <family val="2"/>
          </rPr>
          <t>Ing. Guillermo Medina Gorostiza: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>hay que checar la posicion en el pedido acorde con el mes que se paga "ojo" empezamos con Septiembre de 2017 cuando inicia la nueva estructura y pedidos</t>
        </r>
      </text>
    </comment>
    <comment ref="C69" authorId="2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K70" authorId="3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Y70" authorId="0" shapeId="0">
      <text>
        <r>
          <rPr>
            <b/>
            <sz val="9"/>
            <color indexed="81"/>
            <rFont val="Tahoma"/>
            <family val="2"/>
          </rPr>
          <t>TRANSCANADA</t>
        </r>
      </text>
    </comment>
  </commentList>
</comments>
</file>

<file path=xl/comments75.xml><?xml version="1.0" encoding="utf-8"?>
<comments xmlns="http://schemas.openxmlformats.org/spreadsheetml/2006/main">
  <authors>
    <author>Fer Casillas</author>
    <author>Ing. Guillermo Medina Gorostiza</author>
    <author>Fernando López Casillas</author>
    <author>GUILLERMO</author>
  </authors>
  <commentList>
    <comment ref="Q25" authorId="0" shapeId="0">
      <text>
        <r>
          <rPr>
            <b/>
            <sz val="9"/>
            <color indexed="81"/>
            <rFont val="Tahoma"/>
            <family val="2"/>
          </rPr>
          <t>Informacion para llenar las Cedulas de Solicitud de Traspasos</t>
        </r>
      </text>
    </comment>
    <comment ref="D32" authorId="1" shapeId="0">
      <text>
        <r>
          <rPr>
            <b/>
            <sz val="9"/>
            <color indexed="8"/>
            <rFont val="Tahoma"/>
            <family val="2"/>
          </rPr>
          <t>Ing. Guillermo Medina Gorostiza: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>hay que checar la posicion en el pedido acorde con el mes que se paga "ojo" empezamos con Septiembre de 2017 cuando inicia la nueva estructura y pedidos</t>
        </r>
      </text>
    </comment>
    <comment ref="C69" authorId="2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L70" authorId="3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AC70" authorId="0" shapeId="0">
      <text>
        <r>
          <rPr>
            <b/>
            <sz val="9"/>
            <color indexed="81"/>
            <rFont val="Tahoma"/>
            <family val="2"/>
          </rPr>
          <t>TRANSCANADA</t>
        </r>
      </text>
    </comment>
  </commentList>
</comments>
</file>

<file path=xl/comments76.xml><?xml version="1.0" encoding="utf-8"?>
<comments xmlns="http://schemas.openxmlformats.org/spreadsheetml/2006/main">
  <authors>
    <author>Fer Casillas</author>
    <author>Ing. Guillermo Medina Gorostiza</author>
    <author>Fernando López Casillas</author>
    <author>GUILLERMO</author>
  </authors>
  <commentList>
    <comment ref="Q25" authorId="0" shapeId="0">
      <text>
        <r>
          <rPr>
            <b/>
            <sz val="9"/>
            <color indexed="81"/>
            <rFont val="Tahoma"/>
            <family val="2"/>
          </rPr>
          <t>Informacion para llenar las Cedulas de Solicitud de Traspasos</t>
        </r>
      </text>
    </comment>
    <comment ref="D32" authorId="1" shapeId="0">
      <text>
        <r>
          <rPr>
            <b/>
            <sz val="9"/>
            <color indexed="8"/>
            <rFont val="Tahoma"/>
            <family val="2"/>
          </rPr>
          <t>Ing. Guillermo Medina Gorostiza: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>hay que checar la posicion en el pedido acorde con el mes que se paga "ojo" empezamos con Septiembre de 2017 cuando inicia la nueva estructura y pedidos</t>
        </r>
      </text>
    </comment>
    <comment ref="C69" authorId="2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K70" authorId="3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Y70" authorId="0" shapeId="0">
      <text>
        <r>
          <rPr>
            <b/>
            <sz val="9"/>
            <color indexed="81"/>
            <rFont val="Tahoma"/>
            <family val="2"/>
          </rPr>
          <t>TRANSCANADA</t>
        </r>
      </text>
    </comment>
  </commentList>
</comments>
</file>

<file path=xl/comments77.xml><?xml version="1.0" encoding="utf-8"?>
<comments xmlns="http://schemas.openxmlformats.org/spreadsheetml/2006/main">
  <authors>
    <author>Fer Casillas</author>
    <author>Ing. Guillermo Medina Gorostiza</author>
    <author>Fernando López Casillas</author>
    <author>GUILLERMO</author>
  </authors>
  <commentList>
    <comment ref="Q25" authorId="0" shapeId="0">
      <text>
        <r>
          <rPr>
            <b/>
            <sz val="9"/>
            <color indexed="81"/>
            <rFont val="Tahoma"/>
            <family val="2"/>
          </rPr>
          <t>Informacion para llenar las Cedulas de Solicitud de Traspasos</t>
        </r>
      </text>
    </comment>
    <comment ref="D32" authorId="1" shapeId="0">
      <text>
        <r>
          <rPr>
            <b/>
            <sz val="9"/>
            <color indexed="8"/>
            <rFont val="Tahoma"/>
            <family val="2"/>
          </rPr>
          <t>Ing. Guillermo Medina Gorostiza: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>hay que checar la posicion en el pedido acorde con el mes que se paga "ojo" empezamos con Septiembre de 2017 cuando inicia la nueva estructura y pedidos</t>
        </r>
      </text>
    </comment>
    <comment ref="C69" authorId="2" shapeId="0">
      <text>
        <r>
          <rPr>
            <b/>
            <sz val="9"/>
            <color indexed="81"/>
            <rFont val="Tahoma"/>
            <family val="2"/>
          </rPr>
          <t>Capturar el Numero de Mes</t>
        </r>
      </text>
    </comment>
    <comment ref="K70" authorId="3" shapeId="0">
      <text>
        <r>
          <rPr>
            <b/>
            <sz val="9"/>
            <color indexed="81"/>
            <rFont val="Tahoma"/>
            <family val="2"/>
          </rPr>
          <t>GUILLERMO:</t>
        </r>
        <r>
          <rPr>
            <sz val="9"/>
            <color indexed="81"/>
            <rFont val="Tahoma"/>
            <family val="2"/>
          </rPr>
          <t xml:space="preserve">
CONFIRMACION (MMBTU) DEL REPORTE OPERATIVO ESTACION EL ENCINO - NORTE II</t>
        </r>
      </text>
    </comment>
    <comment ref="Y70" authorId="0" shapeId="0">
      <text>
        <r>
          <rPr>
            <b/>
            <sz val="9"/>
            <color indexed="81"/>
            <rFont val="Tahoma"/>
            <family val="2"/>
          </rPr>
          <t>TRANSCANADA</t>
        </r>
      </text>
    </comment>
  </commentList>
</comments>
</file>

<file path=xl/connections.xml><?xml version="1.0" encoding="utf-8"?>
<connections xmlns="http://schemas.openxmlformats.org/spreadsheetml/2006/main">
  <connection id="1" keepAlive="1" name="ThisWorkbookDataModel" description="Modelo de dat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<sst xmlns="http://schemas.openxmlformats.org/spreadsheetml/2006/main" count="14258" uniqueCount="749">
  <si>
    <t>Validacion y Distribucion de Cargos por Transporte Nacional</t>
  </si>
  <si>
    <t>N° SE-CPSTGN-002/2011</t>
  </si>
  <si>
    <t>Tarahumara Pipeline</t>
  </si>
  <si>
    <t>MES</t>
  </si>
  <si>
    <t>FACTURA</t>
  </si>
  <si>
    <t>Cargo por Capacidad</t>
  </si>
  <si>
    <t>Concepto</t>
  </si>
  <si>
    <t>MMPCD</t>
  </si>
  <si>
    <t>GJ</t>
  </si>
  <si>
    <t>Total  Cargo por Reserva</t>
  </si>
  <si>
    <t>Cargo por Uso</t>
  </si>
  <si>
    <t>dlls</t>
  </si>
  <si>
    <t>dls</t>
  </si>
  <si>
    <t>Total  Cargo por Uso:</t>
  </si>
  <si>
    <t>IVA (16%)</t>
  </si>
  <si>
    <t>Total de Cargos</t>
  </si>
  <si>
    <t>Distribucion de Costos</t>
  </si>
  <si>
    <t>PosPre</t>
  </si>
  <si>
    <t>Ce GE</t>
  </si>
  <si>
    <t>Clave</t>
  </si>
  <si>
    <t>Central</t>
  </si>
  <si>
    <t>Documento Contable</t>
  </si>
  <si>
    <t>KST</t>
  </si>
  <si>
    <t>CCC Norte II</t>
  </si>
  <si>
    <t>TOTAL</t>
  </si>
  <si>
    <t>ENO</t>
  </si>
  <si>
    <t>ENT</t>
  </si>
  <si>
    <t>N/A</t>
  </si>
  <si>
    <t>Costo Hunido</t>
  </si>
  <si>
    <t>Mes</t>
  </si>
  <si>
    <t>2.779%</t>
  </si>
  <si>
    <t>2.057%</t>
  </si>
  <si>
    <t>1.886%</t>
  </si>
  <si>
    <t>1.841%</t>
  </si>
  <si>
    <t>1.966%</t>
  </si>
  <si>
    <t>1.966"</t>
  </si>
  <si>
    <t>Porcentaje de impuestos</t>
  </si>
  <si>
    <t>1.907%</t>
  </si>
  <si>
    <t>2.702%</t>
  </si>
  <si>
    <t>2.768%</t>
  </si>
  <si>
    <t>2.595%</t>
  </si>
  <si>
    <t>2.561%</t>
  </si>
  <si>
    <t>2.478%</t>
  </si>
  <si>
    <t>17.139%</t>
  </si>
  <si>
    <t>17.010%</t>
  </si>
  <si>
    <t>16.853%</t>
  </si>
  <si>
    <t>17.151%</t>
  </si>
  <si>
    <t>16.816%</t>
  </si>
  <si>
    <t>16.782%</t>
  </si>
  <si>
    <t>16.655%</t>
  </si>
  <si>
    <t>16.139%</t>
  </si>
  <si>
    <t>15.929%</t>
  </si>
  <si>
    <t>15.929"</t>
  </si>
  <si>
    <t>15.929'1'</t>
  </si>
  <si>
    <t>16.151"</t>
  </si>
  <si>
    <t>16.151%</t>
  </si>
  <si>
    <t>15.920%</t>
  </si>
  <si>
    <t>21.834%</t>
  </si>
  <si>
    <t>22.765%</t>
  </si>
  <si>
    <t>23.396%</t>
  </si>
  <si>
    <t>Cargo Fijo por Capacidad
CFC</t>
  </si>
  <si>
    <t>Dólares/GJ</t>
  </si>
  <si>
    <t>http://www.bls.gov/schedule/archives/ppi_nr.htm</t>
  </si>
  <si>
    <t>Acorde a Tablas del Contrato Anexo 3</t>
  </si>
  <si>
    <t>Capturar el Numero de Mes</t>
  </si>
  <si>
    <t>Numero de Mes</t>
  </si>
  <si>
    <t>Del reporte de TPL</t>
  </si>
  <si>
    <t>Indice del mes de la proposicion</t>
  </si>
  <si>
    <t>Cargo Variable por Uso
CVU</t>
  </si>
  <si>
    <r>
      <t xml:space="preserve">Dólares/ </t>
    </r>
    <r>
      <rPr>
        <b/>
        <sz val="12"/>
        <color indexed="8"/>
        <rFont val="Arial"/>
        <family val="2"/>
      </rPr>
      <t xml:space="preserve">GJ                  </t>
    </r>
    <r>
      <rPr>
        <b/>
        <i/>
        <sz val="6"/>
        <color indexed="8"/>
        <rFont val="Arial"/>
        <family val="1"/>
        <charset val="204"/>
      </rPr>
      <t/>
    </r>
  </si>
  <si>
    <t>SubTotal</t>
  </si>
  <si>
    <t>Deposito en Dolares</t>
  </si>
  <si>
    <t>Deposito en pesos en la cuenta de pesos al dia de pago</t>
  </si>
  <si>
    <t>FE-02</t>
  </si>
  <si>
    <t>Diferencia</t>
  </si>
  <si>
    <t>Factura TPL</t>
  </si>
  <si>
    <t>FE 4</t>
  </si>
  <si>
    <t>FE 10</t>
  </si>
  <si>
    <t>FE 6</t>
  </si>
  <si>
    <t>FE 11</t>
  </si>
  <si>
    <t>FE 12</t>
  </si>
  <si>
    <t>FE 13</t>
  </si>
  <si>
    <t>FE 14</t>
  </si>
  <si>
    <t>FE 23</t>
  </si>
  <si>
    <t>FE 24</t>
  </si>
  <si>
    <t>FE 25</t>
  </si>
  <si>
    <t>Distribucion de Cargos Fijos de Transporte</t>
  </si>
  <si>
    <t>Pedido</t>
  </si>
  <si>
    <t>Posicion</t>
  </si>
  <si>
    <t>Unidad</t>
  </si>
  <si>
    <t>Cen Cost / Orden</t>
  </si>
  <si>
    <t>CMD</t>
  </si>
  <si>
    <t>Cap. Gen
MW</t>
  </si>
  <si>
    <t>%</t>
  </si>
  <si>
    <t>Importe
(USD)</t>
  </si>
  <si>
    <t>Importe
(MX)</t>
  </si>
  <si>
    <t>U1</t>
  </si>
  <si>
    <t>CCC Chihuahua II</t>
  </si>
  <si>
    <t>U2</t>
  </si>
  <si>
    <t>U4</t>
  </si>
  <si>
    <t>CCC El Encino</t>
  </si>
  <si>
    <t>-</t>
  </si>
  <si>
    <t>Servicio</t>
  </si>
  <si>
    <t>Distribucion de Cargos Variables de Transporte</t>
  </si>
  <si>
    <t>Consumno</t>
  </si>
  <si>
    <t>Consumos de Unidades Generadoras</t>
  </si>
  <si>
    <t>ENO 01
GJ</t>
  </si>
  <si>
    <t>ENO 02
GJ</t>
  </si>
  <si>
    <t>ENT 01
(GJ)</t>
  </si>
  <si>
    <t>Norte II</t>
  </si>
  <si>
    <t>SEQUENT</t>
  </si>
  <si>
    <t>TENASKA</t>
  </si>
  <si>
    <t>Diff</t>
  </si>
  <si>
    <t>Desbalance 
Acumulado
MMBTU</t>
  </si>
  <si>
    <t>Desbalance
diario
(MMBTU)</t>
  </si>
  <si>
    <t>Norte II
(GJ)</t>
  </si>
  <si>
    <t>ENO
(GJ)</t>
  </si>
  <si>
    <t>ENT
(GJ)</t>
  </si>
  <si>
    <t>Inyecciones
TPL
(MMBTU)</t>
  </si>
  <si>
    <t>Extracciones
(MMBTU)</t>
  </si>
  <si>
    <t>Reporte de Inyecciones (Confirmaciones)</t>
  </si>
  <si>
    <t>Desbalances en Ducto: Tarahumara Pipeline</t>
  </si>
  <si>
    <t>Día</t>
  </si>
  <si>
    <t>Total
(MX)</t>
  </si>
  <si>
    <t>FUEL</t>
  </si>
  <si>
    <t>Reserva de Capacidad
(USD)</t>
  </si>
  <si>
    <t>IVA</t>
  </si>
  <si>
    <t>Factura de
Referencia</t>
  </si>
  <si>
    <t>T.C</t>
  </si>
  <si>
    <t>Reserva de Capacidad
USD/GJ</t>
  </si>
  <si>
    <t>Cargo por Uso
USD/GJ</t>
  </si>
  <si>
    <t>Cargo Fijo de Transporte</t>
  </si>
  <si>
    <t>Cargo Variable de Transporte</t>
  </si>
  <si>
    <t>Total
(USD)</t>
  </si>
  <si>
    <t>Volumen Reservado
(MMPCD)</t>
  </si>
  <si>
    <t>Volumen Capacidad Verificada
(MMPCD)</t>
  </si>
  <si>
    <t>Volumen Capacidad Verificada
(GJ/Día)</t>
  </si>
  <si>
    <t>CR</t>
  </si>
  <si>
    <t>CRV</t>
  </si>
  <si>
    <t>KC</t>
  </si>
  <si>
    <r>
      <t>USPPI</t>
    </r>
    <r>
      <rPr>
        <b/>
        <sz val="6"/>
        <rFont val="Arial"/>
        <family val="2"/>
      </rPr>
      <t>0</t>
    </r>
  </si>
  <si>
    <r>
      <t>USPPI</t>
    </r>
    <r>
      <rPr>
        <b/>
        <sz val="6"/>
        <rFont val="Arial"/>
        <family val="2"/>
      </rPr>
      <t>m</t>
    </r>
  </si>
  <si>
    <r>
      <t>CVU</t>
    </r>
    <r>
      <rPr>
        <b/>
        <sz val="6"/>
        <rFont val="Arial"/>
        <family val="2"/>
      </rPr>
      <t>m</t>
    </r>
  </si>
  <si>
    <r>
      <t>CFC</t>
    </r>
    <r>
      <rPr>
        <b/>
        <sz val="6"/>
        <rFont val="Arial"/>
        <family val="2"/>
      </rPr>
      <t>m</t>
    </r>
  </si>
  <si>
    <r>
      <t>TC</t>
    </r>
    <r>
      <rPr>
        <b/>
        <sz val="6"/>
        <rFont val="Arial"/>
        <family val="2"/>
      </rPr>
      <t>m</t>
    </r>
  </si>
  <si>
    <t>Vm</t>
  </si>
  <si>
    <r>
      <t>V</t>
    </r>
    <r>
      <rPr>
        <b/>
        <sz val="6"/>
        <rFont val="Arial"/>
        <family val="2"/>
      </rPr>
      <t>m</t>
    </r>
  </si>
  <si>
    <t>PCFCm</t>
  </si>
  <si>
    <t>PCVUm</t>
  </si>
  <si>
    <t>Uso
GJ</t>
  </si>
  <si>
    <r>
      <t>USPPI</t>
    </r>
    <r>
      <rPr>
        <b/>
        <sz val="6"/>
        <color indexed="8"/>
        <rFont val="Arial"/>
        <family val="2"/>
      </rPr>
      <t>m</t>
    </r>
    <r>
      <rPr>
        <b/>
        <sz val="8"/>
        <color indexed="8"/>
        <rFont val="Arial"/>
        <family val="2"/>
      </rPr>
      <t>/USPPI</t>
    </r>
    <r>
      <rPr>
        <b/>
        <sz val="6"/>
        <color indexed="8"/>
        <rFont val="Arial"/>
        <family val="2"/>
      </rPr>
      <t>0</t>
    </r>
  </si>
  <si>
    <t>Cociente USPPI
USD</t>
  </si>
  <si>
    <t xml:space="preserve">Cargo por Uso
</t>
  </si>
  <si>
    <t>Días</t>
  </si>
  <si>
    <t>Año</t>
  </si>
  <si>
    <t>TPL</t>
  </si>
  <si>
    <t>CFE</t>
  </si>
  <si>
    <t>MES - FEB</t>
  </si>
  <si>
    <t>VOL</t>
  </si>
  <si>
    <t>Costo Hundido</t>
  </si>
  <si>
    <t>Ce Ge</t>
  </si>
  <si>
    <t>FE-66</t>
  </si>
  <si>
    <t>ok</t>
  </si>
  <si>
    <t>FE79</t>
  </si>
  <si>
    <t>MES - MZO</t>
  </si>
  <si>
    <t>USD</t>
  </si>
  <si>
    <t>Cargo Fijo</t>
  </si>
  <si>
    <t>Cargo Variable</t>
  </si>
  <si>
    <t>Factura</t>
  </si>
  <si>
    <t>FE86</t>
  </si>
  <si>
    <t>Acumulado</t>
  </si>
  <si>
    <t>Desbalance
TPL</t>
  </si>
  <si>
    <t>Extraccion
Norte II</t>
  </si>
  <si>
    <t>Inyeccion
Cactus Hill</t>
  </si>
  <si>
    <t>Compras</t>
  </si>
  <si>
    <t>Fecha</t>
  </si>
  <si>
    <t>Cobrado a 
Norte II
GJ</t>
  </si>
  <si>
    <t>Cobrado a 
Norte II
MMBTU</t>
  </si>
  <si>
    <t>Inyecciones
MMBTU</t>
  </si>
  <si>
    <t>Extracciones
MMBTU</t>
  </si>
  <si>
    <t>Desbalance Mensual
MMBTU</t>
  </si>
  <si>
    <t>Desbalance Acumulado
MMBTU</t>
  </si>
  <si>
    <t>Gas Pagado
MMBTU</t>
  </si>
  <si>
    <t>Diff
MMBTU</t>
  </si>
  <si>
    <t>Gas Cobrado a Centrales</t>
  </si>
  <si>
    <t>Cargos por Transporte y Suministro de Gas Combustible</t>
  </si>
  <si>
    <t>Direccion de Operación</t>
  </si>
  <si>
    <t>Subdireccion de Energeticos</t>
  </si>
  <si>
    <t>Subgerencia Regioanl de Energeticos Norte</t>
  </si>
  <si>
    <t>Suministro PEMEX</t>
  </si>
  <si>
    <t>Suministro Otros Provedores</t>
  </si>
  <si>
    <t>MES - May</t>
  </si>
  <si>
    <t>CONOCO</t>
  </si>
  <si>
    <t>FE 92</t>
  </si>
  <si>
    <t>CCC Norte II - KST</t>
  </si>
  <si>
    <t>FE 99</t>
  </si>
  <si>
    <t>Diferencial</t>
  </si>
  <si>
    <t>FE 105</t>
  </si>
  <si>
    <t>FE 112</t>
  </si>
  <si>
    <t>Tarahumara Pipeline (4326979)</t>
  </si>
  <si>
    <t>FE118</t>
  </si>
  <si>
    <t>FE123</t>
  </si>
  <si>
    <t>FE 133</t>
  </si>
  <si>
    <t>FE 139</t>
  </si>
  <si>
    <t>FE 145</t>
  </si>
  <si>
    <t>FE 152</t>
  </si>
  <si>
    <t>FE 60</t>
  </si>
  <si>
    <t>Extracciones
RGT</t>
  </si>
  <si>
    <t>FE 159</t>
  </si>
  <si>
    <t>FE 165</t>
  </si>
  <si>
    <t>Norte II
(MMBTU)</t>
  </si>
  <si>
    <t>FE 169</t>
  </si>
  <si>
    <t>Debe Decir</t>
  </si>
  <si>
    <t>Ajuste</t>
  </si>
  <si>
    <t>FE 207</t>
  </si>
  <si>
    <t>CONOCO-RGT</t>
  </si>
  <si>
    <t>Tarahumara Pipeline (Corredor Chihuahua)</t>
  </si>
  <si>
    <t>TARAHUMARA PIPELINE S DE RL DE CV
(4326979)</t>
  </si>
  <si>
    <t>FE 218</t>
  </si>
  <si>
    <t>.</t>
  </si>
  <si>
    <t>FE 224</t>
  </si>
  <si>
    <t>N306</t>
  </si>
  <si>
    <t>N032G03</t>
  </si>
  <si>
    <t>FE 168</t>
  </si>
  <si>
    <t>233 FE</t>
  </si>
  <si>
    <t>241 FE</t>
  </si>
  <si>
    <t>250 FE</t>
  </si>
  <si>
    <t>Cantidad</t>
  </si>
  <si>
    <t>Precio</t>
  </si>
  <si>
    <t>Subtotal
(USD)</t>
  </si>
  <si>
    <t>Moneda</t>
  </si>
  <si>
    <t>257 FE</t>
  </si>
  <si>
    <t>Pos Pre</t>
  </si>
  <si>
    <t>Cuenta Mayor</t>
  </si>
  <si>
    <t>Volumen</t>
  </si>
  <si>
    <t>Reclasificaciones</t>
  </si>
  <si>
    <t>Ce Co / Orden</t>
  </si>
  <si>
    <t>Division</t>
  </si>
  <si>
    <t>N331</t>
  </si>
  <si>
    <t>N03P</t>
  </si>
  <si>
    <t>264FE</t>
  </si>
  <si>
    <t xml:space="preserve">264FE </t>
  </si>
  <si>
    <t>N003</t>
  </si>
  <si>
    <t>271 FE</t>
  </si>
  <si>
    <t>277 FE</t>
  </si>
  <si>
    <t>USPPIm</t>
  </si>
  <si>
    <t>USPPI0</t>
  </si>
  <si>
    <t>TCm</t>
  </si>
  <si>
    <t>ENE</t>
  </si>
  <si>
    <t>FEB</t>
  </si>
  <si>
    <t>MZO</t>
  </si>
  <si>
    <t>ABR</t>
  </si>
  <si>
    <t>MAY</t>
  </si>
  <si>
    <t>JUN</t>
  </si>
  <si>
    <t>JUL</t>
  </si>
  <si>
    <t>AGO</t>
  </si>
  <si>
    <t>SEPT</t>
  </si>
  <si>
    <t>OCT</t>
  </si>
  <si>
    <t>NOV</t>
  </si>
  <si>
    <t>DIC</t>
  </si>
  <si>
    <t>CC NORTE II</t>
  </si>
  <si>
    <t>CC CHIHUAHUA II</t>
  </si>
  <si>
    <t>CC EL ENCINO</t>
  </si>
  <si>
    <t>CAPACIDAD          NO UTILIZADA</t>
  </si>
  <si>
    <t>286 FE</t>
  </si>
  <si>
    <t>293 FE</t>
  </si>
  <si>
    <t>KST
(GJ)</t>
  </si>
  <si>
    <t>ENCINO-TOPOLOBAMPO
(GJ)</t>
  </si>
  <si>
    <t>Gasoducto Encino - Topo</t>
  </si>
  <si>
    <t>ENT/ENO
(GJ)</t>
  </si>
  <si>
    <t>REPORTES OPERATIVOS TRANSPORTISTA</t>
  </si>
  <si>
    <t>REPORTES DE USUARIOS TPL</t>
  </si>
  <si>
    <t>VALIDACION</t>
  </si>
  <si>
    <t>ENCINO-TOPOLOBAMPO</t>
  </si>
  <si>
    <t>Distribucion de Cargos Interconexion Encinos</t>
  </si>
  <si>
    <t>Cargo Fijo Interconexion</t>
  </si>
  <si>
    <t>Interconexion</t>
  </si>
  <si>
    <t>Reserva de Capacidad
Interconexion
(USD)</t>
  </si>
  <si>
    <t xml:space="preserve"> Capacidad Reservada
Interconexion
(GJ/Día)</t>
  </si>
  <si>
    <t>Tarifa Reserva de Capacidad
USD/GJ</t>
  </si>
  <si>
    <t>Tarifa Cargo por Uso
USD/GJ</t>
  </si>
  <si>
    <t>Tarifa Reserva de Capacidad Interconexion
USD/GJ</t>
  </si>
  <si>
    <t>286 FE
295 FE</t>
  </si>
  <si>
    <t>292 FE</t>
  </si>
  <si>
    <t>294 FE</t>
  </si>
  <si>
    <t xml:space="preserve"> Capacidad Reservada
(GJ/Día)</t>
  </si>
  <si>
    <t>304 FE</t>
  </si>
  <si>
    <t>USPPIm/USPPI0</t>
  </si>
  <si>
    <t>Gasoducto 
El Encino  - Topolobampo</t>
  </si>
  <si>
    <t>307 FE</t>
  </si>
  <si>
    <t>GASODUCTO EL ENCINO - TOPOLOBAMPO</t>
  </si>
  <si>
    <t>314 FE</t>
  </si>
  <si>
    <t>315 FE</t>
  </si>
  <si>
    <t>ENO                   (GJ)</t>
  </si>
  <si>
    <t>ENT                                 (GJ)</t>
  </si>
  <si>
    <t>Norte II.                     GJ</t>
  </si>
  <si>
    <t>Norte II                     GJ</t>
  </si>
  <si>
    <t>Mes de Flujo</t>
  </si>
  <si>
    <t>año</t>
  </si>
  <si>
    <t>(MX)</t>
  </si>
  <si>
    <t>(USD)</t>
  </si>
  <si>
    <t>CARGO VARIABLE</t>
  </si>
  <si>
    <t>IMPORTE</t>
  </si>
  <si>
    <t xml:space="preserve">CARGO VARIABLE         </t>
  </si>
  <si>
    <t xml:space="preserve">        (USD)</t>
  </si>
  <si>
    <t xml:space="preserve">TARIFA CFT
</t>
  </si>
  <si>
    <t xml:space="preserve">VOLUMEN RESERVADO </t>
  </si>
  <si>
    <t xml:space="preserve">TARIFA CVT </t>
  </si>
  <si>
    <t xml:space="preserve">VOLUMEN </t>
  </si>
  <si>
    <t>DATOS OPERATIVOS</t>
  </si>
  <si>
    <t xml:space="preserve">CARGO FIJO </t>
  </si>
  <si>
    <t>(MMBTU)</t>
  </si>
  <si>
    <t>(GJ)</t>
  </si>
  <si>
    <t>CARGO FIJO</t>
  </si>
  <si>
    <t>KST.  (GJ)</t>
  </si>
  <si>
    <t>ENCINO-TOPOLOBAMPO.      (GJ)</t>
  </si>
  <si>
    <t>ENT.                            (GJ)</t>
  </si>
  <si>
    <t>ENO.                        (GJ)</t>
  </si>
  <si>
    <t>VALIDACION.          (GJ)</t>
  </si>
  <si>
    <t>VALIDACION.            (GJ)</t>
  </si>
  <si>
    <t>VALIDACION.         (GJ)</t>
  </si>
  <si>
    <t>(GJ/MES)</t>
  </si>
  <si>
    <t xml:space="preserve">
(MMBTU)</t>
  </si>
  <si>
    <t>EXTRACCIONES</t>
  </si>
  <si>
    <t>INYECCIONES</t>
  </si>
  <si>
    <t>DESBALANCE MENSUAL</t>
  </si>
  <si>
    <t>VOLUMEN PROMEDIO DIARIO</t>
  </si>
  <si>
    <t>PAGOS</t>
  </si>
  <si>
    <t>GENERAL</t>
  </si>
  <si>
    <t xml:space="preserve"> (GJ/MES)</t>
  </si>
  <si>
    <t>CAPACIDAD UTILIZADA</t>
  </si>
  <si>
    <t>CAPACIDAD NO UTILIZADA</t>
  </si>
  <si>
    <t>CAPACIDAD RESERVADA</t>
  </si>
  <si>
    <t xml:space="preserve"> (GJ /MES)</t>
  </si>
  <si>
    <t>ENCINO - TOPOLOBAMPO
(GJ)</t>
  </si>
  <si>
    <t>KST
 (GJ)</t>
  </si>
  <si>
    <t>VALIDACION
(GJ)</t>
  </si>
  <si>
    <t>Centro Gestor</t>
  </si>
  <si>
    <t>Cuenta Contable</t>
  </si>
  <si>
    <t>Total general</t>
  </si>
  <si>
    <t>CFT</t>
  </si>
  <si>
    <t>Periodo del Servicio</t>
  </si>
  <si>
    <t>Numero de Factura</t>
  </si>
  <si>
    <t>7A13</t>
  </si>
  <si>
    <t>7A24</t>
  </si>
  <si>
    <t>293 FE  
 296 FE
327 FE</t>
  </si>
  <si>
    <t>304 FE
 308 FE
328 FE</t>
  </si>
  <si>
    <t>314 FE, 316 FE, 326 FE</t>
  </si>
  <si>
    <t>322 FE</t>
  </si>
  <si>
    <t>323 FE</t>
  </si>
  <si>
    <t>322 FE, 324 FE.          325 FE</t>
  </si>
  <si>
    <t>TARIFA CFT
INTERCONEXIÓN</t>
  </si>
  <si>
    <t>DESBALANCE DIARIO</t>
  </si>
  <si>
    <t>(DÓLARES/GJ)</t>
  </si>
  <si>
    <t>(GJ/DÍA)</t>
  </si>
  <si>
    <t xml:space="preserve">
GJ/DÍA</t>
  </si>
  <si>
    <t>DISTRIBUCIÓN DE COSTOS DE LA RESERVA DE CAPACIDAD</t>
  </si>
  <si>
    <t>N333</t>
  </si>
  <si>
    <t>314 316</t>
  </si>
  <si>
    <t>337 FE</t>
  </si>
  <si>
    <t>336 FE</t>
  </si>
  <si>
    <t>ENT                           (GJ)</t>
  </si>
  <si>
    <t>ENO          (GJ)</t>
  </si>
  <si>
    <t>338 FE, 336 FE y 340 FE</t>
  </si>
  <si>
    <t>CFCm</t>
  </si>
  <si>
    <t>CVUm</t>
  </si>
  <si>
    <r>
      <t>USPPI</t>
    </r>
    <r>
      <rPr>
        <b/>
        <sz val="9"/>
        <color indexed="8"/>
        <rFont val="Arial"/>
        <family val="2"/>
      </rPr>
      <t>m/USPPI0</t>
    </r>
  </si>
  <si>
    <r>
      <t>USPPI</t>
    </r>
    <r>
      <rPr>
        <b/>
        <sz val="10"/>
        <color indexed="8"/>
        <rFont val="Arial"/>
        <family val="2"/>
      </rPr>
      <t>m/USPPI0</t>
    </r>
  </si>
  <si>
    <t>DETALLE DE UTILIZACION DEL GASODUCTO</t>
  </si>
  <si>
    <t>RESUMEN MENSUAL DE UTILIZACION DEL GASODUCTO</t>
  </si>
  <si>
    <t>Norte II                                 GJ</t>
  </si>
  <si>
    <t>Norte II                              GJ</t>
  </si>
  <si>
    <t>Norte II                             (GJ)</t>
  </si>
  <si>
    <t>ENO                         (GJ)</t>
  </si>
  <si>
    <t>Norte II                               (GJ)</t>
  </si>
  <si>
    <t>ENT                       (GJ)</t>
  </si>
  <si>
    <t>ENO                             (GJ)</t>
  </si>
  <si>
    <t>Norte II                   (GJ)</t>
  </si>
  <si>
    <t>SIN USO</t>
  </si>
  <si>
    <t>349 FE</t>
  </si>
  <si>
    <t>348 FE</t>
  </si>
  <si>
    <t>350 FE y 348 FE</t>
  </si>
  <si>
    <t>CCC Norte IV</t>
  </si>
  <si>
    <t>360 FE</t>
  </si>
  <si>
    <t>358-FE</t>
  </si>
  <si>
    <t>359 FE</t>
  </si>
  <si>
    <t>Periodo</t>
  </si>
  <si>
    <t>EXTRACIONES TOTALES</t>
  </si>
  <si>
    <t>Extraccion
ENO</t>
  </si>
  <si>
    <t>MMBTU</t>
  </si>
  <si>
    <t>366 FE</t>
  </si>
  <si>
    <t>366 FE 368 FE y 370 FE</t>
  </si>
  <si>
    <t>367 FE</t>
  </si>
  <si>
    <t>AA Serdan-Igasamex</t>
  </si>
  <si>
    <t>iGASAMEX.         (GJ)</t>
  </si>
  <si>
    <t>iGASAMEX.           (GJ)</t>
  </si>
  <si>
    <t>KST.        (GJ)</t>
  </si>
  <si>
    <t>ENO              (GJ)</t>
  </si>
  <si>
    <t>ENT                    (GJ)</t>
  </si>
  <si>
    <t>ENCINO-TOPOLOBAMPO.   (GJ)</t>
  </si>
  <si>
    <t xml:space="preserve">VALIDACION.       </t>
  </si>
  <si>
    <t>N004</t>
  </si>
  <si>
    <t>7A25</t>
  </si>
  <si>
    <t xml:space="preserve">Costo Hundido </t>
  </si>
  <si>
    <t xml:space="preserve"> </t>
  </si>
  <si>
    <t xml:space="preserve">Reclasificaciones </t>
  </si>
  <si>
    <t>CC SALTILLO</t>
  </si>
  <si>
    <t>CC NORESTE</t>
  </si>
  <si>
    <t>N334</t>
  </si>
  <si>
    <t>CC Norte I</t>
  </si>
  <si>
    <t>N332</t>
  </si>
  <si>
    <t xml:space="preserve">CC RIO BRAVO  </t>
  </si>
  <si>
    <t>N335</t>
  </si>
  <si>
    <t>CC Chihuahua III</t>
  </si>
  <si>
    <t>N329</t>
  </si>
  <si>
    <t xml:space="preserve">TGP-Rio Bravo  </t>
  </si>
  <si>
    <t>N323</t>
  </si>
  <si>
    <t>Gas Natural Norte</t>
  </si>
  <si>
    <t>N326</t>
  </si>
  <si>
    <t>CENAGAS Norte</t>
  </si>
  <si>
    <t>N325</t>
  </si>
  <si>
    <t>CFE INTERNATIONAL</t>
  </si>
  <si>
    <t>KMB-Arguelles</t>
  </si>
  <si>
    <t>N324</t>
  </si>
  <si>
    <t>KINDER MORGAN TEJAS</t>
  </si>
  <si>
    <t>Los Ramones</t>
  </si>
  <si>
    <t>N322</t>
  </si>
  <si>
    <t>Houston Pipe Line Company LP - Net</t>
  </si>
  <si>
    <t>CFEENERGIA</t>
  </si>
  <si>
    <t>KMTJ-NET</t>
  </si>
  <si>
    <t>N321</t>
  </si>
  <si>
    <t>Houston Pipe Line Company LP - Arguelles</t>
  </si>
  <si>
    <t>HPL-NET</t>
  </si>
  <si>
    <t>N320</t>
  </si>
  <si>
    <t>MEX GAS SUPPLY (NET) - CAMARGO</t>
  </si>
  <si>
    <t>TRAFIGURA TRADING, LLC</t>
  </si>
  <si>
    <t>MGS-CAMARGO</t>
  </si>
  <si>
    <t>N319</t>
  </si>
  <si>
    <t>TENNESSEE GAS PIPELINE  (Reynosa \ Rio Bravo)</t>
  </si>
  <si>
    <t>Costo Hundido CFEinternational LLC</t>
  </si>
  <si>
    <t>Transporte USA</t>
  </si>
  <si>
    <t>CMI</t>
  </si>
  <si>
    <t>CONOCOPHILLIPS COMPANY</t>
  </si>
  <si>
    <t>TGP-REYNOSA</t>
  </si>
  <si>
    <t>N318</t>
  </si>
  <si>
    <t xml:space="preserve">NET MEXICO PIPELINE </t>
  </si>
  <si>
    <t>Reserva Capacidad EUA Terceros</t>
  </si>
  <si>
    <t>CEU</t>
  </si>
  <si>
    <t>NET MÉXICO PIPELINE</t>
  </si>
  <si>
    <t>KMB-ARGUELLES</t>
  </si>
  <si>
    <t>N317</t>
  </si>
  <si>
    <t>KINDER MORGAN BORDER - Arguelles</t>
  </si>
  <si>
    <t>CHI</t>
  </si>
  <si>
    <t>Gas. Colombia-Escobedo</t>
  </si>
  <si>
    <t>N316</t>
  </si>
  <si>
    <t>GASODUCTO WAHA - SAN ELIZARIO</t>
  </si>
  <si>
    <t>Nota de Debito Cargo Variable Transporte (Uso y Gas Compresion)</t>
  </si>
  <si>
    <t>Transporte</t>
  </si>
  <si>
    <t>DVT</t>
  </si>
  <si>
    <t>ROADRUNNER GAS TRANSMISSION, LLC</t>
  </si>
  <si>
    <t>Gas. Web-Colombia</t>
  </si>
  <si>
    <t>N315</t>
  </si>
  <si>
    <t>GASODUCTO WAHA - PRESIDIO</t>
  </si>
  <si>
    <t>Nota de Debito Cargo Fijo Servicio por reserva de capacidad</t>
  </si>
  <si>
    <t>DFT</t>
  </si>
  <si>
    <t>ONEOK WES TEX</t>
  </si>
  <si>
    <t>Gas. San Isidro-Samalayuca</t>
  </si>
  <si>
    <t>N314</t>
  </si>
  <si>
    <t>ROADRUNNER TRANSMISSION</t>
  </si>
  <si>
    <t>Cargo variable por uso de transporte</t>
  </si>
  <si>
    <t>CVT</t>
  </si>
  <si>
    <t>COMANCHE TRAIL</t>
  </si>
  <si>
    <t>Gas. Waha-San Elizario</t>
  </si>
  <si>
    <t>N313</t>
  </si>
  <si>
    <t>ONEOK WEST TEX</t>
  </si>
  <si>
    <t>Cargo por gas combustible</t>
  </si>
  <si>
    <t>CVG</t>
  </si>
  <si>
    <t>TRANS-PECOS PIPELINE, LLC</t>
  </si>
  <si>
    <t>Gas. El Encino-La Laguna</t>
  </si>
  <si>
    <t>N312</t>
  </si>
  <si>
    <t>Moneda_CV</t>
  </si>
  <si>
    <t xml:space="preserve"> EL PASO NATURAL GAS COMPANY, L.L.C.</t>
  </si>
  <si>
    <t>Cargo Fijo / Variable de Transporte</t>
  </si>
  <si>
    <t>CFV</t>
  </si>
  <si>
    <t>MORGAN STANLEY</t>
  </si>
  <si>
    <t>Gas. Ojinaga-El Encino</t>
  </si>
  <si>
    <t>N311</t>
  </si>
  <si>
    <t>Tarifa_CV</t>
  </si>
  <si>
    <t>GASODUCTOS DEL RIO</t>
  </si>
  <si>
    <t>Cargos Moratorios Transporte</t>
  </si>
  <si>
    <t>CMT</t>
  </si>
  <si>
    <t>KINDER MORGAN BORDER PIPELINE</t>
  </si>
  <si>
    <t>Gas. Waha-Presidio</t>
  </si>
  <si>
    <t>N310</t>
  </si>
  <si>
    <t>Moneda_CF</t>
  </si>
  <si>
    <t>GASODUCTOS DE CHIHUAHUA - IM22300</t>
  </si>
  <si>
    <t>Cargo fijo por reserva de capacidad</t>
  </si>
  <si>
    <t>Gas. Gloria Dios-El Encino</t>
  </si>
  <si>
    <t>N309</t>
  </si>
  <si>
    <t>Tarifa_CF</t>
  </si>
  <si>
    <t>GASODUCTOS DE CHIHUAHUA - 9N75</t>
  </si>
  <si>
    <t>Nota de Credito Cargo Variable Transporte (Uso y Gas Compresion)</t>
  </si>
  <si>
    <t>AVT</t>
  </si>
  <si>
    <t>ETC MARKETING, LTD</t>
  </si>
  <si>
    <t>Gas. Frontera-Gloria Dios</t>
  </si>
  <si>
    <t>N308</t>
  </si>
  <si>
    <t>GASODUCTOS DE CHIHUAHUA - IT23C000</t>
  </si>
  <si>
    <t>Nota de Credito Cargo Fijo Servicio por reserva de capacidad</t>
  </si>
  <si>
    <t>AFT</t>
  </si>
  <si>
    <t>HOUSTÓN PIPELINE</t>
  </si>
  <si>
    <t>Gas. El Paso Natural Gas</t>
  </si>
  <si>
    <t>N307</t>
  </si>
  <si>
    <t>GASODUCTOS DE CHIHUAHUA - 9HTJ</t>
  </si>
  <si>
    <t>Nota de Debito Cargo Variable Regasificacion</t>
  </si>
  <si>
    <t>Regasificación</t>
  </si>
  <si>
    <t>DVR</t>
  </si>
  <si>
    <t>SEQUENT ENERGY MANAGEMENT L.P.</t>
  </si>
  <si>
    <t>Gas. Corredor Chihuahua</t>
  </si>
  <si>
    <t>Mes_contrato</t>
  </si>
  <si>
    <t>Servicio de Compresion - Chavez</t>
  </si>
  <si>
    <t>Nota de Debito Cargo Fijo Regasificacion</t>
  </si>
  <si>
    <t>DFR</t>
  </si>
  <si>
    <t>TENASKA MARKETING VENTURES</t>
  </si>
  <si>
    <t>Gas. Road Runner</t>
  </si>
  <si>
    <t>N305</t>
  </si>
  <si>
    <t>Sservicio de Compresion - SUECO</t>
  </si>
  <si>
    <t>DICIEMBRE</t>
  </si>
  <si>
    <t>Cargo variable por regasificación</t>
  </si>
  <si>
    <t>CVR</t>
  </si>
  <si>
    <t>EL PASO NATURAL GAS</t>
  </si>
  <si>
    <t xml:space="preserve">Gas. OWT </t>
  </si>
  <si>
    <t>N304</t>
  </si>
  <si>
    <t>Unidad_VR</t>
  </si>
  <si>
    <t>SBF-042-2017</t>
  </si>
  <si>
    <t>NOVIEMBRE</t>
  </si>
  <si>
    <t>Cargos Moratorios Regasificacion</t>
  </si>
  <si>
    <t>CMR</t>
  </si>
  <si>
    <t>TENNESSEE GAS PIPELINE COMPANY L.L.C.</t>
  </si>
  <si>
    <t>CT Emitlio Portes Gil - U3</t>
  </si>
  <si>
    <t>Volumen Reservado</t>
  </si>
  <si>
    <t>SBF-001-17</t>
  </si>
  <si>
    <t>OCTUBRE</t>
  </si>
  <si>
    <t>Cargo fijo por regasificación</t>
  </si>
  <si>
    <t>CFR</t>
  </si>
  <si>
    <t>CT Emitlio Portes Gil - U4</t>
  </si>
  <si>
    <t>Gasoducto</t>
  </si>
  <si>
    <t>SV-003</t>
  </si>
  <si>
    <t>SEPTIEMBRE</t>
  </si>
  <si>
    <t>Nota de Credito Cargo Variable Regasificacion</t>
  </si>
  <si>
    <t>AVR</t>
  </si>
  <si>
    <t>CCC Rio Bravo II</t>
  </si>
  <si>
    <t>Contrato</t>
  </si>
  <si>
    <t>CENAGAS - SNG-BF-019-B</t>
  </si>
  <si>
    <t>AGOSTO</t>
  </si>
  <si>
    <t>Nota de Credito Cargo Fijo Regasificacion</t>
  </si>
  <si>
    <t>AFR</t>
  </si>
  <si>
    <t xml:space="preserve">  CENTRO NACIONAL DE CONTROL DEL GAS</t>
  </si>
  <si>
    <t>Gasoducto Los Ramones</t>
  </si>
  <si>
    <t>Transportista</t>
  </si>
  <si>
    <t>CENAGAS - SNG-BF-016</t>
  </si>
  <si>
    <t>JULIO</t>
  </si>
  <si>
    <t>Nota de Debito Cargo Variable Servicio Compresion</t>
  </si>
  <si>
    <t>Compresión</t>
  </si>
  <si>
    <t>DVC</t>
  </si>
  <si>
    <t>FERMACA PIPELINE EL ENCINO</t>
  </si>
  <si>
    <t>Gasoducto Corredor Chihuahua</t>
  </si>
  <si>
    <t>Nombre</t>
  </si>
  <si>
    <t>CENAGAS - SNG-BF-021-2013</t>
  </si>
  <si>
    <t>JUNIO</t>
  </si>
  <si>
    <t>Nota de Debito Cargo Fijo Servicio Compresion</t>
  </si>
  <si>
    <t>DFC</t>
  </si>
  <si>
    <t>GASODUCTO DEL RIO, S.A. DE C.V.</t>
  </si>
  <si>
    <t>CC Saltillo</t>
  </si>
  <si>
    <t>id_Gasoducto</t>
  </si>
  <si>
    <t>CENAGAS - SNG-BF-020-2013</t>
  </si>
  <si>
    <t>MAYO</t>
  </si>
  <si>
    <t>Cargo variable por servicio de compresión</t>
  </si>
  <si>
    <t>CVC</t>
  </si>
  <si>
    <t>MEX GAS SUPPLY, S.L.</t>
  </si>
  <si>
    <t>Jefatura GRPN</t>
  </si>
  <si>
    <t>GASODUCTO SAN ISIDRO - SAMALAYUCA</t>
  </si>
  <si>
    <t>ABRIL</t>
  </si>
  <si>
    <t>Cargos Moratorios Compresion</t>
  </si>
  <si>
    <t>CMC</t>
  </si>
  <si>
    <t>CCC Samalayua II</t>
  </si>
  <si>
    <t>NUMERO</t>
  </si>
  <si>
    <t>GASODUCTO EL ENCINO - LA LAGUNA</t>
  </si>
  <si>
    <t>MARZO</t>
  </si>
  <si>
    <t>Cargo fijo por servicio de compresión</t>
  </si>
  <si>
    <t>CFC</t>
  </si>
  <si>
    <t>GASODUCTO DE AGUAPRIETA, S DE RL DE</t>
  </si>
  <si>
    <t>CT Samalayuca</t>
  </si>
  <si>
    <t>Nombre Centro Gestor</t>
  </si>
  <si>
    <t>MX</t>
  </si>
  <si>
    <t>GASODUCTO OJINAGA - EL ENCINO</t>
  </si>
  <si>
    <t>FEBRERO</t>
  </si>
  <si>
    <t>Nota de Credito Cargo Variable Servicio Compresion</t>
  </si>
  <si>
    <t>AVC</t>
  </si>
  <si>
    <t>TARAHUMARA PIPELINE S DE RL DE CV</t>
  </si>
  <si>
    <t>GASODUCTO CORREDOR CHIHUAHUA</t>
  </si>
  <si>
    <t>ENERO</t>
  </si>
  <si>
    <t>Nota de Credito Cargo Fijo Servicio Compresion</t>
  </si>
  <si>
    <t>AFC</t>
  </si>
  <si>
    <t>Tabla</t>
  </si>
  <si>
    <t>Definicion</t>
  </si>
  <si>
    <t>Variable</t>
  </si>
  <si>
    <t>id_Moneda</t>
  </si>
  <si>
    <t>COMENTARIOS
Ejercido en MX</t>
  </si>
  <si>
    <t>REGIONAL</t>
  </si>
  <si>
    <t>IMPORTE PEDIDO
(USD)</t>
  </si>
  <si>
    <t>IMPORTE ESTIMADO PEDIDO
(MX)</t>
  </si>
  <si>
    <t>IMPORTE TOTAL PLURIANUAL</t>
  </si>
  <si>
    <t>No. DE CONTRATO O SOLPED</t>
  </si>
  <si>
    <t>PERIODO</t>
  </si>
  <si>
    <t>PROYECTO</t>
  </si>
  <si>
    <t>CONCEPTO</t>
  </si>
  <si>
    <t>ACUERDO</t>
  </si>
  <si>
    <t>Descripción</t>
  </si>
  <si>
    <t>NOMBRE</t>
  </si>
  <si>
    <t>Catalogo de Variables</t>
  </si>
  <si>
    <t>Tarifas de Transporte</t>
  </si>
  <si>
    <t>Catalogo de Monedas</t>
  </si>
  <si>
    <t>Catalogo de Plurianuales</t>
  </si>
  <si>
    <t>Catalogo de Gasoductos</t>
  </si>
  <si>
    <t>CATALOGO DE CONCEPTOS DE FACTURAS</t>
  </si>
  <si>
    <t>CATALOGO DE PROVEEDORES</t>
  </si>
  <si>
    <t>CENTROS GESTORES</t>
  </si>
  <si>
    <t>A02</t>
  </si>
  <si>
    <t>TRANSPORTE DE GAS NATURAL</t>
  </si>
  <si>
    <t>A01</t>
  </si>
  <si>
    <t>N000</t>
  </si>
  <si>
    <t>GASODUCTO CORREDOR CHIHUAHUA - INTERCONEXION ENO</t>
  </si>
  <si>
    <t>MEX</t>
  </si>
  <si>
    <t>RECLASIFICACION</t>
  </si>
  <si>
    <t>340 FE</t>
  </si>
  <si>
    <t>358 FE</t>
  </si>
  <si>
    <t>338 FE</t>
  </si>
  <si>
    <t>314 FE, 316 FE</t>
  </si>
  <si>
    <t>308 FE</t>
  </si>
  <si>
    <t>296 FE</t>
  </si>
  <si>
    <t>295 FE</t>
  </si>
  <si>
    <t xml:space="preserve"> 286 FE</t>
  </si>
  <si>
    <t>FE-277</t>
  </si>
  <si>
    <t>FE-271</t>
  </si>
  <si>
    <t>FE-257</t>
  </si>
  <si>
    <t>FE-264</t>
  </si>
  <si>
    <t>7A14</t>
  </si>
  <si>
    <t>FE-250</t>
  </si>
  <si>
    <t>FE-224</t>
  </si>
  <si>
    <t>FE-233</t>
  </si>
  <si>
    <t>FE-241</t>
  </si>
  <si>
    <t>FE-159</t>
  </si>
  <si>
    <t>FE-152</t>
  </si>
  <si>
    <t>FE-145</t>
  </si>
  <si>
    <t>FE-168</t>
  </si>
  <si>
    <t>FE-169</t>
  </si>
  <si>
    <t>FE-207</t>
  </si>
  <si>
    <t>FE-218</t>
  </si>
  <si>
    <t>FE-165</t>
  </si>
  <si>
    <t>FE 118</t>
  </si>
  <si>
    <t>FE 123</t>
  </si>
  <si>
    <t>FE 79</t>
  </si>
  <si>
    <t>FE 86</t>
  </si>
  <si>
    <t>FE-54</t>
  </si>
  <si>
    <t>FE 32</t>
  </si>
  <si>
    <t xml:space="preserve"> 06/11/2015</t>
  </si>
  <si>
    <t>FE 40</t>
  </si>
  <si>
    <t>FE 47</t>
  </si>
  <si>
    <t>FE14</t>
  </si>
  <si>
    <t>FE12</t>
  </si>
  <si>
    <t>FE23</t>
  </si>
  <si>
    <t>FE24</t>
  </si>
  <si>
    <t>FE-11</t>
  </si>
  <si>
    <t>FE-06</t>
  </si>
  <si>
    <t>FE13</t>
  </si>
  <si>
    <t>FE-05</t>
  </si>
  <si>
    <t>21</t>
  </si>
  <si>
    <t>22</t>
  </si>
  <si>
    <t>FE-04</t>
  </si>
  <si>
    <t>15</t>
  </si>
  <si>
    <t>13</t>
  </si>
  <si>
    <t>Total_Paridad</t>
  </si>
  <si>
    <t>IVA_Paridad</t>
  </si>
  <si>
    <t>Subtotal_Paridad</t>
  </si>
  <si>
    <t>Cuenta_Paridad</t>
  </si>
  <si>
    <t>Pos Pre_Paridad</t>
  </si>
  <si>
    <t>T.C Pago</t>
  </si>
  <si>
    <t>Total de Pago
(MX)</t>
  </si>
  <si>
    <t>IVA de Pago
(MX)</t>
  </si>
  <si>
    <t>Importe de Pago
(MX)</t>
  </si>
  <si>
    <t>Total de Pago
(USD)</t>
  </si>
  <si>
    <t>IVA de Pago
(USD)</t>
  </si>
  <si>
    <t>Importe de Pago
(USD)</t>
  </si>
  <si>
    <t>Fecha de Pago</t>
  </si>
  <si>
    <t>Numero 
Documento</t>
  </si>
  <si>
    <t>T.C. Pasivo</t>
  </si>
  <si>
    <t>Total Pasivo
(MX)</t>
  </si>
  <si>
    <t>IVA Pasivo
(MX)</t>
  </si>
  <si>
    <t>Importe Pasivo
(MX)</t>
  </si>
  <si>
    <t>Total Pasivo
(USD)</t>
  </si>
  <si>
    <t>IVA Pasivo
(USD)</t>
  </si>
  <si>
    <t>Importe Pasivo
(USD)</t>
  </si>
  <si>
    <t>Fecha
Pasivo</t>
  </si>
  <si>
    <t>Numero Documento</t>
  </si>
  <si>
    <t>Fondo</t>
  </si>
  <si>
    <t>Periodo de Pago</t>
  </si>
  <si>
    <t>Año del Servicio</t>
  </si>
  <si>
    <t>Año del Pago</t>
  </si>
  <si>
    <t>Sociedad</t>
  </si>
  <si>
    <t>Nombre del Centro Gestor</t>
  </si>
  <si>
    <t>Lugar de Servicio</t>
  </si>
  <si>
    <t>Plurianual</t>
  </si>
  <si>
    <t>Numero de Contrato
SAP</t>
  </si>
  <si>
    <t>Nuemero  Acreedor
SAP</t>
  </si>
  <si>
    <t>Nombre
Proveedor</t>
  </si>
  <si>
    <t>(Todas)</t>
  </si>
  <si>
    <t>CENTRAL</t>
  </si>
  <si>
    <t>VOLUMEN</t>
  </si>
  <si>
    <t>Numero de Dias</t>
  </si>
  <si>
    <t>FACTOR DE CONVERSION</t>
  </si>
  <si>
    <t>IGASAMEX</t>
  </si>
  <si>
    <t>USO</t>
  </si>
  <si>
    <t>368 FE</t>
  </si>
  <si>
    <t>370 FE</t>
  </si>
  <si>
    <t>378 FE</t>
  </si>
  <si>
    <t>377 FE</t>
  </si>
  <si>
    <t>iGASAMEX.                      (GJ)</t>
  </si>
  <si>
    <t>ENT/ENO                      (GJ)</t>
  </si>
  <si>
    <t>Norte II          
(GJ)</t>
  </si>
  <si>
    <t>ENCINO-TOPOLOBAMPO              (GJ)</t>
  </si>
  <si>
    <t>377FE</t>
  </si>
  <si>
    <t>379 FE</t>
  </si>
  <si>
    <t>380 FE</t>
  </si>
  <si>
    <t>377 FE,380 FE y 379 FE</t>
  </si>
  <si>
    <t>iGASAMEX.                                   (GJ)</t>
  </si>
  <si>
    <t>387 FE</t>
  </si>
  <si>
    <t>391 FE, 388 FE y  390 FE</t>
  </si>
  <si>
    <t>390 FE</t>
  </si>
  <si>
    <t>iGASAMEX.               (GJ)</t>
  </si>
  <si>
    <t>N003P</t>
  </si>
  <si>
    <t>391 FE</t>
  </si>
  <si>
    <t>FE 324,325 y 329</t>
  </si>
  <si>
    <t>326 FE</t>
  </si>
  <si>
    <t>327 FE</t>
  </si>
  <si>
    <t>328 FE</t>
  </si>
  <si>
    <t>329 FE</t>
  </si>
  <si>
    <t xml:space="preserve"> 10/09/2018</t>
  </si>
  <si>
    <t>iGASAMEX.                  (GJ)</t>
  </si>
  <si>
    <t>388 FE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</si>
</sst>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6">
    <numFmt numFmtId="7" formatCode="&quot;$&quot;#,##0.00;\-&quot;$&quot;#,##0.00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General_)"/>
    <numFmt numFmtId="165" formatCode="#,##0.0000"/>
    <numFmt numFmtId="166" formatCode="###0;###0"/>
    <numFmt numFmtId="167" formatCode="###0.000;###0.000"/>
    <numFmt numFmtId="168" formatCode="0.000%"/>
    <numFmt numFmtId="169" formatCode="0.0000%"/>
    <numFmt numFmtId="170" formatCode="_-&quot;$&quot;* #,##0.00000_-;\-&quot;$&quot;* #,##0.00000_-;_-&quot;$&quot;* &quot;-&quot;??_-;_-@_-"/>
    <numFmt numFmtId="171" formatCode="#,##0_ ;\-#,##0\ "/>
    <numFmt numFmtId="172" formatCode="&quot;$&quot;#,##0.00"/>
    <numFmt numFmtId="173" formatCode="&quot;$&quot;#,##0.00_);\(&quot;$&quot;#,##0.00\)"/>
    <numFmt numFmtId="174" formatCode="&quot;$&quot;#,##0.0000"/>
    <numFmt numFmtId="175" formatCode="#,##0.00000000000"/>
    <numFmt numFmtId="176" formatCode="_-&quot;$&quot;* #,##0.000_-;\-&quot;$&quot;* #,##0.000_-;_-&quot;$&quot;* &quot;-&quot;??_-;_-@_-"/>
    <numFmt numFmtId="177" formatCode="_-[$$-80A]* #,##0.00_-;\-[$$-80A]* #,##0.00_-;_-[$$-80A]* &quot;-&quot;??_-;_-@_-"/>
    <numFmt numFmtId="178" formatCode="_-&quot;$&quot;* #,##0.0000_-;\-&quot;$&quot;* #,##0.0000_-;_-&quot;$&quot;* &quot;-&quot;??_-;_-@_-"/>
    <numFmt numFmtId="179" formatCode="_-[$$-409]* #,##0.00000_ ;_-[$$-409]* \-#,##0.00000\ ;_-[$$-409]* &quot;-&quot;??_ ;_-@_ "/>
    <numFmt numFmtId="180" formatCode="&quot;$&quot;#,##0.0"/>
    <numFmt numFmtId="181" formatCode="#,##0.00000000"/>
    <numFmt numFmtId="182" formatCode="0.0000000%"/>
    <numFmt numFmtId="183" formatCode="###0.0000;###0.0000"/>
    <numFmt numFmtId="184" formatCode="###0.00000;###0.00000"/>
    <numFmt numFmtId="185" formatCode="0.000000%"/>
    <numFmt numFmtId="186" formatCode="0.0000000000%"/>
    <numFmt numFmtId="187" formatCode="#,##0.0000000"/>
    <numFmt numFmtId="188" formatCode="#,##0.0000_ ;\-#,##0.0000\ "/>
    <numFmt numFmtId="189" formatCode="&quot;$&quot;#,##0.00000"/>
    <numFmt numFmtId="190" formatCode="0.0%"/>
    <numFmt numFmtId="191" formatCode="0.0000"/>
    <numFmt numFmtId="192" formatCode="_-&quot;$&quot;* #,##0.0000_-;\-&quot;$&quot;* #,##0.0000_-;_-&quot;$&quot;* &quot;-&quot;????_-;_-@_-"/>
    <numFmt numFmtId="193" formatCode="_-[$$-80A]* #,##0.0000_-;\-[$$-80A]* #,##0.0000_-;_-[$$-80A]* &quot;-&quot;????_-;_-@_-"/>
    <numFmt numFmtId="194" formatCode="0.0"/>
    <numFmt numFmtId="195" formatCode="0.000"/>
    <numFmt numFmtId="196" formatCode="&quot;$&quot;#,##0.0000;\-&quot;$&quot;#,##0.0000"/>
    <numFmt numFmtId="197" formatCode="#,##0.00_ ;\-#,##0.00\ "/>
    <numFmt numFmtId="198" formatCode="yyyy\-mm\-dd;@"/>
    <numFmt numFmtId="199" formatCode="mmm"/>
    <numFmt numFmtId="200" formatCode="#,##0.0"/>
    <numFmt numFmtId="201" formatCode="_(* #,##0.00_);_(* \(#,##0.00\);_(* &quot;-&quot;??_);_(@_)"/>
    <numFmt numFmtId="202" formatCode="&quot;$&quot;#,##0"/>
    <numFmt numFmtId="203" formatCode="_(&quot;$&quot;* #,##0.00_);_(&quot;$&quot;* \(#,##0.00\);_(&quot;$&quot;* &quot;-&quot;??_);_(@_)"/>
    <numFmt numFmtId="204" formatCode="dd/mm/yyyy;@"/>
    <numFmt numFmtId="205" formatCode="#,##0.00000"/>
    <numFmt numFmtId="206" formatCode="#,##0.000"/>
  </numFmts>
  <fonts count="110" x14ac:knownFonts="1"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8"/>
      <color indexed="8"/>
      <name val="Arial"/>
      <family val="2"/>
    </font>
    <font>
      <b/>
      <i/>
      <sz val="6"/>
      <color indexed="8"/>
      <name val="Arial"/>
      <family val="1"/>
      <charset val="204"/>
    </font>
    <font>
      <b/>
      <sz val="12"/>
      <color indexed="8"/>
      <name val="Arial"/>
      <family val="2"/>
    </font>
    <font>
      <sz val="12"/>
      <name val="Arial"/>
      <family val="2"/>
    </font>
    <font>
      <b/>
      <sz val="10"/>
      <name val="Arial"/>
      <family val="2"/>
    </font>
    <font>
      <b/>
      <sz val="9"/>
      <color indexed="81"/>
      <name val="Tahoma"/>
      <family val="2"/>
    </font>
    <font>
      <b/>
      <sz val="6"/>
      <name val="Arial"/>
      <family val="2"/>
    </font>
    <font>
      <b/>
      <sz val="6"/>
      <color indexed="8"/>
      <name val="Arial"/>
      <family val="2"/>
    </font>
    <font>
      <sz val="9"/>
      <color indexed="81"/>
      <name val="Tahoma"/>
      <family val="2"/>
    </font>
    <font>
      <sz val="10"/>
      <name val="Times New Roman"/>
      <family val="1"/>
    </font>
    <font>
      <b/>
      <sz val="12"/>
      <name val="Arial"/>
      <family val="2"/>
    </font>
    <font>
      <b/>
      <sz val="9"/>
      <color indexed="8"/>
      <name val="Tahoma"/>
      <family val="2"/>
    </font>
    <font>
      <sz val="9"/>
      <color indexed="8"/>
      <name val="Tahoma"/>
      <family val="2"/>
    </font>
    <font>
      <sz val="11"/>
      <color theme="1"/>
      <name val="Arial"/>
      <family val="2"/>
    </font>
    <font>
      <sz val="11"/>
      <color rgb="FF0061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F3F76"/>
      <name val="Calibri"/>
      <family val="2"/>
      <scheme val="minor"/>
    </font>
    <font>
      <u/>
      <sz val="10.8"/>
      <color theme="10"/>
      <name val="Arial"/>
      <family val="2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rgb="FF006100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b/>
      <sz val="8"/>
      <color theme="1" tint="4.9989318521683403E-2"/>
      <name val="Arial"/>
      <family val="2"/>
    </font>
    <font>
      <b/>
      <sz val="8"/>
      <color theme="1"/>
      <name val="Arial"/>
      <family val="2"/>
    </font>
    <font>
      <b/>
      <sz val="6"/>
      <color theme="0"/>
      <name val="Arial"/>
      <family val="2"/>
    </font>
    <font>
      <sz val="6"/>
      <color theme="1"/>
      <name val="Arial"/>
      <family val="2"/>
    </font>
    <font>
      <sz val="12"/>
      <color theme="1" tint="4.9989318521683403E-2"/>
      <name val="Arial"/>
      <family val="2"/>
    </font>
    <font>
      <i/>
      <sz val="12"/>
      <color theme="1" tint="4.9989318521683403E-2"/>
      <name val="Arial"/>
      <family val="2"/>
    </font>
    <font>
      <b/>
      <sz val="8"/>
      <color rgb="FF3F3F76"/>
      <name val="Calibri"/>
      <family val="2"/>
      <scheme val="minor"/>
    </font>
    <font>
      <b/>
      <sz val="12"/>
      <color theme="1" tint="4.9989318521683403E-2"/>
      <name val="Arial"/>
      <family val="2"/>
    </font>
    <font>
      <sz val="8"/>
      <color theme="1" tint="4.9989318521683403E-2"/>
      <name val="Arial"/>
      <family val="2"/>
    </font>
    <font>
      <b/>
      <sz val="8"/>
      <color rgb="FF3F3F76"/>
      <name val="Arial"/>
      <family val="2"/>
    </font>
    <font>
      <b/>
      <i/>
      <sz val="8"/>
      <color theme="1"/>
      <name val="Arial"/>
      <family val="2"/>
    </font>
    <font>
      <sz val="10"/>
      <color theme="1"/>
      <name val="Arial"/>
      <family val="2"/>
    </font>
    <font>
      <b/>
      <sz val="8"/>
      <color rgb="FF000000"/>
      <name val="Arial"/>
      <family val="2"/>
    </font>
    <font>
      <b/>
      <sz val="11"/>
      <color theme="1"/>
      <name val="Arial"/>
      <family val="2"/>
    </font>
    <font>
      <b/>
      <i/>
      <sz val="12"/>
      <color theme="1" tint="4.9989318521683403E-2"/>
      <name val="Arial"/>
      <family val="2"/>
    </font>
    <font>
      <b/>
      <sz val="10"/>
      <color theme="1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b/>
      <sz val="9"/>
      <color theme="1"/>
      <name val="Arial"/>
      <family val="2"/>
    </font>
    <font>
      <b/>
      <sz val="8"/>
      <color rgb="FFFF0000"/>
      <name val="Arial"/>
      <family val="2"/>
    </font>
    <font>
      <b/>
      <sz val="10"/>
      <color rgb="FFFF0000"/>
      <name val="Arial"/>
      <family val="2"/>
    </font>
    <font>
      <sz val="9.9"/>
      <color theme="1"/>
      <name val="Arial"/>
      <family val="2"/>
    </font>
    <font>
      <b/>
      <sz val="11"/>
      <color theme="0"/>
      <name val="Arial"/>
      <family val="2"/>
    </font>
    <font>
      <b/>
      <sz val="10"/>
      <color theme="0"/>
      <name val="Arial"/>
      <family val="2"/>
    </font>
    <font>
      <b/>
      <sz val="10"/>
      <color rgb="FF000000"/>
      <name val="Arial"/>
      <family val="2"/>
    </font>
    <font>
      <u/>
      <sz val="10"/>
      <color theme="10"/>
      <name val="Arial"/>
      <family val="2"/>
    </font>
    <font>
      <b/>
      <sz val="10"/>
      <color rgb="FF3F3F76"/>
      <name val="Arial"/>
      <family val="2"/>
    </font>
    <font>
      <b/>
      <sz val="10"/>
      <color theme="1"/>
      <name val="Calibri"/>
      <family val="2"/>
      <scheme val="minor"/>
    </font>
    <font>
      <sz val="8"/>
      <color rgb="FF3F3F76"/>
      <name val="Arial"/>
      <family val="2"/>
    </font>
    <font>
      <b/>
      <sz val="9"/>
      <color rgb="FFFF0000"/>
      <name val="Arial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0"/>
      <color theme="0"/>
      <name val="Calibri"/>
      <family val="2"/>
    </font>
    <font>
      <sz val="10"/>
      <color theme="1"/>
      <name val="Calibri"/>
      <family val="2"/>
    </font>
    <font>
      <b/>
      <sz val="12"/>
      <color theme="0"/>
      <name val="Calibri"/>
      <family val="2"/>
    </font>
    <font>
      <sz val="12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</font>
    <font>
      <sz val="14"/>
      <color theme="1"/>
      <name val="Calibri"/>
      <family val="2"/>
    </font>
    <font>
      <sz val="14"/>
      <color rgb="FFFFFFFF"/>
      <name val="Calibri"/>
      <family val="2"/>
    </font>
    <font>
      <sz val="14"/>
      <color rgb="FF000000"/>
      <name val="Calibri"/>
      <family val="2"/>
    </font>
    <font>
      <b/>
      <sz val="16"/>
      <color rgb="FFFF0000"/>
      <name val="Calibri"/>
      <family val="2"/>
    </font>
    <font>
      <sz val="14"/>
      <color theme="1"/>
      <name val="Arial"/>
      <family val="2"/>
    </font>
    <font>
      <sz val="9"/>
      <color theme="1"/>
      <name val="Arial"/>
      <family val="2"/>
    </font>
    <font>
      <b/>
      <sz val="9"/>
      <name val="Arial"/>
      <family val="2"/>
    </font>
    <font>
      <b/>
      <sz val="9"/>
      <color theme="0"/>
      <name val="Arial"/>
      <family val="2"/>
    </font>
    <font>
      <b/>
      <sz val="9"/>
      <color rgb="FF000000"/>
      <name val="Arial"/>
      <family val="2"/>
    </font>
    <font>
      <u/>
      <sz val="9"/>
      <color theme="10"/>
      <name val="Arial"/>
      <family val="2"/>
    </font>
    <font>
      <b/>
      <sz val="9"/>
      <color rgb="FF3F3F76"/>
      <name val="Arial"/>
      <family val="2"/>
    </font>
    <font>
      <b/>
      <sz val="9"/>
      <color indexed="8"/>
      <name val="Arial"/>
      <family val="2"/>
    </font>
    <font>
      <b/>
      <i/>
      <sz val="9"/>
      <color theme="1"/>
      <name val="Arial"/>
      <family val="2"/>
    </font>
    <font>
      <sz val="9"/>
      <name val="Arial"/>
      <family val="2"/>
    </font>
    <font>
      <b/>
      <sz val="10"/>
      <color indexed="8"/>
      <name val="Arial"/>
      <family val="2"/>
    </font>
    <font>
      <b/>
      <i/>
      <sz val="10"/>
      <color theme="1"/>
      <name val="Arial"/>
      <family val="2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3F3F76"/>
      <name val="Calibri"/>
      <family val="2"/>
      <scheme val="minor"/>
    </font>
    <font>
      <sz val="11"/>
      <name val="Calibri"/>
      <family val="2"/>
      <scheme val="minor"/>
    </font>
    <font>
      <sz val="12"/>
      <color theme="2" tint="-0.499984740745262"/>
      <name val="Calibri"/>
      <family val="2"/>
    </font>
    <font>
      <sz val="10"/>
      <color theme="2" tint="-0.249977111117893"/>
      <name val="Arial"/>
      <family val="2"/>
    </font>
    <font>
      <b/>
      <sz val="10"/>
      <color theme="2" tint="-0.249977111117893"/>
      <name val="Arial"/>
      <family val="2"/>
    </font>
    <font>
      <sz val="12"/>
      <color rgb="FF006100"/>
      <name val="Calibri"/>
      <family val="2"/>
      <scheme val="minor"/>
    </font>
    <font>
      <sz val="10"/>
      <color theme="0"/>
      <name val="Arial"/>
      <family val="2"/>
    </font>
    <font>
      <sz val="7"/>
      <color rgb="FF000000"/>
      <name val="Arial"/>
      <family val="2"/>
    </font>
    <font>
      <u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Arial"/>
      <family val="2"/>
    </font>
    <font>
      <b/>
      <sz val="12"/>
      <color theme="0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0"/>
      <color theme="0" tint="-0.499984740745262"/>
      <name val="Arial"/>
      <family val="2"/>
    </font>
  </fonts>
  <fills count="2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6"/>
      </patternFill>
    </fill>
    <fill>
      <patternFill patternType="solid">
        <fgColor rgb="FFFFCC99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39997558519241921"/>
        <bgColor theme="0" tint="-0.14999847407452621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theme="0" tint="-0.14999847407452621"/>
      </patternFill>
    </fill>
    <fill>
      <patternFill patternType="solid">
        <fgColor rgb="FF009967"/>
        <bgColor indexed="64"/>
      </patternFill>
    </fill>
    <fill>
      <patternFill patternType="solid">
        <fgColor theme="0" tint="-0.249977111117893"/>
        <bgColor indexed="64"/>
      </patternFill>
    </fill>
  </fills>
  <borders count="384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646464"/>
      </left>
      <right style="thin">
        <color rgb="FF646464"/>
      </right>
      <top style="thin">
        <color rgb="FF676767"/>
      </top>
      <bottom style="thin">
        <color rgb="FF676767"/>
      </bottom>
      <diagonal/>
    </border>
    <border>
      <left style="thin">
        <color rgb="FF646464"/>
      </left>
      <right style="thin">
        <color rgb="FF5B5B5B"/>
      </right>
      <top style="thin">
        <color rgb="FF676767"/>
      </top>
      <bottom style="thin">
        <color rgb="FF676767"/>
      </bottom>
      <diagonal/>
    </border>
    <border>
      <left style="thin">
        <color rgb="FF575757"/>
      </left>
      <right style="thin">
        <color rgb="FF646464"/>
      </right>
      <top style="thin">
        <color rgb="FF676767"/>
      </top>
      <bottom style="thin">
        <color rgb="FF676767"/>
      </bottom>
      <diagonal/>
    </border>
    <border>
      <left style="thin">
        <color rgb="FF646464"/>
      </left>
      <right style="thin">
        <color rgb="FF646464"/>
      </right>
      <top style="thin">
        <color rgb="FF676767"/>
      </top>
      <bottom style="thin">
        <color rgb="FF6B6B6B"/>
      </bottom>
      <diagonal/>
    </border>
    <border>
      <left style="thin">
        <color rgb="FF646464"/>
      </left>
      <right style="thin">
        <color rgb="FF5B5B5B"/>
      </right>
      <top style="thin">
        <color rgb="FF676767"/>
      </top>
      <bottom style="thin">
        <color rgb="FF6B6B6B"/>
      </bottom>
      <diagonal/>
    </border>
    <border>
      <left style="thin">
        <color rgb="FF646464"/>
      </left>
      <right style="thin">
        <color rgb="FF646464"/>
      </right>
      <top style="thin">
        <color rgb="FF6B6B6B"/>
      </top>
      <bottom style="thin">
        <color rgb="FF676767"/>
      </bottom>
      <diagonal/>
    </border>
    <border>
      <left style="thin">
        <color rgb="FF646464"/>
      </left>
      <right style="thin">
        <color rgb="FF5B5B5B"/>
      </right>
      <top style="thin">
        <color rgb="FF6B6B6B"/>
      </top>
      <bottom style="thin">
        <color rgb="FF676767"/>
      </bottom>
      <diagonal/>
    </border>
    <border>
      <left style="thin">
        <color rgb="FF606060"/>
      </left>
      <right style="thin">
        <color rgb="FF646464"/>
      </right>
      <top style="thin">
        <color rgb="FF676767"/>
      </top>
      <bottom style="thin">
        <color rgb="FF6B6B6B"/>
      </bottom>
      <diagonal/>
    </border>
    <border>
      <left style="thin">
        <color rgb="FF646464"/>
      </left>
      <right style="thin">
        <color rgb="FF646464"/>
      </right>
      <top style="thin">
        <color rgb="FF6B6B6B"/>
      </top>
      <bottom style="thin">
        <color rgb="FF6B6B6B"/>
      </bottom>
      <diagonal/>
    </border>
    <border>
      <left style="thin">
        <color rgb="FF606060"/>
      </left>
      <right style="thin">
        <color rgb="FF646464"/>
      </right>
      <top style="thin">
        <color rgb="FF6B6B6B"/>
      </top>
      <bottom style="thin">
        <color rgb="FF6B6B6B"/>
      </bottom>
      <diagonal/>
    </border>
    <border>
      <left style="thin">
        <color rgb="FF606060"/>
      </left>
      <right style="thin">
        <color rgb="FF646464"/>
      </right>
      <top style="thin">
        <color rgb="FF6B6B6B"/>
      </top>
      <bottom style="thin">
        <color rgb="FF676767"/>
      </bottom>
      <diagonal/>
    </border>
    <border>
      <left style="thin">
        <color rgb="FF606060"/>
      </left>
      <right style="thin">
        <color rgb="FF646464"/>
      </right>
      <top style="thin">
        <color rgb="FF676767"/>
      </top>
      <bottom style="thin">
        <color rgb="FF676767"/>
      </bottom>
      <diagonal/>
    </border>
    <border>
      <left style="thin">
        <color rgb="FF646464"/>
      </left>
      <right style="thin">
        <color rgb="FF646464"/>
      </right>
      <top style="thin">
        <color rgb="FF6B6B6B"/>
      </top>
      <bottom style="thin">
        <color rgb="FF707070"/>
      </bottom>
      <diagonal/>
    </border>
    <border>
      <left style="thin">
        <color rgb="FF646464"/>
      </left>
      <right style="thin">
        <color rgb="FF646464"/>
      </right>
      <top style="thin">
        <color rgb="FF707070"/>
      </top>
      <bottom style="thin">
        <color rgb="FF6B6B6B"/>
      </bottom>
      <diagonal/>
    </border>
    <border>
      <left style="thin">
        <color rgb="FF646464"/>
      </left>
      <right style="thin">
        <color rgb="FF646464"/>
      </right>
      <top style="thin">
        <color rgb="FF707070"/>
      </top>
      <bottom style="thin">
        <color rgb="FF707070"/>
      </bottom>
      <diagonal/>
    </border>
    <border>
      <left style="thin">
        <color rgb="FF606060"/>
      </left>
      <right style="thin">
        <color rgb="FF646464"/>
      </right>
      <top style="thin">
        <color rgb="FF707070"/>
      </top>
      <bottom style="thin">
        <color rgb="FF6B6B6B"/>
      </bottom>
      <diagonal/>
    </border>
    <border>
      <left style="thin">
        <color rgb="FF5B5B5B"/>
      </left>
      <right style="thin">
        <color rgb="FF676767"/>
      </right>
      <top style="thin">
        <color rgb="FF606060"/>
      </top>
      <bottom style="thin">
        <color rgb="FF5B5B5B"/>
      </bottom>
      <diagonal/>
    </border>
    <border>
      <left style="thin">
        <color rgb="FF5B5B5B"/>
      </left>
      <right style="thin">
        <color rgb="FF545454"/>
      </right>
      <top style="thin">
        <color rgb="FF5B5B5B"/>
      </top>
      <bottom style="thin">
        <color rgb="FF5B5B5B"/>
      </bottom>
      <diagonal/>
    </border>
    <border>
      <left style="thin">
        <color rgb="FF5B5B5B"/>
      </left>
      <right style="thin">
        <color rgb="FF575757"/>
      </right>
      <top style="thin">
        <color rgb="FF5B5B5B"/>
      </top>
      <bottom style="thin">
        <color rgb="FF575757"/>
      </bottom>
      <diagonal/>
    </border>
    <border>
      <left style="thin">
        <color rgb="FF575757"/>
      </left>
      <right style="thin">
        <color rgb="FF575757"/>
      </right>
      <top style="thin">
        <color rgb="FF5B5B5B"/>
      </top>
      <bottom style="thin">
        <color rgb="FF575757"/>
      </bottom>
      <diagonal/>
    </border>
    <border>
      <left style="thin">
        <color rgb="FF5B5B5B"/>
      </left>
      <right style="thin">
        <color rgb="FF575757"/>
      </right>
      <top style="thin">
        <color rgb="FF575757"/>
      </top>
      <bottom style="thin">
        <color rgb="FF5B5B5B"/>
      </bottom>
      <diagonal/>
    </border>
    <border>
      <left style="thin">
        <color rgb="FF575757"/>
      </left>
      <right style="thin">
        <color rgb="FF575757"/>
      </right>
      <top style="thin">
        <color rgb="FF575757"/>
      </top>
      <bottom style="thin">
        <color rgb="FF5B5B5B"/>
      </bottom>
      <diagonal/>
    </border>
    <border>
      <left style="thin">
        <color rgb="FF5B5B5B"/>
      </left>
      <right style="thin">
        <color rgb="FF575757"/>
      </right>
      <top style="thin">
        <color rgb="FF5B5B5B"/>
      </top>
      <bottom style="thin">
        <color rgb="FF5B5B5B"/>
      </bottom>
      <diagonal/>
    </border>
    <border>
      <left style="thin">
        <color rgb="FF575757"/>
      </left>
      <right style="thin">
        <color rgb="FF575757"/>
      </right>
      <top style="thin">
        <color rgb="FF5B5B5B"/>
      </top>
      <bottom style="thin">
        <color rgb="FF5B5B5B"/>
      </bottom>
      <diagonal/>
    </border>
    <border>
      <left style="thin">
        <color rgb="FF5B5B5B"/>
      </left>
      <right style="thin">
        <color rgb="FF575757"/>
      </right>
      <top style="thin">
        <color rgb="FF5B5B5B"/>
      </top>
      <bottom style="thin">
        <color rgb="FF606060"/>
      </bottom>
      <diagonal/>
    </border>
    <border>
      <left style="thin">
        <color rgb="FF5B5B5B"/>
      </left>
      <right style="thin">
        <color rgb="FF575757"/>
      </right>
      <top style="thin">
        <color rgb="FF606060"/>
      </top>
      <bottom style="thin">
        <color rgb="FF5B5B5B"/>
      </bottom>
      <diagonal/>
    </border>
    <border>
      <left style="thin">
        <color rgb="FF575757"/>
      </left>
      <right style="thin">
        <color rgb="FF575757"/>
      </right>
      <top style="thin">
        <color rgb="FF606060"/>
      </top>
      <bottom style="thin">
        <color rgb="FF5B5B5B"/>
      </bottom>
      <diagonal/>
    </border>
    <border>
      <left style="thin">
        <color rgb="FF5B5B5B"/>
      </left>
      <right style="thin">
        <color rgb="FF575757"/>
      </right>
      <top style="thin">
        <color rgb="FF606060"/>
      </top>
      <bottom style="thin">
        <color rgb="FF606060"/>
      </bottom>
      <diagonal/>
    </border>
    <border>
      <left style="thin">
        <color rgb="FF575757"/>
      </left>
      <right style="thin">
        <color rgb="FF575757"/>
      </right>
      <top style="thin">
        <color rgb="FF606060"/>
      </top>
      <bottom style="thin">
        <color rgb="FF606060"/>
      </bottom>
      <diagonal/>
    </border>
    <border>
      <left style="thin">
        <color rgb="FF5B5B5B"/>
      </left>
      <right style="thin">
        <color rgb="FF575757"/>
      </right>
      <top style="thin">
        <color rgb="FF606060"/>
      </top>
      <bottom style="thin">
        <color rgb="FF646464"/>
      </bottom>
      <diagonal/>
    </border>
    <border>
      <left style="thin">
        <color rgb="FF5B5B5B"/>
      </left>
      <right style="thin">
        <color rgb="FF575757"/>
      </right>
      <top style="thin">
        <color rgb="FF646464"/>
      </top>
      <bottom style="thin">
        <color rgb="FF646464"/>
      </bottom>
      <diagonal/>
    </border>
    <border>
      <left style="thin">
        <color rgb="FF5B5B5B"/>
      </left>
      <right style="thin">
        <color rgb="FF575757"/>
      </right>
      <top style="thin">
        <color rgb="FF646464"/>
      </top>
      <bottom style="thin">
        <color rgb="FF606060"/>
      </bottom>
      <diagonal/>
    </border>
    <border>
      <left style="thin">
        <color rgb="FF575757"/>
      </left>
      <right style="thin">
        <color rgb="FF575757"/>
      </right>
      <top style="thin">
        <color rgb="FF646464"/>
      </top>
      <bottom style="thin">
        <color rgb="FF606060"/>
      </bottom>
      <diagonal/>
    </border>
    <border>
      <left style="thin">
        <color rgb="FF575757"/>
      </left>
      <right style="thin">
        <color rgb="FF575757"/>
      </right>
      <top style="thin">
        <color rgb="FF5B5B5B"/>
      </top>
      <bottom style="thin">
        <color rgb="FF646464"/>
      </bottom>
      <diagonal/>
    </border>
    <border>
      <left style="thin">
        <color rgb="FF606060"/>
      </left>
      <right style="thin">
        <color rgb="FF575757"/>
      </right>
      <top style="thin">
        <color rgb="FF606060"/>
      </top>
      <bottom style="thin">
        <color rgb="FF676767"/>
      </bottom>
      <diagonal/>
    </border>
    <border>
      <left style="thin">
        <color rgb="FF606060"/>
      </left>
      <right style="thin">
        <color rgb="FF575757"/>
      </right>
      <top style="thin">
        <color rgb="FF676767"/>
      </top>
      <bottom style="thin">
        <color rgb="FF606060"/>
      </bottom>
      <diagonal/>
    </border>
    <border>
      <left style="thin">
        <color rgb="FF606060"/>
      </left>
      <right style="thin">
        <color rgb="FF575757"/>
      </right>
      <top style="thin">
        <color rgb="FF606060"/>
      </top>
      <bottom style="thin">
        <color rgb="FF646464"/>
      </bottom>
      <diagonal/>
    </border>
    <border>
      <left style="thin">
        <color rgb="FF606060"/>
      </left>
      <right style="thin">
        <color rgb="FF575757"/>
      </right>
      <top style="thin">
        <color rgb="FF646464"/>
      </top>
      <bottom style="thin">
        <color rgb="FF646464"/>
      </bottom>
      <diagonal/>
    </border>
    <border>
      <left style="thin">
        <color rgb="FF606060"/>
      </left>
      <right style="thin">
        <color rgb="FF6B6B6B"/>
      </right>
      <top style="thin">
        <color rgb="FF6B6B6B"/>
      </top>
      <bottom style="thin">
        <color rgb="FF6B6B6B"/>
      </bottom>
      <diagonal/>
    </border>
    <border>
      <left style="thin">
        <color rgb="FF606060"/>
      </left>
      <right style="thin">
        <color rgb="FF6B6B6B"/>
      </right>
      <top style="thin">
        <color rgb="FF6B6B6B"/>
      </top>
      <bottom style="thin">
        <color rgb="FF676767"/>
      </bottom>
      <diagonal/>
    </border>
    <border>
      <left style="thin">
        <color rgb="FF646464"/>
      </left>
      <right style="thin">
        <color rgb="FF646464"/>
      </right>
      <top style="thin">
        <color rgb="FF676767"/>
      </top>
      <bottom style="thin">
        <color rgb="FF646464"/>
      </bottom>
      <diagonal/>
    </border>
    <border>
      <left style="thin">
        <color rgb="FF646464"/>
      </left>
      <right style="thin">
        <color rgb="FF646464"/>
      </right>
      <top style="thin">
        <color rgb="FF646464"/>
      </top>
      <bottom style="thin">
        <color rgb="FF676767"/>
      </bottom>
      <diagonal/>
    </border>
    <border>
      <left style="thin">
        <color rgb="FF676767"/>
      </left>
      <right style="thin">
        <color rgb="FF646464"/>
      </right>
      <top style="thin">
        <color rgb="FF6B6B6B"/>
      </top>
      <bottom style="thin">
        <color rgb="FF646464"/>
      </bottom>
      <diagonal/>
    </border>
    <border>
      <left style="thin">
        <color rgb="FF676767"/>
      </left>
      <right style="thin">
        <color rgb="FF646464"/>
      </right>
      <top style="thin">
        <color rgb="FF646464"/>
      </top>
      <bottom style="thin">
        <color rgb="FF676767"/>
      </bottom>
      <diagonal/>
    </border>
    <border>
      <left style="thin">
        <color rgb="FF676767"/>
      </left>
      <right style="thin">
        <color rgb="FF646464"/>
      </right>
      <top style="thin">
        <color rgb="FF676767"/>
      </top>
      <bottom style="thin">
        <color rgb="FF646464"/>
      </bottom>
      <diagonal/>
    </border>
    <border>
      <left style="thin">
        <color rgb="FF606060"/>
      </left>
      <right style="thin">
        <color rgb="FF676767"/>
      </right>
      <top style="thin">
        <color rgb="FF676767"/>
      </top>
      <bottom style="thin">
        <color rgb="FF646464"/>
      </bottom>
      <diagonal/>
    </border>
    <border>
      <left style="thin">
        <color rgb="FF676767"/>
      </left>
      <right style="thin">
        <color rgb="FF646464"/>
      </right>
      <top style="thin">
        <color rgb="FF646464"/>
      </top>
      <bottom style="thin">
        <color rgb="FF6B6B6B"/>
      </bottom>
      <diagonal/>
    </border>
    <border>
      <left style="thin">
        <color rgb="FF606060"/>
      </left>
      <right style="thin">
        <color rgb="FF676767"/>
      </right>
      <top style="thin">
        <color rgb="FF646464"/>
      </top>
      <bottom style="thin">
        <color rgb="FF6B6B6B"/>
      </bottom>
      <diagonal/>
    </border>
    <border>
      <left style="thin">
        <color rgb="FF676767"/>
      </left>
      <right style="thin">
        <color rgb="FF646464"/>
      </right>
      <top style="thin">
        <color rgb="FF6B6B6B"/>
      </top>
      <bottom style="thin">
        <color rgb="FF676767"/>
      </bottom>
      <diagonal/>
    </border>
    <border>
      <left style="thin">
        <color rgb="FF676767"/>
      </left>
      <right style="thin">
        <color rgb="FF646464"/>
      </right>
      <top style="thin">
        <color rgb="FF676767"/>
      </top>
      <bottom style="thin">
        <color rgb="FF676767"/>
      </bottom>
      <diagonal/>
    </border>
    <border>
      <left style="thin">
        <color rgb="FF676767"/>
      </left>
      <right style="thin">
        <color rgb="FF646464"/>
      </right>
      <top style="thin">
        <color rgb="FF676767"/>
      </top>
      <bottom style="thin">
        <color rgb="FF706B70"/>
      </bottom>
      <diagonal/>
    </border>
    <border>
      <left style="thin">
        <color rgb="FF606060"/>
      </left>
      <right style="thin">
        <color rgb="FF646464"/>
      </right>
      <top style="thin">
        <color rgb="FF676767"/>
      </top>
      <bottom style="thin">
        <color rgb="FF6B6B70"/>
      </bottom>
      <diagonal/>
    </border>
    <border>
      <left style="thin">
        <color rgb="FF676767"/>
      </left>
      <right style="thin">
        <color rgb="FF646464"/>
      </right>
      <top style="thin">
        <color rgb="FF706B70"/>
      </top>
      <bottom style="thin">
        <color rgb="FF676767"/>
      </bottom>
      <diagonal/>
    </border>
    <border>
      <left style="thin">
        <color rgb="FF606060"/>
      </left>
      <right style="thin">
        <color rgb="FF646464"/>
      </right>
      <top style="thin">
        <color rgb="FF676767"/>
      </top>
      <bottom style="thin">
        <color rgb="FF707070"/>
      </bottom>
      <diagonal/>
    </border>
    <border>
      <left style="thin">
        <color rgb="FF606060"/>
      </left>
      <right style="thin">
        <color rgb="FF646464"/>
      </right>
      <top style="thin">
        <color rgb="FF707070"/>
      </top>
      <bottom style="thin">
        <color rgb="FF676767"/>
      </bottom>
      <diagonal/>
    </border>
    <border>
      <left style="thin">
        <color rgb="FF606060"/>
      </left>
      <right style="thin">
        <color rgb="FF646464"/>
      </right>
      <top style="thin">
        <color rgb="FF575757"/>
      </top>
      <bottom style="thin">
        <color rgb="FF676767"/>
      </bottom>
      <diagonal/>
    </border>
    <border>
      <left style="thin">
        <color rgb="FF606060"/>
      </left>
      <right style="thin">
        <color rgb="FF646464"/>
      </right>
      <top style="thin">
        <color rgb="FF6B6B70"/>
      </top>
      <bottom style="thin">
        <color rgb="FF646464"/>
      </bottom>
      <diagonal/>
    </border>
    <border>
      <left style="thin">
        <color rgb="FF606060"/>
      </left>
      <right style="thin">
        <color rgb="FF646464"/>
      </right>
      <top style="thin">
        <color rgb="FF646464"/>
      </top>
      <bottom style="thin">
        <color rgb="FF676767"/>
      </bottom>
      <diagonal/>
    </border>
    <border>
      <left style="thin">
        <color rgb="FF606060"/>
      </left>
      <right style="thin">
        <color rgb="FF646464"/>
      </right>
      <top style="thin">
        <color rgb="FF6B6B6B"/>
      </top>
      <bottom style="thin">
        <color rgb="FF606060"/>
      </bottom>
      <diagonal/>
    </border>
    <border>
      <left style="thin">
        <color rgb="FF606060"/>
      </left>
      <right style="thin">
        <color rgb="FF646464"/>
      </right>
      <top style="thin">
        <color rgb="FF606060"/>
      </top>
      <bottom style="thin">
        <color rgb="FF606060"/>
      </bottom>
      <diagonal/>
    </border>
    <border>
      <left style="thin">
        <color rgb="FF606060"/>
      </left>
      <right style="thin">
        <color rgb="FF646464"/>
      </right>
      <top style="thin">
        <color rgb="FF606060"/>
      </top>
      <bottom style="thin">
        <color rgb="FF676767"/>
      </bottom>
      <diagonal/>
    </border>
    <border>
      <left style="thin">
        <color rgb="FF606060"/>
      </left>
      <right style="thin">
        <color rgb="FF646464"/>
      </right>
      <top style="thin">
        <color rgb="FF676767"/>
      </top>
      <bottom style="thin">
        <color rgb="FF646464"/>
      </bottom>
      <diagonal/>
    </border>
    <border>
      <left style="thin">
        <color rgb="FF606060"/>
      </left>
      <right style="thin">
        <color rgb="FF606060"/>
      </right>
      <top style="thin">
        <color rgb="FF676767"/>
      </top>
      <bottom style="thin">
        <color rgb="FF646464"/>
      </bottom>
      <diagonal/>
    </border>
    <border>
      <left style="thin">
        <color rgb="FF606060"/>
      </left>
      <right style="thin">
        <color rgb="FF646464"/>
      </right>
      <top style="thin">
        <color rgb="FF646464"/>
      </top>
      <bottom style="thin">
        <color rgb="FF606060"/>
      </bottom>
      <diagonal/>
    </border>
    <border>
      <left style="thin">
        <color rgb="FF606060"/>
      </left>
      <right style="thin">
        <color rgb="FF646464"/>
      </right>
      <top style="thin">
        <color rgb="FF606060"/>
      </top>
      <bottom style="thin">
        <color rgb="FF646464"/>
      </bottom>
      <diagonal/>
    </border>
    <border>
      <left style="thin">
        <color rgb="FF6B6B6B"/>
      </left>
      <right style="thin">
        <color rgb="FF646464"/>
      </right>
      <top style="thin">
        <color rgb="FF646464"/>
      </top>
      <bottom style="thin">
        <color rgb="FF646464"/>
      </bottom>
      <diagonal/>
    </border>
    <border>
      <left style="thin">
        <color rgb="FF606060"/>
      </left>
      <right style="thin">
        <color rgb="FF606060"/>
      </right>
      <top style="thin">
        <color rgb="FF646464"/>
      </top>
      <bottom style="thin">
        <color rgb="FF646464"/>
      </bottom>
      <diagonal/>
    </border>
    <border>
      <left style="thin">
        <color rgb="FF6B6B6B"/>
      </left>
      <right style="thin">
        <color rgb="FF646464"/>
      </right>
      <top style="thin">
        <color rgb="FF646464"/>
      </top>
      <bottom style="thin">
        <color rgb="FF6B6B6B"/>
      </bottom>
      <diagonal/>
    </border>
    <border>
      <left style="thin">
        <color rgb="FF6B6B6B"/>
      </left>
      <right style="thin">
        <color rgb="FF646464"/>
      </right>
      <top style="thin">
        <color rgb="FF6B6B6B"/>
      </top>
      <bottom style="thin">
        <color rgb="FF707070"/>
      </bottom>
      <diagonal/>
    </border>
    <border>
      <left style="thin">
        <color rgb="FF6B6B6B"/>
      </left>
      <right style="thin">
        <color rgb="FF646464"/>
      </right>
      <top style="thin">
        <color rgb="FF707070"/>
      </top>
      <bottom style="thin">
        <color rgb="FF747474"/>
      </bottom>
      <diagonal/>
    </border>
    <border>
      <left style="thin">
        <color rgb="FF6B6B6B"/>
      </left>
      <right style="thin">
        <color rgb="FF646464"/>
      </right>
      <top style="thin">
        <color rgb="FF747474"/>
      </top>
      <bottom style="thin">
        <color rgb="FF6B6B6B"/>
      </bottom>
      <diagonal/>
    </border>
    <border>
      <left style="thin">
        <color rgb="FF6B6B6B"/>
      </left>
      <right style="thin">
        <color rgb="FF777777"/>
      </right>
      <top style="thin">
        <color rgb="FF6B6B6B"/>
      </top>
      <bottom style="thin">
        <color rgb="FF707070"/>
      </bottom>
      <diagonal/>
    </border>
    <border>
      <left style="thin">
        <color rgb="FF575757"/>
      </left>
      <right style="thin">
        <color rgb="FF747474"/>
      </right>
      <top style="thin">
        <color rgb="FF676767"/>
      </top>
      <bottom style="thin">
        <color rgb="FF676767"/>
      </bottom>
      <diagonal/>
    </border>
    <border>
      <left style="thin">
        <color rgb="FF5B5B5B"/>
      </left>
      <right style="thin">
        <color rgb="FF747474"/>
      </right>
      <top style="thin">
        <color rgb="FF676767"/>
      </top>
      <bottom style="thin">
        <color rgb="FF6B6B6B"/>
      </bottom>
      <diagonal/>
    </border>
    <border>
      <left style="thin">
        <color rgb="FF606060"/>
      </left>
      <right style="thin">
        <color rgb="FF6B6B6B"/>
      </right>
      <top style="thin">
        <color rgb="FF676767"/>
      </top>
      <bottom style="thin">
        <color rgb="FF6B6B6B"/>
      </bottom>
      <diagonal/>
    </border>
    <border>
      <left style="thin">
        <color rgb="FF606060"/>
      </left>
      <right style="thin">
        <color rgb="FF747474"/>
      </right>
      <top style="thin">
        <color rgb="FF6B6B6B"/>
      </top>
      <bottom style="thin">
        <color rgb="FF676767"/>
      </bottom>
      <diagonal/>
    </border>
    <border>
      <left style="thin">
        <color rgb="FF606060"/>
      </left>
      <right style="thin">
        <color rgb="FF747474"/>
      </right>
      <top style="thin">
        <color rgb="FF676767"/>
      </top>
      <bottom style="thin">
        <color rgb="FF6B6B6B"/>
      </bottom>
      <diagonal/>
    </border>
    <border>
      <left style="thin">
        <color rgb="FF575757"/>
      </left>
      <right style="thin">
        <color rgb="FF606060"/>
      </right>
      <top style="thin">
        <color rgb="FF6B6B6B"/>
      </top>
      <bottom style="thin">
        <color rgb="FF676767"/>
      </bottom>
      <diagonal/>
    </border>
    <border>
      <left style="thin">
        <color rgb="FF646464"/>
      </left>
      <right style="thin">
        <color rgb="FF676767"/>
      </right>
      <top style="thin">
        <color rgb="FF676767"/>
      </top>
      <bottom style="thin">
        <color rgb="FF676767"/>
      </bottom>
      <diagonal/>
    </border>
    <border>
      <left style="thin">
        <color rgb="FF646464"/>
      </left>
      <right style="thin">
        <color rgb="FF676767"/>
      </right>
      <top style="thin">
        <color rgb="FF676767"/>
      </top>
      <bottom style="thin">
        <color rgb="FF6B6B6B"/>
      </bottom>
      <diagonal/>
    </border>
    <border>
      <left style="thin">
        <color rgb="FF646464"/>
      </left>
      <right style="thin">
        <color rgb="FF676767"/>
      </right>
      <top style="thin">
        <color rgb="FF6B6B6B"/>
      </top>
      <bottom style="thin">
        <color rgb="FF6B6B6B"/>
      </bottom>
      <diagonal/>
    </border>
    <border>
      <left style="thin">
        <color rgb="FF646464"/>
      </left>
      <right style="thin">
        <color rgb="FF676767"/>
      </right>
      <top style="thin">
        <color rgb="FF6B6B6B"/>
      </top>
      <bottom style="thin">
        <color rgb="FF676767"/>
      </bottom>
      <diagonal/>
    </border>
    <border>
      <left style="thin">
        <color rgb="FF646464"/>
      </left>
      <right style="thin">
        <color rgb="FF676767"/>
      </right>
      <top style="thin">
        <color rgb="FF676767"/>
      </top>
      <bottom style="thin">
        <color rgb="FF646464"/>
      </bottom>
      <diagonal/>
    </border>
    <border>
      <left style="thin">
        <color rgb="FF646464"/>
      </left>
      <right style="thin">
        <color rgb="FF676767"/>
      </right>
      <top style="thin">
        <color rgb="FF646464"/>
      </top>
      <bottom style="thin">
        <color rgb="FF676767"/>
      </bottom>
      <diagonal/>
    </border>
    <border>
      <left style="thin">
        <color rgb="FF646464"/>
      </left>
      <right style="thin">
        <color rgb="FF676767"/>
      </right>
      <top style="thin">
        <color rgb="FF6B6B6B"/>
      </top>
      <bottom style="thin">
        <color rgb="FF707070"/>
      </bottom>
      <diagonal/>
    </border>
    <border>
      <left style="thin">
        <color rgb="FF646464"/>
      </left>
      <right style="thin">
        <color rgb="FF676767"/>
      </right>
      <top style="thin">
        <color rgb="FF707070"/>
      </top>
      <bottom style="thin">
        <color rgb="FF6B6B6B"/>
      </bottom>
      <diagonal/>
    </border>
    <border>
      <left style="thin">
        <color rgb="FF676767"/>
      </left>
      <right style="thin">
        <color rgb="FF646464"/>
      </right>
      <top style="thin">
        <color rgb="FF6B6B6B"/>
      </top>
      <bottom style="thin">
        <color rgb="FF6B6B6B"/>
      </bottom>
      <diagonal/>
    </border>
    <border>
      <left style="thin">
        <color rgb="FF676767"/>
      </left>
      <right style="thin">
        <color rgb="FF646464"/>
      </right>
      <top style="thin">
        <color rgb="FF6B6B6B"/>
      </top>
      <bottom style="thin">
        <color rgb="FF606060"/>
      </bottom>
      <diagonal/>
    </border>
    <border>
      <left style="thin">
        <color rgb="FF676767"/>
      </left>
      <right style="thin">
        <color rgb="FF646464"/>
      </right>
      <top style="thin">
        <color rgb="FF606060"/>
      </top>
      <bottom style="thin">
        <color rgb="FF646464"/>
      </bottom>
      <diagonal/>
    </border>
    <border>
      <left style="thin">
        <color rgb="FF676767"/>
      </left>
      <right style="thin">
        <color rgb="FF606060"/>
      </right>
      <top style="thin">
        <color rgb="FF6B6B6B"/>
      </top>
      <bottom style="thin">
        <color rgb="FF646464"/>
      </bottom>
      <diagonal/>
    </border>
    <border>
      <left style="thin">
        <color rgb="FF676767"/>
      </left>
      <right style="thin">
        <color rgb="FF606060"/>
      </right>
      <top style="thin">
        <color rgb="FF646464"/>
      </top>
      <bottom style="thin">
        <color rgb="FF676767"/>
      </bottom>
      <diagonal/>
    </border>
    <border>
      <left style="thin">
        <color rgb="FF676767"/>
      </left>
      <right style="thin">
        <color rgb="FF606060"/>
      </right>
      <top style="thin">
        <color rgb="FF676767"/>
      </top>
      <bottom style="thin">
        <color rgb="FF6B6B6B"/>
      </bottom>
      <diagonal/>
    </border>
    <border>
      <left style="thin">
        <color rgb="FF676767"/>
      </left>
      <right style="thin">
        <color rgb="FF606060"/>
      </right>
      <top style="thin">
        <color rgb="FF6B6B6B"/>
      </top>
      <bottom style="thin">
        <color rgb="FF606060"/>
      </bottom>
      <diagonal/>
    </border>
    <border>
      <left style="thin">
        <color rgb="FF676767"/>
      </left>
      <right style="thin">
        <color rgb="FF606060"/>
      </right>
      <top style="thin">
        <color rgb="FF606060"/>
      </top>
      <bottom style="thin">
        <color rgb="FF6B6B70"/>
      </bottom>
      <diagonal/>
    </border>
    <border>
      <left style="thin">
        <color rgb="FF676767"/>
      </left>
      <right style="thin">
        <color rgb="FF606060"/>
      </right>
      <top style="thin">
        <color rgb="FF6B6B70"/>
      </top>
      <bottom style="thin">
        <color rgb="FF6B6B6B"/>
      </bottom>
      <diagonal/>
    </border>
    <border>
      <left style="thin">
        <color rgb="FF676767"/>
      </left>
      <right style="thin">
        <color rgb="FF606060"/>
      </right>
      <top style="thin">
        <color rgb="FF6B6B6B"/>
      </top>
      <bottom style="thin">
        <color rgb="FF6B6B6B"/>
      </bottom>
      <diagonal/>
    </border>
    <border>
      <left style="thin">
        <color rgb="FF676767"/>
      </left>
      <right style="thin">
        <color rgb="FF606060"/>
      </right>
      <top style="thin">
        <color rgb="FF6B6B6B"/>
      </top>
      <bottom style="thin">
        <color rgb="FF5B5B5B"/>
      </bottom>
      <diagonal/>
    </border>
    <border>
      <left style="thin">
        <color rgb="FF676767"/>
      </left>
      <right style="thin">
        <color rgb="FF606060"/>
      </right>
      <top style="thin">
        <color rgb="FF5B5B5B"/>
      </top>
      <bottom style="thin">
        <color rgb="FF606060"/>
      </bottom>
      <diagonal/>
    </border>
    <border>
      <left style="thin">
        <color rgb="FF676767"/>
      </left>
      <right style="thin">
        <color rgb="FF606060"/>
      </right>
      <top style="thin">
        <color rgb="FF606060"/>
      </top>
      <bottom style="thin">
        <color rgb="FF646464"/>
      </bottom>
      <diagonal/>
    </border>
    <border>
      <left style="thin">
        <color rgb="FF676767"/>
      </left>
      <right style="thin">
        <color rgb="FF646464"/>
      </right>
      <top style="thin">
        <color rgb="FF646464"/>
      </top>
      <bottom style="thin">
        <color rgb="FF747474"/>
      </bottom>
      <diagonal/>
    </border>
    <border>
      <left style="thin">
        <color rgb="FF676767"/>
      </left>
      <right style="thin">
        <color rgb="FF646464"/>
      </right>
      <top style="thin">
        <color rgb="FF747474"/>
      </top>
      <bottom style="thin">
        <color rgb="FF707070"/>
      </bottom>
      <diagonal/>
    </border>
    <border>
      <left style="thin">
        <color rgb="FF676767"/>
      </left>
      <right style="thin">
        <color rgb="FF646464"/>
      </right>
      <top style="thin">
        <color rgb="FF707070"/>
      </top>
      <bottom style="thin">
        <color rgb="FF707074"/>
      </bottom>
      <diagonal/>
    </border>
    <border>
      <left style="thin">
        <color rgb="FF676767"/>
      </left>
      <right style="thin">
        <color rgb="FF646464"/>
      </right>
      <top style="thin">
        <color rgb="FF707074"/>
      </top>
      <bottom style="thin">
        <color rgb="FF747474"/>
      </bottom>
      <diagonal/>
    </border>
    <border>
      <left style="thin">
        <color rgb="FF676767"/>
      </left>
      <right style="thin">
        <color rgb="FF646464"/>
      </right>
      <top style="thin">
        <color rgb="FF747474"/>
      </top>
      <bottom style="thin">
        <color rgb="FF747474"/>
      </bottom>
      <diagonal/>
    </border>
    <border>
      <left style="thin">
        <color rgb="FF676767"/>
      </left>
      <right style="thin">
        <color rgb="FF646464"/>
      </right>
      <top style="thin">
        <color rgb="FF747474"/>
      </top>
      <bottom style="thin">
        <color rgb="FF606060"/>
      </bottom>
      <diagonal/>
    </border>
    <border>
      <left style="thin">
        <color rgb="FF676767"/>
      </left>
      <right style="thin">
        <color rgb="FF646464"/>
      </right>
      <top style="thin">
        <color rgb="FF646464"/>
      </top>
      <bottom style="thin">
        <color rgb="FF707070"/>
      </bottom>
      <diagonal/>
    </border>
    <border>
      <left style="thin">
        <color rgb="FF676767"/>
      </left>
      <right style="thin">
        <color rgb="FF646464"/>
      </right>
      <top style="thin">
        <color rgb="FF707070"/>
      </top>
      <bottom style="thin">
        <color rgb="FF6B6B6B"/>
      </bottom>
      <diagonal/>
    </border>
    <border>
      <left style="thin">
        <color rgb="FF676767"/>
      </left>
      <right style="thin">
        <color rgb="FF646464"/>
      </right>
      <top style="thin">
        <color rgb="FF6B6B6B"/>
      </top>
      <bottom style="thin">
        <color rgb="FF747474"/>
      </bottom>
      <diagonal/>
    </border>
    <border>
      <left style="thin">
        <color rgb="FF676767"/>
      </left>
      <right style="thin">
        <color rgb="FF646464"/>
      </right>
      <top style="thin">
        <color rgb="FF707070"/>
      </top>
      <bottom style="thin">
        <color rgb="FF676767"/>
      </bottom>
      <diagonal/>
    </border>
    <border>
      <left style="thin">
        <color rgb="FF676767"/>
      </left>
      <right style="thin">
        <color rgb="FF646464"/>
      </right>
      <top style="thin">
        <color rgb="FF676767"/>
      </top>
      <bottom style="thin">
        <color rgb="FF6B6B6B"/>
      </bottom>
      <diagonal/>
    </border>
    <border>
      <left style="thin">
        <color rgb="FF676767"/>
      </left>
      <right style="thin">
        <color rgb="FF646464"/>
      </right>
      <top style="thin">
        <color rgb="FF6B6B6B"/>
      </top>
      <bottom style="thin">
        <color rgb="FF5B5B5B"/>
      </bottom>
      <diagonal/>
    </border>
    <border>
      <left style="thin">
        <color rgb="FF606060"/>
      </left>
      <right style="thin">
        <color rgb="FF646464"/>
      </right>
      <top style="thin">
        <color rgb="FF5B5B5B"/>
      </top>
      <bottom style="thin">
        <color rgb="FF676767"/>
      </bottom>
      <diagonal/>
    </border>
    <border>
      <left style="thin">
        <color rgb="FF606060"/>
      </left>
      <right style="thin">
        <color rgb="FF646464"/>
      </right>
      <top style="thin">
        <color rgb="FF575757"/>
      </top>
      <bottom style="thin">
        <color rgb="FF575757"/>
      </bottom>
      <diagonal/>
    </border>
    <border>
      <left style="thin">
        <color rgb="FF606060"/>
      </left>
      <right style="thin">
        <color rgb="FF606060"/>
      </right>
      <top style="thin">
        <color rgb="FF676767"/>
      </top>
      <bottom style="thin">
        <color rgb="FF676767"/>
      </bottom>
      <diagonal/>
    </border>
    <border>
      <left style="thin">
        <color rgb="FF606060"/>
      </left>
      <right style="thin">
        <color rgb="FF606060"/>
      </right>
      <top style="thin">
        <color rgb="FF676767"/>
      </top>
      <bottom style="thin">
        <color rgb="FF6B6B6B"/>
      </bottom>
      <diagonal/>
    </border>
    <border>
      <left style="thin">
        <color rgb="FF606060"/>
      </left>
      <right style="thin">
        <color rgb="FF606060"/>
      </right>
      <top style="thin">
        <color rgb="FF6B6B6B"/>
      </top>
      <bottom style="thin">
        <color rgb="FF676767"/>
      </bottom>
      <diagonal/>
    </border>
    <border>
      <left style="thin">
        <color rgb="FF606060"/>
      </left>
      <right style="thin">
        <color rgb="FF606060"/>
      </right>
      <top style="thin">
        <color rgb="FF646464"/>
      </top>
      <bottom style="thin">
        <color rgb="FF707070"/>
      </bottom>
      <diagonal/>
    </border>
    <border>
      <left style="thin">
        <color rgb="FF606060"/>
      </left>
      <right style="thin">
        <color rgb="FF606060"/>
      </right>
      <top style="thin">
        <color rgb="FF707070"/>
      </top>
      <bottom style="thin">
        <color rgb="FF6B6B6B"/>
      </bottom>
      <diagonal/>
    </border>
    <border>
      <left style="thin">
        <color rgb="FF606060"/>
      </left>
      <right style="thin">
        <color rgb="FF606060"/>
      </right>
      <top style="thin">
        <color rgb="FF6B6B6B"/>
      </top>
      <bottom style="thin">
        <color rgb="FF6B6B6B"/>
      </bottom>
      <diagonal/>
    </border>
    <border>
      <left style="thin">
        <color rgb="FF606060"/>
      </left>
      <right style="thin">
        <color rgb="FF676767"/>
      </right>
      <top style="thin">
        <color rgb="FF6B6B6B"/>
      </top>
      <bottom style="thin">
        <color rgb="FF6B6B6B"/>
      </bottom>
      <diagonal/>
    </border>
    <border>
      <left style="thin">
        <color rgb="FF6B6B6B"/>
      </left>
      <right style="thin">
        <color rgb="FF606060"/>
      </right>
      <top style="thin">
        <color rgb="FF6B6B6B"/>
      </top>
      <bottom style="thin">
        <color rgb="FF6B6B6B"/>
      </bottom>
      <diagonal/>
    </border>
    <border>
      <left style="thin">
        <color rgb="FF6B6B6B"/>
      </left>
      <right style="thin">
        <color rgb="FF606060"/>
      </right>
      <top style="thin">
        <color rgb="FF6B6B6B"/>
      </top>
      <bottom style="thin">
        <color rgb="FF747474"/>
      </bottom>
      <diagonal/>
    </border>
    <border>
      <left style="thin">
        <color rgb="FF6B6B6B"/>
      </left>
      <right style="thin">
        <color rgb="FF606060"/>
      </right>
      <top style="thin">
        <color rgb="FF747474"/>
      </top>
      <bottom style="thin">
        <color rgb="FF747474"/>
      </bottom>
      <diagonal/>
    </border>
    <border>
      <left style="thin">
        <color rgb="FF6B6B6B"/>
      </left>
      <right style="thin">
        <color rgb="FF606060"/>
      </right>
      <top style="thin">
        <color rgb="FF747474"/>
      </top>
      <bottom style="thin">
        <color rgb="FF706B70"/>
      </bottom>
      <diagonal/>
    </border>
    <border>
      <left style="thin">
        <color rgb="FF6B6B6B"/>
      </left>
      <right style="thin">
        <color rgb="FF606060"/>
      </right>
      <top style="thin">
        <color rgb="FF706B70"/>
      </top>
      <bottom style="thin">
        <color rgb="FF747474"/>
      </bottom>
      <diagonal/>
    </border>
    <border>
      <left style="thin">
        <color rgb="FF6B6B6B"/>
      </left>
      <right style="thin">
        <color rgb="FF606060"/>
      </right>
      <top style="thin">
        <color rgb="FF747474"/>
      </top>
      <bottom style="thin">
        <color rgb="FF646464"/>
      </bottom>
      <diagonal/>
    </border>
    <border>
      <left style="thin">
        <color rgb="FF606060"/>
      </left>
      <right style="thin">
        <color rgb="FF6B6B6B"/>
      </right>
      <top/>
      <bottom style="thin">
        <color rgb="FF676767"/>
      </bottom>
      <diagonal/>
    </border>
    <border>
      <left style="thin">
        <color rgb="FF606060"/>
      </left>
      <right style="thin">
        <color rgb="FF6B6B6B"/>
      </right>
      <top style="thin">
        <color rgb="FF6B6B6B"/>
      </top>
      <bottom style="thin">
        <color rgb="FF707070"/>
      </bottom>
      <diagonal/>
    </border>
    <border>
      <left style="thin">
        <color rgb="FF606060"/>
      </left>
      <right style="thin">
        <color rgb="FF6B6B6B"/>
      </right>
      <top style="thin">
        <color rgb="FF707070"/>
      </top>
      <bottom style="thin">
        <color rgb="FF6B6B6B"/>
      </bottom>
      <diagonal/>
    </border>
    <border>
      <left style="thin">
        <color rgb="FF747474"/>
      </left>
      <right style="thin">
        <color rgb="FF676767"/>
      </right>
      <top style="thin">
        <color rgb="FF6B6B6B"/>
      </top>
      <bottom style="thin">
        <color rgb="FF676767"/>
      </bottom>
      <diagonal/>
    </border>
    <border>
      <left style="thin">
        <color rgb="FF676767"/>
      </left>
      <right style="thin">
        <color rgb="FF676767"/>
      </right>
      <top style="thin">
        <color rgb="FF676767"/>
      </top>
      <bottom style="thin">
        <color rgb="FF6B6B6B"/>
      </bottom>
      <diagonal/>
    </border>
    <border>
      <left style="thin">
        <color rgb="FF676767"/>
      </left>
      <right style="thin">
        <color rgb="FF676767"/>
      </right>
      <top style="thin">
        <color rgb="FF545454"/>
      </top>
      <bottom style="thin">
        <color rgb="FF676767"/>
      </bottom>
      <diagonal/>
    </border>
    <border>
      <left style="thin">
        <color rgb="FF676767"/>
      </left>
      <right style="thin">
        <color rgb="FF676767"/>
      </right>
      <top style="thin">
        <color rgb="FF6B6B6B"/>
      </top>
      <bottom style="thin">
        <color rgb="FF676767"/>
      </bottom>
      <diagonal/>
    </border>
    <border>
      <left style="thin">
        <color rgb="FF676767"/>
      </left>
      <right style="thin">
        <color rgb="FF676767"/>
      </right>
      <top style="thin">
        <color rgb="FF676767"/>
      </top>
      <bottom style="thin">
        <color rgb="FF676767"/>
      </bottom>
      <diagonal/>
    </border>
    <border>
      <left style="thin">
        <color rgb="FF676767"/>
      </left>
      <right style="thin">
        <color rgb="FF646464"/>
      </right>
      <top style="thin">
        <color rgb="FF6B6B6B"/>
      </top>
      <bottom style="thin">
        <color rgb="FF707074"/>
      </bottom>
      <diagonal/>
    </border>
    <border>
      <left style="thin">
        <color rgb="FF646464"/>
      </left>
      <right style="thin">
        <color rgb="FF676767"/>
      </right>
      <top style="thin">
        <color rgb="FF6B6B6B"/>
      </top>
      <bottom style="thin">
        <color rgb="FF707074"/>
      </bottom>
      <diagonal/>
    </border>
    <border>
      <left style="thin">
        <color rgb="FF676767"/>
      </left>
      <right style="thin">
        <color rgb="FF646464"/>
      </right>
      <top style="thin">
        <color rgb="FF707074"/>
      </top>
      <bottom style="thin">
        <color rgb="FF6B6B6B"/>
      </bottom>
      <diagonal/>
    </border>
    <border>
      <left style="thin">
        <color rgb="FF646464"/>
      </left>
      <right style="thin">
        <color rgb="FF676767"/>
      </right>
      <top style="thin">
        <color rgb="FF707074"/>
      </top>
      <bottom style="thin">
        <color rgb="FF6B6B6B"/>
      </bottom>
      <diagonal/>
    </border>
    <border>
      <left style="thin">
        <color rgb="FF676767"/>
      </left>
      <right style="thin">
        <color rgb="FF646464"/>
      </right>
      <top style="thin">
        <color rgb="FF6B6B6B"/>
      </top>
      <bottom style="thin">
        <color rgb="FF707070"/>
      </bottom>
      <diagonal/>
    </border>
    <border>
      <left style="thin">
        <color rgb="FF646464"/>
      </left>
      <right style="thin">
        <color rgb="FF676767"/>
      </right>
      <top style="thin">
        <color rgb="FF707070"/>
      </top>
      <bottom style="thin">
        <color rgb="FF676767"/>
      </bottom>
      <diagonal/>
    </border>
    <border>
      <left style="thin">
        <color rgb="FF676767"/>
      </left>
      <right style="thin">
        <color rgb="FF646464"/>
      </right>
      <top style="thin">
        <color rgb="FF676767"/>
      </top>
      <bottom style="thin">
        <color rgb="FF575757"/>
      </bottom>
      <diagonal/>
    </border>
    <border>
      <left style="thin">
        <color rgb="FF676767"/>
      </left>
      <right style="thin">
        <color rgb="FF646464"/>
      </right>
      <top style="thin">
        <color rgb="FF575757"/>
      </top>
      <bottom style="thin">
        <color rgb="FF646464"/>
      </bottom>
      <diagonal/>
    </border>
    <border>
      <left style="thin">
        <color rgb="FF676767"/>
      </left>
      <right style="thin">
        <color rgb="FF646464"/>
      </right>
      <top style="thin">
        <color rgb="FF646464"/>
      </top>
      <bottom style="thin">
        <color rgb="FF575757"/>
      </bottom>
      <diagonal/>
    </border>
    <border>
      <left style="thin">
        <color rgb="FF676767"/>
      </left>
      <right style="thin">
        <color rgb="FF646464"/>
      </right>
      <top style="thin">
        <color rgb="FF575757"/>
      </top>
      <bottom style="thin">
        <color rgb="FF575757"/>
      </bottom>
      <diagonal/>
    </border>
    <border>
      <left style="thin">
        <color rgb="FF676767"/>
      </left>
      <right style="thin">
        <color rgb="FF646464"/>
      </right>
      <top style="thin">
        <color rgb="FF575757"/>
      </top>
      <bottom style="thin">
        <color rgb="FF676767"/>
      </bottom>
      <diagonal/>
    </border>
    <border>
      <left style="thin">
        <color rgb="FF646464"/>
      </left>
      <right style="thin">
        <color rgb="FF6B6B6B"/>
      </right>
      <top style="thin">
        <color rgb="FF676767"/>
      </top>
      <bottom style="thin">
        <color rgb="FF6B6B6B"/>
      </bottom>
      <diagonal/>
    </border>
    <border>
      <left style="thin">
        <color rgb="FF6B6B6B"/>
      </left>
      <right style="thin">
        <color rgb="FF646464"/>
      </right>
      <top style="thin">
        <color rgb="FF676767"/>
      </top>
      <bottom style="thin">
        <color rgb="FF6B6B6B"/>
      </bottom>
      <diagonal/>
    </border>
    <border>
      <left style="thin">
        <color rgb="FF646464"/>
      </left>
      <right style="thin">
        <color rgb="FF6B6B6B"/>
      </right>
      <top style="thin">
        <color rgb="FF6B6B6B"/>
      </top>
      <bottom style="thin">
        <color rgb="FF6B6B6B"/>
      </bottom>
      <diagonal/>
    </border>
    <border>
      <left style="thin">
        <color rgb="FF6B6B6B"/>
      </left>
      <right style="thin">
        <color rgb="FF646464"/>
      </right>
      <top style="thin">
        <color rgb="FF6B6B6B"/>
      </top>
      <bottom style="thin">
        <color rgb="FF6B6B6B"/>
      </bottom>
      <diagonal/>
    </border>
    <border>
      <left style="thin">
        <color rgb="FF646464"/>
      </left>
      <right style="thin">
        <color rgb="FF6B6B6B"/>
      </right>
      <top style="thin">
        <color rgb="FF6B6B6B"/>
      </top>
      <bottom style="thin">
        <color rgb="FF707070"/>
      </bottom>
      <diagonal/>
    </border>
    <border>
      <left style="thin">
        <color rgb="FF646464"/>
      </left>
      <right style="thin">
        <color rgb="FF6B6B6B"/>
      </right>
      <top style="thin">
        <color rgb="FF707070"/>
      </top>
      <bottom style="thin">
        <color rgb="FF6B6B6B"/>
      </bottom>
      <diagonal/>
    </border>
    <border>
      <left style="thin">
        <color rgb="FF6B6B6B"/>
      </left>
      <right style="thin">
        <color rgb="FF646464"/>
      </right>
      <top style="thin">
        <color rgb="FF707070"/>
      </top>
      <bottom style="thin">
        <color rgb="FF6B6B6B"/>
      </bottom>
      <diagonal/>
    </border>
    <border>
      <left/>
      <right style="thin">
        <color rgb="FF646464"/>
      </right>
      <top style="thin">
        <color rgb="FF676767"/>
      </top>
      <bottom style="thin">
        <color rgb="FF6B6B6B"/>
      </bottom>
      <diagonal/>
    </border>
    <border>
      <left style="thin">
        <color rgb="FF444444"/>
      </left>
      <right style="thin">
        <color rgb="FF646464"/>
      </right>
      <top style="thin">
        <color rgb="FF6B6B6B"/>
      </top>
      <bottom style="thin">
        <color rgb="FF676767"/>
      </bottom>
      <diagonal/>
    </border>
    <border>
      <left style="thin">
        <color rgb="FF5B5B5B"/>
      </left>
      <right style="thin">
        <color rgb="FF575757"/>
      </right>
      <top style="thin">
        <color rgb="FF676767"/>
      </top>
      <bottom style="thin">
        <color rgb="FF676767"/>
      </bottom>
      <diagonal/>
    </border>
    <border>
      <left style="thin">
        <color rgb="FF5B5B5B"/>
      </left>
      <right style="thin">
        <color rgb="FF575757"/>
      </right>
      <top style="thin">
        <color rgb="FF676767"/>
      </top>
      <bottom style="thin">
        <color rgb="FF6B6B6B"/>
      </bottom>
      <diagonal/>
    </border>
    <border>
      <left style="thin">
        <color rgb="FF5B5B5B"/>
      </left>
      <right style="thin">
        <color rgb="FF575757"/>
      </right>
      <top style="thin">
        <color rgb="FF6B6B6B"/>
      </top>
      <bottom style="thin">
        <color rgb="FF676767"/>
      </bottom>
      <diagonal/>
    </border>
    <border>
      <left style="thin">
        <color rgb="FF646464"/>
      </left>
      <right style="thin">
        <color rgb="FF707070"/>
      </right>
      <top style="thin">
        <color rgb="FF676767"/>
      </top>
      <bottom style="thin">
        <color rgb="FF676767"/>
      </bottom>
      <diagonal/>
    </border>
    <border>
      <left style="thin">
        <color rgb="FF646464"/>
      </left>
      <right style="thin">
        <color rgb="FF606060"/>
      </right>
      <top style="thin">
        <color rgb="FF676767"/>
      </top>
      <bottom style="thin">
        <color rgb="FF6B6B6B"/>
      </bottom>
      <diagonal/>
    </border>
    <border>
      <left style="thin">
        <color rgb="FF646464"/>
      </left>
      <right style="thin">
        <color rgb="FF606060"/>
      </right>
      <top style="thin">
        <color rgb="FF6B6B6B"/>
      </top>
      <bottom style="thin">
        <color rgb="FF6B6B6B"/>
      </bottom>
      <diagonal/>
    </border>
    <border>
      <left style="thin">
        <color rgb="FF646464"/>
      </left>
      <right style="thin">
        <color rgb="FF606060"/>
      </right>
      <top style="thin">
        <color rgb="FF6B6B6B"/>
      </top>
      <bottom style="thin">
        <color rgb="FF676767"/>
      </bottom>
      <diagonal/>
    </border>
    <border>
      <left style="thin">
        <color rgb="FF646464"/>
      </left>
      <right style="thin">
        <color rgb="FF606060"/>
      </right>
      <top style="thin">
        <color rgb="FF676767"/>
      </top>
      <bottom style="thin">
        <color rgb="FF676767"/>
      </bottom>
      <diagonal/>
    </border>
    <border>
      <left style="thin">
        <color rgb="FF646464"/>
      </left>
      <right style="thin">
        <color rgb="FF606060"/>
      </right>
      <top style="thin">
        <color rgb="FF6B6B6B"/>
      </top>
      <bottom style="thin">
        <color rgb="FF707070"/>
      </bottom>
      <diagonal/>
    </border>
    <border>
      <left style="thin">
        <color rgb="FF646464"/>
      </left>
      <right style="thin">
        <color rgb="FF606060"/>
      </right>
      <top style="thin">
        <color rgb="FF707070"/>
      </top>
      <bottom style="thin">
        <color rgb="FF6B6B6B"/>
      </bottom>
      <diagonal/>
    </border>
    <border>
      <left style="thin">
        <color rgb="FF646464"/>
      </left>
      <right style="thin">
        <color rgb="FF606060"/>
      </right>
      <top style="thin">
        <color rgb="FF707070"/>
      </top>
      <bottom style="thin">
        <color rgb="FF707070"/>
      </bottom>
      <diagonal/>
    </border>
    <border>
      <left style="thin">
        <color rgb="FF676767"/>
      </left>
      <right style="thin">
        <color rgb="FF545454"/>
      </right>
      <top style="thin">
        <color rgb="FF606060"/>
      </top>
      <bottom style="thin">
        <color rgb="FF5B5B5B"/>
      </bottom>
      <diagonal/>
    </border>
    <border>
      <left style="thin">
        <color rgb="FF545454"/>
      </left>
      <right style="thin">
        <color rgb="FF545454"/>
      </right>
      <top style="thin">
        <color rgb="FF5B5B5B"/>
      </top>
      <bottom style="thin">
        <color rgb="FF5B5B5B"/>
      </bottom>
      <diagonal/>
    </border>
    <border>
      <left style="thin">
        <color rgb="FF575757"/>
      </left>
      <right style="thin">
        <color rgb="FF575757"/>
      </right>
      <top style="thin">
        <color rgb="FF5B5B5B"/>
      </top>
      <bottom style="thin">
        <color rgb="FF606060"/>
      </bottom>
      <diagonal/>
    </border>
    <border>
      <left style="thin">
        <color rgb="FF575757"/>
      </left>
      <right style="thin">
        <color rgb="FF575757"/>
      </right>
      <top style="thin">
        <color rgb="FF606060"/>
      </top>
      <bottom style="thin">
        <color rgb="FF646464"/>
      </bottom>
      <diagonal/>
    </border>
    <border>
      <left style="thin">
        <color rgb="FF575757"/>
      </left>
      <right style="thin">
        <color rgb="FF575757"/>
      </right>
      <top style="thin">
        <color rgb="FF646464"/>
      </top>
      <bottom style="thin">
        <color rgb="FF646464"/>
      </bottom>
      <diagonal/>
    </border>
    <border>
      <left style="thin">
        <color rgb="FF575757"/>
      </left>
      <right style="thin">
        <color rgb="FF484848"/>
      </right>
      <top style="thin">
        <color rgb="FF5B5B5B"/>
      </top>
      <bottom style="thin">
        <color rgb="FF606060"/>
      </bottom>
      <diagonal/>
    </border>
    <border>
      <left style="thin">
        <color rgb="FF646464"/>
      </left>
      <right style="thin">
        <color rgb="FF606060"/>
      </right>
      <top style="thin">
        <color rgb="FF676767"/>
      </top>
      <bottom style="thin">
        <color rgb="FF646464"/>
      </bottom>
      <diagonal/>
    </border>
    <border>
      <left style="thin">
        <color rgb="FF646464"/>
      </left>
      <right style="thin">
        <color rgb="FF4B4B4B"/>
      </right>
      <top style="thin">
        <color rgb="FF646464"/>
      </top>
      <bottom style="thin">
        <color rgb="FF676767"/>
      </bottom>
      <diagonal/>
    </border>
    <border>
      <left style="thin">
        <color rgb="FF646464"/>
      </left>
      <right style="thin">
        <color rgb="FF606060"/>
      </right>
      <top style="thin">
        <color rgb="FF6B6B6B"/>
      </top>
      <bottom style="thin">
        <color rgb="FF646464"/>
      </bottom>
      <diagonal/>
    </border>
    <border>
      <left style="thin">
        <color rgb="FF646464"/>
      </left>
      <right style="thin">
        <color rgb="FF606060"/>
      </right>
      <top style="thin">
        <color rgb="FF646464"/>
      </top>
      <bottom style="thin">
        <color rgb="FF676767"/>
      </bottom>
      <diagonal/>
    </border>
    <border>
      <left style="thin">
        <color rgb="FF646464"/>
      </left>
      <right style="thin">
        <color rgb="FF606060"/>
      </right>
      <top style="thin">
        <color rgb="FF646464"/>
      </top>
      <bottom style="thin">
        <color rgb="FF6B6B6B"/>
      </bottom>
      <diagonal/>
    </border>
    <border>
      <left style="thin">
        <color rgb="FF646464"/>
      </left>
      <right style="thin">
        <color rgb="FF606060"/>
      </right>
      <top style="thin">
        <color rgb="FF676767"/>
      </top>
      <bottom style="thin">
        <color rgb="FF575757"/>
      </bottom>
      <diagonal/>
    </border>
    <border>
      <left style="thin">
        <color rgb="FF646464"/>
      </left>
      <right style="thin">
        <color rgb="FF606060"/>
      </right>
      <top style="thin">
        <color rgb="FF575757"/>
      </top>
      <bottom style="thin">
        <color rgb="FF676767"/>
      </bottom>
      <diagonal/>
    </border>
    <border>
      <left style="thin">
        <color rgb="FF646464"/>
      </left>
      <right style="thin">
        <color rgb="FF606060"/>
      </right>
      <top style="thin">
        <color rgb="FF676767"/>
      </top>
      <bottom style="thin">
        <color rgb="FF707070"/>
      </bottom>
      <diagonal/>
    </border>
    <border>
      <left style="thin">
        <color rgb="FF646464"/>
      </left>
      <right style="thin">
        <color rgb="FF606060"/>
      </right>
      <top style="thin">
        <color rgb="FF707070"/>
      </top>
      <bottom style="thin">
        <color rgb="FF676767"/>
      </bottom>
      <diagonal/>
    </border>
    <border>
      <left style="thin">
        <color rgb="FF646464"/>
      </left>
      <right style="thin">
        <color rgb="FF606060"/>
      </right>
      <top style="thin">
        <color rgb="FF676767"/>
      </top>
      <bottom style="thin">
        <color rgb="FF5B5B5B"/>
      </bottom>
      <diagonal/>
    </border>
    <border>
      <left style="thin">
        <color rgb="FF646464"/>
      </left>
      <right style="thin">
        <color rgb="FF606060"/>
      </right>
      <top style="thin">
        <color rgb="FF5B5B5B"/>
      </top>
      <bottom style="thin">
        <color rgb="FF6B6B6B"/>
      </bottom>
      <diagonal/>
    </border>
    <border>
      <left style="thin">
        <color rgb="FF646464"/>
      </left>
      <right style="thin">
        <color rgb="FF606060"/>
      </right>
      <top style="thin">
        <color rgb="FF676767"/>
      </top>
      <bottom style="thin">
        <color rgb="FF6B6B70"/>
      </bottom>
      <diagonal/>
    </border>
    <border>
      <left style="thin">
        <color rgb="FF646464"/>
      </left>
      <right style="thin">
        <color rgb="FF606060"/>
      </right>
      <top style="thin">
        <color rgb="FF6B6B70"/>
      </top>
      <bottom style="thin">
        <color rgb="FF646464"/>
      </bottom>
      <diagonal/>
    </border>
    <border>
      <left style="thin">
        <color rgb="FF646464"/>
      </left>
      <right style="thin">
        <color rgb="FF606060"/>
      </right>
      <top style="thin">
        <color rgb="FF6B6B6B"/>
      </top>
      <bottom style="thin">
        <color rgb="FF606060"/>
      </bottom>
      <diagonal/>
    </border>
    <border>
      <left style="thin">
        <color rgb="FF646464"/>
      </left>
      <right style="thin">
        <color rgb="FF606060"/>
      </right>
      <top style="thin">
        <color rgb="FF606060"/>
      </top>
      <bottom style="thin">
        <color rgb="FF606060"/>
      </bottom>
      <diagonal/>
    </border>
    <border>
      <left style="thin">
        <color rgb="FF646464"/>
      </left>
      <right style="thin">
        <color rgb="FF606060"/>
      </right>
      <top style="thin">
        <color rgb="FF606060"/>
      </top>
      <bottom style="thin">
        <color rgb="FF676767"/>
      </bottom>
      <diagonal/>
    </border>
    <border>
      <left style="thin">
        <color rgb="FF646464"/>
      </left>
      <right style="thin">
        <color rgb="FF606060"/>
      </right>
      <top style="thin">
        <color rgb="FF646464"/>
      </top>
      <bottom style="thin">
        <color rgb="FF606060"/>
      </bottom>
      <diagonal/>
    </border>
    <border>
      <left style="thin">
        <color rgb="FF646464"/>
      </left>
      <right style="thin">
        <color rgb="FF606060"/>
      </right>
      <top style="thin">
        <color rgb="FF606060"/>
      </top>
      <bottom style="thin">
        <color rgb="FF646464"/>
      </bottom>
      <diagonal/>
    </border>
    <border>
      <left style="thin">
        <color rgb="FF646464"/>
      </left>
      <right style="thin">
        <color rgb="FF606060"/>
      </right>
      <top style="thin">
        <color rgb="FF646464"/>
      </top>
      <bottom style="thin">
        <color rgb="FF646464"/>
      </bottom>
      <diagonal/>
    </border>
    <border>
      <left style="thin">
        <color rgb="FF646464"/>
      </left>
      <right style="thin">
        <color rgb="FF606060"/>
      </right>
      <top style="thin">
        <color rgb="FF707070"/>
      </top>
      <bottom style="thin">
        <color rgb="FF747474"/>
      </bottom>
      <diagonal/>
    </border>
    <border>
      <left style="thin">
        <color rgb="FF646464"/>
      </left>
      <right style="thin">
        <color rgb="FF606060"/>
      </right>
      <top style="thin">
        <color rgb="FF747474"/>
      </top>
      <bottom style="thin">
        <color rgb="FF6B6B6B"/>
      </bottom>
      <diagonal/>
    </border>
    <border>
      <left style="thin">
        <color rgb="FF777777"/>
      </left>
      <right style="thin">
        <color rgb="FF606060"/>
      </right>
      <top style="thin">
        <color rgb="FF6B6B6B"/>
      </top>
      <bottom style="thin">
        <color rgb="FF707070"/>
      </bottom>
      <diagonal/>
    </border>
    <border>
      <left style="thin">
        <color rgb="FF747474"/>
      </left>
      <right style="thin">
        <color rgb="FF606060"/>
      </right>
      <top style="thin">
        <color rgb="FF676767"/>
      </top>
      <bottom style="thin">
        <color rgb="FF676767"/>
      </bottom>
      <diagonal/>
    </border>
    <border>
      <left style="thin">
        <color rgb="FF646464"/>
      </left>
      <right style="thin">
        <color rgb="FF575757"/>
      </right>
      <top style="thin">
        <color rgb="FF646464"/>
      </top>
      <bottom style="thin">
        <color rgb="FF6B6B6B"/>
      </bottom>
      <diagonal/>
    </border>
    <border>
      <left style="thin">
        <color rgb="FF606060"/>
      </left>
      <right style="thin">
        <color rgb="FF646464"/>
      </right>
      <top style="thin">
        <color rgb="FF606060"/>
      </top>
      <bottom style="thin">
        <color rgb="FF6B6B70"/>
      </bottom>
      <diagonal/>
    </border>
    <border>
      <left style="thin">
        <color rgb="FF606060"/>
      </left>
      <right style="thin">
        <color rgb="FF646464"/>
      </right>
      <top style="thin">
        <color rgb="FF6B6B70"/>
      </top>
      <bottom style="thin">
        <color rgb="FF6B6B6B"/>
      </bottom>
      <diagonal/>
    </border>
    <border>
      <left style="thin">
        <color rgb="FF606060"/>
      </left>
      <right style="thin">
        <color rgb="FF606064"/>
      </right>
      <top style="thin">
        <color rgb="FF6B6B6B"/>
      </top>
      <bottom style="thin">
        <color rgb="FF5B5B5B"/>
      </bottom>
      <diagonal/>
    </border>
    <border>
      <left style="thin">
        <color rgb="FF606060"/>
      </left>
      <right style="thin">
        <color rgb="FF606064"/>
      </right>
      <top style="thin">
        <color rgb="FF5B5B5B"/>
      </top>
      <bottom style="thin">
        <color rgb="FF606060"/>
      </bottom>
      <diagonal/>
    </border>
    <border>
      <left style="thin">
        <color rgb="FF606060"/>
      </left>
      <right style="thin">
        <color rgb="FF606064"/>
      </right>
      <top style="thin">
        <color rgb="FF606060"/>
      </top>
      <bottom style="thin">
        <color rgb="FF646464"/>
      </bottom>
      <diagonal/>
    </border>
    <border>
      <left style="thin">
        <color rgb="FF646464"/>
      </left>
      <right style="thin">
        <color rgb="FF606064"/>
      </right>
      <top style="thin">
        <color rgb="FF646464"/>
      </top>
      <bottom style="thin">
        <color rgb="FF747474"/>
      </bottom>
      <diagonal/>
    </border>
    <border>
      <left style="thin">
        <color rgb="FF646464"/>
      </left>
      <right style="thin">
        <color rgb="FF606064"/>
      </right>
      <top style="thin">
        <color rgb="FF747474"/>
      </top>
      <bottom style="thin">
        <color rgb="FF707070"/>
      </bottom>
      <diagonal/>
    </border>
    <border>
      <left style="thin">
        <color rgb="FF646464"/>
      </left>
      <right style="thin">
        <color rgb="FF606064"/>
      </right>
      <top style="thin">
        <color rgb="FF707070"/>
      </top>
      <bottom style="thin">
        <color rgb="FF707074"/>
      </bottom>
      <diagonal/>
    </border>
    <border>
      <left style="thin">
        <color rgb="FF646464"/>
      </left>
      <right style="thin">
        <color rgb="FF606064"/>
      </right>
      <top style="thin">
        <color rgb="FF707074"/>
      </top>
      <bottom style="thin">
        <color rgb="FF747474"/>
      </bottom>
      <diagonal/>
    </border>
    <border>
      <left style="thin">
        <color rgb="FF646464"/>
      </left>
      <right style="thin">
        <color rgb="FF606064"/>
      </right>
      <top style="thin">
        <color rgb="FF747474"/>
      </top>
      <bottom style="thin">
        <color rgb="FF747474"/>
      </bottom>
      <diagonal/>
    </border>
    <border>
      <left style="thin">
        <color rgb="FF646464"/>
      </left>
      <right style="thin">
        <color rgb="FF606064"/>
      </right>
      <top style="thin">
        <color rgb="FF747474"/>
      </top>
      <bottom style="thin">
        <color rgb="FF606060"/>
      </bottom>
      <diagonal/>
    </border>
    <border>
      <left style="thin">
        <color rgb="FF646464"/>
      </left>
      <right style="thin">
        <color rgb="FF606060"/>
      </right>
      <top style="thin">
        <color rgb="FF646464"/>
      </top>
      <bottom style="thin">
        <color rgb="FF707070"/>
      </bottom>
      <diagonal/>
    </border>
    <border>
      <left style="thin">
        <color rgb="FF646464"/>
      </left>
      <right style="thin">
        <color rgb="FF606060"/>
      </right>
      <top style="thin">
        <color rgb="FF606060"/>
      </top>
      <bottom style="thin">
        <color rgb="FF707070"/>
      </bottom>
      <diagonal/>
    </border>
    <border>
      <left style="thin">
        <color rgb="FF5B5B5B"/>
      </left>
      <right style="thin">
        <color rgb="FF646464"/>
      </right>
      <top style="thin">
        <color rgb="FF676767"/>
      </top>
      <bottom style="thin">
        <color rgb="FF676767"/>
      </bottom>
      <diagonal/>
    </border>
    <border>
      <left style="thin">
        <color rgb="FF646464"/>
      </left>
      <right style="thin">
        <color rgb="FF646464"/>
      </right>
      <top style="thin">
        <color rgb="FF6B6B6B"/>
      </top>
      <bottom style="thin">
        <color rgb="FF646464"/>
      </bottom>
      <diagonal/>
    </border>
    <border>
      <left style="thin">
        <color rgb="FF646464"/>
      </left>
      <right/>
      <top style="thin">
        <color rgb="FF6B6B6B"/>
      </top>
      <bottom style="thin">
        <color rgb="FF676767"/>
      </bottom>
      <diagonal/>
    </border>
    <border>
      <left/>
      <right style="thin">
        <color rgb="FF444444"/>
      </right>
      <top style="thin">
        <color rgb="FF6B6B6B"/>
      </top>
      <bottom style="thin">
        <color rgb="FF676767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747474"/>
      </left>
      <right style="thin">
        <color rgb="FF606060"/>
      </right>
      <top style="thin">
        <color rgb="FF676767"/>
      </top>
      <bottom style="thin">
        <color rgb="FF6B6B6B"/>
      </bottom>
      <diagonal/>
    </border>
    <border>
      <left style="thin">
        <color rgb="FF747474"/>
      </left>
      <right style="thin">
        <color rgb="FF646464"/>
      </right>
      <top style="thin">
        <color rgb="FF6B6B6B"/>
      </top>
      <bottom style="thin">
        <color rgb="FF676767"/>
      </bottom>
      <diagonal/>
    </border>
    <border>
      <left style="thin">
        <color rgb="FF747474"/>
      </left>
      <right style="thin">
        <color rgb="FF646464"/>
      </right>
      <top style="thin">
        <color rgb="FF676767"/>
      </top>
      <bottom style="thin">
        <color rgb="FF6B6B6B"/>
      </bottom>
      <diagonal/>
    </border>
    <border>
      <left style="thin">
        <color rgb="FF000000"/>
      </left>
      <right style="thin">
        <color rgb="FF606060"/>
      </right>
      <top/>
      <bottom style="thin">
        <color rgb="FF545454"/>
      </bottom>
      <diagonal/>
    </border>
    <border>
      <left style="thin">
        <color rgb="FF000000"/>
      </left>
      <right style="thin">
        <color rgb="FF606060"/>
      </right>
      <top style="thin">
        <color rgb="FF545454"/>
      </top>
      <bottom style="thin">
        <color rgb="FF6B6B6B"/>
      </bottom>
      <diagonal/>
    </border>
    <border>
      <left style="thin">
        <color rgb="FF000000"/>
      </left>
      <right style="thin">
        <color rgb="FF606060"/>
      </right>
      <top style="thin">
        <color rgb="FF6B6B6B"/>
      </top>
      <bottom style="thin">
        <color rgb="FF707070"/>
      </bottom>
      <diagonal/>
    </border>
    <border>
      <left style="thin">
        <color rgb="FF676767"/>
      </left>
      <right style="thin">
        <color rgb="FF606060"/>
      </right>
      <top style="thin">
        <color rgb="FF707070"/>
      </top>
      <bottom style="thin">
        <color rgb="FF606060"/>
      </bottom>
      <diagonal/>
    </border>
    <border>
      <left style="thin">
        <color rgb="FF676767"/>
      </left>
      <right style="thin">
        <color rgb="FF606060"/>
      </right>
      <top style="thin">
        <color rgb="FF606060"/>
      </top>
      <bottom style="thin">
        <color rgb="FF6B6B6B"/>
      </bottom>
      <diagonal/>
    </border>
    <border>
      <left style="thin">
        <color rgb="FF676767"/>
      </left>
      <right style="thin">
        <color rgb="FF606060"/>
      </right>
      <top style="thin">
        <color rgb="FF6B6B6B"/>
      </top>
      <bottom style="thin">
        <color rgb="FF4F4F4F"/>
      </bottom>
      <diagonal/>
    </border>
    <border>
      <left style="thin">
        <color rgb="FF676767"/>
      </left>
      <right style="thin">
        <color rgb="FF606060"/>
      </right>
      <top style="thin">
        <color rgb="FF4F4F4F"/>
      </top>
      <bottom style="thin">
        <color rgb="FF646464"/>
      </bottom>
      <diagonal/>
    </border>
    <border>
      <left style="thin">
        <color rgb="FF676767"/>
      </left>
      <right style="thin">
        <color rgb="FF606060"/>
      </right>
      <top style="thin">
        <color rgb="FF646464"/>
      </top>
      <bottom style="thin">
        <color rgb="FF6B6B6B"/>
      </bottom>
      <diagonal/>
    </border>
    <border>
      <left style="thin">
        <color rgb="FF676767"/>
      </left>
      <right style="thin">
        <color rgb="FF747474"/>
      </right>
      <top style="thin">
        <color rgb="FF6B6B6B"/>
      </top>
      <bottom style="thin">
        <color rgb="FF676767"/>
      </bottom>
      <diagonal/>
    </border>
    <border>
      <left style="thin">
        <color rgb="FF676767"/>
      </left>
      <right style="thin">
        <color rgb="FF676767"/>
      </right>
      <top style="thin">
        <color rgb="FF676767"/>
      </top>
      <bottom style="thin">
        <color rgb="FF545454"/>
      </bottom>
      <diagonal/>
    </border>
    <border>
      <left style="thin">
        <color rgb="FF676767"/>
      </left>
      <right style="thin">
        <color rgb="FF676767"/>
      </right>
      <top style="thin">
        <color rgb="FF6B6B6B"/>
      </top>
      <bottom style="thin">
        <color rgb="FF6B6B6B"/>
      </bottom>
      <diagonal/>
    </border>
    <border>
      <left style="thin">
        <color rgb="FF676767"/>
      </left>
      <right style="thin">
        <color rgb="FF676767"/>
      </right>
      <top style="thin">
        <color rgb="FF6B6B6B"/>
      </top>
      <bottom style="thin">
        <color rgb="FF707070"/>
      </bottom>
      <diagonal/>
    </border>
    <border>
      <left style="thin">
        <color rgb="FF676767"/>
      </left>
      <right style="thin">
        <color rgb="FF676767"/>
      </right>
      <top style="thin">
        <color rgb="FF707070"/>
      </top>
      <bottom style="thin">
        <color rgb="FF6B6B6B"/>
      </bottom>
      <diagonal/>
    </border>
    <border>
      <left style="thin">
        <color rgb="FF646464"/>
      </left>
      <right style="thin">
        <color rgb="FF575757"/>
      </right>
      <top style="thin">
        <color rgb="FF6B6B6B"/>
      </top>
      <bottom style="thin">
        <color rgb="FF6B6B6B"/>
      </bottom>
      <diagonal/>
    </border>
    <border>
      <left style="thin">
        <color rgb="FF646464"/>
      </left>
      <right style="thin">
        <color rgb="FF575757"/>
      </right>
      <top style="thin">
        <color rgb="FF6B6B6B"/>
      </top>
      <bottom style="thin">
        <color rgb="FF606060"/>
      </bottom>
      <diagonal/>
    </border>
    <border>
      <left style="thin">
        <color rgb="FF646464"/>
      </left>
      <right style="thin">
        <color rgb="FF575757"/>
      </right>
      <top style="thin">
        <color rgb="FF606060"/>
      </top>
      <bottom style="thin">
        <color rgb="FF646464"/>
      </bottom>
      <diagonal/>
    </border>
    <border>
      <left style="thin">
        <color rgb="FF606060"/>
      </left>
      <right style="thin">
        <color rgb="FF646464"/>
      </right>
      <top style="thin">
        <color rgb="FF6B6B6B"/>
      </top>
      <bottom style="thin">
        <color rgb="FF646464"/>
      </bottom>
      <diagonal/>
    </border>
    <border>
      <left style="thin">
        <color rgb="FF606060"/>
      </left>
      <right style="thin">
        <color rgb="FF606060"/>
      </right>
      <top style="thin">
        <color rgb="FF6B6B6B"/>
      </top>
      <bottom style="thin">
        <color rgb="FF747474"/>
      </bottom>
      <diagonal/>
    </border>
    <border>
      <left style="thin">
        <color rgb="FF606060"/>
      </left>
      <right style="thin">
        <color rgb="FF606060"/>
      </right>
      <top style="thin">
        <color rgb="FF747474"/>
      </top>
      <bottom style="thin">
        <color rgb="FF747474"/>
      </bottom>
      <diagonal/>
    </border>
    <border>
      <left style="thin">
        <color rgb="FF606060"/>
      </left>
      <right style="thin">
        <color rgb="FF606060"/>
      </right>
      <top style="thin">
        <color rgb="FF747474"/>
      </top>
      <bottom style="thin">
        <color rgb="FF706B70"/>
      </bottom>
      <diagonal/>
    </border>
    <border>
      <left style="thin">
        <color rgb="FF606060"/>
      </left>
      <right style="thin">
        <color rgb="FF606060"/>
      </right>
      <top style="thin">
        <color rgb="FF706B70"/>
      </top>
      <bottom style="thin">
        <color rgb="FF747474"/>
      </bottom>
      <diagonal/>
    </border>
    <border>
      <left style="thin">
        <color rgb="FF606060"/>
      </left>
      <right style="thin">
        <color rgb="FF606060"/>
      </right>
      <top style="thin">
        <color rgb="FF747474"/>
      </top>
      <bottom style="thin">
        <color rgb="FF646464"/>
      </bottom>
      <diagonal/>
    </border>
    <border>
      <left style="thin">
        <color rgb="FF6B6B6B"/>
      </left>
      <right style="thin">
        <color rgb="FF606060"/>
      </right>
      <top/>
      <bottom style="thin">
        <color rgb="FF676767"/>
      </bottom>
      <diagonal/>
    </border>
    <border>
      <left style="thin">
        <color rgb="FF6B6B6B"/>
      </left>
      <right style="thin">
        <color rgb="FF606060"/>
      </right>
      <top style="thin">
        <color rgb="FF676767"/>
      </top>
      <bottom style="thin">
        <color rgb="FF6B6B6B"/>
      </bottom>
      <diagonal/>
    </border>
    <border>
      <left style="thin">
        <color rgb="FF6B6B6B"/>
      </left>
      <right style="thin">
        <color rgb="FF606060"/>
      </right>
      <top style="thin">
        <color rgb="FF6B6B6B"/>
      </top>
      <bottom style="thin">
        <color rgb="FF707070"/>
      </bottom>
      <diagonal/>
    </border>
    <border>
      <left style="thin">
        <color rgb="FF6B6B6B"/>
      </left>
      <right style="thin">
        <color rgb="FF606060"/>
      </right>
      <top style="thin">
        <color rgb="FF707070"/>
      </top>
      <bottom style="thin">
        <color rgb="FF6B6B6B"/>
      </bottom>
      <diagonal/>
    </border>
    <border>
      <left style="thin">
        <color rgb="FF6B6B6B"/>
      </left>
      <right style="thin">
        <color rgb="FF606060"/>
      </right>
      <top style="thin">
        <color rgb="FF6B6B6B"/>
      </top>
      <bottom style="thin">
        <color rgb="FF676767"/>
      </bottom>
      <diagonal/>
    </border>
    <border>
      <left style="thin">
        <color rgb="FF676767"/>
      </left>
      <right style="thin">
        <color rgb="FF606060"/>
      </right>
      <top style="thin">
        <color rgb="FF676767"/>
      </top>
      <bottom style="thin">
        <color rgb="FF646464"/>
      </bottom>
      <diagonal/>
    </border>
    <border>
      <left style="medium">
        <color theme="1" tint="0.499984740745262"/>
      </left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/>
      <diagonal/>
    </border>
    <border>
      <left style="medium">
        <color theme="1" tint="0.499984740745262"/>
      </left>
      <right style="medium">
        <color theme="1" tint="0.499984740745262"/>
      </right>
      <top style="medium">
        <color indexed="64"/>
      </top>
      <bottom style="medium">
        <color theme="1" tint="0.499984740745262"/>
      </bottom>
      <diagonal/>
    </border>
    <border>
      <left style="medium">
        <color theme="1" tint="0.499984740745262"/>
      </left>
      <right style="medium">
        <color indexed="64"/>
      </right>
      <top style="medium">
        <color indexed="64"/>
      </top>
      <bottom style="medium">
        <color theme="1" tint="0.499984740745262"/>
      </bottom>
      <diagonal/>
    </border>
    <border>
      <left style="medium">
        <color theme="1" tint="0.499984740745262"/>
      </left>
      <right style="medium">
        <color theme="1" tint="0.499984740745262"/>
      </right>
      <top style="medium">
        <color theme="1" tint="0.499984740745262"/>
      </top>
      <bottom style="medium">
        <color indexed="64"/>
      </bottom>
      <diagonal/>
    </border>
    <border>
      <left style="medium">
        <color indexed="64"/>
      </left>
      <right style="medium">
        <color theme="1" tint="0.499984740745262"/>
      </right>
      <top style="medium">
        <color indexed="64"/>
      </top>
      <bottom style="medium">
        <color theme="1" tint="0.499984740745262"/>
      </bottom>
      <diagonal/>
    </border>
    <border>
      <left style="medium">
        <color indexed="64"/>
      </left>
      <right style="medium">
        <color theme="1" tint="0.499984740745262"/>
      </right>
      <top style="medium">
        <color theme="1" tint="0.499984740745262"/>
      </top>
      <bottom style="medium">
        <color indexed="64"/>
      </bottom>
      <diagonal/>
    </border>
    <border>
      <left style="medium">
        <color theme="1" tint="0.499984740745262"/>
      </left>
      <right style="medium">
        <color indexed="64"/>
      </right>
      <top style="medium">
        <color theme="1" tint="0.499984740745262"/>
      </top>
      <bottom style="medium">
        <color indexed="64"/>
      </bottom>
      <diagonal/>
    </border>
    <border>
      <left style="medium">
        <color indexed="64"/>
      </left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medium">
        <color theme="1" tint="0.499984740745262"/>
      </left>
      <right style="medium">
        <color indexed="64"/>
      </right>
      <top style="medium">
        <color theme="1" tint="0.499984740745262"/>
      </top>
      <bottom style="medium">
        <color theme="1" tint="0.499984740745262"/>
      </bottom>
      <diagonal/>
    </border>
    <border>
      <left style="thick">
        <color rgb="FF808080"/>
      </left>
      <right style="thick">
        <color rgb="FF808080"/>
      </right>
      <top style="thick">
        <color rgb="FF808080"/>
      </top>
      <bottom style="thick">
        <color rgb="FF808080"/>
      </bottom>
      <diagonal/>
    </border>
    <border>
      <left/>
      <right style="thick">
        <color rgb="FF808080"/>
      </right>
      <top style="thick">
        <color rgb="FF808080"/>
      </top>
      <bottom style="thick">
        <color rgb="FF808080"/>
      </bottom>
      <diagonal/>
    </border>
    <border>
      <left style="thick">
        <color rgb="FF808080"/>
      </left>
      <right style="thick">
        <color rgb="FF808080"/>
      </right>
      <top/>
      <bottom style="thick">
        <color rgb="FF808080"/>
      </bottom>
      <diagonal/>
    </border>
    <border>
      <left/>
      <right style="thick">
        <color rgb="FF808080"/>
      </right>
      <top/>
      <bottom style="thick">
        <color rgb="FF808080"/>
      </bottom>
      <diagonal/>
    </border>
    <border>
      <left style="medium">
        <color theme="1" tint="0.499984740745262"/>
      </left>
      <right style="medium">
        <color theme="1" tint="0.499984740745262"/>
      </right>
      <top style="medium">
        <color indexed="64"/>
      </top>
      <bottom/>
      <diagonal/>
    </border>
    <border>
      <left style="medium">
        <color theme="1" tint="0.499984740745262"/>
      </left>
      <right style="medium">
        <color indexed="64"/>
      </right>
      <top style="medium">
        <color indexed="64"/>
      </top>
      <bottom/>
      <diagonal/>
    </border>
    <border>
      <left style="medium">
        <color theme="1" tint="0.499984740745262"/>
      </left>
      <right style="medium">
        <color theme="1" tint="0.499984740745262"/>
      </right>
      <top style="medium">
        <color theme="1" tint="0.499984740745262"/>
      </top>
      <bottom/>
      <diagonal/>
    </border>
    <border>
      <left style="medium">
        <color theme="2" tint="-0.499984740745262"/>
      </left>
      <right style="medium">
        <color theme="2" tint="-0.499984740745262"/>
      </right>
      <top style="medium">
        <color theme="2" tint="-0.499984740745262"/>
      </top>
      <bottom style="medium">
        <color theme="2" tint="-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indexed="64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indexed="64"/>
      </bottom>
      <diagonal/>
    </border>
    <border>
      <left style="medium">
        <color indexed="64"/>
      </left>
      <right style="medium">
        <color theme="1" tint="0.499984740745262"/>
      </right>
      <top style="medium">
        <color theme="1" tint="0.499984740745262"/>
      </top>
      <bottom/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indexed="64"/>
      </bottom>
      <diagonal/>
    </border>
    <border>
      <left style="medium">
        <color theme="0" tint="-0.34998626667073579"/>
      </left>
      <right/>
      <top style="medium">
        <color theme="0" tint="-0.34998626667073579"/>
      </top>
      <bottom/>
      <diagonal/>
    </border>
    <border>
      <left/>
      <right/>
      <top style="medium">
        <color theme="0" tint="-0.34998626667073579"/>
      </top>
      <bottom/>
      <diagonal/>
    </border>
    <border>
      <left/>
      <right style="medium">
        <color theme="0" tint="-0.34998626667073579"/>
      </right>
      <top style="medium">
        <color theme="0" tint="-0.34998626667073579"/>
      </top>
      <bottom/>
      <diagonal/>
    </border>
    <border>
      <left style="medium">
        <color theme="0" tint="-0.34998626667073579"/>
      </left>
      <right/>
      <top/>
      <bottom/>
      <diagonal/>
    </border>
    <border>
      <left/>
      <right style="medium">
        <color theme="0" tint="-0.34998626667073579"/>
      </right>
      <top/>
      <bottom/>
      <diagonal/>
    </border>
    <border>
      <left style="medium">
        <color theme="0" tint="-0.34998626667073579"/>
      </left>
      <right/>
      <top/>
      <bottom style="medium">
        <color theme="0" tint="-0.34998626667073579"/>
      </bottom>
      <diagonal/>
    </border>
    <border>
      <left/>
      <right/>
      <top/>
      <bottom style="medium">
        <color theme="0" tint="-0.34998626667073579"/>
      </bottom>
      <diagonal/>
    </border>
    <border>
      <left/>
      <right style="medium">
        <color theme="0" tint="-0.34998626667073579"/>
      </right>
      <top/>
      <bottom style="medium">
        <color theme="0" tint="-0.34998626667073579"/>
      </bottom>
      <diagonal/>
    </border>
    <border>
      <left style="medium">
        <color theme="6"/>
      </left>
      <right style="medium">
        <color theme="6"/>
      </right>
      <top style="medium">
        <color theme="6"/>
      </top>
      <bottom/>
      <diagonal/>
    </border>
    <border>
      <left style="medium">
        <color theme="6"/>
      </left>
      <right/>
      <top style="medium">
        <color theme="6"/>
      </top>
      <bottom/>
      <diagonal/>
    </border>
    <border>
      <left style="medium">
        <color theme="6"/>
      </left>
      <right style="medium">
        <color theme="6"/>
      </right>
      <top/>
      <bottom/>
      <diagonal/>
    </border>
    <border>
      <left style="medium">
        <color theme="6"/>
      </left>
      <right/>
      <top/>
      <bottom/>
      <diagonal/>
    </border>
    <border>
      <left style="medium">
        <color theme="6"/>
      </left>
      <right style="medium">
        <color theme="6"/>
      </right>
      <top/>
      <bottom style="medium">
        <color theme="6"/>
      </bottom>
      <diagonal/>
    </border>
    <border>
      <left style="medium">
        <color theme="6"/>
      </left>
      <right/>
      <top/>
      <bottom style="medium">
        <color theme="6"/>
      </bottom>
      <diagonal/>
    </border>
    <border>
      <left/>
      <right style="thin">
        <color rgb="FF646464"/>
      </right>
      <top/>
      <bottom/>
      <diagonal/>
    </border>
    <border>
      <left/>
      <right style="thin">
        <color rgb="FF646464"/>
      </right>
      <top/>
      <bottom style="thin">
        <color rgb="FF676767"/>
      </bottom>
      <diagonal/>
    </border>
    <border>
      <left style="thin">
        <color rgb="FF646464"/>
      </left>
      <right/>
      <top style="thin">
        <color rgb="FF676767"/>
      </top>
      <bottom style="thin">
        <color rgb="FF6B6B6B"/>
      </bottom>
      <diagonal/>
    </border>
    <border>
      <left/>
      <right/>
      <top style="thin">
        <color rgb="FF676767"/>
      </top>
      <bottom style="thin">
        <color rgb="FF6B6B6B"/>
      </bottom>
      <diagonal/>
    </border>
    <border>
      <left style="medium">
        <color theme="0" tint="-0.34998626667073579"/>
      </left>
      <right/>
      <top style="medium">
        <color theme="0" tint="-0.34998626667073579"/>
      </top>
      <bottom style="medium">
        <color theme="0" tint="-0.34998626667073579"/>
      </bottom>
      <diagonal/>
    </border>
    <border>
      <left/>
      <right/>
      <top style="medium">
        <color theme="0" tint="-0.34998626667073579"/>
      </top>
      <bottom style="medium">
        <color theme="0" tint="-0.34998626667073579"/>
      </bottom>
      <diagonal/>
    </border>
    <border>
      <left/>
      <right style="medium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/>
      <right style="medium">
        <color theme="0" tint="-0.34998626667073579"/>
      </right>
      <top/>
      <bottom style="medium">
        <color theme="6"/>
      </bottom>
      <diagonal/>
    </border>
    <border>
      <left/>
      <right/>
      <top/>
      <bottom style="medium">
        <color theme="6"/>
      </bottom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 style="medium">
        <color theme="1" tint="0.499984740745262"/>
      </bottom>
      <diagonal/>
    </border>
    <border>
      <left style="medium">
        <color theme="1" tint="0.499984740745262"/>
      </left>
      <right/>
      <top style="medium">
        <color theme="1" tint="0.499984740745262"/>
      </top>
      <bottom/>
      <diagonal/>
    </border>
    <border>
      <left/>
      <right style="medium">
        <color theme="1" tint="0.499984740745262"/>
      </right>
      <top style="medium">
        <color theme="1" tint="0.499984740745262"/>
      </top>
      <bottom/>
      <diagonal/>
    </border>
    <border>
      <left/>
      <right style="medium">
        <color theme="1" tint="0.499984740745262"/>
      </right>
      <top style="medium">
        <color indexed="64"/>
      </top>
      <bottom/>
      <diagonal/>
    </border>
    <border>
      <left style="medium">
        <color indexed="64"/>
      </left>
      <right/>
      <top style="medium">
        <color theme="1" tint="0.499984740745262"/>
      </top>
      <bottom style="medium">
        <color indexed="64"/>
      </bottom>
      <diagonal/>
    </border>
    <border>
      <left/>
      <right/>
      <top style="medium">
        <color theme="1" tint="0.499984740745262"/>
      </top>
      <bottom style="medium">
        <color indexed="64"/>
      </bottom>
      <diagonal/>
    </border>
    <border>
      <left style="medium">
        <color indexed="64"/>
      </left>
      <right/>
      <top style="medium">
        <color theme="1" tint="0.499984740745262"/>
      </top>
      <bottom style="medium">
        <color theme="1" tint="0.499984740745262"/>
      </bottom>
      <diagonal/>
    </border>
    <border>
      <left style="medium">
        <color indexed="64"/>
      </left>
      <right/>
      <top style="medium">
        <color indexed="64"/>
      </top>
      <bottom style="medium">
        <color theme="1" tint="0.499984740745262"/>
      </bottom>
      <diagonal/>
    </border>
    <border>
      <left/>
      <right/>
      <top style="medium">
        <color indexed="64"/>
      </top>
      <bottom style="medium">
        <color theme="1" tint="0.499984740745262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 style="medium">
        <color indexed="64"/>
      </left>
      <right style="medium">
        <color theme="1" tint="0.499984740745262"/>
      </right>
      <top style="medium">
        <color indexed="64"/>
      </top>
      <bottom/>
      <diagonal/>
    </border>
    <border>
      <left style="medium">
        <color indexed="64"/>
      </left>
      <right style="medium">
        <color theme="6"/>
      </right>
      <top style="medium">
        <color theme="6"/>
      </top>
      <bottom style="medium">
        <color theme="6"/>
      </bottom>
      <diagonal/>
    </border>
    <border>
      <left style="medium">
        <color theme="6"/>
      </left>
      <right style="medium">
        <color theme="6"/>
      </right>
      <top style="medium">
        <color theme="6"/>
      </top>
      <bottom style="medium">
        <color theme="6"/>
      </bottom>
      <diagonal/>
    </border>
    <border>
      <left style="medium">
        <color theme="6"/>
      </left>
      <right style="medium">
        <color indexed="64"/>
      </right>
      <top style="medium">
        <color theme="6"/>
      </top>
      <bottom style="medium">
        <color theme="6"/>
      </bottom>
      <diagonal/>
    </border>
    <border>
      <left style="medium">
        <color theme="6"/>
      </left>
      <right style="medium">
        <color theme="6"/>
      </right>
      <top style="medium">
        <color theme="6"/>
      </top>
      <bottom style="medium">
        <color indexed="64"/>
      </bottom>
      <diagonal/>
    </border>
    <border>
      <left style="medium">
        <color theme="1" tint="0.499984740745262"/>
      </left>
      <right style="medium">
        <color theme="1" tint="0.499984740745262"/>
      </right>
      <top/>
      <bottom style="medium">
        <color indexed="64"/>
      </bottom>
      <diagonal/>
    </border>
    <border>
      <left style="medium">
        <color theme="1" tint="0.499984740745262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theme="6"/>
      </right>
      <top/>
      <bottom/>
      <diagonal/>
    </border>
    <border>
      <left style="medium">
        <color indexed="64"/>
      </left>
      <right style="medium">
        <color theme="1" tint="0.499984740745262"/>
      </right>
      <top style="medium">
        <color indexed="64"/>
      </top>
      <bottom style="medium">
        <color indexed="64"/>
      </bottom>
      <diagonal/>
    </border>
    <border>
      <left style="medium">
        <color theme="1" tint="0.499984740745262"/>
      </left>
      <right style="medium">
        <color theme="1" tint="0.499984740745262"/>
      </right>
      <top style="medium">
        <color indexed="64"/>
      </top>
      <bottom style="medium">
        <color indexed="64"/>
      </bottom>
      <diagonal/>
    </border>
    <border>
      <left style="medium">
        <color theme="1" tint="0.499984740745262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6"/>
      </left>
      <right style="medium">
        <color indexed="64"/>
      </right>
      <top style="medium">
        <color theme="6"/>
      </top>
      <bottom style="medium">
        <color indexed="64"/>
      </bottom>
      <diagonal/>
    </border>
    <border>
      <left style="medium">
        <color theme="6" tint="-0.24994659260841701"/>
      </left>
      <right style="medium">
        <color theme="1" tint="0.499984740745262"/>
      </right>
      <top style="medium">
        <color theme="1" tint="0.499984740745262"/>
      </top>
      <bottom style="medium">
        <color theme="6" tint="-0.24994659260841701"/>
      </bottom>
      <diagonal/>
    </border>
    <border>
      <left style="medium">
        <color indexed="64"/>
      </left>
      <right style="medium">
        <color theme="1" tint="0.499984740745262"/>
      </right>
      <top/>
      <bottom style="medium">
        <color indexed="64"/>
      </bottom>
      <diagonal/>
    </border>
    <border>
      <left style="medium">
        <color theme="6" tint="-0.24994659260841701"/>
      </left>
      <right style="medium">
        <color theme="6" tint="-0.24994659260841701"/>
      </right>
      <top style="medium">
        <color theme="1" tint="0.499984740745262"/>
      </top>
      <bottom style="medium">
        <color theme="6" tint="-0.24994659260841701"/>
      </bottom>
      <diagonal/>
    </border>
    <border>
      <left style="medium">
        <color theme="6" tint="-0.24994659260841701"/>
      </left>
      <right style="medium">
        <color theme="6" tint="-0.24994659260841701"/>
      </right>
      <top style="medium">
        <color theme="6" tint="-0.24994659260841701"/>
      </top>
      <bottom style="medium">
        <color theme="6" tint="-0.24994659260841701"/>
      </bottom>
      <diagonal/>
    </border>
    <border>
      <left style="medium">
        <color theme="6" tint="-0.24994659260841701"/>
      </left>
      <right style="medium">
        <color theme="1" tint="0.499984740745262"/>
      </right>
      <top style="medium">
        <color theme="6" tint="-0.24994659260841701"/>
      </top>
      <bottom style="medium">
        <color theme="6" tint="-0.24994659260841701"/>
      </bottom>
      <diagonal/>
    </border>
    <border>
      <left style="medium">
        <color indexed="64"/>
      </left>
      <right style="medium">
        <color theme="6" tint="-0.24994659260841701"/>
      </right>
      <top style="medium">
        <color theme="1" tint="0.499984740745262"/>
      </top>
      <bottom style="medium">
        <color theme="6" tint="-0.24994659260841701"/>
      </bottom>
      <diagonal/>
    </border>
    <border>
      <left style="medium">
        <color indexed="64"/>
      </left>
      <right style="medium">
        <color theme="6" tint="-0.24994659260841701"/>
      </right>
      <top style="medium">
        <color theme="6" tint="-0.24994659260841701"/>
      </top>
      <bottom style="medium">
        <color theme="6" tint="-0.24994659260841701"/>
      </bottom>
      <diagonal/>
    </border>
    <border>
      <left style="medium">
        <color indexed="64"/>
      </left>
      <right style="medium">
        <color theme="6"/>
      </right>
      <top/>
      <bottom style="medium">
        <color indexed="64"/>
      </bottom>
      <diagonal/>
    </border>
    <border>
      <left style="medium">
        <color theme="6"/>
      </left>
      <right style="medium">
        <color theme="6"/>
      </right>
      <top/>
      <bottom style="medium">
        <color indexed="64"/>
      </bottom>
      <diagonal/>
    </border>
    <border>
      <left style="medium">
        <color theme="1" tint="0.499984740745262"/>
      </left>
      <right style="medium">
        <color theme="1" tint="0.499984740745262"/>
      </right>
      <top/>
      <bottom style="medium">
        <color theme="1" tint="0.499984740745262"/>
      </bottom>
      <diagonal/>
    </border>
    <border>
      <left style="medium">
        <color indexed="64"/>
      </left>
      <right style="medium">
        <color theme="1" tint="0.499984740745262"/>
      </right>
      <top style="medium">
        <color theme="1" tint="0.499984740745262"/>
      </top>
      <bottom style="medium">
        <color theme="6" tint="-0.24994659260841701"/>
      </bottom>
      <diagonal/>
    </border>
    <border>
      <left style="medium">
        <color theme="1" tint="0.499984740745262"/>
      </left>
      <right style="medium">
        <color theme="1" tint="0.499984740745262"/>
      </right>
      <top style="medium">
        <color theme="1" tint="0.499984740745262"/>
      </top>
      <bottom style="medium">
        <color theme="6" tint="-0.24994659260841701"/>
      </bottom>
      <diagonal/>
    </border>
    <border>
      <left style="medium">
        <color indexed="64"/>
      </left>
      <right style="medium">
        <color theme="6" tint="-0.24994659260841701"/>
      </right>
      <top style="medium">
        <color indexed="64"/>
      </top>
      <bottom style="medium">
        <color theme="6" tint="-0.24994659260841701"/>
      </bottom>
      <diagonal/>
    </border>
    <border>
      <left style="medium">
        <color theme="6" tint="-0.24994659260841701"/>
      </left>
      <right style="medium">
        <color theme="6" tint="-0.24994659260841701"/>
      </right>
      <top style="medium">
        <color indexed="64"/>
      </top>
      <bottom style="medium">
        <color theme="6" tint="-0.24994659260841701"/>
      </bottom>
      <diagonal/>
    </border>
    <border>
      <left style="medium">
        <color theme="6" tint="-0.24994659260841701"/>
      </left>
      <right style="medium">
        <color indexed="64"/>
      </right>
      <top style="medium">
        <color indexed="64"/>
      </top>
      <bottom style="medium">
        <color theme="6" tint="-0.24994659260841701"/>
      </bottom>
      <diagonal/>
    </border>
    <border>
      <left style="medium">
        <color theme="6" tint="-0.24994659260841701"/>
      </left>
      <right style="medium">
        <color indexed="64"/>
      </right>
      <top style="medium">
        <color theme="6" tint="-0.24994659260841701"/>
      </top>
      <bottom style="medium">
        <color theme="6" tint="-0.24994659260841701"/>
      </bottom>
      <diagonal/>
    </border>
    <border>
      <left style="medium">
        <color indexed="64"/>
      </left>
      <right style="medium">
        <color theme="6" tint="-0.24994659260841701"/>
      </right>
      <top style="medium">
        <color theme="6" tint="-0.24994659260841701"/>
      </top>
      <bottom style="medium">
        <color indexed="64"/>
      </bottom>
      <diagonal/>
    </border>
    <border>
      <left style="medium">
        <color theme="6" tint="-0.24994659260841701"/>
      </left>
      <right style="medium">
        <color theme="6" tint="-0.24994659260841701"/>
      </right>
      <top style="medium">
        <color theme="6" tint="-0.24994659260841701"/>
      </top>
      <bottom style="medium">
        <color indexed="64"/>
      </bottom>
      <diagonal/>
    </border>
    <border>
      <left style="medium">
        <color theme="6" tint="-0.24994659260841701"/>
      </left>
      <right style="medium">
        <color indexed="64"/>
      </right>
      <top style="medium">
        <color theme="6" tint="-0.24994659260841701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theme="0" tint="-0.499984740745262"/>
      </left>
      <right style="medium">
        <color theme="0" tint="-0.499984740745262"/>
      </right>
      <top style="medium">
        <color indexed="64"/>
      </top>
      <bottom/>
      <diagonal/>
    </border>
    <border>
      <left style="medium">
        <color indexed="64"/>
      </left>
      <right style="medium">
        <color theme="0" tint="-0.499984740745262"/>
      </right>
      <top style="medium">
        <color indexed="64"/>
      </top>
      <bottom/>
      <diagonal/>
    </border>
    <border>
      <left style="medium">
        <color theme="1" tint="0.499984740745262"/>
      </left>
      <right style="medium">
        <color indexed="64"/>
      </right>
      <top/>
      <bottom style="medium">
        <color theme="1" tint="0.499984740745262"/>
      </bottom>
      <diagonal/>
    </border>
  </borders>
  <cellStyleXfs count="31">
    <xf numFmtId="0" fontId="0" fillId="0" borderId="0"/>
    <xf numFmtId="164" fontId="5" fillId="0" borderId="0"/>
    <xf numFmtId="0" fontId="20" fillId="2" borderId="0" applyNumberFormat="0" applyBorder="0" applyAlignment="0" applyProtection="0"/>
    <xf numFmtId="0" fontId="21" fillId="3" borderId="0" applyNumberFormat="0" applyBorder="0" applyAlignment="0" applyProtection="0"/>
    <xf numFmtId="0" fontId="22" fillId="4" borderId="42" applyNumberFormat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19" fillId="0" borderId="0" applyFont="0" applyFill="0" applyBorder="0" applyAlignment="0" applyProtection="0"/>
    <xf numFmtId="0" fontId="5" fillId="0" borderId="0"/>
    <xf numFmtId="0" fontId="24" fillId="0" borderId="0"/>
    <xf numFmtId="0" fontId="24" fillId="0" borderId="0"/>
    <xf numFmtId="0" fontId="5" fillId="0" borderId="0"/>
    <xf numFmtId="0" fontId="24" fillId="0" borderId="0"/>
    <xf numFmtId="0" fontId="24" fillId="0" borderId="0"/>
    <xf numFmtId="0" fontId="15" fillId="0" borderId="0"/>
    <xf numFmtId="0" fontId="5" fillId="0" borderId="0"/>
    <xf numFmtId="9" fontId="19" fillId="0" borderId="0" applyFont="0" applyFill="0" applyBorder="0" applyAlignment="0" applyProtection="0"/>
    <xf numFmtId="0" fontId="98" fillId="2" borderId="0" applyNumberFormat="0" applyBorder="0" applyAlignment="0" applyProtection="0"/>
    <xf numFmtId="0" fontId="1" fillId="0" borderId="0"/>
    <xf numFmtId="201" fontId="1" fillId="0" borderId="0" applyFont="0" applyFill="0" applyBorder="0" applyAlignment="0" applyProtection="0"/>
    <xf numFmtId="203" fontId="1" fillId="0" borderId="0" applyFont="0" applyFill="0" applyBorder="0" applyAlignment="0" applyProtection="0"/>
    <xf numFmtId="0" fontId="1" fillId="0" borderId="0"/>
    <xf numFmtId="0" fontId="19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/>
  </cellStyleXfs>
  <cellXfs count="2374">
    <xf numFmtId="0" fontId="0" fillId="0" borderId="0" xfId="0"/>
    <xf numFmtId="0" fontId="25" fillId="5" borderId="0" xfId="14" applyFont="1" applyFill="1"/>
    <xf numFmtId="0" fontId="25" fillId="0" borderId="0" xfId="14" applyFont="1"/>
    <xf numFmtId="0" fontId="24" fillId="0" borderId="0" xfId="14"/>
    <xf numFmtId="0" fontId="4" fillId="5" borderId="1" xfId="14" applyFont="1" applyFill="1" applyBorder="1" applyAlignment="1"/>
    <xf numFmtId="0" fontId="4" fillId="5" borderId="0" xfId="14" applyFont="1" applyFill="1" applyBorder="1" applyAlignment="1"/>
    <xf numFmtId="0" fontId="24" fillId="5" borderId="0" xfId="14" applyFill="1"/>
    <xf numFmtId="16" fontId="26" fillId="2" borderId="1" xfId="2" applyNumberFormat="1" applyFont="1" applyBorder="1" applyAlignment="1">
      <alignment horizontal="left"/>
    </xf>
    <xf numFmtId="16" fontId="26" fillId="2" borderId="0" xfId="2" applyNumberFormat="1" applyFont="1" applyBorder="1" applyAlignment="1">
      <alignment horizontal="left"/>
    </xf>
    <xf numFmtId="0" fontId="26" fillId="2" borderId="0" xfId="2" applyNumberFormat="1" applyFont="1" applyBorder="1" applyAlignment="1">
      <alignment horizontal="left"/>
    </xf>
    <xf numFmtId="0" fontId="26" fillId="2" borderId="2" xfId="2" applyNumberFormat="1" applyFont="1" applyBorder="1" applyAlignment="1">
      <alignment horizontal="left"/>
    </xf>
    <xf numFmtId="0" fontId="27" fillId="3" borderId="3" xfId="3" applyNumberFormat="1" applyFont="1" applyBorder="1" applyAlignment="1">
      <alignment horizontal="left" vertical="center"/>
    </xf>
    <xf numFmtId="0" fontId="27" fillId="3" borderId="4" xfId="3" applyNumberFormat="1" applyFont="1" applyBorder="1" applyAlignment="1">
      <alignment horizontal="left" vertical="center"/>
    </xf>
    <xf numFmtId="0" fontId="25" fillId="5" borderId="2" xfId="14" applyFont="1" applyFill="1" applyBorder="1"/>
    <xf numFmtId="16" fontId="28" fillId="3" borderId="1" xfId="3" applyNumberFormat="1" applyFont="1" applyBorder="1" applyAlignment="1">
      <alignment horizontal="left"/>
    </xf>
    <xf numFmtId="16" fontId="28" fillId="3" borderId="0" xfId="3" applyNumberFormat="1" applyFont="1" applyBorder="1" applyAlignment="1">
      <alignment horizontal="left"/>
    </xf>
    <xf numFmtId="44" fontId="29" fillId="3" borderId="2" xfId="9" applyFont="1" applyFill="1" applyBorder="1" applyAlignment="1">
      <alignment horizontal="center"/>
    </xf>
    <xf numFmtId="0" fontId="25" fillId="5" borderId="1" xfId="14" applyFont="1" applyFill="1" applyBorder="1"/>
    <xf numFmtId="0" fontId="25" fillId="5" borderId="0" xfId="14" applyFont="1" applyFill="1" applyBorder="1"/>
    <xf numFmtId="16" fontId="4" fillId="5" borderId="5" xfId="1" applyNumberFormat="1" applyFont="1" applyFill="1" applyBorder="1" applyAlignment="1">
      <alignment horizontal="left"/>
    </xf>
    <xf numFmtId="16" fontId="4" fillId="5" borderId="6" xfId="1" applyNumberFormat="1" applyFont="1" applyFill="1" applyBorder="1" applyAlignment="1">
      <alignment horizontal="left"/>
    </xf>
    <xf numFmtId="16" fontId="4" fillId="5" borderId="7" xfId="1" applyNumberFormat="1" applyFont="1" applyFill="1" applyBorder="1" applyAlignment="1">
      <alignment horizontal="left"/>
    </xf>
    <xf numFmtId="16" fontId="3" fillId="5" borderId="1" xfId="1" applyNumberFormat="1" applyFont="1" applyFill="1" applyBorder="1" applyAlignment="1">
      <alignment horizontal="left"/>
    </xf>
    <xf numFmtId="16" fontId="3" fillId="5" borderId="0" xfId="1" applyNumberFormat="1" applyFont="1" applyFill="1" applyBorder="1" applyAlignment="1">
      <alignment horizontal="left"/>
    </xf>
    <xf numFmtId="16" fontId="3" fillId="5" borderId="0" xfId="1" applyNumberFormat="1" applyFont="1" applyFill="1" applyBorder="1" applyAlignment="1">
      <alignment horizontal="right"/>
    </xf>
    <xf numFmtId="0" fontId="30" fillId="5" borderId="1" xfId="14" applyFont="1" applyFill="1" applyBorder="1"/>
    <xf numFmtId="0" fontId="30" fillId="5" borderId="0" xfId="14" applyFont="1" applyFill="1" applyBorder="1"/>
    <xf numFmtId="0" fontId="30" fillId="6" borderId="1" xfId="14" applyFont="1" applyFill="1" applyBorder="1"/>
    <xf numFmtId="0" fontId="30" fillId="6" borderId="0" xfId="14" applyFont="1" applyFill="1" applyBorder="1"/>
    <xf numFmtId="0" fontId="28" fillId="3" borderId="0" xfId="3" applyNumberFormat="1" applyFont="1" applyBorder="1"/>
    <xf numFmtId="37" fontId="28" fillId="3" borderId="0" xfId="3" applyNumberFormat="1" applyFont="1" applyBorder="1"/>
    <xf numFmtId="0" fontId="31" fillId="3" borderId="8" xfId="3" applyNumberFormat="1" applyFont="1" applyBorder="1" applyAlignment="1">
      <alignment horizontal="left" vertical="center"/>
    </xf>
    <xf numFmtId="0" fontId="31" fillId="3" borderId="9" xfId="3" applyNumberFormat="1" applyFont="1" applyBorder="1" applyAlignment="1">
      <alignment horizontal="left" vertical="center"/>
    </xf>
    <xf numFmtId="0" fontId="32" fillId="5" borderId="8" xfId="14" applyFont="1" applyFill="1" applyBorder="1" applyAlignment="1">
      <alignment horizontal="center" vertical="center"/>
    </xf>
    <xf numFmtId="0" fontId="32" fillId="5" borderId="9" xfId="14" applyFont="1" applyFill="1" applyBorder="1" applyAlignment="1">
      <alignment horizontal="center" vertical="center"/>
    </xf>
    <xf numFmtId="0" fontId="32" fillId="5" borderId="9" xfId="14" applyFont="1" applyFill="1" applyBorder="1" applyAlignment="1">
      <alignment horizontal="center" vertical="center"/>
    </xf>
    <xf numFmtId="44" fontId="24" fillId="0" borderId="0" xfId="8" applyFont="1"/>
    <xf numFmtId="4" fontId="24" fillId="0" borderId="0" xfId="14" applyNumberFormat="1"/>
    <xf numFmtId="44" fontId="24" fillId="0" borderId="0" xfId="14" applyNumberFormat="1"/>
    <xf numFmtId="166" fontId="33" fillId="7" borderId="43" xfId="0" applyNumberFormat="1" applyFont="1" applyFill="1" applyBorder="1" applyAlignment="1">
      <alignment horizontal="center" vertical="top" wrapText="1"/>
    </xf>
    <xf numFmtId="167" fontId="33" fillId="7" borderId="44" xfId="0" applyNumberFormat="1" applyFont="1" applyFill="1" applyBorder="1" applyAlignment="1">
      <alignment horizontal="center" vertical="top" wrapText="1"/>
    </xf>
    <xf numFmtId="167" fontId="33" fillId="7" borderId="45" xfId="0" applyNumberFormat="1" applyFont="1" applyFill="1" applyBorder="1" applyAlignment="1">
      <alignment horizontal="center" vertical="top" wrapText="1"/>
    </xf>
    <xf numFmtId="166" fontId="33" fillId="7" borderId="46" xfId="0" applyNumberFormat="1" applyFont="1" applyFill="1" applyBorder="1" applyAlignment="1">
      <alignment horizontal="center" vertical="top" wrapText="1"/>
    </xf>
    <xf numFmtId="167" fontId="33" fillId="7" borderId="47" xfId="0" applyNumberFormat="1" applyFont="1" applyFill="1" applyBorder="1" applyAlignment="1">
      <alignment horizontal="center" vertical="top" wrapText="1"/>
    </xf>
    <xf numFmtId="166" fontId="33" fillId="7" borderId="48" xfId="0" applyNumberFormat="1" applyFont="1" applyFill="1" applyBorder="1" applyAlignment="1">
      <alignment horizontal="center" vertical="top" wrapText="1"/>
    </xf>
    <xf numFmtId="167" fontId="33" fillId="7" borderId="49" xfId="0" applyNumberFormat="1" applyFont="1" applyFill="1" applyBorder="1" applyAlignment="1">
      <alignment horizontal="center" vertical="top" wrapText="1"/>
    </xf>
    <xf numFmtId="167" fontId="33" fillId="7" borderId="43" xfId="0" applyNumberFormat="1" applyFont="1" applyFill="1" applyBorder="1" applyAlignment="1">
      <alignment horizontal="center" vertical="top" wrapText="1"/>
    </xf>
    <xf numFmtId="167" fontId="33" fillId="7" borderId="46" xfId="0" applyNumberFormat="1" applyFont="1" applyFill="1" applyBorder="1" applyAlignment="1">
      <alignment horizontal="center" vertical="top" wrapText="1"/>
    </xf>
    <xf numFmtId="167" fontId="33" fillId="7" borderId="50" xfId="0" applyNumberFormat="1" applyFont="1" applyFill="1" applyBorder="1" applyAlignment="1">
      <alignment horizontal="center" vertical="top" wrapText="1"/>
    </xf>
    <xf numFmtId="167" fontId="33" fillId="7" borderId="51" xfId="0" applyNumberFormat="1" applyFont="1" applyFill="1" applyBorder="1" applyAlignment="1">
      <alignment horizontal="center" vertical="top" wrapText="1"/>
    </xf>
    <xf numFmtId="167" fontId="33" fillId="7" borderId="52" xfId="0" applyNumberFormat="1" applyFont="1" applyFill="1" applyBorder="1" applyAlignment="1">
      <alignment horizontal="center" vertical="top" wrapText="1"/>
    </xf>
    <xf numFmtId="167" fontId="33" fillId="7" borderId="48" xfId="0" applyNumberFormat="1" applyFont="1" applyFill="1" applyBorder="1" applyAlignment="1">
      <alignment horizontal="center" vertical="top" wrapText="1"/>
    </xf>
    <xf numFmtId="167" fontId="33" fillId="7" borderId="53" xfId="0" applyNumberFormat="1" applyFont="1" applyFill="1" applyBorder="1" applyAlignment="1">
      <alignment horizontal="center" vertical="top" wrapText="1"/>
    </xf>
    <xf numFmtId="167" fontId="33" fillId="7" borderId="54" xfId="0" applyNumberFormat="1" applyFont="1" applyFill="1" applyBorder="1" applyAlignment="1">
      <alignment horizontal="center" vertical="top" wrapText="1"/>
    </xf>
    <xf numFmtId="167" fontId="33" fillId="7" borderId="55" xfId="0" applyNumberFormat="1" applyFont="1" applyFill="1" applyBorder="1" applyAlignment="1">
      <alignment horizontal="center" vertical="top" wrapText="1"/>
    </xf>
    <xf numFmtId="167" fontId="33" fillId="7" borderId="56" xfId="0" applyNumberFormat="1" applyFont="1" applyFill="1" applyBorder="1" applyAlignment="1">
      <alignment horizontal="center" vertical="top" wrapText="1"/>
    </xf>
    <xf numFmtId="167" fontId="33" fillId="7" borderId="57" xfId="0" applyNumberFormat="1" applyFont="1" applyFill="1" applyBorder="1" applyAlignment="1">
      <alignment horizontal="center" vertical="top" wrapText="1"/>
    </xf>
    <xf numFmtId="167" fontId="33" fillId="7" borderId="58" xfId="0" applyNumberFormat="1" applyFont="1" applyFill="1" applyBorder="1" applyAlignment="1">
      <alignment horizontal="center" vertical="top" wrapText="1"/>
    </xf>
    <xf numFmtId="167" fontId="33" fillId="7" borderId="59" xfId="0" applyNumberFormat="1" applyFont="1" applyFill="1" applyBorder="1" applyAlignment="1">
      <alignment horizontal="center" vertical="top" wrapText="1"/>
    </xf>
    <xf numFmtId="167" fontId="33" fillId="7" borderId="60" xfId="0" applyNumberFormat="1" applyFont="1" applyFill="1" applyBorder="1" applyAlignment="1">
      <alignment horizontal="center" vertical="top" wrapText="1"/>
    </xf>
    <xf numFmtId="167" fontId="33" fillId="7" borderId="61" xfId="0" applyNumberFormat="1" applyFont="1" applyFill="1" applyBorder="1" applyAlignment="1">
      <alignment horizontal="center" vertical="top" wrapText="1"/>
    </xf>
    <xf numFmtId="167" fontId="33" fillId="7" borderId="62" xfId="0" applyNumberFormat="1" applyFont="1" applyFill="1" applyBorder="1" applyAlignment="1">
      <alignment horizontal="center" vertical="top" wrapText="1"/>
    </xf>
    <xf numFmtId="167" fontId="34" fillId="7" borderId="63" xfId="0" applyNumberFormat="1" applyFont="1" applyFill="1" applyBorder="1" applyAlignment="1">
      <alignment horizontal="center" vertical="top" wrapText="1"/>
    </xf>
    <xf numFmtId="167" fontId="33" fillId="7" borderId="64" xfId="0" applyNumberFormat="1" applyFont="1" applyFill="1" applyBorder="1" applyAlignment="1">
      <alignment horizontal="center" vertical="top" wrapText="1"/>
    </xf>
    <xf numFmtId="167" fontId="33" fillId="7" borderId="65" xfId="0" applyNumberFormat="1" applyFont="1" applyFill="1" applyBorder="1" applyAlignment="1">
      <alignment horizontal="center" vertical="top" wrapText="1"/>
    </xf>
    <xf numFmtId="167" fontId="33" fillId="7" borderId="66" xfId="0" applyNumberFormat="1" applyFont="1" applyFill="1" applyBorder="1" applyAlignment="1">
      <alignment horizontal="center" vertical="top" wrapText="1"/>
    </xf>
    <xf numFmtId="167" fontId="33" fillId="7" borderId="67" xfId="0" applyNumberFormat="1" applyFont="1" applyFill="1" applyBorder="1" applyAlignment="1">
      <alignment horizontal="center" vertical="top" wrapText="1"/>
    </xf>
    <xf numFmtId="167" fontId="33" fillId="7" borderId="68" xfId="0" applyNumberFormat="1" applyFont="1" applyFill="1" applyBorder="1" applyAlignment="1">
      <alignment horizontal="center" vertical="top" wrapText="1"/>
    </xf>
    <xf numFmtId="167" fontId="33" fillId="7" borderId="69" xfId="0" applyNumberFormat="1" applyFont="1" applyFill="1" applyBorder="1" applyAlignment="1">
      <alignment horizontal="center" vertical="top" wrapText="1"/>
    </xf>
    <xf numFmtId="167" fontId="33" fillId="7" borderId="70" xfId="0" applyNumberFormat="1" applyFont="1" applyFill="1" applyBorder="1" applyAlignment="1">
      <alignment horizontal="center" vertical="top" wrapText="1"/>
    </xf>
    <xf numFmtId="167" fontId="33" fillId="7" borderId="71" xfId="0" applyNumberFormat="1" applyFont="1" applyFill="1" applyBorder="1" applyAlignment="1">
      <alignment horizontal="center" vertical="top" wrapText="1"/>
    </xf>
    <xf numFmtId="167" fontId="33" fillId="7" borderId="72" xfId="0" applyNumberFormat="1" applyFont="1" applyFill="1" applyBorder="1" applyAlignment="1">
      <alignment horizontal="center" vertical="top" wrapText="1"/>
    </xf>
    <xf numFmtId="167" fontId="33" fillId="7" borderId="73" xfId="0" applyNumberFormat="1" applyFont="1" applyFill="1" applyBorder="1" applyAlignment="1">
      <alignment horizontal="center" vertical="top" wrapText="1"/>
    </xf>
    <xf numFmtId="167" fontId="33" fillId="7" borderId="74" xfId="0" applyNumberFormat="1" applyFont="1" applyFill="1" applyBorder="1" applyAlignment="1">
      <alignment horizontal="center" vertical="top" wrapText="1"/>
    </xf>
    <xf numFmtId="167" fontId="33" fillId="7" borderId="75" xfId="0" applyNumberFormat="1" applyFont="1" applyFill="1" applyBorder="1" applyAlignment="1">
      <alignment horizontal="center" vertical="top" wrapText="1"/>
    </xf>
    <xf numFmtId="167" fontId="33" fillId="7" borderId="76" xfId="0" applyNumberFormat="1" applyFont="1" applyFill="1" applyBorder="1" applyAlignment="1">
      <alignment horizontal="center" vertical="top" wrapText="1"/>
    </xf>
    <xf numFmtId="167" fontId="33" fillId="7" borderId="77" xfId="0" applyNumberFormat="1" applyFont="1" applyFill="1" applyBorder="1" applyAlignment="1">
      <alignment horizontal="center" vertical="top" wrapText="1"/>
    </xf>
    <xf numFmtId="167" fontId="33" fillId="7" borderId="78" xfId="0" applyNumberFormat="1" applyFont="1" applyFill="1" applyBorder="1" applyAlignment="1">
      <alignment horizontal="center" vertical="top" wrapText="1"/>
    </xf>
    <xf numFmtId="167" fontId="33" fillId="7" borderId="79" xfId="0" applyNumberFormat="1" applyFont="1" applyFill="1" applyBorder="1" applyAlignment="1">
      <alignment horizontal="center" vertical="top" wrapText="1"/>
    </xf>
    <xf numFmtId="167" fontId="33" fillId="7" borderId="80" xfId="0" applyNumberFormat="1" applyFont="1" applyFill="1" applyBorder="1" applyAlignment="1">
      <alignment horizontal="center" vertical="top" wrapText="1"/>
    </xf>
    <xf numFmtId="167" fontId="33" fillId="7" borderId="81" xfId="0" applyNumberFormat="1" applyFont="1" applyFill="1" applyBorder="1" applyAlignment="1">
      <alignment horizontal="center" vertical="top" wrapText="1"/>
    </xf>
    <xf numFmtId="167" fontId="34" fillId="7" borderId="48" xfId="0" applyNumberFormat="1" applyFont="1" applyFill="1" applyBorder="1" applyAlignment="1">
      <alignment horizontal="center" vertical="top" wrapText="1"/>
    </xf>
    <xf numFmtId="167" fontId="33" fillId="7" borderId="82" xfId="0" applyNumberFormat="1" applyFont="1" applyFill="1" applyBorder="1" applyAlignment="1">
      <alignment horizontal="center" vertical="top" wrapText="1"/>
    </xf>
    <xf numFmtId="167" fontId="34" fillId="7" borderId="83" xfId="0" applyNumberFormat="1" applyFont="1" applyFill="1" applyBorder="1" applyAlignment="1">
      <alignment horizontal="center" vertical="top" wrapText="1"/>
    </xf>
    <xf numFmtId="167" fontId="33" fillId="7" borderId="84" xfId="0" applyNumberFormat="1" applyFont="1" applyFill="1" applyBorder="1" applyAlignment="1">
      <alignment horizontal="center" vertical="top" wrapText="1"/>
    </xf>
    <xf numFmtId="167" fontId="33" fillId="7" borderId="83" xfId="0" applyNumberFormat="1" applyFont="1" applyFill="1" applyBorder="1" applyAlignment="1">
      <alignment horizontal="center" vertical="top" wrapText="1"/>
    </xf>
    <xf numFmtId="167" fontId="33" fillId="7" borderId="85" xfId="0" applyNumberFormat="1" applyFont="1" applyFill="1" applyBorder="1" applyAlignment="1">
      <alignment horizontal="center" vertical="top" wrapText="1"/>
    </xf>
    <xf numFmtId="167" fontId="33" fillId="7" borderId="86" xfId="0" applyNumberFormat="1" applyFont="1" applyFill="1" applyBorder="1" applyAlignment="1">
      <alignment horizontal="center" vertical="top" wrapText="1"/>
    </xf>
    <xf numFmtId="167" fontId="33" fillId="7" borderId="87" xfId="0" applyNumberFormat="1" applyFont="1" applyFill="1" applyBorder="1" applyAlignment="1">
      <alignment horizontal="center" vertical="top" wrapText="1"/>
    </xf>
    <xf numFmtId="167" fontId="33" fillId="7" borderId="88" xfId="0" applyNumberFormat="1" applyFont="1" applyFill="1" applyBorder="1" applyAlignment="1">
      <alignment horizontal="center" vertical="top" wrapText="1"/>
    </xf>
    <xf numFmtId="167" fontId="33" fillId="7" borderId="89" xfId="0" applyNumberFormat="1" applyFont="1" applyFill="1" applyBorder="1" applyAlignment="1">
      <alignment horizontal="center" vertical="top" wrapText="1"/>
    </xf>
    <xf numFmtId="167" fontId="33" fillId="7" borderId="90" xfId="0" applyNumberFormat="1" applyFont="1" applyFill="1" applyBorder="1" applyAlignment="1">
      <alignment horizontal="center" vertical="top" wrapText="1"/>
    </xf>
    <xf numFmtId="167" fontId="33" fillId="7" borderId="91" xfId="0" applyNumberFormat="1" applyFont="1" applyFill="1" applyBorder="1" applyAlignment="1">
      <alignment horizontal="center" vertical="top" wrapText="1"/>
    </xf>
    <xf numFmtId="167" fontId="33" fillId="7" borderId="92" xfId="0" applyNumberFormat="1" applyFont="1" applyFill="1" applyBorder="1" applyAlignment="1">
      <alignment horizontal="center" vertical="top" wrapText="1"/>
    </xf>
    <xf numFmtId="167" fontId="33" fillId="7" borderId="93" xfId="0" applyNumberFormat="1" applyFont="1" applyFill="1" applyBorder="1" applyAlignment="1">
      <alignment horizontal="center" vertical="top" wrapText="1"/>
    </xf>
    <xf numFmtId="167" fontId="33" fillId="7" borderId="94" xfId="0" applyNumberFormat="1" applyFont="1" applyFill="1" applyBorder="1" applyAlignment="1">
      <alignment horizontal="center" vertical="top" wrapText="1"/>
    </xf>
    <xf numFmtId="167" fontId="33" fillId="7" borderId="95" xfId="0" applyNumberFormat="1" applyFont="1" applyFill="1" applyBorder="1" applyAlignment="1">
      <alignment horizontal="center" vertical="top" wrapText="1"/>
    </xf>
    <xf numFmtId="167" fontId="33" fillId="7" borderId="96" xfId="0" applyNumberFormat="1" applyFont="1" applyFill="1" applyBorder="1" applyAlignment="1">
      <alignment horizontal="center" vertical="top" wrapText="1"/>
    </xf>
    <xf numFmtId="167" fontId="33" fillId="7" borderId="97" xfId="0" applyNumberFormat="1" applyFont="1" applyFill="1" applyBorder="1" applyAlignment="1">
      <alignment horizontal="center" vertical="top" wrapText="1"/>
    </xf>
    <xf numFmtId="167" fontId="33" fillId="7" borderId="98" xfId="0" applyNumberFormat="1" applyFont="1" applyFill="1" applyBorder="1" applyAlignment="1">
      <alignment horizontal="center" vertical="top" wrapText="1"/>
    </xf>
    <xf numFmtId="167" fontId="33" fillId="7" borderId="99" xfId="0" applyNumberFormat="1" applyFont="1" applyFill="1" applyBorder="1" applyAlignment="1">
      <alignment horizontal="center" vertical="top" wrapText="1"/>
    </xf>
    <xf numFmtId="167" fontId="33" fillId="7" borderId="100" xfId="0" applyNumberFormat="1" applyFont="1" applyFill="1" applyBorder="1" applyAlignment="1">
      <alignment horizontal="center" vertical="top" wrapText="1"/>
    </xf>
    <xf numFmtId="167" fontId="33" fillId="7" borderId="101" xfId="0" applyNumberFormat="1" applyFont="1" applyFill="1" applyBorder="1" applyAlignment="1">
      <alignment horizontal="center" vertical="top" wrapText="1"/>
    </xf>
    <xf numFmtId="167" fontId="33" fillId="7" borderId="102" xfId="0" applyNumberFormat="1" applyFont="1" applyFill="1" applyBorder="1" applyAlignment="1">
      <alignment horizontal="center" vertical="top" wrapText="1"/>
    </xf>
    <xf numFmtId="167" fontId="33" fillId="7" borderId="103" xfId="0" applyNumberFormat="1" applyFont="1" applyFill="1" applyBorder="1" applyAlignment="1">
      <alignment horizontal="center" vertical="top" wrapText="1"/>
    </xf>
    <xf numFmtId="167" fontId="33" fillId="7" borderId="104" xfId="0" applyNumberFormat="1" applyFont="1" applyFill="1" applyBorder="1" applyAlignment="1">
      <alignment horizontal="center" vertical="top" wrapText="1"/>
    </xf>
    <xf numFmtId="167" fontId="33" fillId="7" borderId="105" xfId="0" applyNumberFormat="1" applyFont="1" applyFill="1" applyBorder="1" applyAlignment="1">
      <alignment horizontal="center" vertical="top" wrapText="1"/>
    </xf>
    <xf numFmtId="167" fontId="33" fillId="7" borderId="106" xfId="0" applyNumberFormat="1" applyFont="1" applyFill="1" applyBorder="1" applyAlignment="1">
      <alignment horizontal="center" vertical="top" wrapText="1"/>
    </xf>
    <xf numFmtId="167" fontId="33" fillId="7" borderId="107" xfId="0" applyNumberFormat="1" applyFont="1" applyFill="1" applyBorder="1" applyAlignment="1">
      <alignment horizontal="center" vertical="top" wrapText="1"/>
    </xf>
    <xf numFmtId="167" fontId="33" fillId="7" borderId="108" xfId="0" applyNumberFormat="1" applyFont="1" applyFill="1" applyBorder="1" applyAlignment="1">
      <alignment horizontal="center" vertical="top" wrapText="1"/>
    </xf>
    <xf numFmtId="167" fontId="33" fillId="7" borderId="109" xfId="0" applyNumberFormat="1" applyFont="1" applyFill="1" applyBorder="1" applyAlignment="1">
      <alignment horizontal="center" vertical="top" wrapText="1"/>
    </xf>
    <xf numFmtId="167" fontId="33" fillId="7" borderId="110" xfId="0" applyNumberFormat="1" applyFont="1" applyFill="1" applyBorder="1" applyAlignment="1">
      <alignment horizontal="center" vertical="top" wrapText="1"/>
    </xf>
    <xf numFmtId="167" fontId="33" fillId="7" borderId="111" xfId="0" applyNumberFormat="1" applyFont="1" applyFill="1" applyBorder="1" applyAlignment="1">
      <alignment horizontal="center" vertical="top" wrapText="1"/>
    </xf>
    <xf numFmtId="167" fontId="33" fillId="7" borderId="112" xfId="0" applyNumberFormat="1" applyFont="1" applyFill="1" applyBorder="1" applyAlignment="1">
      <alignment horizontal="center" vertical="top" wrapText="1"/>
    </xf>
    <xf numFmtId="167" fontId="33" fillId="7" borderId="113" xfId="0" applyNumberFormat="1" applyFont="1" applyFill="1" applyBorder="1" applyAlignment="1">
      <alignment horizontal="center" vertical="top" wrapText="1"/>
    </xf>
    <xf numFmtId="167" fontId="33" fillId="7" borderId="114" xfId="0" applyNumberFormat="1" applyFont="1" applyFill="1" applyBorder="1" applyAlignment="1">
      <alignment horizontal="center" vertical="top" wrapText="1"/>
    </xf>
    <xf numFmtId="167" fontId="33" fillId="7" borderId="115" xfId="0" applyNumberFormat="1" applyFont="1" applyFill="1" applyBorder="1" applyAlignment="1">
      <alignment horizontal="center" vertical="top" wrapText="1"/>
    </xf>
    <xf numFmtId="167" fontId="33" fillId="7" borderId="116" xfId="0" applyNumberFormat="1" applyFont="1" applyFill="1" applyBorder="1" applyAlignment="1">
      <alignment horizontal="center" vertical="top" wrapText="1"/>
    </xf>
    <xf numFmtId="167" fontId="33" fillId="7" borderId="117" xfId="0" applyNumberFormat="1" applyFont="1" applyFill="1" applyBorder="1" applyAlignment="1">
      <alignment horizontal="center" vertical="top" wrapText="1"/>
    </xf>
    <xf numFmtId="167" fontId="33" fillId="7" borderId="118" xfId="0" applyNumberFormat="1" applyFont="1" applyFill="1" applyBorder="1" applyAlignment="1">
      <alignment horizontal="center" vertical="top" wrapText="1"/>
    </xf>
    <xf numFmtId="167" fontId="33" fillId="7" borderId="119" xfId="0" applyNumberFormat="1" applyFont="1" applyFill="1" applyBorder="1" applyAlignment="1">
      <alignment horizontal="center" vertical="top" wrapText="1"/>
    </xf>
    <xf numFmtId="167" fontId="33" fillId="7" borderId="120" xfId="0" applyNumberFormat="1" applyFont="1" applyFill="1" applyBorder="1" applyAlignment="1">
      <alignment horizontal="center" vertical="top" wrapText="1"/>
    </xf>
    <xf numFmtId="167" fontId="33" fillId="7" borderId="121" xfId="0" applyNumberFormat="1" applyFont="1" applyFill="1" applyBorder="1" applyAlignment="1">
      <alignment horizontal="center" vertical="top" wrapText="1"/>
    </xf>
    <xf numFmtId="167" fontId="33" fillId="7" borderId="122" xfId="0" applyNumberFormat="1" applyFont="1" applyFill="1" applyBorder="1" applyAlignment="1">
      <alignment horizontal="center" vertical="top" wrapText="1"/>
    </xf>
    <xf numFmtId="167" fontId="33" fillId="7" borderId="123" xfId="0" applyNumberFormat="1" applyFont="1" applyFill="1" applyBorder="1" applyAlignment="1">
      <alignment horizontal="center" vertical="top" wrapText="1"/>
    </xf>
    <xf numFmtId="167" fontId="33" fillId="7" borderId="124" xfId="0" applyNumberFormat="1" applyFont="1" applyFill="1" applyBorder="1" applyAlignment="1">
      <alignment horizontal="center" vertical="top" wrapText="1"/>
    </xf>
    <xf numFmtId="167" fontId="33" fillId="7" borderId="125" xfId="0" applyNumberFormat="1" applyFont="1" applyFill="1" applyBorder="1" applyAlignment="1">
      <alignment horizontal="center" vertical="top" wrapText="1"/>
    </xf>
    <xf numFmtId="167" fontId="33" fillId="7" borderId="126" xfId="0" applyNumberFormat="1" applyFont="1" applyFill="1" applyBorder="1" applyAlignment="1">
      <alignment horizontal="center" vertical="top" wrapText="1"/>
    </xf>
    <xf numFmtId="167" fontId="33" fillId="7" borderId="127" xfId="0" applyNumberFormat="1" applyFont="1" applyFill="1" applyBorder="1" applyAlignment="1">
      <alignment horizontal="center" vertical="top" wrapText="1"/>
    </xf>
    <xf numFmtId="167" fontId="33" fillId="7" borderId="128" xfId="0" applyNumberFormat="1" applyFont="1" applyFill="1" applyBorder="1" applyAlignment="1">
      <alignment horizontal="center" vertical="top" wrapText="1"/>
    </xf>
    <xf numFmtId="167" fontId="33" fillId="7" borderId="129" xfId="0" applyNumberFormat="1" applyFont="1" applyFill="1" applyBorder="1" applyAlignment="1">
      <alignment horizontal="center" vertical="top" wrapText="1"/>
    </xf>
    <xf numFmtId="167" fontId="33" fillId="7" borderId="130" xfId="0" applyNumberFormat="1" applyFont="1" applyFill="1" applyBorder="1" applyAlignment="1">
      <alignment horizontal="center" vertical="top" wrapText="1"/>
    </xf>
    <xf numFmtId="167" fontId="33" fillId="7" borderId="131" xfId="0" applyNumberFormat="1" applyFont="1" applyFill="1" applyBorder="1" applyAlignment="1">
      <alignment horizontal="center" vertical="top" wrapText="1"/>
    </xf>
    <xf numFmtId="167" fontId="33" fillId="7" borderId="132" xfId="0" applyNumberFormat="1" applyFont="1" applyFill="1" applyBorder="1" applyAlignment="1">
      <alignment horizontal="center" vertical="top" wrapText="1"/>
    </xf>
    <xf numFmtId="167" fontId="33" fillId="7" borderId="133" xfId="0" applyNumberFormat="1" applyFont="1" applyFill="1" applyBorder="1" applyAlignment="1">
      <alignment horizontal="center" vertical="top" wrapText="1"/>
    </xf>
    <xf numFmtId="167" fontId="33" fillId="7" borderId="134" xfId="0" applyNumberFormat="1" applyFont="1" applyFill="1" applyBorder="1" applyAlignment="1">
      <alignment horizontal="center" vertical="top" wrapText="1"/>
    </xf>
    <xf numFmtId="167" fontId="33" fillId="7" borderId="135" xfId="0" applyNumberFormat="1" applyFont="1" applyFill="1" applyBorder="1" applyAlignment="1">
      <alignment horizontal="center" vertical="top" wrapText="1"/>
    </xf>
    <xf numFmtId="167" fontId="33" fillId="7" borderId="136" xfId="0" applyNumberFormat="1" applyFont="1" applyFill="1" applyBorder="1" applyAlignment="1">
      <alignment horizontal="center" vertical="top" wrapText="1"/>
    </xf>
    <xf numFmtId="167" fontId="33" fillId="7" borderId="137" xfId="0" applyNumberFormat="1" applyFont="1" applyFill="1" applyBorder="1" applyAlignment="1">
      <alignment horizontal="center" vertical="top" wrapText="1"/>
    </xf>
    <xf numFmtId="167" fontId="33" fillId="7" borderId="138" xfId="0" applyNumberFormat="1" applyFont="1" applyFill="1" applyBorder="1" applyAlignment="1">
      <alignment horizontal="center" vertical="top" wrapText="1"/>
    </xf>
    <xf numFmtId="167" fontId="33" fillId="7" borderId="139" xfId="0" applyNumberFormat="1" applyFont="1" applyFill="1" applyBorder="1" applyAlignment="1">
      <alignment horizontal="center" vertical="top" wrapText="1"/>
    </xf>
    <xf numFmtId="167" fontId="33" fillId="7" borderId="140" xfId="0" applyNumberFormat="1" applyFont="1" applyFill="1" applyBorder="1" applyAlignment="1">
      <alignment horizontal="center" vertical="top" wrapText="1"/>
    </xf>
    <xf numFmtId="167" fontId="33" fillId="7" borderId="141" xfId="0" applyNumberFormat="1" applyFont="1" applyFill="1" applyBorder="1" applyAlignment="1">
      <alignment horizontal="center" vertical="top" wrapText="1"/>
    </xf>
    <xf numFmtId="167" fontId="33" fillId="7" borderId="142" xfId="0" applyNumberFormat="1" applyFont="1" applyFill="1" applyBorder="1" applyAlignment="1">
      <alignment horizontal="center" vertical="top" wrapText="1"/>
    </xf>
    <xf numFmtId="167" fontId="33" fillId="7" borderId="143" xfId="0" applyNumberFormat="1" applyFont="1" applyFill="1" applyBorder="1" applyAlignment="1">
      <alignment horizontal="center" vertical="top" wrapText="1"/>
    </xf>
    <xf numFmtId="167" fontId="33" fillId="7" borderId="144" xfId="0" applyNumberFormat="1" applyFont="1" applyFill="1" applyBorder="1" applyAlignment="1">
      <alignment horizontal="center" vertical="top" wrapText="1"/>
    </xf>
    <xf numFmtId="167" fontId="33" fillId="7" borderId="145" xfId="0" applyNumberFormat="1" applyFont="1" applyFill="1" applyBorder="1" applyAlignment="1">
      <alignment horizontal="center" vertical="top" wrapText="1"/>
    </xf>
    <xf numFmtId="167" fontId="33" fillId="7" borderId="146" xfId="0" applyNumberFormat="1" applyFont="1" applyFill="1" applyBorder="1" applyAlignment="1">
      <alignment horizontal="center" vertical="top" wrapText="1"/>
    </xf>
    <xf numFmtId="167" fontId="33" fillId="7" borderId="147" xfId="0" applyNumberFormat="1" applyFont="1" applyFill="1" applyBorder="1" applyAlignment="1">
      <alignment horizontal="center" vertical="top" wrapText="1"/>
    </xf>
    <xf numFmtId="167" fontId="33" fillId="7" borderId="148" xfId="0" applyNumberFormat="1" applyFont="1" applyFill="1" applyBorder="1" applyAlignment="1">
      <alignment horizontal="center" vertical="top" wrapText="1"/>
    </xf>
    <xf numFmtId="167" fontId="33" fillId="7" borderId="149" xfId="0" applyNumberFormat="1" applyFont="1" applyFill="1" applyBorder="1" applyAlignment="1">
      <alignment horizontal="center" vertical="top" wrapText="1"/>
    </xf>
    <xf numFmtId="167" fontId="33" fillId="7" borderId="150" xfId="0" applyNumberFormat="1" applyFont="1" applyFill="1" applyBorder="1" applyAlignment="1">
      <alignment horizontal="center" vertical="top" wrapText="1"/>
    </xf>
    <xf numFmtId="167" fontId="33" fillId="7" borderId="151" xfId="0" applyNumberFormat="1" applyFont="1" applyFill="1" applyBorder="1" applyAlignment="1">
      <alignment horizontal="center" vertical="top" wrapText="1"/>
    </xf>
    <xf numFmtId="167" fontId="33" fillId="7" borderId="152" xfId="0" applyNumberFormat="1" applyFont="1" applyFill="1" applyBorder="1" applyAlignment="1">
      <alignment horizontal="center" vertical="top" wrapText="1"/>
    </xf>
    <xf numFmtId="167" fontId="33" fillId="7" borderId="153" xfId="0" applyNumberFormat="1" applyFont="1" applyFill="1" applyBorder="1" applyAlignment="1">
      <alignment horizontal="center" vertical="top" wrapText="1"/>
    </xf>
    <xf numFmtId="167" fontId="33" fillId="7" borderId="154" xfId="0" applyNumberFormat="1" applyFont="1" applyFill="1" applyBorder="1" applyAlignment="1">
      <alignment horizontal="center" vertical="top" wrapText="1"/>
    </xf>
    <xf numFmtId="167" fontId="33" fillId="7" borderId="155" xfId="0" applyNumberFormat="1" applyFont="1" applyFill="1" applyBorder="1" applyAlignment="1">
      <alignment horizontal="center" vertical="top" wrapText="1"/>
    </xf>
    <xf numFmtId="167" fontId="33" fillId="7" borderId="156" xfId="0" applyNumberFormat="1" applyFont="1" applyFill="1" applyBorder="1" applyAlignment="1">
      <alignment horizontal="center" vertical="top" wrapText="1"/>
    </xf>
    <xf numFmtId="167" fontId="33" fillId="7" borderId="157" xfId="0" applyNumberFormat="1" applyFont="1" applyFill="1" applyBorder="1" applyAlignment="1">
      <alignment horizontal="center" vertical="top" wrapText="1"/>
    </xf>
    <xf numFmtId="167" fontId="33" fillId="7" borderId="158" xfId="0" applyNumberFormat="1" applyFont="1" applyFill="1" applyBorder="1" applyAlignment="1">
      <alignment horizontal="center" vertical="top" wrapText="1"/>
    </xf>
    <xf numFmtId="167" fontId="33" fillId="7" borderId="159" xfId="0" applyNumberFormat="1" applyFont="1" applyFill="1" applyBorder="1" applyAlignment="1">
      <alignment horizontal="center" vertical="top" wrapText="1"/>
    </xf>
    <xf numFmtId="167" fontId="33" fillId="7" borderId="160" xfId="0" applyNumberFormat="1" applyFont="1" applyFill="1" applyBorder="1" applyAlignment="1">
      <alignment horizontal="center" vertical="top" wrapText="1"/>
    </xf>
    <xf numFmtId="167" fontId="33" fillId="7" borderId="161" xfId="0" applyNumberFormat="1" applyFont="1" applyFill="1" applyBorder="1" applyAlignment="1">
      <alignment horizontal="center" vertical="top" wrapText="1"/>
    </xf>
    <xf numFmtId="167" fontId="33" fillId="7" borderId="162" xfId="0" applyNumberFormat="1" applyFont="1" applyFill="1" applyBorder="1" applyAlignment="1">
      <alignment horizontal="center" vertical="top" wrapText="1"/>
    </xf>
    <xf numFmtId="167" fontId="33" fillId="7" borderId="163" xfId="0" applyNumberFormat="1" applyFont="1" applyFill="1" applyBorder="1" applyAlignment="1">
      <alignment horizontal="center" vertical="top" wrapText="1"/>
    </xf>
    <xf numFmtId="167" fontId="33" fillId="7" borderId="164" xfId="0" applyNumberFormat="1" applyFont="1" applyFill="1" applyBorder="1" applyAlignment="1">
      <alignment horizontal="center" vertical="top" wrapText="1"/>
    </xf>
    <xf numFmtId="167" fontId="33" fillId="7" borderId="165" xfId="0" applyNumberFormat="1" applyFont="1" applyFill="1" applyBorder="1" applyAlignment="1">
      <alignment horizontal="center" vertical="top" wrapText="1"/>
    </xf>
    <xf numFmtId="167" fontId="33" fillId="7" borderId="166" xfId="0" applyNumberFormat="1" applyFont="1" applyFill="1" applyBorder="1" applyAlignment="1">
      <alignment horizontal="center" vertical="top" wrapText="1"/>
    </xf>
    <xf numFmtId="167" fontId="33" fillId="7" borderId="167" xfId="0" applyNumberFormat="1" applyFont="1" applyFill="1" applyBorder="1" applyAlignment="1">
      <alignment horizontal="center" vertical="top" wrapText="1"/>
    </xf>
    <xf numFmtId="167" fontId="33" fillId="7" borderId="168" xfId="0" applyNumberFormat="1" applyFont="1" applyFill="1" applyBorder="1" applyAlignment="1">
      <alignment horizontal="center" vertical="top" wrapText="1"/>
    </xf>
    <xf numFmtId="167" fontId="33" fillId="7" borderId="169" xfId="0" applyNumberFormat="1" applyFont="1" applyFill="1" applyBorder="1" applyAlignment="1">
      <alignment horizontal="center" vertical="top" wrapText="1"/>
    </xf>
    <xf numFmtId="167" fontId="33" fillId="7" borderId="170" xfId="0" applyNumberFormat="1" applyFont="1" applyFill="1" applyBorder="1" applyAlignment="1">
      <alignment horizontal="center" vertical="top" wrapText="1"/>
    </xf>
    <xf numFmtId="167" fontId="33" fillId="7" borderId="171" xfId="0" applyNumberFormat="1" applyFont="1" applyFill="1" applyBorder="1" applyAlignment="1">
      <alignment horizontal="center" vertical="top" wrapText="1"/>
    </xf>
    <xf numFmtId="167" fontId="33" fillId="7" borderId="172" xfId="0" applyNumberFormat="1" applyFont="1" applyFill="1" applyBorder="1" applyAlignment="1">
      <alignment horizontal="center" vertical="top" wrapText="1"/>
    </xf>
    <xf numFmtId="167" fontId="33" fillId="7" borderId="173" xfId="0" applyNumberFormat="1" applyFont="1" applyFill="1" applyBorder="1" applyAlignment="1">
      <alignment horizontal="center" vertical="top" wrapText="1"/>
    </xf>
    <xf numFmtId="166" fontId="33" fillId="7" borderId="174" xfId="0" applyNumberFormat="1" applyFont="1" applyFill="1" applyBorder="1" applyAlignment="1">
      <alignment horizontal="center" vertical="top" wrapText="1"/>
    </xf>
    <xf numFmtId="167" fontId="33" fillId="7" borderId="175" xfId="0" applyNumberFormat="1" applyFont="1" applyFill="1" applyBorder="1" applyAlignment="1">
      <alignment horizontal="center" vertical="top" wrapText="1"/>
    </xf>
    <xf numFmtId="166" fontId="33" fillId="7" borderId="173" xfId="0" applyNumberFormat="1" applyFont="1" applyFill="1" applyBorder="1" applyAlignment="1">
      <alignment horizontal="center" vertical="top" wrapText="1"/>
    </xf>
    <xf numFmtId="167" fontId="33" fillId="7" borderId="176" xfId="0" applyNumberFormat="1" applyFont="1" applyFill="1" applyBorder="1" applyAlignment="1">
      <alignment horizontal="center" vertical="top" wrapText="1"/>
    </xf>
    <xf numFmtId="166" fontId="33" fillId="7" borderId="175" xfId="0" applyNumberFormat="1" applyFont="1" applyFill="1" applyBorder="1" applyAlignment="1">
      <alignment horizontal="center" vertical="top" wrapText="1"/>
    </xf>
    <xf numFmtId="166" fontId="33" fillId="7" borderId="176" xfId="0" applyNumberFormat="1" applyFont="1" applyFill="1" applyBorder="1" applyAlignment="1">
      <alignment horizontal="center" vertical="top" wrapText="1"/>
    </xf>
    <xf numFmtId="166" fontId="33" fillId="7" borderId="177" xfId="0" applyNumberFormat="1" applyFont="1" applyFill="1" applyBorder="1" applyAlignment="1">
      <alignment horizontal="center" vertical="top" wrapText="1"/>
    </xf>
    <xf numFmtId="167" fontId="33" fillId="7" borderId="178" xfId="0" applyNumberFormat="1" applyFont="1" applyFill="1" applyBorder="1" applyAlignment="1">
      <alignment horizontal="center" vertical="top" wrapText="1"/>
    </xf>
    <xf numFmtId="166" fontId="33" fillId="7" borderId="179" xfId="0" applyNumberFormat="1" applyFont="1" applyFill="1" applyBorder="1" applyAlignment="1">
      <alignment horizontal="center" vertical="top" wrapText="1"/>
    </xf>
    <xf numFmtId="167" fontId="33" fillId="7" borderId="180" xfId="0" applyNumberFormat="1" applyFont="1" applyFill="1" applyBorder="1" applyAlignment="1">
      <alignment horizontal="center" vertical="top" wrapText="1"/>
    </xf>
    <xf numFmtId="166" fontId="33" fillId="7" borderId="91" xfId="0" applyNumberFormat="1" applyFont="1" applyFill="1" applyBorder="1" applyAlignment="1">
      <alignment horizontal="center" vertical="top" wrapText="1"/>
    </xf>
    <xf numFmtId="166" fontId="33" fillId="7" borderId="92" xfId="0" applyNumberFormat="1" applyFont="1" applyFill="1" applyBorder="1" applyAlignment="1">
      <alignment horizontal="center" vertical="top" wrapText="1"/>
    </xf>
    <xf numFmtId="166" fontId="33" fillId="7" borderId="152" xfId="0" applyNumberFormat="1" applyFont="1" applyFill="1" applyBorder="1" applyAlignment="1">
      <alignment horizontal="center" vertical="top" wrapText="1"/>
    </xf>
    <xf numFmtId="166" fontId="33" fillId="7" borderId="129" xfId="0" applyNumberFormat="1" applyFont="1" applyFill="1" applyBorder="1" applyAlignment="1">
      <alignment horizontal="center" vertical="top" wrapText="1"/>
    </xf>
    <xf numFmtId="166" fontId="33" fillId="7" borderId="181" xfId="0" applyNumberFormat="1" applyFont="1" applyFill="1" applyBorder="1" applyAlignment="1">
      <alignment horizontal="center" vertical="top" wrapText="1"/>
    </xf>
    <xf numFmtId="166" fontId="33" fillId="7" borderId="151" xfId="0" applyNumberFormat="1" applyFont="1" applyFill="1" applyBorder="1" applyAlignment="1">
      <alignment horizontal="center" vertical="top" wrapText="1"/>
    </xf>
    <xf numFmtId="167" fontId="33" fillId="7" borderId="182" xfId="0" applyNumberFormat="1" applyFont="1" applyFill="1" applyBorder="1" applyAlignment="1">
      <alignment horizontal="center" vertical="top" wrapText="1"/>
    </xf>
    <xf numFmtId="166" fontId="33" fillId="7" borderId="183" xfId="0" applyNumberFormat="1" applyFont="1" applyFill="1" applyBorder="1" applyAlignment="1">
      <alignment horizontal="center" vertical="top" wrapText="1"/>
    </xf>
    <xf numFmtId="166" fontId="33" fillId="7" borderId="184" xfId="0" applyNumberFormat="1" applyFont="1" applyFill="1" applyBorder="1" applyAlignment="1">
      <alignment horizontal="center" vertical="top" wrapText="1"/>
    </xf>
    <xf numFmtId="166" fontId="33" fillId="7" borderId="185" xfId="0" applyNumberFormat="1" applyFont="1" applyFill="1" applyBorder="1" applyAlignment="1">
      <alignment horizontal="center" vertical="top" wrapText="1"/>
    </xf>
    <xf numFmtId="166" fontId="33" fillId="7" borderId="186" xfId="0" applyNumberFormat="1" applyFont="1" applyFill="1" applyBorder="1" applyAlignment="1">
      <alignment horizontal="center" vertical="top" wrapText="1"/>
    </xf>
    <xf numFmtId="166" fontId="33" fillId="7" borderId="187" xfId="0" applyNumberFormat="1" applyFont="1" applyFill="1" applyBorder="1" applyAlignment="1">
      <alignment horizontal="center" vertical="top" wrapText="1"/>
    </xf>
    <xf numFmtId="166" fontId="33" fillId="7" borderId="83" xfId="0" applyNumberFormat="1" applyFont="1" applyFill="1" applyBorder="1" applyAlignment="1">
      <alignment horizontal="center" vertical="top" wrapText="1"/>
    </xf>
    <xf numFmtId="166" fontId="33" fillId="7" borderId="84" xfId="0" applyNumberFormat="1" applyFont="1" applyFill="1" applyBorder="1" applyAlignment="1">
      <alignment horizontal="center" vertical="top" wrapText="1"/>
    </xf>
    <xf numFmtId="166" fontId="33" fillId="7" borderId="188" xfId="0" applyNumberFormat="1" applyFont="1" applyFill="1" applyBorder="1" applyAlignment="1">
      <alignment horizontal="center" vertical="top" wrapText="1"/>
    </xf>
    <xf numFmtId="167" fontId="33" fillId="7" borderId="189" xfId="0" applyNumberFormat="1" applyFont="1" applyFill="1" applyBorder="1" applyAlignment="1">
      <alignment horizontal="center" vertical="top" wrapText="1"/>
    </xf>
    <xf numFmtId="166" fontId="33" fillId="7" borderId="190" xfId="0" applyNumberFormat="1" applyFont="1" applyFill="1" applyBorder="1" applyAlignment="1">
      <alignment horizontal="center" vertical="top" wrapText="1"/>
    </xf>
    <xf numFmtId="167" fontId="33" fillId="7" borderId="191" xfId="0" applyNumberFormat="1" applyFont="1" applyFill="1" applyBorder="1" applyAlignment="1">
      <alignment horizontal="center" vertical="top" wrapText="1"/>
    </xf>
    <xf numFmtId="166" fontId="33" fillId="7" borderId="192" xfId="0" applyNumberFormat="1" applyFont="1" applyFill="1" applyBorder="1" applyAlignment="1">
      <alignment horizontal="center" vertical="top" wrapText="1"/>
    </xf>
    <xf numFmtId="166" fontId="33" fillId="7" borderId="193" xfId="0" applyNumberFormat="1" applyFont="1" applyFill="1" applyBorder="1" applyAlignment="1">
      <alignment horizontal="center" vertical="top" wrapText="1"/>
    </xf>
    <xf numFmtId="167" fontId="33" fillId="7" borderId="194" xfId="0" applyNumberFormat="1" applyFont="1" applyFill="1" applyBorder="1" applyAlignment="1">
      <alignment horizontal="center" vertical="top" wrapText="1"/>
    </xf>
    <xf numFmtId="0" fontId="33" fillId="0" borderId="0" xfId="0" applyFont="1"/>
    <xf numFmtId="0" fontId="35" fillId="4" borderId="0" xfId="4" applyFont="1" applyBorder="1" applyAlignment="1"/>
    <xf numFmtId="44" fontId="25" fillId="5" borderId="0" xfId="8" applyFont="1" applyFill="1" applyBorder="1"/>
    <xf numFmtId="0" fontId="36" fillId="7" borderId="195" xfId="0" applyFont="1" applyFill="1" applyBorder="1" applyAlignment="1">
      <alignment horizontal="center" vertical="top" wrapText="1"/>
    </xf>
    <xf numFmtId="0" fontId="0" fillId="0" borderId="0" xfId="0" applyFont="1"/>
    <xf numFmtId="0" fontId="36" fillId="7" borderId="196" xfId="0" applyFont="1" applyFill="1" applyBorder="1" applyAlignment="1">
      <alignment horizontal="left" vertical="top" wrapText="1"/>
    </xf>
    <xf numFmtId="9" fontId="33" fillId="7" borderId="197" xfId="21" applyFont="1" applyFill="1" applyBorder="1" applyAlignment="1">
      <alignment horizontal="center" vertical="top" wrapText="1"/>
    </xf>
    <xf numFmtId="9" fontId="33" fillId="7" borderId="198" xfId="21" applyFont="1" applyFill="1" applyBorder="1" applyAlignment="1">
      <alignment horizontal="center" vertical="top" wrapText="1"/>
    </xf>
    <xf numFmtId="9" fontId="33" fillId="7" borderId="199" xfId="21" applyFont="1" applyFill="1" applyBorder="1" applyAlignment="1">
      <alignment horizontal="center" vertical="top" wrapText="1"/>
    </xf>
    <xf numFmtId="9" fontId="33" fillId="7" borderId="200" xfId="21" applyFont="1" applyFill="1" applyBorder="1" applyAlignment="1">
      <alignment horizontal="center" vertical="top" wrapText="1"/>
    </xf>
    <xf numFmtId="9" fontId="33" fillId="7" borderId="201" xfId="21" applyFont="1" applyFill="1" applyBorder="1" applyAlignment="1">
      <alignment horizontal="center" vertical="top" wrapText="1"/>
    </xf>
    <xf numFmtId="9" fontId="33" fillId="7" borderId="202" xfId="21" applyFont="1" applyFill="1" applyBorder="1" applyAlignment="1">
      <alignment horizontal="center" vertical="top" wrapText="1"/>
    </xf>
    <xf numFmtId="9" fontId="33" fillId="7" borderId="203" xfId="21" applyFont="1" applyFill="1" applyBorder="1" applyAlignment="1">
      <alignment horizontal="center" vertical="top" wrapText="1"/>
    </xf>
    <xf numFmtId="9" fontId="33" fillId="7" borderId="204" xfId="21" applyFont="1" applyFill="1" applyBorder="1" applyAlignment="1">
      <alignment horizontal="center" vertical="top" wrapText="1"/>
    </xf>
    <xf numFmtId="9" fontId="33" fillId="7" borderId="205" xfId="21" applyFont="1" applyFill="1" applyBorder="1" applyAlignment="1">
      <alignment horizontal="center" vertical="top" wrapText="1"/>
    </xf>
    <xf numFmtId="9" fontId="33" fillId="7" borderId="206" xfId="21" applyFont="1" applyFill="1" applyBorder="1" applyAlignment="1">
      <alignment horizontal="center" vertical="top" wrapText="1"/>
    </xf>
    <xf numFmtId="9" fontId="33" fillId="7" borderId="207" xfId="21" applyFont="1" applyFill="1" applyBorder="1" applyAlignment="1">
      <alignment horizontal="center" vertical="top" wrapText="1"/>
    </xf>
    <xf numFmtId="9" fontId="33" fillId="7" borderId="208" xfId="21" applyFont="1" applyFill="1" applyBorder="1" applyAlignment="1">
      <alignment horizontal="center" vertical="top" wrapText="1"/>
    </xf>
    <xf numFmtId="9" fontId="33" fillId="7" borderId="209" xfId="21" applyFont="1" applyFill="1" applyBorder="1" applyAlignment="1">
      <alignment horizontal="center" vertical="top" wrapText="1"/>
    </xf>
    <xf numFmtId="9" fontId="33" fillId="7" borderId="62" xfId="21" applyFont="1" applyFill="1" applyBorder="1" applyAlignment="1">
      <alignment horizontal="center" vertical="top" wrapText="1"/>
    </xf>
    <xf numFmtId="9" fontId="33" fillId="7" borderId="64" xfId="21" applyFont="1" applyFill="1" applyBorder="1" applyAlignment="1">
      <alignment horizontal="center" vertical="top" wrapText="1"/>
    </xf>
    <xf numFmtId="9" fontId="33" fillId="7" borderId="66" xfId="21" applyFont="1" applyFill="1" applyBorder="1" applyAlignment="1">
      <alignment horizontal="center" vertical="top" wrapText="1"/>
    </xf>
    <xf numFmtId="9" fontId="33" fillId="7" borderId="210" xfId="21" applyFont="1" applyFill="1" applyBorder="1" applyAlignment="1">
      <alignment horizontal="center" vertical="top" wrapText="1"/>
    </xf>
    <xf numFmtId="9" fontId="33" fillId="7" borderId="69" xfId="21" applyFont="1" applyFill="1" applyBorder="1" applyAlignment="1">
      <alignment horizontal="center" vertical="top" wrapText="1"/>
    </xf>
    <xf numFmtId="9" fontId="33" fillId="7" borderId="71" xfId="21" applyFont="1" applyFill="1" applyBorder="1" applyAlignment="1">
      <alignment horizontal="center" vertical="top" wrapText="1"/>
    </xf>
    <xf numFmtId="9" fontId="33" fillId="7" borderId="211" xfId="21" applyFont="1" applyFill="1" applyBorder="1" applyAlignment="1">
      <alignment horizontal="center" vertical="top" wrapText="1"/>
    </xf>
    <xf numFmtId="9" fontId="33" fillId="7" borderId="212" xfId="21" applyFont="1" applyFill="1" applyBorder="1" applyAlignment="1">
      <alignment horizontal="center" vertical="top" wrapText="1"/>
    </xf>
    <xf numFmtId="9" fontId="33" fillId="7" borderId="75" xfId="21" applyFont="1" applyFill="1" applyBorder="1" applyAlignment="1">
      <alignment horizontal="center" vertical="top" wrapText="1"/>
    </xf>
    <xf numFmtId="9" fontId="33" fillId="7" borderId="213" xfId="21" applyFont="1" applyFill="1" applyBorder="1" applyAlignment="1">
      <alignment horizontal="center" vertical="top" wrapText="1"/>
    </xf>
    <xf numFmtId="9" fontId="33" fillId="7" borderId="214" xfId="21" applyFont="1" applyFill="1" applyBorder="1" applyAlignment="1">
      <alignment horizontal="center" vertical="top" wrapText="1"/>
    </xf>
    <xf numFmtId="9" fontId="33" fillId="7" borderId="215" xfId="21" applyFont="1" applyFill="1" applyBorder="1" applyAlignment="1">
      <alignment horizontal="center" vertical="top" wrapText="1"/>
    </xf>
    <xf numFmtId="9" fontId="33" fillId="7" borderId="43" xfId="21" applyFont="1" applyFill="1" applyBorder="1" applyAlignment="1">
      <alignment horizontal="center" vertical="top" wrapText="1"/>
    </xf>
    <xf numFmtId="9" fontId="33" fillId="7" borderId="83" xfId="21" applyFont="1" applyFill="1" applyBorder="1" applyAlignment="1">
      <alignment horizontal="center" vertical="top" wrapText="1"/>
    </xf>
    <xf numFmtId="9" fontId="33" fillId="7" borderId="84" xfId="21" applyFont="1" applyFill="1" applyBorder="1" applyAlignment="1">
      <alignment horizontal="center" vertical="top" wrapText="1"/>
    </xf>
    <xf numFmtId="9" fontId="33" fillId="7" borderId="46" xfId="21" applyFont="1" applyFill="1" applyBorder="1" applyAlignment="1">
      <alignment horizontal="center" vertical="top" wrapText="1"/>
    </xf>
    <xf numFmtId="9" fontId="33" fillId="7" borderId="216" xfId="21" applyFont="1" applyFill="1" applyBorder="1" applyAlignment="1">
      <alignment horizontal="center" vertical="top" wrapText="1"/>
    </xf>
    <xf numFmtId="9" fontId="33" fillId="7" borderId="217" xfId="21" applyFont="1" applyFill="1" applyBorder="1" applyAlignment="1">
      <alignment horizontal="center" vertical="top" wrapText="1"/>
    </xf>
    <xf numFmtId="9" fontId="33" fillId="7" borderId="218" xfId="21" applyFont="1" applyFill="1" applyBorder="1" applyAlignment="1">
      <alignment horizontal="center" vertical="top" wrapText="1"/>
    </xf>
    <xf numFmtId="9" fontId="33" fillId="7" borderId="219" xfId="21" applyFont="1" applyFill="1" applyBorder="1" applyAlignment="1">
      <alignment horizontal="center" vertical="top" wrapText="1"/>
    </xf>
    <xf numFmtId="9" fontId="33" fillId="7" borderId="220" xfId="21" applyFont="1" applyFill="1" applyBorder="1" applyAlignment="1">
      <alignment horizontal="center" vertical="top" wrapText="1"/>
    </xf>
    <xf numFmtId="9" fontId="33" fillId="7" borderId="221" xfId="21" applyFont="1" applyFill="1" applyBorder="1" applyAlignment="1">
      <alignment horizontal="center" vertical="top" wrapText="1"/>
    </xf>
    <xf numFmtId="9" fontId="33" fillId="7" borderId="222" xfId="21" applyFont="1" applyFill="1" applyBorder="1" applyAlignment="1">
      <alignment horizontal="center" vertical="top" wrapText="1"/>
    </xf>
    <xf numFmtId="9" fontId="33" fillId="7" borderId="223" xfId="21" applyFont="1" applyFill="1" applyBorder="1" applyAlignment="1">
      <alignment horizontal="center" vertical="top" wrapText="1"/>
    </xf>
    <xf numFmtId="9" fontId="33" fillId="7" borderId="224" xfId="21" applyFont="1" applyFill="1" applyBorder="1" applyAlignment="1">
      <alignment horizontal="center" vertical="top" wrapText="1"/>
    </xf>
    <xf numFmtId="9" fontId="33" fillId="7" borderId="225" xfId="21" applyFont="1" applyFill="1" applyBorder="1" applyAlignment="1">
      <alignment horizontal="center" vertical="top" wrapText="1"/>
    </xf>
    <xf numFmtId="9" fontId="33" fillId="7" borderId="226" xfId="21" applyFont="1" applyFill="1" applyBorder="1" applyAlignment="1">
      <alignment horizontal="center" vertical="top" wrapText="1"/>
    </xf>
    <xf numFmtId="9" fontId="34" fillId="7" borderId="217" xfId="21" applyFont="1" applyFill="1" applyBorder="1" applyAlignment="1">
      <alignment horizontal="center" vertical="top" wrapText="1"/>
    </xf>
    <xf numFmtId="9" fontId="33" fillId="7" borderId="227" xfId="21" applyFont="1" applyFill="1" applyBorder="1" applyAlignment="1">
      <alignment horizontal="center" vertical="top" wrapText="1"/>
    </xf>
    <xf numFmtId="9" fontId="33" fillId="7" borderId="228" xfId="21" applyFont="1" applyFill="1" applyBorder="1" applyAlignment="1">
      <alignment horizontal="center" vertical="top" wrapText="1"/>
    </xf>
    <xf numFmtId="9" fontId="33" fillId="7" borderId="229" xfId="21" applyFont="1" applyFill="1" applyBorder="1" applyAlignment="1">
      <alignment horizontal="center" vertical="top" wrapText="1"/>
    </xf>
    <xf numFmtId="9" fontId="33" fillId="7" borderId="230" xfId="21" applyFont="1" applyFill="1" applyBorder="1" applyAlignment="1">
      <alignment horizontal="center" vertical="top" wrapText="1"/>
    </xf>
    <xf numFmtId="9" fontId="33" fillId="7" borderId="231" xfId="21" applyFont="1" applyFill="1" applyBorder="1" applyAlignment="1">
      <alignment horizontal="center" vertical="top" wrapText="1"/>
    </xf>
    <xf numFmtId="9" fontId="33" fillId="7" borderId="232" xfId="21" applyFont="1" applyFill="1" applyBorder="1" applyAlignment="1">
      <alignment horizontal="center" vertical="top" wrapText="1"/>
    </xf>
    <xf numFmtId="9" fontId="33" fillId="7" borderId="233" xfId="21" applyFont="1" applyFill="1" applyBorder="1" applyAlignment="1">
      <alignment horizontal="center" vertical="top" wrapText="1"/>
    </xf>
    <xf numFmtId="9" fontId="33" fillId="7" borderId="234" xfId="21" applyFont="1" applyFill="1" applyBorder="1" applyAlignment="1">
      <alignment horizontal="center" vertical="top" wrapText="1"/>
    </xf>
    <xf numFmtId="9" fontId="33" fillId="7" borderId="235" xfId="21" applyFont="1" applyFill="1" applyBorder="1" applyAlignment="1">
      <alignment horizontal="center" vertical="top" wrapText="1"/>
    </xf>
    <xf numFmtId="9" fontId="33" fillId="7" borderId="236" xfId="21" applyFont="1" applyFill="1" applyBorder="1" applyAlignment="1">
      <alignment horizontal="center" vertical="top" wrapText="1"/>
    </xf>
    <xf numFmtId="9" fontId="33" fillId="7" borderId="92" xfId="21" applyFont="1" applyFill="1" applyBorder="1" applyAlignment="1">
      <alignment horizontal="center" vertical="top" wrapText="1"/>
    </xf>
    <xf numFmtId="9" fontId="33" fillId="7" borderId="152" xfId="21" applyFont="1" applyFill="1" applyBorder="1" applyAlignment="1">
      <alignment horizontal="center" vertical="top" wrapText="1"/>
    </xf>
    <xf numFmtId="9" fontId="33" fillId="7" borderId="129" xfId="21" applyFont="1" applyFill="1" applyBorder="1" applyAlignment="1">
      <alignment horizontal="center" vertical="top" wrapText="1"/>
    </xf>
    <xf numFmtId="9" fontId="33" fillId="7" borderId="91" xfId="21" applyFont="1" applyFill="1" applyBorder="1" applyAlignment="1">
      <alignment horizontal="center" vertical="top" wrapText="1"/>
    </xf>
    <xf numFmtId="9" fontId="33" fillId="7" borderId="87" xfId="21" applyFont="1" applyFill="1" applyBorder="1" applyAlignment="1">
      <alignment horizontal="center" vertical="top" wrapText="1"/>
    </xf>
    <xf numFmtId="9" fontId="33" fillId="7" borderId="86" xfId="21" applyFont="1" applyFill="1" applyBorder="1" applyAlignment="1">
      <alignment horizontal="center" vertical="top" wrapText="1"/>
    </xf>
    <xf numFmtId="9" fontId="33" fillId="7" borderId="173" xfId="21" applyFont="1" applyFill="1" applyBorder="1" applyAlignment="1">
      <alignment horizontal="center" vertical="top" wrapText="1"/>
    </xf>
    <xf numFmtId="9" fontId="33" fillId="7" borderId="237" xfId="21" applyFont="1" applyFill="1" applyBorder="1" applyAlignment="1">
      <alignment horizontal="center" vertical="top" wrapText="1"/>
    </xf>
    <xf numFmtId="9" fontId="33" fillId="7" borderId="50" xfId="21" applyFont="1" applyFill="1" applyBorder="1" applyAlignment="1">
      <alignment horizontal="center" vertical="top" wrapText="1"/>
    </xf>
    <xf numFmtId="9" fontId="33" fillId="7" borderId="101" xfId="21" applyFont="1" applyFill="1" applyBorder="1" applyAlignment="1">
      <alignment horizontal="center" vertical="top" wrapText="1"/>
    </xf>
    <xf numFmtId="9" fontId="33" fillId="7" borderId="238" xfId="21" applyFont="1" applyFill="1" applyBorder="1" applyAlignment="1">
      <alignment horizontal="center" vertical="top" wrapText="1"/>
    </xf>
    <xf numFmtId="9" fontId="33" fillId="7" borderId="239" xfId="21" applyFont="1" applyFill="1" applyBorder="1" applyAlignment="1">
      <alignment horizontal="center" vertical="top" wrapText="1"/>
    </xf>
    <xf numFmtId="9" fontId="33" fillId="7" borderId="52" xfId="21" applyFont="1" applyFill="1" applyBorder="1" applyAlignment="1">
      <alignment horizontal="center" vertical="top" wrapText="1"/>
    </xf>
    <xf numFmtId="9" fontId="33" fillId="7" borderId="240" xfId="21" applyFont="1" applyFill="1" applyBorder="1" applyAlignment="1">
      <alignment horizontal="center" vertical="top" wrapText="1"/>
    </xf>
    <xf numFmtId="9" fontId="33" fillId="7" borderId="241" xfId="21" applyFont="1" applyFill="1" applyBorder="1" applyAlignment="1">
      <alignment horizontal="center" vertical="top" wrapText="1"/>
    </xf>
    <xf numFmtId="9" fontId="33" fillId="7" borderId="242" xfId="21" applyFont="1" applyFill="1" applyBorder="1" applyAlignment="1">
      <alignment horizontal="center" vertical="top" wrapText="1"/>
    </xf>
    <xf numFmtId="9" fontId="33" fillId="7" borderId="243" xfId="21" applyFont="1" applyFill="1" applyBorder="1" applyAlignment="1">
      <alignment horizontal="center" vertical="top" wrapText="1"/>
    </xf>
    <xf numFmtId="9" fontId="33" fillId="7" borderId="244" xfId="21" applyFont="1" applyFill="1" applyBorder="1" applyAlignment="1">
      <alignment horizontal="center" vertical="top" wrapText="1"/>
    </xf>
    <xf numFmtId="9" fontId="33" fillId="7" borderId="245" xfId="21" applyFont="1" applyFill="1" applyBorder="1" applyAlignment="1">
      <alignment horizontal="center" vertical="top" wrapText="1"/>
    </xf>
    <xf numFmtId="9" fontId="33" fillId="7" borderId="246" xfId="21" applyFont="1" applyFill="1" applyBorder="1" applyAlignment="1">
      <alignment horizontal="center" vertical="top" wrapText="1"/>
    </xf>
    <xf numFmtId="9" fontId="33" fillId="7" borderId="247" xfId="21" applyFont="1" applyFill="1" applyBorder="1" applyAlignment="1">
      <alignment horizontal="center" vertical="top" wrapText="1"/>
    </xf>
    <xf numFmtId="9" fontId="33" fillId="7" borderId="248" xfId="21" applyFont="1" applyFill="1" applyBorder="1" applyAlignment="1">
      <alignment horizontal="center" vertical="top" wrapText="1"/>
    </xf>
    <xf numFmtId="9" fontId="33" fillId="7" borderId="249" xfId="21" applyFont="1" applyFill="1" applyBorder="1" applyAlignment="1">
      <alignment horizontal="center" vertical="top" wrapText="1"/>
    </xf>
    <xf numFmtId="9" fontId="33" fillId="7" borderId="250" xfId="21" applyFont="1" applyFill="1" applyBorder="1" applyAlignment="1">
      <alignment horizontal="center" vertical="top" wrapText="1"/>
    </xf>
    <xf numFmtId="9" fontId="33" fillId="7" borderId="156" xfId="21" applyFont="1" applyFill="1" applyBorder="1" applyAlignment="1">
      <alignment horizontal="center" vertical="top" wrapText="1"/>
    </xf>
    <xf numFmtId="9" fontId="33" fillId="7" borderId="181" xfId="21" applyFont="1" applyFill="1" applyBorder="1" applyAlignment="1">
      <alignment horizontal="center" vertical="top" wrapText="1"/>
    </xf>
    <xf numFmtId="9" fontId="33" fillId="7" borderId="151" xfId="21" applyFont="1" applyFill="1" applyBorder="1" applyAlignment="1">
      <alignment horizontal="center" vertical="top" wrapText="1"/>
    </xf>
    <xf numFmtId="9" fontId="33" fillId="7" borderId="251" xfId="21" applyFont="1" applyFill="1" applyBorder="1" applyAlignment="1">
      <alignment horizontal="center" vertical="top" wrapText="1"/>
    </xf>
    <xf numFmtId="9" fontId="33" fillId="7" borderId="252" xfId="21" applyFont="1" applyFill="1" applyBorder="1" applyAlignment="1">
      <alignment horizontal="center" vertical="top" wrapText="1"/>
    </xf>
    <xf numFmtId="9" fontId="33" fillId="7" borderId="48" xfId="21" applyFont="1" applyFill="1" applyBorder="1" applyAlignment="1">
      <alignment horizontal="center" vertical="top" wrapText="1"/>
    </xf>
    <xf numFmtId="9" fontId="33" fillId="7" borderId="51" xfId="21" applyFont="1" applyFill="1" applyBorder="1" applyAlignment="1">
      <alignment horizontal="center" vertical="top" wrapText="1"/>
    </xf>
    <xf numFmtId="9" fontId="33" fillId="7" borderId="55" xfId="21" applyFont="1" applyFill="1" applyBorder="1" applyAlignment="1">
      <alignment horizontal="center" vertical="top" wrapText="1"/>
    </xf>
    <xf numFmtId="9" fontId="33" fillId="7" borderId="56" xfId="21" applyFont="1" applyFill="1" applyBorder="1" applyAlignment="1">
      <alignment horizontal="center" vertical="top" wrapText="1"/>
    </xf>
    <xf numFmtId="0" fontId="35" fillId="6" borderId="0" xfId="4" applyFont="1" applyFill="1" applyBorder="1" applyAlignment="1"/>
    <xf numFmtId="0" fontId="35" fillId="6" borderId="2" xfId="4" applyFont="1" applyFill="1" applyBorder="1" applyAlignment="1"/>
    <xf numFmtId="44" fontId="24" fillId="0" borderId="0" xfId="8" applyFont="1" applyAlignment="1">
      <alignment horizontal="left"/>
    </xf>
    <xf numFmtId="44" fontId="25" fillId="5" borderId="2" xfId="14" applyNumberFormat="1" applyFont="1" applyFill="1" applyBorder="1"/>
    <xf numFmtId="9" fontId="3" fillId="5" borderId="0" xfId="21" applyFont="1" applyFill="1" applyBorder="1" applyAlignment="1">
      <alignment horizontal="left"/>
    </xf>
    <xf numFmtId="169" fontId="3" fillId="5" borderId="0" xfId="21" applyNumberFormat="1" applyFont="1" applyFill="1" applyBorder="1" applyAlignment="1">
      <alignment horizontal="left"/>
    </xf>
    <xf numFmtId="44" fontId="3" fillId="5" borderId="0" xfId="8" applyFont="1" applyFill="1" applyBorder="1" applyAlignment="1">
      <alignment horizontal="left"/>
    </xf>
    <xf numFmtId="0" fontId="32" fillId="5" borderId="9" xfId="14" applyFont="1" applyFill="1" applyBorder="1" applyAlignment="1">
      <alignment horizontal="center" vertical="center"/>
    </xf>
    <xf numFmtId="170" fontId="24" fillId="0" borderId="0" xfId="14" applyNumberFormat="1"/>
    <xf numFmtId="44" fontId="25" fillId="5" borderId="2" xfId="8" applyFont="1" applyFill="1" applyBorder="1"/>
    <xf numFmtId="16" fontId="28" fillId="5" borderId="1" xfId="3" applyNumberFormat="1" applyFont="1" applyFill="1" applyBorder="1" applyAlignment="1">
      <alignment horizontal="left"/>
    </xf>
    <xf numFmtId="16" fontId="28" fillId="5" borderId="0" xfId="3" applyNumberFormat="1" applyFont="1" applyFill="1" applyBorder="1" applyAlignment="1">
      <alignment horizontal="left"/>
    </xf>
    <xf numFmtId="4" fontId="29" fillId="5" borderId="0" xfId="9" applyNumberFormat="1" applyFont="1" applyFill="1" applyBorder="1" applyAlignment="1">
      <alignment horizontal="center"/>
    </xf>
    <xf numFmtId="44" fontId="29" fillId="5" borderId="2" xfId="9" applyFont="1" applyFill="1" applyBorder="1" applyAlignment="1">
      <alignment horizontal="center"/>
    </xf>
    <xf numFmtId="4" fontId="37" fillId="5" borderId="0" xfId="9" applyNumberFormat="1" applyFont="1" applyFill="1" applyBorder="1" applyAlignment="1">
      <alignment horizontal="center"/>
    </xf>
    <xf numFmtId="0" fontId="27" fillId="3" borderId="4" xfId="3" applyNumberFormat="1" applyFont="1" applyBorder="1" applyAlignment="1">
      <alignment horizontal="center" vertical="center" wrapText="1"/>
    </xf>
    <xf numFmtId="0" fontId="27" fillId="3" borderId="10" xfId="3" applyNumberFormat="1" applyFont="1" applyBorder="1" applyAlignment="1">
      <alignment horizontal="center" vertical="center" wrapText="1"/>
    </xf>
    <xf numFmtId="0" fontId="3" fillId="5" borderId="0" xfId="14" applyFont="1" applyFill="1" applyBorder="1" applyAlignment="1">
      <alignment horizontal="center"/>
    </xf>
    <xf numFmtId="0" fontId="27" fillId="3" borderId="4" xfId="3" applyNumberFormat="1" applyFont="1" applyBorder="1" applyAlignment="1">
      <alignment horizontal="center" vertical="center" wrapText="1"/>
    </xf>
    <xf numFmtId="0" fontId="27" fillId="3" borderId="10" xfId="3" applyNumberFormat="1" applyFont="1" applyBorder="1" applyAlignment="1">
      <alignment horizontal="center" vertical="center" wrapText="1"/>
    </xf>
    <xf numFmtId="0" fontId="3" fillId="5" borderId="0" xfId="14" applyFont="1" applyFill="1" applyBorder="1" applyAlignment="1">
      <alignment horizontal="center"/>
    </xf>
    <xf numFmtId="4" fontId="25" fillId="8" borderId="1" xfId="7" applyNumberFormat="1" applyFont="1" applyFill="1" applyBorder="1" applyAlignment="1">
      <alignment horizontal="center" vertical="center"/>
    </xf>
    <xf numFmtId="4" fontId="25" fillId="8" borderId="0" xfId="7" applyNumberFormat="1" applyFont="1" applyFill="1" applyBorder="1" applyAlignment="1">
      <alignment horizontal="center" vertical="center"/>
    </xf>
    <xf numFmtId="4" fontId="25" fillId="9" borderId="1" xfId="7" applyNumberFormat="1" applyFont="1" applyFill="1" applyBorder="1" applyAlignment="1">
      <alignment horizontal="center" vertical="center"/>
    </xf>
    <xf numFmtId="4" fontId="25" fillId="9" borderId="0" xfId="7" applyNumberFormat="1" applyFont="1" applyFill="1" applyBorder="1" applyAlignment="1">
      <alignment horizontal="center" vertical="center"/>
    </xf>
    <xf numFmtId="4" fontId="25" fillId="8" borderId="11" xfId="7" applyNumberFormat="1" applyFont="1" applyFill="1" applyBorder="1" applyAlignment="1">
      <alignment horizontal="center" vertical="center"/>
    </xf>
    <xf numFmtId="4" fontId="25" fillId="8" borderId="12" xfId="7" applyNumberFormat="1" applyFont="1" applyFill="1" applyBorder="1" applyAlignment="1">
      <alignment horizontal="center" vertical="center"/>
    </xf>
    <xf numFmtId="4" fontId="25" fillId="5" borderId="11" xfId="13" applyNumberFormat="1" applyFont="1" applyFill="1" applyBorder="1" applyAlignment="1">
      <alignment horizontal="center" vertical="center"/>
    </xf>
    <xf numFmtId="3" fontId="25" fillId="9" borderId="1" xfId="0" applyNumberFormat="1" applyFont="1" applyFill="1" applyBorder="1" applyAlignment="1">
      <alignment horizontal="center"/>
    </xf>
    <xf numFmtId="3" fontId="25" fillId="9" borderId="0" xfId="0" applyNumberFormat="1" applyFont="1" applyFill="1" applyBorder="1" applyAlignment="1">
      <alignment horizontal="center"/>
    </xf>
    <xf numFmtId="3" fontId="25" fillId="9" borderId="11" xfId="0" applyNumberFormat="1" applyFont="1" applyFill="1" applyBorder="1" applyAlignment="1">
      <alignment horizontal="center"/>
    </xf>
    <xf numFmtId="3" fontId="25" fillId="9" borderId="12" xfId="0" applyNumberFormat="1" applyFont="1" applyFill="1" applyBorder="1" applyAlignment="1">
      <alignment horizontal="center"/>
    </xf>
    <xf numFmtId="3" fontId="25" fillId="5" borderId="0" xfId="0" applyNumberFormat="1" applyFont="1" applyFill="1" applyAlignment="1">
      <alignment horizontal="center"/>
    </xf>
    <xf numFmtId="0" fontId="30" fillId="10" borderId="3" xfId="0" applyFont="1" applyFill="1" applyBorder="1" applyAlignment="1">
      <alignment horizontal="center" vertical="center"/>
    </xf>
    <xf numFmtId="0" fontId="30" fillId="10" borderId="4" xfId="0" applyFont="1" applyFill="1" applyBorder="1" applyAlignment="1">
      <alignment horizontal="center" vertical="center"/>
    </xf>
    <xf numFmtId="0" fontId="30" fillId="10" borderId="13" xfId="0" applyFont="1" applyFill="1" applyBorder="1" applyAlignment="1">
      <alignment vertical="center"/>
    </xf>
    <xf numFmtId="0" fontId="30" fillId="10" borderId="14" xfId="0" applyFont="1" applyFill="1" applyBorder="1" applyAlignment="1">
      <alignment vertical="center"/>
    </xf>
    <xf numFmtId="0" fontId="38" fillId="4" borderId="0" xfId="4" applyFont="1" applyBorder="1" applyAlignment="1"/>
    <xf numFmtId="16" fontId="3" fillId="5" borderId="0" xfId="2" applyNumberFormat="1" applyFont="1" applyFill="1" applyBorder="1" applyAlignment="1"/>
    <xf numFmtId="16" fontId="3" fillId="5" borderId="0" xfId="2" applyNumberFormat="1" applyFont="1" applyFill="1" applyBorder="1" applyAlignment="1">
      <alignment horizontal="left"/>
    </xf>
    <xf numFmtId="0" fontId="25" fillId="5" borderId="0" xfId="0" applyFont="1" applyFill="1"/>
    <xf numFmtId="0" fontId="27" fillId="3" borderId="3" xfId="3" applyNumberFormat="1" applyFont="1" applyBorder="1" applyAlignment="1">
      <alignment horizontal="center" vertical="center"/>
    </xf>
    <xf numFmtId="0" fontId="25" fillId="5" borderId="1" xfId="0" applyFont="1" applyFill="1" applyBorder="1" applyAlignment="1">
      <alignment horizontal="center"/>
    </xf>
    <xf numFmtId="0" fontId="25" fillId="5" borderId="0" xfId="0" applyFont="1" applyFill="1" applyBorder="1" applyAlignment="1">
      <alignment horizontal="center"/>
    </xf>
    <xf numFmtId="0" fontId="25" fillId="5" borderId="0" xfId="0" applyFont="1" applyFill="1" applyBorder="1" applyAlignment="1">
      <alignment horizontal="left"/>
    </xf>
    <xf numFmtId="171" fontId="25" fillId="5" borderId="0" xfId="6" applyNumberFormat="1" applyFont="1" applyFill="1" applyBorder="1" applyAlignment="1">
      <alignment horizontal="center"/>
    </xf>
    <xf numFmtId="9" fontId="25" fillId="5" borderId="0" xfId="21" applyFont="1" applyFill="1" applyBorder="1" applyAlignment="1">
      <alignment horizontal="center"/>
    </xf>
    <xf numFmtId="172" fontId="25" fillId="5" borderId="0" xfId="8" applyNumberFormat="1" applyFont="1" applyFill="1" applyBorder="1" applyAlignment="1">
      <alignment horizontal="center"/>
    </xf>
    <xf numFmtId="172" fontId="25" fillId="5" borderId="2" xfId="8" applyNumberFormat="1" applyFont="1" applyFill="1" applyBorder="1" applyAlignment="1">
      <alignment horizontal="center"/>
    </xf>
    <xf numFmtId="0" fontId="25" fillId="5" borderId="11" xfId="0" applyFont="1" applyFill="1" applyBorder="1" applyAlignment="1">
      <alignment horizontal="center"/>
    </xf>
    <xf numFmtId="0" fontId="25" fillId="5" borderId="12" xfId="0" applyFont="1" applyFill="1" applyBorder="1" applyAlignment="1">
      <alignment horizontal="center"/>
    </xf>
    <xf numFmtId="0" fontId="25" fillId="5" borderId="12" xfId="18" applyFont="1" applyFill="1" applyBorder="1" applyAlignment="1">
      <alignment horizontal="center"/>
    </xf>
    <xf numFmtId="0" fontId="25" fillId="5" borderId="12" xfId="18" applyFont="1" applyFill="1" applyBorder="1" applyAlignment="1">
      <alignment horizontal="left"/>
    </xf>
    <xf numFmtId="171" fontId="25" fillId="5" borderId="12" xfId="6" applyNumberFormat="1" applyFont="1" applyFill="1" applyBorder="1" applyAlignment="1">
      <alignment horizontal="center"/>
    </xf>
    <xf numFmtId="9" fontId="25" fillId="5" borderId="12" xfId="21" applyFont="1" applyFill="1" applyBorder="1" applyAlignment="1">
      <alignment horizontal="center"/>
    </xf>
    <xf numFmtId="172" fontId="25" fillId="5" borderId="12" xfId="8" applyNumberFormat="1" applyFont="1" applyFill="1" applyBorder="1" applyAlignment="1">
      <alignment horizontal="center"/>
    </xf>
    <xf numFmtId="172" fontId="25" fillId="5" borderId="15" xfId="8" applyNumberFormat="1" applyFont="1" applyFill="1" applyBorder="1" applyAlignment="1">
      <alignment horizontal="center"/>
    </xf>
    <xf numFmtId="0" fontId="25" fillId="5" borderId="0" xfId="0" applyFont="1" applyFill="1" applyAlignment="1">
      <alignment horizontal="center"/>
    </xf>
    <xf numFmtId="0" fontId="25" fillId="5" borderId="0" xfId="18" applyFont="1" applyFill="1" applyBorder="1" applyAlignment="1">
      <alignment horizontal="center"/>
    </xf>
    <xf numFmtId="171" fontId="30" fillId="5" borderId="0" xfId="18" applyNumberFormat="1" applyFont="1" applyFill="1" applyBorder="1" applyAlignment="1">
      <alignment horizontal="center"/>
    </xf>
    <xf numFmtId="9" fontId="25" fillId="5" borderId="0" xfId="21" applyFont="1" applyFill="1" applyAlignment="1">
      <alignment horizontal="center"/>
    </xf>
    <xf numFmtId="172" fontId="30" fillId="5" borderId="0" xfId="8" applyNumberFormat="1" applyFont="1" applyFill="1" applyAlignment="1">
      <alignment horizontal="center"/>
    </xf>
    <xf numFmtId="0" fontId="25" fillId="5" borderId="0" xfId="18" applyFont="1" applyFill="1" applyBorder="1"/>
    <xf numFmtId="44" fontId="30" fillId="5" borderId="0" xfId="8" applyFont="1" applyFill="1"/>
    <xf numFmtId="0" fontId="25" fillId="0" borderId="0" xfId="0" applyFont="1"/>
    <xf numFmtId="3" fontId="25" fillId="0" borderId="0" xfId="14" applyNumberFormat="1" applyFont="1"/>
    <xf numFmtId="0" fontId="30" fillId="11" borderId="0" xfId="20" applyNumberFormat="1" applyFont="1" applyFill="1" applyBorder="1" applyAlignment="1">
      <alignment horizontal="center" vertical="center" wrapText="1"/>
    </xf>
    <xf numFmtId="43" fontId="30" fillId="11" borderId="0" xfId="7" applyFont="1" applyFill="1" applyBorder="1" applyAlignment="1">
      <alignment horizontal="center" vertical="center" wrapText="1"/>
    </xf>
    <xf numFmtId="0" fontId="39" fillId="11" borderId="3" xfId="0" applyFont="1" applyFill="1" applyBorder="1" applyAlignment="1"/>
    <xf numFmtId="0" fontId="39" fillId="11" borderId="4" xfId="0" applyFont="1" applyFill="1" applyBorder="1" applyAlignment="1"/>
    <xf numFmtId="0" fontId="39" fillId="11" borderId="10" xfId="0" applyFont="1" applyFill="1" applyBorder="1" applyAlignment="1"/>
    <xf numFmtId="0" fontId="30" fillId="11" borderId="1" xfId="20" applyNumberFormat="1" applyFont="1" applyFill="1" applyBorder="1" applyAlignment="1">
      <alignment horizontal="center" vertical="center" wrapText="1"/>
    </xf>
    <xf numFmtId="43" fontId="30" fillId="11" borderId="2" xfId="7" applyFont="1" applyFill="1" applyBorder="1" applyAlignment="1">
      <alignment horizontal="center" vertical="center" wrapText="1"/>
    </xf>
    <xf numFmtId="0" fontId="30" fillId="12" borderId="1" xfId="14" applyFont="1" applyFill="1" applyBorder="1" applyAlignment="1">
      <alignment horizontal="center" vertical="center"/>
    </xf>
    <xf numFmtId="0" fontId="30" fillId="12" borderId="0" xfId="14" applyFont="1" applyFill="1" applyBorder="1" applyAlignment="1">
      <alignment horizontal="center" vertical="center"/>
    </xf>
    <xf numFmtId="0" fontId="30" fillId="12" borderId="0" xfId="14" applyFont="1" applyFill="1" applyBorder="1" applyAlignment="1">
      <alignment horizontal="center" vertical="center" wrapText="1"/>
    </xf>
    <xf numFmtId="0" fontId="30" fillId="12" borderId="2" xfId="14" applyFont="1" applyFill="1" applyBorder="1" applyAlignment="1">
      <alignment horizontal="center" vertical="center" wrapText="1"/>
    </xf>
    <xf numFmtId="0" fontId="25" fillId="13" borderId="1" xfId="14" applyFont="1" applyFill="1" applyBorder="1"/>
    <xf numFmtId="0" fontId="25" fillId="13" borderId="0" xfId="14" applyFont="1" applyFill="1" applyBorder="1"/>
    <xf numFmtId="0" fontId="25" fillId="13" borderId="11" xfId="14" applyFont="1" applyFill="1" applyBorder="1"/>
    <xf numFmtId="0" fontId="25" fillId="13" borderId="12" xfId="14" applyFont="1" applyFill="1" applyBorder="1"/>
    <xf numFmtId="3" fontId="25" fillId="5" borderId="0" xfId="14" applyNumberFormat="1" applyFont="1" applyFill="1" applyBorder="1"/>
    <xf numFmtId="3" fontId="25" fillId="5" borderId="2" xfId="14" applyNumberFormat="1" applyFont="1" applyFill="1" applyBorder="1"/>
    <xf numFmtId="0" fontId="25" fillId="5" borderId="12" xfId="14" applyFont="1" applyFill="1" applyBorder="1"/>
    <xf numFmtId="3" fontId="25" fillId="5" borderId="12" xfId="14" applyNumberFormat="1" applyFont="1" applyFill="1" applyBorder="1"/>
    <xf numFmtId="3" fontId="25" fillId="5" borderId="15" xfId="14" applyNumberFormat="1" applyFont="1" applyFill="1" applyBorder="1"/>
    <xf numFmtId="0" fontId="30" fillId="14" borderId="16" xfId="15" applyFont="1" applyFill="1" applyBorder="1" applyAlignment="1"/>
    <xf numFmtId="0" fontId="30" fillId="14" borderId="17" xfId="15" applyFont="1" applyFill="1" applyBorder="1" applyAlignment="1">
      <alignment horizontal="center" vertical="center"/>
    </xf>
    <xf numFmtId="0" fontId="30" fillId="14" borderId="3" xfId="15" applyFont="1" applyFill="1" applyBorder="1" applyAlignment="1">
      <alignment horizontal="center" vertical="center" wrapText="1"/>
    </xf>
    <xf numFmtId="0" fontId="30" fillId="14" borderId="4" xfId="15" applyFont="1" applyFill="1" applyBorder="1" applyAlignment="1">
      <alignment horizontal="center" vertical="center" wrapText="1"/>
    </xf>
    <xf numFmtId="0" fontId="30" fillId="14" borderId="10" xfId="15" applyFont="1" applyFill="1" applyBorder="1" applyAlignment="1">
      <alignment horizontal="center" vertical="center" wrapText="1"/>
    </xf>
    <xf numFmtId="14" fontId="3" fillId="5" borderId="18" xfId="15" applyNumberFormat="1" applyFont="1" applyFill="1" applyBorder="1" applyAlignment="1">
      <alignment horizontal="center"/>
    </xf>
    <xf numFmtId="44" fontId="25" fillId="5" borderId="1" xfId="10" applyNumberFormat="1" applyFont="1" applyFill="1" applyBorder="1" applyAlignment="1">
      <alignment horizontal="center"/>
    </xf>
    <xf numFmtId="4" fontId="25" fillId="5" borderId="0" xfId="6" applyNumberFormat="1" applyFont="1" applyFill="1" applyBorder="1" applyAlignment="1">
      <alignment horizontal="center" vertical="center"/>
    </xf>
    <xf numFmtId="172" fontId="25" fillId="5" borderId="0" xfId="10" applyNumberFormat="1" applyFont="1" applyFill="1" applyBorder="1" applyAlignment="1">
      <alignment horizontal="center"/>
    </xf>
    <xf numFmtId="44" fontId="25" fillId="5" borderId="2" xfId="10" applyFont="1" applyFill="1" applyBorder="1" applyAlignment="1">
      <alignment horizontal="center"/>
    </xf>
    <xf numFmtId="4" fontId="25" fillId="5" borderId="0" xfId="10" applyNumberFormat="1" applyFont="1" applyFill="1" applyBorder="1" applyAlignment="1">
      <alignment horizontal="center" vertical="center"/>
    </xf>
    <xf numFmtId="14" fontId="3" fillId="5" borderId="19" xfId="15" applyNumberFormat="1" applyFont="1" applyFill="1" applyBorder="1" applyAlignment="1">
      <alignment horizontal="center"/>
    </xf>
    <xf numFmtId="44" fontId="25" fillId="5" borderId="11" xfId="10" applyNumberFormat="1" applyFont="1" applyFill="1" applyBorder="1" applyAlignment="1">
      <alignment horizontal="center"/>
    </xf>
    <xf numFmtId="4" fontId="25" fillId="5" borderId="12" xfId="10" applyNumberFormat="1" applyFont="1" applyFill="1" applyBorder="1" applyAlignment="1">
      <alignment horizontal="center" vertical="center"/>
    </xf>
    <xf numFmtId="172" fontId="25" fillId="5" borderId="12" xfId="10" applyNumberFormat="1" applyFont="1" applyFill="1" applyBorder="1" applyAlignment="1">
      <alignment horizontal="center"/>
    </xf>
    <xf numFmtId="44" fontId="25" fillId="5" borderId="15" xfId="10" applyFont="1" applyFill="1" applyBorder="1" applyAlignment="1">
      <alignment horizontal="center"/>
    </xf>
    <xf numFmtId="0" fontId="25" fillId="5" borderId="0" xfId="15" applyFont="1" applyFill="1" applyBorder="1"/>
    <xf numFmtId="173" fontId="30" fillId="5" borderId="0" xfId="15" applyNumberFormat="1" applyFont="1" applyFill="1" applyBorder="1"/>
    <xf numFmtId="4" fontId="30" fillId="5" borderId="0" xfId="15" applyNumberFormat="1" applyFont="1" applyFill="1" applyBorder="1" applyAlignment="1">
      <alignment horizontal="center"/>
    </xf>
    <xf numFmtId="172" fontId="30" fillId="5" borderId="0" xfId="15" applyNumberFormat="1" applyFont="1" applyFill="1" applyBorder="1" applyAlignment="1">
      <alignment horizontal="center"/>
    </xf>
    <xf numFmtId="44" fontId="27" fillId="6" borderId="20" xfId="12" applyFont="1" applyFill="1" applyBorder="1" applyAlignment="1">
      <alignment horizontal="center" vertical="center" wrapText="1"/>
    </xf>
    <xf numFmtId="0" fontId="27" fillId="6" borderId="20" xfId="0" applyFont="1" applyFill="1" applyBorder="1" applyAlignment="1">
      <alignment horizontal="center" vertical="center" wrapText="1"/>
    </xf>
    <xf numFmtId="0" fontId="27" fillId="6" borderId="21" xfId="0" applyFont="1" applyFill="1" applyBorder="1" applyAlignment="1">
      <alignment horizontal="center" vertical="center" wrapText="1"/>
    </xf>
    <xf numFmtId="3" fontId="25" fillId="5" borderId="9" xfId="0" applyNumberFormat="1" applyFont="1" applyFill="1" applyBorder="1" applyAlignment="1">
      <alignment horizontal="center"/>
    </xf>
    <xf numFmtId="0" fontId="30" fillId="5" borderId="0" xfId="0" applyFont="1" applyFill="1" applyAlignment="1">
      <alignment horizontal="right"/>
    </xf>
    <xf numFmtId="172" fontId="25" fillId="5" borderId="0" xfId="0" applyNumberFormat="1" applyFont="1" applyFill="1" applyBorder="1" applyAlignment="1">
      <alignment horizontal="right" vertical="center"/>
    </xf>
    <xf numFmtId="0" fontId="40" fillId="9" borderId="0" xfId="0" applyNumberFormat="1" applyFont="1" applyFill="1" applyBorder="1" applyAlignment="1">
      <alignment horizontal="center" vertical="center" wrapText="1"/>
    </xf>
    <xf numFmtId="0" fontId="10" fillId="6" borderId="0" xfId="0" applyFont="1" applyFill="1" applyBorder="1" applyAlignment="1">
      <alignment horizontal="center" vertical="center" wrapText="1"/>
    </xf>
    <xf numFmtId="0" fontId="10" fillId="6" borderId="0" xfId="0" applyFont="1" applyFill="1" applyBorder="1" applyAlignment="1">
      <alignment horizontal="center" wrapText="1"/>
    </xf>
    <xf numFmtId="0" fontId="40" fillId="5" borderId="0" xfId="0" applyFont="1" applyFill="1" applyBorder="1"/>
    <xf numFmtId="0" fontId="27" fillId="3" borderId="4" xfId="3" applyNumberFormat="1" applyFont="1" applyBorder="1" applyAlignment="1">
      <alignment horizontal="center" vertical="center" wrapText="1"/>
    </xf>
    <xf numFmtId="0" fontId="27" fillId="3" borderId="10" xfId="3" applyNumberFormat="1" applyFont="1" applyBorder="1" applyAlignment="1">
      <alignment horizontal="center" vertical="center" wrapText="1"/>
    </xf>
    <xf numFmtId="0" fontId="3" fillId="5" borderId="0" xfId="14" applyFont="1" applyFill="1" applyBorder="1" applyAlignment="1">
      <alignment horizontal="center"/>
    </xf>
    <xf numFmtId="0" fontId="10" fillId="6" borderId="0" xfId="0" applyFont="1" applyFill="1" applyBorder="1" applyAlignment="1">
      <alignment horizontal="center" vertical="center" wrapText="1"/>
    </xf>
    <xf numFmtId="44" fontId="27" fillId="6" borderId="22" xfId="12" applyFont="1" applyFill="1" applyBorder="1" applyAlignment="1">
      <alignment horizontal="center" vertical="center" wrapText="1"/>
    </xf>
    <xf numFmtId="44" fontId="27" fillId="6" borderId="22" xfId="12" applyFont="1" applyFill="1" applyBorder="1" applyAlignment="1">
      <alignment horizontal="center" vertical="center" wrapText="1"/>
    </xf>
    <xf numFmtId="3" fontId="25" fillId="5" borderId="6" xfId="0" applyNumberFormat="1" applyFont="1" applyFill="1" applyBorder="1" applyAlignment="1">
      <alignment horizontal="center"/>
    </xf>
    <xf numFmtId="0" fontId="41" fillId="0" borderId="0" xfId="0" applyFont="1" applyAlignment="1">
      <alignment horizontal="center"/>
    </xf>
    <xf numFmtId="44" fontId="27" fillId="6" borderId="22" xfId="0" applyNumberFormat="1" applyFont="1" applyFill="1" applyBorder="1" applyAlignment="1">
      <alignment horizontal="center" vertical="center" wrapText="1"/>
    </xf>
    <xf numFmtId="174" fontId="25" fillId="9" borderId="23" xfId="0" applyNumberFormat="1" applyFont="1" applyFill="1" applyBorder="1" applyAlignment="1">
      <alignment horizontal="center"/>
    </xf>
    <xf numFmtId="0" fontId="27" fillId="6" borderId="22" xfId="0" applyFont="1" applyFill="1" applyBorder="1" applyAlignment="1">
      <alignment horizontal="center" vertical="center" wrapText="1"/>
    </xf>
    <xf numFmtId="174" fontId="25" fillId="5" borderId="23" xfId="0" applyNumberFormat="1" applyFont="1" applyFill="1" applyBorder="1" applyAlignment="1">
      <alignment horizontal="center"/>
    </xf>
    <xf numFmtId="174" fontId="25" fillId="5" borderId="9" xfId="0" applyNumberFormat="1" applyFont="1" applyFill="1" applyBorder="1" applyAlignment="1">
      <alignment horizontal="center"/>
    </xf>
    <xf numFmtId="0" fontId="30" fillId="14" borderId="13" xfId="15" applyFont="1" applyFill="1" applyBorder="1" applyAlignment="1">
      <alignment horizontal="center"/>
    </xf>
    <xf numFmtId="0" fontId="30" fillId="14" borderId="14" xfId="15" applyFont="1" applyFill="1" applyBorder="1" applyAlignment="1">
      <alignment horizontal="center"/>
    </xf>
    <xf numFmtId="175" fontId="25" fillId="5" borderId="0" xfId="6" applyNumberFormat="1" applyFont="1" applyFill="1" applyBorder="1" applyAlignment="1">
      <alignment horizontal="center" vertical="center"/>
    </xf>
    <xf numFmtId="175" fontId="25" fillId="5" borderId="0" xfId="10" applyNumberFormat="1" applyFont="1" applyFill="1" applyBorder="1" applyAlignment="1">
      <alignment horizontal="center" vertical="center"/>
    </xf>
    <xf numFmtId="175" fontId="25" fillId="5" borderId="12" xfId="10" applyNumberFormat="1" applyFont="1" applyFill="1" applyBorder="1" applyAlignment="1">
      <alignment horizontal="center" vertical="center"/>
    </xf>
    <xf numFmtId="0" fontId="3" fillId="5" borderId="0" xfId="14" applyFont="1" applyFill="1" applyBorder="1" applyAlignment="1">
      <alignment horizontal="left"/>
    </xf>
    <xf numFmtId="165" fontId="25" fillId="5" borderId="24" xfId="21" applyNumberFormat="1" applyFont="1" applyFill="1" applyBorder="1" applyAlignment="1">
      <alignment horizontal="center"/>
    </xf>
    <xf numFmtId="3" fontId="30" fillId="0" borderId="0" xfId="14" applyNumberFormat="1" applyFont="1"/>
    <xf numFmtId="173" fontId="25" fillId="5" borderId="0" xfId="8" applyNumberFormat="1" applyFont="1" applyFill="1" applyBorder="1" applyAlignment="1">
      <alignment horizontal="center" vertical="center" wrapText="1"/>
    </xf>
    <xf numFmtId="0" fontId="30" fillId="0" borderId="0" xfId="14" applyFont="1" applyAlignment="1">
      <alignment horizontal="center"/>
    </xf>
    <xf numFmtId="0" fontId="42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43" fillId="7" borderId="253" xfId="0" applyFont="1" applyFill="1" applyBorder="1" applyAlignment="1">
      <alignment horizontal="center" vertical="top" wrapText="1"/>
    </xf>
    <xf numFmtId="0" fontId="43" fillId="7" borderId="254" xfId="0" applyFont="1" applyFill="1" applyBorder="1" applyAlignment="1">
      <alignment horizontal="center" vertical="top" wrapText="1"/>
    </xf>
    <xf numFmtId="17" fontId="0" fillId="0" borderId="0" xfId="0" applyNumberFormat="1" applyFont="1"/>
    <xf numFmtId="0" fontId="3" fillId="5" borderId="3" xfId="14" applyFont="1" applyFill="1" applyBorder="1" applyAlignment="1">
      <alignment horizontal="center"/>
    </xf>
    <xf numFmtId="0" fontId="3" fillId="5" borderId="4" xfId="14" applyFont="1" applyFill="1" applyBorder="1" applyAlignment="1">
      <alignment horizontal="center"/>
    </xf>
    <xf numFmtId="0" fontId="3" fillId="5" borderId="10" xfId="14" applyFont="1" applyFill="1" applyBorder="1" applyAlignment="1">
      <alignment horizontal="center"/>
    </xf>
    <xf numFmtId="172" fontId="3" fillId="9" borderId="1" xfId="14" applyNumberFormat="1" applyFont="1" applyFill="1" applyBorder="1" applyAlignment="1">
      <alignment horizontal="right"/>
    </xf>
    <xf numFmtId="172" fontId="3" fillId="5" borderId="0" xfId="14" applyNumberFormat="1" applyFont="1" applyFill="1" applyBorder="1" applyAlignment="1">
      <alignment horizontal="right"/>
    </xf>
    <xf numFmtId="172" fontId="3" fillId="5" borderId="2" xfId="14" applyNumberFormat="1" applyFont="1" applyFill="1" applyBorder="1" applyAlignment="1">
      <alignment horizontal="right"/>
    </xf>
    <xf numFmtId="172" fontId="3" fillId="9" borderId="11" xfId="14" applyNumberFormat="1" applyFont="1" applyFill="1" applyBorder="1" applyAlignment="1">
      <alignment horizontal="right"/>
    </xf>
    <xf numFmtId="172" fontId="3" fillId="5" borderId="12" xfId="14" applyNumberFormat="1" applyFont="1" applyFill="1" applyBorder="1" applyAlignment="1">
      <alignment horizontal="right"/>
    </xf>
    <xf numFmtId="172" fontId="3" fillId="5" borderId="15" xfId="14" applyNumberFormat="1" applyFont="1" applyFill="1" applyBorder="1" applyAlignment="1">
      <alignment horizontal="right"/>
    </xf>
    <xf numFmtId="171" fontId="25" fillId="5" borderId="0" xfId="18" applyNumberFormat="1" applyFont="1" applyFill="1" applyBorder="1" applyAlignment="1">
      <alignment horizontal="center"/>
    </xf>
    <xf numFmtId="0" fontId="0" fillId="5" borderId="0" xfId="0" applyFill="1"/>
    <xf numFmtId="17" fontId="0" fillId="15" borderId="0" xfId="0" applyNumberFormat="1" applyFont="1" applyFill="1"/>
    <xf numFmtId="167" fontId="33" fillId="15" borderId="51" xfId="0" applyNumberFormat="1" applyFont="1" applyFill="1" applyBorder="1" applyAlignment="1">
      <alignment horizontal="center" vertical="top" wrapText="1"/>
    </xf>
    <xf numFmtId="9" fontId="33" fillId="15" borderId="202" xfId="21" applyFont="1" applyFill="1" applyBorder="1" applyAlignment="1">
      <alignment horizontal="center" vertical="top" wrapText="1"/>
    </xf>
    <xf numFmtId="167" fontId="33" fillId="15" borderId="45" xfId="0" applyNumberFormat="1" applyFont="1" applyFill="1" applyBorder="1" applyAlignment="1">
      <alignment horizontal="center" vertical="top" wrapText="1"/>
    </xf>
    <xf numFmtId="167" fontId="33" fillId="15" borderId="48" xfId="0" applyNumberFormat="1" applyFont="1" applyFill="1" applyBorder="1" applyAlignment="1">
      <alignment horizontal="center" vertical="top" wrapText="1"/>
    </xf>
    <xf numFmtId="9" fontId="33" fillId="15" borderId="203" xfId="21" applyFont="1" applyFill="1" applyBorder="1" applyAlignment="1">
      <alignment horizontal="center" vertical="top" wrapText="1"/>
    </xf>
    <xf numFmtId="167" fontId="33" fillId="15" borderId="43" xfId="0" applyNumberFormat="1" applyFont="1" applyFill="1" applyBorder="1" applyAlignment="1">
      <alignment horizontal="center" vertical="top" wrapText="1"/>
    </xf>
    <xf numFmtId="9" fontId="33" fillId="15" borderId="204" xfId="21" applyFont="1" applyFill="1" applyBorder="1" applyAlignment="1">
      <alignment horizontal="center" vertical="top" wrapText="1"/>
    </xf>
    <xf numFmtId="168" fontId="34" fillId="15" borderId="204" xfId="21" applyNumberFormat="1" applyFont="1" applyFill="1" applyBorder="1" applyAlignment="1">
      <alignment horizontal="center" vertical="top" wrapText="1"/>
    </xf>
    <xf numFmtId="174" fontId="25" fillId="5" borderId="6" xfId="0" applyNumberFormat="1" applyFont="1" applyFill="1" applyBorder="1" applyAlignment="1">
      <alignment horizontal="center"/>
    </xf>
    <xf numFmtId="44" fontId="27" fillId="6" borderId="25" xfId="12" applyFont="1" applyFill="1" applyBorder="1" applyAlignment="1">
      <alignment horizontal="center" vertical="center" wrapText="1"/>
    </xf>
    <xf numFmtId="3" fontId="25" fillId="15" borderId="255" xfId="0" applyNumberFormat="1" applyFont="1" applyFill="1" applyBorder="1" applyAlignment="1">
      <alignment horizontal="center"/>
    </xf>
    <xf numFmtId="0" fontId="25" fillId="5" borderId="0" xfId="18" applyFont="1" applyFill="1" applyBorder="1" applyAlignment="1">
      <alignment horizontal="left"/>
    </xf>
    <xf numFmtId="172" fontId="25" fillId="5" borderId="0" xfId="14" applyNumberFormat="1" applyFont="1" applyFill="1"/>
    <xf numFmtId="0" fontId="30" fillId="5" borderId="0" xfId="14" applyFont="1" applyFill="1" applyAlignment="1">
      <alignment horizontal="center"/>
    </xf>
    <xf numFmtId="0" fontId="27" fillId="3" borderId="4" xfId="3" applyNumberFormat="1" applyFont="1" applyBorder="1" applyAlignment="1">
      <alignment horizontal="center" vertical="center" wrapText="1"/>
    </xf>
    <xf numFmtId="0" fontId="27" fillId="3" borderId="10" xfId="3" applyNumberFormat="1" applyFont="1" applyBorder="1" applyAlignment="1">
      <alignment horizontal="center" vertical="center" wrapText="1"/>
    </xf>
    <xf numFmtId="0" fontId="3" fillId="5" borderId="0" xfId="14" applyFont="1" applyFill="1" applyBorder="1" applyAlignment="1">
      <alignment horizontal="center"/>
    </xf>
    <xf numFmtId="44" fontId="27" fillId="6" borderId="22" xfId="12" applyFont="1" applyFill="1" applyBorder="1" applyAlignment="1">
      <alignment horizontal="center" vertical="center" wrapText="1"/>
    </xf>
    <xf numFmtId="0" fontId="10" fillId="6" borderId="0" xfId="0" applyFont="1" applyFill="1" applyBorder="1" applyAlignment="1">
      <alignment horizontal="center" vertical="center" wrapText="1"/>
    </xf>
    <xf numFmtId="16" fontId="3" fillId="5" borderId="0" xfId="2" applyNumberFormat="1" applyFont="1" applyFill="1" applyBorder="1" applyAlignment="1">
      <alignment horizontal="left"/>
    </xf>
    <xf numFmtId="4" fontId="25" fillId="5" borderId="0" xfId="14" applyNumberFormat="1" applyFont="1" applyFill="1"/>
    <xf numFmtId="172" fontId="40" fillId="5" borderId="0" xfId="0" applyNumberFormat="1" applyFont="1" applyFill="1" applyBorder="1" applyAlignment="1">
      <alignment horizontal="right" vertical="center"/>
    </xf>
    <xf numFmtId="44" fontId="40" fillId="5" borderId="0" xfId="8" applyFont="1" applyFill="1" applyBorder="1"/>
    <xf numFmtId="0" fontId="44" fillId="16" borderId="0" xfId="0" applyNumberFormat="1" applyFont="1" applyFill="1" applyBorder="1" applyAlignment="1">
      <alignment horizontal="center" vertical="center" wrapText="1"/>
    </xf>
    <xf numFmtId="173" fontId="40" fillId="16" borderId="0" xfId="8" applyNumberFormat="1" applyFont="1" applyFill="1" applyBorder="1" applyAlignment="1">
      <alignment horizontal="center" vertical="center" wrapText="1"/>
    </xf>
    <xf numFmtId="0" fontId="27" fillId="5" borderId="0" xfId="0" applyFont="1" applyFill="1" applyAlignment="1">
      <alignment horizontal="right"/>
    </xf>
    <xf numFmtId="14" fontId="35" fillId="6" borderId="0" xfId="4" applyNumberFormat="1" applyFont="1" applyFill="1" applyBorder="1" applyAlignment="1"/>
    <xf numFmtId="0" fontId="45" fillId="0" borderId="0" xfId="14" applyFont="1"/>
    <xf numFmtId="0" fontId="45" fillId="5" borderId="0" xfId="14" applyFont="1" applyFill="1"/>
    <xf numFmtId="0" fontId="46" fillId="5" borderId="3" xfId="14" applyFont="1" applyFill="1" applyBorder="1" applyAlignment="1">
      <alignment horizontal="center" vertical="center" wrapText="1"/>
    </xf>
    <xf numFmtId="0" fontId="46" fillId="5" borderId="4" xfId="14" applyFont="1" applyFill="1" applyBorder="1" applyAlignment="1">
      <alignment horizontal="center" vertical="center" wrapText="1"/>
    </xf>
    <xf numFmtId="0" fontId="46" fillId="5" borderId="10" xfId="14" applyFont="1" applyFill="1" applyBorder="1" applyAlignment="1">
      <alignment horizontal="center" vertical="center"/>
    </xf>
    <xf numFmtId="4" fontId="45" fillId="5" borderId="1" xfId="14" applyNumberFormat="1" applyFont="1" applyFill="1" applyBorder="1" applyAlignment="1">
      <alignment vertical="center"/>
    </xf>
    <xf numFmtId="4" fontId="45" fillId="5" borderId="0" xfId="14" applyNumberFormat="1" applyFont="1" applyFill="1" applyBorder="1" applyAlignment="1">
      <alignment vertical="center"/>
    </xf>
    <xf numFmtId="4" fontId="45" fillId="5" borderId="2" xfId="14" applyNumberFormat="1" applyFont="1" applyFill="1" applyBorder="1" applyAlignment="1">
      <alignment vertical="center"/>
    </xf>
    <xf numFmtId="0" fontId="45" fillId="5" borderId="0" xfId="14" applyFont="1" applyFill="1" applyBorder="1" applyAlignment="1">
      <alignment vertical="center"/>
    </xf>
    <xf numFmtId="4" fontId="45" fillId="5" borderId="11" xfId="14" applyNumberFormat="1" applyFont="1" applyFill="1" applyBorder="1" applyAlignment="1">
      <alignment vertical="center"/>
    </xf>
    <xf numFmtId="0" fontId="45" fillId="5" borderId="12" xfId="14" applyFont="1" applyFill="1" applyBorder="1" applyAlignment="1">
      <alignment vertical="center"/>
    </xf>
    <xf numFmtId="4" fontId="45" fillId="5" borderId="15" xfId="14" applyNumberFormat="1" applyFont="1" applyFill="1" applyBorder="1" applyAlignment="1">
      <alignment vertical="center"/>
    </xf>
    <xf numFmtId="0" fontId="45" fillId="5" borderId="3" xfId="14" applyFont="1" applyFill="1" applyBorder="1" applyAlignment="1">
      <alignment vertical="center"/>
    </xf>
    <xf numFmtId="0" fontId="45" fillId="5" borderId="4" xfId="14" applyFont="1" applyFill="1" applyBorder="1" applyAlignment="1">
      <alignment vertical="center"/>
    </xf>
    <xf numFmtId="0" fontId="46" fillId="5" borderId="4" xfId="14" applyFont="1" applyFill="1" applyBorder="1" applyAlignment="1">
      <alignment horizontal="center" vertical="center"/>
    </xf>
    <xf numFmtId="0" fontId="46" fillId="5" borderId="10" xfId="14" applyFont="1" applyFill="1" applyBorder="1" applyAlignment="1">
      <alignment horizontal="center" vertical="center" wrapText="1"/>
    </xf>
    <xf numFmtId="0" fontId="45" fillId="5" borderId="1" xfId="14" applyFont="1" applyFill="1" applyBorder="1" applyAlignment="1">
      <alignment vertical="center"/>
    </xf>
    <xf numFmtId="17" fontId="45" fillId="5" borderId="0" xfId="14" applyNumberFormat="1" applyFont="1" applyFill="1" applyBorder="1" applyAlignment="1">
      <alignment vertical="center"/>
    </xf>
    <xf numFmtId="3" fontId="45" fillId="5" borderId="0" xfId="14" applyNumberFormat="1" applyFont="1" applyFill="1" applyBorder="1" applyAlignment="1">
      <alignment vertical="center"/>
    </xf>
    <xf numFmtId="0" fontId="45" fillId="5" borderId="11" xfId="14" applyFont="1" applyFill="1" applyBorder="1" applyAlignment="1">
      <alignment vertical="center"/>
    </xf>
    <xf numFmtId="17" fontId="45" fillId="5" borderId="12" xfId="14" applyNumberFormat="1" applyFont="1" applyFill="1" applyBorder="1" applyAlignment="1">
      <alignment vertical="center"/>
    </xf>
    <xf numFmtId="4" fontId="45" fillId="5" borderId="12" xfId="14" applyNumberFormat="1" applyFont="1" applyFill="1" applyBorder="1" applyAlignment="1">
      <alignment vertical="center"/>
    </xf>
    <xf numFmtId="0" fontId="9" fillId="5" borderId="0" xfId="14" applyFont="1" applyFill="1"/>
    <xf numFmtId="0" fontId="16" fillId="5" borderId="0" xfId="14" applyFont="1" applyFill="1" applyBorder="1" applyAlignment="1">
      <alignment vertical="center" wrapText="1"/>
    </xf>
    <xf numFmtId="0" fontId="9" fillId="5" borderId="0" xfId="14" applyFont="1" applyFill="1" applyAlignment="1"/>
    <xf numFmtId="3" fontId="45" fillId="17" borderId="0" xfId="14" applyNumberFormat="1" applyFont="1" applyFill="1" applyBorder="1" applyAlignment="1">
      <alignment vertical="center"/>
    </xf>
    <xf numFmtId="3" fontId="45" fillId="18" borderId="0" xfId="14" applyNumberFormat="1" applyFont="1" applyFill="1" applyBorder="1" applyAlignment="1">
      <alignment vertical="center"/>
    </xf>
    <xf numFmtId="0" fontId="45" fillId="18" borderId="0" xfId="14" applyFont="1" applyFill="1"/>
    <xf numFmtId="0" fontId="45" fillId="17" borderId="0" xfId="14" applyFont="1" applyFill="1"/>
    <xf numFmtId="4" fontId="25" fillId="19" borderId="0" xfId="7" applyNumberFormat="1" applyFont="1" applyFill="1" applyBorder="1" applyAlignment="1">
      <alignment horizontal="center" vertical="center"/>
    </xf>
    <xf numFmtId="4" fontId="25" fillId="5" borderId="0" xfId="7" applyNumberFormat="1" applyFont="1" applyFill="1" applyBorder="1" applyAlignment="1">
      <alignment horizontal="center" vertical="center"/>
    </xf>
    <xf numFmtId="4" fontId="25" fillId="19" borderId="12" xfId="7" applyNumberFormat="1" applyFont="1" applyFill="1" applyBorder="1" applyAlignment="1">
      <alignment horizontal="center" vertical="center"/>
    </xf>
    <xf numFmtId="0" fontId="44" fillId="9" borderId="0" xfId="0" applyNumberFormat="1" applyFont="1" applyFill="1" applyBorder="1" applyAlignment="1">
      <alignment horizontal="center" vertical="center" wrapText="1"/>
    </xf>
    <xf numFmtId="0" fontId="47" fillId="9" borderId="0" xfId="0" applyNumberFormat="1" applyFont="1" applyFill="1" applyBorder="1" applyAlignment="1">
      <alignment horizontal="center" vertical="center" wrapText="1"/>
    </xf>
    <xf numFmtId="177" fontId="40" fillId="5" borderId="0" xfId="0" applyNumberFormat="1" applyFont="1" applyFill="1" applyBorder="1"/>
    <xf numFmtId="0" fontId="27" fillId="3" borderId="4" xfId="3" applyNumberFormat="1" applyFont="1" applyBorder="1" applyAlignment="1">
      <alignment horizontal="center" vertical="center" wrapText="1"/>
    </xf>
    <xf numFmtId="0" fontId="27" fillId="3" borderId="10" xfId="3" applyNumberFormat="1" applyFont="1" applyBorder="1" applyAlignment="1">
      <alignment horizontal="center" vertical="center" wrapText="1"/>
    </xf>
    <xf numFmtId="0" fontId="3" fillId="5" borderId="0" xfId="14" applyFont="1" applyFill="1" applyBorder="1" applyAlignment="1">
      <alignment horizontal="center"/>
    </xf>
    <xf numFmtId="0" fontId="10" fillId="6" borderId="0" xfId="0" applyFont="1" applyFill="1" applyBorder="1" applyAlignment="1">
      <alignment horizontal="center" vertical="center" wrapText="1"/>
    </xf>
    <xf numFmtId="44" fontId="27" fillId="6" borderId="22" xfId="12" applyFont="1" applyFill="1" applyBorder="1" applyAlignment="1">
      <alignment horizontal="center" vertical="center" wrapText="1"/>
    </xf>
    <xf numFmtId="16" fontId="3" fillId="5" borderId="0" xfId="2" applyNumberFormat="1" applyFont="1" applyFill="1" applyBorder="1" applyAlignment="1">
      <alignment horizontal="left"/>
    </xf>
    <xf numFmtId="3" fontId="25" fillId="5" borderId="0" xfId="14" applyNumberFormat="1" applyFont="1" applyFill="1" applyBorder="1" applyAlignment="1">
      <alignment horizontal="center"/>
    </xf>
    <xf numFmtId="0" fontId="25" fillId="5" borderId="12" xfId="14" applyFont="1" applyFill="1" applyBorder="1" applyAlignment="1">
      <alignment horizontal="center"/>
    </xf>
    <xf numFmtId="0" fontId="25" fillId="13" borderId="1" xfId="14" applyFont="1" applyFill="1" applyBorder="1" applyAlignment="1">
      <alignment horizontal="center"/>
    </xf>
    <xf numFmtId="0" fontId="25" fillId="13" borderId="0" xfId="14" applyFont="1" applyFill="1" applyBorder="1" applyAlignment="1">
      <alignment horizontal="center"/>
    </xf>
    <xf numFmtId="0" fontId="25" fillId="5" borderId="0" xfId="14" applyFont="1" applyFill="1" applyBorder="1" applyAlignment="1">
      <alignment horizontal="center"/>
    </xf>
    <xf numFmtId="3" fontId="25" fillId="5" borderId="2" xfId="14" applyNumberFormat="1" applyFont="1" applyFill="1" applyBorder="1" applyAlignment="1">
      <alignment horizontal="center"/>
    </xf>
    <xf numFmtId="0" fontId="25" fillId="13" borderId="11" xfId="14" applyFont="1" applyFill="1" applyBorder="1" applyAlignment="1">
      <alignment horizontal="center"/>
    </xf>
    <xf numFmtId="0" fontId="25" fillId="13" borderId="12" xfId="14" applyFont="1" applyFill="1" applyBorder="1" applyAlignment="1">
      <alignment horizontal="center"/>
    </xf>
    <xf numFmtId="3" fontId="25" fillId="5" borderId="12" xfId="14" applyNumberFormat="1" applyFont="1" applyFill="1" applyBorder="1" applyAlignment="1">
      <alignment horizontal="center"/>
    </xf>
    <xf numFmtId="3" fontId="25" fillId="5" borderId="15" xfId="14" applyNumberFormat="1" applyFont="1" applyFill="1" applyBorder="1" applyAlignment="1">
      <alignment horizontal="center"/>
    </xf>
    <xf numFmtId="0" fontId="25" fillId="5" borderId="0" xfId="14" applyFont="1" applyFill="1" applyAlignment="1">
      <alignment horizontal="center"/>
    </xf>
    <xf numFmtId="4" fontId="25" fillId="5" borderId="26" xfId="13" applyNumberFormat="1" applyFont="1" applyFill="1" applyBorder="1" applyAlignment="1">
      <alignment horizontal="center" vertical="center"/>
    </xf>
    <xf numFmtId="3" fontId="25" fillId="13" borderId="1" xfId="14" applyNumberFormat="1" applyFont="1" applyFill="1" applyBorder="1" applyAlignment="1">
      <alignment horizontal="center"/>
    </xf>
    <xf numFmtId="0" fontId="45" fillId="16" borderId="0" xfId="14" applyFont="1" applyFill="1"/>
    <xf numFmtId="174" fontId="48" fillId="9" borderId="23" xfId="0" applyNumberFormat="1" applyFont="1" applyFill="1" applyBorder="1" applyAlignment="1">
      <alignment horizontal="center"/>
    </xf>
    <xf numFmtId="0" fontId="49" fillId="9" borderId="0" xfId="0" applyNumberFormat="1" applyFont="1" applyFill="1" applyBorder="1" applyAlignment="1">
      <alignment horizontal="center" vertical="center" wrapText="1"/>
    </xf>
    <xf numFmtId="0" fontId="23" fillId="5" borderId="0" xfId="5" applyFill="1" applyBorder="1" applyAlignment="1" applyProtection="1">
      <alignment horizontal="left"/>
    </xf>
    <xf numFmtId="0" fontId="27" fillId="3" borderId="4" xfId="3" applyNumberFormat="1" applyFont="1" applyBorder="1" applyAlignment="1">
      <alignment horizontal="center" vertical="center" wrapText="1"/>
    </xf>
    <xf numFmtId="0" fontId="27" fillId="3" borderId="10" xfId="3" applyNumberFormat="1" applyFont="1" applyBorder="1" applyAlignment="1">
      <alignment horizontal="center" vertical="center" wrapText="1"/>
    </xf>
    <xf numFmtId="0" fontId="3" fillId="5" borderId="0" xfId="14" applyFont="1" applyFill="1" applyBorder="1" applyAlignment="1">
      <alignment horizontal="center"/>
    </xf>
    <xf numFmtId="0" fontId="10" fillId="6" borderId="0" xfId="0" applyFont="1" applyFill="1" applyBorder="1" applyAlignment="1">
      <alignment horizontal="center" vertical="center" wrapText="1"/>
    </xf>
    <xf numFmtId="44" fontId="27" fillId="6" borderId="22" xfId="12" applyFont="1" applyFill="1" applyBorder="1" applyAlignment="1">
      <alignment horizontal="center" vertical="center" wrapText="1"/>
    </xf>
    <xf numFmtId="16" fontId="3" fillId="5" borderId="0" xfId="2" applyNumberFormat="1" applyFont="1" applyFill="1" applyBorder="1" applyAlignment="1">
      <alignment horizontal="left"/>
    </xf>
    <xf numFmtId="44" fontId="40" fillId="5" borderId="0" xfId="8" applyNumberFormat="1" applyFont="1" applyFill="1" applyBorder="1"/>
    <xf numFmtId="0" fontId="27" fillId="3" borderId="4" xfId="3" applyNumberFormat="1" applyFont="1" applyBorder="1" applyAlignment="1">
      <alignment horizontal="center" vertical="center" wrapText="1"/>
    </xf>
    <xf numFmtId="0" fontId="27" fillId="3" borderId="10" xfId="3" applyNumberFormat="1" applyFont="1" applyBorder="1" applyAlignment="1">
      <alignment horizontal="center" vertical="center" wrapText="1"/>
    </xf>
    <xf numFmtId="0" fontId="3" fillId="5" borderId="0" xfId="14" applyFont="1" applyFill="1" applyBorder="1" applyAlignment="1">
      <alignment horizontal="center"/>
    </xf>
    <xf numFmtId="0" fontId="10" fillId="6" borderId="0" xfId="0" applyFont="1" applyFill="1" applyBorder="1" applyAlignment="1">
      <alignment horizontal="center" vertical="center" wrapText="1"/>
    </xf>
    <xf numFmtId="44" fontId="27" fillId="6" borderId="22" xfId="12" applyFont="1" applyFill="1" applyBorder="1" applyAlignment="1">
      <alignment horizontal="center" vertical="center" wrapText="1"/>
    </xf>
    <xf numFmtId="16" fontId="3" fillId="5" borderId="0" xfId="2" applyNumberFormat="1" applyFont="1" applyFill="1" applyBorder="1" applyAlignment="1">
      <alignment horizontal="left"/>
    </xf>
    <xf numFmtId="0" fontId="27" fillId="3" borderId="4" xfId="3" applyNumberFormat="1" applyFont="1" applyBorder="1" applyAlignment="1">
      <alignment horizontal="center" vertical="center" wrapText="1"/>
    </xf>
    <xf numFmtId="0" fontId="27" fillId="3" borderId="10" xfId="3" applyNumberFormat="1" applyFont="1" applyBorder="1" applyAlignment="1">
      <alignment horizontal="center" vertical="center" wrapText="1"/>
    </xf>
    <xf numFmtId="0" fontId="3" fillId="5" borderId="0" xfId="14" applyFont="1" applyFill="1" applyBorder="1" applyAlignment="1">
      <alignment horizontal="center"/>
    </xf>
    <xf numFmtId="0" fontId="10" fillId="6" borderId="0" xfId="0" applyFont="1" applyFill="1" applyBorder="1" applyAlignment="1">
      <alignment horizontal="center" vertical="center" wrapText="1"/>
    </xf>
    <xf numFmtId="44" fontId="27" fillId="6" borderId="22" xfId="12" applyFont="1" applyFill="1" applyBorder="1" applyAlignment="1">
      <alignment horizontal="center" vertical="center" wrapText="1"/>
    </xf>
    <xf numFmtId="16" fontId="3" fillId="5" borderId="0" xfId="2" applyNumberFormat="1" applyFont="1" applyFill="1" applyBorder="1" applyAlignment="1">
      <alignment horizontal="left"/>
    </xf>
    <xf numFmtId="9" fontId="33" fillId="7" borderId="256" xfId="21" applyFont="1" applyFill="1" applyBorder="1" applyAlignment="1">
      <alignment horizontal="center" vertical="top" wrapText="1"/>
    </xf>
    <xf numFmtId="9" fontId="33" fillId="7" borderId="257" xfId="21" applyFont="1" applyFill="1" applyBorder="1" applyAlignment="1">
      <alignment horizontal="center" vertical="top" wrapText="1"/>
    </xf>
    <xf numFmtId="9" fontId="33" fillId="7" borderId="258" xfId="21" applyFont="1" applyFill="1" applyBorder="1" applyAlignment="1">
      <alignment horizontal="center" vertical="top" wrapText="1"/>
    </xf>
    <xf numFmtId="9" fontId="33" fillId="7" borderId="53" xfId="21" applyFont="1" applyFill="1" applyBorder="1" applyAlignment="1">
      <alignment horizontal="center" vertical="top" wrapText="1"/>
    </xf>
    <xf numFmtId="3" fontId="25" fillId="13" borderId="11" xfId="14" applyNumberFormat="1" applyFont="1" applyFill="1" applyBorder="1" applyAlignment="1">
      <alignment horizontal="center"/>
    </xf>
    <xf numFmtId="0" fontId="30" fillId="12" borderId="1" xfId="14" applyFont="1" applyFill="1" applyBorder="1" applyAlignment="1">
      <alignment horizontal="center" vertical="center" wrapText="1"/>
    </xf>
    <xf numFmtId="0" fontId="27" fillId="3" borderId="4" xfId="3" applyNumberFormat="1" applyFont="1" applyBorder="1" applyAlignment="1">
      <alignment horizontal="center" vertical="center" wrapText="1"/>
    </xf>
    <xf numFmtId="0" fontId="27" fillId="3" borderId="10" xfId="3" applyNumberFormat="1" applyFont="1" applyBorder="1" applyAlignment="1">
      <alignment horizontal="center" vertical="center" wrapText="1"/>
    </xf>
    <xf numFmtId="0" fontId="3" fillId="5" borderId="0" xfId="14" applyFont="1" applyFill="1" applyBorder="1" applyAlignment="1">
      <alignment horizontal="center"/>
    </xf>
    <xf numFmtId="0" fontId="10" fillId="6" borderId="0" xfId="0" applyFont="1" applyFill="1" applyBorder="1" applyAlignment="1">
      <alignment horizontal="center" vertical="center" wrapText="1"/>
    </xf>
    <xf numFmtId="44" fontId="27" fillId="6" borderId="22" xfId="12" applyFont="1" applyFill="1" applyBorder="1" applyAlignment="1">
      <alignment horizontal="center" vertical="center" wrapText="1"/>
    </xf>
    <xf numFmtId="16" fontId="3" fillId="5" borderId="0" xfId="2" applyNumberFormat="1" applyFont="1" applyFill="1" applyBorder="1" applyAlignment="1">
      <alignment horizontal="left"/>
    </xf>
    <xf numFmtId="4" fontId="25" fillId="13" borderId="1" xfId="14" applyNumberFormat="1" applyFont="1" applyFill="1" applyBorder="1" applyAlignment="1">
      <alignment horizontal="center"/>
    </xf>
    <xf numFmtId="4" fontId="25" fillId="13" borderId="11" xfId="14" applyNumberFormat="1" applyFont="1" applyFill="1" applyBorder="1" applyAlignment="1">
      <alignment horizontal="center"/>
    </xf>
    <xf numFmtId="4" fontId="25" fillId="0" borderId="0" xfId="14" applyNumberFormat="1" applyFont="1"/>
    <xf numFmtId="3" fontId="30" fillId="5" borderId="0" xfId="14" applyNumberFormat="1" applyFont="1" applyFill="1" applyAlignment="1">
      <alignment horizontal="center"/>
    </xf>
    <xf numFmtId="3" fontId="30" fillId="5" borderId="0" xfId="14" applyNumberFormat="1" applyFont="1" applyFill="1"/>
    <xf numFmtId="4" fontId="0" fillId="5" borderId="0" xfId="0" applyNumberFormat="1" applyFill="1"/>
    <xf numFmtId="0" fontId="30" fillId="10" borderId="3" xfId="0" applyFont="1" applyFill="1" applyBorder="1" applyAlignment="1">
      <alignment horizontal="center" vertical="center" wrapText="1"/>
    </xf>
    <xf numFmtId="4" fontId="25" fillId="5" borderId="0" xfId="14" applyNumberFormat="1" applyFont="1" applyFill="1" applyBorder="1" applyAlignment="1">
      <alignment horizontal="center"/>
    </xf>
    <xf numFmtId="0" fontId="27" fillId="3" borderId="4" xfId="3" applyNumberFormat="1" applyFont="1" applyBorder="1" applyAlignment="1">
      <alignment horizontal="center" vertical="center" wrapText="1"/>
    </xf>
    <xf numFmtId="0" fontId="27" fillId="3" borderId="10" xfId="3" applyNumberFormat="1" applyFont="1" applyBorder="1" applyAlignment="1">
      <alignment horizontal="center" vertical="center" wrapText="1"/>
    </xf>
    <xf numFmtId="0" fontId="3" fillId="5" borderId="0" xfId="14" applyFont="1" applyFill="1" applyBorder="1" applyAlignment="1">
      <alignment horizontal="center"/>
    </xf>
    <xf numFmtId="0" fontId="10" fillId="6" borderId="0" xfId="0" applyFont="1" applyFill="1" applyBorder="1" applyAlignment="1">
      <alignment horizontal="center" vertical="center" wrapText="1"/>
    </xf>
    <xf numFmtId="44" fontId="27" fillId="6" borderId="22" xfId="12" applyFont="1" applyFill="1" applyBorder="1" applyAlignment="1">
      <alignment horizontal="center" vertical="center" wrapText="1"/>
    </xf>
    <xf numFmtId="16" fontId="3" fillId="5" borderId="0" xfId="2" applyNumberFormat="1" applyFont="1" applyFill="1" applyBorder="1" applyAlignment="1">
      <alignment horizontal="left"/>
    </xf>
    <xf numFmtId="0" fontId="3" fillId="5" borderId="0" xfId="14" applyFont="1" applyFill="1" applyBorder="1" applyAlignment="1">
      <alignment horizontal="center"/>
    </xf>
    <xf numFmtId="178" fontId="40" fillId="5" borderId="0" xfId="8" applyNumberFormat="1" applyFont="1" applyFill="1" applyBorder="1"/>
    <xf numFmtId="0" fontId="27" fillId="3" borderId="4" xfId="3" applyNumberFormat="1" applyFont="1" applyBorder="1" applyAlignment="1">
      <alignment horizontal="center" vertical="center" wrapText="1"/>
    </xf>
    <xf numFmtId="0" fontId="27" fillId="3" borderId="10" xfId="3" applyNumberFormat="1" applyFont="1" applyBorder="1" applyAlignment="1">
      <alignment horizontal="center" vertical="center" wrapText="1"/>
    </xf>
    <xf numFmtId="0" fontId="3" fillId="5" borderId="0" xfId="14" applyFont="1" applyFill="1" applyBorder="1" applyAlignment="1">
      <alignment horizontal="center"/>
    </xf>
    <xf numFmtId="0" fontId="10" fillId="6" borderId="0" xfId="0" applyFont="1" applyFill="1" applyBorder="1" applyAlignment="1">
      <alignment horizontal="center" vertical="center" wrapText="1"/>
    </xf>
    <xf numFmtId="44" fontId="27" fillId="6" borderId="22" xfId="12" applyFont="1" applyFill="1" applyBorder="1" applyAlignment="1">
      <alignment horizontal="center" vertical="center" wrapText="1"/>
    </xf>
    <xf numFmtId="16" fontId="3" fillId="5" borderId="0" xfId="2" applyNumberFormat="1" applyFont="1" applyFill="1" applyBorder="1" applyAlignment="1">
      <alignment horizontal="left"/>
    </xf>
    <xf numFmtId="0" fontId="27" fillId="3" borderId="17" xfId="3" applyNumberFormat="1" applyFont="1" applyBorder="1" applyAlignment="1">
      <alignment horizontal="center" vertical="center" wrapText="1"/>
    </xf>
    <xf numFmtId="44" fontId="25" fillId="5" borderId="18" xfId="8" applyFont="1" applyFill="1" applyBorder="1" applyAlignment="1">
      <alignment horizontal="center"/>
    </xf>
    <xf numFmtId="44" fontId="25" fillId="5" borderId="19" xfId="8" applyFont="1" applyFill="1" applyBorder="1" applyAlignment="1">
      <alignment horizontal="center"/>
    </xf>
    <xf numFmtId="44" fontId="30" fillId="5" borderId="0" xfId="8" applyFont="1" applyFill="1" applyAlignment="1">
      <alignment horizontal="center"/>
    </xf>
    <xf numFmtId="44" fontId="25" fillId="5" borderId="0" xfId="8" applyFont="1" applyFill="1"/>
    <xf numFmtId="44" fontId="25" fillId="0" borderId="0" xfId="8" applyFont="1"/>
    <xf numFmtId="44" fontId="27" fillId="3" borderId="17" xfId="8" applyFont="1" applyFill="1" applyBorder="1" applyAlignment="1">
      <alignment horizontal="center" vertical="center" wrapText="1"/>
    </xf>
    <xf numFmtId="9" fontId="25" fillId="5" borderId="0" xfId="21" applyNumberFormat="1" applyFont="1" applyFill="1" applyBorder="1" applyAlignment="1">
      <alignment horizontal="center"/>
    </xf>
    <xf numFmtId="0" fontId="27" fillId="3" borderId="4" xfId="3" applyNumberFormat="1" applyFont="1" applyBorder="1" applyAlignment="1">
      <alignment horizontal="center" vertical="center" wrapText="1"/>
    </xf>
    <xf numFmtId="0" fontId="27" fillId="3" borderId="10" xfId="3" applyNumberFormat="1" applyFont="1" applyBorder="1" applyAlignment="1">
      <alignment horizontal="center" vertical="center" wrapText="1"/>
    </xf>
    <xf numFmtId="0" fontId="3" fillId="5" borderId="0" xfId="14" applyFont="1" applyFill="1" applyBorder="1" applyAlignment="1">
      <alignment horizontal="center"/>
    </xf>
    <xf numFmtId="0" fontId="10" fillId="6" borderId="0" xfId="0" applyFont="1" applyFill="1" applyBorder="1" applyAlignment="1">
      <alignment horizontal="center" vertical="center" wrapText="1"/>
    </xf>
    <xf numFmtId="44" fontId="27" fillId="6" borderId="22" xfId="12" applyFont="1" applyFill="1" applyBorder="1" applyAlignment="1">
      <alignment horizontal="center" vertical="center" wrapText="1"/>
    </xf>
    <xf numFmtId="16" fontId="3" fillId="5" borderId="0" xfId="2" applyNumberFormat="1" applyFont="1" applyFill="1" applyBorder="1" applyAlignment="1">
      <alignment horizontal="left"/>
    </xf>
    <xf numFmtId="178" fontId="50" fillId="5" borderId="0" xfId="8" applyNumberFormat="1" applyFont="1" applyFill="1"/>
    <xf numFmtId="0" fontId="25" fillId="9" borderId="0" xfId="0" applyFont="1" applyFill="1" applyBorder="1" applyAlignment="1">
      <alignment horizontal="center"/>
    </xf>
    <xf numFmtId="0" fontId="25" fillId="9" borderId="12" xfId="0" applyFont="1" applyFill="1" applyBorder="1" applyAlignment="1">
      <alignment horizontal="center"/>
    </xf>
    <xf numFmtId="0" fontId="27" fillId="3" borderId="4" xfId="3" applyNumberFormat="1" applyFont="1" applyBorder="1" applyAlignment="1">
      <alignment horizontal="center" vertical="center" wrapText="1"/>
    </xf>
    <xf numFmtId="0" fontId="27" fillId="3" borderId="10" xfId="3" applyNumberFormat="1" applyFont="1" applyBorder="1" applyAlignment="1">
      <alignment horizontal="center" vertical="center" wrapText="1"/>
    </xf>
    <xf numFmtId="0" fontId="3" fillId="5" borderId="0" xfId="14" applyFont="1" applyFill="1" applyBorder="1" applyAlignment="1">
      <alignment horizontal="center"/>
    </xf>
    <xf numFmtId="0" fontId="10" fillId="6" borderId="0" xfId="0" applyFont="1" applyFill="1" applyBorder="1" applyAlignment="1">
      <alignment horizontal="center" vertical="center" wrapText="1"/>
    </xf>
    <xf numFmtId="44" fontId="27" fillId="6" borderId="22" xfId="12" applyFont="1" applyFill="1" applyBorder="1" applyAlignment="1">
      <alignment horizontal="center" vertical="center" wrapText="1"/>
    </xf>
    <xf numFmtId="16" fontId="3" fillId="5" borderId="0" xfId="2" applyNumberFormat="1" applyFont="1" applyFill="1" applyBorder="1" applyAlignment="1">
      <alignment horizontal="left"/>
    </xf>
    <xf numFmtId="166" fontId="33" fillId="7" borderId="259" xfId="0" applyNumberFormat="1" applyFont="1" applyFill="1" applyBorder="1" applyAlignment="1">
      <alignment horizontal="center" vertical="top" wrapText="1"/>
    </xf>
    <xf numFmtId="166" fontId="33" fillId="7" borderId="260" xfId="0" applyNumberFormat="1" applyFont="1" applyFill="1" applyBorder="1" applyAlignment="1">
      <alignment horizontal="center" vertical="top" wrapText="1"/>
    </xf>
    <xf numFmtId="166" fontId="33" fillId="7" borderId="261" xfId="0" applyNumberFormat="1" applyFont="1" applyFill="1" applyBorder="1" applyAlignment="1">
      <alignment horizontal="center" vertical="top" wrapText="1"/>
    </xf>
    <xf numFmtId="166" fontId="33" fillId="7" borderId="262" xfId="0" applyNumberFormat="1" applyFont="1" applyFill="1" applyBorder="1" applyAlignment="1">
      <alignment horizontal="center" vertical="top" wrapText="1"/>
    </xf>
    <xf numFmtId="166" fontId="33" fillId="7" borderId="263" xfId="0" applyNumberFormat="1" applyFont="1" applyFill="1" applyBorder="1" applyAlignment="1">
      <alignment horizontal="center" vertical="top" wrapText="1"/>
    </xf>
    <xf numFmtId="166" fontId="33" fillId="7" borderId="264" xfId="0" applyNumberFormat="1" applyFont="1" applyFill="1" applyBorder="1" applyAlignment="1">
      <alignment horizontal="center" vertical="top" wrapText="1"/>
    </xf>
    <xf numFmtId="166" fontId="33" fillId="7" borderId="265" xfId="0" applyNumberFormat="1" applyFont="1" applyFill="1" applyBorder="1" applyAlignment="1">
      <alignment horizontal="center" vertical="top" wrapText="1"/>
    </xf>
    <xf numFmtId="166" fontId="33" fillId="7" borderId="266" xfId="0" applyNumberFormat="1" applyFont="1" applyFill="1" applyBorder="1" applyAlignment="1">
      <alignment horizontal="center" vertical="top" wrapText="1"/>
    </xf>
    <xf numFmtId="166" fontId="33" fillId="7" borderId="138" xfId="0" applyNumberFormat="1" applyFont="1" applyFill="1" applyBorder="1" applyAlignment="1">
      <alignment horizontal="center" vertical="top" wrapText="1"/>
    </xf>
    <xf numFmtId="166" fontId="33" fillId="7" borderId="267" xfId="0" applyNumberFormat="1" applyFont="1" applyFill="1" applyBorder="1" applyAlignment="1">
      <alignment horizontal="center" vertical="top" wrapText="1"/>
    </xf>
    <xf numFmtId="166" fontId="33" fillId="7" borderId="268" xfId="0" applyNumberFormat="1" applyFont="1" applyFill="1" applyBorder="1" applyAlignment="1">
      <alignment horizontal="center" vertical="top" wrapText="1"/>
    </xf>
    <xf numFmtId="9" fontId="33" fillId="7" borderId="269" xfId="21" applyFont="1" applyFill="1" applyBorder="1" applyAlignment="1">
      <alignment horizontal="center" vertical="top" wrapText="1"/>
    </xf>
    <xf numFmtId="9" fontId="33" fillId="7" borderId="270" xfId="21" applyFont="1" applyFill="1" applyBorder="1" applyAlignment="1">
      <alignment horizontal="center" vertical="top" wrapText="1"/>
    </xf>
    <xf numFmtId="9" fontId="33" fillId="7" borderId="271" xfId="21" applyFont="1" applyFill="1" applyBorder="1" applyAlignment="1">
      <alignment horizontal="center" vertical="top" wrapText="1"/>
    </xf>
    <xf numFmtId="9" fontId="33" fillId="7" borderId="272" xfId="21" applyFont="1" applyFill="1" applyBorder="1" applyAlignment="1">
      <alignment horizontal="center" vertical="top" wrapText="1"/>
    </xf>
    <xf numFmtId="9" fontId="33" fillId="7" borderId="273" xfId="21" applyFont="1" applyFill="1" applyBorder="1" applyAlignment="1">
      <alignment horizontal="center" vertical="top" wrapText="1"/>
    </xf>
    <xf numFmtId="9" fontId="33" fillId="7" borderId="274" xfId="21" applyFont="1" applyFill="1" applyBorder="1" applyAlignment="1">
      <alignment horizontal="center" vertical="top" wrapText="1"/>
    </xf>
    <xf numFmtId="9" fontId="33" fillId="7" borderId="275" xfId="21" applyFont="1" applyFill="1" applyBorder="1" applyAlignment="1">
      <alignment horizontal="center" vertical="top" wrapText="1"/>
    </xf>
    <xf numFmtId="9" fontId="33" fillId="7" borderId="100" xfId="21" applyFont="1" applyFill="1" applyBorder="1" applyAlignment="1">
      <alignment horizontal="center" vertical="top" wrapText="1"/>
    </xf>
    <xf numFmtId="9" fontId="33" fillId="7" borderId="157" xfId="21" applyFont="1" applyFill="1" applyBorder="1" applyAlignment="1">
      <alignment horizontal="center" vertical="top" wrapText="1"/>
    </xf>
    <xf numFmtId="9" fontId="33" fillId="7" borderId="158" xfId="21" applyFont="1" applyFill="1" applyBorder="1" applyAlignment="1">
      <alignment horizontal="center" vertical="top" wrapText="1"/>
    </xf>
    <xf numFmtId="9" fontId="33" fillId="7" borderId="105" xfId="21" applyFont="1" applyFill="1" applyBorder="1" applyAlignment="1">
      <alignment horizontal="center" vertical="top" wrapText="1"/>
    </xf>
    <xf numFmtId="9" fontId="33" fillId="7" borderId="109" xfId="21" applyFont="1" applyFill="1" applyBorder="1" applyAlignment="1">
      <alignment horizontal="center" vertical="top" wrapText="1"/>
    </xf>
    <xf numFmtId="9" fontId="33" fillId="7" borderId="159" xfId="21" applyFont="1" applyFill="1" applyBorder="1" applyAlignment="1">
      <alignment horizontal="center" vertical="top" wrapText="1"/>
    </xf>
    <xf numFmtId="9" fontId="33" fillId="7" borderId="160" xfId="21" applyFont="1" applyFill="1" applyBorder="1" applyAlignment="1">
      <alignment horizontal="center" vertical="top" wrapText="1"/>
    </xf>
    <xf numFmtId="9" fontId="33" fillId="7" borderId="161" xfId="21" applyFont="1" applyFill="1" applyBorder="1" applyAlignment="1">
      <alignment horizontal="center" vertical="top" wrapText="1"/>
    </xf>
    <xf numFmtId="9" fontId="33" fillId="7" borderId="276" xfId="21" applyFont="1" applyFill="1" applyBorder="1" applyAlignment="1">
      <alignment horizontal="center" vertical="top" wrapText="1"/>
    </xf>
    <xf numFmtId="9" fontId="33" fillId="7" borderId="277" xfId="21" applyFont="1" applyFill="1" applyBorder="1" applyAlignment="1">
      <alignment horizontal="center" vertical="top" wrapText="1"/>
    </xf>
    <xf numFmtId="9" fontId="33" fillId="7" borderId="278" xfId="21" applyFont="1" applyFill="1" applyBorder="1" applyAlignment="1">
      <alignment horizontal="center" vertical="top" wrapText="1"/>
    </xf>
    <xf numFmtId="9" fontId="33" fillId="7" borderId="279" xfId="21" applyFont="1" applyFill="1" applyBorder="1" applyAlignment="1">
      <alignment horizontal="center" vertical="top" wrapText="1"/>
    </xf>
    <xf numFmtId="9" fontId="33" fillId="7" borderId="280" xfId="21" applyFont="1" applyFill="1" applyBorder="1" applyAlignment="1">
      <alignment horizontal="center" vertical="top" wrapText="1"/>
    </xf>
    <xf numFmtId="9" fontId="33" fillId="7" borderId="281" xfId="21" applyFont="1" applyFill="1" applyBorder="1" applyAlignment="1">
      <alignment horizontal="center" vertical="top" wrapText="1"/>
    </xf>
    <xf numFmtId="9" fontId="33" fillId="7" borderId="282" xfId="21" applyFont="1" applyFill="1" applyBorder="1" applyAlignment="1">
      <alignment horizontal="center" vertical="top" wrapText="1"/>
    </xf>
    <xf numFmtId="9" fontId="33" fillId="7" borderId="283" xfId="21" applyFont="1" applyFill="1" applyBorder="1" applyAlignment="1">
      <alignment horizontal="center" vertical="top" wrapText="1"/>
    </xf>
    <xf numFmtId="9" fontId="33" fillId="7" borderId="284" xfId="21" applyFont="1" applyFill="1" applyBorder="1" applyAlignment="1">
      <alignment horizontal="center" vertical="top" wrapText="1"/>
    </xf>
    <xf numFmtId="9" fontId="33" fillId="7" borderId="163" xfId="21" applyFont="1" applyFill="1" applyBorder="1" applyAlignment="1">
      <alignment horizontal="center" vertical="top" wrapText="1"/>
    </xf>
    <xf numFmtId="9" fontId="33" fillId="7" borderId="285" xfId="21" applyFont="1" applyFill="1" applyBorder="1" applyAlignment="1">
      <alignment horizontal="center" vertical="top" wrapText="1"/>
    </xf>
    <xf numFmtId="9" fontId="33" fillId="7" borderId="286" xfId="21" applyFont="1" applyFill="1" applyBorder="1" applyAlignment="1">
      <alignment horizontal="center" vertical="top" wrapText="1"/>
    </xf>
    <xf numFmtId="9" fontId="33" fillId="7" borderId="89" xfId="21" applyFont="1" applyFill="1" applyBorder="1" applyAlignment="1">
      <alignment horizontal="center" vertical="top" wrapText="1"/>
    </xf>
    <xf numFmtId="9" fontId="33" fillId="7" borderId="175" xfId="21" applyFont="1" applyFill="1" applyBorder="1" applyAlignment="1">
      <alignment horizontal="center" vertical="top" wrapText="1"/>
    </xf>
    <xf numFmtId="9" fontId="33" fillId="7" borderId="176" xfId="21" applyFont="1" applyFill="1" applyBorder="1" applyAlignment="1">
      <alignment horizontal="center" vertical="top" wrapText="1"/>
    </xf>
    <xf numFmtId="9" fontId="33" fillId="7" borderId="177" xfId="21" applyFont="1" applyFill="1" applyBorder="1" applyAlignment="1">
      <alignment horizontal="center" vertical="top" wrapText="1"/>
    </xf>
    <xf numFmtId="9" fontId="33" fillId="7" borderId="179" xfId="21" applyFont="1" applyFill="1" applyBorder="1" applyAlignment="1">
      <alignment horizontal="center" vertical="top" wrapText="1"/>
    </xf>
    <xf numFmtId="3" fontId="25" fillId="0" borderId="0" xfId="14" applyNumberFormat="1" applyFont="1" applyAlignment="1">
      <alignment horizontal="center"/>
    </xf>
    <xf numFmtId="0" fontId="27" fillId="3" borderId="4" xfId="3" applyNumberFormat="1" applyFont="1" applyBorder="1" applyAlignment="1">
      <alignment horizontal="center" vertical="center" wrapText="1"/>
    </xf>
    <xf numFmtId="0" fontId="27" fillId="3" borderId="10" xfId="3" applyNumberFormat="1" applyFont="1" applyBorder="1" applyAlignment="1">
      <alignment horizontal="center" vertical="center" wrapText="1"/>
    </xf>
    <xf numFmtId="44" fontId="25" fillId="5" borderId="18" xfId="8" quotePrefix="1" applyFont="1" applyFill="1" applyBorder="1" applyAlignment="1">
      <alignment horizontal="center"/>
    </xf>
    <xf numFmtId="0" fontId="25" fillId="5" borderId="1" xfId="0" quotePrefix="1" applyFont="1" applyFill="1" applyBorder="1" applyAlignment="1">
      <alignment horizontal="center"/>
    </xf>
    <xf numFmtId="0" fontId="25" fillId="5" borderId="0" xfId="0" quotePrefix="1" applyFont="1" applyFill="1" applyBorder="1" applyAlignment="1">
      <alignment horizontal="center"/>
    </xf>
    <xf numFmtId="0" fontId="25" fillId="5" borderId="12" xfId="18" quotePrefix="1" applyFont="1" applyFill="1" applyBorder="1" applyAlignment="1">
      <alignment horizontal="center" vertical="center"/>
    </xf>
    <xf numFmtId="0" fontId="48" fillId="5" borderId="0" xfId="14" applyFont="1" applyFill="1" applyAlignment="1">
      <alignment horizontal="right" vertical="center"/>
    </xf>
    <xf numFmtId="0" fontId="48" fillId="5" borderId="0" xfId="14" applyFont="1" applyFill="1" applyAlignment="1">
      <alignment horizontal="left" vertical="center"/>
    </xf>
    <xf numFmtId="172" fontId="25" fillId="5" borderId="0" xfId="0" applyNumberFormat="1" applyFont="1" applyFill="1"/>
    <xf numFmtId="172" fontId="30" fillId="5" borderId="0" xfId="8" applyNumberFormat="1" applyFont="1" applyFill="1"/>
    <xf numFmtId="0" fontId="25" fillId="5" borderId="0" xfId="0" applyFont="1" applyFill="1" applyBorder="1"/>
    <xf numFmtId="172" fontId="25" fillId="5" borderId="0" xfId="0" applyNumberFormat="1" applyFont="1" applyFill="1" applyBorder="1"/>
    <xf numFmtId="44" fontId="25" fillId="5" borderId="0" xfId="0" applyNumberFormat="1" applyFont="1" applyFill="1" applyBorder="1"/>
    <xf numFmtId="44" fontId="30" fillId="5" borderId="0" xfId="0" applyNumberFormat="1" applyFont="1" applyFill="1" applyBorder="1"/>
    <xf numFmtId="172" fontId="30" fillId="5" borderId="0" xfId="0" applyNumberFormat="1" applyFont="1" applyFill="1" applyBorder="1"/>
    <xf numFmtId="0" fontId="25" fillId="5" borderId="0" xfId="0" applyFont="1" applyFill="1" applyBorder="1" applyAlignment="1">
      <alignment horizontal="right"/>
    </xf>
    <xf numFmtId="178" fontId="30" fillId="5" borderId="0" xfId="8" applyNumberFormat="1" applyFont="1" applyFill="1" applyBorder="1"/>
    <xf numFmtId="170" fontId="25" fillId="9" borderId="0" xfId="8" applyNumberFormat="1" applyFont="1" applyFill="1"/>
    <xf numFmtId="179" fontId="25" fillId="9" borderId="0" xfId="8" applyNumberFormat="1" applyFont="1" applyFill="1"/>
    <xf numFmtId="44" fontId="25" fillId="5" borderId="0" xfId="8" applyFont="1" applyFill="1" applyBorder="1" applyAlignment="1">
      <alignment horizontal="center"/>
    </xf>
    <xf numFmtId="3" fontId="30" fillId="0" borderId="0" xfId="14" applyNumberFormat="1" applyFont="1" applyAlignment="1">
      <alignment horizontal="center"/>
    </xf>
    <xf numFmtId="173" fontId="3" fillId="5" borderId="0" xfId="14" applyNumberFormat="1" applyFont="1" applyFill="1" applyBorder="1" applyAlignment="1">
      <alignment horizontal="center"/>
    </xf>
    <xf numFmtId="0" fontId="3" fillId="5" borderId="0" xfId="14" applyFont="1" applyFill="1" applyBorder="1" applyAlignment="1">
      <alignment wrapText="1"/>
    </xf>
    <xf numFmtId="0" fontId="27" fillId="3" borderId="4" xfId="3" applyNumberFormat="1" applyFont="1" applyBorder="1" applyAlignment="1">
      <alignment horizontal="center" vertical="center" wrapText="1"/>
    </xf>
    <xf numFmtId="0" fontId="27" fillId="3" borderId="10" xfId="3" applyNumberFormat="1" applyFont="1" applyBorder="1" applyAlignment="1">
      <alignment horizontal="center" vertical="center" wrapText="1"/>
    </xf>
    <xf numFmtId="0" fontId="3" fillId="5" borderId="0" xfId="14" applyFont="1" applyFill="1" applyBorder="1" applyAlignment="1">
      <alignment horizontal="center"/>
    </xf>
    <xf numFmtId="0" fontId="10" fillId="6" borderId="0" xfId="0" applyFont="1" applyFill="1" applyBorder="1" applyAlignment="1">
      <alignment horizontal="center" vertical="center" wrapText="1"/>
    </xf>
    <xf numFmtId="44" fontId="27" fillId="6" borderId="22" xfId="12" applyFont="1" applyFill="1" applyBorder="1" applyAlignment="1">
      <alignment horizontal="center" vertical="center" wrapText="1"/>
    </xf>
    <xf numFmtId="16" fontId="3" fillId="5" borderId="0" xfId="2" applyNumberFormat="1" applyFont="1" applyFill="1" applyBorder="1" applyAlignment="1">
      <alignment horizontal="left"/>
    </xf>
    <xf numFmtId="0" fontId="30" fillId="10" borderId="10" xfId="0" applyFont="1" applyFill="1" applyBorder="1" applyAlignment="1">
      <alignment horizontal="center" vertical="center"/>
    </xf>
    <xf numFmtId="4" fontId="25" fillId="5" borderId="2" xfId="10" applyNumberFormat="1" applyFont="1" applyFill="1" applyBorder="1" applyAlignment="1">
      <alignment horizontal="center" vertical="center"/>
    </xf>
    <xf numFmtId="4" fontId="25" fillId="9" borderId="11" xfId="7" applyNumberFormat="1" applyFont="1" applyFill="1" applyBorder="1" applyAlignment="1">
      <alignment horizontal="center" vertical="center"/>
    </xf>
    <xf numFmtId="4" fontId="25" fillId="5" borderId="15" xfId="10" applyNumberFormat="1" applyFont="1" applyFill="1" applyBorder="1" applyAlignment="1">
      <alignment horizontal="center" vertical="center"/>
    </xf>
    <xf numFmtId="0" fontId="30" fillId="14" borderId="3" xfId="15" applyFont="1" applyFill="1" applyBorder="1" applyAlignment="1">
      <alignment horizontal="center"/>
    </xf>
    <xf numFmtId="0" fontId="30" fillId="14" borderId="4" xfId="15" applyFont="1" applyFill="1" applyBorder="1" applyAlignment="1">
      <alignment horizontal="center"/>
    </xf>
    <xf numFmtId="0" fontId="30" fillId="14" borderId="10" xfId="15" applyFont="1" applyFill="1" applyBorder="1" applyAlignment="1"/>
    <xf numFmtId="0" fontId="30" fillId="10" borderId="3" xfId="0" applyFont="1" applyFill="1" applyBorder="1" applyAlignment="1">
      <alignment vertical="center"/>
    </xf>
    <xf numFmtId="0" fontId="30" fillId="10" borderId="4" xfId="0" applyFont="1" applyFill="1" applyBorder="1" applyAlignment="1">
      <alignment vertical="center"/>
    </xf>
    <xf numFmtId="4" fontId="25" fillId="5" borderId="19" xfId="13" applyNumberFormat="1" applyFont="1" applyFill="1" applyBorder="1" applyAlignment="1">
      <alignment horizontal="center" vertical="center"/>
    </xf>
    <xf numFmtId="0" fontId="30" fillId="11" borderId="3" xfId="20" applyNumberFormat="1" applyFont="1" applyFill="1" applyBorder="1" applyAlignment="1">
      <alignment horizontal="center" vertical="center" wrapText="1"/>
    </xf>
    <xf numFmtId="0" fontId="30" fillId="11" borderId="4" xfId="20" applyNumberFormat="1" applyFont="1" applyFill="1" applyBorder="1" applyAlignment="1">
      <alignment horizontal="center" vertical="center" wrapText="1"/>
    </xf>
    <xf numFmtId="43" fontId="30" fillId="11" borderId="4" xfId="7" applyFont="1" applyFill="1" applyBorder="1" applyAlignment="1">
      <alignment horizontal="center" vertical="center" wrapText="1"/>
    </xf>
    <xf numFmtId="43" fontId="30" fillId="11" borderId="10" xfId="7" applyFont="1" applyFill="1" applyBorder="1" applyAlignment="1">
      <alignment horizontal="center" vertical="center" wrapText="1"/>
    </xf>
    <xf numFmtId="0" fontId="30" fillId="12" borderId="3" xfId="14" applyFont="1" applyFill="1" applyBorder="1" applyAlignment="1">
      <alignment horizontal="center" vertical="center" wrapText="1"/>
    </xf>
    <xf numFmtId="0" fontId="30" fillId="12" borderId="4" xfId="14" applyFont="1" applyFill="1" applyBorder="1" applyAlignment="1">
      <alignment horizontal="center" vertical="center"/>
    </xf>
    <xf numFmtId="0" fontId="30" fillId="12" borderId="4" xfId="14" applyFont="1" applyFill="1" applyBorder="1" applyAlignment="1">
      <alignment horizontal="center" vertical="center" wrapText="1"/>
    </xf>
    <xf numFmtId="0" fontId="30" fillId="12" borderId="10" xfId="14" applyFont="1" applyFill="1" applyBorder="1" applyAlignment="1">
      <alignment horizontal="center" vertical="center" wrapText="1"/>
    </xf>
    <xf numFmtId="4" fontId="25" fillId="0" borderId="0" xfId="7" applyNumberFormat="1" applyFont="1" applyFill="1" applyBorder="1" applyAlignment="1">
      <alignment horizontal="center" vertical="center"/>
    </xf>
    <xf numFmtId="4" fontId="25" fillId="0" borderId="12" xfId="7" applyNumberFormat="1" applyFont="1" applyFill="1" applyBorder="1" applyAlignment="1">
      <alignment horizontal="center" vertical="center"/>
    </xf>
    <xf numFmtId="3" fontId="25" fillId="0" borderId="0" xfId="0" applyNumberFormat="1" applyFont="1" applyFill="1" applyBorder="1" applyAlignment="1">
      <alignment horizontal="center"/>
    </xf>
    <xf numFmtId="3" fontId="25" fillId="0" borderId="2" xfId="0" applyNumberFormat="1" applyFont="1" applyFill="1" applyBorder="1" applyAlignment="1">
      <alignment horizontal="center"/>
    </xf>
    <xf numFmtId="3" fontId="25" fillId="0" borderId="12" xfId="0" applyNumberFormat="1" applyFont="1" applyFill="1" applyBorder="1" applyAlignment="1">
      <alignment horizontal="center"/>
    </xf>
    <xf numFmtId="3" fontId="25" fillId="0" borderId="15" xfId="0" applyNumberFormat="1" applyFont="1" applyFill="1" applyBorder="1" applyAlignment="1">
      <alignment horizontal="center"/>
    </xf>
    <xf numFmtId="0" fontId="51" fillId="20" borderId="287" xfId="0" applyFont="1" applyFill="1" applyBorder="1" applyAlignment="1">
      <alignment horizontal="center" vertical="center" wrapText="1"/>
    </xf>
    <xf numFmtId="0" fontId="51" fillId="20" borderId="287" xfId="0" applyFont="1" applyFill="1" applyBorder="1" applyAlignment="1">
      <alignment horizontal="center" wrapText="1"/>
    </xf>
    <xf numFmtId="44" fontId="51" fillId="20" borderId="287" xfId="8" applyFont="1" applyFill="1" applyBorder="1" applyAlignment="1">
      <alignment horizontal="center" wrapText="1"/>
    </xf>
    <xf numFmtId="0" fontId="25" fillId="5" borderId="287" xfId="0" applyFont="1" applyFill="1" applyBorder="1" applyAlignment="1">
      <alignment horizontal="center" vertical="center" wrapText="1"/>
    </xf>
    <xf numFmtId="44" fontId="25" fillId="5" borderId="287" xfId="8" applyFont="1" applyFill="1" applyBorder="1" applyAlignment="1">
      <alignment horizontal="center" vertical="center" wrapText="1"/>
    </xf>
    <xf numFmtId="0" fontId="25" fillId="5" borderId="0" xfId="0" applyFont="1" applyFill="1" applyBorder="1" applyAlignment="1">
      <alignment horizontal="center" vertical="center" wrapText="1"/>
    </xf>
    <xf numFmtId="44" fontId="25" fillId="5" borderId="0" xfId="8" applyFont="1" applyFill="1" applyBorder="1" applyAlignment="1">
      <alignment horizontal="center" vertical="center" wrapText="1"/>
    </xf>
    <xf numFmtId="179" fontId="25" fillId="5" borderId="0" xfId="8" applyNumberFormat="1" applyFont="1" applyFill="1"/>
    <xf numFmtId="0" fontId="0" fillId="0" borderId="0" xfId="0" applyFont="1"/>
    <xf numFmtId="0" fontId="0" fillId="5" borderId="0" xfId="0" applyFont="1" applyFill="1" applyAlignment="1">
      <alignment horizontal="center"/>
    </xf>
    <xf numFmtId="0" fontId="0" fillId="5" borderId="0" xfId="0" applyFont="1" applyFill="1"/>
    <xf numFmtId="0" fontId="25" fillId="0" borderId="0" xfId="14" applyFont="1" applyAlignment="1">
      <alignment horizontal="center"/>
    </xf>
    <xf numFmtId="17" fontId="27" fillId="5" borderId="0" xfId="14" applyNumberFormat="1" applyFont="1" applyFill="1" applyBorder="1" applyAlignment="1"/>
    <xf numFmtId="0" fontId="25" fillId="9" borderId="287" xfId="0" applyFont="1" applyFill="1" applyBorder="1" applyAlignment="1">
      <alignment horizontal="center" vertical="center" wrapText="1"/>
    </xf>
    <xf numFmtId="4" fontId="4" fillId="8" borderId="1" xfId="7" applyNumberFormat="1" applyFont="1" applyFill="1" applyBorder="1" applyAlignment="1">
      <alignment horizontal="center" vertical="center"/>
    </xf>
    <xf numFmtId="4" fontId="4" fillId="9" borderId="1" xfId="7" applyNumberFormat="1" applyFont="1" applyFill="1" applyBorder="1" applyAlignment="1">
      <alignment horizontal="center" vertical="center"/>
    </xf>
    <xf numFmtId="0" fontId="25" fillId="0" borderId="288" xfId="0" applyFont="1" applyFill="1" applyBorder="1" applyAlignment="1">
      <alignment horizontal="center" vertical="center" wrapText="1"/>
    </xf>
    <xf numFmtId="0" fontId="25" fillId="5" borderId="288" xfId="0" applyFont="1" applyFill="1" applyBorder="1" applyAlignment="1">
      <alignment horizontal="center" vertical="center" wrapText="1"/>
    </xf>
    <xf numFmtId="0" fontId="30" fillId="5" borderId="0" xfId="0" applyFont="1" applyFill="1" applyAlignment="1">
      <alignment horizontal="center"/>
    </xf>
    <xf numFmtId="0" fontId="30" fillId="5" borderId="0" xfId="18" applyFont="1" applyFill="1" applyBorder="1" applyAlignment="1">
      <alignment horizontal="center"/>
    </xf>
    <xf numFmtId="9" fontId="30" fillId="5" borderId="0" xfId="21" applyFont="1" applyFill="1" applyAlignment="1">
      <alignment horizontal="center"/>
    </xf>
    <xf numFmtId="4" fontId="25" fillId="9" borderId="287" xfId="0" applyNumberFormat="1" applyFont="1" applyFill="1" applyBorder="1" applyAlignment="1">
      <alignment horizontal="center" vertical="center" wrapText="1"/>
    </xf>
    <xf numFmtId="181" fontId="25" fillId="5" borderId="0" xfId="6" applyNumberFormat="1" applyFont="1" applyFill="1" applyBorder="1" applyAlignment="1">
      <alignment horizontal="center" vertical="center"/>
    </xf>
    <xf numFmtId="181" fontId="25" fillId="5" borderId="0" xfId="10" applyNumberFormat="1" applyFont="1" applyFill="1" applyBorder="1" applyAlignment="1">
      <alignment horizontal="center" vertical="center"/>
    </xf>
    <xf numFmtId="3" fontId="25" fillId="5" borderId="287" xfId="0" applyNumberFormat="1" applyFont="1" applyFill="1" applyBorder="1" applyAlignment="1">
      <alignment horizontal="center" vertical="center" wrapText="1"/>
    </xf>
    <xf numFmtId="9" fontId="25" fillId="5" borderId="287" xfId="21" applyFont="1" applyFill="1" applyBorder="1" applyAlignment="1">
      <alignment horizontal="center" vertical="center" wrapText="1"/>
    </xf>
    <xf numFmtId="9" fontId="30" fillId="5" borderId="288" xfId="0" applyNumberFormat="1" applyFont="1" applyFill="1" applyBorder="1" applyAlignment="1">
      <alignment horizontal="center" vertical="center" wrapText="1"/>
    </xf>
    <xf numFmtId="0" fontId="25" fillId="5" borderId="287" xfId="0" applyFont="1" applyFill="1" applyBorder="1" applyAlignment="1">
      <alignment horizontal="left" vertical="center" wrapText="1"/>
    </xf>
    <xf numFmtId="0" fontId="23" fillId="5" borderId="0" xfId="5" applyFill="1" applyBorder="1" applyAlignment="1" applyProtection="1">
      <alignment horizontal="center"/>
    </xf>
    <xf numFmtId="0" fontId="30" fillId="5" borderId="0" xfId="14" applyFont="1" applyFill="1" applyAlignment="1">
      <alignment horizontal="left"/>
    </xf>
    <xf numFmtId="44" fontId="25" fillId="5" borderId="0" xfId="14" applyNumberFormat="1" applyFont="1" applyFill="1"/>
    <xf numFmtId="170" fontId="40" fillId="5" borderId="0" xfId="8" applyNumberFormat="1" applyFont="1" applyFill="1" applyBorder="1"/>
    <xf numFmtId="172" fontId="3" fillId="5" borderId="0" xfId="14" applyNumberFormat="1" applyFont="1" applyFill="1" applyBorder="1" applyAlignment="1">
      <alignment horizontal="center"/>
    </xf>
    <xf numFmtId="44" fontId="3" fillId="5" borderId="0" xfId="8" applyFont="1" applyFill="1" applyBorder="1" applyAlignment="1">
      <alignment horizontal="center"/>
    </xf>
    <xf numFmtId="0" fontId="3" fillId="5" borderId="0" xfId="14" applyNumberFormat="1" applyFont="1" applyFill="1" applyBorder="1" applyAlignment="1">
      <alignment horizontal="center"/>
    </xf>
    <xf numFmtId="0" fontId="3" fillId="5" borderId="0" xfId="14" applyFont="1" applyFill="1" applyBorder="1" applyAlignment="1">
      <alignment horizontal="center"/>
    </xf>
    <xf numFmtId="16" fontId="3" fillId="5" borderId="0" xfId="2" applyNumberFormat="1" applyFont="1" applyFill="1" applyBorder="1" applyAlignment="1">
      <alignment horizontal="left"/>
    </xf>
    <xf numFmtId="0" fontId="25" fillId="16" borderId="287" xfId="0" applyFont="1" applyFill="1" applyBorder="1" applyAlignment="1">
      <alignment horizontal="center" vertical="center" wrapText="1"/>
    </xf>
    <xf numFmtId="181" fontId="25" fillId="5" borderId="12" xfId="10" applyNumberFormat="1" applyFont="1" applyFill="1" applyBorder="1" applyAlignment="1">
      <alignment horizontal="center" vertical="center"/>
    </xf>
    <xf numFmtId="4" fontId="4" fillId="9" borderId="11" xfId="7" applyNumberFormat="1" applyFont="1" applyFill="1" applyBorder="1" applyAlignment="1">
      <alignment horizontal="center" vertical="center"/>
    </xf>
    <xf numFmtId="4" fontId="25" fillId="9" borderId="12" xfId="7" applyNumberFormat="1" applyFont="1" applyFill="1" applyBorder="1" applyAlignment="1">
      <alignment horizontal="center" vertical="center"/>
    </xf>
    <xf numFmtId="4" fontId="25" fillId="5" borderId="0" xfId="13" applyNumberFormat="1" applyFont="1" applyFill="1" applyBorder="1" applyAlignment="1">
      <alignment horizontal="center" vertical="center"/>
    </xf>
    <xf numFmtId="16" fontId="3" fillId="5" borderId="0" xfId="2" applyNumberFormat="1" applyFont="1" applyFill="1" applyBorder="1" applyAlignment="1">
      <alignment horizontal="left"/>
    </xf>
    <xf numFmtId="0" fontId="3" fillId="5" borderId="0" xfId="14" applyFont="1" applyFill="1" applyBorder="1" applyAlignment="1">
      <alignment horizontal="center"/>
    </xf>
    <xf numFmtId="16" fontId="3" fillId="5" borderId="0" xfId="2" applyNumberFormat="1" applyFont="1" applyFill="1" applyBorder="1" applyAlignment="1">
      <alignment horizontal="left"/>
    </xf>
    <xf numFmtId="0" fontId="51" fillId="20" borderId="289" xfId="0" applyFont="1" applyFill="1" applyBorder="1" applyAlignment="1">
      <alignment horizontal="center" vertical="center" wrapText="1"/>
    </xf>
    <xf numFmtId="0" fontId="51" fillId="20" borderId="290" xfId="0" applyFont="1" applyFill="1" applyBorder="1" applyAlignment="1">
      <alignment horizontal="center" vertical="center" wrapText="1"/>
    </xf>
    <xf numFmtId="0" fontId="25" fillId="5" borderId="291" xfId="0" applyFont="1" applyFill="1" applyBorder="1" applyAlignment="1">
      <alignment horizontal="center" vertical="center" wrapText="1"/>
    </xf>
    <xf numFmtId="0" fontId="51" fillId="20" borderId="292" xfId="0" applyFont="1" applyFill="1" applyBorder="1" applyAlignment="1">
      <alignment horizontal="center" vertical="center" wrapText="1"/>
    </xf>
    <xf numFmtId="0" fontId="25" fillId="5" borderId="293" xfId="0" applyFont="1" applyFill="1" applyBorder="1" applyAlignment="1">
      <alignment horizontal="center" vertical="center" wrapText="1"/>
    </xf>
    <xf numFmtId="3" fontId="25" fillId="5" borderId="291" xfId="0" applyNumberFormat="1" applyFont="1" applyFill="1" applyBorder="1" applyAlignment="1">
      <alignment horizontal="center" vertical="center" wrapText="1"/>
    </xf>
    <xf numFmtId="0" fontId="25" fillId="9" borderId="291" xfId="0" applyFont="1" applyFill="1" applyBorder="1" applyAlignment="1">
      <alignment horizontal="center" vertical="center" wrapText="1"/>
    </xf>
    <xf numFmtId="4" fontId="25" fillId="9" borderId="294" xfId="0" applyNumberFormat="1" applyFont="1" applyFill="1" applyBorder="1" applyAlignment="1">
      <alignment horizontal="center" vertical="center" wrapText="1"/>
    </xf>
    <xf numFmtId="0" fontId="25" fillId="5" borderId="295" xfId="0" applyFont="1" applyFill="1" applyBorder="1" applyAlignment="1">
      <alignment horizontal="center" vertical="center" wrapText="1"/>
    </xf>
    <xf numFmtId="0" fontId="25" fillId="5" borderId="291" xfId="0" applyFont="1" applyFill="1" applyBorder="1" applyAlignment="1">
      <alignment horizontal="left" vertical="center" wrapText="1"/>
    </xf>
    <xf numFmtId="9" fontId="25" fillId="5" borderId="291" xfId="21" applyFont="1" applyFill="1" applyBorder="1" applyAlignment="1">
      <alignment horizontal="center" vertical="center" wrapText="1"/>
    </xf>
    <xf numFmtId="0" fontId="25" fillId="9" borderId="295" xfId="0" applyFont="1" applyFill="1" applyBorder="1" applyAlignment="1">
      <alignment horizontal="center" vertical="center" wrapText="1"/>
    </xf>
    <xf numFmtId="0" fontId="25" fillId="9" borderId="293" xfId="0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 wrapText="1"/>
    </xf>
    <xf numFmtId="9" fontId="30" fillId="5" borderId="0" xfId="0" applyNumberFormat="1" applyFont="1" applyFill="1" applyBorder="1" applyAlignment="1">
      <alignment horizontal="center" vertical="center" wrapText="1"/>
    </xf>
    <xf numFmtId="0" fontId="51" fillId="20" borderId="301" xfId="0" applyFont="1" applyFill="1" applyBorder="1" applyAlignment="1">
      <alignment horizontal="center" wrapText="1"/>
    </xf>
    <xf numFmtId="44" fontId="51" fillId="20" borderId="301" xfId="8" applyFont="1" applyFill="1" applyBorder="1" applyAlignment="1">
      <alignment horizontal="center" wrapText="1"/>
    </xf>
    <xf numFmtId="0" fontId="51" fillId="20" borderId="302" xfId="0" applyFont="1" applyFill="1" applyBorder="1" applyAlignment="1">
      <alignment horizontal="center" wrapText="1"/>
    </xf>
    <xf numFmtId="3" fontId="25" fillId="5" borderId="295" xfId="0" applyNumberFormat="1" applyFont="1" applyFill="1" applyBorder="1" applyAlignment="1">
      <alignment horizontal="center" vertical="center" wrapText="1"/>
    </xf>
    <xf numFmtId="3" fontId="25" fillId="5" borderId="293" xfId="0" applyNumberFormat="1" applyFont="1" applyFill="1" applyBorder="1" applyAlignment="1">
      <alignment horizontal="center" vertical="center" wrapText="1"/>
    </xf>
    <xf numFmtId="0" fontId="51" fillId="20" borderId="289" xfId="0" applyFont="1" applyFill="1" applyBorder="1" applyAlignment="1">
      <alignment horizontal="center" wrapText="1"/>
    </xf>
    <xf numFmtId="44" fontId="51" fillId="20" borderId="289" xfId="8" applyFont="1" applyFill="1" applyBorder="1" applyAlignment="1">
      <alignment horizontal="center" wrapText="1"/>
    </xf>
    <xf numFmtId="44" fontId="51" fillId="20" borderId="290" xfId="8" applyFont="1" applyFill="1" applyBorder="1" applyAlignment="1">
      <alignment horizontal="center" wrapText="1"/>
    </xf>
    <xf numFmtId="44" fontId="25" fillId="5" borderId="296" xfId="8" applyFont="1" applyFill="1" applyBorder="1" applyAlignment="1">
      <alignment horizontal="center" vertical="center" wrapText="1"/>
    </xf>
    <xf numFmtId="44" fontId="25" fillId="5" borderId="291" xfId="8" applyFont="1" applyFill="1" applyBorder="1" applyAlignment="1">
      <alignment horizontal="center" vertical="center" wrapText="1"/>
    </xf>
    <xf numFmtId="44" fontId="25" fillId="5" borderId="294" xfId="8" applyFont="1" applyFill="1" applyBorder="1" applyAlignment="1">
      <alignment horizontal="center" vertical="center" wrapText="1"/>
    </xf>
    <xf numFmtId="44" fontId="30" fillId="5" borderId="0" xfId="8" applyFont="1" applyFill="1" applyBorder="1" applyAlignment="1">
      <alignment horizontal="center" vertical="center" wrapText="1"/>
    </xf>
    <xf numFmtId="0" fontId="51" fillId="20" borderId="292" xfId="0" applyFont="1" applyFill="1" applyBorder="1" applyAlignment="1">
      <alignment horizontal="center" wrapText="1"/>
    </xf>
    <xf numFmtId="0" fontId="51" fillId="20" borderId="290" xfId="0" applyFont="1" applyFill="1" applyBorder="1" applyAlignment="1">
      <alignment horizontal="center" wrapText="1"/>
    </xf>
    <xf numFmtId="3" fontId="25" fillId="5" borderId="0" xfId="0" applyNumberFormat="1" applyFont="1" applyFill="1" applyBorder="1" applyAlignment="1">
      <alignment horizontal="center" vertical="center" wrapText="1"/>
    </xf>
    <xf numFmtId="0" fontId="25" fillId="5" borderId="0" xfId="0" applyFont="1" applyFill="1" applyBorder="1" applyAlignment="1">
      <alignment horizontal="left" vertical="center" wrapText="1" indent="2"/>
    </xf>
    <xf numFmtId="0" fontId="51" fillId="20" borderId="303" xfId="0" applyFont="1" applyFill="1" applyBorder="1" applyAlignment="1">
      <alignment horizontal="center" wrapText="1"/>
    </xf>
    <xf numFmtId="44" fontId="51" fillId="20" borderId="303" xfId="8" applyFont="1" applyFill="1" applyBorder="1" applyAlignment="1">
      <alignment horizontal="center" wrapText="1"/>
    </xf>
    <xf numFmtId="0" fontId="25" fillId="5" borderId="304" xfId="0" applyFont="1" applyFill="1" applyBorder="1" applyAlignment="1">
      <alignment wrapText="1"/>
    </xf>
    <xf numFmtId="0" fontId="25" fillId="0" borderId="304" xfId="14" applyFont="1" applyBorder="1" applyAlignment="1">
      <alignment horizontal="center"/>
    </xf>
    <xf numFmtId="0" fontId="25" fillId="0" borderId="304" xfId="14" applyFont="1" applyBorder="1"/>
    <xf numFmtId="173" fontId="25" fillId="5" borderId="304" xfId="8" applyNumberFormat="1" applyFont="1" applyFill="1" applyBorder="1" applyAlignment="1">
      <alignment horizontal="center" vertical="center" wrapText="1"/>
    </xf>
    <xf numFmtId="172" fontId="25" fillId="5" borderId="304" xfId="0" applyNumberFormat="1" applyFont="1" applyFill="1" applyBorder="1" applyAlignment="1">
      <alignment horizontal="right" vertical="center"/>
    </xf>
    <xf numFmtId="0" fontId="44" fillId="9" borderId="304" xfId="0" applyNumberFormat="1" applyFont="1" applyFill="1" applyBorder="1" applyAlignment="1">
      <alignment horizontal="center" vertical="center" wrapText="1"/>
    </xf>
    <xf numFmtId="178" fontId="50" fillId="9" borderId="304" xfId="8" applyNumberFormat="1" applyFont="1" applyFill="1" applyBorder="1"/>
    <xf numFmtId="0" fontId="25" fillId="5" borderId="287" xfId="0" applyFont="1" applyFill="1" applyBorder="1" applyAlignment="1">
      <alignment wrapText="1"/>
    </xf>
    <xf numFmtId="0" fontId="25" fillId="0" borderId="287" xfId="14" applyFont="1" applyBorder="1" applyAlignment="1">
      <alignment horizontal="center"/>
    </xf>
    <xf numFmtId="0" fontId="25" fillId="0" borderId="287" xfId="14" applyFont="1" applyBorder="1"/>
    <xf numFmtId="173" fontId="25" fillId="5" borderId="287" xfId="8" applyNumberFormat="1" applyFont="1" applyFill="1" applyBorder="1" applyAlignment="1">
      <alignment horizontal="center" vertical="center" wrapText="1"/>
    </xf>
    <xf numFmtId="172" fontId="25" fillId="5" borderId="287" xfId="0" applyNumberFormat="1" applyFont="1" applyFill="1" applyBorder="1" applyAlignment="1">
      <alignment horizontal="right" vertical="center"/>
    </xf>
    <xf numFmtId="0" fontId="44" fillId="9" borderId="287" xfId="0" applyNumberFormat="1" applyFont="1" applyFill="1" applyBorder="1" applyAlignment="1">
      <alignment horizontal="center" vertical="center" wrapText="1"/>
    </xf>
    <xf numFmtId="178" fontId="50" fillId="9" borderId="287" xfId="8" applyNumberFormat="1" applyFont="1" applyFill="1" applyBorder="1"/>
    <xf numFmtId="174" fontId="25" fillId="9" borderId="296" xfId="0" applyNumberFormat="1" applyFont="1" applyFill="1" applyBorder="1" applyAlignment="1">
      <alignment horizontal="center" vertical="center" wrapText="1"/>
    </xf>
    <xf numFmtId="44" fontId="19" fillId="0" borderId="0" xfId="8" applyFont="1"/>
    <xf numFmtId="44" fontId="0" fillId="0" borderId="0" xfId="0" applyNumberFormat="1"/>
    <xf numFmtId="0" fontId="3" fillId="5" borderId="0" xfId="14" applyFont="1" applyFill="1" applyBorder="1" applyAlignment="1">
      <alignment horizontal="center"/>
    </xf>
    <xf numFmtId="16" fontId="3" fillId="5" borderId="0" xfId="2" applyNumberFormat="1" applyFont="1" applyFill="1" applyBorder="1" applyAlignment="1">
      <alignment horizontal="left"/>
    </xf>
    <xf numFmtId="0" fontId="25" fillId="5" borderId="305" xfId="0" applyFont="1" applyFill="1" applyBorder="1" applyAlignment="1">
      <alignment horizontal="center" vertical="center" wrapText="1"/>
    </xf>
    <xf numFmtId="0" fontId="25" fillId="5" borderId="287" xfId="0" applyFont="1" applyFill="1" applyBorder="1" applyAlignment="1">
      <alignment vertical="center" wrapText="1"/>
    </xf>
    <xf numFmtId="0" fontId="25" fillId="5" borderId="291" xfId="0" applyFont="1" applyFill="1" applyBorder="1" applyAlignment="1">
      <alignment vertical="center" wrapText="1"/>
    </xf>
    <xf numFmtId="0" fontId="51" fillId="20" borderId="306" xfId="0" applyFont="1" applyFill="1" applyBorder="1" applyAlignment="1">
      <alignment horizontal="center" wrapText="1"/>
    </xf>
    <xf numFmtId="0" fontId="25" fillId="9" borderId="305" xfId="0" applyFont="1" applyFill="1" applyBorder="1" applyAlignment="1">
      <alignment horizontal="center" vertical="center" wrapText="1"/>
    </xf>
    <xf numFmtId="0" fontId="25" fillId="9" borderId="307" xfId="0" applyFont="1" applyFill="1" applyBorder="1" applyAlignment="1">
      <alignment horizontal="center" vertical="center" wrapText="1"/>
    </xf>
    <xf numFmtId="0" fontId="30" fillId="15" borderId="14" xfId="20" applyNumberFormat="1" applyFont="1" applyFill="1" applyBorder="1" applyAlignment="1">
      <alignment horizontal="center" vertical="center" wrapText="1"/>
    </xf>
    <xf numFmtId="0" fontId="30" fillId="15" borderId="13" xfId="20" applyNumberFormat="1" applyFont="1" applyFill="1" applyBorder="1" applyAlignment="1">
      <alignment horizontal="center" vertical="center" wrapText="1"/>
    </xf>
    <xf numFmtId="43" fontId="30" fillId="15" borderId="16" xfId="7" applyFont="1" applyFill="1" applyBorder="1" applyAlignment="1">
      <alignment horizontal="center" vertical="center" wrapText="1"/>
    </xf>
    <xf numFmtId="43" fontId="30" fillId="15" borderId="14" xfId="7" applyFont="1" applyFill="1" applyBorder="1" applyAlignment="1">
      <alignment horizontal="center" vertical="center" wrapText="1"/>
    </xf>
    <xf numFmtId="43" fontId="30" fillId="15" borderId="13" xfId="7" applyFont="1" applyFill="1" applyBorder="1" applyAlignment="1">
      <alignment horizontal="center" vertical="center" wrapText="1"/>
    </xf>
    <xf numFmtId="3" fontId="25" fillId="5" borderId="308" xfId="0" applyNumberFormat="1" applyFont="1" applyFill="1" applyBorder="1" applyAlignment="1">
      <alignment horizontal="center" vertical="center" wrapText="1"/>
    </xf>
    <xf numFmtId="3" fontId="25" fillId="5" borderId="303" xfId="0" applyNumberFormat="1" applyFont="1" applyFill="1" applyBorder="1" applyAlignment="1">
      <alignment horizontal="center" vertical="center" wrapText="1"/>
    </xf>
    <xf numFmtId="0" fontId="25" fillId="9" borderId="303" xfId="0" applyFont="1" applyFill="1" applyBorder="1" applyAlignment="1">
      <alignment horizontal="center" vertical="center" wrapText="1"/>
    </xf>
    <xf numFmtId="3" fontId="25" fillId="5" borderId="288" xfId="0" applyNumberFormat="1" applyFont="1" applyFill="1" applyBorder="1" applyAlignment="1">
      <alignment horizontal="center" vertical="center" wrapText="1"/>
    </xf>
    <xf numFmtId="0" fontId="25" fillId="0" borderId="0" xfId="0" applyFont="1" applyAlignment="1">
      <alignment horizontal="center"/>
    </xf>
    <xf numFmtId="176" fontId="25" fillId="5" borderId="0" xfId="14" applyNumberFormat="1" applyFont="1" applyFill="1"/>
    <xf numFmtId="170" fontId="25" fillId="5" borderId="0" xfId="14" applyNumberFormat="1" applyFont="1" applyFill="1"/>
    <xf numFmtId="183" fontId="33" fillId="7" borderId="57" xfId="0" applyNumberFormat="1" applyFont="1" applyFill="1" applyBorder="1" applyAlignment="1">
      <alignment horizontal="center" vertical="top" wrapText="1"/>
    </xf>
    <xf numFmtId="184" fontId="33" fillId="7" borderId="60" xfId="0" applyNumberFormat="1" applyFont="1" applyFill="1" applyBorder="1" applyAlignment="1">
      <alignment horizontal="center" vertical="top" wrapText="1"/>
    </xf>
    <xf numFmtId="0" fontId="40" fillId="5" borderId="0" xfId="14" applyFont="1" applyFill="1"/>
    <xf numFmtId="0" fontId="40" fillId="5" borderId="0" xfId="14" applyFont="1" applyFill="1" applyBorder="1"/>
    <xf numFmtId="0" fontId="40" fillId="0" borderId="0" xfId="14" applyFont="1"/>
    <xf numFmtId="17" fontId="52" fillId="5" borderId="0" xfId="14" applyNumberFormat="1" applyFont="1" applyFill="1" applyBorder="1" applyAlignment="1"/>
    <xf numFmtId="0" fontId="10" fillId="5" borderId="0" xfId="14" applyFont="1" applyFill="1" applyBorder="1" applyAlignment="1">
      <alignment horizontal="center"/>
    </xf>
    <xf numFmtId="0" fontId="52" fillId="20" borderId="289" xfId="0" applyFont="1" applyFill="1" applyBorder="1" applyAlignment="1">
      <alignment horizontal="center" vertical="center" wrapText="1"/>
    </xf>
    <xf numFmtId="44" fontId="52" fillId="20" borderId="289" xfId="8" applyFont="1" applyFill="1" applyBorder="1" applyAlignment="1">
      <alignment horizontal="center" vertical="center" wrapText="1"/>
    </xf>
    <xf numFmtId="0" fontId="52" fillId="20" borderId="290" xfId="0" applyFont="1" applyFill="1" applyBorder="1" applyAlignment="1">
      <alignment horizontal="center" vertical="center" wrapText="1"/>
    </xf>
    <xf numFmtId="172" fontId="40" fillId="5" borderId="287" xfId="0" applyNumberFormat="1" applyFont="1" applyFill="1" applyBorder="1" applyAlignment="1">
      <alignment horizontal="center" vertical="center" wrapText="1"/>
    </xf>
    <xf numFmtId="0" fontId="40" fillId="5" borderId="287" xfId="0" applyFont="1" applyFill="1" applyBorder="1" applyAlignment="1">
      <alignment horizontal="center" vertical="center" wrapText="1"/>
    </xf>
    <xf numFmtId="44" fontId="40" fillId="5" borderId="287" xfId="8" applyFont="1" applyFill="1" applyBorder="1" applyAlignment="1">
      <alignment horizontal="center" vertical="center" wrapText="1"/>
    </xf>
    <xf numFmtId="180" fontId="40" fillId="9" borderId="287" xfId="8" applyNumberFormat="1" applyFont="1" applyFill="1" applyBorder="1" applyAlignment="1">
      <alignment horizontal="center" vertical="center" wrapText="1"/>
    </xf>
    <xf numFmtId="174" fontId="40" fillId="9" borderId="296" xfId="8" applyNumberFormat="1" applyFont="1" applyFill="1" applyBorder="1" applyAlignment="1">
      <alignment horizontal="center" vertical="center" wrapText="1"/>
    </xf>
    <xf numFmtId="3" fontId="40" fillId="5" borderId="303" xfId="0" applyNumberFormat="1" applyFont="1" applyFill="1" applyBorder="1" applyAlignment="1">
      <alignment horizontal="center" vertical="center" wrapText="1"/>
    </xf>
    <xf numFmtId="3" fontId="40" fillId="5" borderId="287" xfId="0" applyNumberFormat="1" applyFont="1" applyFill="1" applyBorder="1" applyAlignment="1">
      <alignment horizontal="center" vertical="center" wrapText="1"/>
    </xf>
    <xf numFmtId="174" fontId="40" fillId="9" borderId="296" xfId="0" applyNumberFormat="1" applyFont="1" applyFill="1" applyBorder="1" applyAlignment="1">
      <alignment horizontal="center" vertical="center" wrapText="1"/>
    </xf>
    <xf numFmtId="0" fontId="40" fillId="0" borderId="0" xfId="0" applyFont="1"/>
    <xf numFmtId="172" fontId="40" fillId="5" borderId="291" xfId="0" applyNumberFormat="1" applyFont="1" applyFill="1" applyBorder="1" applyAlignment="1">
      <alignment horizontal="center" vertical="center" wrapText="1"/>
    </xf>
    <xf numFmtId="0" fontId="40" fillId="5" borderId="291" xfId="0" applyFont="1" applyFill="1" applyBorder="1" applyAlignment="1">
      <alignment horizontal="center" vertical="center" wrapText="1"/>
    </xf>
    <xf numFmtId="44" fontId="40" fillId="5" borderId="291" xfId="8" applyFont="1" applyFill="1" applyBorder="1" applyAlignment="1">
      <alignment horizontal="center" vertical="center" wrapText="1"/>
    </xf>
    <xf numFmtId="180" fontId="40" fillId="9" borderId="291" xfId="8" applyNumberFormat="1" applyFont="1" applyFill="1" applyBorder="1" applyAlignment="1">
      <alignment horizontal="center" vertical="center" wrapText="1"/>
    </xf>
    <xf numFmtId="174" fontId="40" fillId="9" borderId="294" xfId="8" applyNumberFormat="1" applyFont="1" applyFill="1" applyBorder="1" applyAlignment="1">
      <alignment horizontal="center" vertical="center" wrapText="1"/>
    </xf>
    <xf numFmtId="0" fontId="53" fillId="0" borderId="0" xfId="0" applyFont="1" applyAlignment="1">
      <alignment horizontal="center"/>
    </xf>
    <xf numFmtId="0" fontId="52" fillId="20" borderId="292" xfId="0" applyFont="1" applyFill="1" applyBorder="1" applyAlignment="1">
      <alignment horizontal="center" vertical="center" wrapText="1"/>
    </xf>
    <xf numFmtId="0" fontId="40" fillId="5" borderId="293" xfId="0" applyFont="1" applyFill="1" applyBorder="1" applyAlignment="1">
      <alignment horizontal="center" vertical="center" wrapText="1"/>
    </xf>
    <xf numFmtId="3" fontId="40" fillId="5" borderId="291" xfId="0" applyNumberFormat="1" applyFont="1" applyFill="1" applyBorder="1" applyAlignment="1">
      <alignment horizontal="center" vertical="center" wrapText="1"/>
    </xf>
    <xf numFmtId="0" fontId="40" fillId="9" borderId="291" xfId="0" applyFont="1" applyFill="1" applyBorder="1" applyAlignment="1">
      <alignment horizontal="center" vertical="center" wrapText="1"/>
    </xf>
    <xf numFmtId="4" fontId="40" fillId="9" borderId="294" xfId="0" applyNumberFormat="1" applyFont="1" applyFill="1" applyBorder="1" applyAlignment="1">
      <alignment horizontal="center" vertical="center" wrapText="1"/>
    </xf>
    <xf numFmtId="0" fontId="10" fillId="5" borderId="0" xfId="14" applyFont="1" applyFill="1" applyBorder="1" applyAlignment="1">
      <alignment horizontal="left"/>
    </xf>
    <xf numFmtId="0" fontId="54" fillId="5" borderId="0" xfId="5" applyFont="1" applyFill="1" applyBorder="1" applyAlignment="1" applyProtection="1">
      <alignment horizontal="center"/>
    </xf>
    <xf numFmtId="0" fontId="44" fillId="5" borderId="0" xfId="14" applyFont="1" applyFill="1" applyAlignment="1">
      <alignment horizontal="left"/>
    </xf>
    <xf numFmtId="16" fontId="10" fillId="5" borderId="0" xfId="2" applyNumberFormat="1" applyFont="1" applyFill="1" applyBorder="1" applyAlignment="1"/>
    <xf numFmtId="16" fontId="10" fillId="5" borderId="0" xfId="2" applyNumberFormat="1" applyFont="1" applyFill="1" applyBorder="1" applyAlignment="1">
      <alignment horizontal="left"/>
    </xf>
    <xf numFmtId="0" fontId="40" fillId="5" borderId="0" xfId="0" applyFont="1" applyFill="1"/>
    <xf numFmtId="0" fontId="40" fillId="5" borderId="0" xfId="0" applyFont="1" applyFill="1" applyAlignment="1">
      <alignment horizontal="center"/>
    </xf>
    <xf numFmtId="179" fontId="40" fillId="5" borderId="0" xfId="8" applyNumberFormat="1" applyFont="1" applyFill="1"/>
    <xf numFmtId="44" fontId="52" fillId="20" borderId="290" xfId="8" applyFont="1" applyFill="1" applyBorder="1" applyAlignment="1">
      <alignment horizontal="center" vertical="center" wrapText="1"/>
    </xf>
    <xf numFmtId="0" fontId="40" fillId="5" borderId="295" xfId="0" applyFont="1" applyFill="1" applyBorder="1" applyAlignment="1">
      <alignment horizontal="center" vertical="center" wrapText="1"/>
    </xf>
    <xf numFmtId="0" fontId="40" fillId="5" borderId="287" xfId="0" applyFont="1" applyFill="1" applyBorder="1" applyAlignment="1">
      <alignment horizontal="left" vertical="center" wrapText="1"/>
    </xf>
    <xf numFmtId="9" fontId="40" fillId="5" borderId="287" xfId="21" applyFont="1" applyFill="1" applyBorder="1" applyAlignment="1">
      <alignment horizontal="center" vertical="center" wrapText="1"/>
    </xf>
    <xf numFmtId="172" fontId="40" fillId="5" borderId="296" xfId="0" applyNumberFormat="1" applyFont="1" applyFill="1" applyBorder="1" applyAlignment="1">
      <alignment horizontal="center" vertical="center" wrapText="1"/>
    </xf>
    <xf numFmtId="44" fontId="40" fillId="5" borderId="296" xfId="8" applyFont="1" applyFill="1" applyBorder="1" applyAlignment="1">
      <alignment horizontal="center" vertical="center" wrapText="1"/>
    </xf>
    <xf numFmtId="0" fontId="40" fillId="9" borderId="287" xfId="0" applyFont="1" applyFill="1" applyBorder="1" applyAlignment="1">
      <alignment horizontal="center" vertical="center" wrapText="1"/>
    </xf>
    <xf numFmtId="0" fontId="40" fillId="9" borderId="295" xfId="0" applyFont="1" applyFill="1" applyBorder="1" applyAlignment="1">
      <alignment horizontal="center" vertical="center" wrapText="1"/>
    </xf>
    <xf numFmtId="0" fontId="40" fillId="5" borderId="291" xfId="0" applyFont="1" applyFill="1" applyBorder="1" applyAlignment="1">
      <alignment horizontal="left" vertical="center" wrapText="1"/>
    </xf>
    <xf numFmtId="9" fontId="40" fillId="5" borderId="291" xfId="21" applyFont="1" applyFill="1" applyBorder="1" applyAlignment="1">
      <alignment horizontal="center" vertical="center" wrapText="1"/>
    </xf>
    <xf numFmtId="172" fontId="40" fillId="5" borderId="294" xfId="0" applyNumberFormat="1" applyFont="1" applyFill="1" applyBorder="1" applyAlignment="1">
      <alignment horizontal="center" vertical="center" wrapText="1"/>
    </xf>
    <xf numFmtId="0" fontId="40" fillId="16" borderId="293" xfId="0" applyFont="1" applyFill="1" applyBorder="1" applyAlignment="1">
      <alignment horizontal="center" vertical="center" wrapText="1"/>
    </xf>
    <xf numFmtId="0" fontId="40" fillId="16" borderId="291" xfId="0" applyFont="1" applyFill="1" applyBorder="1" applyAlignment="1">
      <alignment horizontal="center" vertical="center" wrapText="1"/>
    </xf>
    <xf numFmtId="0" fontId="40" fillId="16" borderId="291" xfId="0" applyFont="1" applyFill="1" applyBorder="1" applyAlignment="1">
      <alignment horizontal="left" vertical="center" wrapText="1"/>
    </xf>
    <xf numFmtId="3" fontId="40" fillId="16" borderId="291" xfId="0" applyNumberFormat="1" applyFont="1" applyFill="1" applyBorder="1" applyAlignment="1">
      <alignment horizontal="center" vertical="center" wrapText="1"/>
    </xf>
    <xf numFmtId="9" fontId="40" fillId="16" borderId="291" xfId="21" applyFont="1" applyFill="1" applyBorder="1" applyAlignment="1">
      <alignment horizontal="center" vertical="center" wrapText="1"/>
    </xf>
    <xf numFmtId="44" fontId="40" fillId="16" borderId="291" xfId="8" applyFont="1" applyFill="1" applyBorder="1" applyAlignment="1">
      <alignment horizontal="center" vertical="center" wrapText="1"/>
    </xf>
    <xf numFmtId="44" fontId="40" fillId="16" borderId="294" xfId="8" applyFont="1" applyFill="1" applyBorder="1" applyAlignment="1">
      <alignment horizontal="center" vertical="center" wrapText="1"/>
    </xf>
    <xf numFmtId="0" fontId="44" fillId="5" borderId="0" xfId="0" applyFont="1" applyFill="1" applyAlignment="1">
      <alignment horizontal="right"/>
    </xf>
    <xf numFmtId="0" fontId="44" fillId="5" borderId="0" xfId="0" applyFont="1" applyFill="1" applyAlignment="1">
      <alignment horizontal="center"/>
    </xf>
    <xf numFmtId="0" fontId="44" fillId="5" borderId="0" xfId="18" applyFont="1" applyFill="1" applyBorder="1" applyAlignment="1">
      <alignment horizontal="center"/>
    </xf>
    <xf numFmtId="171" fontId="44" fillId="5" borderId="0" xfId="18" applyNumberFormat="1" applyFont="1" applyFill="1" applyBorder="1" applyAlignment="1">
      <alignment horizontal="center"/>
    </xf>
    <xf numFmtId="9" fontId="44" fillId="5" borderId="0" xfId="21" applyFont="1" applyFill="1" applyAlignment="1">
      <alignment horizontal="center"/>
    </xf>
    <xf numFmtId="44" fontId="44" fillId="5" borderId="0" xfId="8" applyFont="1" applyFill="1" applyAlignment="1">
      <alignment horizontal="center"/>
    </xf>
    <xf numFmtId="44" fontId="44" fillId="5" borderId="0" xfId="8" applyNumberFormat="1" applyFont="1" applyFill="1" applyAlignment="1">
      <alignment horizontal="center"/>
    </xf>
    <xf numFmtId="0" fontId="40" fillId="5" borderId="0" xfId="18" applyFont="1" applyFill="1" applyBorder="1"/>
    <xf numFmtId="44" fontId="44" fillId="5" borderId="0" xfId="8" applyFont="1" applyFill="1"/>
    <xf numFmtId="7" fontId="44" fillId="5" borderId="0" xfId="8" applyNumberFormat="1" applyFont="1" applyFill="1"/>
    <xf numFmtId="7" fontId="40" fillId="5" borderId="0" xfId="8" applyNumberFormat="1" applyFont="1" applyFill="1"/>
    <xf numFmtId="182" fontId="40" fillId="5" borderId="0" xfId="0" applyNumberFormat="1" applyFont="1" applyFill="1"/>
    <xf numFmtId="44" fontId="40" fillId="5" borderId="0" xfId="8" applyFont="1" applyFill="1"/>
    <xf numFmtId="44" fontId="40" fillId="0" borderId="0" xfId="8" applyFont="1"/>
    <xf numFmtId="0" fontId="52" fillId="20" borderId="289" xfId="0" applyFont="1" applyFill="1" applyBorder="1" applyAlignment="1">
      <alignment horizontal="center" wrapText="1"/>
    </xf>
    <xf numFmtId="44" fontId="52" fillId="20" borderId="289" xfId="8" applyFont="1" applyFill="1" applyBorder="1" applyAlignment="1">
      <alignment horizontal="center" wrapText="1"/>
    </xf>
    <xf numFmtId="44" fontId="52" fillId="20" borderId="290" xfId="8" applyFont="1" applyFill="1" applyBorder="1" applyAlignment="1">
      <alignment horizontal="center" wrapText="1"/>
    </xf>
    <xf numFmtId="44" fontId="40" fillId="5" borderId="294" xfId="8" applyFont="1" applyFill="1" applyBorder="1" applyAlignment="1">
      <alignment horizontal="center" vertical="center" wrapText="1"/>
    </xf>
    <xf numFmtId="16" fontId="44" fillId="5" borderId="0" xfId="2" applyNumberFormat="1" applyFont="1" applyFill="1" applyBorder="1" applyAlignment="1"/>
    <xf numFmtId="0" fontId="40" fillId="9" borderId="293" xfId="0" applyFont="1" applyFill="1" applyBorder="1" applyAlignment="1">
      <alignment horizontal="center" vertical="center" wrapText="1"/>
    </xf>
    <xf numFmtId="0" fontId="40" fillId="0" borderId="0" xfId="0" applyFont="1" applyFill="1" applyBorder="1" applyAlignment="1">
      <alignment horizontal="center" vertical="center" wrapText="1"/>
    </xf>
    <xf numFmtId="0" fontId="40" fillId="5" borderId="0" xfId="0" applyFont="1" applyFill="1" applyBorder="1" applyAlignment="1">
      <alignment horizontal="center" vertical="center" wrapText="1"/>
    </xf>
    <xf numFmtId="9" fontId="44" fillId="5" borderId="0" xfId="0" applyNumberFormat="1" applyFont="1" applyFill="1" applyBorder="1" applyAlignment="1">
      <alignment horizontal="center" vertical="center" wrapText="1"/>
    </xf>
    <xf numFmtId="0" fontId="40" fillId="5" borderId="0" xfId="17" applyFont="1" applyFill="1"/>
    <xf numFmtId="44" fontId="40" fillId="5" borderId="0" xfId="8" applyFont="1" applyFill="1" applyBorder="1" applyAlignment="1">
      <alignment horizontal="center" vertical="center" wrapText="1"/>
    </xf>
    <xf numFmtId="0" fontId="40" fillId="0" borderId="0" xfId="17" applyFont="1"/>
    <xf numFmtId="0" fontId="44" fillId="0" borderId="0" xfId="14" applyFont="1" applyAlignment="1">
      <alignment horizontal="center"/>
    </xf>
    <xf numFmtId="0" fontId="55" fillId="4" borderId="3" xfId="4" applyFont="1" applyBorder="1" applyAlignment="1"/>
    <xf numFmtId="0" fontId="44" fillId="14" borderId="13" xfId="15" applyFont="1" applyFill="1" applyBorder="1" applyAlignment="1">
      <alignment horizontal="center"/>
    </xf>
    <xf numFmtId="0" fontId="44" fillId="14" borderId="14" xfId="15" applyFont="1" applyFill="1" applyBorder="1" applyAlignment="1">
      <alignment horizontal="center"/>
    </xf>
    <xf numFmtId="0" fontId="44" fillId="14" borderId="16" xfId="15" applyFont="1" applyFill="1" applyBorder="1" applyAlignment="1"/>
    <xf numFmtId="0" fontId="44" fillId="10" borderId="13" xfId="0" applyFont="1" applyFill="1" applyBorder="1" applyAlignment="1">
      <alignment vertical="center"/>
    </xf>
    <xf numFmtId="0" fontId="44" fillId="10" borderId="14" xfId="0" applyFont="1" applyFill="1" applyBorder="1" applyAlignment="1">
      <alignment vertical="center"/>
    </xf>
    <xf numFmtId="0" fontId="44" fillId="14" borderId="17" xfId="15" applyFont="1" applyFill="1" applyBorder="1" applyAlignment="1">
      <alignment horizontal="center" vertical="center"/>
    </xf>
    <xf numFmtId="0" fontId="44" fillId="14" borderId="3" xfId="15" applyFont="1" applyFill="1" applyBorder="1" applyAlignment="1">
      <alignment horizontal="center" vertical="center" wrapText="1"/>
    </xf>
    <xf numFmtId="0" fontId="44" fillId="14" borderId="4" xfId="15" applyFont="1" applyFill="1" applyBorder="1" applyAlignment="1">
      <alignment horizontal="center" vertical="center" wrapText="1"/>
    </xf>
    <xf numFmtId="0" fontId="44" fillId="14" borderId="10" xfId="15" applyFont="1" applyFill="1" applyBorder="1" applyAlignment="1">
      <alignment horizontal="center" vertical="center" wrapText="1"/>
    </xf>
    <xf numFmtId="14" fontId="10" fillId="5" borderId="17" xfId="15" applyNumberFormat="1" applyFont="1" applyFill="1" applyBorder="1" applyAlignment="1">
      <alignment horizontal="center"/>
    </xf>
    <xf numFmtId="172" fontId="40" fillId="5" borderId="1" xfId="10" applyNumberFormat="1" applyFont="1" applyFill="1" applyBorder="1" applyAlignment="1">
      <alignment horizontal="center"/>
    </xf>
    <xf numFmtId="44" fontId="40" fillId="5" borderId="0" xfId="10" applyNumberFormat="1" applyFont="1" applyFill="1" applyBorder="1" applyAlignment="1">
      <alignment horizontal="center"/>
    </xf>
    <xf numFmtId="4" fontId="40" fillId="5" borderId="0" xfId="6" applyNumberFormat="1" applyFont="1" applyFill="1" applyBorder="1" applyAlignment="1">
      <alignment horizontal="center" vertical="center"/>
    </xf>
    <xf numFmtId="172" fontId="40" fillId="5" borderId="0" xfId="6" applyNumberFormat="1" applyFont="1" applyFill="1" applyBorder="1" applyAlignment="1">
      <alignment horizontal="center" vertical="center"/>
    </xf>
    <xf numFmtId="172" fontId="40" fillId="5" borderId="0" xfId="10" applyNumberFormat="1" applyFont="1" applyFill="1" applyBorder="1" applyAlignment="1">
      <alignment horizontal="center"/>
    </xf>
    <xf numFmtId="172" fontId="40" fillId="5" borderId="2" xfId="10" applyNumberFormat="1" applyFont="1" applyFill="1" applyBorder="1" applyAlignment="1">
      <alignment horizontal="center"/>
    </xf>
    <xf numFmtId="3" fontId="40" fillId="9" borderId="1" xfId="0" applyNumberFormat="1" applyFont="1" applyFill="1" applyBorder="1" applyAlignment="1">
      <alignment horizontal="center"/>
    </xf>
    <xf numFmtId="3" fontId="40" fillId="9" borderId="0" xfId="0" applyNumberFormat="1" applyFont="1" applyFill="1" applyBorder="1" applyAlignment="1">
      <alignment horizontal="center"/>
    </xf>
    <xf numFmtId="4" fontId="5" fillId="8" borderId="1" xfId="7" applyNumberFormat="1" applyFont="1" applyFill="1" applyBorder="1" applyAlignment="1">
      <alignment horizontal="center" vertical="center"/>
    </xf>
    <xf numFmtId="4" fontId="40" fillId="8" borderId="0" xfId="7" applyNumberFormat="1" applyFont="1" applyFill="1" applyBorder="1" applyAlignment="1">
      <alignment horizontal="center" vertical="center"/>
    </xf>
    <xf numFmtId="3" fontId="40" fillId="13" borderId="1" xfId="14" applyNumberFormat="1" applyFont="1" applyFill="1" applyBorder="1" applyAlignment="1">
      <alignment horizontal="center"/>
    </xf>
    <xf numFmtId="0" fontId="40" fillId="13" borderId="0" xfId="14" applyFont="1" applyFill="1" applyBorder="1"/>
    <xf numFmtId="3" fontId="40" fillId="5" borderId="0" xfId="14" applyNumberFormat="1" applyFont="1" applyFill="1" applyBorder="1" applyAlignment="1">
      <alignment horizontal="center"/>
    </xf>
    <xf numFmtId="3" fontId="40" fillId="5" borderId="2" xfId="14" applyNumberFormat="1" applyFont="1" applyFill="1" applyBorder="1" applyAlignment="1">
      <alignment horizontal="center"/>
    </xf>
    <xf numFmtId="14" fontId="10" fillId="5" borderId="18" xfId="15" applyNumberFormat="1" applyFont="1" applyFill="1" applyBorder="1" applyAlignment="1">
      <alignment horizontal="center"/>
    </xf>
    <xf numFmtId="4" fontId="40" fillId="5" borderId="0" xfId="10" applyNumberFormat="1" applyFont="1" applyFill="1" applyBorder="1" applyAlignment="1">
      <alignment horizontal="center" vertical="center"/>
    </xf>
    <xf numFmtId="172" fontId="40" fillId="5" borderId="0" xfId="10" applyNumberFormat="1" applyFont="1" applyFill="1" applyBorder="1" applyAlignment="1">
      <alignment horizontal="center" vertical="center"/>
    </xf>
    <xf numFmtId="4" fontId="5" fillId="9" borderId="1" xfId="7" applyNumberFormat="1" applyFont="1" applyFill="1" applyBorder="1" applyAlignment="1">
      <alignment horizontal="center" vertical="center"/>
    </xf>
    <xf numFmtId="4" fontId="40" fillId="9" borderId="0" xfId="7" applyNumberFormat="1" applyFont="1" applyFill="1" applyBorder="1" applyAlignment="1">
      <alignment horizontal="center" vertical="center"/>
    </xf>
    <xf numFmtId="14" fontId="10" fillId="5" borderId="19" xfId="15" applyNumberFormat="1" applyFont="1" applyFill="1" applyBorder="1" applyAlignment="1">
      <alignment horizontal="center"/>
    </xf>
    <xf numFmtId="172" fontId="40" fillId="5" borderId="11" xfId="10" applyNumberFormat="1" applyFont="1" applyFill="1" applyBorder="1" applyAlignment="1">
      <alignment horizontal="center"/>
    </xf>
    <xf numFmtId="44" fontId="40" fillId="5" borderId="12" xfId="10" applyNumberFormat="1" applyFont="1" applyFill="1" applyBorder="1" applyAlignment="1">
      <alignment horizontal="center"/>
    </xf>
    <xf numFmtId="4" fontId="40" fillId="5" borderId="12" xfId="10" applyNumberFormat="1" applyFont="1" applyFill="1" applyBorder="1" applyAlignment="1">
      <alignment horizontal="center" vertical="center"/>
    </xf>
    <xf numFmtId="172" fontId="40" fillId="5" borderId="12" xfId="10" applyNumberFormat="1" applyFont="1" applyFill="1" applyBorder="1" applyAlignment="1">
      <alignment horizontal="center" vertical="center"/>
    </xf>
    <xf numFmtId="172" fontId="40" fillId="5" borderId="12" xfId="10" applyNumberFormat="1" applyFont="1" applyFill="1" applyBorder="1" applyAlignment="1">
      <alignment horizontal="center"/>
    </xf>
    <xf numFmtId="172" fontId="40" fillId="5" borderId="15" xfId="10" applyNumberFormat="1" applyFont="1" applyFill="1" applyBorder="1" applyAlignment="1">
      <alignment horizontal="center"/>
    </xf>
    <xf numFmtId="3" fontId="40" fillId="9" borderId="11" xfId="0" applyNumberFormat="1" applyFont="1" applyFill="1" applyBorder="1" applyAlignment="1">
      <alignment horizontal="center"/>
    </xf>
    <xf numFmtId="3" fontId="40" fillId="9" borderId="12" xfId="0" applyNumberFormat="1" applyFont="1" applyFill="1" applyBorder="1" applyAlignment="1">
      <alignment horizontal="center"/>
    </xf>
    <xf numFmtId="4" fontId="5" fillId="9" borderId="11" xfId="7" applyNumberFormat="1" applyFont="1" applyFill="1" applyBorder="1" applyAlignment="1">
      <alignment horizontal="center" vertical="center"/>
    </xf>
    <xf numFmtId="4" fontId="40" fillId="9" borderId="12" xfId="7" applyNumberFormat="1" applyFont="1" applyFill="1" applyBorder="1" applyAlignment="1">
      <alignment horizontal="center" vertical="center"/>
    </xf>
    <xf numFmtId="3" fontId="40" fillId="13" borderId="11" xfId="14" applyNumberFormat="1" applyFont="1" applyFill="1" applyBorder="1" applyAlignment="1">
      <alignment horizontal="center"/>
    </xf>
    <xf numFmtId="0" fontId="40" fillId="13" borderId="12" xfId="14" applyFont="1" applyFill="1" applyBorder="1"/>
    <xf numFmtId="3" fontId="40" fillId="5" borderId="12" xfId="14" applyNumberFormat="1" applyFont="1" applyFill="1" applyBorder="1" applyAlignment="1">
      <alignment horizontal="center"/>
    </xf>
    <xf numFmtId="3" fontId="40" fillId="5" borderId="15" xfId="14" applyNumberFormat="1" applyFont="1" applyFill="1" applyBorder="1" applyAlignment="1">
      <alignment horizontal="center"/>
    </xf>
    <xf numFmtId="0" fontId="40" fillId="5" borderId="0" xfId="15" applyFont="1" applyFill="1" applyBorder="1"/>
    <xf numFmtId="172" fontId="44" fillId="5" borderId="0" xfId="15" applyNumberFormat="1" applyFont="1" applyFill="1" applyBorder="1"/>
    <xf numFmtId="4" fontId="44" fillId="5" borderId="0" xfId="15" applyNumberFormat="1" applyFont="1" applyFill="1" applyBorder="1" applyAlignment="1">
      <alignment horizontal="center"/>
    </xf>
    <xf numFmtId="172" fontId="44" fillId="5" borderId="0" xfId="15" applyNumberFormat="1" applyFont="1" applyFill="1" applyBorder="1" applyAlignment="1">
      <alignment horizontal="center"/>
    </xf>
    <xf numFmtId="3" fontId="44" fillId="0" borderId="0" xfId="14" applyNumberFormat="1" applyFont="1"/>
    <xf numFmtId="3" fontId="40" fillId="0" borderId="0" xfId="14" applyNumberFormat="1" applyFont="1"/>
    <xf numFmtId="0" fontId="40" fillId="5" borderId="0" xfId="14" applyFont="1" applyFill="1" applyAlignment="1">
      <alignment horizontal="center"/>
    </xf>
    <xf numFmtId="3" fontId="40" fillId="5" borderId="0" xfId="0" applyNumberFormat="1" applyFont="1" applyFill="1" applyAlignment="1">
      <alignment horizontal="center"/>
    </xf>
    <xf numFmtId="4" fontId="40" fillId="5" borderId="0" xfId="13" applyNumberFormat="1" applyFont="1" applyFill="1" applyBorder="1" applyAlignment="1">
      <alignment horizontal="center" vertical="center"/>
    </xf>
    <xf numFmtId="0" fontId="10" fillId="5" borderId="3" xfId="14" applyFont="1" applyFill="1" applyBorder="1" applyAlignment="1">
      <alignment horizontal="center"/>
    </xf>
    <xf numFmtId="0" fontId="10" fillId="5" borderId="4" xfId="14" applyFont="1" applyFill="1" applyBorder="1" applyAlignment="1">
      <alignment horizontal="center"/>
    </xf>
    <xf numFmtId="0" fontId="10" fillId="5" borderId="10" xfId="14" applyFont="1" applyFill="1" applyBorder="1" applyAlignment="1">
      <alignment horizontal="center"/>
    </xf>
    <xf numFmtId="172" fontId="10" fillId="9" borderId="1" xfId="14" applyNumberFormat="1" applyFont="1" applyFill="1" applyBorder="1" applyAlignment="1">
      <alignment horizontal="right"/>
    </xf>
    <xf numFmtId="172" fontId="10" fillId="5" borderId="0" xfId="14" applyNumberFormat="1" applyFont="1" applyFill="1" applyBorder="1" applyAlignment="1">
      <alignment horizontal="center"/>
    </xf>
    <xf numFmtId="172" fontId="10" fillId="5" borderId="2" xfId="14" applyNumberFormat="1" applyFont="1" applyFill="1" applyBorder="1" applyAlignment="1">
      <alignment horizontal="center"/>
    </xf>
    <xf numFmtId="172" fontId="40" fillId="0" borderId="0" xfId="14" applyNumberFormat="1" applyFont="1"/>
    <xf numFmtId="172" fontId="10" fillId="9" borderId="11" xfId="14" applyNumberFormat="1" applyFont="1" applyFill="1" applyBorder="1" applyAlignment="1">
      <alignment horizontal="right"/>
    </xf>
    <xf numFmtId="172" fontId="10" fillId="5" borderId="12" xfId="14" applyNumberFormat="1" applyFont="1" applyFill="1" applyBorder="1" applyAlignment="1">
      <alignment horizontal="center"/>
    </xf>
    <xf numFmtId="172" fontId="10" fillId="5" borderId="15" xfId="14" applyNumberFormat="1" applyFont="1" applyFill="1" applyBorder="1" applyAlignment="1">
      <alignment horizontal="center"/>
    </xf>
    <xf numFmtId="0" fontId="40" fillId="5" borderId="287" xfId="0" applyFont="1" applyFill="1" applyBorder="1" applyAlignment="1">
      <alignment vertical="center" wrapText="1"/>
    </xf>
    <xf numFmtId="0" fontId="40" fillId="5" borderId="291" xfId="0" applyFont="1" applyFill="1" applyBorder="1" applyAlignment="1">
      <alignment vertical="center" wrapText="1"/>
    </xf>
    <xf numFmtId="0" fontId="44" fillId="11" borderId="13" xfId="20" applyNumberFormat="1" applyFont="1" applyFill="1" applyBorder="1" applyAlignment="1">
      <alignment horizontal="center" vertical="center" wrapText="1"/>
    </xf>
    <xf numFmtId="0" fontId="44" fillId="11" borderId="14" xfId="20" applyNumberFormat="1" applyFont="1" applyFill="1" applyBorder="1" applyAlignment="1">
      <alignment horizontal="center" vertical="center" wrapText="1"/>
    </xf>
    <xf numFmtId="0" fontId="44" fillId="15" borderId="13" xfId="20" applyNumberFormat="1" applyFont="1" applyFill="1" applyBorder="1" applyAlignment="1">
      <alignment horizontal="center" vertical="center" wrapText="1"/>
    </xf>
    <xf numFmtId="43" fontId="44" fillId="15" borderId="16" xfId="7" applyFont="1" applyFill="1" applyBorder="1" applyAlignment="1">
      <alignment horizontal="center" vertical="center" wrapText="1"/>
    </xf>
    <xf numFmtId="0" fontId="44" fillId="15" borderId="14" xfId="20" applyNumberFormat="1" applyFont="1" applyFill="1" applyBorder="1" applyAlignment="1">
      <alignment horizontal="center" vertical="center" wrapText="1"/>
    </xf>
    <xf numFmtId="43" fontId="44" fillId="15" borderId="14" xfId="7" applyFont="1" applyFill="1" applyBorder="1" applyAlignment="1">
      <alignment horizontal="center" vertical="center" wrapText="1"/>
    </xf>
    <xf numFmtId="43" fontId="44" fillId="15" borderId="13" xfId="7" applyFont="1" applyFill="1" applyBorder="1" applyAlignment="1">
      <alignment horizontal="center" vertical="center" wrapText="1"/>
    </xf>
    <xf numFmtId="4" fontId="40" fillId="8" borderId="1" xfId="7" applyNumberFormat="1" applyFont="1" applyFill="1" applyBorder="1" applyAlignment="1">
      <alignment horizontal="center" vertical="center"/>
    </xf>
    <xf numFmtId="4" fontId="40" fillId="21" borderId="0" xfId="6" applyNumberFormat="1" applyFont="1" applyFill="1" applyBorder="1" applyAlignment="1">
      <alignment horizontal="center" vertical="center"/>
    </xf>
    <xf numFmtId="4" fontId="40" fillId="9" borderId="1" xfId="6" applyNumberFormat="1" applyFont="1" applyFill="1" applyBorder="1" applyAlignment="1">
      <alignment horizontal="center" vertical="center"/>
    </xf>
    <xf numFmtId="4" fontId="40" fillId="9" borderId="0" xfId="6" applyNumberFormat="1" applyFont="1" applyFill="1" applyBorder="1" applyAlignment="1">
      <alignment horizontal="center" vertical="center"/>
    </xf>
    <xf numFmtId="4" fontId="40" fillId="21" borderId="2" xfId="6" applyNumberFormat="1" applyFont="1" applyFill="1" applyBorder="1" applyAlignment="1">
      <alignment horizontal="center" vertical="center"/>
    </xf>
    <xf numFmtId="4" fontId="40" fillId="9" borderId="1" xfId="7" applyNumberFormat="1" applyFont="1" applyFill="1" applyBorder="1" applyAlignment="1">
      <alignment horizontal="center" vertical="center"/>
    </xf>
    <xf numFmtId="4" fontId="40" fillId="21" borderId="0" xfId="10" applyNumberFormat="1" applyFont="1" applyFill="1" applyBorder="1" applyAlignment="1">
      <alignment horizontal="center" vertical="center"/>
    </xf>
    <xf numFmtId="4" fontId="40" fillId="9" borderId="1" xfId="10" applyNumberFormat="1" applyFont="1" applyFill="1" applyBorder="1" applyAlignment="1">
      <alignment horizontal="center" vertical="center"/>
    </xf>
    <xf numFmtId="4" fontId="40" fillId="9" borderId="0" xfId="10" applyNumberFormat="1" applyFont="1" applyFill="1" applyBorder="1" applyAlignment="1">
      <alignment horizontal="center" vertical="center"/>
    </xf>
    <xf numFmtId="4" fontId="40" fillId="21" borderId="2" xfId="10" applyNumberFormat="1" applyFont="1" applyFill="1" applyBorder="1" applyAlignment="1">
      <alignment horizontal="center" vertical="center"/>
    </xf>
    <xf numFmtId="4" fontId="40" fillId="9" borderId="11" xfId="7" applyNumberFormat="1" applyFont="1" applyFill="1" applyBorder="1" applyAlignment="1">
      <alignment horizontal="center" vertical="center"/>
    </xf>
    <xf numFmtId="4" fontId="40" fillId="21" borderId="12" xfId="10" applyNumberFormat="1" applyFont="1" applyFill="1" applyBorder="1" applyAlignment="1">
      <alignment horizontal="center" vertical="center"/>
    </xf>
    <xf numFmtId="4" fontId="40" fillId="9" borderId="11" xfId="10" applyNumberFormat="1" applyFont="1" applyFill="1" applyBorder="1" applyAlignment="1">
      <alignment horizontal="center" vertical="center"/>
    </xf>
    <xf numFmtId="4" fontId="40" fillId="9" borderId="12" xfId="10" applyNumberFormat="1" applyFont="1" applyFill="1" applyBorder="1" applyAlignment="1">
      <alignment horizontal="center" vertical="center"/>
    </xf>
    <xf numFmtId="4" fontId="40" fillId="21" borderId="15" xfId="10" applyNumberFormat="1" applyFont="1" applyFill="1" applyBorder="1" applyAlignment="1">
      <alignment horizontal="center" vertical="center"/>
    </xf>
    <xf numFmtId="3" fontId="44" fillId="0" borderId="0" xfId="14" applyNumberFormat="1" applyFont="1" applyAlignment="1">
      <alignment horizontal="center"/>
    </xf>
    <xf numFmtId="9" fontId="40" fillId="0" borderId="13" xfId="21" applyFont="1" applyBorder="1" applyAlignment="1">
      <alignment horizontal="center"/>
    </xf>
    <xf numFmtId="9" fontId="40" fillId="0" borderId="16" xfId="21" applyFont="1" applyBorder="1" applyAlignment="1">
      <alignment horizontal="center"/>
    </xf>
    <xf numFmtId="4" fontId="40" fillId="5" borderId="0" xfId="0" applyNumberFormat="1" applyFont="1" applyFill="1"/>
    <xf numFmtId="0" fontId="40" fillId="0" borderId="287" xfId="0" applyFont="1" applyFill="1" applyBorder="1" applyAlignment="1">
      <alignment horizontal="center" vertical="center" wrapText="1"/>
    </xf>
    <xf numFmtId="3" fontId="44" fillId="5" borderId="0" xfId="0" applyNumberFormat="1" applyFont="1" applyFill="1" applyBorder="1" applyAlignment="1">
      <alignment horizontal="center" vertical="center" wrapText="1"/>
    </xf>
    <xf numFmtId="172" fontId="44" fillId="5" borderId="0" xfId="0" applyNumberFormat="1" applyFont="1" applyFill="1" applyBorder="1" applyAlignment="1">
      <alignment horizontal="center" vertical="center" wrapText="1"/>
    </xf>
    <xf numFmtId="0" fontId="40" fillId="0" borderId="291" xfId="0" applyFont="1" applyFill="1" applyBorder="1" applyAlignment="1">
      <alignment horizontal="center" vertical="center" wrapText="1"/>
    </xf>
    <xf numFmtId="0" fontId="40" fillId="0" borderId="293" xfId="0" applyFont="1" applyFill="1" applyBorder="1" applyAlignment="1">
      <alignment horizontal="center" vertical="center" wrapText="1"/>
    </xf>
    <xf numFmtId="4" fontId="5" fillId="8" borderId="0" xfId="7" applyNumberFormat="1" applyFont="1" applyFill="1" applyBorder="1" applyAlignment="1">
      <alignment horizontal="center" vertical="center"/>
    </xf>
    <xf numFmtId="4" fontId="5" fillId="9" borderId="0" xfId="7" applyNumberFormat="1" applyFont="1" applyFill="1" applyBorder="1" applyAlignment="1">
      <alignment horizontal="center" vertical="center"/>
    </xf>
    <xf numFmtId="4" fontId="5" fillId="9" borderId="12" xfId="7" applyNumberFormat="1" applyFont="1" applyFill="1" applyBorder="1" applyAlignment="1">
      <alignment horizontal="center" vertical="center"/>
    </xf>
    <xf numFmtId="185" fontId="40" fillId="0" borderId="0" xfId="14" applyNumberFormat="1" applyFont="1"/>
    <xf numFmtId="0" fontId="10" fillId="5" borderId="0" xfId="14" applyFont="1" applyFill="1" applyBorder="1" applyAlignment="1">
      <alignment horizontal="center"/>
    </xf>
    <xf numFmtId="0" fontId="40" fillId="5" borderId="309" xfId="0" applyFont="1" applyFill="1" applyBorder="1" applyAlignment="1">
      <alignment horizontal="center" vertical="center" wrapText="1"/>
    </xf>
    <xf numFmtId="0" fontId="10" fillId="5" borderId="0" xfId="14" applyFont="1" applyFill="1" applyBorder="1" applyAlignment="1">
      <alignment horizontal="center"/>
    </xf>
    <xf numFmtId="0" fontId="44" fillId="12" borderId="11" xfId="14" applyFont="1" applyFill="1" applyBorder="1" applyAlignment="1">
      <alignment horizontal="center" vertical="center" wrapText="1"/>
    </xf>
    <xf numFmtId="0" fontId="44" fillId="12" borderId="12" xfId="14" applyFont="1" applyFill="1" applyBorder="1" applyAlignment="1">
      <alignment horizontal="center" vertical="center"/>
    </xf>
    <xf numFmtId="0" fontId="44" fillId="12" borderId="12" xfId="14" applyFont="1" applyFill="1" applyBorder="1" applyAlignment="1">
      <alignment horizontal="center" vertical="center" wrapText="1"/>
    </xf>
    <xf numFmtId="0" fontId="44" fillId="12" borderId="15" xfId="14" applyFont="1" applyFill="1" applyBorder="1" applyAlignment="1">
      <alignment horizontal="center" vertical="center" wrapText="1"/>
    </xf>
    <xf numFmtId="0" fontId="44" fillId="14" borderId="13" xfId="15" applyFont="1" applyFill="1" applyBorder="1" applyAlignment="1">
      <alignment horizontal="center" vertical="center" wrapText="1"/>
    </xf>
    <xf numFmtId="0" fontId="44" fillId="14" borderId="14" xfId="15" applyFont="1" applyFill="1" applyBorder="1" applyAlignment="1">
      <alignment horizontal="center" vertical="center" wrapText="1"/>
    </xf>
    <xf numFmtId="0" fontId="44" fillId="14" borderId="16" xfId="15" applyFont="1" applyFill="1" applyBorder="1" applyAlignment="1">
      <alignment horizontal="center" vertical="center" wrapText="1"/>
    </xf>
    <xf numFmtId="4" fontId="25" fillId="5" borderId="0" xfId="0" applyNumberFormat="1" applyFont="1" applyFill="1" applyBorder="1" applyAlignment="1">
      <alignment horizontal="center"/>
    </xf>
    <xf numFmtId="0" fontId="44" fillId="10" borderId="3" xfId="0" applyFont="1" applyFill="1" applyBorder="1" applyAlignment="1">
      <alignment horizontal="center" vertical="center" wrapText="1"/>
    </xf>
    <xf numFmtId="0" fontId="44" fillId="10" borderId="4" xfId="0" applyFont="1" applyFill="1" applyBorder="1" applyAlignment="1">
      <alignment horizontal="center" vertical="center" wrapText="1"/>
    </xf>
    <xf numFmtId="2" fontId="44" fillId="10" borderId="10" xfId="0" applyNumberFormat="1" applyFont="1" applyFill="1" applyBorder="1" applyAlignment="1">
      <alignment horizontal="center" vertical="center" wrapText="1"/>
    </xf>
    <xf numFmtId="4" fontId="40" fillId="0" borderId="0" xfId="14" applyNumberFormat="1" applyFont="1"/>
    <xf numFmtId="4" fontId="44" fillId="0" borderId="0" xfId="14" applyNumberFormat="1" applyFont="1" applyAlignment="1">
      <alignment horizontal="center"/>
    </xf>
    <xf numFmtId="4" fontId="44" fillId="0" borderId="0" xfId="14" applyNumberFormat="1" applyFont="1"/>
    <xf numFmtId="0" fontId="44" fillId="11" borderId="14" xfId="0" applyFont="1" applyFill="1" applyBorder="1" applyAlignment="1"/>
    <xf numFmtId="0" fontId="44" fillId="10" borderId="13" xfId="0" applyFont="1" applyFill="1" applyBorder="1" applyAlignment="1">
      <alignment horizontal="center" vertical="center" wrapText="1"/>
    </xf>
    <xf numFmtId="0" fontId="44" fillId="10" borderId="14" xfId="0" applyFont="1" applyFill="1" applyBorder="1" applyAlignment="1">
      <alignment horizontal="center" vertical="center" wrapText="1"/>
    </xf>
    <xf numFmtId="0" fontId="44" fillId="12" borderId="13" xfId="14" applyFont="1" applyFill="1" applyBorder="1" applyAlignment="1">
      <alignment horizontal="center" vertical="center" wrapText="1"/>
    </xf>
    <xf numFmtId="0" fontId="44" fillId="12" borderId="14" xfId="14" applyFont="1" applyFill="1" applyBorder="1" applyAlignment="1">
      <alignment horizontal="center" vertical="center"/>
    </xf>
    <xf numFmtId="0" fontId="44" fillId="12" borderId="14" xfId="14" applyFont="1" applyFill="1" applyBorder="1" applyAlignment="1">
      <alignment horizontal="center" vertical="center" wrapText="1"/>
    </xf>
    <xf numFmtId="0" fontId="44" fillId="12" borderId="16" xfId="14" applyFont="1" applyFill="1" applyBorder="1" applyAlignment="1">
      <alignment horizontal="center" vertical="center" wrapText="1"/>
    </xf>
    <xf numFmtId="0" fontId="44" fillId="5" borderId="0" xfId="14" applyFont="1" applyFill="1" applyBorder="1" applyAlignment="1"/>
    <xf numFmtId="0" fontId="44" fillId="5" borderId="0" xfId="14" applyFont="1" applyFill="1" applyBorder="1" applyAlignment="1">
      <alignment horizontal="left"/>
    </xf>
    <xf numFmtId="4" fontId="56" fillId="5" borderId="0" xfId="0" applyNumberFormat="1" applyFont="1" applyFill="1" applyBorder="1" applyAlignment="1">
      <alignment horizontal="center"/>
    </xf>
    <xf numFmtId="0" fontId="44" fillId="11" borderId="16" xfId="20" applyNumberFormat="1" applyFont="1" applyFill="1" applyBorder="1" applyAlignment="1">
      <alignment horizontal="center" vertical="center" wrapText="1"/>
    </xf>
    <xf numFmtId="0" fontId="25" fillId="5" borderId="303" xfId="0" applyFont="1" applyFill="1" applyBorder="1" applyAlignment="1">
      <alignment horizontal="center" vertical="center" wrapText="1"/>
    </xf>
    <xf numFmtId="43" fontId="40" fillId="0" borderId="0" xfId="6" applyFont="1"/>
    <xf numFmtId="2" fontId="44" fillId="10" borderId="4" xfId="0" applyNumberFormat="1" applyFont="1" applyFill="1" applyBorder="1" applyAlignment="1">
      <alignment horizontal="center" vertical="center" wrapText="1"/>
    </xf>
    <xf numFmtId="44" fontId="40" fillId="5" borderId="1" xfId="10" applyNumberFormat="1" applyFont="1" applyFill="1" applyBorder="1" applyAlignment="1">
      <alignment horizontal="center"/>
    </xf>
    <xf numFmtId="181" fontId="40" fillId="5" borderId="0" xfId="10" applyNumberFormat="1" applyFont="1" applyFill="1" applyBorder="1" applyAlignment="1">
      <alignment horizontal="center" vertical="center"/>
    </xf>
    <xf numFmtId="44" fontId="40" fillId="5" borderId="2" xfId="10" applyFont="1" applyFill="1" applyBorder="1" applyAlignment="1">
      <alignment horizontal="center"/>
    </xf>
    <xf numFmtId="44" fontId="40" fillId="5" borderId="11" xfId="10" applyNumberFormat="1" applyFont="1" applyFill="1" applyBorder="1" applyAlignment="1">
      <alignment horizontal="center"/>
    </xf>
    <xf numFmtId="181" fontId="40" fillId="5" borderId="12" xfId="10" applyNumberFormat="1" applyFont="1" applyFill="1" applyBorder="1" applyAlignment="1">
      <alignment horizontal="center" vertical="center"/>
    </xf>
    <xf numFmtId="44" fontId="40" fillId="5" borderId="15" xfId="10" applyFont="1" applyFill="1" applyBorder="1" applyAlignment="1">
      <alignment horizontal="center"/>
    </xf>
    <xf numFmtId="173" fontId="44" fillId="5" borderId="0" xfId="15" applyNumberFormat="1" applyFont="1" applyFill="1" applyBorder="1"/>
    <xf numFmtId="186" fontId="40" fillId="0" borderId="0" xfId="14" applyNumberFormat="1" applyFont="1"/>
    <xf numFmtId="172" fontId="10" fillId="5" borderId="0" xfId="14" applyNumberFormat="1" applyFont="1" applyFill="1" applyBorder="1" applyAlignment="1">
      <alignment horizontal="right"/>
    </xf>
    <xf numFmtId="172" fontId="10" fillId="5" borderId="2" xfId="14" applyNumberFormat="1" applyFont="1" applyFill="1" applyBorder="1" applyAlignment="1">
      <alignment horizontal="right"/>
    </xf>
    <xf numFmtId="4" fontId="40" fillId="5" borderId="0" xfId="0" applyNumberFormat="1" applyFont="1" applyFill="1" applyBorder="1" applyAlignment="1">
      <alignment horizontal="center"/>
    </xf>
    <xf numFmtId="172" fontId="10" fillId="5" borderId="12" xfId="14" applyNumberFormat="1" applyFont="1" applyFill="1" applyBorder="1" applyAlignment="1">
      <alignment horizontal="right"/>
    </xf>
    <xf numFmtId="172" fontId="10" fillId="5" borderId="15" xfId="14" applyNumberFormat="1" applyFont="1" applyFill="1" applyBorder="1" applyAlignment="1">
      <alignment horizontal="right"/>
    </xf>
    <xf numFmtId="0" fontId="44" fillId="14" borderId="26" xfId="15" applyFont="1" applyFill="1" applyBorder="1" applyAlignment="1">
      <alignment horizontal="center" vertical="center"/>
    </xf>
    <xf numFmtId="2" fontId="44" fillId="10" borderId="16" xfId="0" applyNumberFormat="1" applyFont="1" applyFill="1" applyBorder="1" applyAlignment="1">
      <alignment horizontal="center" vertical="center" wrapText="1"/>
    </xf>
    <xf numFmtId="187" fontId="40" fillId="0" borderId="0" xfId="14" applyNumberFormat="1" applyFont="1"/>
    <xf numFmtId="3" fontId="40" fillId="0" borderId="0" xfId="14" applyNumberFormat="1" applyFont="1" applyAlignment="1">
      <alignment horizontal="center"/>
    </xf>
    <xf numFmtId="0" fontId="44" fillId="14" borderId="14" xfId="15" applyFont="1" applyFill="1" applyBorder="1" applyAlignment="1"/>
    <xf numFmtId="44" fontId="0" fillId="0" borderId="0" xfId="0" applyNumberFormat="1" applyFont="1"/>
    <xf numFmtId="44" fontId="40" fillId="0" borderId="0" xfId="0" applyNumberFormat="1" applyFont="1"/>
    <xf numFmtId="9" fontId="30" fillId="5" borderId="0" xfId="21" applyNumberFormat="1" applyFont="1" applyFill="1" applyAlignment="1">
      <alignment horizontal="center"/>
    </xf>
    <xf numFmtId="190" fontId="25" fillId="5" borderId="287" xfId="21" applyNumberFormat="1" applyFont="1" applyFill="1" applyBorder="1" applyAlignment="1">
      <alignment horizontal="center" vertical="center" wrapText="1"/>
    </xf>
    <xf numFmtId="190" fontId="25" fillId="5" borderId="291" xfId="21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4" fontId="25" fillId="5" borderId="0" xfId="0" applyNumberFormat="1" applyFont="1" applyFill="1" applyAlignment="1">
      <alignment horizontal="center"/>
    </xf>
    <xf numFmtId="44" fontId="0" fillId="5" borderId="0" xfId="0" applyNumberFormat="1" applyFill="1"/>
    <xf numFmtId="44" fontId="25" fillId="5" borderId="0" xfId="0" applyNumberFormat="1" applyFont="1" applyFill="1" applyAlignment="1">
      <alignment horizontal="center"/>
    </xf>
    <xf numFmtId="44" fontId="40" fillId="5" borderId="0" xfId="0" applyNumberFormat="1" applyFont="1" applyFill="1"/>
    <xf numFmtId="0" fontId="44" fillId="5" borderId="0" xfId="14" applyFont="1" applyFill="1" applyAlignment="1">
      <alignment horizontal="center"/>
    </xf>
    <xf numFmtId="9" fontId="40" fillId="5" borderId="13" xfId="21" applyFont="1" applyFill="1" applyBorder="1" applyAlignment="1">
      <alignment horizontal="center"/>
    </xf>
    <xf numFmtId="9" fontId="40" fillId="5" borderId="16" xfId="21" applyFont="1" applyFill="1" applyBorder="1" applyAlignment="1">
      <alignment horizontal="center"/>
    </xf>
    <xf numFmtId="172" fontId="40" fillId="5" borderId="0" xfId="14" applyNumberFormat="1" applyFont="1" applyFill="1"/>
    <xf numFmtId="185" fontId="40" fillId="5" borderId="0" xfId="14" applyNumberFormat="1" applyFont="1" applyFill="1"/>
    <xf numFmtId="43" fontId="40" fillId="5" borderId="0" xfId="6" applyFont="1" applyFill="1"/>
    <xf numFmtId="3" fontId="40" fillId="5" borderId="0" xfId="14" applyNumberFormat="1" applyFont="1" applyFill="1"/>
    <xf numFmtId="0" fontId="52" fillId="20" borderId="292" xfId="0" applyFont="1" applyFill="1" applyBorder="1" applyAlignment="1">
      <alignment horizontal="center" wrapText="1"/>
    </xf>
    <xf numFmtId="0" fontId="40" fillId="0" borderId="295" xfId="0" applyFont="1" applyFill="1" applyBorder="1" applyAlignment="1">
      <alignment horizontal="center" vertical="center" wrapText="1"/>
    </xf>
    <xf numFmtId="0" fontId="61" fillId="0" borderId="0" xfId="14" applyFont="1"/>
    <xf numFmtId="0" fontId="61" fillId="7" borderId="0" xfId="14" applyFont="1" applyFill="1"/>
    <xf numFmtId="0" fontId="61" fillId="0" borderId="0" xfId="14" applyFont="1" applyAlignment="1">
      <alignment horizontal="center"/>
    </xf>
    <xf numFmtId="0" fontId="61" fillId="0" borderId="0" xfId="14" applyFont="1" applyAlignment="1">
      <alignment horizontal="center" vertical="center" wrapText="1"/>
    </xf>
    <xf numFmtId="0" fontId="61" fillId="0" borderId="0" xfId="14" applyFont="1" applyAlignment="1">
      <alignment horizontal="left"/>
    </xf>
    <xf numFmtId="0" fontId="61" fillId="0" borderId="0" xfId="0" applyFont="1"/>
    <xf numFmtId="0" fontId="62" fillId="5" borderId="0" xfId="17" applyFont="1" applyFill="1" applyAlignment="1"/>
    <xf numFmtId="0" fontId="62" fillId="5" borderId="0" xfId="17" applyFont="1" applyFill="1" applyAlignment="1">
      <alignment horizontal="center"/>
    </xf>
    <xf numFmtId="0" fontId="62" fillId="5" borderId="0" xfId="17" applyFont="1" applyFill="1" applyAlignment="1">
      <alignment horizontal="center" vertical="center" wrapText="1"/>
    </xf>
    <xf numFmtId="0" fontId="62" fillId="5" borderId="0" xfId="17" applyFont="1" applyFill="1" applyAlignment="1">
      <alignment horizontal="left"/>
    </xf>
    <xf numFmtId="0" fontId="64" fillId="20" borderId="310" xfId="19" applyFont="1" applyFill="1" applyBorder="1" applyAlignment="1">
      <alignment horizontal="center" vertical="center" wrapText="1"/>
    </xf>
    <xf numFmtId="0" fontId="64" fillId="20" borderId="312" xfId="19" applyFont="1" applyFill="1" applyBorder="1" applyAlignment="1">
      <alignment horizontal="center" vertical="center" wrapText="1"/>
    </xf>
    <xf numFmtId="0" fontId="64" fillId="20" borderId="313" xfId="19" applyFont="1" applyFill="1" applyBorder="1" applyAlignment="1">
      <alignment horizontal="center" vertical="center" wrapText="1"/>
    </xf>
    <xf numFmtId="0" fontId="64" fillId="20" borderId="0" xfId="19" applyFont="1" applyFill="1" applyBorder="1" applyAlignment="1">
      <alignment horizontal="center" vertical="center" wrapText="1"/>
    </xf>
    <xf numFmtId="0" fontId="64" fillId="20" borderId="314" xfId="19" applyFont="1" applyFill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65" fillId="0" borderId="0" xfId="14" applyFont="1" applyAlignment="1">
      <alignment horizontal="center" vertical="center"/>
    </xf>
    <xf numFmtId="0" fontId="64" fillId="20" borderId="315" xfId="19" applyFont="1" applyFill="1" applyBorder="1" applyAlignment="1">
      <alignment horizontal="center" wrapText="1"/>
    </xf>
    <xf numFmtId="0" fontId="64" fillId="20" borderId="316" xfId="19" applyFont="1" applyFill="1" applyBorder="1" applyAlignment="1">
      <alignment horizontal="center" wrapText="1"/>
    </xf>
    <xf numFmtId="0" fontId="64" fillId="20" borderId="317" xfId="19" applyFont="1" applyFill="1" applyBorder="1" applyAlignment="1">
      <alignment horizontal="center" wrapText="1"/>
    </xf>
    <xf numFmtId="0" fontId="64" fillId="20" borderId="313" xfId="19" applyFont="1" applyFill="1" applyBorder="1" applyAlignment="1">
      <alignment horizontal="center" wrapText="1"/>
    </xf>
    <xf numFmtId="0" fontId="64" fillId="20" borderId="0" xfId="19" applyFont="1" applyFill="1" applyBorder="1" applyAlignment="1">
      <alignment horizontal="center" wrapText="1"/>
    </xf>
    <xf numFmtId="0" fontId="64" fillId="20" borderId="314" xfId="19" applyFont="1" applyFill="1" applyBorder="1" applyAlignment="1">
      <alignment horizontal="center" wrapText="1"/>
    </xf>
    <xf numFmtId="0" fontId="65" fillId="0" borderId="0" xfId="0" applyFont="1" applyAlignment="1">
      <alignment horizontal="center"/>
    </xf>
    <xf numFmtId="0" fontId="65" fillId="0" borderId="0" xfId="14" applyFont="1" applyAlignment="1">
      <alignment horizontal="center"/>
    </xf>
    <xf numFmtId="0" fontId="66" fillId="20" borderId="318" xfId="19" applyFont="1" applyFill="1" applyBorder="1" applyAlignment="1">
      <alignment horizontal="center"/>
    </xf>
    <xf numFmtId="17" fontId="66" fillId="20" borderId="319" xfId="3" applyNumberFormat="1" applyFont="1" applyFill="1" applyBorder="1" applyAlignment="1">
      <alignment horizontal="center" vertical="center" wrapText="1"/>
    </xf>
    <xf numFmtId="0" fontId="61" fillId="5" borderId="0" xfId="19" applyFont="1" applyFill="1" applyBorder="1" applyAlignment="1">
      <alignment horizontal="center" wrapText="1"/>
    </xf>
    <xf numFmtId="4" fontId="61" fillId="5" borderId="0" xfId="7" applyNumberFormat="1" applyFont="1" applyFill="1" applyBorder="1" applyAlignment="1">
      <alignment horizontal="center"/>
    </xf>
    <xf numFmtId="4" fontId="61" fillId="5" borderId="313" xfId="7" applyNumberFormat="1" applyFont="1" applyFill="1" applyBorder="1" applyAlignment="1">
      <alignment horizontal="center" vertical="center" wrapText="1"/>
    </xf>
    <xf numFmtId="4" fontId="61" fillId="5" borderId="0" xfId="7" applyNumberFormat="1" applyFont="1" applyFill="1" applyBorder="1" applyAlignment="1">
      <alignment horizontal="center" vertical="center" wrapText="1"/>
    </xf>
    <xf numFmtId="4" fontId="61" fillId="5" borderId="0" xfId="0" applyNumberFormat="1" applyFont="1" applyFill="1" applyBorder="1" applyAlignment="1">
      <alignment horizontal="center" vertical="center" wrapText="1"/>
    </xf>
    <xf numFmtId="4" fontId="61" fillId="0" borderId="0" xfId="14" applyNumberFormat="1" applyFont="1" applyBorder="1" applyAlignment="1">
      <alignment horizontal="center"/>
    </xf>
    <xf numFmtId="4" fontId="61" fillId="5" borderId="0" xfId="0" applyNumberFormat="1" applyFont="1" applyFill="1" applyBorder="1" applyAlignment="1">
      <alignment horizontal="center"/>
    </xf>
    <xf numFmtId="9" fontId="61" fillId="5" borderId="0" xfId="21" applyFont="1" applyFill="1" applyBorder="1" applyAlignment="1">
      <alignment horizontal="center"/>
    </xf>
    <xf numFmtId="9" fontId="61" fillId="5" borderId="314" xfId="21" applyFont="1" applyFill="1" applyBorder="1" applyAlignment="1">
      <alignment horizontal="center"/>
    </xf>
    <xf numFmtId="0" fontId="66" fillId="20" borderId="320" xfId="19" applyFont="1" applyFill="1" applyBorder="1" applyAlignment="1">
      <alignment horizontal="center"/>
    </xf>
    <xf numFmtId="17" fontId="66" fillId="20" borderId="321" xfId="3" applyNumberFormat="1" applyFont="1" applyFill="1" applyBorder="1" applyAlignment="1">
      <alignment horizontal="center" vertical="center" wrapText="1"/>
    </xf>
    <xf numFmtId="189" fontId="61" fillId="5" borderId="313" xfId="9" applyNumberFormat="1" applyFont="1" applyFill="1" applyBorder="1" applyAlignment="1">
      <alignment horizontal="center"/>
    </xf>
    <xf numFmtId="189" fontId="61" fillId="5" borderId="0" xfId="9" applyNumberFormat="1" applyFont="1" applyFill="1" applyBorder="1" applyAlignment="1">
      <alignment horizontal="center"/>
    </xf>
    <xf numFmtId="0" fontId="67" fillId="5" borderId="0" xfId="9" applyNumberFormat="1" applyFont="1" applyFill="1" applyBorder="1" applyAlignment="1">
      <alignment horizontal="left"/>
    </xf>
    <xf numFmtId="43" fontId="61" fillId="5" borderId="0" xfId="7" applyFont="1" applyFill="1" applyBorder="1" applyAlignment="1">
      <alignment horizontal="left"/>
    </xf>
    <xf numFmtId="10" fontId="61" fillId="5" borderId="0" xfId="21" applyNumberFormat="1" applyFont="1" applyFill="1" applyBorder="1" applyAlignment="1">
      <alignment horizontal="center"/>
    </xf>
    <xf numFmtId="44" fontId="61" fillId="5" borderId="313" xfId="8" applyFont="1" applyFill="1" applyBorder="1" applyAlignment="1">
      <alignment horizontal="center"/>
    </xf>
    <xf numFmtId="44" fontId="61" fillId="5" borderId="0" xfId="8" applyFont="1" applyFill="1" applyBorder="1" applyAlignment="1">
      <alignment horizontal="center"/>
    </xf>
    <xf numFmtId="44" fontId="61" fillId="0" borderId="0" xfId="8" applyFont="1" applyFill="1" applyBorder="1" applyAlignment="1">
      <alignment horizontal="center"/>
    </xf>
    <xf numFmtId="0" fontId="61" fillId="0" borderId="0" xfId="19" applyFont="1" applyFill="1" applyBorder="1" applyAlignment="1">
      <alignment horizontal="center" wrapText="1"/>
    </xf>
    <xf numFmtId="43" fontId="61" fillId="0" borderId="0" xfId="7" applyFont="1" applyFill="1" applyBorder="1" applyAlignment="1">
      <alignment horizontal="left"/>
    </xf>
    <xf numFmtId="0" fontId="67" fillId="0" borderId="0" xfId="9" applyNumberFormat="1" applyFont="1" applyFill="1" applyBorder="1" applyAlignment="1">
      <alignment horizontal="left"/>
    </xf>
    <xf numFmtId="4" fontId="61" fillId="0" borderId="0" xfId="7" applyNumberFormat="1" applyFont="1" applyFill="1" applyBorder="1" applyAlignment="1">
      <alignment horizontal="center" vertical="center" wrapText="1"/>
    </xf>
    <xf numFmtId="4" fontId="61" fillId="0" borderId="0" xfId="0" applyNumberFormat="1" applyFont="1" applyFill="1" applyBorder="1" applyAlignment="1">
      <alignment horizontal="center" vertical="center" wrapText="1"/>
    </xf>
    <xf numFmtId="4" fontId="61" fillId="0" borderId="0" xfId="14" applyNumberFormat="1" applyFont="1" applyFill="1" applyBorder="1" applyAlignment="1">
      <alignment horizontal="center"/>
    </xf>
    <xf numFmtId="4" fontId="61" fillId="0" borderId="0" xfId="0" applyNumberFormat="1" applyFont="1" applyFill="1" applyBorder="1" applyAlignment="1">
      <alignment horizontal="center"/>
    </xf>
    <xf numFmtId="10" fontId="61" fillId="0" borderId="0" xfId="21" applyNumberFormat="1" applyFont="1" applyFill="1" applyBorder="1" applyAlignment="1">
      <alignment horizontal="center"/>
    </xf>
    <xf numFmtId="0" fontId="61" fillId="0" borderId="0" xfId="0" applyFont="1" applyFill="1"/>
    <xf numFmtId="0" fontId="61" fillId="0" borderId="0" xfId="14" applyFont="1" applyFill="1"/>
    <xf numFmtId="0" fontId="66" fillId="20" borderId="322" xfId="19" applyFont="1" applyFill="1" applyBorder="1" applyAlignment="1">
      <alignment horizontal="center"/>
    </xf>
    <xf numFmtId="17" fontId="66" fillId="20" borderId="323" xfId="3" applyNumberFormat="1" applyFont="1" applyFill="1" applyBorder="1" applyAlignment="1">
      <alignment horizontal="center" vertical="center" wrapText="1"/>
    </xf>
    <xf numFmtId="0" fontId="68" fillId="0" borderId="0" xfId="0" applyFont="1"/>
    <xf numFmtId="0" fontId="61" fillId="0" borderId="0" xfId="0" applyFont="1" applyAlignment="1">
      <alignment wrapText="1"/>
    </xf>
    <xf numFmtId="0" fontId="69" fillId="14" borderId="344" xfId="14" applyFont="1" applyFill="1" applyBorder="1" applyAlignment="1">
      <alignment horizontal="center" wrapText="1"/>
    </xf>
    <xf numFmtId="0" fontId="69" fillId="14" borderId="343" xfId="0" applyFont="1" applyFill="1" applyBorder="1" applyAlignment="1">
      <alignment horizontal="center" wrapText="1"/>
    </xf>
    <xf numFmtId="0" fontId="69" fillId="14" borderId="345" xfId="0" applyFont="1" applyFill="1" applyBorder="1" applyAlignment="1">
      <alignment horizontal="center" wrapText="1"/>
    </xf>
    <xf numFmtId="0" fontId="69" fillId="14" borderId="344" xfId="14" applyFont="1" applyFill="1" applyBorder="1" applyAlignment="1">
      <alignment horizontal="center"/>
    </xf>
    <xf numFmtId="0" fontId="69" fillId="14" borderId="343" xfId="0" applyFont="1" applyFill="1" applyBorder="1" applyAlignment="1">
      <alignment horizontal="center"/>
    </xf>
    <xf numFmtId="0" fontId="69" fillId="14" borderId="345" xfId="0" applyFont="1" applyFill="1" applyBorder="1" applyAlignment="1">
      <alignment horizontal="center"/>
    </xf>
    <xf numFmtId="4" fontId="70" fillId="0" borderId="346" xfId="14" applyNumberFormat="1" applyFont="1" applyBorder="1" applyAlignment="1">
      <alignment horizontal="center"/>
    </xf>
    <xf numFmtId="4" fontId="70" fillId="0" borderId="347" xfId="0" applyNumberFormat="1" applyFont="1" applyBorder="1" applyAlignment="1">
      <alignment horizontal="center"/>
    </xf>
    <xf numFmtId="2" fontId="70" fillId="0" borderId="348" xfId="21" applyNumberFormat="1" applyFont="1" applyBorder="1" applyAlignment="1">
      <alignment horizontal="center"/>
    </xf>
    <xf numFmtId="44" fontId="61" fillId="5" borderId="313" xfId="8" applyFont="1" applyFill="1" applyBorder="1"/>
    <xf numFmtId="44" fontId="61" fillId="5" borderId="0" xfId="8" applyFont="1" applyFill="1" applyBorder="1"/>
    <xf numFmtId="0" fontId="71" fillId="20" borderId="297" xfId="0" applyFont="1" applyFill="1" applyBorder="1" applyAlignment="1">
      <alignment vertical="center" wrapText="1"/>
    </xf>
    <xf numFmtId="0" fontId="71" fillId="20" borderId="298" xfId="0" applyFont="1" applyFill="1" applyBorder="1" applyAlignment="1">
      <alignment horizontal="center" vertical="center" wrapText="1"/>
    </xf>
    <xf numFmtId="0" fontId="71" fillId="20" borderId="299" xfId="0" applyFont="1" applyFill="1" applyBorder="1" applyAlignment="1">
      <alignment horizontal="right" vertical="center" wrapText="1"/>
    </xf>
    <xf numFmtId="0" fontId="72" fillId="0" borderId="300" xfId="0" applyFont="1" applyBorder="1" applyAlignment="1">
      <alignment horizontal="center" vertical="center" wrapText="1"/>
    </xf>
    <xf numFmtId="3" fontId="68" fillId="0" borderId="0" xfId="0" applyNumberFormat="1" applyFont="1" applyAlignment="1"/>
    <xf numFmtId="3" fontId="61" fillId="5" borderId="0" xfId="7" applyNumberFormat="1" applyFont="1" applyFill="1" applyBorder="1" applyAlignment="1">
      <alignment horizontal="center" vertical="center" wrapText="1"/>
    </xf>
    <xf numFmtId="3" fontId="61" fillId="0" borderId="0" xfId="7" applyNumberFormat="1" applyFont="1" applyFill="1" applyBorder="1" applyAlignment="1">
      <alignment horizontal="center" vertical="center" wrapText="1"/>
    </xf>
    <xf numFmtId="3" fontId="68" fillId="0" borderId="0" xfId="0" applyNumberFormat="1" applyFont="1" applyAlignment="1">
      <alignment horizontal="center"/>
    </xf>
    <xf numFmtId="0" fontId="44" fillId="15" borderId="3" xfId="0" applyFont="1" applyFill="1" applyBorder="1" applyAlignment="1">
      <alignment horizontal="center"/>
    </xf>
    <xf numFmtId="0" fontId="44" fillId="15" borderId="4" xfId="0" applyFont="1" applyFill="1" applyBorder="1" applyAlignment="1">
      <alignment horizontal="center"/>
    </xf>
    <xf numFmtId="0" fontId="44" fillId="15" borderId="10" xfId="0" applyFont="1" applyFill="1" applyBorder="1" applyAlignment="1">
      <alignment horizontal="center"/>
    </xf>
    <xf numFmtId="0" fontId="44" fillId="12" borderId="3" xfId="14" applyFont="1" applyFill="1" applyBorder="1" applyAlignment="1">
      <alignment horizontal="left"/>
    </xf>
    <xf numFmtId="0" fontId="44" fillId="12" borderId="4" xfId="14" applyFont="1" applyFill="1" applyBorder="1" applyAlignment="1">
      <alignment horizontal="left"/>
    </xf>
    <xf numFmtId="0" fontId="44" fillId="12" borderId="10" xfId="14" applyFont="1" applyFill="1" applyBorder="1" applyAlignment="1">
      <alignment horizontal="left"/>
    </xf>
    <xf numFmtId="0" fontId="44" fillId="11" borderId="3" xfId="0" applyFont="1" applyFill="1" applyBorder="1" applyAlignment="1"/>
    <xf numFmtId="0" fontId="44" fillId="11" borderId="4" xfId="0" applyFont="1" applyFill="1" applyBorder="1" applyAlignment="1"/>
    <xf numFmtId="191" fontId="61" fillId="5" borderId="0" xfId="9" applyNumberFormat="1" applyFont="1" applyFill="1" applyBorder="1" applyAlignment="1">
      <alignment horizontal="center"/>
    </xf>
    <xf numFmtId="191" fontId="61" fillId="0" borderId="0" xfId="9" applyNumberFormat="1" applyFont="1" applyFill="1" applyBorder="1" applyAlignment="1">
      <alignment horizontal="center"/>
    </xf>
    <xf numFmtId="178" fontId="25" fillId="5" borderId="0" xfId="14" applyNumberFormat="1" applyFont="1" applyFill="1"/>
    <xf numFmtId="172" fontId="40" fillId="0" borderId="287" xfId="0" applyNumberFormat="1" applyFont="1" applyFill="1" applyBorder="1" applyAlignment="1">
      <alignment horizontal="center" vertical="center" wrapText="1"/>
    </xf>
    <xf numFmtId="44" fontId="61" fillId="0" borderId="313" xfId="8" applyFont="1" applyFill="1" applyBorder="1" applyAlignment="1">
      <alignment horizontal="center"/>
    </xf>
    <xf numFmtId="0" fontId="44" fillId="10" borderId="3" xfId="0" applyFont="1" applyFill="1" applyBorder="1" applyAlignment="1">
      <alignment vertical="center"/>
    </xf>
    <xf numFmtId="0" fontId="44" fillId="10" borderId="4" xfId="0" applyFont="1" applyFill="1" applyBorder="1" applyAlignment="1">
      <alignment vertical="center"/>
    </xf>
    <xf numFmtId="3" fontId="40" fillId="9" borderId="2" xfId="0" applyNumberFormat="1" applyFont="1" applyFill="1" applyBorder="1" applyAlignment="1">
      <alignment horizontal="center"/>
    </xf>
    <xf numFmtId="2" fontId="44" fillId="10" borderId="13" xfId="0" applyNumberFormat="1" applyFont="1" applyFill="1" applyBorder="1" applyAlignment="1">
      <alignment horizontal="center" vertical="center" wrapText="1"/>
    </xf>
    <xf numFmtId="2" fontId="44" fillId="10" borderId="14" xfId="0" applyNumberFormat="1" applyFont="1" applyFill="1" applyBorder="1" applyAlignment="1">
      <alignment horizontal="center" vertical="center" wrapText="1"/>
    </xf>
    <xf numFmtId="0" fontId="10" fillId="5" borderId="0" xfId="14" applyFont="1" applyFill="1" applyBorder="1" applyAlignment="1">
      <alignment horizontal="center"/>
    </xf>
    <xf numFmtId="0" fontId="64" fillId="20" borderId="311" xfId="19" applyFont="1" applyFill="1" applyBorder="1" applyAlignment="1">
      <alignment horizontal="center" vertical="center" wrapText="1"/>
    </xf>
    <xf numFmtId="0" fontId="75" fillId="5" borderId="0" xfId="14" applyFont="1" applyFill="1"/>
    <xf numFmtId="0" fontId="75" fillId="5" borderId="0" xfId="14" applyFont="1" applyFill="1" applyBorder="1"/>
    <xf numFmtId="0" fontId="75" fillId="0" borderId="0" xfId="14" applyFont="1"/>
    <xf numFmtId="0" fontId="75" fillId="0" borderId="0" xfId="0" applyFont="1"/>
    <xf numFmtId="17" fontId="77" fillId="5" borderId="0" xfId="14" applyNumberFormat="1" applyFont="1" applyFill="1" applyBorder="1" applyAlignment="1"/>
    <xf numFmtId="0" fontId="76" fillId="5" borderId="0" xfId="14" applyFont="1" applyFill="1" applyBorder="1" applyAlignment="1">
      <alignment horizontal="center"/>
    </xf>
    <xf numFmtId="0" fontId="77" fillId="20" borderId="287" xfId="0" applyFont="1" applyFill="1" applyBorder="1" applyAlignment="1">
      <alignment horizontal="center" wrapText="1"/>
    </xf>
    <xf numFmtId="44" fontId="77" fillId="20" borderId="287" xfId="8" applyFont="1" applyFill="1" applyBorder="1" applyAlignment="1">
      <alignment horizontal="center" wrapText="1"/>
    </xf>
    <xf numFmtId="0" fontId="75" fillId="5" borderId="287" xfId="0" applyFont="1" applyFill="1" applyBorder="1" applyAlignment="1">
      <alignment wrapText="1"/>
    </xf>
    <xf numFmtId="0" fontId="75" fillId="0" borderId="287" xfId="14" applyFont="1" applyBorder="1" applyAlignment="1">
      <alignment horizontal="center"/>
    </xf>
    <xf numFmtId="0" fontId="75" fillId="0" borderId="287" xfId="14" applyFont="1" applyBorder="1"/>
    <xf numFmtId="173" fontId="75" fillId="5" borderId="287" xfId="8" applyNumberFormat="1" applyFont="1" applyFill="1" applyBorder="1" applyAlignment="1">
      <alignment horizontal="center" vertical="center" wrapText="1"/>
    </xf>
    <xf numFmtId="172" fontId="75" fillId="5" borderId="287" xfId="0" applyNumberFormat="1" applyFont="1" applyFill="1" applyBorder="1" applyAlignment="1">
      <alignment horizontal="right" vertical="center"/>
    </xf>
    <xf numFmtId="0" fontId="47" fillId="9" borderId="287" xfId="0" applyNumberFormat="1" applyFont="1" applyFill="1" applyBorder="1" applyAlignment="1">
      <alignment horizontal="center" vertical="center" wrapText="1"/>
    </xf>
    <xf numFmtId="0" fontId="78" fillId="0" borderId="0" xfId="0" applyFont="1" applyAlignment="1">
      <alignment horizontal="center"/>
    </xf>
    <xf numFmtId="0" fontId="77" fillId="20" borderId="287" xfId="0" applyFont="1" applyFill="1" applyBorder="1" applyAlignment="1">
      <alignment horizontal="center" vertical="center" wrapText="1"/>
    </xf>
    <xf numFmtId="0" fontId="75" fillId="5" borderId="287" xfId="0" applyFont="1" applyFill="1" applyBorder="1" applyAlignment="1">
      <alignment horizontal="center" vertical="center" wrapText="1"/>
    </xf>
    <xf numFmtId="3" fontId="75" fillId="5" borderId="287" xfId="0" applyNumberFormat="1" applyFont="1" applyFill="1" applyBorder="1" applyAlignment="1">
      <alignment horizontal="center" vertical="center" wrapText="1"/>
    </xf>
    <xf numFmtId="0" fontId="75" fillId="9" borderId="287" xfId="0" applyFont="1" applyFill="1" applyBorder="1" applyAlignment="1">
      <alignment horizontal="center" vertical="center" wrapText="1"/>
    </xf>
    <xf numFmtId="4" fontId="75" fillId="9" borderId="287" xfId="0" applyNumberFormat="1" applyFont="1" applyFill="1" applyBorder="1" applyAlignment="1">
      <alignment horizontal="center" vertical="center" wrapText="1"/>
    </xf>
    <xf numFmtId="0" fontId="76" fillId="5" borderId="0" xfId="14" applyFont="1" applyFill="1" applyBorder="1" applyAlignment="1">
      <alignment horizontal="left"/>
    </xf>
    <xf numFmtId="0" fontId="79" fillId="5" borderId="0" xfId="5" applyFont="1" applyFill="1" applyBorder="1" applyAlignment="1" applyProtection="1">
      <alignment horizontal="center"/>
    </xf>
    <xf numFmtId="0" fontId="47" fillId="5" borderId="0" xfId="14" applyFont="1" applyFill="1" applyAlignment="1">
      <alignment horizontal="left"/>
    </xf>
    <xf numFmtId="16" fontId="76" fillId="5" borderId="0" xfId="2" applyNumberFormat="1" applyFont="1" applyFill="1" applyBorder="1" applyAlignment="1"/>
    <xf numFmtId="16" fontId="76" fillId="5" borderId="0" xfId="2" applyNumberFormat="1" applyFont="1" applyFill="1" applyBorder="1" applyAlignment="1">
      <alignment horizontal="left"/>
    </xf>
    <xf numFmtId="0" fontId="75" fillId="5" borderId="0" xfId="0" applyFont="1" applyFill="1"/>
    <xf numFmtId="0" fontId="75" fillId="5" borderId="0" xfId="0" applyFont="1" applyFill="1" applyAlignment="1">
      <alignment horizontal="center"/>
    </xf>
    <xf numFmtId="179" fontId="75" fillId="5" borderId="0" xfId="8" applyNumberFormat="1" applyFont="1" applyFill="1"/>
    <xf numFmtId="0" fontId="75" fillId="5" borderId="287" xfId="0" applyFont="1" applyFill="1" applyBorder="1" applyAlignment="1">
      <alignment horizontal="left" vertical="center" wrapText="1"/>
    </xf>
    <xf numFmtId="9" fontId="75" fillId="5" borderId="287" xfId="21" applyFont="1" applyFill="1" applyBorder="1" applyAlignment="1">
      <alignment horizontal="center" vertical="center" wrapText="1"/>
    </xf>
    <xf numFmtId="0" fontId="75" fillId="16" borderId="287" xfId="0" applyFont="1" applyFill="1" applyBorder="1" applyAlignment="1">
      <alignment horizontal="center" vertical="center" wrapText="1"/>
    </xf>
    <xf numFmtId="0" fontId="75" fillId="16" borderId="287" xfId="0" applyFont="1" applyFill="1" applyBorder="1" applyAlignment="1">
      <alignment horizontal="left" vertical="center" wrapText="1"/>
    </xf>
    <xf numFmtId="3" fontId="75" fillId="16" borderId="287" xfId="0" applyNumberFormat="1" applyFont="1" applyFill="1" applyBorder="1" applyAlignment="1">
      <alignment horizontal="center" vertical="center" wrapText="1"/>
    </xf>
    <xf numFmtId="9" fontId="75" fillId="16" borderId="287" xfId="21" applyFont="1" applyFill="1" applyBorder="1" applyAlignment="1">
      <alignment horizontal="center" vertical="center" wrapText="1"/>
    </xf>
    <xf numFmtId="0" fontId="47" fillId="5" borderId="0" xfId="0" applyFont="1" applyFill="1" applyAlignment="1">
      <alignment horizontal="right"/>
    </xf>
    <xf numFmtId="0" fontId="47" fillId="5" borderId="0" xfId="0" applyFont="1" applyFill="1" applyAlignment="1">
      <alignment horizontal="center"/>
    </xf>
    <xf numFmtId="0" fontId="47" fillId="5" borderId="0" xfId="18" applyFont="1" applyFill="1" applyBorder="1" applyAlignment="1">
      <alignment horizontal="center"/>
    </xf>
    <xf numFmtId="171" fontId="47" fillId="5" borderId="0" xfId="18" applyNumberFormat="1" applyFont="1" applyFill="1" applyBorder="1" applyAlignment="1">
      <alignment horizontal="center"/>
    </xf>
    <xf numFmtId="9" fontId="47" fillId="5" borderId="0" xfId="21" applyFont="1" applyFill="1" applyAlignment="1">
      <alignment horizontal="center"/>
    </xf>
    <xf numFmtId="0" fontId="75" fillId="5" borderId="0" xfId="18" applyFont="1" applyFill="1" applyBorder="1"/>
    <xf numFmtId="172" fontId="75" fillId="5" borderId="287" xfId="8" applyNumberFormat="1" applyFont="1" applyFill="1" applyBorder="1" applyAlignment="1">
      <alignment horizontal="center" vertical="center" wrapText="1"/>
    </xf>
    <xf numFmtId="0" fontId="75" fillId="0" borderId="288" xfId="0" applyFont="1" applyFill="1" applyBorder="1" applyAlignment="1">
      <alignment horizontal="center" vertical="center" wrapText="1"/>
    </xf>
    <xf numFmtId="0" fontId="75" fillId="5" borderId="288" xfId="0" applyFont="1" applyFill="1" applyBorder="1" applyAlignment="1">
      <alignment horizontal="center" vertical="center" wrapText="1"/>
    </xf>
    <xf numFmtId="9" fontId="47" fillId="5" borderId="288" xfId="0" applyNumberFormat="1" applyFont="1" applyFill="1" applyBorder="1" applyAlignment="1">
      <alignment horizontal="center" vertical="center" wrapText="1"/>
    </xf>
    <xf numFmtId="0" fontId="75" fillId="5" borderId="0" xfId="0" applyFont="1" applyFill="1" applyBorder="1" applyAlignment="1">
      <alignment horizontal="center" vertical="center" wrapText="1"/>
    </xf>
    <xf numFmtId="44" fontId="75" fillId="5" borderId="0" xfId="8" applyFont="1" applyFill="1" applyBorder="1" applyAlignment="1">
      <alignment horizontal="center" vertical="center" wrapText="1"/>
    </xf>
    <xf numFmtId="0" fontId="47" fillId="0" borderId="0" xfId="14" applyFont="1" applyAlignment="1">
      <alignment horizontal="center"/>
    </xf>
    <xf numFmtId="0" fontId="80" fillId="4" borderId="0" xfId="4" applyFont="1" applyBorder="1" applyAlignment="1"/>
    <xf numFmtId="0" fontId="47" fillId="14" borderId="3" xfId="15" applyFont="1" applyFill="1" applyBorder="1" applyAlignment="1">
      <alignment horizontal="center"/>
    </xf>
    <xf numFmtId="0" fontId="47" fillId="14" borderId="4" xfId="15" applyFont="1" applyFill="1" applyBorder="1" applyAlignment="1">
      <alignment horizontal="center"/>
    </xf>
    <xf numFmtId="0" fontId="47" fillId="14" borderId="10" xfId="15" applyFont="1" applyFill="1" applyBorder="1" applyAlignment="1"/>
    <xf numFmtId="0" fontId="47" fillId="10" borderId="3" xfId="0" applyFont="1" applyFill="1" applyBorder="1" applyAlignment="1">
      <alignment vertical="center"/>
    </xf>
    <xf numFmtId="0" fontId="47" fillId="10" borderId="4" xfId="0" applyFont="1" applyFill="1" applyBorder="1" applyAlignment="1">
      <alignment vertical="center"/>
    </xf>
    <xf numFmtId="0" fontId="82" fillId="11" borderId="3" xfId="0" applyFont="1" applyFill="1" applyBorder="1" applyAlignment="1"/>
    <xf numFmtId="0" fontId="82" fillId="11" borderId="4" xfId="0" applyFont="1" applyFill="1" applyBorder="1" applyAlignment="1"/>
    <xf numFmtId="0" fontId="82" fillId="11" borderId="10" xfId="0" applyFont="1" applyFill="1" applyBorder="1" applyAlignment="1"/>
    <xf numFmtId="0" fontId="47" fillId="14" borderId="17" xfId="15" applyFont="1" applyFill="1" applyBorder="1" applyAlignment="1">
      <alignment horizontal="center" vertical="center"/>
    </xf>
    <xf numFmtId="0" fontId="47" fillId="14" borderId="3" xfId="15" applyFont="1" applyFill="1" applyBorder="1" applyAlignment="1">
      <alignment horizontal="center" vertical="center" wrapText="1"/>
    </xf>
    <xf numFmtId="0" fontId="47" fillId="14" borderId="4" xfId="15" applyFont="1" applyFill="1" applyBorder="1" applyAlignment="1">
      <alignment horizontal="center" vertical="center" wrapText="1"/>
    </xf>
    <xf numFmtId="0" fontId="47" fillId="14" borderId="10" xfId="15" applyFont="1" applyFill="1" applyBorder="1" applyAlignment="1">
      <alignment horizontal="center" vertical="center" wrapText="1"/>
    </xf>
    <xf numFmtId="0" fontId="47" fillId="12" borderId="3" xfId="14" applyFont="1" applyFill="1" applyBorder="1" applyAlignment="1">
      <alignment horizontal="center" vertical="center" wrapText="1"/>
    </xf>
    <xf numFmtId="0" fontId="47" fillId="12" borderId="4" xfId="14" applyFont="1" applyFill="1" applyBorder="1" applyAlignment="1">
      <alignment horizontal="center" vertical="center"/>
    </xf>
    <xf numFmtId="0" fontId="47" fillId="12" borderId="4" xfId="14" applyFont="1" applyFill="1" applyBorder="1" applyAlignment="1">
      <alignment horizontal="center" vertical="center" wrapText="1"/>
    </xf>
    <xf numFmtId="0" fontId="47" fillId="12" borderId="10" xfId="14" applyFont="1" applyFill="1" applyBorder="1" applyAlignment="1">
      <alignment horizontal="center" vertical="center" wrapText="1"/>
    </xf>
    <xf numFmtId="14" fontId="76" fillId="5" borderId="18" xfId="15" applyNumberFormat="1" applyFont="1" applyFill="1" applyBorder="1" applyAlignment="1">
      <alignment horizontal="center"/>
    </xf>
    <xf numFmtId="44" fontId="75" fillId="5" borderId="1" xfId="10" applyNumberFormat="1" applyFont="1" applyFill="1" applyBorder="1" applyAlignment="1">
      <alignment horizontal="center"/>
    </xf>
    <xf numFmtId="4" fontId="75" fillId="5" borderId="0" xfId="6" applyNumberFormat="1" applyFont="1" applyFill="1" applyBorder="1" applyAlignment="1">
      <alignment horizontal="center" vertical="center"/>
    </xf>
    <xf numFmtId="172" fontId="75" fillId="5" borderId="0" xfId="10" applyNumberFormat="1" applyFont="1" applyFill="1" applyBorder="1" applyAlignment="1">
      <alignment horizontal="center"/>
    </xf>
    <xf numFmtId="44" fontId="75" fillId="5" borderId="2" xfId="10" applyFont="1" applyFill="1" applyBorder="1" applyAlignment="1">
      <alignment horizontal="center"/>
    </xf>
    <xf numFmtId="4" fontId="83" fillId="8" borderId="1" xfId="7" applyNumberFormat="1" applyFont="1" applyFill="1" applyBorder="1" applyAlignment="1">
      <alignment horizontal="center" vertical="center"/>
    </xf>
    <xf numFmtId="3" fontId="75" fillId="13" borderId="1" xfId="14" applyNumberFormat="1" applyFont="1" applyFill="1" applyBorder="1" applyAlignment="1">
      <alignment horizontal="center"/>
    </xf>
    <xf numFmtId="0" fontId="75" fillId="13" borderId="0" xfId="14" applyFont="1" applyFill="1" applyBorder="1"/>
    <xf numFmtId="3" fontId="75" fillId="5" borderId="0" xfId="14" applyNumberFormat="1" applyFont="1" applyFill="1" applyBorder="1" applyAlignment="1">
      <alignment horizontal="center"/>
    </xf>
    <xf numFmtId="3" fontId="75" fillId="5" borderId="2" xfId="14" applyNumberFormat="1" applyFont="1" applyFill="1" applyBorder="1" applyAlignment="1">
      <alignment horizontal="center"/>
    </xf>
    <xf numFmtId="4" fontId="75" fillId="5" borderId="0" xfId="10" applyNumberFormat="1" applyFont="1" applyFill="1" applyBorder="1" applyAlignment="1">
      <alignment horizontal="center" vertical="center"/>
    </xf>
    <xf numFmtId="181" fontId="75" fillId="5" borderId="0" xfId="10" applyNumberFormat="1" applyFont="1" applyFill="1" applyBorder="1" applyAlignment="1">
      <alignment horizontal="center" vertical="center"/>
    </xf>
    <xf numFmtId="14" fontId="76" fillId="5" borderId="19" xfId="15" applyNumberFormat="1" applyFont="1" applyFill="1" applyBorder="1" applyAlignment="1">
      <alignment horizontal="center"/>
    </xf>
    <xf numFmtId="44" fontId="75" fillId="5" borderId="11" xfId="10" applyNumberFormat="1" applyFont="1" applyFill="1" applyBorder="1" applyAlignment="1">
      <alignment horizontal="center"/>
    </xf>
    <xf numFmtId="4" fontId="75" fillId="5" borderId="12" xfId="10" applyNumberFormat="1" applyFont="1" applyFill="1" applyBorder="1" applyAlignment="1">
      <alignment horizontal="center" vertical="center"/>
    </xf>
    <xf numFmtId="181" fontId="75" fillId="5" borderId="12" xfId="10" applyNumberFormat="1" applyFont="1" applyFill="1" applyBorder="1" applyAlignment="1">
      <alignment horizontal="center" vertical="center"/>
    </xf>
    <xf numFmtId="172" fontId="75" fillId="5" borderId="12" xfId="10" applyNumberFormat="1" applyFont="1" applyFill="1" applyBorder="1" applyAlignment="1">
      <alignment horizontal="center"/>
    </xf>
    <xf numFmtId="44" fontId="75" fillId="5" borderId="15" xfId="10" applyFont="1" applyFill="1" applyBorder="1" applyAlignment="1">
      <alignment horizontal="center"/>
    </xf>
    <xf numFmtId="3" fontId="75" fillId="13" borderId="11" xfId="14" applyNumberFormat="1" applyFont="1" applyFill="1" applyBorder="1" applyAlignment="1">
      <alignment horizontal="center"/>
    </xf>
    <xf numFmtId="0" fontId="75" fillId="13" borderId="12" xfId="14" applyFont="1" applyFill="1" applyBorder="1"/>
    <xf numFmtId="3" fontId="75" fillId="5" borderId="12" xfId="14" applyNumberFormat="1" applyFont="1" applyFill="1" applyBorder="1" applyAlignment="1">
      <alignment horizontal="center"/>
    </xf>
    <xf numFmtId="3" fontId="75" fillId="5" borderId="15" xfId="14" applyNumberFormat="1" applyFont="1" applyFill="1" applyBorder="1" applyAlignment="1">
      <alignment horizontal="center"/>
    </xf>
    <xf numFmtId="0" fontId="75" fillId="5" borderId="0" xfId="15" applyFont="1" applyFill="1" applyBorder="1"/>
    <xf numFmtId="173" fontId="47" fillId="5" borderId="0" xfId="15" applyNumberFormat="1" applyFont="1" applyFill="1" applyBorder="1"/>
    <xf numFmtId="4" fontId="47" fillId="5" borderId="0" xfId="15" applyNumberFormat="1" applyFont="1" applyFill="1" applyBorder="1" applyAlignment="1">
      <alignment horizontal="center"/>
    </xf>
    <xf numFmtId="172" fontId="47" fillId="5" borderId="0" xfId="15" applyNumberFormat="1" applyFont="1" applyFill="1" applyBorder="1" applyAlignment="1">
      <alignment horizontal="center"/>
    </xf>
    <xf numFmtId="3" fontId="47" fillId="0" borderId="0" xfId="14" applyNumberFormat="1" applyFont="1"/>
    <xf numFmtId="3" fontId="75" fillId="0" borderId="0" xfId="14" applyNumberFormat="1" applyFont="1"/>
    <xf numFmtId="0" fontId="75" fillId="5" borderId="0" xfId="14" applyFont="1" applyFill="1" applyAlignment="1">
      <alignment horizontal="center"/>
    </xf>
    <xf numFmtId="3" fontId="75" fillId="5" borderId="0" xfId="0" applyNumberFormat="1" applyFont="1" applyFill="1" applyAlignment="1">
      <alignment horizontal="center"/>
    </xf>
    <xf numFmtId="4" fontId="75" fillId="5" borderId="11" xfId="13" applyNumberFormat="1" applyFont="1" applyFill="1" applyBorder="1" applyAlignment="1">
      <alignment horizontal="center" vertical="center"/>
    </xf>
    <xf numFmtId="0" fontId="76" fillId="5" borderId="3" xfId="14" applyFont="1" applyFill="1" applyBorder="1" applyAlignment="1">
      <alignment horizontal="center"/>
    </xf>
    <xf numFmtId="0" fontId="76" fillId="5" borderId="4" xfId="14" applyFont="1" applyFill="1" applyBorder="1" applyAlignment="1">
      <alignment horizontal="center"/>
    </xf>
    <xf numFmtId="0" fontId="76" fillId="5" borderId="10" xfId="14" applyFont="1" applyFill="1" applyBorder="1" applyAlignment="1">
      <alignment horizontal="center"/>
    </xf>
    <xf numFmtId="172" fontId="76" fillId="9" borderId="1" xfId="14" applyNumberFormat="1" applyFont="1" applyFill="1" applyBorder="1" applyAlignment="1">
      <alignment horizontal="right"/>
    </xf>
    <xf numFmtId="172" fontId="76" fillId="5" borderId="0" xfId="14" applyNumberFormat="1" applyFont="1" applyFill="1" applyBorder="1" applyAlignment="1">
      <alignment horizontal="right"/>
    </xf>
    <xf numFmtId="172" fontId="76" fillId="5" borderId="2" xfId="14" applyNumberFormat="1" applyFont="1" applyFill="1" applyBorder="1" applyAlignment="1">
      <alignment horizontal="right"/>
    </xf>
    <xf numFmtId="172" fontId="76" fillId="9" borderId="11" xfId="14" applyNumberFormat="1" applyFont="1" applyFill="1" applyBorder="1" applyAlignment="1">
      <alignment horizontal="right"/>
    </xf>
    <xf numFmtId="172" fontId="76" fillId="5" borderId="12" xfId="14" applyNumberFormat="1" applyFont="1" applyFill="1" applyBorder="1" applyAlignment="1">
      <alignment horizontal="right"/>
    </xf>
    <xf numFmtId="172" fontId="76" fillId="5" borderId="15" xfId="14" applyNumberFormat="1" applyFont="1" applyFill="1" applyBorder="1" applyAlignment="1">
      <alignment horizontal="right"/>
    </xf>
    <xf numFmtId="0" fontId="52" fillId="20" borderId="287" xfId="0" applyFont="1" applyFill="1" applyBorder="1" applyAlignment="1">
      <alignment horizontal="center" wrapText="1"/>
    </xf>
    <xf numFmtId="44" fontId="52" fillId="20" borderId="287" xfId="8" applyFont="1" applyFill="1" applyBorder="1" applyAlignment="1">
      <alignment horizontal="center" wrapText="1"/>
    </xf>
    <xf numFmtId="0" fontId="40" fillId="5" borderId="287" xfId="0" applyFont="1" applyFill="1" applyBorder="1" applyAlignment="1">
      <alignment wrapText="1"/>
    </xf>
    <xf numFmtId="0" fontId="40" fillId="0" borderId="287" xfId="14" applyFont="1" applyBorder="1" applyAlignment="1">
      <alignment horizontal="center"/>
    </xf>
    <xf numFmtId="0" fontId="40" fillId="0" borderId="287" xfId="14" applyFont="1" applyBorder="1"/>
    <xf numFmtId="173" fontId="40" fillId="5" borderId="287" xfId="8" applyNumberFormat="1" applyFont="1" applyFill="1" applyBorder="1" applyAlignment="1">
      <alignment horizontal="center" vertical="center" wrapText="1"/>
    </xf>
    <xf numFmtId="172" fontId="40" fillId="5" borderId="287" xfId="0" applyNumberFormat="1" applyFont="1" applyFill="1" applyBorder="1" applyAlignment="1">
      <alignment horizontal="right" vertical="center"/>
    </xf>
    <xf numFmtId="178" fontId="40" fillId="9" borderId="287" xfId="8" applyNumberFormat="1" applyFont="1" applyFill="1" applyBorder="1"/>
    <xf numFmtId="0" fontId="52" fillId="20" borderId="287" xfId="0" applyFont="1" applyFill="1" applyBorder="1" applyAlignment="1">
      <alignment horizontal="center" vertical="center" wrapText="1"/>
    </xf>
    <xf numFmtId="4" fontId="40" fillId="9" borderId="287" xfId="0" applyNumberFormat="1" applyFont="1" applyFill="1" applyBorder="1" applyAlignment="1">
      <alignment horizontal="center" vertical="center" wrapText="1"/>
    </xf>
    <xf numFmtId="0" fontId="40" fillId="0" borderId="288" xfId="0" applyFont="1" applyFill="1" applyBorder="1" applyAlignment="1">
      <alignment horizontal="center" vertical="center" wrapText="1"/>
    </xf>
    <xf numFmtId="0" fontId="40" fillId="5" borderId="288" xfId="0" applyFont="1" applyFill="1" applyBorder="1" applyAlignment="1">
      <alignment horizontal="center" vertical="center" wrapText="1"/>
    </xf>
    <xf numFmtId="3" fontId="40" fillId="5" borderId="288" xfId="0" applyNumberFormat="1" applyFont="1" applyFill="1" applyBorder="1" applyAlignment="1">
      <alignment horizontal="center" vertical="center" wrapText="1"/>
    </xf>
    <xf numFmtId="9" fontId="44" fillId="5" borderId="288" xfId="0" applyNumberFormat="1" applyFont="1" applyFill="1" applyBorder="1" applyAlignment="1">
      <alignment horizontal="center" vertical="center" wrapText="1"/>
    </xf>
    <xf numFmtId="0" fontId="55" fillId="4" borderId="0" xfId="4" applyFont="1" applyBorder="1" applyAlignment="1"/>
    <xf numFmtId="0" fontId="85" fillId="11" borderId="13" xfId="0" applyFont="1" applyFill="1" applyBorder="1" applyAlignment="1"/>
    <xf numFmtId="0" fontId="85" fillId="11" borderId="14" xfId="0" applyFont="1" applyFill="1" applyBorder="1" applyAlignment="1"/>
    <xf numFmtId="0" fontId="85" fillId="11" borderId="16" xfId="0" applyFont="1" applyFill="1" applyBorder="1" applyAlignment="1"/>
    <xf numFmtId="3" fontId="40" fillId="9" borderId="15" xfId="0" applyNumberFormat="1" applyFont="1" applyFill="1" applyBorder="1" applyAlignment="1">
      <alignment horizontal="center"/>
    </xf>
    <xf numFmtId="4" fontId="40" fillId="5" borderId="11" xfId="13" applyNumberFormat="1" applyFont="1" applyFill="1" applyBorder="1" applyAlignment="1">
      <alignment horizontal="center" vertical="center"/>
    </xf>
    <xf numFmtId="0" fontId="40" fillId="9" borderId="303" xfId="0" applyFont="1" applyFill="1" applyBorder="1" applyAlignment="1">
      <alignment horizontal="center" vertical="center" wrapText="1"/>
    </xf>
    <xf numFmtId="3" fontId="40" fillId="5" borderId="0" xfId="0" applyNumberFormat="1" applyFont="1" applyFill="1" applyBorder="1" applyAlignment="1">
      <alignment horizontal="center" vertical="center" wrapText="1"/>
    </xf>
    <xf numFmtId="44" fontId="40" fillId="5" borderId="0" xfId="0" applyNumberFormat="1" applyFont="1" applyFill="1" applyBorder="1" applyAlignment="1">
      <alignment horizontal="center" vertical="center" wrapText="1"/>
    </xf>
    <xf numFmtId="188" fontId="61" fillId="5" borderId="314" xfId="9" applyNumberFormat="1" applyFont="1" applyFill="1" applyBorder="1" applyAlignment="1">
      <alignment horizontal="center"/>
    </xf>
    <xf numFmtId="44" fontId="61" fillId="5" borderId="314" xfId="8" applyFont="1" applyFill="1" applyBorder="1" applyAlignment="1">
      <alignment horizontal="center"/>
    </xf>
    <xf numFmtId="44" fontId="61" fillId="0" borderId="314" xfId="8" applyFont="1" applyFill="1" applyBorder="1" applyAlignment="1">
      <alignment horizontal="center"/>
    </xf>
    <xf numFmtId="0" fontId="86" fillId="5" borderId="287" xfId="0" applyFont="1" applyFill="1" applyBorder="1" applyAlignment="1">
      <alignment vertical="center" wrapText="1"/>
    </xf>
    <xf numFmtId="0" fontId="86" fillId="5" borderId="291" xfId="0" applyFont="1" applyFill="1" applyBorder="1" applyAlignment="1">
      <alignment vertical="center" wrapText="1"/>
    </xf>
    <xf numFmtId="9" fontId="72" fillId="0" borderId="300" xfId="0" applyNumberFormat="1" applyFont="1" applyBorder="1" applyAlignment="1">
      <alignment horizontal="center" vertical="center" wrapText="1"/>
    </xf>
    <xf numFmtId="44" fontId="40" fillId="5" borderId="287" xfId="8" applyNumberFormat="1" applyFont="1" applyFill="1" applyBorder="1" applyAlignment="1">
      <alignment horizontal="center" vertical="center" wrapText="1"/>
    </xf>
    <xf numFmtId="44" fontId="40" fillId="5" borderId="287" xfId="0" applyNumberFormat="1" applyFont="1" applyFill="1" applyBorder="1" applyAlignment="1">
      <alignment horizontal="center" vertical="center" wrapText="1"/>
    </xf>
    <xf numFmtId="44" fontId="40" fillId="5" borderId="291" xfId="8" applyNumberFormat="1" applyFont="1" applyFill="1" applyBorder="1" applyAlignment="1">
      <alignment horizontal="center" vertical="center" wrapText="1"/>
    </xf>
    <xf numFmtId="44" fontId="40" fillId="5" borderId="291" xfId="0" applyNumberFormat="1" applyFont="1" applyFill="1" applyBorder="1" applyAlignment="1">
      <alignment horizontal="center" vertical="center" wrapText="1"/>
    </xf>
    <xf numFmtId="0" fontId="44" fillId="10" borderId="13" xfId="0" applyFont="1" applyFill="1" applyBorder="1" applyAlignment="1">
      <alignment horizontal="center" vertical="center"/>
    </xf>
    <xf numFmtId="0" fontId="44" fillId="10" borderId="14" xfId="0" applyFont="1" applyFill="1" applyBorder="1" applyAlignment="1">
      <alignment horizontal="center" vertical="center"/>
    </xf>
    <xf numFmtId="0" fontId="44" fillId="10" borderId="16" xfId="0" applyFont="1" applyFill="1" applyBorder="1" applyAlignment="1">
      <alignment horizontal="center" vertical="center"/>
    </xf>
    <xf numFmtId="0" fontId="25" fillId="9" borderId="0" xfId="0" applyNumberFormat="1" applyFont="1" applyFill="1" applyBorder="1" applyAlignment="1">
      <alignment horizontal="center" vertical="center" wrapText="1"/>
    </xf>
    <xf numFmtId="192" fontId="40" fillId="5" borderId="0" xfId="8" applyNumberFormat="1" applyFont="1" applyFill="1" applyBorder="1"/>
    <xf numFmtId="193" fontId="40" fillId="5" borderId="0" xfId="0" applyNumberFormat="1" applyFont="1" applyFill="1" applyBorder="1"/>
    <xf numFmtId="191" fontId="40" fillId="5" borderId="0" xfId="0" applyNumberFormat="1" applyFont="1" applyFill="1" applyBorder="1"/>
    <xf numFmtId="4" fontId="4" fillId="8" borderId="0" xfId="7" applyNumberFormat="1" applyFont="1" applyFill="1" applyBorder="1" applyAlignment="1">
      <alignment horizontal="center" vertical="center"/>
    </xf>
    <xf numFmtId="4" fontId="4" fillId="9" borderId="0" xfId="7" applyNumberFormat="1" applyFont="1" applyFill="1" applyBorder="1" applyAlignment="1">
      <alignment horizontal="center" vertical="center"/>
    </xf>
    <xf numFmtId="4" fontId="4" fillId="8" borderId="3" xfId="7" applyNumberFormat="1" applyFont="1" applyFill="1" applyBorder="1" applyAlignment="1">
      <alignment horizontal="center" vertical="center"/>
    </xf>
    <xf numFmtId="4" fontId="25" fillId="8" borderId="4" xfId="7" applyNumberFormat="1" applyFont="1" applyFill="1" applyBorder="1" applyAlignment="1">
      <alignment horizontal="center" vertical="center"/>
    </xf>
    <xf numFmtId="3" fontId="25" fillId="9" borderId="3" xfId="0" applyNumberFormat="1" applyFont="1" applyFill="1" applyBorder="1" applyAlignment="1">
      <alignment horizontal="center"/>
    </xf>
    <xf numFmtId="3" fontId="25" fillId="9" borderId="2" xfId="0" applyNumberFormat="1" applyFont="1" applyFill="1" applyBorder="1" applyAlignment="1">
      <alignment horizontal="center"/>
    </xf>
    <xf numFmtId="3" fontId="25" fillId="9" borderId="15" xfId="0" applyNumberFormat="1" applyFont="1" applyFill="1" applyBorder="1" applyAlignment="1">
      <alignment horizontal="center"/>
    </xf>
    <xf numFmtId="4" fontId="25" fillId="5" borderId="4" xfId="6" applyNumberFormat="1" applyFont="1" applyFill="1" applyBorder="1" applyAlignment="1">
      <alignment horizontal="center" vertical="center"/>
    </xf>
    <xf numFmtId="4" fontId="25" fillId="5" borderId="10" xfId="6" applyNumberFormat="1" applyFont="1" applyFill="1" applyBorder="1" applyAlignment="1">
      <alignment horizontal="center" vertical="center"/>
    </xf>
    <xf numFmtId="3" fontId="25" fillId="13" borderId="3" xfId="14" applyNumberFormat="1" applyFont="1" applyFill="1" applyBorder="1" applyAlignment="1">
      <alignment horizontal="center"/>
    </xf>
    <xf numFmtId="0" fontId="25" fillId="13" borderId="4" xfId="14" applyFont="1" applyFill="1" applyBorder="1"/>
    <xf numFmtId="3" fontId="25" fillId="5" borderId="4" xfId="14" applyNumberFormat="1" applyFont="1" applyFill="1" applyBorder="1" applyAlignment="1">
      <alignment horizontal="center"/>
    </xf>
    <xf numFmtId="3" fontId="25" fillId="5" borderId="10" xfId="14" applyNumberFormat="1" applyFont="1" applyFill="1" applyBorder="1" applyAlignment="1">
      <alignment horizontal="center"/>
    </xf>
    <xf numFmtId="4" fontId="25" fillId="9" borderId="10" xfId="6" applyNumberFormat="1" applyFont="1" applyFill="1" applyBorder="1" applyAlignment="1">
      <alignment horizontal="center" vertical="center"/>
    </xf>
    <xf numFmtId="4" fontId="25" fillId="9" borderId="2" xfId="6" applyNumberFormat="1" applyFont="1" applyFill="1" applyBorder="1" applyAlignment="1">
      <alignment horizontal="center" vertical="center"/>
    </xf>
    <xf numFmtId="4" fontId="25" fillId="9" borderId="15" xfId="6" applyNumberFormat="1" applyFont="1" applyFill="1" applyBorder="1" applyAlignment="1">
      <alignment horizontal="center" vertical="center"/>
    </xf>
    <xf numFmtId="4" fontId="25" fillId="9" borderId="0" xfId="6" applyNumberFormat="1" applyFont="1" applyFill="1" applyBorder="1" applyAlignment="1">
      <alignment horizontal="center" vertical="center"/>
    </xf>
    <xf numFmtId="0" fontId="30" fillId="11" borderId="14" xfId="20" applyNumberFormat="1" applyFont="1" applyFill="1" applyBorder="1" applyAlignment="1">
      <alignment horizontal="center" vertical="center" wrapText="1"/>
    </xf>
    <xf numFmtId="43" fontId="30" fillId="11" borderId="14" xfId="7" applyFont="1" applyFill="1" applyBorder="1" applyAlignment="1">
      <alignment horizontal="center" vertical="center" wrapText="1"/>
    </xf>
    <xf numFmtId="43" fontId="30" fillId="11" borderId="16" xfId="7" applyFont="1" applyFill="1" applyBorder="1" applyAlignment="1">
      <alignment horizontal="center" vertical="center" wrapText="1"/>
    </xf>
    <xf numFmtId="0" fontId="30" fillId="10" borderId="13" xfId="0" applyFont="1" applyFill="1" applyBorder="1" applyAlignment="1">
      <alignment horizontal="center" vertical="center"/>
    </xf>
    <xf numFmtId="0" fontId="30" fillId="10" borderId="14" xfId="0" applyFont="1" applyFill="1" applyBorder="1" applyAlignment="1">
      <alignment horizontal="center" vertical="center"/>
    </xf>
    <xf numFmtId="0" fontId="30" fillId="10" borderId="16" xfId="0" applyFont="1" applyFill="1" applyBorder="1" applyAlignment="1">
      <alignment horizontal="center" vertical="center"/>
    </xf>
    <xf numFmtId="0" fontId="30" fillId="12" borderId="13" xfId="14" applyFont="1" applyFill="1" applyBorder="1" applyAlignment="1">
      <alignment horizontal="center" vertical="center" wrapText="1"/>
    </xf>
    <xf numFmtId="0" fontId="30" fillId="12" borderId="14" xfId="14" applyFont="1" applyFill="1" applyBorder="1" applyAlignment="1">
      <alignment horizontal="center" vertical="center"/>
    </xf>
    <xf numFmtId="0" fontId="30" fillId="12" borderId="14" xfId="14" applyFont="1" applyFill="1" applyBorder="1" applyAlignment="1">
      <alignment horizontal="center" vertical="center" wrapText="1"/>
    </xf>
    <xf numFmtId="0" fontId="30" fillId="12" borderId="16" xfId="14" applyFont="1" applyFill="1" applyBorder="1" applyAlignment="1">
      <alignment horizontal="center" vertical="center" wrapText="1"/>
    </xf>
    <xf numFmtId="4" fontId="25" fillId="9" borderId="4" xfId="6" applyNumberFormat="1" applyFont="1" applyFill="1" applyBorder="1" applyAlignment="1">
      <alignment horizontal="center" vertical="center"/>
    </xf>
    <xf numFmtId="4" fontId="25" fillId="9" borderId="12" xfId="6" applyNumberFormat="1" applyFont="1" applyFill="1" applyBorder="1" applyAlignment="1">
      <alignment horizontal="center" vertical="center"/>
    </xf>
    <xf numFmtId="43" fontId="44" fillId="11" borderId="14" xfId="7" applyFont="1" applyFill="1" applyBorder="1" applyAlignment="1">
      <alignment horizontal="center" vertical="center" wrapText="1"/>
    </xf>
    <xf numFmtId="43" fontId="44" fillId="11" borderId="16" xfId="7" applyFont="1" applyFill="1" applyBorder="1" applyAlignment="1">
      <alignment horizontal="center" vertical="center" wrapText="1"/>
    </xf>
    <xf numFmtId="0" fontId="44" fillId="11" borderId="13" xfId="0" applyFont="1" applyFill="1" applyBorder="1" applyAlignment="1"/>
    <xf numFmtId="0" fontId="44" fillId="11" borderId="16" xfId="0" applyFont="1" applyFill="1" applyBorder="1" applyAlignment="1"/>
    <xf numFmtId="4" fontId="83" fillId="8" borderId="3" xfId="7" applyNumberFormat="1" applyFont="1" applyFill="1" applyBorder="1" applyAlignment="1">
      <alignment horizontal="center" vertical="center"/>
    </xf>
    <xf numFmtId="44" fontId="25" fillId="5" borderId="3" xfId="10" applyNumberFormat="1" applyFont="1" applyFill="1" applyBorder="1" applyAlignment="1">
      <alignment horizontal="center"/>
    </xf>
    <xf numFmtId="44" fontId="25" fillId="5" borderId="4" xfId="10" applyNumberFormat="1" applyFont="1" applyFill="1" applyBorder="1" applyAlignment="1">
      <alignment horizontal="center"/>
    </xf>
    <xf numFmtId="181" fontId="25" fillId="5" borderId="4" xfId="6" applyNumberFormat="1" applyFont="1" applyFill="1" applyBorder="1" applyAlignment="1">
      <alignment horizontal="center" vertical="center"/>
    </xf>
    <xf numFmtId="172" fontId="25" fillId="5" borderId="4" xfId="10" applyNumberFormat="1" applyFont="1" applyFill="1" applyBorder="1" applyAlignment="1">
      <alignment horizontal="center"/>
    </xf>
    <xf numFmtId="44" fontId="25" fillId="5" borderId="10" xfId="10" applyFont="1" applyFill="1" applyBorder="1" applyAlignment="1">
      <alignment horizontal="center"/>
    </xf>
    <xf numFmtId="4" fontId="25" fillId="9" borderId="3" xfId="0" applyNumberFormat="1" applyFont="1" applyFill="1" applyBorder="1" applyAlignment="1">
      <alignment horizontal="center"/>
    </xf>
    <xf numFmtId="4" fontId="25" fillId="9" borderId="4" xfId="0" applyNumberFormat="1" applyFont="1" applyFill="1" applyBorder="1" applyAlignment="1">
      <alignment horizontal="center"/>
    </xf>
    <xf numFmtId="4" fontId="25" fillId="9" borderId="10" xfId="0" applyNumberFormat="1" applyFont="1" applyFill="1" applyBorder="1" applyAlignment="1">
      <alignment horizontal="center"/>
    </xf>
    <xf numFmtId="4" fontId="25" fillId="21" borderId="0" xfId="6" applyNumberFormat="1" applyFont="1" applyFill="1" applyBorder="1" applyAlignment="1">
      <alignment horizontal="center" vertical="center"/>
    </xf>
    <xf numFmtId="4" fontId="25" fillId="9" borderId="3" xfId="6" applyNumberFormat="1" applyFont="1" applyFill="1" applyBorder="1" applyAlignment="1">
      <alignment horizontal="center" vertical="center"/>
    </xf>
    <xf numFmtId="4" fontId="25" fillId="21" borderId="10" xfId="6" applyNumberFormat="1" applyFont="1" applyFill="1" applyBorder="1" applyAlignment="1">
      <alignment horizontal="center" vertical="center"/>
    </xf>
    <xf numFmtId="4" fontId="25" fillId="9" borderId="1" xfId="6" applyNumberFormat="1" applyFont="1" applyFill="1" applyBorder="1" applyAlignment="1">
      <alignment horizontal="center" vertical="center"/>
    </xf>
    <xf numFmtId="3" fontId="25" fillId="13" borderId="313" xfId="14" applyNumberFormat="1" applyFont="1" applyFill="1" applyBorder="1" applyAlignment="1">
      <alignment horizontal="center"/>
    </xf>
    <xf numFmtId="3" fontId="25" fillId="5" borderId="314" xfId="14" applyNumberFormat="1" applyFont="1" applyFill="1" applyBorder="1" applyAlignment="1">
      <alignment horizontal="center"/>
    </xf>
    <xf numFmtId="44" fontId="25" fillId="5" borderId="0" xfId="10" applyNumberFormat="1" applyFont="1" applyFill="1" applyBorder="1" applyAlignment="1">
      <alignment horizontal="center"/>
    </xf>
    <xf numFmtId="4" fontId="25" fillId="9" borderId="1" xfId="0" applyNumberFormat="1" applyFont="1" applyFill="1" applyBorder="1" applyAlignment="1">
      <alignment horizontal="center"/>
    </xf>
    <xf numFmtId="4" fontId="25" fillId="9" borderId="0" xfId="0" applyNumberFormat="1" applyFont="1" applyFill="1" applyBorder="1" applyAlignment="1">
      <alignment horizontal="center"/>
    </xf>
    <xf numFmtId="4" fontId="25" fillId="9" borderId="2" xfId="0" applyNumberFormat="1" applyFont="1" applyFill="1" applyBorder="1" applyAlignment="1">
      <alignment horizontal="center"/>
    </xf>
    <xf numFmtId="4" fontId="25" fillId="21" borderId="0" xfId="10" applyNumberFormat="1" applyFont="1" applyFill="1" applyBorder="1" applyAlignment="1">
      <alignment horizontal="center" vertical="center"/>
    </xf>
    <xf numFmtId="4" fontId="25" fillId="9" borderId="1" xfId="10" applyNumberFormat="1" applyFont="1" applyFill="1" applyBorder="1" applyAlignment="1">
      <alignment horizontal="center" vertical="center"/>
    </xf>
    <xf numFmtId="4" fontId="25" fillId="9" borderId="0" xfId="10" applyNumberFormat="1" applyFont="1" applyFill="1" applyBorder="1" applyAlignment="1">
      <alignment horizontal="center" vertical="center"/>
    </xf>
    <xf numFmtId="4" fontId="25" fillId="21" borderId="2" xfId="6" applyNumberFormat="1" applyFont="1" applyFill="1" applyBorder="1" applyAlignment="1">
      <alignment horizontal="center" vertical="center"/>
    </xf>
    <xf numFmtId="44" fontId="25" fillId="5" borderId="12" xfId="10" applyNumberFormat="1" applyFont="1" applyFill="1" applyBorder="1" applyAlignment="1">
      <alignment horizontal="center"/>
    </xf>
    <xf numFmtId="4" fontId="25" fillId="9" borderId="11" xfId="0" applyNumberFormat="1" applyFont="1" applyFill="1" applyBorder="1" applyAlignment="1">
      <alignment horizontal="center"/>
    </xf>
    <xf numFmtId="4" fontId="25" fillId="9" borderId="12" xfId="0" applyNumberFormat="1" applyFont="1" applyFill="1" applyBorder="1" applyAlignment="1">
      <alignment horizontal="center"/>
    </xf>
    <xf numFmtId="4" fontId="25" fillId="9" borderId="15" xfId="0" applyNumberFormat="1" applyFont="1" applyFill="1" applyBorder="1" applyAlignment="1">
      <alignment horizontal="center"/>
    </xf>
    <xf numFmtId="4" fontId="25" fillId="21" borderId="12" xfId="10" applyNumberFormat="1" applyFont="1" applyFill="1" applyBorder="1" applyAlignment="1">
      <alignment horizontal="center" vertical="center"/>
    </xf>
    <xf numFmtId="4" fontId="25" fillId="9" borderId="11" xfId="10" applyNumberFormat="1" applyFont="1" applyFill="1" applyBorder="1" applyAlignment="1">
      <alignment horizontal="center" vertical="center"/>
    </xf>
    <xf numFmtId="4" fontId="25" fillId="9" borderId="12" xfId="10" applyNumberFormat="1" applyFont="1" applyFill="1" applyBorder="1" applyAlignment="1">
      <alignment horizontal="center" vertical="center"/>
    </xf>
    <xf numFmtId="4" fontId="25" fillId="21" borderId="15" xfId="6" applyNumberFormat="1" applyFont="1" applyFill="1" applyBorder="1" applyAlignment="1">
      <alignment horizontal="center" vertical="center"/>
    </xf>
    <xf numFmtId="3" fontId="25" fillId="13" borderId="315" xfId="14" applyNumberFormat="1" applyFont="1" applyFill="1" applyBorder="1" applyAlignment="1">
      <alignment horizontal="center"/>
    </xf>
    <xf numFmtId="3" fontId="25" fillId="5" borderId="316" xfId="14" applyNumberFormat="1" applyFont="1" applyFill="1" applyBorder="1" applyAlignment="1">
      <alignment horizontal="center"/>
    </xf>
    <xf numFmtId="3" fontId="25" fillId="5" borderId="317" xfId="14" applyNumberFormat="1" applyFont="1" applyFill="1" applyBorder="1" applyAlignment="1">
      <alignment horizontal="center"/>
    </xf>
    <xf numFmtId="44" fontId="30" fillId="5" borderId="0" xfId="15" applyNumberFormat="1" applyFont="1" applyFill="1" applyBorder="1"/>
    <xf numFmtId="4" fontId="30" fillId="0" borderId="0" xfId="14" applyNumberFormat="1" applyFont="1" applyAlignment="1">
      <alignment horizontal="center"/>
    </xf>
    <xf numFmtId="172" fontId="25" fillId="5" borderId="3" xfId="10" applyNumberFormat="1" applyFont="1" applyFill="1" applyBorder="1" applyAlignment="1">
      <alignment horizontal="center"/>
    </xf>
    <xf numFmtId="172" fontId="25" fillId="5" borderId="4" xfId="6" applyNumberFormat="1" applyFont="1" applyFill="1" applyBorder="1" applyAlignment="1">
      <alignment horizontal="center" vertical="center"/>
    </xf>
    <xf numFmtId="172" fontId="25" fillId="5" borderId="10" xfId="10" applyNumberFormat="1" applyFont="1" applyFill="1" applyBorder="1" applyAlignment="1">
      <alignment horizontal="center"/>
    </xf>
    <xf numFmtId="172" fontId="25" fillId="5" borderId="1" xfId="10" applyNumberFormat="1" applyFont="1" applyFill="1" applyBorder="1" applyAlignment="1">
      <alignment horizontal="center"/>
    </xf>
    <xf numFmtId="172" fontId="25" fillId="5" borderId="0" xfId="10" applyNumberFormat="1" applyFont="1" applyFill="1" applyBorder="1" applyAlignment="1">
      <alignment horizontal="center" vertical="center"/>
    </xf>
    <xf numFmtId="172" fontId="25" fillId="5" borderId="2" xfId="10" applyNumberFormat="1" applyFont="1" applyFill="1" applyBorder="1" applyAlignment="1">
      <alignment horizontal="center"/>
    </xf>
    <xf numFmtId="4" fontId="25" fillId="21" borderId="2" xfId="10" applyNumberFormat="1" applyFont="1" applyFill="1" applyBorder="1" applyAlignment="1">
      <alignment horizontal="center" vertical="center"/>
    </xf>
    <xf numFmtId="172" fontId="25" fillId="5" borderId="11" xfId="10" applyNumberFormat="1" applyFont="1" applyFill="1" applyBorder="1" applyAlignment="1">
      <alignment horizontal="center"/>
    </xf>
    <xf numFmtId="4" fontId="25" fillId="5" borderId="12" xfId="6" applyNumberFormat="1" applyFont="1" applyFill="1" applyBorder="1" applyAlignment="1">
      <alignment horizontal="center" vertical="center"/>
    </xf>
    <xf numFmtId="172" fontId="25" fillId="5" borderId="12" xfId="10" applyNumberFormat="1" applyFont="1" applyFill="1" applyBorder="1" applyAlignment="1">
      <alignment horizontal="center" vertical="center"/>
    </xf>
    <xf numFmtId="172" fontId="25" fillId="5" borderId="15" xfId="10" applyNumberFormat="1" applyFont="1" applyFill="1" applyBorder="1" applyAlignment="1">
      <alignment horizontal="center"/>
    </xf>
    <xf numFmtId="4" fontId="4" fillId="8" borderId="11" xfId="7" applyNumberFormat="1" applyFont="1" applyFill="1" applyBorder="1" applyAlignment="1">
      <alignment horizontal="center" vertical="center"/>
    </xf>
    <xf numFmtId="4" fontId="25" fillId="21" borderId="15" xfId="10" applyNumberFormat="1" applyFont="1" applyFill="1" applyBorder="1" applyAlignment="1">
      <alignment horizontal="center" vertical="center"/>
    </xf>
    <xf numFmtId="14" fontId="3" fillId="5" borderId="17" xfId="15" applyNumberFormat="1" applyFont="1" applyFill="1" applyBorder="1" applyAlignment="1">
      <alignment horizontal="center"/>
    </xf>
    <xf numFmtId="4" fontId="4" fillId="9" borderId="2" xfId="7" applyNumberFormat="1" applyFont="1" applyFill="1" applyBorder="1" applyAlignment="1">
      <alignment horizontal="center" vertical="center"/>
    </xf>
    <xf numFmtId="4" fontId="4" fillId="8" borderId="10" xfId="7" applyNumberFormat="1" applyFont="1" applyFill="1" applyBorder="1" applyAlignment="1">
      <alignment horizontal="center" vertical="center"/>
    </xf>
    <xf numFmtId="4" fontId="4" fillId="9" borderId="15" xfId="7" applyNumberFormat="1" applyFont="1" applyFill="1" applyBorder="1" applyAlignment="1">
      <alignment horizontal="center" vertical="center"/>
    </xf>
    <xf numFmtId="172" fontId="25" fillId="5" borderId="0" xfId="6" applyNumberFormat="1" applyFont="1" applyFill="1" applyBorder="1" applyAlignment="1">
      <alignment horizontal="center" vertical="center"/>
    </xf>
    <xf numFmtId="4" fontId="4" fillId="9" borderId="12" xfId="7" applyNumberFormat="1" applyFont="1" applyFill="1" applyBorder="1" applyAlignment="1">
      <alignment horizontal="center" vertical="center"/>
    </xf>
    <xf numFmtId="0" fontId="47" fillId="11" borderId="13" xfId="20" applyNumberFormat="1" applyFont="1" applyFill="1" applyBorder="1" applyAlignment="1">
      <alignment horizontal="center" vertical="center" wrapText="1"/>
    </xf>
    <xf numFmtId="0" fontId="47" fillId="11" borderId="14" xfId="20" applyNumberFormat="1" applyFont="1" applyFill="1" applyBorder="1" applyAlignment="1">
      <alignment horizontal="center" vertical="center" wrapText="1"/>
    </xf>
    <xf numFmtId="43" fontId="47" fillId="11" borderId="14" xfId="7" applyFont="1" applyFill="1" applyBorder="1" applyAlignment="1">
      <alignment horizontal="center" vertical="center" wrapText="1"/>
    </xf>
    <xf numFmtId="43" fontId="47" fillId="11" borderId="16" xfId="7" applyFont="1" applyFill="1" applyBorder="1" applyAlignment="1">
      <alignment horizontal="center" vertical="center" wrapText="1"/>
    </xf>
    <xf numFmtId="0" fontId="47" fillId="10" borderId="3" xfId="0" applyFont="1" applyFill="1" applyBorder="1" applyAlignment="1">
      <alignment horizontal="center" vertical="center"/>
    </xf>
    <xf numFmtId="4" fontId="83" fillId="8" borderId="0" xfId="7" applyNumberFormat="1" applyFont="1" applyFill="1" applyBorder="1" applyAlignment="1">
      <alignment horizontal="center" vertical="center"/>
    </xf>
    <xf numFmtId="4" fontId="83" fillId="8" borderId="4" xfId="7" applyNumberFormat="1" applyFont="1" applyFill="1" applyBorder="1" applyAlignment="1">
      <alignment horizontal="center" vertical="center"/>
    </xf>
    <xf numFmtId="4" fontId="83" fillId="9" borderId="0" xfId="7" applyNumberFormat="1" applyFont="1" applyFill="1" applyBorder="1" applyAlignment="1">
      <alignment horizontal="center" vertical="center"/>
    </xf>
    <xf numFmtId="4" fontId="83" fillId="9" borderId="12" xfId="7" applyNumberFormat="1" applyFont="1" applyFill="1" applyBorder="1" applyAlignment="1">
      <alignment horizontal="center" vertical="center"/>
    </xf>
    <xf numFmtId="0" fontId="47" fillId="10" borderId="4" xfId="0" applyFont="1" applyFill="1" applyBorder="1" applyAlignment="1">
      <alignment horizontal="center" vertical="center"/>
    </xf>
    <xf numFmtId="0" fontId="47" fillId="10" borderId="10" xfId="0" applyFont="1" applyFill="1" applyBorder="1" applyAlignment="1">
      <alignment horizontal="center" vertical="center"/>
    </xf>
    <xf numFmtId="4" fontId="83" fillId="8" borderId="11" xfId="7" applyNumberFormat="1" applyFont="1" applyFill="1" applyBorder="1" applyAlignment="1">
      <alignment horizontal="center" vertical="center"/>
    </xf>
    <xf numFmtId="44" fontId="75" fillId="5" borderId="3" xfId="10" applyNumberFormat="1" applyFont="1" applyFill="1" applyBorder="1" applyAlignment="1">
      <alignment horizontal="center"/>
    </xf>
    <xf numFmtId="4" fontId="75" fillId="5" borderId="4" xfId="6" applyNumberFormat="1" applyFont="1" applyFill="1" applyBorder="1" applyAlignment="1">
      <alignment horizontal="center" vertical="center"/>
    </xf>
    <xf numFmtId="181" fontId="75" fillId="5" borderId="4" xfId="6" applyNumberFormat="1" applyFont="1" applyFill="1" applyBorder="1" applyAlignment="1">
      <alignment horizontal="center" vertical="center"/>
    </xf>
    <xf numFmtId="172" fontId="75" fillId="5" borderId="4" xfId="10" applyNumberFormat="1" applyFont="1" applyFill="1" applyBorder="1" applyAlignment="1">
      <alignment horizontal="center"/>
    </xf>
    <xf numFmtId="44" fontId="75" fillId="5" borderId="10" xfId="10" applyFont="1" applyFill="1" applyBorder="1" applyAlignment="1">
      <alignment horizontal="center"/>
    </xf>
    <xf numFmtId="0" fontId="25" fillId="0" borderId="0" xfId="14" applyFont="1" applyBorder="1"/>
    <xf numFmtId="4" fontId="86" fillId="5" borderId="0" xfId="0" applyNumberFormat="1" applyFont="1" applyFill="1" applyBorder="1" applyAlignment="1">
      <alignment horizontal="center"/>
    </xf>
    <xf numFmtId="0" fontId="30" fillId="14" borderId="26" xfId="15" applyFont="1" applyFill="1" applyBorder="1" applyAlignment="1">
      <alignment horizontal="center" vertical="center"/>
    </xf>
    <xf numFmtId="0" fontId="30" fillId="14" borderId="13" xfId="15" applyFont="1" applyFill="1" applyBorder="1" applyAlignment="1">
      <alignment horizontal="center" vertical="center" wrapText="1"/>
    </xf>
    <xf numFmtId="0" fontId="30" fillId="14" borderId="14" xfId="15" applyFont="1" applyFill="1" applyBorder="1" applyAlignment="1">
      <alignment horizontal="center" vertical="center" wrapText="1"/>
    </xf>
    <xf numFmtId="0" fontId="30" fillId="14" borderId="16" xfId="15" applyFont="1" applyFill="1" applyBorder="1" applyAlignment="1">
      <alignment horizontal="center" vertical="center" wrapText="1"/>
    </xf>
    <xf numFmtId="0" fontId="30" fillId="11" borderId="13" xfId="20" applyNumberFormat="1" applyFont="1" applyFill="1" applyBorder="1" applyAlignment="1">
      <alignment horizontal="center" vertical="center" wrapText="1"/>
    </xf>
    <xf numFmtId="175" fontId="25" fillId="5" borderId="4" xfId="6" applyNumberFormat="1" applyFont="1" applyFill="1" applyBorder="1" applyAlignment="1">
      <alignment horizontal="center" vertical="center"/>
    </xf>
    <xf numFmtId="3" fontId="25" fillId="0" borderId="4" xfId="0" applyNumberFormat="1" applyFont="1" applyFill="1" applyBorder="1" applyAlignment="1">
      <alignment horizontal="center"/>
    </xf>
    <xf numFmtId="3" fontId="25" fillId="0" borderId="10" xfId="0" applyNumberFormat="1" applyFont="1" applyFill="1" applyBorder="1" applyAlignment="1">
      <alignment horizontal="center"/>
    </xf>
    <xf numFmtId="4" fontId="25" fillId="8" borderId="3" xfId="7" applyNumberFormat="1" applyFont="1" applyFill="1" applyBorder="1" applyAlignment="1">
      <alignment horizontal="center" vertical="center"/>
    </xf>
    <xf numFmtId="4" fontId="25" fillId="0" borderId="4" xfId="7" applyNumberFormat="1" applyFont="1" applyFill="1" applyBorder="1" applyAlignment="1">
      <alignment horizontal="center" vertical="center"/>
    </xf>
    <xf numFmtId="0" fontId="30" fillId="11" borderId="11" xfId="20" applyNumberFormat="1" applyFont="1" applyFill="1" applyBorder="1" applyAlignment="1">
      <alignment horizontal="center" vertical="center" wrapText="1"/>
    </xf>
    <xf numFmtId="0" fontId="30" fillId="11" borderId="12" xfId="20" applyNumberFormat="1" applyFont="1" applyFill="1" applyBorder="1" applyAlignment="1">
      <alignment horizontal="center" vertical="center" wrapText="1"/>
    </xf>
    <xf numFmtId="43" fontId="30" fillId="11" borderId="12" xfId="7" applyFont="1" applyFill="1" applyBorder="1" applyAlignment="1">
      <alignment horizontal="center" vertical="center" wrapText="1"/>
    </xf>
    <xf numFmtId="43" fontId="30" fillId="11" borderId="15" xfId="7" applyFont="1" applyFill="1" applyBorder="1" applyAlignment="1">
      <alignment horizontal="center" vertical="center" wrapText="1"/>
    </xf>
    <xf numFmtId="0" fontId="30" fillId="12" borderId="11" xfId="14" applyFont="1" applyFill="1" applyBorder="1" applyAlignment="1">
      <alignment horizontal="center" vertical="center"/>
    </xf>
    <xf numFmtId="0" fontId="30" fillId="12" borderId="12" xfId="14" applyFont="1" applyFill="1" applyBorder="1" applyAlignment="1">
      <alignment horizontal="center" vertical="center"/>
    </xf>
    <xf numFmtId="0" fontId="30" fillId="12" borderId="12" xfId="14" applyFont="1" applyFill="1" applyBorder="1" applyAlignment="1">
      <alignment horizontal="center" vertical="center" wrapText="1"/>
    </xf>
    <xf numFmtId="0" fontId="30" fillId="12" borderId="15" xfId="14" applyFont="1" applyFill="1" applyBorder="1" applyAlignment="1">
      <alignment horizontal="center" vertical="center" wrapText="1"/>
    </xf>
    <xf numFmtId="0" fontId="38" fillId="4" borderId="3" xfId="4" applyFont="1" applyBorder="1" applyAlignment="1"/>
    <xf numFmtId="0" fontId="30" fillId="12" borderId="13" xfId="14" applyFont="1" applyFill="1" applyBorder="1" applyAlignment="1">
      <alignment horizontal="center" vertical="center"/>
    </xf>
    <xf numFmtId="0" fontId="30" fillId="12" borderId="13" xfId="14" applyFont="1" applyFill="1" applyBorder="1" applyAlignment="1">
      <alignment horizontal="left"/>
    </xf>
    <xf numFmtId="0" fontId="30" fillId="12" borderId="14" xfId="14" applyFont="1" applyFill="1" applyBorder="1" applyAlignment="1">
      <alignment horizontal="left"/>
    </xf>
    <xf numFmtId="0" fontId="30" fillId="12" borderId="16" xfId="14" applyFont="1" applyFill="1" applyBorder="1" applyAlignment="1">
      <alignment horizontal="left"/>
    </xf>
    <xf numFmtId="0" fontId="30" fillId="10" borderId="13" xfId="0" applyFont="1" applyFill="1" applyBorder="1" applyAlignment="1">
      <alignment horizontal="center" vertical="center" wrapText="1"/>
    </xf>
    <xf numFmtId="0" fontId="30" fillId="10" borderId="14" xfId="0" applyFont="1" applyFill="1" applyBorder="1" applyAlignment="1">
      <alignment horizontal="center" vertical="center" wrapText="1"/>
    </xf>
    <xf numFmtId="172" fontId="40" fillId="5" borderId="3" xfId="10" applyNumberFormat="1" applyFont="1" applyFill="1" applyBorder="1" applyAlignment="1">
      <alignment horizontal="center"/>
    </xf>
    <xf numFmtId="44" fontId="40" fillId="5" borderId="4" xfId="10" applyNumberFormat="1" applyFont="1" applyFill="1" applyBorder="1" applyAlignment="1">
      <alignment horizontal="center"/>
    </xf>
    <xf numFmtId="172" fontId="40" fillId="5" borderId="4" xfId="6" applyNumberFormat="1" applyFont="1" applyFill="1" applyBorder="1" applyAlignment="1">
      <alignment horizontal="center" vertical="center"/>
    </xf>
    <xf numFmtId="172" fontId="40" fillId="5" borderId="4" xfId="10" applyNumberFormat="1" applyFont="1" applyFill="1" applyBorder="1" applyAlignment="1">
      <alignment horizontal="center"/>
    </xf>
    <xf numFmtId="172" fontId="40" fillId="5" borderId="10" xfId="10" applyNumberFormat="1" applyFont="1" applyFill="1" applyBorder="1" applyAlignment="1">
      <alignment horizontal="center"/>
    </xf>
    <xf numFmtId="0" fontId="2" fillId="0" borderId="0" xfId="14" applyFont="1"/>
    <xf numFmtId="0" fontId="2" fillId="5" borderId="0" xfId="14" applyFont="1" applyFill="1"/>
    <xf numFmtId="0" fontId="2" fillId="5" borderId="0" xfId="0" applyFont="1" applyFill="1"/>
    <xf numFmtId="0" fontId="2" fillId="0" borderId="0" xfId="0" applyFont="1"/>
    <xf numFmtId="0" fontId="2" fillId="5" borderId="0" xfId="14" applyFont="1" applyFill="1" applyBorder="1"/>
    <xf numFmtId="17" fontId="88" fillId="5" borderId="0" xfId="14" applyNumberFormat="1" applyFont="1" applyFill="1" applyBorder="1" applyAlignment="1"/>
    <xf numFmtId="0" fontId="90" fillId="5" borderId="0" xfId="14" applyFont="1" applyFill="1" applyBorder="1" applyAlignment="1">
      <alignment horizontal="center"/>
    </xf>
    <xf numFmtId="0" fontId="88" fillId="20" borderId="289" xfId="0" applyFont="1" applyFill="1" applyBorder="1" applyAlignment="1">
      <alignment horizontal="center" vertical="center" wrapText="1"/>
    </xf>
    <xf numFmtId="44" fontId="88" fillId="20" borderId="289" xfId="8" applyFont="1" applyFill="1" applyBorder="1" applyAlignment="1">
      <alignment horizontal="center" vertical="center" wrapText="1"/>
    </xf>
    <xf numFmtId="0" fontId="88" fillId="20" borderId="290" xfId="0" applyFont="1" applyFill="1" applyBorder="1" applyAlignment="1">
      <alignment horizontal="center" vertical="center" wrapText="1"/>
    </xf>
    <xf numFmtId="172" fontId="2" fillId="5" borderId="287" xfId="0" applyNumberFormat="1" applyFont="1" applyFill="1" applyBorder="1" applyAlignment="1">
      <alignment horizontal="center" vertical="center" wrapText="1"/>
    </xf>
    <xf numFmtId="0" fontId="2" fillId="5" borderId="287" xfId="0" applyFont="1" applyFill="1" applyBorder="1" applyAlignment="1">
      <alignment horizontal="center" vertical="center" wrapText="1"/>
    </xf>
    <xf numFmtId="44" fontId="2" fillId="5" borderId="287" xfId="8" applyFont="1" applyFill="1" applyBorder="1" applyAlignment="1">
      <alignment horizontal="center" vertical="center" wrapText="1"/>
    </xf>
    <xf numFmtId="180" fontId="2" fillId="9" borderId="287" xfId="8" applyNumberFormat="1" applyFont="1" applyFill="1" applyBorder="1" applyAlignment="1">
      <alignment horizontal="center" vertical="center" wrapText="1"/>
    </xf>
    <xf numFmtId="174" fontId="2" fillId="9" borderId="296" xfId="8" applyNumberFormat="1" applyFont="1" applyFill="1" applyBorder="1" applyAlignment="1">
      <alignment horizontal="center" vertical="center" wrapText="1"/>
    </xf>
    <xf numFmtId="3" fontId="2" fillId="5" borderId="303" xfId="0" applyNumberFormat="1" applyFont="1" applyFill="1" applyBorder="1" applyAlignment="1">
      <alignment horizontal="center" vertical="center" wrapText="1"/>
    </xf>
    <xf numFmtId="3" fontId="2" fillId="5" borderId="287" xfId="0" applyNumberFormat="1" applyFont="1" applyFill="1" applyBorder="1" applyAlignment="1">
      <alignment horizontal="center" vertical="center" wrapText="1"/>
    </xf>
    <xf numFmtId="174" fontId="2" fillId="9" borderId="296" xfId="0" applyNumberFormat="1" applyFont="1" applyFill="1" applyBorder="1" applyAlignment="1">
      <alignment horizontal="center" vertical="center" wrapText="1"/>
    </xf>
    <xf numFmtId="172" fontId="2" fillId="5" borderId="291" xfId="0" applyNumberFormat="1" applyFont="1" applyFill="1" applyBorder="1" applyAlignment="1">
      <alignment horizontal="center" vertical="center" wrapText="1"/>
    </xf>
    <xf numFmtId="0" fontId="2" fillId="5" borderId="291" xfId="0" applyFont="1" applyFill="1" applyBorder="1" applyAlignment="1">
      <alignment horizontal="center" vertical="center" wrapText="1"/>
    </xf>
    <xf numFmtId="44" fontId="2" fillId="5" borderId="291" xfId="8" applyFont="1" applyFill="1" applyBorder="1" applyAlignment="1">
      <alignment horizontal="center" vertical="center" wrapText="1"/>
    </xf>
    <xf numFmtId="180" fontId="2" fillId="9" borderId="291" xfId="8" applyNumberFormat="1" applyFont="1" applyFill="1" applyBorder="1" applyAlignment="1">
      <alignment horizontal="center" vertical="center" wrapText="1"/>
    </xf>
    <xf numFmtId="174" fontId="2" fillId="9" borderId="294" xfId="8" applyNumberFormat="1" applyFont="1" applyFill="1" applyBorder="1" applyAlignment="1">
      <alignment horizontal="center" vertical="center" wrapText="1"/>
    </xf>
    <xf numFmtId="0" fontId="91" fillId="0" borderId="0" xfId="0" applyFont="1" applyAlignment="1">
      <alignment horizontal="center"/>
    </xf>
    <xf numFmtId="0" fontId="88" fillId="20" borderId="292" xfId="0" applyFont="1" applyFill="1" applyBorder="1" applyAlignment="1">
      <alignment horizontal="center" vertical="center" wrapText="1"/>
    </xf>
    <xf numFmtId="0" fontId="2" fillId="5" borderId="293" xfId="0" applyFont="1" applyFill="1" applyBorder="1" applyAlignment="1">
      <alignment horizontal="center" vertical="center" wrapText="1"/>
    </xf>
    <xf numFmtId="0" fontId="2" fillId="5" borderId="309" xfId="0" applyFont="1" applyFill="1" applyBorder="1" applyAlignment="1">
      <alignment horizontal="center" vertical="center" wrapText="1"/>
    </xf>
    <xf numFmtId="3" fontId="2" fillId="5" borderId="291" xfId="0" applyNumberFormat="1" applyFont="1" applyFill="1" applyBorder="1" applyAlignment="1">
      <alignment horizontal="center" vertical="center" wrapText="1"/>
    </xf>
    <xf numFmtId="0" fontId="2" fillId="9" borderId="291" xfId="0" applyFont="1" applyFill="1" applyBorder="1" applyAlignment="1">
      <alignment horizontal="center" vertical="center" wrapText="1"/>
    </xf>
    <xf numFmtId="4" fontId="2" fillId="9" borderId="291" xfId="8" applyNumberFormat="1" applyFont="1" applyFill="1" applyBorder="1" applyAlignment="1">
      <alignment horizontal="center" vertical="center" wrapText="1"/>
    </xf>
    <xf numFmtId="4" fontId="2" fillId="9" borderId="294" xfId="0" applyNumberFormat="1" applyFont="1" applyFill="1" applyBorder="1" applyAlignment="1">
      <alignment horizontal="center" vertical="center" wrapText="1"/>
    </xf>
    <xf numFmtId="0" fontId="90" fillId="5" borderId="0" xfId="14" applyFont="1" applyFill="1" applyBorder="1" applyAlignment="1">
      <alignment horizontal="left"/>
    </xf>
    <xf numFmtId="0" fontId="92" fillId="5" borderId="0" xfId="5" applyFont="1" applyFill="1" applyBorder="1" applyAlignment="1" applyProtection="1">
      <alignment horizontal="center"/>
    </xf>
    <xf numFmtId="0" fontId="89" fillId="5" borderId="0" xfId="14" applyFont="1" applyFill="1" applyAlignment="1">
      <alignment horizontal="left"/>
    </xf>
    <xf numFmtId="16" fontId="90" fillId="5" borderId="0" xfId="2" applyNumberFormat="1" applyFont="1" applyFill="1" applyBorder="1" applyAlignment="1"/>
    <xf numFmtId="16" fontId="90" fillId="5" borderId="0" xfId="2" applyNumberFormat="1" applyFont="1" applyFill="1" applyBorder="1" applyAlignment="1">
      <alignment horizontal="left"/>
    </xf>
    <xf numFmtId="0" fontId="2" fillId="5" borderId="0" xfId="0" applyFont="1" applyFill="1" applyAlignment="1">
      <alignment horizontal="center"/>
    </xf>
    <xf numFmtId="179" fontId="2" fillId="5" borderId="0" xfId="8" applyNumberFormat="1" applyFont="1" applyFill="1"/>
    <xf numFmtId="44" fontId="88" fillId="20" borderId="290" xfId="8" applyFont="1" applyFill="1" applyBorder="1" applyAlignment="1">
      <alignment horizontal="center" vertical="center" wrapText="1"/>
    </xf>
    <xf numFmtId="0" fontId="2" fillId="5" borderId="295" xfId="0" applyFont="1" applyFill="1" applyBorder="1" applyAlignment="1">
      <alignment horizontal="center" vertical="center" wrapText="1"/>
    </xf>
    <xf numFmtId="0" fontId="2" fillId="5" borderId="287" xfId="0" applyFont="1" applyFill="1" applyBorder="1" applyAlignment="1">
      <alignment vertical="center" wrapText="1"/>
    </xf>
    <xf numFmtId="9" fontId="2" fillId="5" borderId="287" xfId="21" applyFont="1" applyFill="1" applyBorder="1" applyAlignment="1">
      <alignment horizontal="center" vertical="center" wrapText="1"/>
    </xf>
    <xf numFmtId="172" fontId="2" fillId="5" borderId="296" xfId="0" applyNumberFormat="1" applyFont="1" applyFill="1" applyBorder="1" applyAlignment="1">
      <alignment horizontal="center" vertical="center" wrapText="1"/>
    </xf>
    <xf numFmtId="0" fontId="2" fillId="5" borderId="287" xfId="0" applyFont="1" applyFill="1" applyBorder="1" applyAlignment="1">
      <alignment horizontal="left" vertical="center" wrapText="1"/>
    </xf>
    <xf numFmtId="44" fontId="2" fillId="5" borderId="296" xfId="8" applyFont="1" applyFill="1" applyBorder="1" applyAlignment="1">
      <alignment horizontal="center" vertical="center" wrapText="1"/>
    </xf>
    <xf numFmtId="44" fontId="2" fillId="5" borderId="0" xfId="0" applyNumberFormat="1" applyFont="1" applyFill="1"/>
    <xf numFmtId="3" fontId="19" fillId="5" borderId="287" xfId="0" applyNumberFormat="1" applyFont="1" applyFill="1" applyBorder="1" applyAlignment="1">
      <alignment horizontal="center" vertical="center" wrapText="1"/>
    </xf>
    <xf numFmtId="0" fontId="2" fillId="9" borderId="287" xfId="0" applyFont="1" applyFill="1" applyBorder="1" applyAlignment="1">
      <alignment horizontal="center" vertical="center" wrapText="1"/>
    </xf>
    <xf numFmtId="0" fontId="2" fillId="5" borderId="291" xfId="0" applyFont="1" applyFill="1" applyBorder="1" applyAlignment="1">
      <alignment vertical="center" wrapText="1"/>
    </xf>
    <xf numFmtId="9" fontId="2" fillId="5" borderId="291" xfId="21" applyFont="1" applyFill="1" applyBorder="1" applyAlignment="1">
      <alignment horizontal="center" vertical="center" wrapText="1"/>
    </xf>
    <xf numFmtId="0" fontId="89" fillId="5" borderId="0" xfId="0" applyFont="1" applyFill="1" applyAlignment="1">
      <alignment horizontal="right"/>
    </xf>
    <xf numFmtId="0" fontId="89" fillId="5" borderId="0" xfId="0" applyFont="1" applyFill="1" applyAlignment="1">
      <alignment horizontal="center"/>
    </xf>
    <xf numFmtId="0" fontId="89" fillId="5" borderId="0" xfId="18" applyFont="1" applyFill="1" applyBorder="1" applyAlignment="1">
      <alignment horizontal="center"/>
    </xf>
    <xf numFmtId="171" fontId="89" fillId="5" borderId="0" xfId="18" applyNumberFormat="1" applyFont="1" applyFill="1" applyBorder="1" applyAlignment="1">
      <alignment horizontal="center"/>
    </xf>
    <xf numFmtId="9" fontId="89" fillId="5" borderId="0" xfId="21" applyFont="1" applyFill="1" applyAlignment="1">
      <alignment horizontal="center"/>
    </xf>
    <xf numFmtId="44" fontId="89" fillId="5" borderId="0" xfId="8" applyFont="1" applyFill="1" applyAlignment="1">
      <alignment horizontal="center"/>
    </xf>
    <xf numFmtId="0" fontId="2" fillId="5" borderId="0" xfId="18" applyFont="1" applyFill="1" applyBorder="1"/>
    <xf numFmtId="44" fontId="89" fillId="5" borderId="0" xfId="8" applyFont="1" applyFill="1"/>
    <xf numFmtId="7" fontId="89" fillId="5" borderId="0" xfId="8" applyNumberFormat="1" applyFont="1" applyFill="1"/>
    <xf numFmtId="7" fontId="2" fillId="5" borderId="0" xfId="8" applyNumberFormat="1" applyFont="1" applyFill="1"/>
    <xf numFmtId="182" fontId="2" fillId="5" borderId="0" xfId="0" applyNumberFormat="1" applyFont="1" applyFill="1"/>
    <xf numFmtId="44" fontId="2" fillId="5" borderId="0" xfId="8" applyFont="1" applyFill="1"/>
    <xf numFmtId="44" fontId="2" fillId="0" borderId="0" xfId="8" applyFont="1"/>
    <xf numFmtId="0" fontId="88" fillId="20" borderId="289" xfId="0" applyFont="1" applyFill="1" applyBorder="1" applyAlignment="1">
      <alignment horizontal="center" wrapText="1"/>
    </xf>
    <xf numFmtId="44" fontId="88" fillId="20" borderId="289" xfId="8" applyFont="1" applyFill="1" applyBorder="1" applyAlignment="1">
      <alignment horizontal="center" wrapText="1"/>
    </xf>
    <xf numFmtId="44" fontId="88" fillId="20" borderId="290" xfId="8" applyFont="1" applyFill="1" applyBorder="1" applyAlignment="1">
      <alignment horizontal="center" wrapText="1"/>
    </xf>
    <xf numFmtId="0" fontId="2" fillId="5" borderId="291" xfId="0" applyFont="1" applyFill="1" applyBorder="1" applyAlignment="1">
      <alignment horizontal="left" vertical="center" wrapText="1"/>
    </xf>
    <xf numFmtId="16" fontId="89" fillId="5" borderId="0" xfId="2" applyNumberFormat="1" applyFont="1" applyFill="1" applyBorder="1" applyAlignment="1"/>
    <xf numFmtId="0" fontId="88" fillId="20" borderId="349" xfId="0" applyFont="1" applyFill="1" applyBorder="1" applyAlignment="1">
      <alignment horizontal="center" vertical="center" wrapText="1"/>
    </xf>
    <xf numFmtId="0" fontId="88" fillId="20" borderId="301" xfId="0" applyFont="1" applyFill="1" applyBorder="1" applyAlignment="1">
      <alignment horizontal="center" vertical="center" wrapText="1"/>
    </xf>
    <xf numFmtId="44" fontId="88" fillId="20" borderId="301" xfId="8" applyFont="1" applyFill="1" applyBorder="1" applyAlignment="1">
      <alignment horizontal="center" vertical="center" wrapText="1"/>
    </xf>
    <xf numFmtId="44" fontId="88" fillId="20" borderId="302" xfId="8" applyFont="1" applyFill="1" applyBorder="1" applyAlignment="1">
      <alignment horizontal="center" vertical="center" wrapText="1"/>
    </xf>
    <xf numFmtId="0" fontId="2" fillId="5" borderId="350" xfId="0" applyFont="1" applyFill="1" applyBorder="1" applyAlignment="1">
      <alignment horizontal="center" vertical="center" wrapText="1"/>
    </xf>
    <xf numFmtId="0" fontId="2" fillId="9" borderId="351" xfId="0" applyFont="1" applyFill="1" applyBorder="1" applyAlignment="1">
      <alignment horizontal="center" vertical="center" wrapText="1"/>
    </xf>
    <xf numFmtId="0" fontId="2" fillId="5" borderId="351" xfId="0" applyFont="1" applyFill="1" applyBorder="1" applyAlignment="1">
      <alignment horizontal="center" vertical="center" wrapText="1"/>
    </xf>
    <xf numFmtId="3" fontId="2" fillId="5" borderId="351" xfId="0" applyNumberFormat="1" applyFont="1" applyFill="1" applyBorder="1" applyAlignment="1">
      <alignment horizontal="center" vertical="center" wrapText="1"/>
    </xf>
    <xf numFmtId="9" fontId="2" fillId="5" borderId="351" xfId="21" applyFont="1" applyFill="1" applyBorder="1" applyAlignment="1">
      <alignment horizontal="center" vertical="center" wrapText="1"/>
    </xf>
    <xf numFmtId="172" fontId="2" fillId="5" borderId="351" xfId="0" applyNumberFormat="1" applyFont="1" applyFill="1" applyBorder="1" applyAlignment="1">
      <alignment horizontal="center" vertical="center" wrapText="1"/>
    </xf>
    <xf numFmtId="172" fontId="2" fillId="5" borderId="352" xfId="0" applyNumberFormat="1" applyFont="1" applyFill="1" applyBorder="1" applyAlignment="1">
      <alignment horizontal="center" vertical="center" wrapText="1"/>
    </xf>
    <xf numFmtId="9" fontId="2" fillId="5" borderId="353" xfId="2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 wrapText="1"/>
    </xf>
    <xf numFmtId="9" fontId="89" fillId="5" borderId="0" xfId="0" applyNumberFormat="1" applyFont="1" applyFill="1" applyBorder="1" applyAlignment="1">
      <alignment horizontal="center" vertical="center" wrapText="1"/>
    </xf>
    <xf numFmtId="172" fontId="89" fillId="5" borderId="0" xfId="0" applyNumberFormat="1" applyFont="1" applyFill="1" applyBorder="1" applyAlignment="1">
      <alignment horizontal="center" vertical="center" wrapText="1"/>
    </xf>
    <xf numFmtId="0" fontId="2" fillId="5" borderId="0" xfId="17" applyFont="1" applyFill="1"/>
    <xf numFmtId="44" fontId="2" fillId="5" borderId="0" xfId="8" applyFont="1" applyFill="1" applyBorder="1" applyAlignment="1">
      <alignment horizontal="center" vertical="center" wrapText="1"/>
    </xf>
    <xf numFmtId="0" fontId="2" fillId="0" borderId="0" xfId="17" applyFont="1"/>
    <xf numFmtId="4" fontId="2" fillId="5" borderId="0" xfId="0" applyNumberFormat="1" applyFont="1" applyFill="1"/>
    <xf numFmtId="0" fontId="89" fillId="0" borderId="0" xfId="14" applyFont="1" applyAlignment="1">
      <alignment horizontal="center"/>
    </xf>
    <xf numFmtId="0" fontId="93" fillId="4" borderId="3" xfId="4" applyFont="1" applyBorder="1" applyAlignment="1"/>
    <xf numFmtId="0" fontId="89" fillId="14" borderId="3" xfId="15" applyFont="1" applyFill="1" applyBorder="1" applyAlignment="1">
      <alignment horizontal="center"/>
    </xf>
    <xf numFmtId="0" fontId="89" fillId="14" borderId="4" xfId="15" applyFont="1" applyFill="1" applyBorder="1" applyAlignment="1">
      <alignment horizontal="center"/>
    </xf>
    <xf numFmtId="0" fontId="89" fillId="14" borderId="10" xfId="15" applyFont="1" applyFill="1" applyBorder="1" applyAlignment="1"/>
    <xf numFmtId="0" fontId="89" fillId="12" borderId="3" xfId="14" applyFont="1" applyFill="1" applyBorder="1" applyAlignment="1">
      <alignment horizontal="left"/>
    </xf>
    <xf numFmtId="0" fontId="89" fillId="12" borderId="4" xfId="14" applyFont="1" applyFill="1" applyBorder="1" applyAlignment="1">
      <alignment horizontal="left"/>
    </xf>
    <xf numFmtId="0" fontId="89" fillId="12" borderId="10" xfId="14" applyFont="1" applyFill="1" applyBorder="1" applyAlignment="1">
      <alignment horizontal="left"/>
    </xf>
    <xf numFmtId="0" fontId="89" fillId="14" borderId="17" xfId="15" applyFont="1" applyFill="1" applyBorder="1" applyAlignment="1">
      <alignment horizontal="center" vertical="center"/>
    </xf>
    <xf numFmtId="0" fontId="89" fillId="14" borderId="3" xfId="15" applyFont="1" applyFill="1" applyBorder="1" applyAlignment="1">
      <alignment horizontal="center" vertical="center" wrapText="1"/>
    </xf>
    <xf numFmtId="0" fontId="89" fillId="14" borderId="4" xfId="15" applyFont="1" applyFill="1" applyBorder="1" applyAlignment="1">
      <alignment horizontal="center" vertical="center" wrapText="1"/>
    </xf>
    <xf numFmtId="2" fontId="89" fillId="10" borderId="13" xfId="0" applyNumberFormat="1" applyFont="1" applyFill="1" applyBorder="1" applyAlignment="1">
      <alignment horizontal="center" vertical="center" wrapText="1"/>
    </xf>
    <xf numFmtId="2" fontId="89" fillId="10" borderId="14" xfId="0" applyNumberFormat="1" applyFont="1" applyFill="1" applyBorder="1" applyAlignment="1">
      <alignment horizontal="center" vertical="center" wrapText="1"/>
    </xf>
    <xf numFmtId="2" fontId="89" fillId="10" borderId="16" xfId="0" applyNumberFormat="1" applyFont="1" applyFill="1" applyBorder="1" applyAlignment="1">
      <alignment horizontal="center" vertical="center" wrapText="1"/>
    </xf>
    <xf numFmtId="0" fontId="89" fillId="11" borderId="14" xfId="20" applyNumberFormat="1" applyFont="1" applyFill="1" applyBorder="1" applyAlignment="1">
      <alignment horizontal="center" vertical="center" wrapText="1"/>
    </xf>
    <xf numFmtId="0" fontId="89" fillId="11" borderId="16" xfId="20" applyNumberFormat="1" applyFont="1" applyFill="1" applyBorder="1" applyAlignment="1">
      <alignment horizontal="center" vertical="center" wrapText="1"/>
    </xf>
    <xf numFmtId="0" fontId="89" fillId="15" borderId="13" xfId="20" applyNumberFormat="1" applyFont="1" applyFill="1" applyBorder="1" applyAlignment="1">
      <alignment horizontal="center" vertical="center" wrapText="1"/>
    </xf>
    <xf numFmtId="43" fontId="89" fillId="15" borderId="16" xfId="7" applyFont="1" applyFill="1" applyBorder="1" applyAlignment="1">
      <alignment horizontal="center" vertical="center" wrapText="1"/>
    </xf>
    <xf numFmtId="0" fontId="89" fillId="15" borderId="14" xfId="20" applyNumberFormat="1" applyFont="1" applyFill="1" applyBorder="1" applyAlignment="1">
      <alignment horizontal="center" vertical="center" wrapText="1"/>
    </xf>
    <xf numFmtId="43" fontId="89" fillId="15" borderId="14" xfId="7" applyFont="1" applyFill="1" applyBorder="1" applyAlignment="1">
      <alignment horizontal="center" vertical="center" wrapText="1"/>
    </xf>
    <xf numFmtId="43" fontId="89" fillId="15" borderId="13" xfId="7" applyFont="1" applyFill="1" applyBorder="1" applyAlignment="1">
      <alignment horizontal="center" vertical="center" wrapText="1"/>
    </xf>
    <xf numFmtId="0" fontId="89" fillId="12" borderId="14" xfId="14" applyFont="1" applyFill="1" applyBorder="1" applyAlignment="1">
      <alignment horizontal="center" vertical="center" wrapText="1"/>
    </xf>
    <xf numFmtId="0" fontId="89" fillId="12" borderId="14" xfId="14" applyFont="1" applyFill="1" applyBorder="1" applyAlignment="1">
      <alignment horizontal="center" vertical="center"/>
    </xf>
    <xf numFmtId="0" fontId="89" fillId="12" borderId="16" xfId="14" applyFont="1" applyFill="1" applyBorder="1" applyAlignment="1">
      <alignment horizontal="center" vertical="center" wrapText="1"/>
    </xf>
    <xf numFmtId="14" fontId="90" fillId="5" borderId="3" xfId="15" applyNumberFormat="1" applyFont="1" applyFill="1" applyBorder="1" applyAlignment="1">
      <alignment horizontal="center"/>
    </xf>
    <xf numFmtId="172" fontId="2" fillId="5" borderId="3" xfId="10" applyNumberFormat="1" applyFont="1" applyFill="1" applyBorder="1" applyAlignment="1">
      <alignment horizontal="center"/>
    </xf>
    <xf numFmtId="44" fontId="2" fillId="5" borderId="4" xfId="10" applyNumberFormat="1" applyFont="1" applyFill="1" applyBorder="1" applyAlignment="1">
      <alignment horizontal="center"/>
    </xf>
    <xf numFmtId="4" fontId="2" fillId="5" borderId="4" xfId="6" applyNumberFormat="1" applyFont="1" applyFill="1" applyBorder="1" applyAlignment="1">
      <alignment horizontal="center" vertical="center"/>
    </xf>
    <xf numFmtId="191" fontId="2" fillId="5" borderId="4" xfId="6" applyNumberFormat="1" applyFont="1" applyFill="1" applyBorder="1" applyAlignment="1">
      <alignment horizontal="center" vertical="center"/>
    </xf>
    <xf numFmtId="172" fontId="2" fillId="5" borderId="4" xfId="10" applyNumberFormat="1" applyFont="1" applyFill="1" applyBorder="1" applyAlignment="1">
      <alignment horizontal="center"/>
    </xf>
    <xf numFmtId="172" fontId="2" fillId="5" borderId="10" xfId="10" applyNumberFormat="1" applyFont="1" applyFill="1" applyBorder="1" applyAlignment="1">
      <alignment horizontal="center"/>
    </xf>
    <xf numFmtId="3" fontId="2" fillId="9" borderId="0" xfId="0" applyNumberFormat="1" applyFont="1" applyFill="1" applyBorder="1" applyAlignment="1">
      <alignment horizontal="center"/>
    </xf>
    <xf numFmtId="4" fontId="2" fillId="9" borderId="2" xfId="0" applyNumberFormat="1" applyFont="1" applyFill="1" applyBorder="1" applyAlignment="1">
      <alignment horizontal="center"/>
    </xf>
    <xf numFmtId="4" fontId="94" fillId="8" borderId="0" xfId="7" applyNumberFormat="1" applyFont="1" applyFill="1" applyBorder="1" applyAlignment="1">
      <alignment horizontal="center" vertical="center"/>
    </xf>
    <xf numFmtId="4" fontId="2" fillId="8" borderId="0" xfId="7" applyNumberFormat="1" applyFont="1" applyFill="1" applyBorder="1" applyAlignment="1">
      <alignment horizontal="center" vertical="center"/>
    </xf>
    <xf numFmtId="4" fontId="94" fillId="8" borderId="2" xfId="7" applyNumberFormat="1" applyFont="1" applyFill="1" applyBorder="1" applyAlignment="1">
      <alignment horizontal="center" vertical="center"/>
    </xf>
    <xf numFmtId="4" fontId="2" fillId="8" borderId="1" xfId="7" applyNumberFormat="1" applyFont="1" applyFill="1" applyBorder="1" applyAlignment="1">
      <alignment horizontal="center" vertical="center"/>
    </xf>
    <xf numFmtId="4" fontId="2" fillId="21" borderId="2" xfId="6" applyNumberFormat="1" applyFont="1" applyFill="1" applyBorder="1" applyAlignment="1">
      <alignment horizontal="center" vertical="center"/>
    </xf>
    <xf numFmtId="4" fontId="2" fillId="9" borderId="0" xfId="6" applyNumberFormat="1" applyFont="1" applyFill="1" applyBorder="1" applyAlignment="1">
      <alignment horizontal="center" vertical="center"/>
    </xf>
    <xf numFmtId="4" fontId="2" fillId="21" borderId="0" xfId="6" applyNumberFormat="1" applyFont="1" applyFill="1" applyBorder="1" applyAlignment="1">
      <alignment horizontal="center" vertical="center"/>
    </xf>
    <xf numFmtId="4" fontId="2" fillId="9" borderId="1" xfId="6" applyNumberFormat="1" applyFont="1" applyFill="1" applyBorder="1" applyAlignment="1">
      <alignment horizontal="center" vertical="center"/>
    </xf>
    <xf numFmtId="3" fontId="2" fillId="13" borderId="0" xfId="14" applyNumberFormat="1" applyFont="1" applyFill="1" applyBorder="1" applyAlignment="1">
      <alignment horizontal="center"/>
    </xf>
    <xf numFmtId="0" fontId="2" fillId="13" borderId="0" xfId="14" applyFont="1" applyFill="1" applyBorder="1"/>
    <xf numFmtId="3" fontId="2" fillId="5" borderId="0" xfId="14" applyNumberFormat="1" applyFont="1" applyFill="1" applyBorder="1" applyAlignment="1">
      <alignment horizontal="center"/>
    </xf>
    <xf numFmtId="3" fontId="2" fillId="5" borderId="2" xfId="14" applyNumberFormat="1" applyFont="1" applyFill="1" applyBorder="1" applyAlignment="1">
      <alignment horizontal="center"/>
    </xf>
    <xf numFmtId="14" fontId="90" fillId="5" borderId="1" xfId="15" applyNumberFormat="1" applyFont="1" applyFill="1" applyBorder="1" applyAlignment="1">
      <alignment horizontal="center"/>
    </xf>
    <xf numFmtId="172" fontId="2" fillId="5" borderId="1" xfId="10" applyNumberFormat="1" applyFont="1" applyFill="1" applyBorder="1" applyAlignment="1">
      <alignment horizontal="center"/>
    </xf>
    <xf numFmtId="44" fontId="2" fillId="5" borderId="0" xfId="10" applyNumberFormat="1" applyFont="1" applyFill="1" applyBorder="1" applyAlignment="1">
      <alignment horizontal="center"/>
    </xf>
    <xf numFmtId="4" fontId="2" fillId="5" borderId="0" xfId="6" applyNumberFormat="1" applyFont="1" applyFill="1" applyBorder="1" applyAlignment="1">
      <alignment horizontal="center" vertical="center"/>
    </xf>
    <xf numFmtId="191" fontId="2" fillId="5" borderId="0" xfId="10" applyNumberFormat="1" applyFont="1" applyFill="1" applyBorder="1" applyAlignment="1">
      <alignment horizontal="center" vertical="center"/>
    </xf>
    <xf numFmtId="172" fontId="2" fillId="5" borderId="0" xfId="10" applyNumberFormat="1" applyFont="1" applyFill="1" applyBorder="1" applyAlignment="1">
      <alignment horizontal="center"/>
    </xf>
    <xf numFmtId="172" fontId="2" fillId="5" borderId="2" xfId="10" applyNumberFormat="1" applyFont="1" applyFill="1" applyBorder="1" applyAlignment="1">
      <alignment horizontal="center"/>
    </xf>
    <xf numFmtId="4" fontId="94" fillId="9" borderId="0" xfId="7" applyNumberFormat="1" applyFont="1" applyFill="1" applyBorder="1" applyAlignment="1">
      <alignment horizontal="center" vertical="center"/>
    </xf>
    <xf numFmtId="4" fontId="2" fillId="9" borderId="0" xfId="7" applyNumberFormat="1" applyFont="1" applyFill="1" applyBorder="1" applyAlignment="1">
      <alignment horizontal="center" vertical="center"/>
    </xf>
    <xf numFmtId="4" fontId="94" fillId="9" borderId="2" xfId="7" applyNumberFormat="1" applyFont="1" applyFill="1" applyBorder="1" applyAlignment="1">
      <alignment horizontal="center" vertical="center"/>
    </xf>
    <xf numFmtId="4" fontId="2" fillId="9" borderId="1" xfId="7" applyNumberFormat="1" applyFont="1" applyFill="1" applyBorder="1" applyAlignment="1">
      <alignment horizontal="center" vertical="center"/>
    </xf>
    <xf numFmtId="4" fontId="2" fillId="21" borderId="2" xfId="10" applyNumberFormat="1" applyFont="1" applyFill="1" applyBorder="1" applyAlignment="1">
      <alignment horizontal="center" vertical="center"/>
    </xf>
    <xf numFmtId="4" fontId="2" fillId="9" borderId="0" xfId="10" applyNumberFormat="1" applyFont="1" applyFill="1" applyBorder="1" applyAlignment="1">
      <alignment horizontal="center" vertical="center"/>
    </xf>
    <xf numFmtId="4" fontId="2" fillId="21" borderId="0" xfId="10" applyNumberFormat="1" applyFont="1" applyFill="1" applyBorder="1" applyAlignment="1">
      <alignment horizontal="center" vertical="center"/>
    </xf>
    <xf numFmtId="4" fontId="2" fillId="9" borderId="1" xfId="10" applyNumberFormat="1" applyFont="1" applyFill="1" applyBorder="1" applyAlignment="1">
      <alignment horizontal="center" vertical="center"/>
    </xf>
    <xf numFmtId="172" fontId="2" fillId="5" borderId="11" xfId="10" applyNumberFormat="1" applyFont="1" applyFill="1" applyBorder="1" applyAlignment="1">
      <alignment horizontal="center"/>
    </xf>
    <xf numFmtId="44" fontId="2" fillId="5" borderId="12" xfId="10" applyNumberFormat="1" applyFont="1" applyFill="1" applyBorder="1" applyAlignment="1">
      <alignment horizontal="center"/>
    </xf>
    <xf numFmtId="4" fontId="2" fillId="5" borderId="12" xfId="6" applyNumberFormat="1" applyFont="1" applyFill="1" applyBorder="1" applyAlignment="1">
      <alignment horizontal="center" vertical="center"/>
    </xf>
    <xf numFmtId="191" fontId="2" fillId="5" borderId="12" xfId="10" applyNumberFormat="1" applyFont="1" applyFill="1" applyBorder="1" applyAlignment="1">
      <alignment horizontal="center" vertical="center"/>
    </xf>
    <xf numFmtId="172" fontId="2" fillId="5" borderId="12" xfId="10" applyNumberFormat="1" applyFont="1" applyFill="1" applyBorder="1" applyAlignment="1">
      <alignment horizontal="center"/>
    </xf>
    <xf numFmtId="172" fontId="2" fillId="5" borderId="15" xfId="10" applyNumberFormat="1" applyFont="1" applyFill="1" applyBorder="1" applyAlignment="1">
      <alignment horizontal="center"/>
    </xf>
    <xf numFmtId="3" fontId="2" fillId="9" borderId="12" xfId="0" applyNumberFormat="1" applyFont="1" applyFill="1" applyBorder="1" applyAlignment="1">
      <alignment horizontal="center"/>
    </xf>
    <xf numFmtId="4" fontId="2" fillId="9" borderId="15" xfId="0" applyNumberFormat="1" applyFont="1" applyFill="1" applyBorder="1" applyAlignment="1">
      <alignment horizontal="center"/>
    </xf>
    <xf numFmtId="0" fontId="2" fillId="5" borderId="26" xfId="15" applyFont="1" applyFill="1" applyBorder="1"/>
    <xf numFmtId="172" fontId="89" fillId="5" borderId="11" xfId="15" applyNumberFormat="1" applyFont="1" applyFill="1" applyBorder="1"/>
    <xf numFmtId="172" fontId="89" fillId="5" borderId="12" xfId="15" applyNumberFormat="1" applyFont="1" applyFill="1" applyBorder="1"/>
    <xf numFmtId="4" fontId="89" fillId="5" borderId="12" xfId="15" applyNumberFormat="1" applyFont="1" applyFill="1" applyBorder="1" applyAlignment="1">
      <alignment horizontal="center"/>
    </xf>
    <xf numFmtId="172" fontId="89" fillId="5" borderId="12" xfId="15" applyNumberFormat="1" applyFont="1" applyFill="1" applyBorder="1" applyAlignment="1">
      <alignment horizontal="center"/>
    </xf>
    <xf numFmtId="172" fontId="89" fillId="5" borderId="15" xfId="15" applyNumberFormat="1" applyFont="1" applyFill="1" applyBorder="1"/>
    <xf numFmtId="3" fontId="89" fillId="0" borderId="11" xfId="14" applyNumberFormat="1" applyFont="1" applyBorder="1" applyAlignment="1">
      <alignment horizontal="center"/>
    </xf>
    <xf numFmtId="3" fontId="89" fillId="0" borderId="12" xfId="14" applyNumberFormat="1" applyFont="1" applyBorder="1" applyAlignment="1">
      <alignment horizontal="center"/>
    </xf>
    <xf numFmtId="3" fontId="89" fillId="0" borderId="15" xfId="14" applyNumberFormat="1" applyFont="1" applyBorder="1" applyAlignment="1">
      <alignment horizontal="center"/>
    </xf>
    <xf numFmtId="3" fontId="89" fillId="0" borderId="13" xfId="14" applyNumberFormat="1" applyFont="1" applyBorder="1" applyAlignment="1">
      <alignment horizontal="center"/>
    </xf>
    <xf numFmtId="3" fontId="89" fillId="0" borderId="14" xfId="14" applyNumberFormat="1" applyFont="1" applyBorder="1" applyAlignment="1">
      <alignment horizontal="center"/>
    </xf>
    <xf numFmtId="3" fontId="89" fillId="0" borderId="16" xfId="14" applyNumberFormat="1" applyFont="1" applyBorder="1" applyAlignment="1">
      <alignment horizontal="center"/>
    </xf>
    <xf numFmtId="3" fontId="2" fillId="0" borderId="14" xfId="14" applyNumberFormat="1" applyFont="1" applyBorder="1"/>
    <xf numFmtId="0" fontId="2" fillId="0" borderId="14" xfId="14" applyFont="1" applyBorder="1"/>
    <xf numFmtId="0" fontId="2" fillId="5" borderId="14" xfId="14" applyFont="1" applyFill="1" applyBorder="1" applyAlignment="1">
      <alignment horizontal="center"/>
    </xf>
    <xf numFmtId="3" fontId="2" fillId="5" borderId="14" xfId="0" applyNumberFormat="1" applyFont="1" applyFill="1" applyBorder="1" applyAlignment="1">
      <alignment horizontal="center"/>
    </xf>
    <xf numFmtId="4" fontId="2" fillId="5" borderId="16" xfId="13" applyNumberFormat="1" applyFont="1" applyFill="1" applyBorder="1" applyAlignment="1">
      <alignment horizontal="center" vertical="center"/>
    </xf>
    <xf numFmtId="3" fontId="2" fillId="0" borderId="0" xfId="14" applyNumberFormat="1" applyFont="1"/>
    <xf numFmtId="9" fontId="2" fillId="5" borderId="11" xfId="21" applyFont="1" applyFill="1" applyBorder="1" applyAlignment="1">
      <alignment horizontal="center"/>
    </xf>
    <xf numFmtId="9" fontId="2" fillId="5" borderId="15" xfId="21" applyFont="1" applyFill="1" applyBorder="1" applyAlignment="1">
      <alignment horizontal="center"/>
    </xf>
    <xf numFmtId="0" fontId="90" fillId="5" borderId="3" xfId="14" applyFont="1" applyFill="1" applyBorder="1" applyAlignment="1">
      <alignment horizontal="center"/>
    </xf>
    <xf numFmtId="0" fontId="90" fillId="5" borderId="4" xfId="14" applyFont="1" applyFill="1" applyBorder="1" applyAlignment="1">
      <alignment horizontal="center"/>
    </xf>
    <xf numFmtId="0" fontId="90" fillId="5" borderId="10" xfId="14" applyFont="1" applyFill="1" applyBorder="1" applyAlignment="1">
      <alignment horizontal="center"/>
    </xf>
    <xf numFmtId="172" fontId="90" fillId="9" borderId="1" xfId="14" applyNumberFormat="1" applyFont="1" applyFill="1" applyBorder="1" applyAlignment="1">
      <alignment horizontal="right"/>
    </xf>
    <xf numFmtId="172" fontId="90" fillId="5" borderId="0" xfId="14" applyNumberFormat="1" applyFont="1" applyFill="1" applyBorder="1" applyAlignment="1">
      <alignment horizontal="center"/>
    </xf>
    <xf numFmtId="172" fontId="90" fillId="5" borderId="2" xfId="14" applyNumberFormat="1" applyFont="1" applyFill="1" applyBorder="1" applyAlignment="1">
      <alignment horizontal="center"/>
    </xf>
    <xf numFmtId="172" fontId="2" fillId="5" borderId="0" xfId="14" applyNumberFormat="1" applyFont="1" applyFill="1"/>
    <xf numFmtId="185" fontId="2" fillId="5" borderId="0" xfId="14" applyNumberFormat="1" applyFont="1" applyFill="1"/>
    <xf numFmtId="172" fontId="90" fillId="9" borderId="11" xfId="14" applyNumberFormat="1" applyFont="1" applyFill="1" applyBorder="1" applyAlignment="1">
      <alignment horizontal="right"/>
    </xf>
    <xf numFmtId="172" fontId="90" fillId="5" borderId="12" xfId="14" applyNumberFormat="1" applyFont="1" applyFill="1" applyBorder="1" applyAlignment="1">
      <alignment horizontal="center"/>
    </xf>
    <xf numFmtId="172" fontId="90" fillId="5" borderId="15" xfId="14" applyNumberFormat="1" applyFont="1" applyFill="1" applyBorder="1" applyAlignment="1">
      <alignment horizontal="center"/>
    </xf>
    <xf numFmtId="172" fontId="2" fillId="0" borderId="0" xfId="14" applyNumberFormat="1" applyFont="1"/>
    <xf numFmtId="0" fontId="2" fillId="0" borderId="0" xfId="14" applyFont="1" applyBorder="1"/>
    <xf numFmtId="3" fontId="2" fillId="0" borderId="0" xfId="0" applyNumberFormat="1" applyFont="1" applyFill="1" applyBorder="1" applyAlignment="1">
      <alignment horizontal="center"/>
    </xf>
    <xf numFmtId="0" fontId="2" fillId="0" borderId="0" xfId="14" applyFont="1" applyFill="1" applyBorder="1"/>
    <xf numFmtId="4" fontId="2" fillId="0" borderId="0" xfId="0" applyNumberFormat="1" applyFont="1" applyFill="1" applyBorder="1" applyAlignment="1">
      <alignment horizontal="center"/>
    </xf>
    <xf numFmtId="0" fontId="2" fillId="0" borderId="0" xfId="14" applyFont="1" applyFill="1"/>
    <xf numFmtId="0" fontId="87" fillId="5" borderId="287" xfId="0" applyFont="1" applyFill="1" applyBorder="1" applyAlignment="1">
      <alignment vertical="center" wrapText="1"/>
    </xf>
    <xf numFmtId="0" fontId="2" fillId="5" borderId="0" xfId="14" applyFont="1" applyFill="1" applyAlignment="1">
      <alignment horizontal="center"/>
    </xf>
    <xf numFmtId="0" fontId="2" fillId="0" borderId="0" xfId="14" applyFont="1" applyAlignment="1">
      <alignment horizontal="center"/>
    </xf>
    <xf numFmtId="0" fontId="89" fillId="5" borderId="0" xfId="14" applyFont="1" applyFill="1" applyAlignment="1">
      <alignment horizontal="center"/>
    </xf>
    <xf numFmtId="3" fontId="44" fillId="5" borderId="0" xfId="14" applyNumberFormat="1" applyFont="1" applyFill="1" applyAlignment="1">
      <alignment horizontal="center"/>
    </xf>
    <xf numFmtId="10" fontId="44" fillId="5" borderId="0" xfId="14" applyNumberFormat="1" applyFont="1" applyFill="1" applyAlignment="1">
      <alignment horizontal="center"/>
    </xf>
    <xf numFmtId="172" fontId="44" fillId="0" borderId="0" xfId="0" applyNumberFormat="1" applyFont="1"/>
    <xf numFmtId="172" fontId="44" fillId="5" borderId="26" xfId="0" applyNumberFormat="1" applyFont="1" applyFill="1" applyBorder="1" applyAlignment="1">
      <alignment horizontal="center" vertical="center" wrapText="1"/>
    </xf>
    <xf numFmtId="2" fontId="40" fillId="5" borderId="295" xfId="0" applyNumberFormat="1" applyFont="1" applyFill="1" applyBorder="1" applyAlignment="1">
      <alignment horizontal="center" vertical="center" wrapText="1"/>
    </xf>
    <xf numFmtId="2" fontId="40" fillId="9" borderId="293" xfId="0" applyNumberFormat="1" applyFont="1" applyFill="1" applyBorder="1" applyAlignment="1">
      <alignment horizontal="center" vertical="center" wrapText="1"/>
    </xf>
    <xf numFmtId="10" fontId="44" fillId="5" borderId="0" xfId="21" applyNumberFormat="1" applyFont="1" applyFill="1" applyAlignment="1">
      <alignment horizontal="center"/>
    </xf>
    <xf numFmtId="172" fontId="40" fillId="5" borderId="19" xfId="0" applyNumberFormat="1" applyFont="1" applyFill="1" applyBorder="1" applyAlignment="1">
      <alignment horizontal="center" vertical="center" wrapText="1"/>
    </xf>
    <xf numFmtId="172" fontId="44" fillId="5" borderId="0" xfId="8" applyNumberFormat="1" applyFont="1" applyFill="1" applyAlignment="1">
      <alignment horizontal="center"/>
    </xf>
    <xf numFmtId="0" fontId="88" fillId="20" borderId="292" xfId="0" applyFont="1" applyFill="1" applyBorder="1" applyAlignment="1">
      <alignment horizontal="center" wrapText="1"/>
    </xf>
    <xf numFmtId="0" fontId="2" fillId="0" borderId="295" xfId="0" applyFont="1" applyFill="1" applyBorder="1" applyAlignment="1">
      <alignment horizontal="center" vertical="center" wrapText="1"/>
    </xf>
    <xf numFmtId="0" fontId="44" fillId="11" borderId="3" xfId="20" applyNumberFormat="1" applyFont="1" applyFill="1" applyBorder="1" applyAlignment="1">
      <alignment horizontal="center" vertical="center" wrapText="1"/>
    </xf>
    <xf numFmtId="0" fontId="44" fillId="11" borderId="4" xfId="20" applyNumberFormat="1" applyFont="1" applyFill="1" applyBorder="1" applyAlignment="1">
      <alignment horizontal="center" vertical="center" wrapText="1"/>
    </xf>
    <xf numFmtId="4" fontId="5" fillId="8" borderId="3" xfId="7" applyNumberFormat="1" applyFont="1" applyFill="1" applyBorder="1" applyAlignment="1">
      <alignment horizontal="center" vertical="center"/>
    </xf>
    <xf numFmtId="4" fontId="40" fillId="8" borderId="4" xfId="7" applyNumberFormat="1" applyFont="1" applyFill="1" applyBorder="1" applyAlignment="1">
      <alignment horizontal="center" vertical="center"/>
    </xf>
    <xf numFmtId="4" fontId="40" fillId="9" borderId="10" xfId="6" applyNumberFormat="1" applyFont="1" applyFill="1" applyBorder="1" applyAlignment="1">
      <alignment horizontal="center" vertical="center"/>
    </xf>
    <xf numFmtId="4" fontId="40" fillId="9" borderId="2" xfId="6" applyNumberFormat="1" applyFont="1" applyFill="1" applyBorder="1" applyAlignment="1">
      <alignment horizontal="center" vertical="center"/>
    </xf>
    <xf numFmtId="4" fontId="40" fillId="9" borderId="15" xfId="6" applyNumberFormat="1" applyFont="1" applyFill="1" applyBorder="1" applyAlignment="1">
      <alignment horizontal="center" vertical="center"/>
    </xf>
    <xf numFmtId="7" fontId="2" fillId="5" borderId="287" xfId="8" applyNumberFormat="1" applyFont="1" applyFill="1" applyBorder="1" applyAlignment="1">
      <alignment horizontal="center" vertical="center" wrapText="1"/>
    </xf>
    <xf numFmtId="7" fontId="2" fillId="5" borderId="296" xfId="8" applyNumberFormat="1" applyFont="1" applyFill="1" applyBorder="1" applyAlignment="1">
      <alignment horizontal="center" vertical="center" wrapText="1"/>
    </xf>
    <xf numFmtId="7" fontId="2" fillId="5" borderId="291" xfId="8" applyNumberFormat="1" applyFont="1" applyFill="1" applyBorder="1" applyAlignment="1">
      <alignment horizontal="center" vertical="center" wrapText="1"/>
    </xf>
    <xf numFmtId="7" fontId="2" fillId="5" borderId="294" xfId="8" applyNumberFormat="1" applyFont="1" applyFill="1" applyBorder="1" applyAlignment="1">
      <alignment horizontal="center" vertical="center" wrapText="1"/>
    </xf>
    <xf numFmtId="7" fontId="89" fillId="5" borderId="0" xfId="8" applyNumberFormat="1" applyFont="1" applyFill="1" applyAlignment="1">
      <alignment horizontal="center"/>
    </xf>
    <xf numFmtId="172" fontId="40" fillId="5" borderId="287" xfId="8" applyNumberFormat="1" applyFont="1" applyFill="1" applyBorder="1" applyAlignment="1">
      <alignment horizontal="center" vertical="center" wrapText="1"/>
    </xf>
    <xf numFmtId="172" fontId="40" fillId="5" borderId="296" xfId="8" applyNumberFormat="1" applyFont="1" applyFill="1" applyBorder="1" applyAlignment="1">
      <alignment horizontal="center" vertical="center" wrapText="1"/>
    </xf>
    <xf numFmtId="172" fontId="40" fillId="5" borderId="291" xfId="8" applyNumberFormat="1" applyFont="1" applyFill="1" applyBorder="1" applyAlignment="1">
      <alignment horizontal="center" vertical="center" wrapText="1"/>
    </xf>
    <xf numFmtId="172" fontId="40" fillId="5" borderId="294" xfId="8" applyNumberFormat="1" applyFont="1" applyFill="1" applyBorder="1" applyAlignment="1">
      <alignment horizontal="center" vertical="center" wrapText="1"/>
    </xf>
    <xf numFmtId="172" fontId="44" fillId="5" borderId="0" xfId="8" applyNumberFormat="1" applyFont="1" applyFill="1"/>
    <xf numFmtId="172" fontId="40" fillId="5" borderId="0" xfId="8" applyNumberFormat="1" applyFont="1" applyFill="1"/>
    <xf numFmtId="172" fontId="40" fillId="5" borderId="0" xfId="0" applyNumberFormat="1" applyFont="1" applyFill="1"/>
    <xf numFmtId="172" fontId="40" fillId="0" borderId="0" xfId="8" applyNumberFormat="1" applyFont="1"/>
    <xf numFmtId="172" fontId="52" fillId="20" borderId="289" xfId="0" applyNumberFormat="1" applyFont="1" applyFill="1" applyBorder="1" applyAlignment="1">
      <alignment horizontal="center" wrapText="1"/>
    </xf>
    <xf numFmtId="172" fontId="52" fillId="20" borderId="290" xfId="8" applyNumberFormat="1" applyFont="1" applyFill="1" applyBorder="1" applyAlignment="1">
      <alignment horizontal="center" wrapText="1"/>
    </xf>
    <xf numFmtId="172" fontId="52" fillId="20" borderId="289" xfId="0" applyNumberFormat="1" applyFont="1" applyFill="1" applyBorder="1" applyAlignment="1">
      <alignment horizontal="center" vertical="center" wrapText="1"/>
    </xf>
    <xf numFmtId="172" fontId="52" fillId="20" borderId="290" xfId="0" applyNumberFormat="1" applyFont="1" applyFill="1" applyBorder="1" applyAlignment="1">
      <alignment horizontal="center" vertical="center" wrapText="1"/>
    </xf>
    <xf numFmtId="172" fontId="40" fillId="5" borderId="0" xfId="0" applyNumberFormat="1" applyFont="1" applyFill="1" applyAlignment="1">
      <alignment horizontal="center"/>
    </xf>
    <xf numFmtId="172" fontId="40" fillId="0" borderId="0" xfId="0" applyNumberFormat="1" applyFont="1"/>
    <xf numFmtId="172" fontId="52" fillId="20" borderId="290" xfId="8" applyNumberFormat="1" applyFont="1" applyFill="1" applyBorder="1" applyAlignment="1">
      <alignment horizontal="center" vertical="center" wrapText="1"/>
    </xf>
    <xf numFmtId="172" fontId="40" fillId="5" borderId="0" xfId="8" applyNumberFormat="1" applyFont="1" applyFill="1" applyBorder="1" applyAlignment="1">
      <alignment horizontal="center" vertical="center" wrapText="1"/>
    </xf>
    <xf numFmtId="194" fontId="40" fillId="9" borderId="291" xfId="8" applyNumberFormat="1" applyFont="1" applyFill="1" applyBorder="1" applyAlignment="1">
      <alignment horizontal="center" vertical="center" wrapText="1"/>
    </xf>
    <xf numFmtId="191" fontId="40" fillId="9" borderId="291" xfId="8" applyNumberFormat="1" applyFont="1" applyFill="1" applyBorder="1" applyAlignment="1">
      <alignment horizontal="center" vertical="center" wrapText="1"/>
    </xf>
    <xf numFmtId="172" fontId="40" fillId="16" borderId="291" xfId="8" applyNumberFormat="1" applyFont="1" applyFill="1" applyBorder="1" applyAlignment="1">
      <alignment horizontal="center" vertical="center" wrapText="1"/>
    </xf>
    <xf numFmtId="172" fontId="40" fillId="16" borderId="294" xfId="8" applyNumberFormat="1" applyFont="1" applyFill="1" applyBorder="1" applyAlignment="1">
      <alignment horizontal="center" vertical="center" wrapText="1"/>
    </xf>
    <xf numFmtId="195" fontId="40" fillId="9" borderId="291" xfId="0" applyNumberFormat="1" applyFont="1" applyFill="1" applyBorder="1" applyAlignment="1">
      <alignment horizontal="center" vertical="center" wrapText="1"/>
    </xf>
    <xf numFmtId="7" fontId="40" fillId="5" borderId="287" xfId="8" applyNumberFormat="1" applyFont="1" applyFill="1" applyBorder="1" applyAlignment="1">
      <alignment horizontal="center" vertical="center" wrapText="1"/>
    </xf>
    <xf numFmtId="7" fontId="40" fillId="5" borderId="296" xfId="8" applyNumberFormat="1" applyFont="1" applyFill="1" applyBorder="1" applyAlignment="1">
      <alignment horizontal="center" vertical="center" wrapText="1"/>
    </xf>
    <xf numFmtId="7" fontId="40" fillId="5" borderId="291" xfId="8" applyNumberFormat="1" applyFont="1" applyFill="1" applyBorder="1" applyAlignment="1">
      <alignment horizontal="center" vertical="center" wrapText="1"/>
    </xf>
    <xf numFmtId="7" fontId="40" fillId="5" borderId="294" xfId="8" applyNumberFormat="1" applyFont="1" applyFill="1" applyBorder="1" applyAlignment="1">
      <alignment horizontal="center" vertical="center" wrapText="1"/>
    </xf>
    <xf numFmtId="7" fontId="44" fillId="5" borderId="0" xfId="8" applyNumberFormat="1" applyFont="1" applyFill="1" applyAlignment="1">
      <alignment horizontal="center"/>
    </xf>
    <xf numFmtId="172" fontId="25" fillId="5" borderId="287" xfId="8" applyNumberFormat="1" applyFont="1" applyFill="1" applyBorder="1" applyAlignment="1">
      <alignment horizontal="center" vertical="center" wrapText="1"/>
    </xf>
    <xf numFmtId="172" fontId="25" fillId="5" borderId="296" xfId="8" applyNumberFormat="1" applyFont="1" applyFill="1" applyBorder="1" applyAlignment="1">
      <alignment horizontal="center" vertical="center" wrapText="1"/>
    </xf>
    <xf numFmtId="172" fontId="25" fillId="5" borderId="291" xfId="8" applyNumberFormat="1" applyFont="1" applyFill="1" applyBorder="1" applyAlignment="1">
      <alignment horizontal="center" vertical="center" wrapText="1"/>
    </xf>
    <xf numFmtId="172" fontId="25" fillId="5" borderId="294" xfId="8" applyNumberFormat="1" applyFont="1" applyFill="1" applyBorder="1" applyAlignment="1">
      <alignment horizontal="center" vertical="center" wrapText="1"/>
    </xf>
    <xf numFmtId="172" fontId="25" fillId="5" borderId="0" xfId="8" applyNumberFormat="1" applyFont="1" applyFill="1"/>
    <xf numFmtId="172" fontId="51" fillId="20" borderId="289" xfId="0" applyNumberFormat="1" applyFont="1" applyFill="1" applyBorder="1" applyAlignment="1">
      <alignment horizontal="center" wrapText="1"/>
    </xf>
    <xf numFmtId="172" fontId="51" fillId="20" borderId="290" xfId="0" applyNumberFormat="1" applyFont="1" applyFill="1" applyBorder="1" applyAlignment="1">
      <alignment horizontal="center" wrapText="1"/>
    </xf>
    <xf numFmtId="172" fontId="25" fillId="0" borderId="0" xfId="8" applyNumberFormat="1" applyFont="1"/>
    <xf numFmtId="172" fontId="30" fillId="5" borderId="354" xfId="8" applyNumberFormat="1" applyFont="1" applyFill="1" applyBorder="1" applyAlignment="1">
      <alignment horizontal="center" vertical="center" wrapText="1"/>
    </xf>
    <xf numFmtId="172" fontId="30" fillId="5" borderId="355" xfId="8" applyNumberFormat="1" applyFont="1" applyFill="1" applyBorder="1" applyAlignment="1">
      <alignment horizontal="center" vertical="center" wrapText="1"/>
    </xf>
    <xf numFmtId="172" fontId="0" fillId="0" borderId="0" xfId="0" applyNumberFormat="1" applyFont="1"/>
    <xf numFmtId="172" fontId="25" fillId="5" borderId="0" xfId="8" applyNumberFormat="1" applyFont="1" applyFill="1" applyAlignment="1">
      <alignment horizontal="center"/>
    </xf>
    <xf numFmtId="172" fontId="51" fillId="20" borderId="287" xfId="0" applyNumberFormat="1" applyFont="1" applyFill="1" applyBorder="1" applyAlignment="1">
      <alignment horizontal="center" wrapText="1"/>
    </xf>
    <xf numFmtId="172" fontId="25" fillId="0" borderId="0" xfId="0" applyNumberFormat="1" applyFont="1"/>
    <xf numFmtId="172" fontId="51" fillId="20" borderId="287" xfId="8" applyNumberFormat="1" applyFont="1" applyFill="1" applyBorder="1" applyAlignment="1">
      <alignment horizontal="center" wrapText="1"/>
    </xf>
    <xf numFmtId="172" fontId="30" fillId="5" borderId="288" xfId="8" applyNumberFormat="1" applyFont="1" applyFill="1" applyBorder="1" applyAlignment="1">
      <alignment horizontal="center" vertical="center" wrapText="1"/>
    </xf>
    <xf numFmtId="2" fontId="25" fillId="9" borderId="287" xfId="8" applyNumberFormat="1" applyFont="1" applyFill="1" applyBorder="1" applyAlignment="1">
      <alignment horizontal="center" vertical="center" wrapText="1"/>
    </xf>
    <xf numFmtId="172" fontId="25" fillId="16" borderId="287" xfId="8" applyNumberFormat="1" applyFont="1" applyFill="1" applyBorder="1" applyAlignment="1">
      <alignment horizontal="center" vertical="center" wrapText="1"/>
    </xf>
    <xf numFmtId="172" fontId="52" fillId="20" borderId="287" xfId="0" applyNumberFormat="1" applyFont="1" applyFill="1" applyBorder="1" applyAlignment="1">
      <alignment horizontal="center" wrapText="1"/>
    </xf>
    <xf numFmtId="172" fontId="40" fillId="16" borderId="287" xfId="8" applyNumberFormat="1" applyFont="1" applyFill="1" applyBorder="1" applyAlignment="1">
      <alignment horizontal="center" vertical="center" wrapText="1"/>
    </xf>
    <xf numFmtId="172" fontId="52" fillId="20" borderId="287" xfId="8" applyNumberFormat="1" applyFont="1" applyFill="1" applyBorder="1" applyAlignment="1">
      <alignment horizontal="center" wrapText="1"/>
    </xf>
    <xf numFmtId="172" fontId="44" fillId="5" borderId="288" xfId="8" applyNumberFormat="1" applyFont="1" applyFill="1" applyBorder="1" applyAlignment="1">
      <alignment horizontal="center" vertical="center" wrapText="1"/>
    </xf>
    <xf numFmtId="172" fontId="75" fillId="16" borderId="287" xfId="8" applyNumberFormat="1" applyFont="1" applyFill="1" applyBorder="1" applyAlignment="1">
      <alignment horizontal="center" vertical="center" wrapText="1"/>
    </xf>
    <xf numFmtId="172" fontId="47" fillId="5" borderId="0" xfId="8" applyNumberFormat="1" applyFont="1" applyFill="1" applyAlignment="1">
      <alignment horizontal="center"/>
    </xf>
    <xf numFmtId="172" fontId="47" fillId="5" borderId="0" xfId="8" applyNumberFormat="1" applyFont="1" applyFill="1"/>
    <xf numFmtId="172" fontId="75" fillId="5" borderId="0" xfId="8" applyNumberFormat="1" applyFont="1" applyFill="1"/>
    <xf numFmtId="172" fontId="75" fillId="5" borderId="0" xfId="0" applyNumberFormat="1" applyFont="1" applyFill="1"/>
    <xf numFmtId="172" fontId="75" fillId="0" borderId="0" xfId="8" applyNumberFormat="1" applyFont="1"/>
    <xf numFmtId="172" fontId="77" fillId="20" borderId="287" xfId="0" applyNumberFormat="1" applyFont="1" applyFill="1" applyBorder="1" applyAlignment="1">
      <alignment horizontal="center" wrapText="1"/>
    </xf>
    <xf numFmtId="172" fontId="75" fillId="5" borderId="0" xfId="14" applyNumberFormat="1" applyFont="1" applyFill="1"/>
    <xf numFmtId="172" fontId="75" fillId="0" borderId="0" xfId="0" applyNumberFormat="1" applyFont="1"/>
    <xf numFmtId="172" fontId="77" fillId="20" borderId="287" xfId="8" applyNumberFormat="1" applyFont="1" applyFill="1" applyBorder="1" applyAlignment="1">
      <alignment horizontal="center" wrapText="1"/>
    </xf>
    <xf numFmtId="172" fontId="47" fillId="5" borderId="288" xfId="8" applyNumberFormat="1" applyFont="1" applyFill="1" applyBorder="1" applyAlignment="1">
      <alignment horizontal="center" vertical="center" wrapText="1"/>
    </xf>
    <xf numFmtId="172" fontId="47" fillId="5" borderId="287" xfId="8" applyNumberFormat="1" applyFont="1" applyFill="1" applyBorder="1" applyAlignment="1">
      <alignment horizontal="center" vertical="center" wrapText="1"/>
    </xf>
    <xf numFmtId="2" fontId="75" fillId="9" borderId="287" xfId="8" applyNumberFormat="1" applyFont="1" applyFill="1" applyBorder="1" applyAlignment="1">
      <alignment horizontal="center" vertical="center" wrapText="1"/>
    </xf>
    <xf numFmtId="195" fontId="75" fillId="9" borderId="287" xfId="8" applyNumberFormat="1" applyFont="1" applyFill="1" applyBorder="1" applyAlignment="1">
      <alignment horizontal="center" vertical="center" wrapText="1"/>
    </xf>
    <xf numFmtId="196" fontId="75" fillId="9" borderId="287" xfId="8" applyNumberFormat="1" applyFont="1" applyFill="1" applyBorder="1" applyAlignment="1">
      <alignment horizontal="center"/>
    </xf>
    <xf numFmtId="0" fontId="10" fillId="5" borderId="0" xfId="14" applyFont="1" applyFill="1" applyBorder="1" applyAlignment="1">
      <alignment horizontal="center"/>
    </xf>
    <xf numFmtId="0" fontId="44" fillId="10" borderId="13" xfId="0" applyFont="1" applyFill="1" applyBorder="1" applyAlignment="1">
      <alignment horizontal="center" vertical="center"/>
    </xf>
    <xf numFmtId="0" fontId="44" fillId="10" borderId="14" xfId="0" applyFont="1" applyFill="1" applyBorder="1" applyAlignment="1">
      <alignment horizontal="center" vertical="center"/>
    </xf>
    <xf numFmtId="188" fontId="61" fillId="5" borderId="0" xfId="9" applyNumberFormat="1" applyFont="1" applyFill="1" applyBorder="1" applyAlignment="1">
      <alignment horizontal="center"/>
    </xf>
    <xf numFmtId="44" fontId="61" fillId="5" borderId="321" xfId="8" applyFont="1" applyFill="1" applyBorder="1" applyAlignment="1">
      <alignment horizontal="center"/>
    </xf>
    <xf numFmtId="44" fontId="61" fillId="5" borderId="356" xfId="8" applyFont="1" applyFill="1" applyBorder="1" applyAlignment="1">
      <alignment horizontal="center"/>
    </xf>
    <xf numFmtId="0" fontId="61" fillId="0" borderId="321" xfId="14" applyFont="1" applyBorder="1"/>
    <xf numFmtId="0" fontId="61" fillId="0" borderId="0" xfId="14" applyFont="1" applyBorder="1"/>
    <xf numFmtId="0" fontId="61" fillId="0" borderId="356" xfId="14" applyFont="1" applyBorder="1"/>
    <xf numFmtId="0" fontId="68" fillId="0" borderId="321" xfId="0" applyFont="1" applyBorder="1"/>
    <xf numFmtId="0" fontId="68" fillId="0" borderId="0" xfId="0" applyFont="1" applyBorder="1"/>
    <xf numFmtId="3" fontId="68" fillId="0" borderId="0" xfId="0" applyNumberFormat="1" applyFont="1" applyBorder="1" applyAlignment="1">
      <alignment horizontal="center"/>
    </xf>
    <xf numFmtId="188" fontId="61" fillId="0" borderId="0" xfId="9" applyNumberFormat="1" applyFont="1" applyFill="1" applyBorder="1" applyAlignment="1">
      <alignment horizontal="center"/>
    </xf>
    <xf numFmtId="4" fontId="61" fillId="5" borderId="321" xfId="7" applyNumberFormat="1" applyFont="1" applyFill="1" applyBorder="1" applyAlignment="1">
      <alignment horizontal="center" vertical="center" wrapText="1"/>
    </xf>
    <xf numFmtId="9" fontId="61" fillId="5" borderId="356" xfId="21" applyFont="1" applyFill="1" applyBorder="1" applyAlignment="1">
      <alignment horizontal="center"/>
    </xf>
    <xf numFmtId="4" fontId="61" fillId="0" borderId="321" xfId="7" applyNumberFormat="1" applyFont="1" applyFill="1" applyBorder="1" applyAlignment="1">
      <alignment horizontal="center" vertical="center" wrapText="1"/>
    </xf>
    <xf numFmtId="9" fontId="61" fillId="0" borderId="356" xfId="21" applyFont="1" applyFill="1" applyBorder="1" applyAlignment="1">
      <alignment horizontal="center"/>
    </xf>
    <xf numFmtId="0" fontId="61" fillId="0" borderId="0" xfId="0" applyFont="1" applyBorder="1"/>
    <xf numFmtId="0" fontId="61" fillId="0" borderId="356" xfId="0" applyFont="1" applyBorder="1"/>
    <xf numFmtId="44" fontId="95" fillId="5" borderId="321" xfId="8" applyFont="1" applyFill="1" applyBorder="1" applyAlignment="1">
      <alignment horizontal="center"/>
    </xf>
    <xf numFmtId="44" fontId="95" fillId="5" borderId="0" xfId="8" applyFont="1" applyFill="1" applyBorder="1" applyAlignment="1">
      <alignment horizontal="center"/>
    </xf>
    <xf numFmtId="44" fontId="95" fillId="5" borderId="356" xfId="8" applyFont="1" applyFill="1" applyBorder="1" applyAlignment="1">
      <alignment horizontal="center"/>
    </xf>
    <xf numFmtId="0" fontId="95" fillId="5" borderId="0" xfId="19" applyFont="1" applyFill="1" applyBorder="1" applyAlignment="1">
      <alignment horizontal="center" wrapText="1"/>
    </xf>
    <xf numFmtId="3" fontId="95" fillId="5" borderId="0" xfId="9" applyNumberFormat="1" applyFont="1" applyFill="1" applyBorder="1" applyAlignment="1">
      <alignment horizontal="center"/>
    </xf>
    <xf numFmtId="4" fontId="95" fillId="5" borderId="0" xfId="7" applyNumberFormat="1" applyFont="1" applyFill="1" applyBorder="1" applyAlignment="1">
      <alignment horizontal="center" vertical="center" wrapText="1"/>
    </xf>
    <xf numFmtId="191" fontId="95" fillId="5" borderId="0" xfId="9" applyNumberFormat="1" applyFont="1" applyFill="1" applyBorder="1" applyAlignment="1">
      <alignment horizontal="center"/>
    </xf>
    <xf numFmtId="43" fontId="95" fillId="5" borderId="0" xfId="7" applyFont="1" applyFill="1" applyBorder="1" applyAlignment="1">
      <alignment horizontal="left"/>
    </xf>
    <xf numFmtId="0" fontId="95" fillId="5" borderId="0" xfId="9" applyNumberFormat="1" applyFont="1" applyFill="1" applyBorder="1" applyAlignment="1">
      <alignment horizontal="left"/>
    </xf>
    <xf numFmtId="4" fontId="95" fillId="5" borderId="321" xfId="7" applyNumberFormat="1" applyFont="1" applyFill="1" applyBorder="1" applyAlignment="1">
      <alignment horizontal="center" vertical="center" wrapText="1"/>
    </xf>
    <xf numFmtId="4" fontId="95" fillId="5" borderId="0" xfId="0" applyNumberFormat="1" applyFont="1" applyFill="1" applyBorder="1" applyAlignment="1">
      <alignment horizontal="center" vertical="center" wrapText="1"/>
    </xf>
    <xf numFmtId="4" fontId="95" fillId="0" borderId="0" xfId="14" applyNumberFormat="1" applyFont="1" applyBorder="1" applyAlignment="1">
      <alignment horizontal="center"/>
    </xf>
    <xf numFmtId="4" fontId="95" fillId="5" borderId="0" xfId="0" applyNumberFormat="1" applyFont="1" applyFill="1" applyBorder="1" applyAlignment="1">
      <alignment horizontal="center"/>
    </xf>
    <xf numFmtId="10" fontId="95" fillId="5" borderId="0" xfId="21" applyNumberFormat="1" applyFont="1" applyFill="1" applyBorder="1" applyAlignment="1">
      <alignment horizontal="center"/>
    </xf>
    <xf numFmtId="9" fontId="95" fillId="5" borderId="356" xfId="21" applyFont="1" applyFill="1" applyBorder="1" applyAlignment="1">
      <alignment horizontal="center"/>
    </xf>
    <xf numFmtId="174" fontId="96" fillId="9" borderId="296" xfId="8" applyNumberFormat="1" applyFont="1" applyFill="1" applyBorder="1" applyAlignment="1">
      <alignment horizontal="center" vertical="center" wrapText="1"/>
    </xf>
    <xf numFmtId="174" fontId="96" fillId="9" borderId="296" xfId="0" applyNumberFormat="1" applyFont="1" applyFill="1" applyBorder="1" applyAlignment="1">
      <alignment horizontal="center" vertical="center" wrapText="1"/>
    </xf>
    <xf numFmtId="174" fontId="96" fillId="9" borderId="294" xfId="8" applyNumberFormat="1" applyFont="1" applyFill="1" applyBorder="1" applyAlignment="1">
      <alignment horizontal="center" vertical="center" wrapText="1"/>
    </xf>
    <xf numFmtId="0" fontId="96" fillId="9" borderId="291" xfId="0" applyFont="1" applyFill="1" applyBorder="1" applyAlignment="1">
      <alignment horizontal="center" vertical="center" wrapText="1"/>
    </xf>
    <xf numFmtId="4" fontId="96" fillId="9" borderId="294" xfId="0" applyNumberFormat="1" applyFont="1" applyFill="1" applyBorder="1" applyAlignment="1">
      <alignment horizontal="center" vertical="center" wrapText="1"/>
    </xf>
    <xf numFmtId="172" fontId="97" fillId="5" borderId="0" xfId="14" applyNumberFormat="1" applyFont="1" applyFill="1" applyBorder="1" applyAlignment="1">
      <alignment horizontal="center"/>
    </xf>
    <xf numFmtId="172" fontId="97" fillId="5" borderId="2" xfId="14" applyNumberFormat="1" applyFont="1" applyFill="1" applyBorder="1" applyAlignment="1">
      <alignment horizontal="center"/>
    </xf>
    <xf numFmtId="172" fontId="97" fillId="5" borderId="12" xfId="14" applyNumberFormat="1" applyFont="1" applyFill="1" applyBorder="1" applyAlignment="1">
      <alignment horizontal="center"/>
    </xf>
    <xf numFmtId="172" fontId="97" fillId="5" borderId="15" xfId="14" applyNumberFormat="1" applyFont="1" applyFill="1" applyBorder="1" applyAlignment="1">
      <alignment horizontal="center"/>
    </xf>
    <xf numFmtId="14" fontId="97" fillId="5" borderId="19" xfId="15" applyNumberFormat="1" applyFont="1" applyFill="1" applyBorder="1" applyAlignment="1">
      <alignment horizontal="center"/>
    </xf>
    <xf numFmtId="172" fontId="96" fillId="5" borderId="11" xfId="10" applyNumberFormat="1" applyFont="1" applyFill="1" applyBorder="1" applyAlignment="1">
      <alignment horizontal="center"/>
    </xf>
    <xf numFmtId="44" fontId="96" fillId="5" borderId="12" xfId="10" applyNumberFormat="1" applyFont="1" applyFill="1" applyBorder="1" applyAlignment="1">
      <alignment horizontal="center"/>
    </xf>
    <xf numFmtId="4" fontId="96" fillId="5" borderId="12" xfId="10" applyNumberFormat="1" applyFont="1" applyFill="1" applyBorder="1" applyAlignment="1">
      <alignment horizontal="center" vertical="center"/>
    </xf>
    <xf numFmtId="172" fontId="96" fillId="5" borderId="12" xfId="10" applyNumberFormat="1" applyFont="1" applyFill="1" applyBorder="1" applyAlignment="1">
      <alignment horizontal="center" vertical="center"/>
    </xf>
    <xf numFmtId="172" fontId="96" fillId="5" borderId="12" xfId="10" applyNumberFormat="1" applyFont="1" applyFill="1" applyBorder="1" applyAlignment="1">
      <alignment horizontal="center"/>
    </xf>
    <xf numFmtId="172" fontId="96" fillId="5" borderId="15" xfId="10" applyNumberFormat="1" applyFont="1" applyFill="1" applyBorder="1" applyAlignment="1">
      <alignment horizontal="center"/>
    </xf>
    <xf numFmtId="0" fontId="96" fillId="5" borderId="0" xfId="14" applyFont="1" applyFill="1"/>
    <xf numFmtId="0" fontId="96" fillId="0" borderId="0" xfId="14" applyFont="1"/>
    <xf numFmtId="16" fontId="97" fillId="5" borderId="0" xfId="2" applyNumberFormat="1" applyFont="1" applyFill="1" applyBorder="1" applyAlignment="1"/>
    <xf numFmtId="172" fontId="97" fillId="9" borderId="1" xfId="14" applyNumberFormat="1" applyFont="1" applyFill="1" applyBorder="1" applyAlignment="1">
      <alignment horizontal="right"/>
    </xf>
    <xf numFmtId="172" fontId="97" fillId="9" borderId="11" xfId="14" applyNumberFormat="1" applyFont="1" applyFill="1" applyBorder="1" applyAlignment="1">
      <alignment horizontal="right"/>
    </xf>
    <xf numFmtId="0" fontId="52" fillId="20" borderId="357" xfId="0" applyFont="1" applyFill="1" applyBorder="1" applyAlignment="1">
      <alignment horizontal="center" vertical="center" wrapText="1"/>
    </xf>
    <xf numFmtId="0" fontId="52" fillId="20" borderId="358" xfId="0" applyFont="1" applyFill="1" applyBorder="1" applyAlignment="1">
      <alignment horizontal="center" vertical="center" wrapText="1"/>
    </xf>
    <xf numFmtId="0" fontId="52" fillId="20" borderId="359" xfId="0" applyFont="1" applyFill="1" applyBorder="1" applyAlignment="1">
      <alignment horizontal="center" vertical="center" wrapText="1"/>
    </xf>
    <xf numFmtId="172" fontId="44" fillId="9" borderId="1" xfId="14" applyNumberFormat="1" applyFont="1" applyFill="1" applyBorder="1" applyAlignment="1">
      <alignment horizontal="right"/>
    </xf>
    <xf numFmtId="172" fontId="44" fillId="9" borderId="11" xfId="14" applyNumberFormat="1" applyFont="1" applyFill="1" applyBorder="1" applyAlignment="1">
      <alignment horizontal="right"/>
    </xf>
    <xf numFmtId="172" fontId="44" fillId="5" borderId="0" xfId="14" applyNumberFormat="1" applyFont="1" applyFill="1" applyBorder="1" applyAlignment="1">
      <alignment horizontal="center"/>
    </xf>
    <xf numFmtId="172" fontId="44" fillId="5" borderId="2" xfId="14" applyNumberFormat="1" applyFont="1" applyFill="1" applyBorder="1" applyAlignment="1">
      <alignment horizontal="center"/>
    </xf>
    <xf numFmtId="172" fontId="44" fillId="5" borderId="12" xfId="14" applyNumberFormat="1" applyFont="1" applyFill="1" applyBorder="1" applyAlignment="1">
      <alignment horizontal="center"/>
    </xf>
    <xf numFmtId="172" fontId="44" fillId="5" borderId="15" xfId="14" applyNumberFormat="1" applyFont="1" applyFill="1" applyBorder="1" applyAlignment="1">
      <alignment horizontal="center"/>
    </xf>
    <xf numFmtId="4" fontId="40" fillId="9" borderId="2" xfId="10" applyNumberFormat="1" applyFont="1" applyFill="1" applyBorder="1" applyAlignment="1">
      <alignment horizontal="center" vertical="center"/>
    </xf>
    <xf numFmtId="4" fontId="40" fillId="9" borderId="15" xfId="10" applyNumberFormat="1" applyFont="1" applyFill="1" applyBorder="1" applyAlignment="1">
      <alignment horizontal="center" vertical="center"/>
    </xf>
    <xf numFmtId="3" fontId="40" fillId="5" borderId="351" xfId="21" applyNumberFormat="1" applyFont="1" applyFill="1" applyBorder="1" applyAlignment="1">
      <alignment horizontal="center" vertical="center" wrapText="1"/>
    </xf>
    <xf numFmtId="3" fontId="40" fillId="5" borderId="353" xfId="21" applyNumberFormat="1" applyFont="1" applyFill="1" applyBorder="1" applyAlignment="1">
      <alignment horizontal="center" vertical="center" wrapText="1"/>
    </xf>
    <xf numFmtId="0" fontId="99" fillId="20" borderId="292" xfId="0" applyFont="1" applyFill="1" applyBorder="1" applyAlignment="1">
      <alignment horizontal="center" vertical="center" wrapText="1"/>
    </xf>
    <xf numFmtId="44" fontId="99" fillId="20" borderId="289" xfId="8" applyFont="1" applyFill="1" applyBorder="1" applyAlignment="1">
      <alignment horizontal="center" vertical="center" wrapText="1"/>
    </xf>
    <xf numFmtId="0" fontId="99" fillId="20" borderId="289" xfId="0" applyFont="1" applyFill="1" applyBorder="1" applyAlignment="1">
      <alignment horizontal="center" vertical="center" wrapText="1"/>
    </xf>
    <xf numFmtId="0" fontId="99" fillId="20" borderId="290" xfId="0" applyFont="1" applyFill="1" applyBorder="1" applyAlignment="1">
      <alignment horizontal="center" vertical="center" wrapText="1"/>
    </xf>
    <xf numFmtId="197" fontId="44" fillId="5" borderId="0" xfId="18" applyNumberFormat="1" applyFont="1" applyFill="1" applyBorder="1" applyAlignment="1">
      <alignment horizontal="center"/>
    </xf>
    <xf numFmtId="172" fontId="2" fillId="5" borderId="360" xfId="0" applyNumberFormat="1" applyFont="1" applyFill="1" applyBorder="1" applyAlignment="1">
      <alignment horizontal="center" vertical="center" wrapText="1"/>
    </xf>
    <xf numFmtId="44" fontId="2" fillId="5" borderId="294" xfId="8" applyFont="1" applyFill="1" applyBorder="1" applyAlignment="1">
      <alignment horizontal="center" vertical="center" wrapText="1"/>
    </xf>
    <xf numFmtId="3" fontId="89" fillId="5" borderId="291" xfId="0" applyNumberFormat="1" applyFont="1" applyFill="1" applyBorder="1" applyAlignment="1">
      <alignment horizontal="center" vertical="center" wrapText="1"/>
    </xf>
    <xf numFmtId="0" fontId="2" fillId="0" borderId="362" xfId="0" applyFont="1" applyFill="1" applyBorder="1" applyAlignment="1">
      <alignment horizontal="center" vertical="center" wrapText="1"/>
    </xf>
    <xf numFmtId="0" fontId="2" fillId="9" borderId="354" xfId="0" applyFont="1" applyFill="1" applyBorder="1" applyAlignment="1">
      <alignment horizontal="center" vertical="center" wrapText="1"/>
    </xf>
    <xf numFmtId="0" fontId="2" fillId="0" borderId="354" xfId="0" applyFont="1" applyFill="1" applyBorder="1" applyAlignment="1">
      <alignment horizontal="center" vertical="center" wrapText="1"/>
    </xf>
    <xf numFmtId="0" fontId="2" fillId="0" borderId="363" xfId="0" applyFont="1" applyFill="1" applyBorder="1" applyAlignment="1">
      <alignment horizontal="center" vertical="center" wrapText="1"/>
    </xf>
    <xf numFmtId="0" fontId="2" fillId="5" borderId="363" xfId="0" applyFont="1" applyFill="1" applyBorder="1" applyAlignment="1">
      <alignment horizontal="center" vertical="center" wrapText="1"/>
    </xf>
    <xf numFmtId="0" fontId="2" fillId="0" borderId="361" xfId="0" applyFont="1" applyFill="1" applyBorder="1" applyAlignment="1">
      <alignment horizontal="center" vertical="center" wrapText="1"/>
    </xf>
    <xf numFmtId="0" fontId="2" fillId="0" borderId="364" xfId="0" applyFont="1" applyFill="1" applyBorder="1" applyAlignment="1">
      <alignment horizontal="center" vertical="center" wrapText="1"/>
    </xf>
    <xf numFmtId="0" fontId="2" fillId="5" borderId="364" xfId="0" applyFont="1" applyFill="1" applyBorder="1" applyAlignment="1">
      <alignment horizontal="center" vertical="center" wrapText="1"/>
    </xf>
    <xf numFmtId="0" fontId="2" fillId="0" borderId="365" xfId="0" applyFont="1" applyFill="1" applyBorder="1" applyAlignment="1">
      <alignment horizontal="center" vertical="center" wrapText="1"/>
    </xf>
    <xf numFmtId="0" fontId="2" fillId="5" borderId="365" xfId="0" applyFont="1" applyFill="1" applyBorder="1" applyAlignment="1">
      <alignment horizontal="center" vertical="center" wrapText="1"/>
    </xf>
    <xf numFmtId="0" fontId="2" fillId="0" borderId="366" xfId="0" applyFont="1" applyFill="1" applyBorder="1" applyAlignment="1">
      <alignment horizontal="center" vertical="center" wrapText="1"/>
    </xf>
    <xf numFmtId="0" fontId="2" fillId="0" borderId="367" xfId="0" applyFont="1" applyFill="1" applyBorder="1" applyAlignment="1">
      <alignment horizontal="center" vertical="center" wrapText="1"/>
    </xf>
    <xf numFmtId="0" fontId="2" fillId="5" borderId="367" xfId="0" applyFont="1" applyFill="1" applyBorder="1" applyAlignment="1">
      <alignment horizontal="center" vertical="center" wrapText="1"/>
    </xf>
    <xf numFmtId="0" fontId="2" fillId="5" borderId="368" xfId="0" applyFont="1" applyFill="1" applyBorder="1" applyAlignment="1">
      <alignment horizontal="center" vertical="center" wrapText="1"/>
    </xf>
    <xf numFmtId="0" fontId="2" fillId="9" borderId="369" xfId="0" applyFont="1" applyFill="1" applyBorder="1" applyAlignment="1">
      <alignment horizontal="center" vertical="center" wrapText="1"/>
    </xf>
    <xf numFmtId="0" fontId="2" fillId="5" borderId="369" xfId="0" applyFont="1" applyFill="1" applyBorder="1" applyAlignment="1">
      <alignment horizontal="center" vertical="center" wrapText="1"/>
    </xf>
    <xf numFmtId="3" fontId="2" fillId="5" borderId="369" xfId="0" applyNumberFormat="1" applyFont="1" applyFill="1" applyBorder="1" applyAlignment="1">
      <alignment horizontal="center" vertical="center" wrapText="1"/>
    </xf>
    <xf numFmtId="9" fontId="2" fillId="5" borderId="369" xfId="21" applyFont="1" applyFill="1" applyBorder="1" applyAlignment="1">
      <alignment horizontal="center" vertical="center" wrapText="1"/>
    </xf>
    <xf numFmtId="172" fontId="2" fillId="5" borderId="369" xfId="0" applyNumberFormat="1" applyFont="1" applyFill="1" applyBorder="1" applyAlignment="1">
      <alignment horizontal="center" vertical="center" wrapText="1"/>
    </xf>
    <xf numFmtId="0" fontId="2" fillId="5" borderId="351" xfId="0" applyFont="1" applyFill="1" applyBorder="1" applyAlignment="1">
      <alignment vertical="center" wrapText="1"/>
    </xf>
    <xf numFmtId="0" fontId="98" fillId="2" borderId="0" xfId="22" applyBorder="1" applyAlignment="1">
      <alignment horizontal="center" vertical="center" wrapText="1"/>
    </xf>
    <xf numFmtId="0" fontId="40" fillId="5" borderId="354" xfId="0" applyFont="1" applyFill="1" applyBorder="1" applyAlignment="1">
      <alignment horizontal="left" vertical="center" wrapText="1"/>
    </xf>
    <xf numFmtId="0" fontId="25" fillId="0" borderId="18" xfId="14" applyFont="1" applyFill="1" applyBorder="1"/>
    <xf numFmtId="174" fontId="40" fillId="0" borderId="18" xfId="8" applyNumberFormat="1" applyFont="1" applyFill="1" applyBorder="1" applyAlignment="1">
      <alignment horizontal="center" vertical="center" wrapText="1"/>
    </xf>
    <xf numFmtId="0" fontId="40" fillId="0" borderId="0" xfId="14" applyFont="1" applyBorder="1"/>
    <xf numFmtId="172" fontId="2" fillId="5" borderId="294" xfId="0" applyNumberFormat="1" applyFont="1" applyFill="1" applyBorder="1" applyAlignment="1">
      <alignment horizontal="center" vertical="center" wrapText="1"/>
    </xf>
    <xf numFmtId="0" fontId="2" fillId="0" borderId="351" xfId="0" applyFont="1" applyFill="1" applyBorder="1" applyAlignment="1">
      <alignment horizontal="center" vertical="center" wrapText="1"/>
    </xf>
    <xf numFmtId="3" fontId="2" fillId="5" borderId="0" xfId="0" applyNumberFormat="1" applyFont="1" applyFill="1" applyBorder="1" applyAlignment="1">
      <alignment horizontal="center" vertical="center" wrapText="1"/>
    </xf>
    <xf numFmtId="0" fontId="2" fillId="0" borderId="293" xfId="0" applyFont="1" applyFill="1" applyBorder="1" applyAlignment="1">
      <alignment horizontal="center" vertical="center" wrapText="1"/>
    </xf>
    <xf numFmtId="0" fontId="2" fillId="0" borderId="291" xfId="0" applyFont="1" applyFill="1" applyBorder="1" applyAlignment="1">
      <alignment horizontal="center" vertical="center" wrapText="1"/>
    </xf>
    <xf numFmtId="0" fontId="2" fillId="0" borderId="291" xfId="0" applyFont="1" applyFill="1" applyBorder="1" applyAlignment="1">
      <alignment horizontal="left" vertical="center" wrapText="1"/>
    </xf>
    <xf numFmtId="3" fontId="2" fillId="0" borderId="291" xfId="0" applyNumberFormat="1" applyFont="1" applyFill="1" applyBorder="1" applyAlignment="1">
      <alignment horizontal="center" vertical="center" wrapText="1"/>
    </xf>
    <xf numFmtId="9" fontId="2" fillId="0" borderId="291" xfId="21" applyFont="1" applyFill="1" applyBorder="1" applyAlignment="1">
      <alignment horizontal="center" vertical="center" wrapText="1"/>
    </xf>
    <xf numFmtId="7" fontId="2" fillId="0" borderId="291" xfId="8" applyNumberFormat="1" applyFont="1" applyFill="1" applyBorder="1" applyAlignment="1">
      <alignment horizontal="center" vertical="center" wrapText="1"/>
    </xf>
    <xf numFmtId="7" fontId="2" fillId="0" borderId="294" xfId="8" applyNumberFormat="1" applyFont="1" applyFill="1" applyBorder="1" applyAlignment="1">
      <alignment horizontal="center" vertical="center" wrapText="1"/>
    </xf>
    <xf numFmtId="0" fontId="40" fillId="0" borderId="291" xfId="0" applyFont="1" applyFill="1" applyBorder="1" applyAlignment="1">
      <alignment horizontal="left" vertical="center" wrapText="1"/>
    </xf>
    <xf numFmtId="3" fontId="40" fillId="0" borderId="291" xfId="0" applyNumberFormat="1" applyFont="1" applyFill="1" applyBorder="1" applyAlignment="1">
      <alignment horizontal="center" vertical="center" wrapText="1"/>
    </xf>
    <xf numFmtId="9" fontId="40" fillId="0" borderId="291" xfId="21" applyFont="1" applyFill="1" applyBorder="1" applyAlignment="1">
      <alignment horizontal="center" vertical="center" wrapText="1"/>
    </xf>
    <xf numFmtId="44" fontId="40" fillId="0" borderId="291" xfId="8" applyFont="1" applyFill="1" applyBorder="1" applyAlignment="1">
      <alignment horizontal="center" vertical="center" wrapText="1"/>
    </xf>
    <xf numFmtId="44" fontId="40" fillId="0" borderId="294" xfId="8" applyFont="1" applyFill="1" applyBorder="1" applyAlignment="1">
      <alignment horizontal="center" vertical="center" wrapText="1"/>
    </xf>
    <xf numFmtId="0" fontId="0" fillId="0" borderId="0" xfId="0" applyAlignment="1">
      <alignment horizontal="left"/>
    </xf>
    <xf numFmtId="3" fontId="0" fillId="0" borderId="0" xfId="0" applyNumberFormat="1"/>
    <xf numFmtId="0" fontId="0" fillId="0" borderId="0" xfId="0" applyAlignment="1">
      <alignment horizontal="left" indent="1"/>
    </xf>
    <xf numFmtId="0" fontId="74" fillId="0" borderId="0" xfId="0" applyFont="1"/>
    <xf numFmtId="199" fontId="74" fillId="0" borderId="0" xfId="0" applyNumberFormat="1" applyFont="1" applyAlignment="1">
      <alignment horizontal="center"/>
    </xf>
    <xf numFmtId="198" fontId="74" fillId="0" borderId="0" xfId="0" applyNumberFormat="1" applyFont="1" applyAlignment="1">
      <alignment horizontal="center"/>
    </xf>
    <xf numFmtId="3" fontId="74" fillId="0" borderId="0" xfId="0" applyNumberFormat="1" applyFont="1" applyAlignment="1">
      <alignment horizontal="center"/>
    </xf>
    <xf numFmtId="0" fontId="74" fillId="0" borderId="0" xfId="0" applyFont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right" vertical="top" wrapText="1"/>
    </xf>
    <xf numFmtId="43" fontId="0" fillId="0" borderId="0" xfId="0" applyNumberFormat="1"/>
    <xf numFmtId="43" fontId="0" fillId="0" borderId="0" xfId="6" applyFont="1" applyAlignment="1">
      <alignment horizontal="center"/>
    </xf>
    <xf numFmtId="9" fontId="61" fillId="5" borderId="313" xfId="8" applyNumberFormat="1" applyFont="1" applyFill="1" applyBorder="1" applyAlignment="1">
      <alignment horizontal="center"/>
    </xf>
    <xf numFmtId="10" fontId="40" fillId="5" borderId="287" xfId="21" applyNumberFormat="1" applyFont="1" applyFill="1" applyBorder="1" applyAlignment="1">
      <alignment horizontal="center" vertical="center" wrapText="1"/>
    </xf>
    <xf numFmtId="10" fontId="40" fillId="5" borderId="291" xfId="21" applyNumberFormat="1" applyFont="1" applyFill="1" applyBorder="1" applyAlignment="1">
      <alignment horizontal="center" vertical="center" wrapText="1"/>
    </xf>
    <xf numFmtId="10" fontId="40" fillId="16" borderId="291" xfId="21" applyNumberFormat="1" applyFont="1" applyFill="1" applyBorder="1" applyAlignment="1">
      <alignment horizontal="center" vertical="center" wrapText="1"/>
    </xf>
    <xf numFmtId="172" fontId="44" fillId="5" borderId="0" xfId="8" applyNumberFormat="1" applyFont="1" applyFill="1" applyBorder="1" applyAlignment="1">
      <alignment horizontal="center" vertical="center" wrapText="1"/>
    </xf>
    <xf numFmtId="200" fontId="40" fillId="9" borderId="291" xfId="8" applyNumberFormat="1" applyFont="1" applyFill="1" applyBorder="1" applyAlignment="1">
      <alignment horizontal="center" vertical="center" wrapText="1"/>
    </xf>
    <xf numFmtId="4" fontId="40" fillId="8" borderId="3" xfId="7" applyNumberFormat="1" applyFont="1" applyFill="1" applyBorder="1" applyAlignment="1">
      <alignment horizontal="center" vertical="center"/>
    </xf>
    <xf numFmtId="3" fontId="61" fillId="5" borderId="0" xfId="9" applyNumberFormat="1" applyFont="1" applyFill="1" applyBorder="1" applyAlignment="1">
      <alignment horizontal="center"/>
    </xf>
    <xf numFmtId="0" fontId="61" fillId="5" borderId="0" xfId="9" applyNumberFormat="1" applyFont="1" applyFill="1" applyBorder="1" applyAlignment="1">
      <alignment horizontal="left"/>
    </xf>
    <xf numFmtId="0" fontId="40" fillId="9" borderId="354" xfId="0" applyFont="1" applyFill="1" applyBorder="1" applyAlignment="1">
      <alignment horizontal="center" vertical="center" wrapText="1"/>
    </xf>
    <xf numFmtId="0" fontId="40" fillId="5" borderId="354" xfId="0" applyFont="1" applyFill="1" applyBorder="1" applyAlignment="1">
      <alignment horizontal="center" vertical="center" wrapText="1"/>
    </xf>
    <xf numFmtId="0" fontId="44" fillId="12" borderId="4" xfId="14" applyFont="1" applyFill="1" applyBorder="1" applyAlignment="1"/>
    <xf numFmtId="0" fontId="44" fillId="12" borderId="10" xfId="14" applyFont="1" applyFill="1" applyBorder="1" applyAlignment="1"/>
    <xf numFmtId="4" fontId="40" fillId="9" borderId="12" xfId="6" applyNumberFormat="1" applyFont="1" applyFill="1" applyBorder="1" applyAlignment="1">
      <alignment horizontal="center" vertical="center"/>
    </xf>
    <xf numFmtId="3" fontId="40" fillId="13" borderId="0" xfId="14" applyNumberFormat="1" applyFont="1" applyFill="1" applyBorder="1" applyAlignment="1">
      <alignment horizontal="center"/>
    </xf>
    <xf numFmtId="3" fontId="40" fillId="13" borderId="12" xfId="14" applyNumberFormat="1" applyFont="1" applyFill="1" applyBorder="1" applyAlignment="1">
      <alignment horizontal="center"/>
    </xf>
    <xf numFmtId="0" fontId="44" fillId="11" borderId="11" xfId="20" applyNumberFormat="1" applyFont="1" applyFill="1" applyBorder="1" applyAlignment="1">
      <alignment horizontal="center" vertical="center" wrapText="1"/>
    </xf>
    <xf numFmtId="0" fontId="44" fillId="11" borderId="12" xfId="20" applyNumberFormat="1" applyFont="1" applyFill="1" applyBorder="1" applyAlignment="1">
      <alignment horizontal="center" vertical="center" wrapText="1"/>
    </xf>
    <xf numFmtId="0" fontId="44" fillId="11" borderId="15" xfId="20" applyNumberFormat="1" applyFont="1" applyFill="1" applyBorder="1" applyAlignment="1">
      <alignment horizontal="center" vertical="center" wrapText="1"/>
    </xf>
    <xf numFmtId="4" fontId="40" fillId="5" borderId="12" xfId="6" applyNumberFormat="1" applyFont="1" applyFill="1" applyBorder="1" applyAlignment="1">
      <alignment horizontal="center" vertical="center"/>
    </xf>
    <xf numFmtId="4" fontId="40" fillId="9" borderId="4" xfId="6" applyNumberFormat="1" applyFont="1" applyFill="1" applyBorder="1" applyAlignment="1">
      <alignment horizontal="center" vertical="center"/>
    </xf>
    <xf numFmtId="4" fontId="40" fillId="21" borderId="10" xfId="6" applyNumberFormat="1" applyFont="1" applyFill="1" applyBorder="1" applyAlignment="1">
      <alignment horizontal="center" vertical="center"/>
    </xf>
    <xf numFmtId="0" fontId="40" fillId="5" borderId="362" xfId="0" applyFont="1" applyFill="1" applyBorder="1" applyAlignment="1">
      <alignment horizontal="center" vertical="center" wrapText="1"/>
    </xf>
    <xf numFmtId="0" fontId="40" fillId="5" borderId="354" xfId="0" applyFont="1" applyFill="1" applyBorder="1" applyAlignment="1">
      <alignment vertical="center" wrapText="1"/>
    </xf>
    <xf numFmtId="3" fontId="40" fillId="5" borderId="354" xfId="0" applyNumberFormat="1" applyFont="1" applyFill="1" applyBorder="1" applyAlignment="1">
      <alignment horizontal="center" vertical="center" wrapText="1"/>
    </xf>
    <xf numFmtId="0" fontId="40" fillId="5" borderId="371" xfId="0" applyFont="1" applyFill="1" applyBorder="1" applyAlignment="1">
      <alignment horizontal="center" vertical="center" wrapText="1"/>
    </xf>
    <xf numFmtId="0" fontId="40" fillId="5" borderId="372" xfId="0" applyFont="1" applyFill="1" applyBorder="1" applyAlignment="1">
      <alignment horizontal="center" vertical="center" wrapText="1"/>
    </xf>
    <xf numFmtId="0" fontId="40" fillId="5" borderId="372" xfId="0" applyFont="1" applyFill="1" applyBorder="1" applyAlignment="1">
      <alignment vertical="center" wrapText="1"/>
    </xf>
    <xf numFmtId="3" fontId="40" fillId="5" borderId="372" xfId="0" applyNumberFormat="1" applyFont="1" applyFill="1" applyBorder="1" applyAlignment="1">
      <alignment horizontal="center" vertical="center" wrapText="1"/>
    </xf>
    <xf numFmtId="0" fontId="40" fillId="5" borderId="370" xfId="0" applyFont="1" applyFill="1" applyBorder="1" applyAlignment="1">
      <alignment vertical="center" wrapText="1"/>
    </xf>
    <xf numFmtId="0" fontId="44" fillId="10" borderId="14" xfId="0" applyFont="1" applyFill="1" applyBorder="1" applyAlignment="1">
      <alignment horizontal="center" vertical="center"/>
    </xf>
    <xf numFmtId="0" fontId="44" fillId="12" borderId="3" xfId="14" applyFont="1" applyFill="1" applyBorder="1" applyAlignment="1">
      <alignment horizontal="left"/>
    </xf>
    <xf numFmtId="0" fontId="44" fillId="12" borderId="4" xfId="14" applyFont="1" applyFill="1" applyBorder="1" applyAlignment="1">
      <alignment horizontal="left"/>
    </xf>
    <xf numFmtId="0" fontId="44" fillId="12" borderId="10" xfId="14" applyFont="1" applyFill="1" applyBorder="1" applyAlignment="1">
      <alignment horizontal="left"/>
    </xf>
    <xf numFmtId="0" fontId="44" fillId="15" borderId="0" xfId="20" applyNumberFormat="1" applyFont="1" applyFill="1" applyBorder="1" applyAlignment="1">
      <alignment horizontal="center" vertical="center" wrapText="1"/>
    </xf>
    <xf numFmtId="43" fontId="44" fillId="15" borderId="0" xfId="7" applyFont="1" applyFill="1" applyBorder="1" applyAlignment="1">
      <alignment horizontal="center" vertical="center" wrapText="1"/>
    </xf>
    <xf numFmtId="0" fontId="44" fillId="15" borderId="4" xfId="20" applyNumberFormat="1" applyFont="1" applyFill="1" applyBorder="1" applyAlignment="1">
      <alignment horizontal="center" vertical="center" wrapText="1"/>
    </xf>
    <xf numFmtId="43" fontId="44" fillId="15" borderId="10" xfId="7" applyFont="1" applyFill="1" applyBorder="1" applyAlignment="1">
      <alignment horizontal="center" vertical="center" wrapText="1"/>
    </xf>
    <xf numFmtId="0" fontId="44" fillId="11" borderId="10" xfId="20" applyNumberFormat="1" applyFont="1" applyFill="1" applyBorder="1" applyAlignment="1">
      <alignment horizontal="center" vertical="center" wrapText="1"/>
    </xf>
    <xf numFmtId="4" fontId="40" fillId="9" borderId="3" xfId="10" applyNumberFormat="1" applyFont="1" applyFill="1" applyBorder="1" applyAlignment="1">
      <alignment horizontal="center" vertical="center"/>
    </xf>
    <xf numFmtId="4" fontId="5" fillId="8" borderId="4" xfId="7" applyNumberFormat="1" applyFont="1" applyFill="1" applyBorder="1" applyAlignment="1">
      <alignment horizontal="center" vertical="center"/>
    </xf>
    <xf numFmtId="185" fontId="40" fillId="0" borderId="0" xfId="14" applyNumberFormat="1" applyFont="1" applyBorder="1"/>
    <xf numFmtId="0" fontId="100" fillId="0" borderId="0" xfId="0" applyFont="1" applyBorder="1" applyAlignment="1">
      <alignment vertical="center" wrapText="1"/>
    </xf>
    <xf numFmtId="4" fontId="100" fillId="0" borderId="0" xfId="0" applyNumberFormat="1" applyFont="1" applyBorder="1" applyAlignment="1">
      <alignment vertical="center" wrapText="1"/>
    </xf>
    <xf numFmtId="0" fontId="0" fillId="0" borderId="0" xfId="0" applyBorder="1"/>
    <xf numFmtId="3" fontId="100" fillId="0" borderId="0" xfId="0" applyNumberFormat="1" applyFont="1" applyBorder="1" applyAlignment="1">
      <alignment vertical="center" wrapText="1"/>
    </xf>
    <xf numFmtId="0" fontId="44" fillId="15" borderId="1" xfId="20" applyNumberFormat="1" applyFont="1" applyFill="1" applyBorder="1" applyAlignment="1">
      <alignment horizontal="center" vertical="center" wrapText="1"/>
    </xf>
    <xf numFmtId="43" fontId="44" fillId="15" borderId="2" xfId="7" applyFont="1" applyFill="1" applyBorder="1" applyAlignment="1">
      <alignment horizontal="center" vertical="center" wrapText="1"/>
    </xf>
    <xf numFmtId="4" fontId="40" fillId="21" borderId="15" xfId="6" applyNumberFormat="1" applyFont="1" applyFill="1" applyBorder="1" applyAlignment="1">
      <alignment horizontal="center" vertical="center"/>
    </xf>
    <xf numFmtId="4" fontId="40" fillId="9" borderId="3" xfId="6" applyNumberFormat="1" applyFont="1" applyFill="1" applyBorder="1" applyAlignment="1">
      <alignment horizontal="center" vertical="center"/>
    </xf>
    <xf numFmtId="44" fontId="40" fillId="0" borderId="0" xfId="14" applyNumberFormat="1" applyFont="1"/>
    <xf numFmtId="10" fontId="40" fillId="5" borderId="0" xfId="14" applyNumberFormat="1" applyFont="1" applyFill="1"/>
    <xf numFmtId="0" fontId="52" fillId="20" borderId="373" xfId="0" applyFont="1" applyFill="1" applyBorder="1" applyAlignment="1">
      <alignment horizontal="center" vertical="center" wrapText="1"/>
    </xf>
    <xf numFmtId="0" fontId="52" fillId="20" borderId="374" xfId="0" applyFont="1" applyFill="1" applyBorder="1" applyAlignment="1">
      <alignment horizontal="center" vertical="center" wrapText="1"/>
    </xf>
    <xf numFmtId="44" fontId="52" fillId="20" borderId="374" xfId="8" applyFont="1" applyFill="1" applyBorder="1" applyAlignment="1">
      <alignment horizontal="center" vertical="center" wrapText="1"/>
    </xf>
    <xf numFmtId="44" fontId="52" fillId="20" borderId="375" xfId="8" applyFont="1" applyFill="1" applyBorder="1" applyAlignment="1">
      <alignment horizontal="center" vertical="center" wrapText="1"/>
    </xf>
    <xf numFmtId="0" fontId="40" fillId="5" borderId="367" xfId="0" applyFont="1" applyFill="1" applyBorder="1" applyAlignment="1">
      <alignment horizontal="center" vertical="center" wrapText="1"/>
    </xf>
    <xf numFmtId="0" fontId="40" fillId="9" borderId="364" xfId="0" applyFont="1" applyFill="1" applyBorder="1" applyAlignment="1">
      <alignment horizontal="center" vertical="center" wrapText="1"/>
    </xf>
    <xf numFmtId="0" fontId="40" fillId="5" borderId="364" xfId="0" applyFont="1" applyFill="1" applyBorder="1" applyAlignment="1">
      <alignment horizontal="center" vertical="center" wrapText="1"/>
    </xf>
    <xf numFmtId="0" fontId="40" fillId="5" borderId="364" xfId="0" applyFont="1" applyFill="1" applyBorder="1" applyAlignment="1">
      <alignment horizontal="left" vertical="center" wrapText="1"/>
    </xf>
    <xf numFmtId="3" fontId="40" fillId="5" borderId="364" xfId="21" applyNumberFormat="1" applyFont="1" applyFill="1" applyBorder="1" applyAlignment="1">
      <alignment horizontal="center" vertical="center" wrapText="1"/>
    </xf>
    <xf numFmtId="10" fontId="40" fillId="5" borderId="364" xfId="21" applyNumberFormat="1" applyFont="1" applyFill="1" applyBorder="1" applyAlignment="1">
      <alignment horizontal="center" vertical="center" wrapText="1"/>
    </xf>
    <xf numFmtId="172" fontId="40" fillId="5" borderId="364" xfId="0" applyNumberFormat="1" applyFont="1" applyFill="1" applyBorder="1" applyAlignment="1">
      <alignment horizontal="center" vertical="center" wrapText="1"/>
    </xf>
    <xf numFmtId="172" fontId="44" fillId="5" borderId="376" xfId="0" applyNumberFormat="1" applyFont="1" applyFill="1" applyBorder="1" applyAlignment="1">
      <alignment horizontal="center" vertical="center" wrapText="1"/>
    </xf>
    <xf numFmtId="3" fontId="40" fillId="5" borderId="364" xfId="0" applyNumberFormat="1" applyFont="1" applyFill="1" applyBorder="1" applyAlignment="1">
      <alignment horizontal="center" vertical="center" wrapText="1"/>
    </xf>
    <xf numFmtId="0" fontId="40" fillId="5" borderId="364" xfId="0" applyFont="1" applyFill="1" applyBorder="1" applyAlignment="1">
      <alignment vertical="center" wrapText="1"/>
    </xf>
    <xf numFmtId="0" fontId="40" fillId="5" borderId="377" xfId="0" applyFont="1" applyFill="1" applyBorder="1" applyAlignment="1">
      <alignment horizontal="center" vertical="center" wrapText="1"/>
    </xf>
    <xf numFmtId="0" fontId="40" fillId="9" borderId="378" xfId="0" applyFont="1" applyFill="1" applyBorder="1" applyAlignment="1">
      <alignment horizontal="center" vertical="center" wrapText="1"/>
    </xf>
    <xf numFmtId="0" fontId="40" fillId="5" borderId="378" xfId="0" applyFont="1" applyFill="1" applyBorder="1" applyAlignment="1">
      <alignment horizontal="center" vertical="center" wrapText="1"/>
    </xf>
    <xf numFmtId="0" fontId="40" fillId="5" borderId="378" xfId="0" applyFont="1" applyFill="1" applyBorder="1" applyAlignment="1">
      <alignment horizontal="left" vertical="center" wrapText="1"/>
    </xf>
    <xf numFmtId="3" fontId="40" fillId="5" borderId="378" xfId="0" applyNumberFormat="1" applyFont="1" applyFill="1" applyBorder="1" applyAlignment="1">
      <alignment horizontal="center" vertical="center" wrapText="1"/>
    </xf>
    <xf numFmtId="10" fontId="40" fillId="5" borderId="378" xfId="0" applyNumberFormat="1" applyFont="1" applyFill="1" applyBorder="1" applyAlignment="1">
      <alignment horizontal="center" vertical="center" wrapText="1"/>
    </xf>
    <xf numFmtId="172" fontId="40" fillId="5" borderId="378" xfId="0" applyNumberFormat="1" applyFont="1" applyFill="1" applyBorder="1" applyAlignment="1">
      <alignment horizontal="center" vertical="center" wrapText="1"/>
    </xf>
    <xf numFmtId="172" fontId="44" fillId="5" borderId="379" xfId="0" applyNumberFormat="1" applyFont="1" applyFill="1" applyBorder="1" applyAlignment="1">
      <alignment horizontal="center" vertical="center" wrapText="1"/>
    </xf>
    <xf numFmtId="0" fontId="1" fillId="0" borderId="0" xfId="23"/>
    <xf numFmtId="0" fontId="1" fillId="0" borderId="0" xfId="23" applyAlignment="1">
      <alignment horizontal="center"/>
    </xf>
    <xf numFmtId="0" fontId="1" fillId="0" borderId="0" xfId="23" applyAlignment="1">
      <alignment horizontal="left"/>
    </xf>
    <xf numFmtId="0" fontId="1" fillId="0" borderId="0" xfId="23" applyFont="1"/>
    <xf numFmtId="0" fontId="1" fillId="0" borderId="0" xfId="23" applyFont="1" applyAlignment="1">
      <alignment horizontal="center"/>
    </xf>
    <xf numFmtId="0" fontId="1" fillId="0" borderId="0" xfId="23" applyBorder="1"/>
    <xf numFmtId="0" fontId="1" fillId="0" borderId="0" xfId="23" applyFill="1" applyBorder="1"/>
    <xf numFmtId="0" fontId="1" fillId="0" borderId="0" xfId="23" applyFill="1" applyBorder="1" applyAlignment="1">
      <alignment horizontal="center" vertical="center" wrapText="1"/>
    </xf>
    <xf numFmtId="0" fontId="1" fillId="0" borderId="0" xfId="23" applyAlignment="1">
      <alignment wrapText="1"/>
    </xf>
    <xf numFmtId="201" fontId="1" fillId="0" borderId="0" xfId="24" applyFont="1" applyFill="1" applyBorder="1" applyAlignment="1">
      <alignment horizontal="center" vertical="center" wrapText="1"/>
    </xf>
    <xf numFmtId="0" fontId="101" fillId="0" borderId="0" xfId="23" applyFont="1"/>
    <xf numFmtId="4" fontId="102" fillId="0" borderId="0" xfId="23" applyNumberFormat="1" applyFont="1" applyFill="1" applyBorder="1" applyAlignment="1">
      <alignment horizontal="center" vertical="center" wrapText="1"/>
    </xf>
    <xf numFmtId="4" fontId="102" fillId="0" borderId="0" xfId="23" applyNumberFormat="1" applyFont="1" applyFill="1" applyBorder="1" applyAlignment="1">
      <alignment horizontal="center" vertical="top" wrapText="1"/>
    </xf>
    <xf numFmtId="202" fontId="102" fillId="0" borderId="0" xfId="23" applyNumberFormat="1" applyFont="1" applyFill="1" applyBorder="1" applyAlignment="1">
      <alignment horizontal="center" vertical="center" wrapText="1"/>
    </xf>
    <xf numFmtId="0" fontId="102" fillId="0" borderId="0" xfId="23" applyFont="1" applyFill="1" applyBorder="1" applyAlignment="1">
      <alignment horizontal="center" vertical="center" wrapText="1"/>
    </xf>
    <xf numFmtId="0" fontId="88" fillId="0" borderId="0" xfId="23" applyFont="1" applyFill="1" applyBorder="1" applyAlignment="1">
      <alignment horizontal="center"/>
    </xf>
    <xf numFmtId="201" fontId="88" fillId="0" borderId="0" xfId="24" applyFont="1" applyFill="1" applyBorder="1" applyAlignment="1">
      <alignment horizontal="center"/>
    </xf>
    <xf numFmtId="0" fontId="103" fillId="0" borderId="0" xfId="23" applyFont="1" applyBorder="1" applyAlignment="1"/>
    <xf numFmtId="0" fontId="1" fillId="0" borderId="380" xfId="23" applyBorder="1"/>
    <xf numFmtId="0" fontId="103" fillId="0" borderId="0" xfId="23" applyFont="1" applyBorder="1" applyAlignment="1">
      <alignment horizontal="left"/>
    </xf>
    <xf numFmtId="0" fontId="1" fillId="0" borderId="0" xfId="23" applyFill="1"/>
    <xf numFmtId="0" fontId="1" fillId="0" borderId="0" xfId="23" applyFill="1" applyAlignment="1">
      <alignment horizontal="center"/>
    </xf>
    <xf numFmtId="203" fontId="19" fillId="0" borderId="0" xfId="23" applyNumberFormat="1" applyFont="1" applyFill="1" applyBorder="1"/>
    <xf numFmtId="174" fontId="19" fillId="0" borderId="0" xfId="25" applyNumberFormat="1" applyFont="1" applyFill="1" applyBorder="1" applyAlignment="1">
      <alignment horizontal="center"/>
    </xf>
    <xf numFmtId="203" fontId="19" fillId="0" borderId="0" xfId="25" applyNumberFormat="1" applyFont="1" applyFill="1" applyBorder="1"/>
    <xf numFmtId="203" fontId="19" fillId="0" borderId="0" xfId="25" applyNumberFormat="1" applyFont="1" applyFill="1" applyBorder="1" applyAlignment="1">
      <alignment horizontal="center"/>
    </xf>
    <xf numFmtId="204" fontId="19" fillId="0" borderId="0" xfId="23" applyNumberFormat="1" applyFont="1" applyFill="1" applyBorder="1" applyAlignment="1">
      <alignment horizontal="center"/>
    </xf>
    <xf numFmtId="0" fontId="19" fillId="0" borderId="0" xfId="23" applyFont="1" applyFill="1" applyBorder="1" applyAlignment="1">
      <alignment horizontal="center"/>
    </xf>
    <xf numFmtId="204" fontId="19" fillId="0" borderId="0" xfId="23" applyNumberFormat="1" applyFont="1" applyFill="1" applyBorder="1" applyAlignment="1" applyProtection="1">
      <alignment horizontal="center"/>
      <protection locked="0"/>
    </xf>
    <xf numFmtId="0" fontId="19" fillId="0" borderId="0" xfId="23" applyNumberFormat="1" applyFont="1" applyFill="1" applyBorder="1" applyAlignment="1">
      <alignment horizontal="center"/>
    </xf>
    <xf numFmtId="1" fontId="19" fillId="5" borderId="0" xfId="23" applyNumberFormat="1" applyFont="1" applyFill="1" applyBorder="1" applyAlignment="1">
      <alignment horizontal="center"/>
    </xf>
    <xf numFmtId="1" fontId="19" fillId="0" borderId="0" xfId="23" applyNumberFormat="1" applyFont="1" applyFill="1" applyBorder="1" applyAlignment="1">
      <alignment horizontal="center"/>
    </xf>
    <xf numFmtId="0" fontId="94" fillId="0" borderId="0" xfId="23" applyFont="1" applyFill="1"/>
    <xf numFmtId="174" fontId="19" fillId="0" borderId="0" xfId="26" applyNumberFormat="1" applyFont="1" applyFill="1" applyBorder="1" applyAlignment="1">
      <alignment horizontal="center"/>
    </xf>
    <xf numFmtId="203" fontId="19" fillId="0" borderId="0" xfId="25" applyFont="1" applyFill="1" applyBorder="1"/>
    <xf numFmtId="203" fontId="19" fillId="0" borderId="0" xfId="26" applyNumberFormat="1" applyFont="1" applyFill="1" applyBorder="1"/>
    <xf numFmtId="44" fontId="1" fillId="0" borderId="0" xfId="23" applyNumberFormat="1" applyFill="1" applyBorder="1"/>
    <xf numFmtId="0" fontId="1" fillId="0" borderId="0" xfId="23" applyFont="1" applyFill="1"/>
    <xf numFmtId="0" fontId="19" fillId="0" borderId="0" xfId="23" applyFont="1" applyFill="1"/>
    <xf numFmtId="203" fontId="19" fillId="0" borderId="0" xfId="25" applyFont="1" applyFill="1" applyBorder="1" applyAlignment="1">
      <alignment horizontal="center"/>
    </xf>
    <xf numFmtId="0" fontId="19" fillId="0" borderId="0" xfId="23" applyFont="1" applyFill="1" applyBorder="1"/>
    <xf numFmtId="0" fontId="19" fillId="0" borderId="0" xfId="26" applyFont="1" applyFill="1" applyBorder="1"/>
    <xf numFmtId="0" fontId="105" fillId="0" borderId="0" xfId="23" applyFont="1" applyFill="1" applyBorder="1" applyAlignment="1">
      <alignment horizontal="center"/>
    </xf>
    <xf numFmtId="49" fontId="19" fillId="0" borderId="0" xfId="23" applyNumberFormat="1" applyFont="1" applyFill="1" applyBorder="1" applyAlignment="1">
      <alignment horizontal="center"/>
    </xf>
    <xf numFmtId="204" fontId="19" fillId="0" borderId="0" xfId="23" applyNumberFormat="1" applyFont="1" applyFill="1" applyBorder="1" applyAlignment="1">
      <alignment horizontal="center" wrapText="1"/>
    </xf>
    <xf numFmtId="204" fontId="19" fillId="0" borderId="0" xfId="23" applyNumberFormat="1" applyFont="1" applyFill="1" applyBorder="1" applyAlignment="1" applyProtection="1">
      <alignment horizontal="center" wrapText="1"/>
      <protection locked="0"/>
    </xf>
    <xf numFmtId="17" fontId="106" fillId="0" borderId="381" xfId="25" applyNumberFormat="1" applyFont="1" applyFill="1" applyBorder="1" applyAlignment="1">
      <alignment horizontal="center" vertical="center" wrapText="1"/>
    </xf>
    <xf numFmtId="203" fontId="106" fillId="0" borderId="381" xfId="25" applyFont="1" applyFill="1" applyBorder="1" applyAlignment="1">
      <alignment horizontal="center" vertical="center" wrapText="1"/>
    </xf>
    <xf numFmtId="17" fontId="106" fillId="0" borderId="382" xfId="25" applyNumberFormat="1" applyFont="1" applyFill="1" applyBorder="1" applyAlignment="1">
      <alignment horizontal="center" vertical="center" wrapText="1"/>
    </xf>
    <xf numFmtId="44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right"/>
    </xf>
    <xf numFmtId="7" fontId="0" fillId="0" borderId="0" xfId="0" applyNumberFormat="1" applyAlignment="1">
      <alignment horizontal="center"/>
    </xf>
    <xf numFmtId="44" fontId="88" fillId="20" borderId="289" xfId="28" applyFont="1" applyFill="1" applyBorder="1" applyAlignment="1">
      <alignment horizontal="center" vertical="center" wrapText="1"/>
    </xf>
    <xf numFmtId="0" fontId="88" fillId="20" borderId="289" xfId="23" applyFont="1" applyFill="1" applyBorder="1" applyAlignment="1">
      <alignment horizontal="center" vertical="center" wrapText="1"/>
    </xf>
    <xf numFmtId="44" fontId="88" fillId="20" borderId="370" xfId="28" applyFont="1" applyFill="1" applyBorder="1" applyAlignment="1">
      <alignment horizontal="center" vertical="center" wrapText="1"/>
    </xf>
    <xf numFmtId="0" fontId="1" fillId="5" borderId="287" xfId="23" applyFont="1" applyFill="1" applyBorder="1" applyAlignment="1">
      <alignment vertical="center" wrapText="1"/>
    </xf>
    <xf numFmtId="3" fontId="1" fillId="5" borderId="287" xfId="23" applyNumberFormat="1" applyFont="1" applyFill="1" applyBorder="1" applyAlignment="1">
      <alignment horizontal="center" vertical="center" wrapText="1"/>
    </xf>
    <xf numFmtId="9" fontId="1" fillId="5" borderId="287" xfId="29" applyFont="1" applyFill="1" applyBorder="1" applyAlignment="1">
      <alignment horizontal="center" vertical="center" wrapText="1"/>
    </xf>
    <xf numFmtId="9" fontId="1" fillId="5" borderId="287" xfId="21" applyFont="1" applyFill="1" applyBorder="1" applyAlignment="1">
      <alignment horizontal="center" vertical="center" wrapText="1"/>
    </xf>
    <xf numFmtId="0" fontId="1" fillId="5" borderId="287" xfId="0" applyNumberFormat="1" applyFont="1" applyFill="1" applyBorder="1" applyAlignment="1" applyProtection="1">
      <alignment vertical="center" wrapText="1"/>
    </xf>
    <xf numFmtId="3" fontId="1" fillId="5" borderId="287" xfId="0" applyNumberFormat="1" applyFont="1" applyFill="1" applyBorder="1" applyAlignment="1" applyProtection="1">
      <alignment horizontal="center" vertical="center" wrapText="1"/>
    </xf>
    <xf numFmtId="9" fontId="1" fillId="5" borderId="287" xfId="21" applyNumberFormat="1" applyFont="1" applyFill="1" applyBorder="1" applyAlignment="1" applyProtection="1">
      <alignment horizontal="center" vertical="center" wrapText="1"/>
    </xf>
    <xf numFmtId="0" fontId="107" fillId="0" borderId="0" xfId="23" applyFont="1" applyFill="1" applyBorder="1" applyAlignment="1">
      <alignment horizontal="center"/>
    </xf>
    <xf numFmtId="1" fontId="107" fillId="0" borderId="0" xfId="23" applyNumberFormat="1" applyFont="1" applyFill="1" applyBorder="1" applyAlignment="1">
      <alignment horizontal="center"/>
    </xf>
    <xf numFmtId="0" fontId="107" fillId="0" borderId="0" xfId="23" applyNumberFormat="1" applyFont="1" applyFill="1" applyBorder="1" applyAlignment="1">
      <alignment horizontal="center"/>
    </xf>
    <xf numFmtId="203" fontId="107" fillId="0" borderId="0" xfId="26" applyNumberFormat="1" applyFont="1" applyFill="1"/>
    <xf numFmtId="174" fontId="107" fillId="0" borderId="0" xfId="26" applyNumberFormat="1" applyFont="1" applyFill="1" applyAlignment="1">
      <alignment horizontal="center"/>
    </xf>
    <xf numFmtId="174" fontId="107" fillId="0" borderId="0" xfId="8" applyNumberFormat="1" applyFont="1" applyFill="1" applyBorder="1" applyAlignment="1">
      <alignment horizontal="center"/>
    </xf>
    <xf numFmtId="203" fontId="107" fillId="0" borderId="0" xfId="23" applyNumberFormat="1" applyFont="1" applyFill="1" applyBorder="1"/>
    <xf numFmtId="0" fontId="0" fillId="0" borderId="0" xfId="23" applyNumberFormat="1" applyFont="1" applyFill="1" applyBorder="1" applyAlignment="1">
      <alignment horizontal="center"/>
    </xf>
    <xf numFmtId="0" fontId="10" fillId="5" borderId="0" xfId="14" applyFont="1" applyFill="1" applyBorder="1" applyAlignment="1">
      <alignment horizontal="center"/>
    </xf>
    <xf numFmtId="0" fontId="44" fillId="12" borderId="3" xfId="14" applyFont="1" applyFill="1" applyBorder="1" applyAlignment="1">
      <alignment horizontal="left"/>
    </xf>
    <xf numFmtId="0" fontId="44" fillId="12" borderId="4" xfId="14" applyFont="1" applyFill="1" applyBorder="1" applyAlignment="1">
      <alignment horizontal="left"/>
    </xf>
    <xf numFmtId="0" fontId="44" fillId="12" borderId="10" xfId="14" applyFont="1" applyFill="1" applyBorder="1" applyAlignment="1">
      <alignment horizontal="left"/>
    </xf>
    <xf numFmtId="191" fontId="19" fillId="0" borderId="0" xfId="25" applyNumberFormat="1" applyFont="1" applyFill="1" applyBorder="1" applyAlignment="1">
      <alignment horizontal="center"/>
    </xf>
    <xf numFmtId="191" fontId="19" fillId="0" borderId="0" xfId="26" applyNumberFormat="1" applyFont="1" applyFill="1" applyBorder="1" applyAlignment="1">
      <alignment horizontal="center"/>
    </xf>
    <xf numFmtId="191" fontId="107" fillId="0" borderId="0" xfId="26" applyNumberFormat="1" applyFont="1" applyFill="1" applyAlignment="1">
      <alignment horizontal="center"/>
    </xf>
    <xf numFmtId="7" fontId="40" fillId="5" borderId="0" xfId="10" applyNumberFormat="1" applyFont="1" applyFill="1" applyBorder="1" applyAlignment="1">
      <alignment horizontal="center"/>
    </xf>
    <xf numFmtId="0" fontId="44" fillId="15" borderId="16" xfId="20" applyNumberFormat="1" applyFont="1" applyFill="1" applyBorder="1" applyAlignment="1">
      <alignment horizontal="center" vertical="center" wrapText="1"/>
    </xf>
    <xf numFmtId="0" fontId="108" fillId="0" borderId="0" xfId="23" applyFont="1" applyFill="1" applyBorder="1" applyAlignment="1">
      <alignment horizontal="center"/>
    </xf>
    <xf numFmtId="1" fontId="108" fillId="0" borderId="0" xfId="23" applyNumberFormat="1" applyFont="1" applyFill="1" applyBorder="1" applyAlignment="1">
      <alignment horizontal="center"/>
    </xf>
    <xf numFmtId="0" fontId="108" fillId="0" borderId="0" xfId="23" applyNumberFormat="1" applyFont="1" applyFill="1" applyBorder="1" applyAlignment="1">
      <alignment horizontal="center"/>
    </xf>
    <xf numFmtId="204" fontId="108" fillId="0" borderId="0" xfId="23" applyNumberFormat="1" applyFont="1" applyFill="1" applyBorder="1" applyAlignment="1" applyProtection="1">
      <alignment horizontal="center"/>
      <protection locked="0"/>
    </xf>
    <xf numFmtId="0" fontId="108" fillId="0" borderId="0" xfId="26" applyFont="1" applyFill="1"/>
    <xf numFmtId="203" fontId="108" fillId="0" borderId="0" xfId="26" applyNumberFormat="1" applyFont="1" applyFill="1"/>
    <xf numFmtId="191" fontId="108" fillId="0" borderId="0" xfId="26" applyNumberFormat="1" applyFont="1" applyFill="1" applyAlignment="1">
      <alignment horizontal="center"/>
    </xf>
    <xf numFmtId="174" fontId="108" fillId="0" borderId="0" xfId="26" applyNumberFormat="1" applyFont="1" applyFill="1" applyAlignment="1">
      <alignment horizontal="center"/>
    </xf>
    <xf numFmtId="174" fontId="108" fillId="0" borderId="0" xfId="8" applyNumberFormat="1" applyFont="1" applyFill="1" applyBorder="1" applyAlignment="1">
      <alignment horizontal="center"/>
    </xf>
    <xf numFmtId="203" fontId="108" fillId="0" borderId="0" xfId="23" applyNumberFormat="1" applyFont="1" applyFill="1" applyBorder="1"/>
    <xf numFmtId="4" fontId="108" fillId="0" borderId="0" xfId="26" applyNumberFormat="1" applyFont="1" applyFill="1"/>
    <xf numFmtId="44" fontId="108" fillId="0" borderId="0" xfId="8" applyFont="1" applyFill="1"/>
    <xf numFmtId="0" fontId="10" fillId="5" borderId="0" xfId="14" applyFont="1" applyFill="1" applyBorder="1" applyAlignment="1">
      <alignment horizontal="center"/>
    </xf>
    <xf numFmtId="188" fontId="95" fillId="5" borderId="0" xfId="9" applyNumberFormat="1" applyFont="1" applyFill="1" applyBorder="1" applyAlignment="1">
      <alignment horizontal="center"/>
    </xf>
    <xf numFmtId="0" fontId="96" fillId="0" borderId="287" xfId="0" applyFont="1" applyFill="1" applyBorder="1" applyAlignment="1">
      <alignment horizontal="center" vertical="center" wrapText="1"/>
    </xf>
    <xf numFmtId="0" fontId="40" fillId="0" borderId="372" xfId="0" applyFont="1" applyFill="1" applyBorder="1" applyAlignment="1">
      <alignment horizontal="center" vertical="center" wrapText="1"/>
    </xf>
    <xf numFmtId="0" fontId="40" fillId="0" borderId="291" xfId="0" applyFont="1" applyFill="1" applyBorder="1" applyAlignment="1">
      <alignment vertical="center" wrapText="1"/>
    </xf>
    <xf numFmtId="10" fontId="40" fillId="0" borderId="287" xfId="21" applyNumberFormat="1" applyFont="1" applyFill="1" applyBorder="1" applyAlignment="1">
      <alignment horizontal="center" vertical="center" wrapText="1"/>
    </xf>
    <xf numFmtId="4" fontId="109" fillId="8" borderId="1" xfId="7" applyNumberFormat="1" applyFont="1" applyFill="1" applyBorder="1" applyAlignment="1">
      <alignment horizontal="center" vertical="center"/>
    </xf>
    <xf numFmtId="4" fontId="109" fillId="8" borderId="0" xfId="7" applyNumberFormat="1" applyFont="1" applyFill="1" applyBorder="1" applyAlignment="1">
      <alignment horizontal="center" vertical="center"/>
    </xf>
    <xf numFmtId="4" fontId="109" fillId="21" borderId="0" xfId="6" applyNumberFormat="1" applyFont="1" applyFill="1" applyBorder="1" applyAlignment="1">
      <alignment horizontal="center" vertical="center"/>
    </xf>
    <xf numFmtId="4" fontId="109" fillId="9" borderId="1" xfId="6" applyNumberFormat="1" applyFont="1" applyFill="1" applyBorder="1" applyAlignment="1">
      <alignment horizontal="center" vertical="center"/>
    </xf>
    <xf numFmtId="4" fontId="109" fillId="9" borderId="0" xfId="6" applyNumberFormat="1" applyFont="1" applyFill="1" applyBorder="1" applyAlignment="1">
      <alignment horizontal="center" vertical="center"/>
    </xf>
    <xf numFmtId="4" fontId="109" fillId="21" borderId="2" xfId="6" applyNumberFormat="1" applyFont="1" applyFill="1" applyBorder="1" applyAlignment="1">
      <alignment horizontal="center" vertical="center"/>
    </xf>
    <xf numFmtId="4" fontId="109" fillId="9" borderId="1" xfId="7" applyNumberFormat="1" applyFont="1" applyFill="1" applyBorder="1" applyAlignment="1">
      <alignment horizontal="center" vertical="center"/>
    </xf>
    <xf numFmtId="4" fontId="109" fillId="9" borderId="0" xfId="7" applyNumberFormat="1" applyFont="1" applyFill="1" applyBorder="1" applyAlignment="1">
      <alignment horizontal="center" vertical="center"/>
    </xf>
    <xf numFmtId="4" fontId="109" fillId="21" borderId="0" xfId="10" applyNumberFormat="1" applyFont="1" applyFill="1" applyBorder="1" applyAlignment="1">
      <alignment horizontal="center" vertical="center"/>
    </xf>
    <xf numFmtId="4" fontId="109" fillId="9" borderId="1" xfId="10" applyNumberFormat="1" applyFont="1" applyFill="1" applyBorder="1" applyAlignment="1">
      <alignment horizontal="center" vertical="center"/>
    </xf>
    <xf numFmtId="4" fontId="109" fillId="9" borderId="0" xfId="10" applyNumberFormat="1" applyFont="1" applyFill="1" applyBorder="1" applyAlignment="1">
      <alignment horizontal="center" vertical="center"/>
    </xf>
    <xf numFmtId="4" fontId="109" fillId="21" borderId="2" xfId="10" applyNumberFormat="1" applyFont="1" applyFill="1" applyBorder="1" applyAlignment="1">
      <alignment horizontal="center" vertical="center"/>
    </xf>
    <xf numFmtId="4" fontId="109" fillId="9" borderId="11" xfId="7" applyNumberFormat="1" applyFont="1" applyFill="1" applyBorder="1" applyAlignment="1">
      <alignment horizontal="center" vertical="center"/>
    </xf>
    <xf numFmtId="4" fontId="109" fillId="9" borderId="12" xfId="7" applyNumberFormat="1" applyFont="1" applyFill="1" applyBorder="1" applyAlignment="1">
      <alignment horizontal="center" vertical="center"/>
    </xf>
    <xf numFmtId="4" fontId="109" fillId="21" borderId="12" xfId="10" applyNumberFormat="1" applyFont="1" applyFill="1" applyBorder="1" applyAlignment="1">
      <alignment horizontal="center" vertical="center"/>
    </xf>
    <xf numFmtId="4" fontId="109" fillId="9" borderId="11" xfId="10" applyNumberFormat="1" applyFont="1" applyFill="1" applyBorder="1" applyAlignment="1">
      <alignment horizontal="center" vertical="center"/>
    </xf>
    <xf numFmtId="4" fontId="109" fillId="9" borderId="12" xfId="10" applyNumberFormat="1" applyFont="1" applyFill="1" applyBorder="1" applyAlignment="1">
      <alignment horizontal="center" vertical="center"/>
    </xf>
    <xf numFmtId="4" fontId="109" fillId="21" borderId="15" xfId="10" applyNumberFormat="1" applyFont="1" applyFill="1" applyBorder="1" applyAlignment="1">
      <alignment horizontal="center" vertical="center"/>
    </xf>
    <xf numFmtId="0" fontId="40" fillId="0" borderId="287" xfId="0" applyFont="1" applyFill="1" applyBorder="1" applyAlignment="1">
      <alignment horizontal="left" vertical="center" wrapText="1"/>
    </xf>
    <xf numFmtId="3" fontId="40" fillId="0" borderId="287" xfId="0" applyNumberFormat="1" applyFont="1" applyFill="1" applyBorder="1" applyAlignment="1">
      <alignment horizontal="center" vertical="center" wrapText="1"/>
    </xf>
    <xf numFmtId="9" fontId="40" fillId="0" borderId="287" xfId="21" applyFont="1" applyFill="1" applyBorder="1" applyAlignment="1">
      <alignment horizontal="center" vertical="center" wrapText="1"/>
    </xf>
    <xf numFmtId="44" fontId="40" fillId="0" borderId="287" xfId="8" applyFont="1" applyFill="1" applyBorder="1" applyAlignment="1">
      <alignment horizontal="center" vertical="center" wrapText="1"/>
    </xf>
    <xf numFmtId="44" fontId="40" fillId="0" borderId="296" xfId="8" applyFont="1" applyFill="1" applyBorder="1" applyAlignment="1">
      <alignment horizontal="center" vertical="center" wrapText="1"/>
    </xf>
    <xf numFmtId="0" fontId="40" fillId="0" borderId="370" xfId="0" applyFont="1" applyFill="1" applyBorder="1" applyAlignment="1">
      <alignment horizontal="center" vertical="center" wrapText="1"/>
    </xf>
    <xf numFmtId="0" fontId="0" fillId="0" borderId="0" xfId="23" applyFont="1" applyFill="1" applyBorder="1" applyAlignment="1">
      <alignment horizontal="center"/>
    </xf>
    <xf numFmtId="205" fontId="61" fillId="5" borderId="313" xfId="9" applyNumberFormat="1" applyFont="1" applyFill="1" applyBorder="1" applyAlignment="1">
      <alignment horizontal="center"/>
    </xf>
    <xf numFmtId="205" fontId="61" fillId="0" borderId="313" xfId="9" applyNumberFormat="1" applyFont="1" applyFill="1" applyBorder="1" applyAlignment="1">
      <alignment horizontal="center"/>
    </xf>
    <xf numFmtId="205" fontId="61" fillId="5" borderId="321" xfId="9" applyNumberFormat="1" applyFont="1" applyFill="1" applyBorder="1" applyAlignment="1">
      <alignment horizontal="center"/>
    </xf>
    <xf numFmtId="205" fontId="95" fillId="5" borderId="321" xfId="9" applyNumberFormat="1" applyFont="1" applyFill="1" applyBorder="1" applyAlignment="1">
      <alignment horizontal="center"/>
    </xf>
    <xf numFmtId="205" fontId="61" fillId="5" borderId="0" xfId="9" applyNumberFormat="1" applyFont="1" applyFill="1" applyBorder="1" applyAlignment="1">
      <alignment horizontal="center"/>
    </xf>
    <xf numFmtId="205" fontId="61" fillId="0" borderId="0" xfId="9" applyNumberFormat="1" applyFont="1" applyFill="1" applyBorder="1" applyAlignment="1">
      <alignment horizontal="center"/>
    </xf>
    <xf numFmtId="205" fontId="95" fillId="5" borderId="0" xfId="9" applyNumberFormat="1" applyFont="1" applyFill="1" applyBorder="1" applyAlignment="1">
      <alignment horizontal="center"/>
    </xf>
    <xf numFmtId="2" fontId="96" fillId="9" borderId="291" xfId="8" applyNumberFormat="1" applyFont="1" applyFill="1" applyBorder="1" applyAlignment="1">
      <alignment horizontal="center" vertical="center" wrapText="1"/>
    </xf>
    <xf numFmtId="2" fontId="40" fillId="9" borderId="291" xfId="8" applyNumberFormat="1" applyFont="1" applyFill="1" applyBorder="1" applyAlignment="1">
      <alignment horizontal="center" vertical="center" wrapText="1"/>
    </xf>
    <xf numFmtId="2" fontId="96" fillId="9" borderId="291" xfId="0" applyNumberFormat="1" applyFont="1" applyFill="1" applyBorder="1" applyAlignment="1">
      <alignment horizontal="center" vertical="center" wrapText="1"/>
    </xf>
    <xf numFmtId="0" fontId="10" fillId="5" borderId="0" xfId="14" applyFont="1" applyFill="1" applyBorder="1" applyAlignment="1">
      <alignment horizontal="center"/>
    </xf>
    <xf numFmtId="0" fontId="44" fillId="12" borderId="3" xfId="14" applyFont="1" applyFill="1" applyBorder="1" applyAlignment="1">
      <alignment horizontal="left"/>
    </xf>
    <xf numFmtId="0" fontId="44" fillId="12" borderId="4" xfId="14" applyFont="1" applyFill="1" applyBorder="1" applyAlignment="1">
      <alignment horizontal="left"/>
    </xf>
    <xf numFmtId="0" fontId="44" fillId="12" borderId="10" xfId="14" applyFont="1" applyFill="1" applyBorder="1" applyAlignment="1">
      <alignment horizontal="left"/>
    </xf>
    <xf numFmtId="0" fontId="44" fillId="12" borderId="3" xfId="14" applyFont="1" applyFill="1" applyBorder="1" applyAlignment="1">
      <alignment horizontal="left"/>
    </xf>
    <xf numFmtId="0" fontId="44" fillId="12" borderId="4" xfId="14" applyFont="1" applyFill="1" applyBorder="1" applyAlignment="1">
      <alignment horizontal="left"/>
    </xf>
    <xf numFmtId="0" fontId="44" fillId="12" borderId="10" xfId="14" applyFont="1" applyFill="1" applyBorder="1" applyAlignment="1">
      <alignment horizontal="left"/>
    </xf>
    <xf numFmtId="0" fontId="44" fillId="11" borderId="3" xfId="0" applyFont="1" applyFill="1" applyBorder="1" applyAlignment="1">
      <alignment horizontal="left"/>
    </xf>
    <xf numFmtId="0" fontId="44" fillId="11" borderId="4" xfId="0" applyFont="1" applyFill="1" applyBorder="1" applyAlignment="1">
      <alignment horizontal="left"/>
    </xf>
    <xf numFmtId="0" fontId="44" fillId="11" borderId="10" xfId="0" applyFont="1" applyFill="1" applyBorder="1" applyAlignment="1">
      <alignment horizontal="left"/>
    </xf>
    <xf numFmtId="0" fontId="44" fillId="15" borderId="3" xfId="0" applyFont="1" applyFill="1" applyBorder="1" applyAlignment="1">
      <alignment horizontal="left"/>
    </xf>
    <xf numFmtId="0" fontId="44" fillId="15" borderId="4" xfId="0" applyFont="1" applyFill="1" applyBorder="1" applyAlignment="1">
      <alignment horizontal="left"/>
    </xf>
    <xf numFmtId="0" fontId="44" fillId="15" borderId="10" xfId="0" applyFont="1" applyFill="1" applyBorder="1" applyAlignment="1">
      <alignment horizontal="left"/>
    </xf>
    <xf numFmtId="7" fontId="40" fillId="5" borderId="12" xfId="10" applyNumberFormat="1" applyFont="1" applyFill="1" applyBorder="1" applyAlignment="1">
      <alignment horizontal="center"/>
    </xf>
    <xf numFmtId="195" fontId="40" fillId="9" borderId="291" xfId="8" applyNumberFormat="1" applyFont="1" applyFill="1" applyBorder="1" applyAlignment="1">
      <alignment horizontal="center" vertical="center" wrapText="1"/>
    </xf>
    <xf numFmtId="4" fontId="109" fillId="8" borderId="3" xfId="7" applyNumberFormat="1" applyFont="1" applyFill="1" applyBorder="1" applyAlignment="1">
      <alignment horizontal="center" vertical="center"/>
    </xf>
    <xf numFmtId="4" fontId="109" fillId="8" borderId="4" xfId="7" applyNumberFormat="1" applyFont="1" applyFill="1" applyBorder="1" applyAlignment="1">
      <alignment horizontal="center" vertical="center"/>
    </xf>
    <xf numFmtId="4" fontId="109" fillId="21" borderId="10" xfId="6" applyNumberFormat="1" applyFont="1" applyFill="1" applyBorder="1" applyAlignment="1">
      <alignment horizontal="center" vertical="center"/>
    </xf>
    <xf numFmtId="4" fontId="109" fillId="9" borderId="10" xfId="6" applyNumberFormat="1" applyFont="1" applyFill="1" applyBorder="1" applyAlignment="1">
      <alignment horizontal="center" vertical="center"/>
    </xf>
    <xf numFmtId="4" fontId="109" fillId="9" borderId="2" xfId="6" applyNumberFormat="1" applyFont="1" applyFill="1" applyBorder="1" applyAlignment="1">
      <alignment horizontal="center" vertical="center"/>
    </xf>
    <xf numFmtId="4" fontId="109" fillId="9" borderId="15" xfId="6" applyNumberFormat="1" applyFont="1" applyFill="1" applyBorder="1" applyAlignment="1">
      <alignment horizontal="center" vertical="center"/>
    </xf>
    <xf numFmtId="3" fontId="0" fillId="5" borderId="287" xfId="0" applyNumberFormat="1" applyFont="1" applyFill="1" applyBorder="1" applyAlignment="1">
      <alignment horizontal="center" vertical="center" wrapText="1"/>
    </xf>
    <xf numFmtId="9" fontId="0" fillId="5" borderId="287" xfId="21" applyFont="1" applyFill="1" applyBorder="1" applyAlignment="1">
      <alignment horizontal="center" vertical="center" wrapText="1"/>
    </xf>
    <xf numFmtId="172" fontId="0" fillId="5" borderId="287" xfId="0" applyNumberFormat="1" applyFont="1" applyFill="1" applyBorder="1" applyAlignment="1">
      <alignment horizontal="center" vertical="center" wrapText="1"/>
    </xf>
    <xf numFmtId="172" fontId="0" fillId="5" borderId="296" xfId="0" applyNumberFormat="1" applyFont="1" applyFill="1" applyBorder="1" applyAlignment="1">
      <alignment horizontal="center" vertical="center" wrapText="1"/>
    </xf>
    <xf numFmtId="3" fontId="0" fillId="5" borderId="291" xfId="0" applyNumberFormat="1" applyFont="1" applyFill="1" applyBorder="1" applyAlignment="1">
      <alignment horizontal="center" vertical="center" wrapText="1"/>
    </xf>
    <xf numFmtId="172" fontId="0" fillId="5" borderId="291" xfId="0" applyNumberFormat="1" applyFont="1" applyFill="1" applyBorder="1" applyAlignment="1">
      <alignment horizontal="center" vertical="center" wrapText="1"/>
    </xf>
    <xf numFmtId="9" fontId="0" fillId="5" borderId="291" xfId="21" applyFont="1" applyFill="1" applyBorder="1" applyAlignment="1">
      <alignment horizontal="center" vertical="center" wrapText="1"/>
    </xf>
    <xf numFmtId="172" fontId="0" fillId="5" borderId="294" xfId="0" applyNumberFormat="1" applyFont="1" applyFill="1" applyBorder="1" applyAlignment="1">
      <alignment horizontal="center" vertical="center" wrapText="1"/>
    </xf>
    <xf numFmtId="4" fontId="109" fillId="9" borderId="3" xfId="6" applyNumberFormat="1" applyFont="1" applyFill="1" applyBorder="1" applyAlignment="1">
      <alignment horizontal="center" vertical="center"/>
    </xf>
    <xf numFmtId="44" fontId="67" fillId="5" borderId="321" xfId="8" applyFont="1" applyFill="1" applyBorder="1" applyAlignment="1">
      <alignment horizontal="center"/>
    </xf>
    <xf numFmtId="44" fontId="67" fillId="5" borderId="0" xfId="8" applyFont="1" applyFill="1" applyBorder="1" applyAlignment="1">
      <alignment horizontal="center"/>
    </xf>
    <xf numFmtId="44" fontId="67" fillId="5" borderId="356" xfId="8" applyFont="1" applyFill="1" applyBorder="1" applyAlignment="1">
      <alignment horizontal="center"/>
    </xf>
    <xf numFmtId="205" fontId="67" fillId="5" borderId="321" xfId="9" applyNumberFormat="1" applyFont="1" applyFill="1" applyBorder="1" applyAlignment="1">
      <alignment horizontal="center"/>
    </xf>
    <xf numFmtId="205" fontId="67" fillId="5" borderId="0" xfId="9" applyNumberFormat="1" applyFont="1" applyFill="1" applyBorder="1" applyAlignment="1">
      <alignment horizontal="center"/>
    </xf>
    <xf numFmtId="0" fontId="67" fillId="5" borderId="0" xfId="19" applyFont="1" applyFill="1" applyBorder="1" applyAlignment="1">
      <alignment horizontal="center" wrapText="1"/>
    </xf>
    <xf numFmtId="3" fontId="67" fillId="5" borderId="0" xfId="9" applyNumberFormat="1" applyFont="1" applyFill="1" applyBorder="1" applyAlignment="1">
      <alignment horizontal="center"/>
    </xf>
    <xf numFmtId="4" fontId="67" fillId="5" borderId="0" xfId="7" applyNumberFormat="1" applyFont="1" applyFill="1" applyBorder="1" applyAlignment="1">
      <alignment horizontal="center" vertical="center" wrapText="1"/>
    </xf>
    <xf numFmtId="191" fontId="67" fillId="5" borderId="0" xfId="9" applyNumberFormat="1" applyFont="1" applyFill="1" applyBorder="1" applyAlignment="1">
      <alignment horizontal="center"/>
    </xf>
    <xf numFmtId="43" fontId="67" fillId="5" borderId="0" xfId="7" applyFont="1" applyFill="1" applyBorder="1" applyAlignment="1">
      <alignment horizontal="left"/>
    </xf>
    <xf numFmtId="188" fontId="67" fillId="5" borderId="0" xfId="9" applyNumberFormat="1" applyFont="1" applyFill="1" applyBorder="1" applyAlignment="1">
      <alignment horizontal="center"/>
    </xf>
    <xf numFmtId="4" fontId="67" fillId="5" borderId="321" xfId="7" applyNumberFormat="1" applyFont="1" applyFill="1" applyBorder="1" applyAlignment="1">
      <alignment horizontal="center" vertical="center" wrapText="1"/>
    </xf>
    <xf numFmtId="4" fontId="67" fillId="5" borderId="0" xfId="0" applyNumberFormat="1" applyFont="1" applyFill="1" applyBorder="1" applyAlignment="1">
      <alignment horizontal="center" vertical="center" wrapText="1"/>
    </xf>
    <xf numFmtId="4" fontId="67" fillId="0" borderId="0" xfId="14" applyNumberFormat="1" applyFont="1" applyBorder="1" applyAlignment="1">
      <alignment horizontal="center"/>
    </xf>
    <xf numFmtId="4" fontId="67" fillId="5" borderId="0" xfId="0" applyNumberFormat="1" applyFont="1" applyFill="1" applyBorder="1" applyAlignment="1">
      <alignment horizontal="center"/>
    </xf>
    <xf numFmtId="10" fontId="67" fillId="5" borderId="0" xfId="21" applyNumberFormat="1" applyFont="1" applyFill="1" applyBorder="1" applyAlignment="1">
      <alignment horizontal="center"/>
    </xf>
    <xf numFmtId="9" fontId="67" fillId="5" borderId="356" xfId="21" applyFont="1" applyFill="1" applyBorder="1" applyAlignment="1">
      <alignment horizontal="center"/>
    </xf>
    <xf numFmtId="3" fontId="40" fillId="9" borderId="3" xfId="0" applyNumberFormat="1" applyFont="1" applyFill="1" applyBorder="1" applyAlignment="1">
      <alignment horizontal="center"/>
    </xf>
    <xf numFmtId="3" fontId="40" fillId="9" borderId="4" xfId="0" applyNumberFormat="1" applyFont="1" applyFill="1" applyBorder="1" applyAlignment="1">
      <alignment horizontal="center"/>
    </xf>
    <xf numFmtId="3" fontId="40" fillId="9" borderId="10" xfId="0" applyNumberFormat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4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14" fontId="0" fillId="0" borderId="0" xfId="0" applyNumberFormat="1"/>
    <xf numFmtId="4" fontId="40" fillId="5" borderId="4" xfId="6" applyNumberFormat="1" applyFont="1" applyFill="1" applyBorder="1" applyAlignment="1">
      <alignment horizontal="center" vertical="center"/>
    </xf>
    <xf numFmtId="4" fontId="75" fillId="9" borderId="4" xfId="0" applyNumberFormat="1" applyFont="1" applyFill="1" applyBorder="1" applyAlignment="1">
      <alignment horizontal="center"/>
    </xf>
    <xf numFmtId="4" fontId="75" fillId="9" borderId="10" xfId="0" applyNumberFormat="1" applyFont="1" applyFill="1" applyBorder="1" applyAlignment="1">
      <alignment horizontal="center"/>
    </xf>
    <xf numFmtId="4" fontId="75" fillId="9" borderId="0" xfId="0" applyNumberFormat="1" applyFont="1" applyFill="1" applyBorder="1" applyAlignment="1">
      <alignment horizontal="center"/>
    </xf>
    <xf numFmtId="4" fontId="75" fillId="9" borderId="2" xfId="0" applyNumberFormat="1" applyFont="1" applyFill="1" applyBorder="1" applyAlignment="1">
      <alignment horizontal="center"/>
    </xf>
    <xf numFmtId="4" fontId="75" fillId="9" borderId="12" xfId="0" applyNumberFormat="1" applyFont="1" applyFill="1" applyBorder="1" applyAlignment="1">
      <alignment horizontal="center"/>
    </xf>
    <xf numFmtId="4" fontId="75" fillId="9" borderId="15" xfId="0" applyNumberFormat="1" applyFont="1" applyFill="1" applyBorder="1" applyAlignment="1">
      <alignment horizontal="center"/>
    </xf>
    <xf numFmtId="4" fontId="2" fillId="9" borderId="0" xfId="0" applyNumberFormat="1" applyFont="1" applyFill="1" applyBorder="1" applyAlignment="1">
      <alignment horizontal="center"/>
    </xf>
    <xf numFmtId="4" fontId="89" fillId="0" borderId="15" xfId="14" applyNumberFormat="1" applyFont="1" applyBorder="1" applyAlignment="1">
      <alignment horizontal="center"/>
    </xf>
    <xf numFmtId="3" fontId="2" fillId="9" borderId="3" xfId="0" applyNumberFormat="1" applyFont="1" applyFill="1" applyBorder="1" applyAlignment="1">
      <alignment horizontal="center"/>
    </xf>
    <xf numFmtId="3" fontId="2" fillId="9" borderId="4" xfId="0" applyNumberFormat="1" applyFont="1" applyFill="1" applyBorder="1" applyAlignment="1">
      <alignment horizontal="center"/>
    </xf>
    <xf numFmtId="4" fontId="2" fillId="9" borderId="4" xfId="0" applyNumberFormat="1" applyFont="1" applyFill="1" applyBorder="1" applyAlignment="1">
      <alignment horizontal="center"/>
    </xf>
    <xf numFmtId="4" fontId="2" fillId="9" borderId="10" xfId="0" applyNumberFormat="1" applyFont="1" applyFill="1" applyBorder="1" applyAlignment="1">
      <alignment horizontal="center"/>
    </xf>
    <xf numFmtId="3" fontId="2" fillId="9" borderId="1" xfId="0" applyNumberFormat="1" applyFont="1" applyFill="1" applyBorder="1" applyAlignment="1">
      <alignment horizontal="center"/>
    </xf>
    <xf numFmtId="3" fontId="2" fillId="9" borderId="11" xfId="0" applyNumberFormat="1" applyFont="1" applyFill="1" applyBorder="1" applyAlignment="1">
      <alignment horizontal="center"/>
    </xf>
    <xf numFmtId="4" fontId="2" fillId="9" borderId="12" xfId="0" applyNumberFormat="1" applyFont="1" applyFill="1" applyBorder="1" applyAlignment="1">
      <alignment horizontal="center"/>
    </xf>
    <xf numFmtId="0" fontId="1" fillId="9" borderId="351" xfId="0" applyFont="1" applyFill="1" applyBorder="1" applyAlignment="1">
      <alignment horizontal="center" vertical="center" wrapText="1"/>
    </xf>
    <xf numFmtId="0" fontId="1" fillId="5" borderId="369" xfId="0" applyFont="1" applyFill="1" applyBorder="1" applyAlignment="1">
      <alignment horizontal="center" vertical="center" wrapText="1"/>
    </xf>
    <xf numFmtId="0" fontId="1" fillId="9" borderId="369" xfId="0" applyFont="1" applyFill="1" applyBorder="1" applyAlignment="1">
      <alignment horizontal="center" vertical="center" wrapText="1"/>
    </xf>
    <xf numFmtId="0" fontId="40" fillId="0" borderId="354" xfId="0" applyFont="1" applyFill="1" applyBorder="1" applyAlignment="1">
      <alignment horizontal="center" vertical="center" wrapText="1"/>
    </xf>
    <xf numFmtId="0" fontId="40" fillId="9" borderId="372" xfId="0" applyFont="1" applyFill="1" applyBorder="1" applyAlignment="1">
      <alignment horizontal="center" vertical="center" wrapText="1"/>
    </xf>
    <xf numFmtId="0" fontId="1" fillId="9" borderId="287" xfId="0" applyFont="1" applyFill="1" applyBorder="1" applyAlignment="1">
      <alignment horizontal="center" vertical="center" wrapText="1"/>
    </xf>
    <xf numFmtId="0" fontId="25" fillId="0" borderId="287" xfId="0" applyFont="1" applyFill="1" applyBorder="1" applyAlignment="1">
      <alignment horizontal="center" vertical="center" wrapText="1"/>
    </xf>
    <xf numFmtId="0" fontId="25" fillId="0" borderId="291" xfId="0" applyFont="1" applyFill="1" applyBorder="1" applyAlignment="1">
      <alignment horizontal="center" vertical="center" wrapText="1"/>
    </xf>
    <xf numFmtId="10" fontId="44" fillId="5" borderId="0" xfId="18" applyNumberFormat="1" applyFont="1" applyFill="1" applyBorder="1" applyAlignment="1">
      <alignment horizontal="center"/>
    </xf>
    <xf numFmtId="2" fontId="40" fillId="5" borderId="287" xfId="0" applyNumberFormat="1" applyFont="1" applyFill="1" applyBorder="1" applyAlignment="1">
      <alignment vertical="center" wrapText="1"/>
    </xf>
    <xf numFmtId="0" fontId="25" fillId="0" borderId="295" xfId="0" applyFont="1" applyFill="1" applyBorder="1" applyAlignment="1">
      <alignment horizontal="center" vertical="center" wrapText="1"/>
    </xf>
    <xf numFmtId="174" fontId="40" fillId="0" borderId="383" xfId="8" applyNumberFormat="1" applyFont="1" applyFill="1" applyBorder="1" applyAlignment="1">
      <alignment horizontal="center" vertical="center" wrapText="1"/>
    </xf>
    <xf numFmtId="4" fontId="40" fillId="9" borderId="291" xfId="8" applyNumberFormat="1" applyFont="1" applyFill="1" applyBorder="1" applyAlignment="1">
      <alignment horizontal="center" vertical="center" wrapText="1"/>
    </xf>
    <xf numFmtId="206" fontId="40" fillId="9" borderId="291" xfId="8" applyNumberFormat="1" applyFont="1" applyFill="1" applyBorder="1" applyAlignment="1">
      <alignment horizontal="center" vertical="center" wrapText="1"/>
    </xf>
    <xf numFmtId="2" fontId="2" fillId="9" borderId="291" xfId="8" applyNumberFormat="1" applyFont="1" applyFill="1" applyBorder="1" applyAlignment="1">
      <alignment horizontal="center" vertical="center" wrapText="1"/>
    </xf>
    <xf numFmtId="195" fontId="2" fillId="9" borderId="291" xfId="8" applyNumberFormat="1" applyFont="1" applyFill="1" applyBorder="1" applyAlignment="1">
      <alignment horizontal="center" vertical="center" wrapText="1"/>
    </xf>
    <xf numFmtId="2" fontId="25" fillId="9" borderId="291" xfId="8" applyNumberFormat="1" applyFont="1" applyFill="1" applyBorder="1" applyAlignment="1">
      <alignment horizontal="center" vertical="center" wrapText="1"/>
    </xf>
    <xf numFmtId="195" fontId="25" fillId="9" borderId="291" xfId="8" applyNumberFormat="1" applyFont="1" applyFill="1" applyBorder="1" applyAlignment="1">
      <alignment horizontal="center" vertical="center" wrapText="1"/>
    </xf>
    <xf numFmtId="195" fontId="25" fillId="9" borderId="287" xfId="8" applyNumberFormat="1" applyFont="1" applyFill="1" applyBorder="1" applyAlignment="1">
      <alignment horizontal="center" vertical="center" wrapText="1"/>
    </xf>
    <xf numFmtId="2" fontId="40" fillId="9" borderId="287" xfId="8" applyNumberFormat="1" applyFont="1" applyFill="1" applyBorder="1" applyAlignment="1">
      <alignment horizontal="center" vertical="center" wrapText="1"/>
    </xf>
    <xf numFmtId="195" fontId="40" fillId="9" borderId="287" xfId="8" applyNumberFormat="1" applyFont="1" applyFill="1" applyBorder="1" applyAlignment="1">
      <alignment horizontal="center" vertical="center" wrapText="1"/>
    </xf>
    <xf numFmtId="1" fontId="0" fillId="0" borderId="0" xfId="23" applyNumberFormat="1" applyFont="1" applyFill="1" applyBorder="1" applyAlignment="1">
      <alignment horizontal="center"/>
    </xf>
    <xf numFmtId="204" fontId="0" fillId="0" borderId="0" xfId="23" applyNumberFormat="1" applyFont="1" applyFill="1" applyBorder="1" applyAlignment="1" applyProtection="1">
      <alignment horizontal="center"/>
      <protection locked="0"/>
    </xf>
    <xf numFmtId="203" fontId="0" fillId="0" borderId="0" xfId="26" applyNumberFormat="1" applyFont="1" applyFill="1"/>
    <xf numFmtId="0" fontId="0" fillId="0" borderId="0" xfId="26" applyFont="1" applyFill="1" applyAlignment="1">
      <alignment horizontal="center"/>
    </xf>
    <xf numFmtId="191" fontId="0" fillId="0" borderId="0" xfId="26" applyNumberFormat="1" applyFont="1" applyFill="1" applyAlignment="1">
      <alignment horizontal="center"/>
    </xf>
    <xf numFmtId="174" fontId="0" fillId="0" borderId="0" xfId="26" applyNumberFormat="1" applyFont="1" applyFill="1" applyAlignment="1">
      <alignment horizontal="center"/>
    </xf>
    <xf numFmtId="174" fontId="0" fillId="0" borderId="0" xfId="8" applyNumberFormat="1" applyFont="1" applyFill="1" applyBorder="1" applyAlignment="1">
      <alignment horizontal="center"/>
    </xf>
    <xf numFmtId="203" fontId="0" fillId="0" borderId="0" xfId="23" applyNumberFormat="1" applyFont="1" applyFill="1" applyBorder="1"/>
    <xf numFmtId="172" fontId="0" fillId="0" borderId="0" xfId="26" applyNumberFormat="1" applyFont="1" applyFill="1"/>
    <xf numFmtId="44" fontId="0" fillId="0" borderId="0" xfId="8" applyFont="1" applyFill="1"/>
    <xf numFmtId="0" fontId="103" fillId="0" borderId="380" xfId="23" applyFont="1" applyBorder="1" applyAlignment="1">
      <alignment horizontal="left"/>
    </xf>
    <xf numFmtId="0" fontId="104" fillId="0" borderId="0" xfId="23" applyFont="1" applyBorder="1" applyAlignment="1">
      <alignment horizontal="left"/>
    </xf>
    <xf numFmtId="0" fontId="103" fillId="0" borderId="380" xfId="23" applyFont="1" applyBorder="1" applyAlignment="1">
      <alignment horizontal="center"/>
    </xf>
    <xf numFmtId="0" fontId="103" fillId="0" borderId="0" xfId="23" applyFont="1" applyBorder="1" applyAlignment="1">
      <alignment horizontal="left"/>
    </xf>
    <xf numFmtId="0" fontId="36" fillId="7" borderId="324" xfId="0" applyFont="1" applyFill="1" applyBorder="1" applyAlignment="1">
      <alignment horizontal="center" vertical="center" wrapText="1"/>
    </xf>
    <xf numFmtId="0" fontId="36" fillId="7" borderId="325" xfId="0" applyFont="1" applyFill="1" applyBorder="1" applyAlignment="1">
      <alignment horizontal="center" vertical="center" wrapText="1"/>
    </xf>
    <xf numFmtId="0" fontId="36" fillId="7" borderId="326" xfId="0" applyFont="1" applyFill="1" applyBorder="1" applyAlignment="1">
      <alignment horizontal="center" vertical="top" wrapText="1"/>
    </xf>
    <xf numFmtId="0" fontId="36" fillId="7" borderId="327" xfId="0" applyFont="1" applyFill="1" applyBorder="1" applyAlignment="1">
      <alignment horizontal="center" vertical="top" wrapText="1"/>
    </xf>
    <xf numFmtId="0" fontId="42" fillId="0" borderId="0" xfId="0" applyFont="1" applyAlignment="1">
      <alignment horizontal="center" vertical="center"/>
    </xf>
    <xf numFmtId="17" fontId="63" fillId="20" borderId="314" xfId="3" applyNumberFormat="1" applyFont="1" applyFill="1" applyBorder="1" applyAlignment="1">
      <alignment horizontal="center" wrapText="1"/>
    </xf>
    <xf numFmtId="17" fontId="63" fillId="20" borderId="331" xfId="3" applyNumberFormat="1" applyFont="1" applyFill="1" applyBorder="1" applyAlignment="1">
      <alignment horizontal="center" wrapText="1"/>
    </xf>
    <xf numFmtId="17" fontId="63" fillId="20" borderId="0" xfId="3" applyNumberFormat="1" applyFont="1" applyFill="1" applyBorder="1" applyAlignment="1">
      <alignment horizontal="center" wrapText="1"/>
    </xf>
    <xf numFmtId="17" fontId="63" fillId="20" borderId="332" xfId="3" applyNumberFormat="1" applyFont="1" applyFill="1" applyBorder="1" applyAlignment="1">
      <alignment horizontal="center" wrapText="1"/>
    </xf>
    <xf numFmtId="0" fontId="64" fillId="20" borderId="311" xfId="19" applyFont="1" applyFill="1" applyBorder="1" applyAlignment="1">
      <alignment horizontal="center" vertical="center" wrapText="1"/>
    </xf>
    <xf numFmtId="0" fontId="64" fillId="20" borderId="0" xfId="19" applyFont="1" applyFill="1" applyBorder="1" applyAlignment="1">
      <alignment horizontal="center" vertical="center" wrapText="1"/>
    </xf>
    <xf numFmtId="0" fontId="64" fillId="20" borderId="312" xfId="19" applyFont="1" applyFill="1" applyBorder="1" applyAlignment="1">
      <alignment horizontal="center" vertical="center" wrapText="1"/>
    </xf>
    <xf numFmtId="0" fontId="64" fillId="20" borderId="314" xfId="19" applyFont="1" applyFill="1" applyBorder="1" applyAlignment="1">
      <alignment horizontal="center" vertical="center" wrapText="1"/>
    </xf>
    <xf numFmtId="0" fontId="73" fillId="0" borderId="0" xfId="14" applyFont="1" applyAlignment="1">
      <alignment horizontal="left"/>
    </xf>
    <xf numFmtId="0" fontId="63" fillId="20" borderId="328" xfId="19" applyFont="1" applyFill="1" applyBorder="1" applyAlignment="1">
      <alignment horizontal="center" vertical="center" wrapText="1"/>
    </xf>
    <xf numFmtId="0" fontId="63" fillId="20" borderId="329" xfId="19" applyFont="1" applyFill="1" applyBorder="1" applyAlignment="1">
      <alignment horizontal="center" vertical="center" wrapText="1"/>
    </xf>
    <xf numFmtId="0" fontId="63" fillId="20" borderId="330" xfId="19" applyFont="1" applyFill="1" applyBorder="1" applyAlignment="1">
      <alignment horizontal="center" vertical="center" wrapText="1"/>
    </xf>
    <xf numFmtId="0" fontId="63" fillId="20" borderId="310" xfId="17" applyFont="1" applyFill="1" applyBorder="1" applyAlignment="1">
      <alignment horizontal="center"/>
    </xf>
    <xf numFmtId="0" fontId="63" fillId="20" borderId="311" xfId="17" applyFont="1" applyFill="1" applyBorder="1" applyAlignment="1">
      <alignment horizontal="center"/>
    </xf>
    <xf numFmtId="0" fontId="63" fillId="20" borderId="328" xfId="14" applyFont="1" applyFill="1" applyBorder="1" applyAlignment="1">
      <alignment horizontal="center"/>
    </xf>
    <xf numFmtId="0" fontId="63" fillId="20" borderId="329" xfId="14" applyFont="1" applyFill="1" applyBorder="1" applyAlignment="1">
      <alignment horizontal="center"/>
    </xf>
    <xf numFmtId="0" fontId="63" fillId="20" borderId="330" xfId="14" applyFont="1" applyFill="1" applyBorder="1" applyAlignment="1">
      <alignment horizontal="center"/>
    </xf>
    <xf numFmtId="0" fontId="46" fillId="5" borderId="0" xfId="14" applyFont="1" applyFill="1" applyAlignment="1">
      <alignment horizontal="center"/>
    </xf>
    <xf numFmtId="0" fontId="40" fillId="5" borderId="0" xfId="14" applyFont="1" applyFill="1" applyAlignment="1">
      <alignment horizontal="left" wrapText="1"/>
    </xf>
    <xf numFmtId="0" fontId="40" fillId="5" borderId="0" xfId="14" applyFont="1" applyFill="1" applyAlignment="1">
      <alignment horizontal="center" wrapText="1"/>
    </xf>
    <xf numFmtId="0" fontId="16" fillId="5" borderId="0" xfId="14" applyFont="1" applyFill="1" applyBorder="1" applyAlignment="1">
      <alignment horizontal="center" vertical="center" wrapText="1"/>
    </xf>
    <xf numFmtId="0" fontId="16" fillId="5" borderId="0" xfId="14" applyFont="1" applyFill="1" applyBorder="1" applyAlignment="1">
      <alignment horizontal="right" vertical="center" wrapText="1"/>
    </xf>
    <xf numFmtId="16" fontId="4" fillId="5" borderId="27" xfId="1" applyNumberFormat="1" applyFont="1" applyFill="1" applyBorder="1" applyAlignment="1">
      <alignment horizontal="center"/>
    </xf>
    <xf numFmtId="16" fontId="4" fillId="5" borderId="28" xfId="1" applyNumberFormat="1" applyFont="1" applyFill="1" applyBorder="1" applyAlignment="1">
      <alignment horizontal="center"/>
    </xf>
    <xf numFmtId="16" fontId="4" fillId="5" borderId="29" xfId="1" applyNumberFormat="1" applyFont="1" applyFill="1" applyBorder="1" applyAlignment="1">
      <alignment horizontal="center"/>
    </xf>
    <xf numFmtId="16" fontId="4" fillId="5" borderId="30" xfId="1" applyNumberFormat="1" applyFont="1" applyFill="1" applyBorder="1" applyAlignment="1">
      <alignment horizontal="center"/>
    </xf>
    <xf numFmtId="16" fontId="4" fillId="5" borderId="31" xfId="1" applyNumberFormat="1" applyFont="1" applyFill="1" applyBorder="1" applyAlignment="1">
      <alignment horizontal="center"/>
    </xf>
    <xf numFmtId="16" fontId="4" fillId="5" borderId="32" xfId="1" applyNumberFormat="1" applyFont="1" applyFill="1" applyBorder="1" applyAlignment="1">
      <alignment horizontal="center"/>
    </xf>
    <xf numFmtId="16" fontId="4" fillId="5" borderId="8" xfId="1" applyNumberFormat="1" applyFont="1" applyFill="1" applyBorder="1" applyAlignment="1">
      <alignment horizontal="center"/>
    </xf>
    <xf numFmtId="16" fontId="4" fillId="5" borderId="7" xfId="1" applyNumberFormat="1" applyFont="1" applyFill="1" applyBorder="1" applyAlignment="1">
      <alignment horizontal="center"/>
    </xf>
    <xf numFmtId="16" fontId="4" fillId="5" borderId="9" xfId="1" applyNumberFormat="1" applyFont="1" applyFill="1" applyBorder="1" applyAlignment="1">
      <alignment horizontal="center"/>
    </xf>
    <xf numFmtId="16" fontId="4" fillId="5" borderId="33" xfId="1" applyNumberFormat="1" applyFont="1" applyFill="1" applyBorder="1" applyAlignment="1">
      <alignment horizontal="center"/>
    </xf>
    <xf numFmtId="16" fontId="4" fillId="5" borderId="34" xfId="1" applyNumberFormat="1" applyFont="1" applyFill="1" applyBorder="1" applyAlignment="1">
      <alignment horizontal="center"/>
    </xf>
    <xf numFmtId="16" fontId="4" fillId="5" borderId="35" xfId="1" applyNumberFormat="1" applyFont="1" applyFill="1" applyBorder="1" applyAlignment="1">
      <alignment horizontal="center"/>
    </xf>
    <xf numFmtId="16" fontId="28" fillId="3" borderId="36" xfId="3" applyNumberFormat="1" applyFont="1" applyBorder="1" applyAlignment="1">
      <alignment horizontal="center"/>
    </xf>
    <xf numFmtId="16" fontId="28" fillId="3" borderId="37" xfId="3" applyNumberFormat="1" applyFont="1" applyBorder="1" applyAlignment="1">
      <alignment horizontal="center"/>
    </xf>
    <xf numFmtId="16" fontId="28" fillId="3" borderId="34" xfId="3" applyNumberFormat="1" applyFont="1" applyBorder="1" applyAlignment="1">
      <alignment horizontal="center"/>
    </xf>
    <xf numFmtId="44" fontId="29" fillId="3" borderId="38" xfId="9" applyFont="1" applyFill="1" applyBorder="1" applyAlignment="1">
      <alignment horizontal="center"/>
    </xf>
    <xf numFmtId="44" fontId="29" fillId="3" borderId="39" xfId="9" applyFont="1" applyFill="1" applyBorder="1" applyAlignment="1">
      <alignment horizontal="center"/>
    </xf>
    <xf numFmtId="0" fontId="32" fillId="5" borderId="9" xfId="14" applyFont="1" applyFill="1" applyBorder="1" applyAlignment="1">
      <alignment horizontal="center" vertical="center"/>
    </xf>
    <xf numFmtId="44" fontId="32" fillId="5" borderId="9" xfId="9" applyFont="1" applyFill="1" applyBorder="1" applyAlignment="1">
      <alignment horizontal="center" vertical="center"/>
    </xf>
    <xf numFmtId="49" fontId="32" fillId="5" borderId="9" xfId="9" applyNumberFormat="1" applyFont="1" applyFill="1" applyBorder="1" applyAlignment="1">
      <alignment horizontal="center" vertical="center"/>
    </xf>
    <xf numFmtId="0" fontId="32" fillId="5" borderId="23" xfId="14" applyFont="1" applyFill="1" applyBorder="1" applyAlignment="1">
      <alignment horizontal="center" vertical="center"/>
    </xf>
    <xf numFmtId="0" fontId="32" fillId="5" borderId="7" xfId="14" applyFont="1" applyFill="1" applyBorder="1" applyAlignment="1">
      <alignment horizontal="center" vertical="center"/>
    </xf>
    <xf numFmtId="44" fontId="32" fillId="5" borderId="23" xfId="9" applyFont="1" applyFill="1" applyBorder="1" applyAlignment="1">
      <alignment horizontal="center" vertical="center"/>
    </xf>
    <xf numFmtId="44" fontId="32" fillId="5" borderId="7" xfId="9" applyFont="1" applyFill="1" applyBorder="1" applyAlignment="1">
      <alignment horizontal="center" vertical="center"/>
    </xf>
    <xf numFmtId="49" fontId="32" fillId="5" borderId="23" xfId="9" applyNumberFormat="1" applyFont="1" applyFill="1" applyBorder="1" applyAlignment="1">
      <alignment horizontal="center" vertical="center"/>
    </xf>
    <xf numFmtId="49" fontId="32" fillId="5" borderId="7" xfId="9" applyNumberFormat="1" applyFont="1" applyFill="1" applyBorder="1" applyAlignment="1">
      <alignment horizontal="center" vertical="center"/>
    </xf>
    <xf numFmtId="165" fontId="57" fillId="4" borderId="32" xfId="4" applyNumberFormat="1" applyFont="1" applyBorder="1" applyAlignment="1">
      <alignment horizontal="center"/>
    </xf>
    <xf numFmtId="165" fontId="57" fillId="4" borderId="40" xfId="4" applyNumberFormat="1" applyFont="1" applyBorder="1" applyAlignment="1">
      <alignment horizontal="center"/>
    </xf>
    <xf numFmtId="4" fontId="29" fillId="3" borderId="0" xfId="9" applyNumberFormat="1" applyFont="1" applyFill="1" applyBorder="1" applyAlignment="1">
      <alignment horizontal="center"/>
    </xf>
    <xf numFmtId="0" fontId="31" fillId="3" borderId="23" xfId="3" applyNumberFormat="1" applyFont="1" applyBorder="1" applyAlignment="1">
      <alignment horizontal="center" vertical="center"/>
    </xf>
    <xf numFmtId="0" fontId="31" fillId="3" borderId="7" xfId="3" applyNumberFormat="1" applyFont="1" applyBorder="1" applyAlignment="1">
      <alignment horizontal="center" vertical="center"/>
    </xf>
    <xf numFmtId="0" fontId="31" fillId="3" borderId="9" xfId="3" applyNumberFormat="1" applyFont="1" applyBorder="1" applyAlignment="1">
      <alignment horizontal="center" vertical="center" wrapText="1"/>
    </xf>
    <xf numFmtId="165" fontId="57" fillId="6" borderId="7" xfId="4" applyNumberFormat="1" applyFont="1" applyFill="1" applyBorder="1" applyAlignment="1">
      <alignment horizontal="center"/>
    </xf>
    <xf numFmtId="165" fontId="57" fillId="6" borderId="24" xfId="4" applyNumberFormat="1" applyFont="1" applyFill="1" applyBorder="1" applyAlignment="1">
      <alignment horizontal="center"/>
    </xf>
    <xf numFmtId="165" fontId="57" fillId="6" borderId="9" xfId="4" applyNumberFormat="1" applyFont="1" applyFill="1" applyBorder="1" applyAlignment="1">
      <alignment horizontal="center"/>
    </xf>
    <xf numFmtId="165" fontId="57" fillId="6" borderId="32" xfId="4" applyNumberFormat="1" applyFont="1" applyFill="1" applyBorder="1" applyAlignment="1">
      <alignment horizontal="center"/>
    </xf>
    <xf numFmtId="165" fontId="57" fillId="6" borderId="40" xfId="4" applyNumberFormat="1" applyFont="1" applyFill="1" applyBorder="1" applyAlignment="1">
      <alignment horizontal="center"/>
    </xf>
    <xf numFmtId="0" fontId="27" fillId="3" borderId="4" xfId="3" applyNumberFormat="1" applyFont="1" applyBorder="1" applyAlignment="1">
      <alignment horizontal="center" vertical="center" wrapText="1"/>
    </xf>
    <xf numFmtId="0" fontId="27" fillId="3" borderId="10" xfId="3" applyNumberFormat="1" applyFont="1" applyBorder="1" applyAlignment="1">
      <alignment horizontal="center" vertical="center" wrapText="1"/>
    </xf>
    <xf numFmtId="165" fontId="57" fillId="4" borderId="9" xfId="4" applyNumberFormat="1" applyFont="1" applyBorder="1" applyAlignment="1">
      <alignment horizontal="center"/>
    </xf>
    <xf numFmtId="165" fontId="57" fillId="4" borderId="24" xfId="4" applyNumberFormat="1" applyFont="1" applyBorder="1" applyAlignment="1">
      <alignment horizontal="center"/>
    </xf>
    <xf numFmtId="14" fontId="58" fillId="5" borderId="0" xfId="14" applyNumberFormat="1" applyFont="1" applyFill="1" applyBorder="1" applyAlignment="1">
      <alignment horizontal="center"/>
    </xf>
    <xf numFmtId="14" fontId="58" fillId="5" borderId="2" xfId="14" applyNumberFormat="1" applyFont="1" applyFill="1" applyBorder="1" applyAlignment="1">
      <alignment horizontal="center"/>
    </xf>
    <xf numFmtId="0" fontId="3" fillId="5" borderId="3" xfId="14" applyFont="1" applyFill="1" applyBorder="1" applyAlignment="1">
      <alignment horizontal="center" wrapText="1"/>
    </xf>
    <xf numFmtId="0" fontId="3" fillId="5" borderId="4" xfId="14" applyFont="1" applyFill="1" applyBorder="1" applyAlignment="1">
      <alignment horizontal="center" wrapText="1"/>
    </xf>
    <xf numFmtId="0" fontId="3" fillId="5" borderId="10" xfId="14" applyFont="1" applyFill="1" applyBorder="1" applyAlignment="1">
      <alignment horizontal="center" wrapText="1"/>
    </xf>
    <xf numFmtId="0" fontId="3" fillId="5" borderId="1" xfId="14" applyFont="1" applyFill="1" applyBorder="1" applyAlignment="1">
      <alignment horizontal="center" wrapText="1"/>
    </xf>
    <xf numFmtId="0" fontId="3" fillId="5" borderId="0" xfId="14" applyFont="1" applyFill="1" applyBorder="1" applyAlignment="1">
      <alignment horizontal="center" wrapText="1"/>
    </xf>
    <xf numFmtId="0" fontId="3" fillId="5" borderId="2" xfId="14" applyFont="1" applyFill="1" applyBorder="1" applyAlignment="1">
      <alignment horizontal="center" wrapText="1"/>
    </xf>
    <xf numFmtId="0" fontId="3" fillId="5" borderId="1" xfId="14" applyFont="1" applyFill="1" applyBorder="1" applyAlignment="1">
      <alignment horizontal="center"/>
    </xf>
    <xf numFmtId="0" fontId="3" fillId="5" borderId="0" xfId="14" applyFont="1" applyFill="1" applyBorder="1" applyAlignment="1">
      <alignment horizontal="center"/>
    </xf>
    <xf numFmtId="0" fontId="3" fillId="5" borderId="2" xfId="14" applyFont="1" applyFill="1" applyBorder="1" applyAlignment="1">
      <alignment horizontal="center"/>
    </xf>
    <xf numFmtId="0" fontId="35" fillId="6" borderId="1" xfId="4" applyFont="1" applyFill="1" applyBorder="1" applyAlignment="1">
      <alignment horizontal="center"/>
    </xf>
    <xf numFmtId="0" fontId="35" fillId="6" borderId="0" xfId="4" applyFont="1" applyFill="1" applyBorder="1" applyAlignment="1">
      <alignment horizontal="center"/>
    </xf>
    <xf numFmtId="44" fontId="27" fillId="6" borderId="22" xfId="12" applyFont="1" applyFill="1" applyBorder="1" applyAlignment="1">
      <alignment horizontal="center" vertical="center" wrapText="1"/>
    </xf>
    <xf numFmtId="44" fontId="27" fillId="6" borderId="41" xfId="12" applyFont="1" applyFill="1" applyBorder="1" applyAlignment="1">
      <alignment horizontal="center" vertical="center" wrapText="1"/>
    </xf>
    <xf numFmtId="3" fontId="25" fillId="9" borderId="23" xfId="0" applyNumberFormat="1" applyFont="1" applyFill="1" applyBorder="1" applyAlignment="1">
      <alignment horizontal="center"/>
    </xf>
    <xf numFmtId="3" fontId="25" fillId="9" borderId="7" xfId="0" applyNumberFormat="1" applyFont="1" applyFill="1" applyBorder="1" applyAlignment="1">
      <alignment horizontal="center"/>
    </xf>
    <xf numFmtId="16" fontId="3" fillId="5" borderId="0" xfId="2" applyNumberFormat="1" applyFont="1" applyFill="1" applyBorder="1" applyAlignment="1">
      <alignment horizontal="left"/>
    </xf>
    <xf numFmtId="16" fontId="3" fillId="5" borderId="12" xfId="2" applyNumberFormat="1" applyFont="1" applyFill="1" applyBorder="1" applyAlignment="1">
      <alignment horizontal="left"/>
    </xf>
    <xf numFmtId="0" fontId="30" fillId="12" borderId="3" xfId="14" applyFont="1" applyFill="1" applyBorder="1" applyAlignment="1">
      <alignment horizontal="left"/>
    </xf>
    <xf numFmtId="0" fontId="30" fillId="12" borderId="4" xfId="14" applyFont="1" applyFill="1" applyBorder="1" applyAlignment="1">
      <alignment horizontal="left"/>
    </xf>
    <xf numFmtId="0" fontId="30" fillId="12" borderId="10" xfId="14" applyFont="1" applyFill="1" applyBorder="1" applyAlignment="1">
      <alignment horizontal="left"/>
    </xf>
    <xf numFmtId="0" fontId="25" fillId="5" borderId="0" xfId="0" applyFont="1" applyFill="1" applyBorder="1" applyAlignment="1">
      <alignment horizontal="left" wrapText="1"/>
    </xf>
    <xf numFmtId="17" fontId="3" fillId="5" borderId="0" xfId="14" applyNumberFormat="1" applyFont="1" applyFill="1" applyBorder="1" applyAlignment="1">
      <alignment horizontal="center"/>
    </xf>
    <xf numFmtId="0" fontId="10" fillId="6" borderId="0" xfId="0" applyFont="1" applyFill="1" applyBorder="1" applyAlignment="1">
      <alignment horizontal="center" vertical="center" wrapText="1"/>
    </xf>
    <xf numFmtId="0" fontId="40" fillId="5" borderId="0" xfId="0" applyFont="1" applyFill="1" applyBorder="1" applyAlignment="1">
      <alignment horizontal="left" wrapText="1"/>
    </xf>
    <xf numFmtId="0" fontId="30" fillId="12" borderId="13" xfId="14" applyFont="1" applyFill="1" applyBorder="1" applyAlignment="1">
      <alignment horizontal="left"/>
    </xf>
    <xf numFmtId="0" fontId="30" fillId="12" borderId="14" xfId="14" applyFont="1" applyFill="1" applyBorder="1" applyAlignment="1">
      <alignment horizontal="left"/>
    </xf>
    <xf numFmtId="0" fontId="30" fillId="12" borderId="16" xfId="14" applyFont="1" applyFill="1" applyBorder="1" applyAlignment="1">
      <alignment horizontal="left"/>
    </xf>
    <xf numFmtId="0" fontId="39" fillId="11" borderId="13" xfId="0" applyFont="1" applyFill="1" applyBorder="1" applyAlignment="1">
      <alignment horizontal="left"/>
    </xf>
    <xf numFmtId="0" fontId="39" fillId="11" borderId="14" xfId="0" applyFont="1" applyFill="1" applyBorder="1" applyAlignment="1">
      <alignment horizontal="left"/>
    </xf>
    <xf numFmtId="0" fontId="39" fillId="11" borderId="16" xfId="0" applyFont="1" applyFill="1" applyBorder="1" applyAlignment="1">
      <alignment horizontal="left"/>
    </xf>
    <xf numFmtId="0" fontId="39" fillId="11" borderId="3" xfId="0" applyFont="1" applyFill="1" applyBorder="1" applyAlignment="1">
      <alignment horizontal="left"/>
    </xf>
    <xf numFmtId="0" fontId="39" fillId="11" borderId="4" xfId="0" applyFont="1" applyFill="1" applyBorder="1" applyAlignment="1">
      <alignment horizontal="left"/>
    </xf>
    <xf numFmtId="0" fontId="39" fillId="11" borderId="10" xfId="0" applyFont="1" applyFill="1" applyBorder="1" applyAlignment="1">
      <alignment horizontal="left"/>
    </xf>
    <xf numFmtId="0" fontId="75" fillId="5" borderId="287" xfId="0" applyFont="1" applyFill="1" applyBorder="1" applyAlignment="1">
      <alignment horizontal="left" wrapText="1"/>
    </xf>
    <xf numFmtId="0" fontId="47" fillId="12" borderId="3" xfId="14" applyFont="1" applyFill="1" applyBorder="1" applyAlignment="1">
      <alignment horizontal="left"/>
    </xf>
    <xf numFmtId="0" fontId="47" fillId="12" borderId="4" xfId="14" applyFont="1" applyFill="1" applyBorder="1" applyAlignment="1">
      <alignment horizontal="left"/>
    </xf>
    <xf numFmtId="0" fontId="47" fillId="12" borderId="10" xfId="14" applyFont="1" applyFill="1" applyBorder="1" applyAlignment="1">
      <alignment horizontal="left"/>
    </xf>
    <xf numFmtId="0" fontId="76" fillId="5" borderId="0" xfId="14" applyFont="1" applyFill="1" applyBorder="1" applyAlignment="1">
      <alignment horizontal="center" wrapText="1"/>
    </xf>
    <xf numFmtId="0" fontId="76" fillId="5" borderId="0" xfId="14" applyFont="1" applyFill="1" applyBorder="1" applyAlignment="1">
      <alignment horizontal="center"/>
    </xf>
    <xf numFmtId="0" fontId="77" fillId="20" borderId="333" xfId="0" applyFont="1" applyFill="1" applyBorder="1" applyAlignment="1">
      <alignment horizontal="center" wrapText="1"/>
    </xf>
    <xf numFmtId="0" fontId="77" fillId="20" borderId="334" xfId="0" applyFont="1" applyFill="1" applyBorder="1" applyAlignment="1">
      <alignment horizontal="center" wrapText="1"/>
    </xf>
    <xf numFmtId="0" fontId="77" fillId="20" borderId="305" xfId="0" applyFont="1" applyFill="1" applyBorder="1" applyAlignment="1">
      <alignment horizontal="center" wrapText="1"/>
    </xf>
    <xf numFmtId="0" fontId="44" fillId="12" borderId="13" xfId="14" applyFont="1" applyFill="1" applyBorder="1" applyAlignment="1">
      <alignment horizontal="left"/>
    </xf>
    <xf numFmtId="0" fontId="44" fillId="12" borderId="14" xfId="14" applyFont="1" applyFill="1" applyBorder="1" applyAlignment="1">
      <alignment horizontal="left"/>
    </xf>
    <xf numFmtId="0" fontId="44" fillId="12" borderId="16" xfId="14" applyFont="1" applyFill="1" applyBorder="1" applyAlignment="1">
      <alignment horizontal="left"/>
    </xf>
    <xf numFmtId="0" fontId="10" fillId="5" borderId="0" xfId="14" applyFont="1" applyFill="1" applyBorder="1" applyAlignment="1">
      <alignment horizontal="center" wrapText="1"/>
    </xf>
    <xf numFmtId="0" fontId="10" fillId="5" borderId="0" xfId="14" applyFont="1" applyFill="1" applyBorder="1" applyAlignment="1">
      <alignment horizontal="center"/>
    </xf>
    <xf numFmtId="0" fontId="52" fillId="20" borderId="333" xfId="0" applyFont="1" applyFill="1" applyBorder="1" applyAlignment="1">
      <alignment horizontal="center" wrapText="1"/>
    </xf>
    <xf numFmtId="0" fontId="52" fillId="20" borderId="334" xfId="0" applyFont="1" applyFill="1" applyBorder="1" applyAlignment="1">
      <alignment horizontal="center" wrapText="1"/>
    </xf>
    <xf numFmtId="0" fontId="52" fillId="20" borderId="305" xfId="0" applyFont="1" applyFill="1" applyBorder="1" applyAlignment="1">
      <alignment horizontal="center" wrapText="1"/>
    </xf>
    <xf numFmtId="0" fontId="40" fillId="5" borderId="287" xfId="0" applyFont="1" applyFill="1" applyBorder="1" applyAlignment="1">
      <alignment horizontal="left" wrapText="1"/>
    </xf>
    <xf numFmtId="0" fontId="51" fillId="20" borderId="333" xfId="0" applyFont="1" applyFill="1" applyBorder="1" applyAlignment="1">
      <alignment horizontal="center" wrapText="1"/>
    </xf>
    <xf numFmtId="0" fontId="51" fillId="20" borderId="334" xfId="0" applyFont="1" applyFill="1" applyBorder="1" applyAlignment="1">
      <alignment horizontal="center" wrapText="1"/>
    </xf>
    <xf numFmtId="0" fontId="51" fillId="20" borderId="305" xfId="0" applyFont="1" applyFill="1" applyBorder="1" applyAlignment="1">
      <alignment horizontal="center" wrapText="1"/>
    </xf>
    <xf numFmtId="0" fontId="25" fillId="5" borderId="287" xfId="0" applyFont="1" applyFill="1" applyBorder="1" applyAlignment="1">
      <alignment horizontal="left" wrapText="1"/>
    </xf>
    <xf numFmtId="0" fontId="51" fillId="20" borderId="335" xfId="0" applyFont="1" applyFill="1" applyBorder="1" applyAlignment="1">
      <alignment horizontal="center" wrapText="1"/>
    </xf>
    <xf numFmtId="0" fontId="51" fillId="20" borderId="288" xfId="0" applyFont="1" applyFill="1" applyBorder="1" applyAlignment="1">
      <alignment horizontal="center" wrapText="1"/>
    </xf>
    <xf numFmtId="0" fontId="51" fillId="20" borderId="336" xfId="0" applyFont="1" applyFill="1" applyBorder="1" applyAlignment="1">
      <alignment horizontal="center" wrapText="1"/>
    </xf>
    <xf numFmtId="0" fontId="25" fillId="5" borderId="304" xfId="0" applyFont="1" applyFill="1" applyBorder="1" applyAlignment="1">
      <alignment horizontal="left" wrapText="1"/>
    </xf>
    <xf numFmtId="0" fontId="44" fillId="15" borderId="13" xfId="0" applyFont="1" applyFill="1" applyBorder="1" applyAlignment="1">
      <alignment horizontal="center"/>
    </xf>
    <xf numFmtId="0" fontId="44" fillId="15" borderId="14" xfId="0" applyFont="1" applyFill="1" applyBorder="1" applyAlignment="1">
      <alignment horizontal="center"/>
    </xf>
    <xf numFmtId="0" fontId="44" fillId="11" borderId="13" xfId="0" applyFont="1" applyFill="1" applyBorder="1" applyAlignment="1">
      <alignment horizontal="center"/>
    </xf>
    <xf numFmtId="0" fontId="44" fillId="11" borderId="14" xfId="0" applyFont="1" applyFill="1" applyBorder="1" applyAlignment="1">
      <alignment horizontal="center"/>
    </xf>
    <xf numFmtId="0" fontId="44" fillId="11" borderId="16" xfId="0" applyFont="1" applyFill="1" applyBorder="1" applyAlignment="1">
      <alignment horizontal="center"/>
    </xf>
    <xf numFmtId="0" fontId="44" fillId="12" borderId="3" xfId="14" applyFont="1" applyFill="1" applyBorder="1" applyAlignment="1">
      <alignment horizontal="center"/>
    </xf>
    <xf numFmtId="0" fontId="44" fillId="12" borderId="4" xfId="14" applyFont="1" applyFill="1" applyBorder="1" applyAlignment="1">
      <alignment horizontal="center"/>
    </xf>
    <xf numFmtId="0" fontId="44" fillId="12" borderId="10" xfId="14" applyFont="1" applyFill="1" applyBorder="1" applyAlignment="1">
      <alignment horizontal="center"/>
    </xf>
    <xf numFmtId="0" fontId="51" fillId="20" borderId="3" xfId="0" applyFont="1" applyFill="1" applyBorder="1" applyAlignment="1">
      <alignment horizontal="center" wrapText="1"/>
    </xf>
    <xf numFmtId="0" fontId="51" fillId="20" borderId="4" xfId="0" applyFont="1" applyFill="1" applyBorder="1" applyAlignment="1">
      <alignment horizontal="center" wrapText="1"/>
    </xf>
    <xf numFmtId="0" fontId="51" fillId="20" borderId="337" xfId="0" applyFont="1" applyFill="1" applyBorder="1" applyAlignment="1">
      <alignment horizontal="center" wrapText="1"/>
    </xf>
    <xf numFmtId="0" fontId="44" fillId="10" borderId="13" xfId="0" applyFont="1" applyFill="1" applyBorder="1" applyAlignment="1">
      <alignment horizontal="center" vertical="center"/>
    </xf>
    <xf numFmtId="0" fontId="44" fillId="10" borderId="14" xfId="0" applyFont="1" applyFill="1" applyBorder="1" applyAlignment="1">
      <alignment horizontal="center" vertical="center"/>
    </xf>
    <xf numFmtId="0" fontId="44" fillId="10" borderId="16" xfId="0" applyFont="1" applyFill="1" applyBorder="1" applyAlignment="1">
      <alignment horizontal="center" vertical="center"/>
    </xf>
    <xf numFmtId="0" fontId="44" fillId="12" borderId="13" xfId="14" applyFont="1" applyFill="1" applyBorder="1" applyAlignment="1">
      <alignment horizontal="center"/>
    </xf>
    <xf numFmtId="0" fontId="44" fillId="12" borderId="14" xfId="14" applyFont="1" applyFill="1" applyBorder="1" applyAlignment="1">
      <alignment horizontal="center"/>
    </xf>
    <xf numFmtId="0" fontId="44" fillId="12" borderId="16" xfId="14" applyFont="1" applyFill="1" applyBorder="1" applyAlignment="1">
      <alignment horizontal="center"/>
    </xf>
    <xf numFmtId="0" fontId="40" fillId="5" borderId="338" xfId="0" applyFont="1" applyFill="1" applyBorder="1" applyAlignment="1">
      <alignment horizontal="center" vertical="center" wrapText="1"/>
    </xf>
    <xf numFmtId="0" fontId="40" fillId="5" borderId="339" xfId="0" applyFont="1" applyFill="1" applyBorder="1" applyAlignment="1">
      <alignment horizontal="center" vertical="center" wrapText="1"/>
    </xf>
    <xf numFmtId="0" fontId="40" fillId="5" borderId="307" xfId="0" applyFont="1" applyFill="1" applyBorder="1" applyAlignment="1">
      <alignment horizontal="center" vertical="center" wrapText="1"/>
    </xf>
    <xf numFmtId="0" fontId="40" fillId="5" borderId="340" xfId="0" applyFont="1" applyFill="1" applyBorder="1" applyAlignment="1">
      <alignment horizontal="center" vertical="center" wrapText="1"/>
    </xf>
    <xf numFmtId="0" fontId="40" fillId="5" borderId="334" xfId="0" applyFont="1" applyFill="1" applyBorder="1" applyAlignment="1">
      <alignment horizontal="center" vertical="center" wrapText="1"/>
    </xf>
    <xf numFmtId="0" fontId="40" fillId="5" borderId="305" xfId="0" applyFont="1" applyFill="1" applyBorder="1" applyAlignment="1">
      <alignment horizontal="center" vertical="center" wrapText="1"/>
    </xf>
    <xf numFmtId="0" fontId="44" fillId="15" borderId="16" xfId="0" applyFont="1" applyFill="1" applyBorder="1" applyAlignment="1">
      <alignment horizontal="center"/>
    </xf>
    <xf numFmtId="0" fontId="52" fillId="20" borderId="341" xfId="0" applyFont="1" applyFill="1" applyBorder="1" applyAlignment="1">
      <alignment horizontal="center" vertical="center" wrapText="1"/>
    </xf>
    <xf numFmtId="0" fontId="52" fillId="20" borderId="342" xfId="0" applyFont="1" applyFill="1" applyBorder="1" applyAlignment="1">
      <alignment horizontal="center" vertical="center" wrapText="1"/>
    </xf>
    <xf numFmtId="0" fontId="52" fillId="20" borderId="306" xfId="0" applyFont="1" applyFill="1" applyBorder="1" applyAlignment="1">
      <alignment horizontal="center" vertical="center" wrapText="1"/>
    </xf>
    <xf numFmtId="0" fontId="44" fillId="5" borderId="0" xfId="14" applyFont="1" applyFill="1" applyAlignment="1">
      <alignment horizontal="center"/>
    </xf>
    <xf numFmtId="0" fontId="89" fillId="10" borderId="13" xfId="0" applyFont="1" applyFill="1" applyBorder="1" applyAlignment="1">
      <alignment horizontal="left" vertical="center"/>
    </xf>
    <xf numFmtId="0" fontId="89" fillId="10" borderId="14" xfId="0" applyFont="1" applyFill="1" applyBorder="1" applyAlignment="1">
      <alignment horizontal="left" vertical="center"/>
    </xf>
    <xf numFmtId="0" fontId="89" fillId="10" borderId="16" xfId="0" applyFont="1" applyFill="1" applyBorder="1" applyAlignment="1">
      <alignment horizontal="left" vertical="center"/>
    </xf>
    <xf numFmtId="0" fontId="89" fillId="11" borderId="13" xfId="0" applyFont="1" applyFill="1" applyBorder="1" applyAlignment="1">
      <alignment horizontal="center"/>
    </xf>
    <xf numFmtId="0" fontId="89" fillId="11" borderId="14" xfId="0" applyFont="1" applyFill="1" applyBorder="1" applyAlignment="1">
      <alignment horizontal="center"/>
    </xf>
    <xf numFmtId="0" fontId="89" fillId="11" borderId="16" xfId="0" applyFont="1" applyFill="1" applyBorder="1" applyAlignment="1">
      <alignment horizontal="center"/>
    </xf>
    <xf numFmtId="0" fontId="89" fillId="15" borderId="13" xfId="0" applyFont="1" applyFill="1" applyBorder="1" applyAlignment="1">
      <alignment horizontal="center"/>
    </xf>
    <xf numFmtId="0" fontId="89" fillId="15" borderId="14" xfId="0" applyFont="1" applyFill="1" applyBorder="1" applyAlignment="1">
      <alignment horizontal="center"/>
    </xf>
    <xf numFmtId="0" fontId="89" fillId="15" borderId="16" xfId="0" applyFont="1" applyFill="1" applyBorder="1" applyAlignment="1">
      <alignment horizontal="center"/>
    </xf>
    <xf numFmtId="0" fontId="2" fillId="5" borderId="338" xfId="0" applyFont="1" applyFill="1" applyBorder="1" applyAlignment="1">
      <alignment horizontal="center" vertical="center" wrapText="1"/>
    </xf>
    <xf numFmtId="0" fontId="2" fillId="5" borderId="339" xfId="0" applyFont="1" applyFill="1" applyBorder="1" applyAlignment="1">
      <alignment horizontal="center" vertical="center" wrapText="1"/>
    </xf>
    <xf numFmtId="0" fontId="2" fillId="5" borderId="307" xfId="0" applyFont="1" applyFill="1" applyBorder="1" applyAlignment="1">
      <alignment horizontal="center" vertical="center" wrapText="1"/>
    </xf>
    <xf numFmtId="0" fontId="90" fillId="5" borderId="0" xfId="14" applyFont="1" applyFill="1" applyBorder="1" applyAlignment="1">
      <alignment horizontal="center" wrapText="1"/>
    </xf>
    <xf numFmtId="0" fontId="90" fillId="5" borderId="0" xfId="14" applyFont="1" applyFill="1" applyBorder="1" applyAlignment="1">
      <alignment horizontal="center"/>
    </xf>
    <xf numFmtId="0" fontId="88" fillId="20" borderId="341" xfId="0" applyFont="1" applyFill="1" applyBorder="1" applyAlignment="1">
      <alignment horizontal="center" vertical="center" wrapText="1"/>
    </xf>
    <xf numFmtId="0" fontId="88" fillId="20" borderId="342" xfId="0" applyFont="1" applyFill="1" applyBorder="1" applyAlignment="1">
      <alignment horizontal="center" vertical="center" wrapText="1"/>
    </xf>
    <xf numFmtId="0" fontId="88" fillId="20" borderId="306" xfId="0" applyFont="1" applyFill="1" applyBorder="1" applyAlignment="1">
      <alignment horizontal="center" vertical="center" wrapText="1"/>
    </xf>
    <xf numFmtId="0" fontId="2" fillId="5" borderId="340" xfId="0" applyFont="1" applyFill="1" applyBorder="1" applyAlignment="1">
      <alignment horizontal="center" vertical="center" wrapText="1"/>
    </xf>
    <xf numFmtId="0" fontId="2" fillId="5" borderId="334" xfId="0" applyFont="1" applyFill="1" applyBorder="1" applyAlignment="1">
      <alignment horizontal="center" vertical="center" wrapText="1"/>
    </xf>
    <xf numFmtId="0" fontId="2" fillId="5" borderId="305" xfId="0" applyFont="1" applyFill="1" applyBorder="1" applyAlignment="1">
      <alignment horizontal="center" vertical="center" wrapText="1"/>
    </xf>
    <xf numFmtId="0" fontId="44" fillId="11" borderId="3" xfId="0" applyFont="1" applyFill="1" applyBorder="1" applyAlignment="1">
      <alignment horizontal="center"/>
    </xf>
    <xf numFmtId="0" fontId="44" fillId="11" borderId="4" xfId="0" applyFont="1" applyFill="1" applyBorder="1" applyAlignment="1">
      <alignment horizontal="center"/>
    </xf>
    <xf numFmtId="0" fontId="44" fillId="15" borderId="3" xfId="0" applyFont="1" applyFill="1" applyBorder="1" applyAlignment="1">
      <alignment horizontal="center"/>
    </xf>
    <xf numFmtId="0" fontId="44" fillId="15" borderId="4" xfId="0" applyFont="1" applyFill="1" applyBorder="1" applyAlignment="1">
      <alignment horizontal="center"/>
    </xf>
    <xf numFmtId="0" fontId="44" fillId="15" borderId="10" xfId="0" applyFont="1" applyFill="1" applyBorder="1" applyAlignment="1">
      <alignment horizontal="center"/>
    </xf>
    <xf numFmtId="0" fontId="44" fillId="12" borderId="3" xfId="14" applyFont="1" applyFill="1" applyBorder="1" applyAlignment="1">
      <alignment horizontal="left"/>
    </xf>
    <xf numFmtId="0" fontId="44" fillId="12" borderId="4" xfId="14" applyFont="1" applyFill="1" applyBorder="1" applyAlignment="1">
      <alignment horizontal="left"/>
    </xf>
    <xf numFmtId="0" fontId="44" fillId="12" borderId="10" xfId="14" applyFont="1" applyFill="1" applyBorder="1" applyAlignment="1">
      <alignment horizontal="left"/>
    </xf>
    <xf numFmtId="0" fontId="44" fillId="11" borderId="3" xfId="0" applyFont="1" applyFill="1" applyBorder="1" applyAlignment="1">
      <alignment horizontal="left"/>
    </xf>
    <xf numFmtId="0" fontId="44" fillId="11" borderId="4" xfId="0" applyFont="1" applyFill="1" applyBorder="1" applyAlignment="1">
      <alignment horizontal="left"/>
    </xf>
    <xf numFmtId="0" fontId="44" fillId="11" borderId="10" xfId="0" applyFont="1" applyFill="1" applyBorder="1" applyAlignment="1">
      <alignment horizontal="left"/>
    </xf>
    <xf numFmtId="0" fontId="44" fillId="15" borderId="3" xfId="0" applyFont="1" applyFill="1" applyBorder="1" applyAlignment="1">
      <alignment horizontal="left"/>
    </xf>
    <xf numFmtId="0" fontId="44" fillId="15" borderId="4" xfId="0" applyFont="1" applyFill="1" applyBorder="1" applyAlignment="1">
      <alignment horizontal="left"/>
    </xf>
    <xf numFmtId="0" fontId="44" fillId="15" borderId="14" xfId="0" applyFont="1" applyFill="1" applyBorder="1" applyAlignment="1">
      <alignment horizontal="left"/>
    </xf>
    <xf numFmtId="0" fontId="44" fillId="15" borderId="16" xfId="0" applyFont="1" applyFill="1" applyBorder="1" applyAlignment="1">
      <alignment horizontal="left"/>
    </xf>
    <xf numFmtId="4" fontId="5" fillId="9" borderId="4" xfId="6" applyNumberFormat="1" applyFont="1" applyFill="1" applyBorder="1" applyAlignment="1">
      <alignment horizontal="center" vertical="center"/>
    </xf>
    <xf numFmtId="4" fontId="5" fillId="9" borderId="0" xfId="6" applyNumberFormat="1" applyFont="1" applyFill="1" applyBorder="1" applyAlignment="1">
      <alignment horizontal="center" vertical="center"/>
    </xf>
  </cellXfs>
  <cellStyles count="31">
    <cellStyle name="=C:\WINNT\SYSTEM32\COMMAND.COM 2" xfId="1"/>
    <cellStyle name="Buena" xfId="22" builtinId="26"/>
    <cellStyle name="Buena 2" xfId="2"/>
    <cellStyle name="Énfasis3 2" xfId="3"/>
    <cellStyle name="Entrada 2" xfId="4"/>
    <cellStyle name="Hipervínculo" xfId="5" builtinId="8"/>
    <cellStyle name="Millares" xfId="6" builtinId="3"/>
    <cellStyle name="Millares 2" xfId="7"/>
    <cellStyle name="Millares 3" xfId="24"/>
    <cellStyle name="Moneda" xfId="8" builtinId="4"/>
    <cellStyle name="Moneda 2" xfId="9"/>
    <cellStyle name="Moneda 2 2" xfId="10"/>
    <cellStyle name="Moneda 2 3" xfId="11"/>
    <cellStyle name="Moneda 3" xfId="25"/>
    <cellStyle name="Moneda 4" xfId="28"/>
    <cellStyle name="Moneda 5" xfId="12"/>
    <cellStyle name="Normal" xfId="0" builtinId="0"/>
    <cellStyle name="Normal 11" xfId="30"/>
    <cellStyle name="Normal 12 3 2" xfId="13"/>
    <cellStyle name="Normal 2" xfId="14"/>
    <cellStyle name="Normal 2 10 2" xfId="15"/>
    <cellStyle name="Normal 2 2" xfId="16"/>
    <cellStyle name="Normal 2 2 13" xfId="17"/>
    <cellStyle name="Normal 2 2 2" xfId="18"/>
    <cellStyle name="Normal 2 3" xfId="19"/>
    <cellStyle name="Normal 2 5" xfId="27"/>
    <cellStyle name="Normal 3" xfId="23"/>
    <cellStyle name="Normal 3 2" xfId="26"/>
    <cellStyle name="Normal_CAC-02-06-ReporteMensual-Gcia" xfId="20"/>
    <cellStyle name="Porcentaje" xfId="21" builtinId="5"/>
    <cellStyle name="Porcentaje 2" xfId="29"/>
  </cellStyles>
  <dxfs count="307"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strike val="0"/>
        <outline val="0"/>
        <shadow val="0"/>
        <u val="none"/>
        <vertAlign val="baseline"/>
        <sz val="14"/>
        <color theme="1"/>
        <name val="Arial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Arial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Arial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Arial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Arial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Arial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Arial"/>
        <scheme val="none"/>
      </font>
      <numFmt numFmtId="198" formatCode="yyyy\-mm\-dd;@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Arial"/>
        <scheme val="none"/>
      </font>
      <numFmt numFmtId="199" formatCode="mmm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4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4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4"/>
        <color theme="1"/>
        <name val="Arial"/>
        <scheme val="none"/>
      </font>
      <alignment horizontal="general" vertical="bottom" textRotation="0" wrapText="1" indent="0" justifyLastLine="0" shrinkToFit="0" readingOrder="0"/>
    </dxf>
    <dxf>
      <alignment vertical="top"/>
    </dxf>
    <dxf>
      <alignment horizontal="right"/>
    </dxf>
    <dxf>
      <alignment horizontal="right"/>
    </dxf>
    <dxf>
      <alignment wrapText="1"/>
    </dxf>
    <dxf>
      <numFmt numFmtId="3" formatCode="#,##0"/>
    </dxf>
    <dxf>
      <alignment wrapText="1"/>
    </dxf>
    <dxf>
      <alignment wrapText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medium">
          <color theme="1" tint="0.499984740745262"/>
        </left>
        <right style="medium">
          <color theme="1" tint="0.499984740745262"/>
        </right>
        <top style="medium">
          <color theme="1" tint="0.499984740745262"/>
        </top>
        <bottom style="medium">
          <color theme="1" tint="0.499984740745262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medium">
          <color theme="1" tint="0.499984740745262"/>
        </left>
        <right style="medium">
          <color theme="1" tint="0.499984740745262"/>
        </right>
        <top style="medium">
          <color theme="1" tint="0.499984740745262"/>
        </top>
        <bottom style="medium">
          <color theme="1" tint="0.49998474074526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medium">
          <color theme="1" tint="0.499984740745262"/>
        </left>
        <right style="medium">
          <color theme="1" tint="0.499984740745262"/>
        </right>
        <top style="medium">
          <color theme="1" tint="0.499984740745262"/>
        </top>
        <bottom style="medium">
          <color theme="1" tint="0.499984740745262"/>
        </bottom>
      </border>
      <protection locked="1" hidden="0"/>
    </dxf>
    <dxf>
      <numFmt numFmtId="3" formatCode="#,##0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medium">
          <color theme="1" tint="0.499984740745262"/>
        </left>
        <right style="medium">
          <color theme="1" tint="0.499984740745262"/>
        </right>
        <top style="medium">
          <color theme="1" tint="0.499984740745262"/>
        </top>
        <bottom style="medium">
          <color theme="1" tint="0.49998474074526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medium">
          <color theme="1" tint="0.499984740745262"/>
        </left>
        <right style="medium">
          <color theme="1" tint="0.499984740745262"/>
        </right>
        <top style="medium">
          <color theme="1" tint="0.499984740745262"/>
        </top>
        <bottom style="medium">
          <color theme="1" tint="0.499984740745262"/>
        </bottom>
      </border>
      <protection locked="1" hidden="0"/>
    </dxf>
    <dxf>
      <numFmt numFmtId="3" formatCode="#,##0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medium">
          <color theme="1" tint="0.499984740745262"/>
        </left>
        <right style="medium">
          <color theme="1" tint="0.499984740745262"/>
        </right>
        <top style="medium">
          <color theme="1" tint="0.499984740745262"/>
        </top>
        <bottom style="medium">
          <color theme="1" tint="0.49998474074526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 style="medium">
          <color theme="1" tint="0.499984740745262"/>
        </left>
        <right style="medium">
          <color theme="1" tint="0.499984740745262"/>
        </right>
        <top style="medium">
          <color theme="1" tint="0.499984740745262"/>
        </top>
        <bottom style="medium">
          <color theme="1" tint="0.499984740745262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 style="medium">
          <color theme="1" tint="0.499984740745262"/>
        </left>
        <right style="medium">
          <color theme="1" tint="0.499984740745262"/>
        </right>
        <top style="medium">
          <color theme="1" tint="0.499984740745262"/>
        </top>
        <bottom style="medium">
          <color theme="1" tint="0.499984740745262"/>
        </bottom>
      </border>
    </dxf>
    <dxf>
      <border outline="0">
        <top style="medium">
          <color theme="1" tint="0.499984740745262"/>
        </top>
      </border>
    </dxf>
    <dxf>
      <border outline="0">
        <bottom style="medium">
          <color theme="1" tint="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009967"/>
        </patternFill>
      </fill>
      <alignment horizontal="center" vertical="center" textRotation="0" wrapText="1" indent="0" justifyLastLine="0" shrinkToFit="0" readingOrder="0"/>
      <border diagonalUp="0" diagonalDown="0" outline="0">
        <left style="medium">
          <color theme="1" tint="0.499984740745262"/>
        </left>
        <right style="medium">
          <color theme="1" tint="0.499984740745262"/>
        </right>
        <top/>
        <bottom/>
      </border>
    </dxf>
    <dxf>
      <numFmt numFmtId="11" formatCode="&quot;$&quot;#,##0.00;\-&quot;$&quot;#,##0.00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horizontal="center"/>
    </dxf>
    <dxf>
      <alignment horizontal="right"/>
    </dxf>
    <dxf>
      <alignment wrapText="1"/>
    </dxf>
    <dxf>
      <alignment horizontal="center"/>
    </dxf>
    <dxf>
      <alignment wrapText="1"/>
    </dxf>
    <dxf>
      <alignment horizontal="center"/>
    </dxf>
    <dxf>
      <alignment wrapText="1"/>
    </dxf>
    <dxf>
      <alignment horizontal="center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203" formatCode="_(&quot;$&quot;* #,##0.00_);_(&quot;$&quot;* \(#,##0.00\);_(&quot;$&quot;* &quot;-&quot;??_);_(@_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74" formatCode="&quot;$&quot;#,##0.00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74" formatCode="&quot;$&quot;#,##0.00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74" formatCode="&quot;$&quot;#,##0.00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74" formatCode="&quot;$&quot;#,##0.00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91" formatCode="0.00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name val="Arial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name val="Arial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name val="Arial"/>
        <scheme val="none"/>
      </font>
      <numFmt numFmtId="203" formatCode="_(&quot;$&quot;* #,##0.00_);_(&quot;$&quot;* \(#,##0.00\);_(&quot;$&quot;* &quot;-&quot;??_);_(@_)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name val="Arial"/>
        <scheme val="none"/>
      </font>
      <numFmt numFmtId="203" formatCode="_(&quot;$&quot;* #,##0.00_);_(&quot;$&quot;* \(#,##0.00\);_(&quot;$&quot;* &quot;-&quot;??_);_(@_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204" formatCode="dd/mm/yyyy;@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name val="Arial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name val="Arial"/>
        <scheme val="none"/>
      </font>
      <numFmt numFmtId="203" formatCode="_(&quot;$&quot;* #,##0.00_);_(&quot;$&quot;* \(#,##0.00\);_(&quot;$&quot;* &quot;-&quot;??_);_(@_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name val="Arial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name val="Arial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204" formatCode="dd/mm/yyyy;@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1"/>
        <name val="Calibri"/>
        <scheme val="minor"/>
      </font>
    </dxf>
    <dxf>
      <border outline="0">
        <top style="double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numFmt numFmtId="4" formatCode="#,##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numFmt numFmtId="4" formatCode="#,##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medium">
          <color indexed="64"/>
        </top>
      </border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/>
        <i val="0"/>
        <strike val="0"/>
        <color theme="0"/>
      </font>
      <fill>
        <patternFill>
          <bgColor rgb="FF00996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medium">
          <color theme="0" tint="-0.499984740745262"/>
        </vertical>
      </border>
    </dxf>
    <dxf>
      <font>
        <b/>
        <i val="0"/>
        <strike val="0"/>
        <sz val="14"/>
        <color theme="0"/>
      </font>
      <fill>
        <patternFill>
          <bgColor rgb="FF009967"/>
        </patternFill>
      </fill>
      <border>
        <left style="medium">
          <color theme="0" tint="-0.499984740745262"/>
        </left>
        <right style="medium">
          <color theme="0" tint="-0.499984740745262"/>
        </right>
        <top style="medium">
          <color theme="0" tint="-0.499984740745262"/>
        </top>
        <bottom style="medium">
          <color theme="0" tint="-0.499984740745262"/>
        </bottom>
      </border>
    </dxf>
    <dxf>
      <font>
        <sz val="14"/>
      </font>
    </dxf>
    <dxf>
      <font>
        <strike val="0"/>
        <color auto="1"/>
      </font>
      <border>
        <left style="medium">
          <color theme="0" tint="-0.499984740745262"/>
        </left>
        <right style="medium">
          <color theme="0" tint="-0.499984740745262"/>
        </right>
        <top style="medium">
          <color theme="0" tint="-0.499984740745262"/>
        </top>
        <bottom style="thin">
          <color auto="1"/>
        </bottom>
        <vertical style="medium">
          <color theme="0" tint="-0.499984740745262"/>
        </vertical>
        <horizontal style="medium">
          <color theme="0" tint="-0.499984740745262"/>
        </horizontal>
      </border>
    </dxf>
    <dxf>
      <border>
        <left style="medium">
          <color theme="0" tint="-0.499984740745262"/>
        </left>
        <right style="medium">
          <color theme="0" tint="-0.499984740745262"/>
        </right>
        <top style="medium">
          <color theme="0" tint="-0.499984740745262"/>
        </top>
        <bottom style="medium">
          <color theme="0" tint="-0.499984740745262"/>
        </bottom>
        <vertical style="medium">
          <color theme="0" tint="-0.499984740745262"/>
        </vertical>
        <horizontal style="medium">
          <color theme="0" tint="-0.499984740745262"/>
        </horizontal>
      </border>
    </dxf>
    <dxf>
      <font>
        <b/>
        <i val="0"/>
        <strike val="0"/>
      </font>
    </dxf>
    <dxf>
      <font>
        <b/>
        <i val="0"/>
        <strike val="0"/>
        <color theme="0"/>
      </font>
      <fill>
        <patternFill>
          <bgColor rgb="FF009967"/>
        </patternFill>
      </fill>
      <border>
        <left style="medium">
          <color theme="0" tint="-0.499984740745262"/>
        </left>
        <right style="medium">
          <color theme="0" tint="-0.499984740745262"/>
        </right>
        <top style="medium">
          <color theme="0" tint="-0.499984740745262"/>
        </top>
        <bottom style="medium">
          <color theme="0" tint="-0.499984740745262"/>
        </bottom>
        <vertical style="medium">
          <color theme="0" tint="-0.499984740745262"/>
        </vertical>
        <horizontal style="medium">
          <color theme="0" tint="-0.499984740745262"/>
        </horizontal>
      </border>
    </dxf>
    <dxf>
      <border>
        <left style="medium">
          <color theme="0" tint="-0.499984740745262"/>
        </left>
        <right style="medium">
          <color theme="0" tint="-0.499984740745262"/>
        </right>
        <top style="medium">
          <color theme="0" tint="-0.499984740745262"/>
        </top>
        <bottom style="medium">
          <color theme="0" tint="-0.499984740745262"/>
        </bottom>
        <vertical style="medium">
          <color theme="0" tint="-0.499984740745262"/>
        </vertical>
        <horizontal style="medium">
          <color theme="0" tint="-0.499984740745262"/>
        </horizontal>
      </border>
    </dxf>
    <dxf>
      <fill>
        <patternFill>
          <bgColor theme="0"/>
        </patternFill>
      </fill>
    </dxf>
    <dxf>
      <font>
        <b/>
        <i val="0"/>
        <strike val="0"/>
        <color theme="0"/>
      </font>
      <fill>
        <patternFill>
          <bgColor rgb="FF009967"/>
        </patternFill>
      </fill>
    </dxf>
  </dxfs>
  <tableStyles count="4" defaultTableStyle="TableStyleMedium2" defaultPivotStyle="CFE_Estilo">
    <tableStyle name="CFE" pivot="0" count="2">
      <tableStyleElement type="headerRow" dxfId="306"/>
      <tableStyleElement type="firstRowStripe" dxfId="305"/>
    </tableStyle>
    <tableStyle name="CFE_Estilo" table="0" count="5">
      <tableStyleElement type="wholeTable" dxfId="304"/>
      <tableStyleElement type="headerRow" dxfId="303"/>
      <tableStyleElement type="totalRow" dxfId="302"/>
      <tableStyleElement type="firstRowStripe" dxfId="301"/>
      <tableStyleElement type="firstColumnStripe" dxfId="300"/>
    </tableStyle>
    <tableStyle name="Estilo de segmentación de datos 1" pivot="0" table="0" count="3">
      <tableStyleElement type="wholeTable" dxfId="299"/>
      <tableStyleElement type="headerRow" dxfId="298"/>
    </tableStyle>
    <tableStyle name="Estilo de tabla dinámica 1" table="0" count="3">
      <tableStyleElement type="wholeTable" dxfId="297"/>
      <tableStyleElement type="firstRowStripe" dxfId="296"/>
      <tableStyleElement type="firstColumnStripe" dxfId="295"/>
    </tableStyle>
  </tableStyles>
  <colors>
    <mruColors>
      <color rgb="FF009967"/>
    </mruColors>
  </colors>
  <extLst>
    <ext xmlns:x14="http://schemas.microsoft.com/office/spreadsheetml/2009/9/main" uri="{46F421CA-312F-682f-3DD2-61675219B42D}">
      <x14:dxfs count="1">
        <dxf>
          <font>
            <color theme="0"/>
          </font>
          <fill>
            <patternFill>
              <bgColor theme="0" tint="-0.499984740745262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ción de datos 1">
          <x14:slicerStyleElements>
            <x14:slicerStyleElement type="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externalLink" Target="externalLinks/externalLink3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connections" Target="connection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pivotCacheDefinition" Target="pivotCache/pivotCacheDefinition1.xml"/><Relationship Id="rId126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microsoft.com/office/2007/relationships/slicerCache" Target="slicerCaches/slicerCache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externalLink" Target="externalLinks/externalLink2.xml"/><Relationship Id="rId124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microsoft.com/office/2007/relationships/slicerCache" Target="slicerCaches/slicerCache1.xml"/><Relationship Id="rId12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1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MX" sz="1100" b="1"/>
              <a:t>DETALLE DE UTILIZACIÓN DEL GASODUCTO</a:t>
            </a:r>
          </a:p>
          <a:p>
            <a:pPr algn="ctr" rtl="0">
              <a:defRPr sz="1100" b="1"/>
            </a:pPr>
            <a:r>
              <a:rPr lang="es-MX" sz="1100" b="1"/>
              <a:t>(MMPCD)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1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1.6971768266244868E-2"/>
          <c:y val="5.199530885541747E-2"/>
          <c:w val="0.9800994863489888"/>
          <c:h val="0.87758804908673782"/>
        </c:manualLayout>
      </c:layout>
      <c:barChart>
        <c:barDir val="bar"/>
        <c:grouping val="percentStacked"/>
        <c:varyColors val="0"/>
        <c:ser>
          <c:idx val="0"/>
          <c:order val="0"/>
          <c:tx>
            <c:v>CC CHIHUAHUA II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5.7515774899316085E-1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8-5739-4CF7-8139-2490409069CE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'REPORTE OPERATIVO'!$C$1</c:f>
              <c:strCache>
                <c:ptCount val="1"/>
                <c:pt idx="0">
                  <c:v>MMPCD</c:v>
                </c:pt>
              </c:strCache>
              <c:extLst xmlns:c16r2="http://schemas.microsoft.com/office/drawing/2015/06/chart"/>
            </c:strRef>
          </c:cat>
          <c:val>
            <c:numRef>
              <c:f>'REPORTE OPERATIVO'!$C$5</c:f>
              <c:numCache>
                <c:formatCode>#,##0</c:formatCode>
                <c:ptCount val="1"/>
                <c:pt idx="0">
                  <c:v>70</c:v>
                </c:pt>
              </c:numCache>
              <c:extLst xmlns:c16r2="http://schemas.microsoft.com/office/drawing/2015/06/chart"/>
            </c:numRef>
          </c:val>
          <c:extLst xmlns:c16r2="http://schemas.microsoft.com/office/drawing/2015/06/chart" xmlns:c15="http://schemas.microsoft.com/office/drawing/2012/chart">
            <c:ext xmlns:c16="http://schemas.microsoft.com/office/drawing/2014/chart" uri="{C3380CC4-5D6E-409C-BE32-E72D297353CC}">
              <c16:uniqueId val="{00000004-5739-4CF7-8139-2490409069CE}"/>
            </c:ext>
          </c:extLst>
        </c:ser>
        <c:ser>
          <c:idx val="1"/>
          <c:order val="1"/>
          <c:tx>
            <c:v>CC EL ENCINO</c:v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'REPORTE OPERATIVO'!$C$1</c:f>
              <c:strCache>
                <c:ptCount val="1"/>
                <c:pt idx="0">
                  <c:v>MMPCD</c:v>
                </c:pt>
              </c:strCache>
              <c:extLst xmlns:c16r2="http://schemas.microsoft.com/office/drawing/2015/06/chart"/>
            </c:strRef>
          </c:cat>
          <c:val>
            <c:numRef>
              <c:f>'REPORTE OPERATIVO'!$C$4</c:f>
              <c:numCache>
                <c:formatCode>#,##0</c:formatCode>
                <c:ptCount val="1"/>
                <c:pt idx="0">
                  <c:v>30</c:v>
                </c:pt>
              </c:numCache>
              <c:extLst xmlns:c16r2="http://schemas.microsoft.com/office/drawing/2015/06/chart"/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739-4CF7-8139-2490409069CE}"/>
            </c:ext>
          </c:extLst>
        </c:ser>
        <c:ser>
          <c:idx val="2"/>
          <c:order val="2"/>
          <c:tx>
            <c:v>CC NORTE II</c:v>
          </c:tx>
          <c:spPr>
            <a:solidFill>
              <a:schemeClr val="accent3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'REPORTE OPERATIVO'!$C$1</c:f>
              <c:strCache>
                <c:ptCount val="1"/>
                <c:pt idx="0">
                  <c:v>MMPCD</c:v>
                </c:pt>
              </c:strCache>
              <c:extLst xmlns:c16r2="http://schemas.microsoft.com/office/drawing/2015/06/chart"/>
            </c:strRef>
          </c:cat>
          <c:val>
            <c:numRef>
              <c:f>'REPORTE OPERATIVO'!$C$7</c:f>
              <c:numCache>
                <c:formatCode>#,##0</c:formatCode>
                <c:ptCount val="1"/>
                <c:pt idx="0">
                  <c:v>65</c:v>
                </c:pt>
              </c:numCache>
              <c:extLst xmlns:c16r2="http://schemas.microsoft.com/office/drawing/2015/06/chart"/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739-4CF7-8139-2490409069CE}"/>
            </c:ext>
          </c:extLst>
        </c:ser>
        <c:ser>
          <c:idx val="4"/>
          <c:order val="4"/>
          <c:tx>
            <c:v>IGASAMEX</c:v>
          </c:tx>
          <c:spPr>
            <a:solidFill>
              <a:schemeClr val="accent6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'REPORTE OPERATIVO'!$C$1</c:f>
              <c:strCache>
                <c:ptCount val="1"/>
                <c:pt idx="0">
                  <c:v>MMPCD</c:v>
                </c:pt>
              </c:strCache>
              <c:extLst xmlns:c16r2="http://schemas.microsoft.com/office/drawing/2015/06/chart"/>
            </c:strRef>
          </c:cat>
          <c:val>
            <c:numRef>
              <c:f>'REPORTE OPERATIVO'!$C$8</c:f>
              <c:numCache>
                <c:formatCode>#,##0</c:formatCode>
                <c:ptCount val="1"/>
                <c:pt idx="0">
                  <c:v>12</c:v>
                </c:pt>
              </c:numCache>
              <c:extLst xmlns:c16r2="http://schemas.microsoft.com/office/drawing/2015/06/chart"/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739-4CF7-8139-2490409069CE}"/>
            </c:ext>
          </c:extLst>
        </c:ser>
        <c:ser>
          <c:idx val="6"/>
          <c:order val="6"/>
          <c:tx>
            <c:strRef>
              <c:f>'REPORTE OPERATIVO'!$A$2</c:f>
              <c:strCache>
                <c:ptCount val="1"/>
                <c:pt idx="0">
                  <c:v>SIN USO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 MMPCD 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f>'REPORTE OPERATIVO'!$C$2</c:f>
              <c:numCache>
                <c:formatCode>#,##0</c:formatCode>
                <c:ptCount val="1"/>
                <c:pt idx="0">
                  <c:v>673.00000000000261</c:v>
                </c:pt>
              </c:numCache>
              <c:extLst xmlns:c16r2="http://schemas.microsoft.com/office/drawing/2015/06/chart"/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5739-4CF7-8139-2490409069C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558233464"/>
        <c:axId val="466865664"/>
        <c:extLst xmlns:c16r2="http://schemas.microsoft.com/office/drawing/2015/06/chart">
          <c:ext xmlns:c15="http://schemas.microsoft.com/office/drawing/2012/chart" uri="{02D57815-91ED-43cb-92C2-25804820EDAC}">
            <c15:filteredBarSeries>
              <c15:ser>
                <c:idx val="3"/>
                <c:order val="3"/>
                <c:tx>
                  <c:v>GASODUCTO EL ENCINO - TOPOLOBAMPO</c:v>
                </c:tx>
                <c:spPr>
                  <a:solidFill>
                    <a:schemeClr val="accent4"/>
                  </a:solidFill>
                  <a:ln w="19050">
                    <a:solidFill>
                      <a:schemeClr val="lt1"/>
                    </a:solidFill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400" b="0" i="0" u="none" strike="noStrike" kern="1200" baseline="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MX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6r2="http://schemas.microsoft.com/office/drawing/2015/06/chart"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'REPORTE OPERATIVO'!$C$1</c15:sqref>
                        </c15:formulaRef>
                      </c:ext>
                    </c:extLst>
                    <c:strCache>
                      <c:ptCount val="1"/>
                      <c:pt idx="0">
                        <c:v>MMPCD</c:v>
                      </c:pt>
                    </c:strCache>
                  </c:str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[4]Hoja1!$B$5:$D$5</c15:sqref>
                        </c15:formulaRef>
                      </c:ext>
                    </c:extLst>
                  </c:numRef>
                </c:val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5-5739-4CF7-8139-2490409069CE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'REPORTE OPERATIVO'!$A$9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19050">
                    <a:solidFill>
                      <a:schemeClr val="lt1"/>
                    </a:solidFill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400" b="0" i="0" u="none" strike="noStrike" kern="1200" baseline="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MX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6r2="http://schemas.microsoft.com/office/drawing/2015/06/chart"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'REPORTE OPERATIVO'!$C$9</c15:sqref>
                        </c15:formulaRef>
                      </c:ext>
                    </c:extLst>
                    <c:numCache>
                      <c:formatCode>#,##0</c:formatCode>
                      <c:ptCount val="1"/>
                      <c:pt idx="0">
                        <c:v>850.00000000000261</c:v>
                      </c:pt>
                    </c:numCache>
                  </c:numRef>
                </c:val>
                <c:extLst xmlns:c16r2="http://schemas.microsoft.com/office/drawing/2015/06/chart" xmlns:c15="http://schemas.microsoft.com/office/drawing/2012/chart">
                  <c:ext xmlns:c16="http://schemas.microsoft.com/office/drawing/2014/chart" uri="{C3380CC4-5D6E-409C-BE32-E72D297353CC}">
                    <c16:uniqueId val="{00000006-5739-4CF7-8139-2490409069CE}"/>
                  </c:ext>
                </c:extLst>
              </c15:ser>
            </c15:filteredBarSeries>
          </c:ext>
        </c:extLst>
      </c:barChart>
      <c:valAx>
        <c:axId val="466865664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558233464"/>
        <c:crosses val="autoZero"/>
        <c:crossBetween val="between"/>
      </c:valAx>
      <c:catAx>
        <c:axId val="55823346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668656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2.265261628161873E-3"/>
          <c:y val="0.74213623494994752"/>
          <c:w val="0.98986260791072356"/>
          <c:h val="0.235898377965426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0"/>
          <a:lstStyle/>
          <a:p>
            <a:pPr algn="l"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400" b="1" dirty="0"/>
              <a:t>DISTRIBUCIÓN</a:t>
            </a:r>
            <a:r>
              <a:rPr lang="es-MX" sz="1400" b="1" baseline="0" dirty="0"/>
              <a:t> DE COSTOS DE CAPACIDAD</a:t>
            </a:r>
            <a:endParaRPr lang="es-MX" sz="1400" b="1" dirty="0"/>
          </a:p>
        </c:rich>
      </c:tx>
      <c:layout>
        <c:manualLayout>
          <c:xMode val="edge"/>
          <c:yMode val="edge"/>
          <c:x val="0.13838232720909885"/>
          <c:y val="1.41421421136066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0"/>
        <a:lstStyle/>
        <a:p>
          <a:pPr algn="l"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0.24739588801399831"/>
          <c:y val="0.11422262983265949"/>
          <c:w val="0.53298797025371825"/>
          <c:h val="0.54270659665229881"/>
        </c:manualLayout>
      </c:layout>
      <c:pieChart>
        <c:varyColors val="1"/>
        <c:ser>
          <c:idx val="1"/>
          <c:order val="0"/>
          <c:tx>
            <c:v>#¡REF!</c:v>
          </c:tx>
          <c:dPt>
            <c:idx val="0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DDA8-498C-BC7B-00DC81F49D6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DDA8-498C-BC7B-00DC81F49D6A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2E27-4AC6-BCA5-B65C02B7840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2E27-4AC6-BCA5-B65C02B7840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2E27-4AC6-BCA5-B65C02B7840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97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val>
            <c:numRef>
              <c:f>[4]Hoja1!$C$2:$C$7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DDA8-498C-BC7B-00DC81F49D6A}"/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}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77706425537517643"/>
          <c:w val="0.99787489063867019"/>
          <c:h val="0.220107409012575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b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>
                    <a:lumMod val="50000"/>
                  </a:schemeClr>
                </a:solidFill>
              </a:rPr>
              <a:t>DISTRIBUCIÓN DE COSTOS DE CAPACIDAD</a:t>
            </a:r>
            <a:endParaRPr lang="es-MX">
              <a:solidFill>
                <a:schemeClr val="bg1">
                  <a:lumMod val="50000"/>
                </a:schemeClr>
              </a:solidFill>
            </a:endParaRPr>
          </a:p>
        </c:rich>
      </c:tx>
      <c:layout>
        <c:manualLayout>
          <c:xMode val="edge"/>
          <c:yMode val="edge"/>
          <c:x val="1.9512798511429701E-3"/>
          <c:y val="0"/>
        </c:manualLayout>
      </c:layout>
      <c:overlay val="0"/>
      <c:spPr>
        <a:noFill/>
        <a:ln w="2540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4.5066742311143737E-3"/>
          <c:y val="7.8004914464956554E-2"/>
          <c:w val="0.40299842849606726"/>
          <c:h val="0.8228567886641186"/>
        </c:manualLayout>
      </c:layout>
      <c:pieChart>
        <c:varyColors val="1"/>
        <c:ser>
          <c:idx val="9"/>
          <c:order val="0"/>
          <c:tx>
            <c:strRef>
              <c:f>Resumen!$N$391</c:f>
              <c:strCache>
                <c:ptCount val="1"/>
                <c:pt idx="0">
                  <c:v>OCT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57CD-463D-82CD-AE0192F02C5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57CD-463D-82CD-AE0192F02C5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57CD-463D-82CD-AE0192F02C5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57CD-463D-82CD-AE0192F02C5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57CD-463D-82CD-AE0192F02C51}"/>
              </c:ext>
            </c:extLst>
          </c:dPt>
          <c:dLbls>
            <c:spPr>
              <a:noFill/>
              <a:ln w="25400"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prstDash val="solid"/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Resumen!$D$392:$D$396</c:f>
              <c:strCache>
                <c:ptCount val="5"/>
                <c:pt idx="0">
                  <c:v>CC NORTE II</c:v>
                </c:pt>
                <c:pt idx="1">
                  <c:v>CC CHIHUAHUA II</c:v>
                </c:pt>
                <c:pt idx="2">
                  <c:v>CC EL ENCINO</c:v>
                </c:pt>
                <c:pt idx="3">
                  <c:v>GASODUCTO EL ENCINO - TOPOLOBAMPO</c:v>
                </c:pt>
                <c:pt idx="4">
                  <c:v>CAPACIDAD          NO UTILIZADA</c:v>
                </c:pt>
              </c:strCache>
            </c:strRef>
          </c:cat>
          <c:val>
            <c:numRef>
              <c:f>Resumen!$N$392:$N$396</c:f>
              <c:numCache>
                <c:formatCode>0%</c:formatCode>
                <c:ptCount val="5"/>
                <c:pt idx="0">
                  <c:v>9.4117647058823528E-2</c:v>
                </c:pt>
                <c:pt idx="1">
                  <c:v>9.4117647058823528E-2</c:v>
                </c:pt>
                <c:pt idx="2">
                  <c:v>4.7058823529411764E-2</c:v>
                </c:pt>
                <c:pt idx="3">
                  <c:v>7.7873931802656546E-2</c:v>
                </c:pt>
                <c:pt idx="4">
                  <c:v>0.68683195055028456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1-57CD-463D-82CD-AE0192F02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49938531311522089"/>
          <c:y val="0.19648009095217603"/>
          <c:w val="0.43698016334413176"/>
          <c:h val="0.5733717831118802"/>
        </c:manualLayout>
      </c:layout>
      <c:overlay val="0"/>
      <c:spPr>
        <a:noFill/>
        <a:ln w="2540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zero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sz="1400"/>
      </a:pPr>
      <a:endParaRPr lang="es-MX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>
                <a:solidFill>
                  <a:schemeClr val="bg1">
                    <a:lumMod val="50000"/>
                  </a:schemeClr>
                </a:solidFill>
              </a:defRPr>
            </a:pPr>
            <a:r>
              <a:rPr lang="es-MX" sz="1600">
                <a:solidFill>
                  <a:schemeClr val="bg1">
                    <a:lumMod val="50000"/>
                  </a:schemeClr>
                </a:solidFill>
              </a:rPr>
              <a:t>UTILIZACIÓN DEL GASODUCTO</a:t>
            </a:r>
          </a:p>
        </c:rich>
      </c:tx>
      <c:layout>
        <c:manualLayout>
          <c:xMode val="edge"/>
          <c:yMode val="edge"/>
          <c:x val="5.377963775383529E-4"/>
          <c:y val="3.9043790725017289E-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Resumen!$AB$12</c:f>
              <c:strCache>
                <c:ptCount val="1"/>
                <c:pt idx="0">
                  <c:v>CAPACIDAD UTILIZADA</c:v>
                </c:pt>
              </c:strCache>
            </c:strRef>
          </c:tx>
          <c:spPr>
            <a:ln w="123825" cmpd="sng"/>
          </c:spPr>
          <c:marker>
            <c:symbol val="none"/>
          </c:marker>
          <c:cat>
            <c:numRef>
              <c:f>Resumen!$C$328:$C$339</c:f>
              <c:numCache>
                <c:formatCode>mmm\-yy</c:formatCode>
                <c:ptCount val="12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</c:numCache>
            </c:numRef>
          </c:cat>
          <c:val>
            <c:numRef>
              <c:f>Resumen!$AB$328:$AB$339</c:f>
              <c:numCache>
                <c:formatCode>0.00%</c:formatCode>
                <c:ptCount val="12"/>
                <c:pt idx="0">
                  <c:v>0.1885302921588374</c:v>
                </c:pt>
                <c:pt idx="1">
                  <c:v>0.17551962031384796</c:v>
                </c:pt>
                <c:pt idx="2">
                  <c:v>0.18927392451627983</c:v>
                </c:pt>
                <c:pt idx="3">
                  <c:v>0.19412925899997138</c:v>
                </c:pt>
                <c:pt idx="4">
                  <c:v>0.19586831697207638</c:v>
                </c:pt>
                <c:pt idx="5">
                  <c:v>0.1900009772552356</c:v>
                </c:pt>
                <c:pt idx="6">
                  <c:v>0.19661662564526616</c:v>
                </c:pt>
                <c:pt idx="7">
                  <c:v>0.19661662564526616</c:v>
                </c:pt>
                <c:pt idx="8">
                  <c:v>0.1900009772552356</c:v>
                </c:pt>
                <c:pt idx="9">
                  <c:v>0.19543604843868503</c:v>
                </c:pt>
                <c:pt idx="10">
                  <c:v>0.1900009772552356</c:v>
                </c:pt>
                <c:pt idx="11">
                  <c:v>6.8704517683396318E-2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392-4DDD-9A87-99DA57D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5442576"/>
        <c:axId val="558235032"/>
      </c:lineChart>
      <c:valAx>
        <c:axId val="55823503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s-MX"/>
          </a:p>
        </c:txPr>
        <c:crossAx val="565442576"/>
        <c:crosses val="max"/>
        <c:crossBetween val="between"/>
      </c:valAx>
      <c:dateAx>
        <c:axId val="565442576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s-MX"/>
          </a:p>
        </c:txPr>
        <c:crossAx val="558235032"/>
        <c:crosses val="autoZero"/>
        <c:auto val="1"/>
        <c:lblOffset val="100"/>
        <c:baseTimeUnit val="months"/>
      </c:dateAx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s-MX"/>
        </a:p>
      </c:txPr>
    </c:legend>
    <c:plotVisOnly val="1"/>
    <c:dispBlanksAs val="gap"/>
    <c:showDLblsOverMax val="0"/>
  </c:chart>
  <c:spPr>
    <a:noFill/>
    <a:ln w="2857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s-MX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50" baseline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600">
                <a:solidFill>
                  <a:schemeClr val="bg1">
                    <a:lumMod val="50000"/>
                  </a:schemeClr>
                </a:solidFill>
              </a:rPr>
              <a:t>COSTO MENSUAL</a:t>
            </a:r>
          </a:p>
        </c:rich>
      </c:tx>
      <c:layout>
        <c:manualLayout>
          <c:xMode val="edge"/>
          <c:yMode val="edge"/>
          <c:x val="1.3949953088443169E-3"/>
          <c:y val="3.9042343771831431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50" baseline="0">
              <a:ln>
                <a:noFill/>
              </a:ln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0.10933916580944707"/>
          <c:y val="0.18141780295755716"/>
          <c:w val="0.87599805133048703"/>
          <c:h val="0.5532780391780296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Resumen!$E$12</c:f>
              <c:strCache>
                <c:ptCount val="1"/>
                <c:pt idx="0">
                  <c:v>CARGO VARIABLE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Resumen!$C$67:$C$78</c:f>
              <c:numCache>
                <c:formatCode>mmm\-yy</c:formatCode>
                <c:ptCount val="12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</c:numCache>
            </c:numRef>
          </c:cat>
          <c:val>
            <c:numRef>
              <c:f>Resumen!$E$67:$E$78</c:f>
              <c:numCache>
                <c:formatCode>_("$"* #,##0.00_);_("$"* \(#,##0.00\);_("$"* "-"??_);_(@_)</c:formatCode>
                <c:ptCount val="12"/>
                <c:pt idx="0">
                  <c:v>38305.164879999997</c:v>
                </c:pt>
                <c:pt idx="1">
                  <c:v>36471.262081000001</c:v>
                </c:pt>
                <c:pt idx="2">
                  <c:v>40997.557629000003</c:v>
                </c:pt>
                <c:pt idx="3">
                  <c:v>42363.020168000003</c:v>
                </c:pt>
                <c:pt idx="4">
                  <c:v>88149.841141186465</c:v>
                </c:pt>
                <c:pt idx="5">
                  <c:v>113071.12850314719</c:v>
                </c:pt>
                <c:pt idx="6">
                  <c:v>156876.12953814591</c:v>
                </c:pt>
                <c:pt idx="7">
                  <c:v>158372.79441031817</c:v>
                </c:pt>
                <c:pt idx="8">
                  <c:v>578419.26450457657</c:v>
                </c:pt>
                <c:pt idx="9">
                  <c:v>157455.54227400001</c:v>
                </c:pt>
                <c:pt idx="10">
                  <c:v>107576.1976</c:v>
                </c:pt>
                <c:pt idx="11">
                  <c:v>102063.27907342515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D99-824F-B59A-9166D150CA02}"/>
            </c:ext>
          </c:extLst>
        </c:ser>
        <c:ser>
          <c:idx val="0"/>
          <c:order val="1"/>
          <c:tx>
            <c:strRef>
              <c:f>Resumen!$D$12</c:f>
              <c:strCache>
                <c:ptCount val="1"/>
                <c:pt idx="0">
                  <c:v>CARGO FIJO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Resumen!$C$67:$C$78</c:f>
              <c:numCache>
                <c:formatCode>mmm\-yy</c:formatCode>
                <c:ptCount val="12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</c:numCache>
            </c:numRef>
          </c:cat>
          <c:val>
            <c:numRef>
              <c:f>Resumen!$D$67:$D$78</c:f>
              <c:numCache>
                <c:formatCode>_("$"* #,##0.00_);_("$"* \(#,##0.00\);_("$"* "-"??_);_(@_)</c:formatCode>
                <c:ptCount val="12"/>
                <c:pt idx="0">
                  <c:v>86506524.804447994</c:v>
                </c:pt>
                <c:pt idx="1">
                  <c:v>86665877.335072011</c:v>
                </c:pt>
                <c:pt idx="2">
                  <c:v>87662063.623007998</c:v>
                </c:pt>
                <c:pt idx="3">
                  <c:v>91142192.427776009</c:v>
                </c:pt>
                <c:pt idx="4">
                  <c:v>101785973.21639799</c:v>
                </c:pt>
                <c:pt idx="5">
                  <c:v>96260291.249025986</c:v>
                </c:pt>
                <c:pt idx="6">
                  <c:v>96344803.878220975</c:v>
                </c:pt>
                <c:pt idx="7">
                  <c:v>96265397.733235985</c:v>
                </c:pt>
                <c:pt idx="8">
                  <c:v>99261372.019243002</c:v>
                </c:pt>
                <c:pt idx="9">
                  <c:v>95652043.143175989</c:v>
                </c:pt>
                <c:pt idx="10">
                  <c:v>100024791.40863799</c:v>
                </c:pt>
                <c:pt idx="11">
                  <c:v>96951198.562638998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D99-824F-B59A-9166D150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565443752"/>
        <c:axId val="565443360"/>
      </c:barChart>
      <c:valAx>
        <c:axId val="565443360"/>
        <c:scaling>
          <c:orientation val="minMax"/>
        </c:scaling>
        <c:delete val="1"/>
        <c:axPos val="r"/>
        <c:numFmt formatCode="_(&quot;$&quot;* #,##0.00_);_(&quot;$&quot;* \(#,##0.00\);_(&quot;$&quot;* &quot;-&quot;??_);_(@_)" sourceLinked="1"/>
        <c:majorTickMark val="out"/>
        <c:minorTickMark val="none"/>
        <c:tickLblPos val="none"/>
        <c:crossAx val="565443752"/>
        <c:crosses val="max"/>
        <c:crossBetween val="between"/>
      </c:valAx>
      <c:dateAx>
        <c:axId val="565443752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one"/>
        <c:crossAx val="565443360"/>
        <c:crosses val="autoZero"/>
        <c:auto val="1"/>
        <c:lblOffset val="100"/>
        <c:baseTimeUnit val="months"/>
      </c:date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ln>
                  <a:noFill/>
                </a:ln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softEdge rad="0"/>
    </a:effectLst>
  </c:spPr>
  <c:txPr>
    <a:bodyPr/>
    <a:lstStyle/>
    <a:p>
      <a:pPr>
        <a:defRPr sz="1200">
          <a:ln>
            <a:noFill/>
          </a:ln>
          <a:solidFill>
            <a:schemeClr val="dk1"/>
          </a:solidFill>
        </a:defRPr>
      </a:pPr>
      <a:endParaRPr lang="es-MX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4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DETALLE DE UTILIZACIÓN DEL GASODUCTO </a:t>
            </a:r>
          </a:p>
        </c:rich>
      </c:tx>
      <c:layout>
        <c:manualLayout>
          <c:xMode val="edge"/>
          <c:yMode val="edge"/>
          <c:x val="1.3395568134508861E-2"/>
          <c:y val="2.04858254551838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4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3.5926050578590892E-2"/>
          <c:y val="0.18100231291989299"/>
          <c:w val="0.44070825495825"/>
          <c:h val="0.74446062830581172"/>
        </c:manualLayout>
      </c:layout>
      <c:pieChart>
        <c:varyColors val="1"/>
        <c:ser>
          <c:idx val="0"/>
          <c:order val="0"/>
          <c:tx>
            <c:strRef>
              <c:f>'Octubre - 2018  '!$V$49</c:f>
              <c:strCache>
                <c:ptCount val="1"/>
                <c:pt idx="0">
                  <c:v>Volumen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E6D-4CA1-8B88-AF3F16B325A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E6D-4CA1-8B88-AF3F16B325A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0E6D-4CA1-8B88-AF3F16B325A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0E6D-4CA1-8B88-AF3F16B325A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0E6D-4CA1-8B88-AF3F16B325A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'Octubre - 2018  '!$U$50:$U$54</c:f>
              <c:strCache>
                <c:ptCount val="5"/>
                <c:pt idx="0">
                  <c:v>SIN USO</c:v>
                </c:pt>
                <c:pt idx="1">
                  <c:v>CC CHIHUAHUA II</c:v>
                </c:pt>
                <c:pt idx="2">
                  <c:v>CC EL ENCINO</c:v>
                </c:pt>
                <c:pt idx="3">
                  <c:v>GASODUCTO EL ENCINO - TOPOLOBAMPO</c:v>
                </c:pt>
                <c:pt idx="4">
                  <c:v>CC NORTE II</c:v>
                </c:pt>
              </c:strCache>
            </c:strRef>
          </c:cat>
          <c:val>
            <c:numRef>
              <c:f>'Octubre - 2018  '!$V$50:$V$54</c:f>
              <c:numCache>
                <c:formatCode>#,##0</c:formatCode>
                <c:ptCount val="5"/>
                <c:pt idx="0">
                  <c:v>23869071.145178996</c:v>
                </c:pt>
                <c:pt idx="1">
                  <c:v>2210041.275346667</c:v>
                </c:pt>
                <c:pt idx="2">
                  <c:v>1131035.114653334</c:v>
                </c:pt>
                <c:pt idx="3">
                  <c:v>2051978.1030000001</c:v>
                </c:pt>
                <c:pt idx="4">
                  <c:v>2220514.3618210014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0E6D-4CA1-8B88-AF3F16B325A4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0716282298943349"/>
          <c:y val="0.18141110569002797"/>
          <c:w val="0.47557099256844104"/>
          <c:h val="0.661726279301918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+mn-lt"/>
        </a:defRPr>
      </a:pPr>
      <a:endParaRPr lang="es-MX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Detalle de Utilizacion del Gasoducto</a:t>
            </a:r>
          </a:p>
        </c:rich>
      </c:tx>
      <c:layout>
        <c:manualLayout>
          <c:xMode val="edge"/>
          <c:yMode val="edge"/>
          <c:x val="1.7232507955146088E-2"/>
          <c:y val="2.04858072069392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3.5926050578590892E-2"/>
          <c:y val="0.18100231291989299"/>
          <c:w val="0.44070825495825"/>
          <c:h val="0.74446062830581172"/>
        </c:manualLayout>
      </c:layout>
      <c:pieChart>
        <c:varyColors val="1"/>
        <c:ser>
          <c:idx val="0"/>
          <c:order val="0"/>
          <c:tx>
            <c:strRef>
              <c:f>'Octubre - 2018  '!$V$49</c:f>
              <c:strCache>
                <c:ptCount val="1"/>
                <c:pt idx="0">
                  <c:v>Volumen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509-406A-9350-0CA90DE59A1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509-406A-9350-0CA90DE59A1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509-406A-9350-0CA90DE59A1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4509-406A-9350-0CA90DE59A1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4509-406A-9350-0CA90DE59A1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'Octubre - 2018  '!$U$50:$U$54</c:f>
              <c:strCache>
                <c:ptCount val="5"/>
                <c:pt idx="0">
                  <c:v>SIN USO</c:v>
                </c:pt>
                <c:pt idx="1">
                  <c:v>CC CHIHUAHUA II</c:v>
                </c:pt>
                <c:pt idx="2">
                  <c:v>CC EL ENCINO</c:v>
                </c:pt>
                <c:pt idx="3">
                  <c:v>GASODUCTO EL ENCINO - TOPOLOBAMPO</c:v>
                </c:pt>
                <c:pt idx="4">
                  <c:v>CC NORTE II</c:v>
                </c:pt>
              </c:strCache>
            </c:strRef>
          </c:cat>
          <c:val>
            <c:numRef>
              <c:f>'Octubre - 2018  '!$V$50:$V$54</c:f>
              <c:numCache>
                <c:formatCode>#,##0</c:formatCode>
                <c:ptCount val="5"/>
                <c:pt idx="0">
                  <c:v>23869071.145178996</c:v>
                </c:pt>
                <c:pt idx="1">
                  <c:v>2210041.275346667</c:v>
                </c:pt>
                <c:pt idx="2">
                  <c:v>1131035.114653334</c:v>
                </c:pt>
                <c:pt idx="3">
                  <c:v>2051978.1030000001</c:v>
                </c:pt>
                <c:pt idx="4">
                  <c:v>2220514.3618210014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B00-44F0-B601-4284A3FA149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5512444643978265"/>
          <c:y val="0.31104077312358513"/>
          <c:w val="0.43336476393213436"/>
          <c:h val="0.554781803669234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+mn-lt"/>
        </a:defRPr>
      </a:pPr>
      <a:endParaRPr lang="es-MX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Detalle de Utilizacion del Gasoducto</a:t>
            </a:r>
          </a:p>
        </c:rich>
      </c:tx>
      <c:layout>
        <c:manualLayout>
          <c:xMode val="edge"/>
          <c:yMode val="edge"/>
          <c:x val="1.7232507955146088E-2"/>
          <c:y val="2.04858072069392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3.5926050578590892E-2"/>
          <c:y val="0.18100231291989299"/>
          <c:w val="0.44070825495825"/>
          <c:h val="0.74446062830581172"/>
        </c:manualLayout>
      </c:layout>
      <c:pieChart>
        <c:varyColors val="1"/>
        <c:ser>
          <c:idx val="0"/>
          <c:order val="0"/>
          <c:tx>
            <c:strRef>
              <c:f>'Noviembre - 2018  '!$V$49</c:f>
              <c:strCache>
                <c:ptCount val="1"/>
                <c:pt idx="0">
                  <c:v>Volumen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D75F-4BBD-9CA2-38019AA62C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D75F-4BBD-9CA2-38019AA62C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D75F-4BBD-9CA2-38019AA62CB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D75F-4BBD-9CA2-38019AA62CB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D75F-4BBD-9CA2-38019AA62CB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'Noviembre - 2018  '!$U$50:$U$54</c:f>
              <c:strCache>
                <c:ptCount val="5"/>
                <c:pt idx="0">
                  <c:v>SIN USO</c:v>
                </c:pt>
                <c:pt idx="1">
                  <c:v>CC CHIHUAHUA II</c:v>
                </c:pt>
                <c:pt idx="2">
                  <c:v>CC EL ENCINO</c:v>
                </c:pt>
                <c:pt idx="3">
                  <c:v>GASODUCTO EL ENCINO - TOPOLOBAMPO</c:v>
                </c:pt>
                <c:pt idx="4">
                  <c:v>CC NORTE II</c:v>
                </c:pt>
              </c:strCache>
            </c:strRef>
          </c:cat>
          <c:val>
            <c:numRef>
              <c:f>'Noviembre - 2018  '!$V$50:$V$54</c:f>
              <c:numCache>
                <c:formatCode>#,##0</c:formatCode>
                <c:ptCount val="5"/>
                <c:pt idx="0">
                  <c:v>0</c:v>
                </c:pt>
                <c:pt idx="1">
                  <c:v>2145017.0680672848</c:v>
                </c:pt>
                <c:pt idx="2">
                  <c:v>1113203.2619327151</c:v>
                </c:pt>
                <c:pt idx="3">
                  <c:v>0</c:v>
                </c:pt>
                <c:pt idx="4">
                  <c:v>2155818.7649450004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D75F-4BBD-9CA2-38019AA62CB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5512444643978265"/>
          <c:y val="0.31104077312358513"/>
          <c:w val="0.43336476393213436"/>
          <c:h val="0.554781803669234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+mn-lt"/>
        </a:defRPr>
      </a:pPr>
      <a:endParaRPr lang="es-MX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Detalle de Utilizacion del Gasoducto</a:t>
            </a:r>
          </a:p>
        </c:rich>
      </c:tx>
      <c:layout>
        <c:manualLayout>
          <c:xMode val="edge"/>
          <c:yMode val="edge"/>
          <c:x val="1.7232507955146088E-2"/>
          <c:y val="2.04858072069392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3.5926050578590892E-2"/>
          <c:y val="0.18100231291989299"/>
          <c:w val="0.44070825495825"/>
          <c:h val="0.74446062830581172"/>
        </c:manualLayout>
      </c:layout>
      <c:pieChart>
        <c:varyColors val="1"/>
        <c:ser>
          <c:idx val="0"/>
          <c:order val="0"/>
          <c:tx>
            <c:strRef>
              <c:f>'Diciembre - 2018 '!$V$48</c:f>
              <c:strCache>
                <c:ptCount val="1"/>
                <c:pt idx="0">
                  <c:v>Volumen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D75F-4BBD-9CA2-38019AA62C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D75F-4BBD-9CA2-38019AA62C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D75F-4BBD-9CA2-38019AA62CB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D75F-4BBD-9CA2-38019AA62CB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D75F-4BBD-9CA2-38019AA62CB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'Diciembre - 2018 '!$U$49:$U$53</c:f>
              <c:strCache>
                <c:ptCount val="5"/>
                <c:pt idx="0">
                  <c:v>CCC Chihuahua II</c:v>
                </c:pt>
                <c:pt idx="1">
                  <c:v>CCC El Encino</c:v>
                </c:pt>
                <c:pt idx="2">
                  <c:v>AA Serdan-Igasamex</c:v>
                </c:pt>
                <c:pt idx="3">
                  <c:v>Gasoducto 
El Encino  - Topolobampo</c:v>
                </c:pt>
                <c:pt idx="4">
                  <c:v>CCC Norte II</c:v>
                </c:pt>
              </c:strCache>
            </c:strRef>
          </c:cat>
          <c:val>
            <c:numRef>
              <c:f>'Diciembre - 2018 '!$V$49:$V$53</c:f>
              <c:numCache>
                <c:formatCode>#,##0</c:formatCode>
                <c:ptCount val="5"/>
                <c:pt idx="0">
                  <c:v>2057037.2438130083</c:v>
                </c:pt>
                <c:pt idx="1">
                  <c:v>1153035.1161869911</c:v>
                </c:pt>
                <c:pt idx="2">
                  <c:v>297541.30799999996</c:v>
                </c:pt>
                <c:pt idx="3">
                  <c:v>0</c:v>
                </c:pt>
                <c:pt idx="4">
                  <c:v>2162999.5966000003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D75F-4BBD-9CA2-38019AA62CB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33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197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197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197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197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197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62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33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197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197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197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197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197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62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1.jpeg"/><Relationship Id="rId1" Type="http://schemas.openxmlformats.org/officeDocument/2006/relationships/chart" Target="../charts/chart3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image" Target="../media/image13.jpe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image" Target="../media/image14.jpe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image" Target="../media/image15.jpe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e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e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819148</xdr:colOff>
      <xdr:row>1</xdr:row>
      <xdr:rowOff>119064</xdr:rowOff>
    </xdr:from>
    <xdr:to>
      <xdr:col>8</xdr:col>
      <xdr:colOff>1190625</xdr:colOff>
      <xdr:row>8</xdr:row>
      <xdr:rowOff>164309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Año del Pago">
              <a:extLst>
                <a:ext uri="{FF2B5EF4-FFF2-40B4-BE49-F238E27FC236}">
                  <a16:creationId xmlns:a16="http://schemas.microsoft.com/office/drawing/2014/main" xmlns="" id="{00000000-0008-0000-03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del Pag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9148" y="297658"/>
              <a:ext cx="11003758" cy="12954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1166814</xdr:colOff>
      <xdr:row>1</xdr:row>
      <xdr:rowOff>119064</xdr:rowOff>
    </xdr:from>
    <xdr:to>
      <xdr:col>15</xdr:col>
      <xdr:colOff>35721</xdr:colOff>
      <xdr:row>7</xdr:row>
      <xdr:rowOff>47627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Año del Servicio">
              <a:extLst>
                <a:ext uri="{FF2B5EF4-FFF2-40B4-BE49-F238E27FC236}">
                  <a16:creationId xmlns:a16="http://schemas.microsoft.com/office/drawing/2014/main" xmlns="" id="{00000000-0008-0000-03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del Servici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99095" y="297658"/>
              <a:ext cx="8441532" cy="1000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0</xdr:col>
      <xdr:colOff>821531</xdr:colOff>
      <xdr:row>0</xdr:row>
      <xdr:rowOff>11907</xdr:rowOff>
    </xdr:from>
    <xdr:to>
      <xdr:col>15</xdr:col>
      <xdr:colOff>47624</xdr:colOff>
      <xdr:row>1</xdr:row>
      <xdr:rowOff>107157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xmlns="" id="{00000000-0008-0000-0300-000004000000}"/>
            </a:ext>
          </a:extLst>
        </xdr:cNvPr>
        <xdr:cNvSpPr/>
      </xdr:nvSpPr>
      <xdr:spPr>
        <a:xfrm>
          <a:off x="821531" y="11907"/>
          <a:ext cx="19430999" cy="273844"/>
        </a:xfrm>
        <a:prstGeom prst="rect">
          <a:avLst/>
        </a:prstGeom>
        <a:solidFill>
          <a:srgbClr val="009967"/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800" baseline="0"/>
            <a:t>GASODUCTO CORREDOR CHIHUAHUA</a:t>
          </a:r>
          <a:endParaRPr lang="es-MX" sz="1800"/>
        </a:p>
      </xdr:txBody>
    </xdr:sp>
    <xdr:clientData/>
  </xdr:twoCellAnchor>
  <xdr:twoCellAnchor>
    <xdr:from>
      <xdr:col>0</xdr:col>
      <xdr:colOff>809624</xdr:colOff>
      <xdr:row>5</xdr:row>
      <xdr:rowOff>11913</xdr:rowOff>
    </xdr:from>
    <xdr:to>
      <xdr:col>8</xdr:col>
      <xdr:colOff>1178719</xdr:colOff>
      <xdr:row>16</xdr:row>
      <xdr:rowOff>71441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xmlns="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1166813</xdr:colOff>
      <xdr:row>5</xdr:row>
      <xdr:rowOff>11906</xdr:rowOff>
    </xdr:from>
    <xdr:to>
      <xdr:col>15</xdr:col>
      <xdr:colOff>59531</xdr:colOff>
      <xdr:row>16</xdr:row>
      <xdr:rowOff>71443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xmlns="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904083</xdr:colOff>
      <xdr:row>398</xdr:row>
      <xdr:rowOff>104449</xdr:rowOff>
    </xdr:from>
    <xdr:to>
      <xdr:col>15</xdr:col>
      <xdr:colOff>1087438</xdr:colOff>
      <xdr:row>419</xdr:row>
      <xdr:rowOff>182563</xdr:rowOff>
    </xdr:to>
    <xdr:graphicFrame macro="">
      <xdr:nvGraphicFramePr>
        <xdr:cNvPr id="1025" name="Gráfico 1">
          <a:extLst>
            <a:ext uri="{FF2B5EF4-FFF2-40B4-BE49-F238E27FC236}">
              <a16:creationId xmlns:a16="http://schemas.microsoft.com/office/drawing/2014/main" xmlns="" id="{00000000-0008-0000-0500-000001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9525</xdr:colOff>
      <xdr:row>1</xdr:row>
      <xdr:rowOff>38100</xdr:rowOff>
    </xdr:from>
    <xdr:to>
      <xdr:col>28</xdr:col>
      <xdr:colOff>1209675</xdr:colOff>
      <xdr:row>7</xdr:row>
      <xdr:rowOff>190500</xdr:rowOff>
    </xdr:to>
    <xdr:sp macro="" textlink="">
      <xdr:nvSpPr>
        <xdr:cNvPr id="1027" name="AutoShape 17">
          <a:extLst>
            <a:ext uri="{FF2B5EF4-FFF2-40B4-BE49-F238E27FC236}">
              <a16:creationId xmlns:a16="http://schemas.microsoft.com/office/drawing/2014/main" xmlns="" id="{00000000-0008-0000-0500-000003040000}"/>
            </a:ext>
          </a:extLst>
        </xdr:cNvPr>
        <xdr:cNvSpPr>
          <a:spLocks noChangeArrowheads="1"/>
        </xdr:cNvSpPr>
      </xdr:nvSpPr>
      <xdr:spPr bwMode="auto">
        <a:xfrm>
          <a:off x="781050" y="238125"/>
          <a:ext cx="32585025" cy="1352550"/>
        </a:xfrm>
        <a:prstGeom prst="roundRect">
          <a:avLst>
            <a:gd name="adj" fmla="val 16667"/>
          </a:avLst>
        </a:prstGeom>
        <a:noFill/>
        <a:ln w="31750" cmpd="dbl">
          <a:solidFill>
            <a:srgbClr val="009967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13</xdr:col>
      <xdr:colOff>1017094</xdr:colOff>
      <xdr:row>1</xdr:row>
      <xdr:rowOff>108857</xdr:rowOff>
    </xdr:from>
    <xdr:to>
      <xdr:col>20</xdr:col>
      <xdr:colOff>53229</xdr:colOff>
      <xdr:row>5</xdr:row>
      <xdr:rowOff>180013</xdr:rowOff>
    </xdr:to>
    <xdr:sp macro="" textlink="">
      <xdr:nvSpPr>
        <xdr:cNvPr id="9" name="Cuadro de texto 1">
          <a:extLst>
            <a:ext uri="{FF2B5EF4-FFF2-40B4-BE49-F238E27FC236}">
              <a16:creationId xmlns:a16="http://schemas.microsoft.com/office/drawing/2014/main" xmlns="" id="{00000000-0008-0000-0500-000009000000}"/>
            </a:ext>
          </a:extLst>
        </xdr:cNvPr>
        <xdr:cNvSpPr txBox="1">
          <a:spLocks noChangeArrowheads="1"/>
        </xdr:cNvSpPr>
      </xdr:nvSpPr>
      <xdr:spPr bwMode="auto">
        <a:xfrm>
          <a:off x="16148237" y="312964"/>
          <a:ext cx="6520063" cy="8875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r" rtl="0">
            <a:defRPr sz="1000"/>
          </a:pPr>
          <a:r>
            <a:rPr lang="es-MX" sz="1400" b="1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Dirección Corporativa de Operaciones</a:t>
          </a:r>
        </a:p>
        <a:p>
          <a:pPr algn="r" rtl="0">
            <a:lnSpc>
              <a:spcPts val="1500"/>
            </a:lnSpc>
            <a:defRPr sz="1000"/>
          </a:pPr>
          <a:r>
            <a:rPr lang="es-MX" sz="1400" b="0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Subgerencia Regional de Energéticos Norte</a:t>
          </a:r>
          <a:endParaRPr lang="es-MX" sz="1400" b="0" i="1" u="none" strike="noStrike" baseline="0">
            <a:solidFill>
              <a:srgbClr val="009969"/>
            </a:solidFill>
            <a:latin typeface="Arial" pitchFamily="34" charset="0"/>
            <a:cs typeface="Arial" pitchFamily="34" charset="0"/>
          </a:endParaRPr>
        </a:p>
        <a:p>
          <a:pPr algn="l" rtl="0">
            <a:lnSpc>
              <a:spcPts val="1500"/>
            </a:lnSpc>
            <a:defRPr sz="1000"/>
          </a:pPr>
          <a:endParaRPr lang="es-MX" sz="1400" b="1" i="1" u="none" strike="noStrike" baseline="0">
            <a:solidFill>
              <a:srgbClr val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0</xdr:col>
      <xdr:colOff>733425</xdr:colOff>
      <xdr:row>1</xdr:row>
      <xdr:rowOff>76200</xdr:rowOff>
    </xdr:from>
    <xdr:to>
      <xdr:col>3</xdr:col>
      <xdr:colOff>384175</xdr:colOff>
      <xdr:row>4</xdr:row>
      <xdr:rowOff>180975</xdr:rowOff>
    </xdr:to>
    <xdr:pic>
      <xdr:nvPicPr>
        <xdr:cNvPr id="1029" name="Picture 9" descr="C:\Users\francis.munguia\Desktop\LogotipoCFE_verde.jpg">
          <a:extLst>
            <a:ext uri="{FF2B5EF4-FFF2-40B4-BE49-F238E27FC236}">
              <a16:creationId xmlns:a16="http://schemas.microsoft.com/office/drawing/2014/main" xmlns="" id="{00000000-0008-0000-05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E"/>
            </a:clrFrom>
            <a:clrTo>
              <a:srgbClr val="FFFF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720" b="23125"/>
        <a:stretch>
          <a:fillRect/>
        </a:stretch>
      </xdr:blipFill>
      <xdr:spPr bwMode="auto">
        <a:xfrm>
          <a:off x="733425" y="276225"/>
          <a:ext cx="20383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180975</xdr:colOff>
      <xdr:row>5</xdr:row>
      <xdr:rowOff>141914</xdr:rowOff>
    </xdr:from>
    <xdr:to>
      <xdr:col>18</xdr:col>
      <xdr:colOff>565658</xdr:colOff>
      <xdr:row>7</xdr:row>
      <xdr:rowOff>179454</xdr:rowOff>
    </xdr:to>
    <xdr:sp macro="" textlink="">
      <xdr:nvSpPr>
        <xdr:cNvPr id="11" name="Cuadro de texto 1">
          <a:extLst>
            <a:ext uri="{FF2B5EF4-FFF2-40B4-BE49-F238E27FC236}">
              <a16:creationId xmlns:a16="http://schemas.microsoft.com/office/drawing/2014/main" xmlns="" id="{00000000-0008-0000-0500-00000B000000}"/>
            </a:ext>
          </a:extLst>
        </xdr:cNvPr>
        <xdr:cNvSpPr txBox="1">
          <a:spLocks noChangeArrowheads="1"/>
        </xdr:cNvSpPr>
      </xdr:nvSpPr>
      <xdr:spPr bwMode="auto">
        <a:xfrm>
          <a:off x="6889296" y="1162450"/>
          <a:ext cx="14372826" cy="44575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MX" sz="1400" b="1" i="0" u="none" strike="noStrike" baseline="0">
              <a:solidFill>
                <a:srgbClr val="000000"/>
              </a:solidFill>
              <a:latin typeface="Arial" pitchFamily="34" charset="0"/>
              <a:cs typeface="Arial" pitchFamily="34" charset="0"/>
            </a:rPr>
            <a:t>Distribución de Capacidad Reservada</a:t>
          </a:r>
        </a:p>
      </xdr:txBody>
    </xdr:sp>
    <xdr:clientData/>
  </xdr:twoCellAnchor>
  <xdr:twoCellAnchor>
    <xdr:from>
      <xdr:col>3</xdr:col>
      <xdr:colOff>77109</xdr:colOff>
      <xdr:row>344</xdr:row>
      <xdr:rowOff>70304</xdr:rowOff>
    </xdr:from>
    <xdr:to>
      <xdr:col>10</xdr:col>
      <xdr:colOff>936626</xdr:colOff>
      <xdr:row>362</xdr:row>
      <xdr:rowOff>127000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xmlns="" id="{00000000-0008-0000-05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3</xdr:col>
      <xdr:colOff>26617</xdr:colOff>
      <xdr:row>398</xdr:row>
      <xdr:rowOff>108687</xdr:rowOff>
    </xdr:from>
    <xdr:ext cx="8964983" cy="4383938"/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SpPr txBox="1"/>
      </xdr:nvSpPr>
      <xdr:spPr>
        <a:xfrm>
          <a:off x="2391992" y="29620312"/>
          <a:ext cx="8964983" cy="4383938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lang="es-ES_tradnl" sz="1600" b="1"/>
            <a:t>INSTRUCTIVO DE LLENADO DE información PARA REPORTE</a:t>
          </a:r>
        </a:p>
        <a:p>
          <a:endParaRPr lang="es-ES_tradnl" sz="1600" b="1"/>
        </a:p>
        <a:p>
          <a:r>
            <a:rPr lang="es-ES_tradnl" sz="1400"/>
            <a:t>●</a:t>
          </a:r>
          <a:r>
            <a:rPr lang="es-ES_tradnl" sz="1400" baseline="0"/>
            <a:t> </a:t>
          </a:r>
          <a:r>
            <a:rPr lang="es-ES_tradnl" sz="1400"/>
            <a:t>Actualizar Tabla</a:t>
          </a:r>
          <a:r>
            <a:rPr lang="es-ES_tradnl" sz="1400" baseline="0"/>
            <a:t> en base a la distribución de costos mensuales de la memoria de calculo.</a:t>
          </a:r>
        </a:p>
        <a:p>
          <a:endParaRPr lang="es-ES_tradnl" sz="1400" baseline="0"/>
        </a:p>
        <a:p>
          <a:r>
            <a:rPr lang="es-ES_tradnl" sz="1400" baseline="0"/>
            <a:t>● Difiere al porcentaje de utilización ya que esta distribución de costos se hace en función a la CMD previamente definida mientras que el porcentaje de utilización se efectúa en función de el volumen efectivamente transportado y medido</a:t>
          </a:r>
        </a:p>
        <a:p>
          <a:endParaRPr lang="es-ES_tradnl" sz="1100" baseline="0"/>
        </a:p>
      </xdr:txBody>
    </xdr:sp>
    <xdr:clientData/>
  </xdr:oneCellAnchor>
  <xdr:twoCellAnchor>
    <xdr:from>
      <xdr:col>2</xdr:col>
      <xdr:colOff>804333</xdr:colOff>
      <xdr:row>423</xdr:row>
      <xdr:rowOff>0</xdr:rowOff>
    </xdr:from>
    <xdr:to>
      <xdr:col>15</xdr:col>
      <xdr:colOff>1086556</xdr:colOff>
      <xdr:row>443</xdr:row>
      <xdr:rowOff>101600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xmlns="" id="{00000000-0008-0000-05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16</xdr:col>
      <xdr:colOff>1083734</xdr:colOff>
      <xdr:row>422</xdr:row>
      <xdr:rowOff>107245</xdr:rowOff>
    </xdr:from>
    <xdr:ext cx="6882183" cy="4383938"/>
    <xdr:sp macro="" textlink="">
      <xdr:nvSpPr>
        <xdr:cNvPr id="15" name="CuadroTexto 14">
          <a:extLst>
            <a:ext uri="{FF2B5EF4-FFF2-40B4-BE49-F238E27FC236}">
              <a16:creationId xmlns:a16="http://schemas.microsoft.com/office/drawing/2014/main" xmlns="" id="{00000000-0008-0000-0500-00000F000000}"/>
            </a:ext>
          </a:extLst>
        </xdr:cNvPr>
        <xdr:cNvSpPr txBox="1"/>
      </xdr:nvSpPr>
      <xdr:spPr>
        <a:xfrm>
          <a:off x="20288956" y="24025578"/>
          <a:ext cx="6882183" cy="4383938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lang="es-ES_tradnl" sz="1600" b="1"/>
            <a:t>INSTRUCTIVO DE LLENADO DE información PARA REPORTE</a:t>
          </a:r>
        </a:p>
        <a:p>
          <a:endParaRPr lang="es-ES_tradnl" sz="1600" b="1"/>
        </a:p>
        <a:p>
          <a:r>
            <a:rPr lang="es-ES_tradnl" sz="1400"/>
            <a:t>●</a:t>
          </a:r>
          <a:r>
            <a:rPr lang="es-ES_tradnl" sz="1400" baseline="0"/>
            <a:t> </a:t>
          </a:r>
          <a:endParaRPr lang="es-ES_tradnl" sz="1100" baseline="0"/>
        </a:p>
      </xdr:txBody>
    </xdr:sp>
    <xdr:clientData/>
  </xdr:oneCellAnchor>
  <xdr:oneCellAnchor>
    <xdr:from>
      <xdr:col>11</xdr:col>
      <xdr:colOff>31750</xdr:colOff>
      <xdr:row>344</xdr:row>
      <xdr:rowOff>31750</xdr:rowOff>
    </xdr:from>
    <xdr:ext cx="7842250" cy="3048000"/>
    <xdr:sp macro="" textlink="">
      <xdr:nvSpPr>
        <xdr:cNvPr id="16" name="CuadroTexto 15">
          <a:extLst>
            <a:ext uri="{FF2B5EF4-FFF2-40B4-BE49-F238E27FC236}">
              <a16:creationId xmlns:a16="http://schemas.microsoft.com/office/drawing/2014/main" xmlns="" id="{00000000-0008-0000-0500-000010000000}"/>
            </a:ext>
          </a:extLst>
        </xdr:cNvPr>
        <xdr:cNvSpPr txBox="1"/>
      </xdr:nvSpPr>
      <xdr:spPr>
        <a:xfrm>
          <a:off x="13525500" y="17462500"/>
          <a:ext cx="7842250" cy="30480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lang="es-ES_tradnl" sz="1600"/>
            <a:t>●</a:t>
          </a:r>
          <a:r>
            <a:rPr lang="es-ES_tradnl" sz="1600" baseline="0"/>
            <a:t> GRAFICA PARA EL ANALISIS DE LA UTLIIZACION DEL GASODUCTO  EN EL EJERCICIO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S_tradnl" sz="1600" baseline="0"/>
        </a:p>
        <a:p>
          <a:endParaRPr lang="es-ES_tradnl" sz="1400" baseline="0"/>
        </a:p>
        <a:p>
          <a:endParaRPr lang="es-ES_tradnl" sz="1100" baseline="0"/>
        </a:p>
      </xdr:txBody>
    </xdr:sp>
    <xdr:clientData/>
  </xdr:oneCellAnchor>
  <xdr:oneCellAnchor>
    <xdr:from>
      <xdr:col>7</xdr:col>
      <xdr:colOff>793750</xdr:colOff>
      <xdr:row>365</xdr:row>
      <xdr:rowOff>15875</xdr:rowOff>
    </xdr:from>
    <xdr:ext cx="7009183" cy="3048000"/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xmlns="" id="{00000000-0008-0000-0500-00000D000000}"/>
            </a:ext>
          </a:extLst>
        </xdr:cNvPr>
        <xdr:cNvSpPr txBox="1"/>
      </xdr:nvSpPr>
      <xdr:spPr>
        <a:xfrm>
          <a:off x="9318625" y="21844000"/>
          <a:ext cx="7009183" cy="30480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lang="es-ES_tradnl" sz="1400"/>
            <a:t>●</a:t>
          </a:r>
          <a:r>
            <a:rPr lang="es-ES_tradnl" sz="1400" baseline="0"/>
            <a:t>  GRAFICA PARA ANALISIS MENSUAL  A DETALLE DE LA UTILIZACION DEL GASODUCTO </a:t>
          </a:r>
        </a:p>
        <a:p>
          <a:endParaRPr lang="es-ES_tradnl" sz="1100" baseline="0"/>
        </a:p>
      </xdr:txBody>
    </xdr:sp>
    <xdr:clientData/>
  </xdr:oneCellAnchor>
  <xdr:twoCellAnchor>
    <xdr:from>
      <xdr:col>3</xdr:col>
      <xdr:colOff>0</xdr:colOff>
      <xdr:row>365</xdr:row>
      <xdr:rowOff>47625</xdr:rowOff>
    </xdr:from>
    <xdr:to>
      <xdr:col>7</xdr:col>
      <xdr:colOff>460376</xdr:colOff>
      <xdr:row>384</xdr:row>
      <xdr:rowOff>45356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xmlns="" id="{00000000-0008-0000-05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47625</xdr:rowOff>
    </xdr:from>
    <xdr:to>
      <xdr:col>4</xdr:col>
      <xdr:colOff>466725</xdr:colOff>
      <xdr:row>3</xdr:row>
      <xdr:rowOff>123825</xdr:rowOff>
    </xdr:to>
    <xdr:pic>
      <xdr:nvPicPr>
        <xdr:cNvPr id="49156" name="Imagen 1">
          <a:extLst>
            <a:ext uri="{FF2B5EF4-FFF2-40B4-BE49-F238E27FC236}">
              <a16:creationId xmlns:a16="http://schemas.microsoft.com/office/drawing/2014/main" xmlns="" id="{00000000-0008-0000-0800-000004C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" y="47625"/>
          <a:ext cx="1704975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21981</xdr:colOff>
      <xdr:row>14</xdr:row>
      <xdr:rowOff>43961</xdr:rowOff>
    </xdr:from>
    <xdr:ext cx="3487616" cy="2455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xmlns="" id="{00000000-0008-0000-0900-000002000000}"/>
                </a:ext>
              </a:extLst>
            </xdr:cNvPr>
            <xdr:cNvSpPr txBox="1"/>
          </xdr:nvSpPr>
          <xdr:spPr>
            <a:xfrm>
              <a:off x="1069731" y="459691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presentacion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de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la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Proposicion</m:t>
                  </m:r>
                </m:oMath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400-000002000000}"/>
                </a:ext>
              </a:extLst>
            </xdr:cNvPr>
            <xdr:cNvSpPr txBox="1"/>
          </xdr:nvSpPr>
          <xdr:spPr>
            <a:xfrm>
              <a:off x="1069731" y="459691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𝑚=𝑃𝑟𝑜𝑑𝑢𝑐𝑒𝑟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de la 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"presentacion de la Proposicion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12</xdr:row>
      <xdr:rowOff>51288</xdr:rowOff>
    </xdr:from>
    <xdr:ext cx="3116879" cy="24057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xmlns="" id="{00000000-0008-0000-0900-000003000000}"/>
                </a:ext>
              </a:extLst>
            </xdr:cNvPr>
            <xdr:cNvSpPr txBox="1"/>
          </xdr:nvSpPr>
          <xdr:spPr>
            <a:xfrm>
              <a:off x="1043354" y="2603988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𝐶𝑉</m:t>
                    </m:r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𝑈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𝐶𝑎𝑟𝑔𝑜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𝑉𝑎𝑟𝑖𝑎𝑏𝑙𝑒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𝑝𝑜𝑟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𝑈𝑠𝑜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𝑝𝑎𝑟𝑎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",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deacuerdo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           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proposicion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, (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Dolares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/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GJ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)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400-000003000000}"/>
                </a:ext>
              </a:extLst>
            </xdr:cNvPr>
            <xdr:cNvSpPr txBox="1"/>
          </xdr:nvSpPr>
          <xdr:spPr>
            <a:xfrm>
              <a:off x="1043354" y="2603988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𝐶𝑉𝑈_𝑚=𝐶𝑎𝑟𝑔𝑜 𝑉𝑎𝑟𝑖𝑎𝑏𝑙𝑒 𝑝𝑜𝑟 𝑈𝑠𝑜 𝑝𝑎𝑟𝑎 𝑒𝑙 𝑀𝑒𝑠 "\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"m\", deacuerdo con la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               proposicion, (Dolares/GJ)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13</xdr:row>
      <xdr:rowOff>65942</xdr:rowOff>
    </xdr:from>
    <xdr:ext cx="3371949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xmlns="" id="{00000000-0008-0000-0900-000004000000}"/>
                </a:ext>
              </a:extLst>
            </xdr:cNvPr>
            <xdr:cNvSpPr txBox="1"/>
          </xdr:nvSpPr>
          <xdr:spPr>
            <a:xfrm>
              <a:off x="1064601" y="2894867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Facturado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400-000004000000}"/>
                </a:ext>
              </a:extLst>
            </xdr:cNvPr>
            <xdr:cNvSpPr txBox="1"/>
          </xdr:nvSpPr>
          <xdr:spPr>
            <a:xfrm>
              <a:off x="1064601" y="2894867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𝑜=𝑃𝑟𝑜𝑑𝑢𝑐𝑒𝑟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Facturado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16</xdr:row>
      <xdr:rowOff>43962</xdr:rowOff>
    </xdr:from>
    <xdr:ext cx="2621680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xmlns="" id="{00000000-0008-0000-0900-000005000000}"/>
                </a:ext>
              </a:extLst>
            </xdr:cNvPr>
            <xdr:cNvSpPr txBox="1"/>
          </xdr:nvSpPr>
          <xdr:spPr>
            <a:xfrm>
              <a:off x="1064602" y="3530112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𝑉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𝐶𝑎𝑛𝑡𝑖𝑑𝑎𝑑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𝐶𝑜𝑛𝑓𝑖𝑟𝑚𝑎𝑑𝑎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𝑑𝑒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𝑔𝑎𝑠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𝑒𝑛𝑡𝑟𝑒𝑔𝑎𝑑𝑜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𝑙𝑎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𝐶𝐹𝐸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400-000005000000}"/>
                </a:ext>
              </a:extLst>
            </xdr:cNvPr>
            <xdr:cNvSpPr txBox="1"/>
          </xdr:nvSpPr>
          <xdr:spPr>
            <a:xfrm>
              <a:off x="1064602" y="3530112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𝑉_𝑚𝑚=𝐶𝑎𝑛𝑡𝑖𝑑𝑎𝑑 𝐶𝑜𝑛𝑓𝑖𝑟𝑚𝑎𝑑𝑎 𝑑𝑒 𝑔𝑎𝑠 𝑒𝑛𝑡𝑟𝑒𝑔𝑎𝑑𝑜 𝑎 𝑙𝑎 𝐶𝐹𝐸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21980</xdr:colOff>
      <xdr:row>15</xdr:row>
      <xdr:rowOff>36634</xdr:rowOff>
    </xdr:from>
    <xdr:ext cx="3487616" cy="1342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xmlns="" id="{00000000-0008-0000-0900-000006000000}"/>
                </a:ext>
              </a:extLst>
            </xdr:cNvPr>
            <xdr:cNvSpPr txBox="1"/>
          </xdr:nvSpPr>
          <xdr:spPr>
            <a:xfrm>
              <a:off x="1069730" y="4865809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/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𝐶𝑜𝑐𝑖𝑒𝑛𝑡𝑒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𝐼𝑛𝑒𝑥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𝑅𝑢𝑏𝑟𝑜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𝐴𝑙𝑙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𝐶𝑜𝑚𝑜𝑑𝑖𝑡𝑖𝑒𝑠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400-000006000000}"/>
                </a:ext>
              </a:extLst>
            </xdr:cNvPr>
            <xdr:cNvSpPr txBox="1"/>
          </xdr:nvSpPr>
          <xdr:spPr>
            <a:xfrm>
              <a:off x="1069730" y="4865809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𝑈𝑆𝑃𝑃𝐼〗_(</a:t>
              </a:r>
              <a:r>
                <a:rPr lang="es-MX" sz="800" b="0" i="0">
                  <a:latin typeface="Cambria Math" panose="02040503050406030204" pitchFamily="18" charset="0"/>
                </a:rPr>
                <a:t>𝑚/𝑜)=𝐶𝑜𝑐𝑖𝑒𝑛𝑡𝑒 𝑃𝑟𝑜𝑑𝑢𝑐𝑒𝑟 𝑃𝑟𝑖𝑐𝑒 𝐼𝑛𝑒𝑥 𝑅𝑢𝑏𝑟𝑜 𝐴𝑙𝑙 𝐶𝑜𝑚𝑜𝑑𝑖𝑡𝑖𝑒𝑠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21981</xdr:colOff>
      <xdr:row>6</xdr:row>
      <xdr:rowOff>43961</xdr:rowOff>
    </xdr:from>
    <xdr:ext cx="3487616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xmlns="" id="{00000000-0008-0000-0900-000007000000}"/>
                </a:ext>
              </a:extLst>
            </xdr:cNvPr>
            <xdr:cNvSpPr txBox="1"/>
          </xdr:nvSpPr>
          <xdr:spPr>
            <a:xfrm>
              <a:off x="1069731" y="2682386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𝐶𝑅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𝑅𝑒𝑠𝑒𝑟𝑣𝑎𝑑𝑎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400-000007000000}"/>
                </a:ext>
              </a:extLst>
            </xdr:cNvPr>
            <xdr:cNvSpPr txBox="1"/>
          </xdr:nvSpPr>
          <xdr:spPr>
            <a:xfrm>
              <a:off x="1069731" y="2682386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𝐶𝑅=𝐶𝑎𝑝𝑎𝑐𝑖𝑑𝑎𝑑 𝑅𝑒𝑠𝑒𝑟𝑣𝑎𝑑𝑎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4</xdr:row>
      <xdr:rowOff>51288</xdr:rowOff>
    </xdr:from>
    <xdr:ext cx="3281026" cy="12260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xmlns="" id="{00000000-0008-0000-0900-000008000000}"/>
                </a:ext>
              </a:extLst>
            </xdr:cNvPr>
            <xdr:cNvSpPr txBox="1"/>
          </xdr:nvSpPr>
          <xdr:spPr>
            <a:xfrm>
              <a:off x="1043354" y="822813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MX" sz="8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𝐶𝐹𝐶</m:t>
                      </m:r>
                    </m:e>
                    <m:sub>
                      <m:r>
                        <a:rPr lang="es-MX" sz="800" b="0" i="1">
                          <a:latin typeface="Cambria Math" panose="02040503050406030204" pitchFamily="18" charset="0"/>
                        </a:rPr>
                        <m:t>𝑚</m:t>
                      </m:r>
                    </m:sub>
                  </m:sSub>
                  <m:r>
                    <a:rPr lang="es-MX" sz="800" b="0" i="1">
                      <a:latin typeface="Cambria Math" panose="02040503050406030204" pitchFamily="18" charset="0"/>
                    </a:rPr>
                    <m:t>=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𝐶𝑎𝑟𝑔𝑜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 </m:t>
                  </m:r>
                </m:oMath>
              </a14:m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400-000008000000}"/>
                </a:ext>
              </a:extLst>
            </xdr:cNvPr>
            <xdr:cNvSpPr txBox="1"/>
          </xdr:nvSpPr>
          <xdr:spPr>
            <a:xfrm>
              <a:off x="1043354" y="822813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𝐶𝐹𝐶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es-MX" sz="800" b="0" i="0">
                  <a:latin typeface="Cambria Math" panose="02040503050406030204" pitchFamily="18" charset="0"/>
                </a:rPr>
                <a:t>𝑚=𝐶𝑎𝑟𝑔𝑜 </a:t>
              </a:r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5</xdr:row>
      <xdr:rowOff>24848</xdr:rowOff>
    </xdr:from>
    <xdr:ext cx="1922522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xmlns="" id="{00000000-0008-0000-0900-000009000000}"/>
                </a:ext>
              </a:extLst>
            </xdr:cNvPr>
            <xdr:cNvSpPr txBox="1"/>
          </xdr:nvSpPr>
          <xdr:spPr>
            <a:xfrm>
              <a:off x="1055076" y="2472773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𝐶𝑅𝑉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𝐶𝑎𝑝𝑎𝑐𝑖𝑑𝑎𝑑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𝑅𝑒𝑠𝑒𝑟𝑣𝑎𝑑𝑎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𝑉𝑒𝑟𝑖𝑓𝑖𝑐𝑎𝑑𝑎</m:t>
                    </m:r>
                  </m:oMath>
                </m:oMathPara>
              </a14:m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400-000009000000}"/>
                </a:ext>
              </a:extLst>
            </xdr:cNvPr>
            <xdr:cNvSpPr txBox="1"/>
          </xdr:nvSpPr>
          <xdr:spPr>
            <a:xfrm>
              <a:off x="1055076" y="2472773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solidFill>
                    <a:schemeClr val="tx1"/>
                  </a:solidFill>
                  <a:latin typeface="Cambria Math" panose="02040503050406030204" pitchFamily="18" charset="0"/>
                  <a:ea typeface="+mn-ea"/>
                  <a:cs typeface="+mn-cs"/>
                </a:rPr>
                <a:t>𝐶𝑅𝑉=𝐶𝑎𝑝𝑎𝑐𝑖𝑑𝑎𝑑 𝑅𝑒𝑠𝑒𝑟𝑣𝑎𝑑𝑎 𝑉𝑒𝑟𝑖𝑓𝑖𝑐𝑎𝑑𝑎</a:t>
              </a:r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7</xdr:row>
      <xdr:rowOff>43962</xdr:rowOff>
    </xdr:from>
    <xdr:ext cx="1489831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xmlns="" id="{00000000-0008-0000-0900-00000A000000}"/>
                </a:ext>
              </a:extLst>
            </xdr:cNvPr>
            <xdr:cNvSpPr txBox="1"/>
          </xdr:nvSpPr>
          <xdr:spPr>
            <a:xfrm>
              <a:off x="1064602" y="1529862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𝐾𝐶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𝑐𝑎𝑝𝑎𝑐𝑖𝑑𝑎𝑑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𝑇𝑜𝑡𝑎𝑙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𝑀𝑒𝑛𝑠𝑢𝑎𝑙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0" name="CuadroTexto 9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400-00000A000000}"/>
                </a:ext>
              </a:extLst>
            </xdr:cNvPr>
            <xdr:cNvSpPr txBox="1"/>
          </xdr:nvSpPr>
          <xdr:spPr>
            <a:xfrm>
              <a:off x="1064602" y="1529862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𝐾𝐶=𝑐𝑎𝑝𝑎𝑐𝑖𝑑𝑎𝑑  𝑇𝑜𝑡𝑎𝑙 𝑀𝑒𝑛𝑠𝑢𝑎𝑙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21981</xdr:colOff>
      <xdr:row>22</xdr:row>
      <xdr:rowOff>43961</xdr:rowOff>
    </xdr:from>
    <xdr:ext cx="3487616" cy="2455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xmlns="" id="{00000000-0008-0000-0A00-000002000000}"/>
                </a:ext>
              </a:extLst>
            </xdr:cNvPr>
            <xdr:cNvSpPr txBox="1"/>
          </xdr:nvSpPr>
          <xdr:spPr>
            <a:xfrm>
              <a:off x="545856" y="478741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presentacion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de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la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Proposicion</m:t>
                  </m:r>
                </m:oMath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600-000002000000}"/>
                </a:ext>
              </a:extLst>
            </xdr:cNvPr>
            <xdr:cNvSpPr txBox="1"/>
          </xdr:nvSpPr>
          <xdr:spPr>
            <a:xfrm>
              <a:off x="545856" y="478741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𝑚=𝑃𝑟𝑜𝑑𝑢𝑐𝑒𝑟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de la 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"presentacion de la Proposicion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20</xdr:row>
      <xdr:rowOff>51288</xdr:rowOff>
    </xdr:from>
    <xdr:ext cx="3116879" cy="24057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xmlns="" id="{00000000-0008-0000-0A00-000003000000}"/>
                </a:ext>
              </a:extLst>
            </xdr:cNvPr>
            <xdr:cNvSpPr txBox="1"/>
          </xdr:nvSpPr>
          <xdr:spPr>
            <a:xfrm>
              <a:off x="1043354" y="4137513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𝐶𝑉</m:t>
                    </m:r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𝑈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𝐶𝑎𝑟𝑔𝑜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𝑉𝑎𝑟𝑖𝑎𝑏𝑙𝑒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𝑝𝑜𝑟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𝑈𝑠𝑜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𝑝𝑎𝑟𝑎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",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deacuerdo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           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proposicion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, (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Dolares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/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GJ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)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600-000003000000}"/>
                </a:ext>
              </a:extLst>
            </xdr:cNvPr>
            <xdr:cNvSpPr txBox="1"/>
          </xdr:nvSpPr>
          <xdr:spPr>
            <a:xfrm>
              <a:off x="1043354" y="4137513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𝐶𝑉𝑈_𝑚=𝐶𝑎𝑟𝑔𝑜 𝑉𝑎𝑟𝑖𝑎𝑏𝑙𝑒 𝑝𝑜𝑟 𝑈𝑠𝑜 𝑝𝑎𝑟𝑎 𝑒𝑙 𝑀𝑒𝑠 "\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"m\", deacuerdo con la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               proposicion, (Dolares/GJ)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21</xdr:row>
      <xdr:rowOff>65942</xdr:rowOff>
    </xdr:from>
    <xdr:ext cx="3371949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xmlns="" id="{00000000-0008-0000-0A00-000004000000}"/>
                </a:ext>
              </a:extLst>
            </xdr:cNvPr>
            <xdr:cNvSpPr txBox="1"/>
          </xdr:nvSpPr>
          <xdr:spPr>
            <a:xfrm>
              <a:off x="1064601" y="4428392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Facturado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600-000004000000}"/>
                </a:ext>
              </a:extLst>
            </xdr:cNvPr>
            <xdr:cNvSpPr txBox="1"/>
          </xdr:nvSpPr>
          <xdr:spPr>
            <a:xfrm>
              <a:off x="1064601" y="4428392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𝑜=𝑃𝑟𝑜𝑑𝑢𝑐𝑒𝑟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Facturado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24</xdr:row>
      <xdr:rowOff>43962</xdr:rowOff>
    </xdr:from>
    <xdr:ext cx="2621680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xmlns="" id="{00000000-0008-0000-0A00-000005000000}"/>
                </a:ext>
              </a:extLst>
            </xdr:cNvPr>
            <xdr:cNvSpPr txBox="1"/>
          </xdr:nvSpPr>
          <xdr:spPr>
            <a:xfrm>
              <a:off x="1064602" y="5063637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𝑉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𝐶𝑎𝑛𝑡𝑖𝑑𝑎𝑑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𝐶𝑜𝑛𝑓𝑖𝑟𝑚𝑎𝑑𝑎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𝑑𝑒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𝑔𝑎𝑠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𝑒𝑛𝑡𝑟𝑒𝑔𝑎𝑑𝑜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𝑙𝑎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𝐶𝐹𝐸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600-000005000000}"/>
                </a:ext>
              </a:extLst>
            </xdr:cNvPr>
            <xdr:cNvSpPr txBox="1"/>
          </xdr:nvSpPr>
          <xdr:spPr>
            <a:xfrm>
              <a:off x="1064602" y="5063637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𝑉_𝑚𝑚=𝐶𝑎𝑛𝑡𝑖𝑑𝑎𝑑 𝐶𝑜𝑛𝑓𝑖𝑟𝑚𝑎𝑑𝑎 𝑑𝑒 𝑔𝑎𝑠 𝑒𝑛𝑡𝑟𝑒𝑔𝑎𝑑𝑜 𝑎 𝑙𝑎 𝐶𝐹𝐸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21980</xdr:colOff>
      <xdr:row>23</xdr:row>
      <xdr:rowOff>36634</xdr:rowOff>
    </xdr:from>
    <xdr:ext cx="3487616" cy="1342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xmlns="" id="{00000000-0008-0000-0A00-000006000000}"/>
                </a:ext>
              </a:extLst>
            </xdr:cNvPr>
            <xdr:cNvSpPr txBox="1"/>
          </xdr:nvSpPr>
          <xdr:spPr>
            <a:xfrm>
              <a:off x="545855" y="5056309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/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𝐶𝑜𝑐𝑖𝑒𝑛𝑡𝑒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𝐼𝑛𝑒𝑥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𝑅𝑢𝑏𝑟𝑜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𝐴𝑙𝑙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𝐶𝑜𝑚𝑜𝑑𝑖𝑡𝑖𝑒𝑠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600-000006000000}"/>
                </a:ext>
              </a:extLst>
            </xdr:cNvPr>
            <xdr:cNvSpPr txBox="1"/>
          </xdr:nvSpPr>
          <xdr:spPr>
            <a:xfrm>
              <a:off x="545855" y="5056309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𝑈𝑆𝑃𝑃𝐼〗_(</a:t>
              </a:r>
              <a:r>
                <a:rPr lang="es-MX" sz="800" b="0" i="0">
                  <a:latin typeface="Cambria Math" panose="02040503050406030204" pitchFamily="18" charset="0"/>
                </a:rPr>
                <a:t>𝑚/𝑜)=𝐶𝑜𝑐𝑖𝑒𝑛𝑡𝑒 𝑃𝑟𝑜𝑑𝑢𝑐𝑒𝑟 𝑃𝑟𝑖𝑐𝑒 𝐼𝑛𝑒𝑥 𝑅𝑢𝑏𝑟𝑜 𝐴𝑙𝑙 𝐶𝑜𝑚𝑜𝑑𝑖𝑡𝑖𝑒𝑠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21981</xdr:colOff>
      <xdr:row>13</xdr:row>
      <xdr:rowOff>43961</xdr:rowOff>
    </xdr:from>
    <xdr:ext cx="3487616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xmlns="" id="{00000000-0008-0000-0A00-000007000000}"/>
                </a:ext>
              </a:extLst>
            </xdr:cNvPr>
            <xdr:cNvSpPr txBox="1"/>
          </xdr:nvSpPr>
          <xdr:spPr>
            <a:xfrm>
              <a:off x="545856" y="3063386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𝐶𝑅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𝑅𝑒𝑠𝑒𝑟𝑣𝑎𝑑𝑎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600-000007000000}"/>
                </a:ext>
              </a:extLst>
            </xdr:cNvPr>
            <xdr:cNvSpPr txBox="1"/>
          </xdr:nvSpPr>
          <xdr:spPr>
            <a:xfrm>
              <a:off x="545856" y="3063386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𝐶𝑅=𝐶𝑎𝑝𝑎𝑐𝑖𝑑𝑎𝑑 𝑅𝑒𝑠𝑒𝑟𝑣𝑎𝑑𝑎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11</xdr:row>
      <xdr:rowOff>51288</xdr:rowOff>
    </xdr:from>
    <xdr:ext cx="3281026" cy="12260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xmlns="" id="{00000000-0008-0000-0A00-000008000000}"/>
                </a:ext>
              </a:extLst>
            </xdr:cNvPr>
            <xdr:cNvSpPr txBox="1"/>
          </xdr:nvSpPr>
          <xdr:spPr>
            <a:xfrm>
              <a:off x="1043354" y="2165838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MX" sz="8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𝐶𝐹𝐶</m:t>
                      </m:r>
                    </m:e>
                    <m:sub>
                      <m:r>
                        <a:rPr lang="es-MX" sz="800" b="0" i="1">
                          <a:latin typeface="Cambria Math" panose="02040503050406030204" pitchFamily="18" charset="0"/>
                        </a:rPr>
                        <m:t>𝑚</m:t>
                      </m:r>
                    </m:sub>
                  </m:sSub>
                  <m:r>
                    <a:rPr lang="es-MX" sz="800" b="0" i="1">
                      <a:latin typeface="Cambria Math" panose="02040503050406030204" pitchFamily="18" charset="0"/>
                    </a:rPr>
                    <m:t>=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𝐶𝑎𝑟𝑔𝑜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 </m:t>
                  </m:r>
                </m:oMath>
              </a14:m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600-000008000000}"/>
                </a:ext>
              </a:extLst>
            </xdr:cNvPr>
            <xdr:cNvSpPr txBox="1"/>
          </xdr:nvSpPr>
          <xdr:spPr>
            <a:xfrm>
              <a:off x="1043354" y="2165838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𝐶𝐹𝐶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es-MX" sz="800" b="0" i="0">
                  <a:latin typeface="Cambria Math" panose="02040503050406030204" pitchFamily="18" charset="0"/>
                </a:rPr>
                <a:t>𝑚=𝐶𝑎𝑟𝑔𝑜 </a:t>
              </a:r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12</xdr:row>
      <xdr:rowOff>24848</xdr:rowOff>
    </xdr:from>
    <xdr:ext cx="1922522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xmlns="" id="{00000000-0008-0000-0A00-000009000000}"/>
                </a:ext>
              </a:extLst>
            </xdr:cNvPr>
            <xdr:cNvSpPr txBox="1"/>
          </xdr:nvSpPr>
          <xdr:spPr>
            <a:xfrm>
              <a:off x="531201" y="2853773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𝐶𝑅𝑉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𝐶𝑎𝑝𝑎𝑐𝑖𝑑𝑎𝑑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𝑅𝑒𝑠𝑒𝑟𝑣𝑎𝑑𝑎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𝑉𝑒𝑟𝑖𝑓𝑖𝑐𝑎𝑑𝑎</m:t>
                    </m:r>
                  </m:oMath>
                </m:oMathPara>
              </a14:m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600-000009000000}"/>
                </a:ext>
              </a:extLst>
            </xdr:cNvPr>
            <xdr:cNvSpPr txBox="1"/>
          </xdr:nvSpPr>
          <xdr:spPr>
            <a:xfrm>
              <a:off x="531201" y="2853773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solidFill>
                    <a:schemeClr val="tx1"/>
                  </a:solidFill>
                  <a:latin typeface="Cambria Math" panose="02040503050406030204" pitchFamily="18" charset="0"/>
                  <a:ea typeface="+mn-ea"/>
                  <a:cs typeface="+mn-cs"/>
                </a:rPr>
                <a:t>𝐶𝑅𝑉=𝐶𝑎𝑝𝑎𝑐𝑖𝑑𝑎𝑑 𝑅𝑒𝑠𝑒𝑟𝑣𝑎𝑑𝑎 𝑉𝑒𝑟𝑖𝑓𝑖𝑐𝑎𝑑𝑎</a:t>
              </a:r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14</xdr:row>
      <xdr:rowOff>43962</xdr:rowOff>
    </xdr:from>
    <xdr:ext cx="1489831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xmlns="" id="{00000000-0008-0000-0A00-00000A000000}"/>
                </a:ext>
              </a:extLst>
            </xdr:cNvPr>
            <xdr:cNvSpPr txBox="1"/>
          </xdr:nvSpPr>
          <xdr:spPr>
            <a:xfrm>
              <a:off x="1064602" y="2872887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𝐾𝐶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𝑐𝑎𝑝𝑎𝑐𝑖𝑑𝑎𝑑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𝑇𝑜𝑡𝑎𝑙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𝑀𝑒𝑛𝑠𝑢𝑎𝑙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0" name="CuadroTexto 9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600-00000A000000}"/>
                </a:ext>
              </a:extLst>
            </xdr:cNvPr>
            <xdr:cNvSpPr txBox="1"/>
          </xdr:nvSpPr>
          <xdr:spPr>
            <a:xfrm>
              <a:off x="1064602" y="2872887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𝐾𝐶=𝑐𝑎𝑝𝑎𝑐𝑖𝑑𝑎𝑑  𝑇𝑜𝑡𝑎𝑙 𝑀𝑒𝑛𝑠𝑢𝑎𝑙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21981</xdr:colOff>
      <xdr:row>22</xdr:row>
      <xdr:rowOff>43961</xdr:rowOff>
    </xdr:from>
    <xdr:ext cx="3487616" cy="2455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xmlns="" id="{00000000-0008-0000-0B00-000002000000}"/>
                </a:ext>
              </a:extLst>
            </xdr:cNvPr>
            <xdr:cNvSpPr txBox="1"/>
          </xdr:nvSpPr>
          <xdr:spPr>
            <a:xfrm>
              <a:off x="1096401" y="446356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presentacion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de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la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Proposicion</m:t>
                  </m:r>
                </m:oMath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700-000002000000}"/>
                </a:ext>
              </a:extLst>
            </xdr:cNvPr>
            <xdr:cNvSpPr txBox="1"/>
          </xdr:nvSpPr>
          <xdr:spPr>
            <a:xfrm>
              <a:off x="1096401" y="446356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𝑚=𝑃𝑟𝑜𝑑𝑢𝑐𝑒𝑟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de la 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"presentacion de la Proposicion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20</xdr:row>
      <xdr:rowOff>51288</xdr:rowOff>
    </xdr:from>
    <xdr:ext cx="3116879" cy="24057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xmlns="" id="{00000000-0008-0000-0B00-000003000000}"/>
                </a:ext>
              </a:extLst>
            </xdr:cNvPr>
            <xdr:cNvSpPr txBox="1"/>
          </xdr:nvSpPr>
          <xdr:spPr>
            <a:xfrm>
              <a:off x="1043354" y="4137513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𝐶𝑉</m:t>
                    </m:r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𝑈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𝐶𝑎𝑟𝑔𝑜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𝑉𝑎𝑟𝑖𝑎𝑏𝑙𝑒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𝑝𝑜𝑟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𝑈𝑠𝑜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𝑝𝑎𝑟𝑎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",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deacuerdo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           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proposicion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, (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Dolares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/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GJ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)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700-000003000000}"/>
                </a:ext>
              </a:extLst>
            </xdr:cNvPr>
            <xdr:cNvSpPr txBox="1"/>
          </xdr:nvSpPr>
          <xdr:spPr>
            <a:xfrm>
              <a:off x="1043354" y="4137513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𝐶𝑉𝑈_𝑚=𝐶𝑎𝑟𝑔𝑜 𝑉𝑎𝑟𝑖𝑎𝑏𝑙𝑒 𝑝𝑜𝑟 𝑈𝑠𝑜 𝑝𝑎𝑟𝑎 𝑒𝑙 𝑀𝑒𝑠 "\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"m\", deacuerdo con la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               proposicion, (Dolares/GJ)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21</xdr:row>
      <xdr:rowOff>65942</xdr:rowOff>
    </xdr:from>
    <xdr:ext cx="3371949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xmlns="" id="{00000000-0008-0000-0B00-000004000000}"/>
                </a:ext>
              </a:extLst>
            </xdr:cNvPr>
            <xdr:cNvSpPr txBox="1"/>
          </xdr:nvSpPr>
          <xdr:spPr>
            <a:xfrm>
              <a:off x="1064601" y="4428392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Facturado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700-000004000000}"/>
                </a:ext>
              </a:extLst>
            </xdr:cNvPr>
            <xdr:cNvSpPr txBox="1"/>
          </xdr:nvSpPr>
          <xdr:spPr>
            <a:xfrm>
              <a:off x="1064601" y="4428392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𝑜=𝑃𝑟𝑜𝑑𝑢𝑐𝑒𝑟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Facturado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24</xdr:row>
      <xdr:rowOff>43962</xdr:rowOff>
    </xdr:from>
    <xdr:ext cx="2621680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xmlns="" id="{00000000-0008-0000-0B00-000005000000}"/>
                </a:ext>
              </a:extLst>
            </xdr:cNvPr>
            <xdr:cNvSpPr txBox="1"/>
          </xdr:nvSpPr>
          <xdr:spPr>
            <a:xfrm>
              <a:off x="1064602" y="5063637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𝑉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𝐶𝑎𝑛𝑡𝑖𝑑𝑎𝑑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𝐶𝑜𝑛𝑓𝑖𝑟𝑚𝑎𝑑𝑎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𝑑𝑒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𝑔𝑎𝑠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𝑒𝑛𝑡𝑟𝑒𝑔𝑎𝑑𝑜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𝑙𝑎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𝐶𝐹𝐸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700-000005000000}"/>
                </a:ext>
              </a:extLst>
            </xdr:cNvPr>
            <xdr:cNvSpPr txBox="1"/>
          </xdr:nvSpPr>
          <xdr:spPr>
            <a:xfrm>
              <a:off x="1064602" y="5063637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𝑉_𝑚𝑚=𝐶𝑎𝑛𝑡𝑖𝑑𝑎𝑑 𝐶𝑜𝑛𝑓𝑖𝑟𝑚𝑎𝑑𝑎 𝑑𝑒 𝑔𝑎𝑠 𝑒𝑛𝑡𝑟𝑒𝑔𝑎𝑑𝑜 𝑎 𝑙𝑎 𝐶𝐹𝐸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21980</xdr:colOff>
      <xdr:row>23</xdr:row>
      <xdr:rowOff>36634</xdr:rowOff>
    </xdr:from>
    <xdr:ext cx="3487616" cy="1342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xmlns="" id="{00000000-0008-0000-0B00-000006000000}"/>
                </a:ext>
              </a:extLst>
            </xdr:cNvPr>
            <xdr:cNvSpPr txBox="1"/>
          </xdr:nvSpPr>
          <xdr:spPr>
            <a:xfrm>
              <a:off x="1096400" y="4730554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/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𝐶𝑜𝑐𝑖𝑒𝑛𝑡𝑒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𝐼𝑛𝑒𝑥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𝑅𝑢𝑏𝑟𝑜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𝐴𝑙𝑙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𝐶𝑜𝑚𝑜𝑑𝑖𝑡𝑖𝑒𝑠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700-000006000000}"/>
                </a:ext>
              </a:extLst>
            </xdr:cNvPr>
            <xdr:cNvSpPr txBox="1"/>
          </xdr:nvSpPr>
          <xdr:spPr>
            <a:xfrm>
              <a:off x="1096400" y="4730554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𝑈𝑆𝑃𝑃𝐼〗_(</a:t>
              </a:r>
              <a:r>
                <a:rPr lang="es-MX" sz="800" b="0" i="0">
                  <a:latin typeface="Cambria Math" panose="02040503050406030204" pitchFamily="18" charset="0"/>
                </a:rPr>
                <a:t>𝑚/𝑜)=𝐶𝑜𝑐𝑖𝑒𝑛𝑡𝑒 𝑃𝑟𝑜𝑑𝑢𝑐𝑒𝑟 𝑃𝑟𝑖𝑐𝑒 𝐼𝑛𝑒𝑥 𝑅𝑢𝑏𝑟𝑜 𝐴𝑙𝑙 𝐶𝑜𝑚𝑜𝑑𝑖𝑡𝑖𝑒𝑠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21981</xdr:colOff>
      <xdr:row>13</xdr:row>
      <xdr:rowOff>43961</xdr:rowOff>
    </xdr:from>
    <xdr:ext cx="3487616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xmlns="" id="{00000000-0008-0000-0B00-000007000000}"/>
                </a:ext>
              </a:extLst>
            </xdr:cNvPr>
            <xdr:cNvSpPr txBox="1"/>
          </xdr:nvSpPr>
          <xdr:spPr>
            <a:xfrm>
              <a:off x="1096401" y="2604281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𝐶𝑅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𝑅𝑒𝑠𝑒𝑟𝑣𝑎𝑑𝑎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700-000007000000}"/>
                </a:ext>
              </a:extLst>
            </xdr:cNvPr>
            <xdr:cNvSpPr txBox="1"/>
          </xdr:nvSpPr>
          <xdr:spPr>
            <a:xfrm>
              <a:off x="1096401" y="2604281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𝐶𝑅=𝐶𝑎𝑝𝑎𝑐𝑖𝑑𝑎𝑑 𝑅𝑒𝑠𝑒𝑟𝑣𝑎𝑑𝑎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11</xdr:row>
      <xdr:rowOff>51288</xdr:rowOff>
    </xdr:from>
    <xdr:ext cx="3281026" cy="12260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xmlns="" id="{00000000-0008-0000-0B00-000008000000}"/>
                </a:ext>
              </a:extLst>
            </xdr:cNvPr>
            <xdr:cNvSpPr txBox="1"/>
          </xdr:nvSpPr>
          <xdr:spPr>
            <a:xfrm>
              <a:off x="1043354" y="2165838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MX" sz="8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𝐶𝐹𝐶</m:t>
                      </m:r>
                    </m:e>
                    <m:sub>
                      <m:r>
                        <a:rPr lang="es-MX" sz="800" b="0" i="1">
                          <a:latin typeface="Cambria Math" panose="02040503050406030204" pitchFamily="18" charset="0"/>
                        </a:rPr>
                        <m:t>𝑚</m:t>
                      </m:r>
                    </m:sub>
                  </m:sSub>
                  <m:r>
                    <a:rPr lang="es-MX" sz="800" b="0" i="1">
                      <a:latin typeface="Cambria Math" panose="02040503050406030204" pitchFamily="18" charset="0"/>
                    </a:rPr>
                    <m:t>=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𝐶𝑎𝑟𝑔𝑜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 </m:t>
                  </m:r>
                </m:oMath>
              </a14:m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700-000008000000}"/>
                </a:ext>
              </a:extLst>
            </xdr:cNvPr>
            <xdr:cNvSpPr txBox="1"/>
          </xdr:nvSpPr>
          <xdr:spPr>
            <a:xfrm>
              <a:off x="1043354" y="2165838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𝐶𝐹𝐶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es-MX" sz="800" b="0" i="0">
                  <a:latin typeface="Cambria Math" panose="02040503050406030204" pitchFamily="18" charset="0"/>
                </a:rPr>
                <a:t>𝑚=𝐶𝑎𝑟𝑔𝑜 </a:t>
              </a:r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12</xdr:row>
      <xdr:rowOff>24848</xdr:rowOff>
    </xdr:from>
    <xdr:ext cx="1922522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xmlns="" id="{00000000-0008-0000-0B00-000009000000}"/>
                </a:ext>
              </a:extLst>
            </xdr:cNvPr>
            <xdr:cNvSpPr txBox="1"/>
          </xdr:nvSpPr>
          <xdr:spPr>
            <a:xfrm>
              <a:off x="1081746" y="2402288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𝐶𝑅𝑉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𝐶𝑎𝑝𝑎𝑐𝑖𝑑𝑎𝑑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𝑅𝑒𝑠𝑒𝑟𝑣𝑎𝑑𝑎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𝑉𝑒𝑟𝑖𝑓𝑖𝑐𝑎𝑑𝑎</m:t>
                    </m:r>
                  </m:oMath>
                </m:oMathPara>
              </a14:m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700-000009000000}"/>
                </a:ext>
              </a:extLst>
            </xdr:cNvPr>
            <xdr:cNvSpPr txBox="1"/>
          </xdr:nvSpPr>
          <xdr:spPr>
            <a:xfrm>
              <a:off x="1081746" y="2402288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solidFill>
                    <a:schemeClr val="tx1"/>
                  </a:solidFill>
                  <a:latin typeface="Cambria Math" panose="02040503050406030204" pitchFamily="18" charset="0"/>
                  <a:ea typeface="+mn-ea"/>
                  <a:cs typeface="+mn-cs"/>
                </a:rPr>
                <a:t>𝐶𝑅𝑉=𝐶𝑎𝑝𝑎𝑐𝑖𝑑𝑎𝑑 𝑅𝑒𝑠𝑒𝑟𝑣𝑎𝑑𝑎 𝑉𝑒𝑟𝑖𝑓𝑖𝑐𝑎𝑑𝑎</a:t>
              </a:r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14</xdr:row>
      <xdr:rowOff>43962</xdr:rowOff>
    </xdr:from>
    <xdr:ext cx="1489831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xmlns="" id="{00000000-0008-0000-0B00-00000A000000}"/>
                </a:ext>
              </a:extLst>
            </xdr:cNvPr>
            <xdr:cNvSpPr txBox="1"/>
          </xdr:nvSpPr>
          <xdr:spPr>
            <a:xfrm>
              <a:off x="1064602" y="2872887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𝐾𝐶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𝑐𝑎𝑝𝑎𝑐𝑖𝑑𝑎𝑑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𝑇𝑜𝑡𝑎𝑙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𝑀𝑒𝑛𝑠𝑢𝑎𝑙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0" name="CuadroTexto 9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700-00000A000000}"/>
                </a:ext>
              </a:extLst>
            </xdr:cNvPr>
            <xdr:cNvSpPr txBox="1"/>
          </xdr:nvSpPr>
          <xdr:spPr>
            <a:xfrm>
              <a:off x="1064602" y="2872887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𝐾𝐶=𝑐𝑎𝑝𝑎𝑐𝑖𝑑𝑎𝑑  𝑇𝑜𝑡𝑎𝑙 𝑀𝑒𝑛𝑠𝑢𝑎𝑙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21981</xdr:colOff>
      <xdr:row>22</xdr:row>
      <xdr:rowOff>43961</xdr:rowOff>
    </xdr:from>
    <xdr:ext cx="3487616" cy="2455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xmlns="" id="{00000000-0008-0000-0C00-000002000000}"/>
                </a:ext>
              </a:extLst>
            </xdr:cNvPr>
            <xdr:cNvSpPr txBox="1"/>
          </xdr:nvSpPr>
          <xdr:spPr>
            <a:xfrm>
              <a:off x="1096401" y="446356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presentacion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de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la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Proposicion</m:t>
                  </m:r>
                </m:oMath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800-000002000000}"/>
                </a:ext>
              </a:extLst>
            </xdr:cNvPr>
            <xdr:cNvSpPr txBox="1"/>
          </xdr:nvSpPr>
          <xdr:spPr>
            <a:xfrm>
              <a:off x="1096401" y="446356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𝑚=𝑃𝑟𝑜𝑑𝑢𝑐𝑒𝑟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de la 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"presentacion de la Proposicion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20</xdr:row>
      <xdr:rowOff>51288</xdr:rowOff>
    </xdr:from>
    <xdr:ext cx="3116879" cy="24057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xmlns="" id="{00000000-0008-0000-0C00-000003000000}"/>
                </a:ext>
              </a:extLst>
            </xdr:cNvPr>
            <xdr:cNvSpPr txBox="1"/>
          </xdr:nvSpPr>
          <xdr:spPr>
            <a:xfrm>
              <a:off x="1043354" y="4137513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𝐶𝑉</m:t>
                    </m:r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𝑈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𝐶𝑎𝑟𝑔𝑜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𝑉𝑎𝑟𝑖𝑎𝑏𝑙𝑒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𝑝𝑜𝑟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𝑈𝑠𝑜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𝑝𝑎𝑟𝑎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",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deacuerdo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           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proposicion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, (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Dolares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/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GJ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)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800-000003000000}"/>
                </a:ext>
              </a:extLst>
            </xdr:cNvPr>
            <xdr:cNvSpPr txBox="1"/>
          </xdr:nvSpPr>
          <xdr:spPr>
            <a:xfrm>
              <a:off x="1043354" y="4137513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𝐶𝑉𝑈_𝑚=𝐶𝑎𝑟𝑔𝑜 𝑉𝑎𝑟𝑖𝑎𝑏𝑙𝑒 𝑝𝑜𝑟 𝑈𝑠𝑜 𝑝𝑎𝑟𝑎 𝑒𝑙 𝑀𝑒𝑠 "\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"m\", deacuerdo con la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               proposicion, (Dolares/GJ)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21</xdr:row>
      <xdr:rowOff>65942</xdr:rowOff>
    </xdr:from>
    <xdr:ext cx="3371949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xmlns="" id="{00000000-0008-0000-0C00-000004000000}"/>
                </a:ext>
              </a:extLst>
            </xdr:cNvPr>
            <xdr:cNvSpPr txBox="1"/>
          </xdr:nvSpPr>
          <xdr:spPr>
            <a:xfrm>
              <a:off x="1064601" y="4428392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Facturado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800-000004000000}"/>
                </a:ext>
              </a:extLst>
            </xdr:cNvPr>
            <xdr:cNvSpPr txBox="1"/>
          </xdr:nvSpPr>
          <xdr:spPr>
            <a:xfrm>
              <a:off x="1064601" y="4428392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𝑜=𝑃𝑟𝑜𝑑𝑢𝑐𝑒𝑟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Facturado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24</xdr:row>
      <xdr:rowOff>43962</xdr:rowOff>
    </xdr:from>
    <xdr:ext cx="2621680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xmlns="" id="{00000000-0008-0000-0C00-000005000000}"/>
                </a:ext>
              </a:extLst>
            </xdr:cNvPr>
            <xdr:cNvSpPr txBox="1"/>
          </xdr:nvSpPr>
          <xdr:spPr>
            <a:xfrm>
              <a:off x="1064602" y="5063637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𝑉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𝐶𝑎𝑛𝑡𝑖𝑑𝑎𝑑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𝐶𝑜𝑛𝑓𝑖𝑟𝑚𝑎𝑑𝑎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𝑑𝑒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𝑔𝑎𝑠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𝑒𝑛𝑡𝑟𝑒𝑔𝑎𝑑𝑜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𝑙𝑎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𝐶𝐹𝐸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800-000005000000}"/>
                </a:ext>
              </a:extLst>
            </xdr:cNvPr>
            <xdr:cNvSpPr txBox="1"/>
          </xdr:nvSpPr>
          <xdr:spPr>
            <a:xfrm>
              <a:off x="1064602" y="5063637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𝑉_𝑚𝑚=𝐶𝑎𝑛𝑡𝑖𝑑𝑎𝑑 𝐶𝑜𝑛𝑓𝑖𝑟𝑚𝑎𝑑𝑎 𝑑𝑒 𝑔𝑎𝑠 𝑒𝑛𝑡𝑟𝑒𝑔𝑎𝑑𝑜 𝑎 𝑙𝑎 𝐶𝐹𝐸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21980</xdr:colOff>
      <xdr:row>23</xdr:row>
      <xdr:rowOff>36634</xdr:rowOff>
    </xdr:from>
    <xdr:ext cx="3487616" cy="1342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xmlns="" id="{00000000-0008-0000-0C00-000006000000}"/>
                </a:ext>
              </a:extLst>
            </xdr:cNvPr>
            <xdr:cNvSpPr txBox="1"/>
          </xdr:nvSpPr>
          <xdr:spPr>
            <a:xfrm>
              <a:off x="1096400" y="4730554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/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𝐶𝑜𝑐𝑖𝑒𝑛𝑡𝑒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𝐼𝑛𝑒𝑥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𝑅𝑢𝑏𝑟𝑜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𝐴𝑙𝑙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𝐶𝑜𝑚𝑜𝑑𝑖𝑡𝑖𝑒𝑠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800-000006000000}"/>
                </a:ext>
              </a:extLst>
            </xdr:cNvPr>
            <xdr:cNvSpPr txBox="1"/>
          </xdr:nvSpPr>
          <xdr:spPr>
            <a:xfrm>
              <a:off x="1096400" y="4730554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𝑈𝑆𝑃𝑃𝐼〗_(</a:t>
              </a:r>
              <a:r>
                <a:rPr lang="es-MX" sz="800" b="0" i="0">
                  <a:latin typeface="Cambria Math" panose="02040503050406030204" pitchFamily="18" charset="0"/>
                </a:rPr>
                <a:t>𝑚/𝑜)=𝐶𝑜𝑐𝑖𝑒𝑛𝑡𝑒 𝑃𝑟𝑜𝑑𝑢𝑐𝑒𝑟 𝑃𝑟𝑖𝑐𝑒 𝐼𝑛𝑒𝑥 𝑅𝑢𝑏𝑟𝑜 𝐴𝑙𝑙 𝐶𝑜𝑚𝑜𝑑𝑖𝑡𝑖𝑒𝑠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21981</xdr:colOff>
      <xdr:row>13</xdr:row>
      <xdr:rowOff>43961</xdr:rowOff>
    </xdr:from>
    <xdr:ext cx="3487616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xmlns="" id="{00000000-0008-0000-0C00-000007000000}"/>
                </a:ext>
              </a:extLst>
            </xdr:cNvPr>
            <xdr:cNvSpPr txBox="1"/>
          </xdr:nvSpPr>
          <xdr:spPr>
            <a:xfrm>
              <a:off x="1096401" y="2604281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𝐶𝑅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𝑅𝑒𝑠𝑒𝑟𝑣𝑎𝑑𝑎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800-000007000000}"/>
                </a:ext>
              </a:extLst>
            </xdr:cNvPr>
            <xdr:cNvSpPr txBox="1"/>
          </xdr:nvSpPr>
          <xdr:spPr>
            <a:xfrm>
              <a:off x="1096401" y="2604281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𝐶𝑅=𝐶𝑎𝑝𝑎𝑐𝑖𝑑𝑎𝑑 𝑅𝑒𝑠𝑒𝑟𝑣𝑎𝑑𝑎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11</xdr:row>
      <xdr:rowOff>51288</xdr:rowOff>
    </xdr:from>
    <xdr:ext cx="3281026" cy="12260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xmlns="" id="{00000000-0008-0000-0C00-000008000000}"/>
                </a:ext>
              </a:extLst>
            </xdr:cNvPr>
            <xdr:cNvSpPr txBox="1"/>
          </xdr:nvSpPr>
          <xdr:spPr>
            <a:xfrm>
              <a:off x="1043354" y="2165838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MX" sz="8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𝐶𝐹𝐶</m:t>
                      </m:r>
                    </m:e>
                    <m:sub>
                      <m:r>
                        <a:rPr lang="es-MX" sz="800" b="0" i="1">
                          <a:latin typeface="Cambria Math" panose="02040503050406030204" pitchFamily="18" charset="0"/>
                        </a:rPr>
                        <m:t>𝑚</m:t>
                      </m:r>
                    </m:sub>
                  </m:sSub>
                  <m:r>
                    <a:rPr lang="es-MX" sz="800" b="0" i="1">
                      <a:latin typeface="Cambria Math" panose="02040503050406030204" pitchFamily="18" charset="0"/>
                    </a:rPr>
                    <m:t>=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𝐶𝑎𝑟𝑔𝑜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 </m:t>
                  </m:r>
                </m:oMath>
              </a14:m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800-000008000000}"/>
                </a:ext>
              </a:extLst>
            </xdr:cNvPr>
            <xdr:cNvSpPr txBox="1"/>
          </xdr:nvSpPr>
          <xdr:spPr>
            <a:xfrm>
              <a:off x="1043354" y="2165838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𝐶𝐹𝐶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es-MX" sz="800" b="0" i="0">
                  <a:latin typeface="Cambria Math" panose="02040503050406030204" pitchFamily="18" charset="0"/>
                </a:rPr>
                <a:t>𝑚=𝐶𝑎𝑟𝑔𝑜 </a:t>
              </a:r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12</xdr:row>
      <xdr:rowOff>24848</xdr:rowOff>
    </xdr:from>
    <xdr:ext cx="1922522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xmlns="" id="{00000000-0008-0000-0C00-000009000000}"/>
                </a:ext>
              </a:extLst>
            </xdr:cNvPr>
            <xdr:cNvSpPr txBox="1"/>
          </xdr:nvSpPr>
          <xdr:spPr>
            <a:xfrm>
              <a:off x="1081746" y="2402288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𝐶𝑅𝑉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𝐶𝑎𝑝𝑎𝑐𝑖𝑑𝑎𝑑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𝑅𝑒𝑠𝑒𝑟𝑣𝑎𝑑𝑎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𝑉𝑒𝑟𝑖𝑓𝑖𝑐𝑎𝑑𝑎</m:t>
                    </m:r>
                  </m:oMath>
                </m:oMathPara>
              </a14:m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800-000009000000}"/>
                </a:ext>
              </a:extLst>
            </xdr:cNvPr>
            <xdr:cNvSpPr txBox="1"/>
          </xdr:nvSpPr>
          <xdr:spPr>
            <a:xfrm>
              <a:off x="1081746" y="2402288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solidFill>
                    <a:schemeClr val="tx1"/>
                  </a:solidFill>
                  <a:latin typeface="Cambria Math" panose="02040503050406030204" pitchFamily="18" charset="0"/>
                  <a:ea typeface="+mn-ea"/>
                  <a:cs typeface="+mn-cs"/>
                </a:rPr>
                <a:t>𝐶𝑅𝑉=𝐶𝑎𝑝𝑎𝑐𝑖𝑑𝑎𝑑 𝑅𝑒𝑠𝑒𝑟𝑣𝑎𝑑𝑎 𝑉𝑒𝑟𝑖𝑓𝑖𝑐𝑎𝑑𝑎</a:t>
              </a:r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14</xdr:row>
      <xdr:rowOff>43962</xdr:rowOff>
    </xdr:from>
    <xdr:ext cx="1489831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xmlns="" id="{00000000-0008-0000-0C00-00000A000000}"/>
                </a:ext>
              </a:extLst>
            </xdr:cNvPr>
            <xdr:cNvSpPr txBox="1"/>
          </xdr:nvSpPr>
          <xdr:spPr>
            <a:xfrm>
              <a:off x="1064602" y="2872887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𝐾𝐶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𝑐𝑎𝑝𝑎𝑐𝑖𝑑𝑎𝑑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𝑇𝑜𝑡𝑎𝑙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𝑀𝑒𝑛𝑠𝑢𝑎𝑙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0" name="CuadroTexto 9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800-00000A000000}"/>
                </a:ext>
              </a:extLst>
            </xdr:cNvPr>
            <xdr:cNvSpPr txBox="1"/>
          </xdr:nvSpPr>
          <xdr:spPr>
            <a:xfrm>
              <a:off x="1064602" y="2872887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𝐾𝐶=𝑐𝑎𝑝𝑎𝑐𝑖𝑑𝑎𝑑  𝑇𝑜𝑡𝑎𝑙 𝑀𝑒𝑛𝑠𝑢𝑎𝑙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21981</xdr:colOff>
      <xdr:row>22</xdr:row>
      <xdr:rowOff>43961</xdr:rowOff>
    </xdr:from>
    <xdr:ext cx="3487616" cy="2455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xmlns="" id="{00000000-0008-0000-0D00-000002000000}"/>
                </a:ext>
              </a:extLst>
            </xdr:cNvPr>
            <xdr:cNvSpPr txBox="1"/>
          </xdr:nvSpPr>
          <xdr:spPr>
            <a:xfrm>
              <a:off x="1096401" y="446356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presentacion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de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la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Proposicion</m:t>
                  </m:r>
                </m:oMath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900-000002000000}"/>
                </a:ext>
              </a:extLst>
            </xdr:cNvPr>
            <xdr:cNvSpPr txBox="1"/>
          </xdr:nvSpPr>
          <xdr:spPr>
            <a:xfrm>
              <a:off x="1096401" y="446356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𝑚=𝑃𝑟𝑜𝑑𝑢𝑐𝑒𝑟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de la 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"presentacion de la Proposicion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20</xdr:row>
      <xdr:rowOff>51288</xdr:rowOff>
    </xdr:from>
    <xdr:ext cx="3116879" cy="24057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xmlns="" id="{00000000-0008-0000-0D00-000003000000}"/>
                </a:ext>
              </a:extLst>
            </xdr:cNvPr>
            <xdr:cNvSpPr txBox="1"/>
          </xdr:nvSpPr>
          <xdr:spPr>
            <a:xfrm>
              <a:off x="1043354" y="4137513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𝐶𝑉</m:t>
                    </m:r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𝑈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𝐶𝑎𝑟𝑔𝑜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𝑉𝑎𝑟𝑖𝑎𝑏𝑙𝑒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𝑝𝑜𝑟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𝑈𝑠𝑜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𝑝𝑎𝑟𝑎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",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deacuerdo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           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proposicion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, (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Dolares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/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GJ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)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900-000003000000}"/>
                </a:ext>
              </a:extLst>
            </xdr:cNvPr>
            <xdr:cNvSpPr txBox="1"/>
          </xdr:nvSpPr>
          <xdr:spPr>
            <a:xfrm>
              <a:off x="1043354" y="4137513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𝐶𝑉𝑈_𝑚=𝐶𝑎𝑟𝑔𝑜 𝑉𝑎𝑟𝑖𝑎𝑏𝑙𝑒 𝑝𝑜𝑟 𝑈𝑠𝑜 𝑝𝑎𝑟𝑎 𝑒𝑙 𝑀𝑒𝑠 "\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"m\", deacuerdo con la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               proposicion, (Dolares/GJ)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21</xdr:row>
      <xdr:rowOff>65942</xdr:rowOff>
    </xdr:from>
    <xdr:ext cx="3371949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xmlns="" id="{00000000-0008-0000-0D00-000004000000}"/>
                </a:ext>
              </a:extLst>
            </xdr:cNvPr>
            <xdr:cNvSpPr txBox="1"/>
          </xdr:nvSpPr>
          <xdr:spPr>
            <a:xfrm>
              <a:off x="1064601" y="4428392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Facturado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900-000004000000}"/>
                </a:ext>
              </a:extLst>
            </xdr:cNvPr>
            <xdr:cNvSpPr txBox="1"/>
          </xdr:nvSpPr>
          <xdr:spPr>
            <a:xfrm>
              <a:off x="1064601" y="4428392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𝑜=𝑃𝑟𝑜𝑑𝑢𝑐𝑒𝑟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Facturado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24</xdr:row>
      <xdr:rowOff>43962</xdr:rowOff>
    </xdr:from>
    <xdr:ext cx="2621680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xmlns="" id="{00000000-0008-0000-0D00-000005000000}"/>
                </a:ext>
              </a:extLst>
            </xdr:cNvPr>
            <xdr:cNvSpPr txBox="1"/>
          </xdr:nvSpPr>
          <xdr:spPr>
            <a:xfrm>
              <a:off x="1064602" y="5063637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𝑉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𝐶𝑎𝑛𝑡𝑖𝑑𝑎𝑑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𝐶𝑜𝑛𝑓𝑖𝑟𝑚𝑎𝑑𝑎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𝑑𝑒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𝑔𝑎𝑠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𝑒𝑛𝑡𝑟𝑒𝑔𝑎𝑑𝑜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𝑙𝑎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𝐶𝐹𝐸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900-000005000000}"/>
                </a:ext>
              </a:extLst>
            </xdr:cNvPr>
            <xdr:cNvSpPr txBox="1"/>
          </xdr:nvSpPr>
          <xdr:spPr>
            <a:xfrm>
              <a:off x="1064602" y="5063637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𝑉_𝑚𝑚=𝐶𝑎𝑛𝑡𝑖𝑑𝑎𝑑 𝐶𝑜𝑛𝑓𝑖𝑟𝑚𝑎𝑑𝑎 𝑑𝑒 𝑔𝑎𝑠 𝑒𝑛𝑡𝑟𝑒𝑔𝑎𝑑𝑜 𝑎 𝑙𝑎 𝐶𝐹𝐸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21980</xdr:colOff>
      <xdr:row>23</xdr:row>
      <xdr:rowOff>36634</xdr:rowOff>
    </xdr:from>
    <xdr:ext cx="3487616" cy="1342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xmlns="" id="{00000000-0008-0000-0D00-000006000000}"/>
                </a:ext>
              </a:extLst>
            </xdr:cNvPr>
            <xdr:cNvSpPr txBox="1"/>
          </xdr:nvSpPr>
          <xdr:spPr>
            <a:xfrm>
              <a:off x="1096400" y="4730554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/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𝐶𝑜𝑐𝑖𝑒𝑛𝑡𝑒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𝐼𝑛𝑒𝑥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𝑅𝑢𝑏𝑟𝑜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𝐴𝑙𝑙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𝐶𝑜𝑚𝑜𝑑𝑖𝑡𝑖𝑒𝑠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900-000006000000}"/>
                </a:ext>
              </a:extLst>
            </xdr:cNvPr>
            <xdr:cNvSpPr txBox="1"/>
          </xdr:nvSpPr>
          <xdr:spPr>
            <a:xfrm>
              <a:off x="1096400" y="4730554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𝑈𝑆𝑃𝑃𝐼〗_(</a:t>
              </a:r>
              <a:r>
                <a:rPr lang="es-MX" sz="800" b="0" i="0">
                  <a:latin typeface="Cambria Math" panose="02040503050406030204" pitchFamily="18" charset="0"/>
                </a:rPr>
                <a:t>𝑚/𝑜)=𝐶𝑜𝑐𝑖𝑒𝑛𝑡𝑒 𝑃𝑟𝑜𝑑𝑢𝑐𝑒𝑟 𝑃𝑟𝑖𝑐𝑒 𝐼𝑛𝑒𝑥 𝑅𝑢𝑏𝑟𝑜 𝐴𝑙𝑙 𝐶𝑜𝑚𝑜𝑑𝑖𝑡𝑖𝑒𝑠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21981</xdr:colOff>
      <xdr:row>13</xdr:row>
      <xdr:rowOff>43961</xdr:rowOff>
    </xdr:from>
    <xdr:ext cx="3487616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xmlns="" id="{00000000-0008-0000-0D00-000007000000}"/>
                </a:ext>
              </a:extLst>
            </xdr:cNvPr>
            <xdr:cNvSpPr txBox="1"/>
          </xdr:nvSpPr>
          <xdr:spPr>
            <a:xfrm>
              <a:off x="1096401" y="2604281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𝐶𝑅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𝑅𝑒𝑠𝑒𝑟𝑣𝑎𝑑𝑎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900-000007000000}"/>
                </a:ext>
              </a:extLst>
            </xdr:cNvPr>
            <xdr:cNvSpPr txBox="1"/>
          </xdr:nvSpPr>
          <xdr:spPr>
            <a:xfrm>
              <a:off x="1096401" y="2604281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𝐶𝑅=𝐶𝑎𝑝𝑎𝑐𝑖𝑑𝑎𝑑 𝑅𝑒𝑠𝑒𝑟𝑣𝑎𝑑𝑎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11</xdr:row>
      <xdr:rowOff>51288</xdr:rowOff>
    </xdr:from>
    <xdr:ext cx="3281026" cy="12260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xmlns="" id="{00000000-0008-0000-0D00-000008000000}"/>
                </a:ext>
              </a:extLst>
            </xdr:cNvPr>
            <xdr:cNvSpPr txBox="1"/>
          </xdr:nvSpPr>
          <xdr:spPr>
            <a:xfrm>
              <a:off x="1043354" y="2165838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MX" sz="8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𝐶𝐹𝐶</m:t>
                      </m:r>
                    </m:e>
                    <m:sub>
                      <m:r>
                        <a:rPr lang="es-MX" sz="800" b="0" i="1">
                          <a:latin typeface="Cambria Math" panose="02040503050406030204" pitchFamily="18" charset="0"/>
                        </a:rPr>
                        <m:t>𝑚</m:t>
                      </m:r>
                    </m:sub>
                  </m:sSub>
                  <m:r>
                    <a:rPr lang="es-MX" sz="800" b="0" i="1">
                      <a:latin typeface="Cambria Math" panose="02040503050406030204" pitchFamily="18" charset="0"/>
                    </a:rPr>
                    <m:t>=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𝐶𝑎𝑟𝑔𝑜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 </m:t>
                  </m:r>
                </m:oMath>
              </a14:m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900-000008000000}"/>
                </a:ext>
              </a:extLst>
            </xdr:cNvPr>
            <xdr:cNvSpPr txBox="1"/>
          </xdr:nvSpPr>
          <xdr:spPr>
            <a:xfrm>
              <a:off x="1043354" y="2165838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𝐶𝐹𝐶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es-MX" sz="800" b="0" i="0">
                  <a:latin typeface="Cambria Math" panose="02040503050406030204" pitchFamily="18" charset="0"/>
                </a:rPr>
                <a:t>𝑚=𝐶𝑎𝑟𝑔𝑜 </a:t>
              </a:r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12</xdr:row>
      <xdr:rowOff>24848</xdr:rowOff>
    </xdr:from>
    <xdr:ext cx="1922522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xmlns="" id="{00000000-0008-0000-0D00-000009000000}"/>
                </a:ext>
              </a:extLst>
            </xdr:cNvPr>
            <xdr:cNvSpPr txBox="1"/>
          </xdr:nvSpPr>
          <xdr:spPr>
            <a:xfrm>
              <a:off x="1081746" y="2402288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𝐶𝑅𝑉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𝐶𝑎𝑝𝑎𝑐𝑖𝑑𝑎𝑑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𝑅𝑒𝑠𝑒𝑟𝑣𝑎𝑑𝑎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𝑉𝑒𝑟𝑖𝑓𝑖𝑐𝑎𝑑𝑎</m:t>
                    </m:r>
                  </m:oMath>
                </m:oMathPara>
              </a14:m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900-000009000000}"/>
                </a:ext>
              </a:extLst>
            </xdr:cNvPr>
            <xdr:cNvSpPr txBox="1"/>
          </xdr:nvSpPr>
          <xdr:spPr>
            <a:xfrm>
              <a:off x="1081746" y="2402288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solidFill>
                    <a:schemeClr val="tx1"/>
                  </a:solidFill>
                  <a:latin typeface="Cambria Math" panose="02040503050406030204" pitchFamily="18" charset="0"/>
                  <a:ea typeface="+mn-ea"/>
                  <a:cs typeface="+mn-cs"/>
                </a:rPr>
                <a:t>𝐶𝑅𝑉=𝐶𝑎𝑝𝑎𝑐𝑖𝑑𝑎𝑑 𝑅𝑒𝑠𝑒𝑟𝑣𝑎𝑑𝑎 𝑉𝑒𝑟𝑖𝑓𝑖𝑐𝑎𝑑𝑎</a:t>
              </a:r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14</xdr:row>
      <xdr:rowOff>43962</xdr:rowOff>
    </xdr:from>
    <xdr:ext cx="1489831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xmlns="" id="{00000000-0008-0000-0D00-00000A000000}"/>
                </a:ext>
              </a:extLst>
            </xdr:cNvPr>
            <xdr:cNvSpPr txBox="1"/>
          </xdr:nvSpPr>
          <xdr:spPr>
            <a:xfrm>
              <a:off x="1064602" y="2872887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𝐾𝐶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𝑐𝑎𝑝𝑎𝑐𝑖𝑑𝑎𝑑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𝑇𝑜𝑡𝑎𝑙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𝑀𝑒𝑛𝑠𝑢𝑎𝑙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0" name="CuadroTexto 9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900-00000A000000}"/>
                </a:ext>
              </a:extLst>
            </xdr:cNvPr>
            <xdr:cNvSpPr txBox="1"/>
          </xdr:nvSpPr>
          <xdr:spPr>
            <a:xfrm>
              <a:off x="1064602" y="2872887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𝐾𝐶=𝑐𝑎𝑝𝑎𝑐𝑖𝑑𝑎𝑑  𝑇𝑜𝑡𝑎𝑙 𝑀𝑒𝑛𝑠𝑢𝑎𝑙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21981</xdr:colOff>
      <xdr:row>22</xdr:row>
      <xdr:rowOff>43961</xdr:rowOff>
    </xdr:from>
    <xdr:ext cx="3487616" cy="2455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xmlns="" id="{00000000-0008-0000-0E00-000002000000}"/>
                </a:ext>
              </a:extLst>
            </xdr:cNvPr>
            <xdr:cNvSpPr txBox="1"/>
          </xdr:nvSpPr>
          <xdr:spPr>
            <a:xfrm>
              <a:off x="1096401" y="446356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presentacion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de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la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Proposicion</m:t>
                  </m:r>
                </m:oMath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A00-000002000000}"/>
                </a:ext>
              </a:extLst>
            </xdr:cNvPr>
            <xdr:cNvSpPr txBox="1"/>
          </xdr:nvSpPr>
          <xdr:spPr>
            <a:xfrm>
              <a:off x="1096401" y="446356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𝑚=𝑃𝑟𝑜𝑑𝑢𝑐𝑒𝑟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de la 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"presentacion de la Proposicion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20</xdr:row>
      <xdr:rowOff>51288</xdr:rowOff>
    </xdr:from>
    <xdr:ext cx="3116879" cy="24057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xmlns="" id="{00000000-0008-0000-0E00-000003000000}"/>
                </a:ext>
              </a:extLst>
            </xdr:cNvPr>
            <xdr:cNvSpPr txBox="1"/>
          </xdr:nvSpPr>
          <xdr:spPr>
            <a:xfrm>
              <a:off x="1043354" y="4137513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𝐶𝑉</m:t>
                    </m:r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𝑈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𝐶𝑎𝑟𝑔𝑜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𝑉𝑎𝑟𝑖𝑎𝑏𝑙𝑒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𝑝𝑜𝑟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𝑈𝑠𝑜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𝑝𝑎𝑟𝑎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",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deacuerdo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           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proposicion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, (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Dolares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/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GJ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)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A00-000003000000}"/>
                </a:ext>
              </a:extLst>
            </xdr:cNvPr>
            <xdr:cNvSpPr txBox="1"/>
          </xdr:nvSpPr>
          <xdr:spPr>
            <a:xfrm>
              <a:off x="1043354" y="4137513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𝐶𝑉𝑈_𝑚=𝐶𝑎𝑟𝑔𝑜 𝑉𝑎𝑟𝑖𝑎𝑏𝑙𝑒 𝑝𝑜𝑟 𝑈𝑠𝑜 𝑝𝑎𝑟𝑎 𝑒𝑙 𝑀𝑒𝑠 "\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"m\", deacuerdo con la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               proposicion, (Dolares/GJ)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21</xdr:row>
      <xdr:rowOff>65942</xdr:rowOff>
    </xdr:from>
    <xdr:ext cx="3371949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xmlns="" id="{00000000-0008-0000-0E00-000004000000}"/>
                </a:ext>
              </a:extLst>
            </xdr:cNvPr>
            <xdr:cNvSpPr txBox="1"/>
          </xdr:nvSpPr>
          <xdr:spPr>
            <a:xfrm>
              <a:off x="1064601" y="4428392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Facturado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A00-000004000000}"/>
                </a:ext>
              </a:extLst>
            </xdr:cNvPr>
            <xdr:cNvSpPr txBox="1"/>
          </xdr:nvSpPr>
          <xdr:spPr>
            <a:xfrm>
              <a:off x="1064601" y="4428392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𝑜=𝑃𝑟𝑜𝑑𝑢𝑐𝑒𝑟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Facturado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24</xdr:row>
      <xdr:rowOff>43962</xdr:rowOff>
    </xdr:from>
    <xdr:ext cx="2621680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xmlns="" id="{00000000-0008-0000-0E00-000005000000}"/>
                </a:ext>
              </a:extLst>
            </xdr:cNvPr>
            <xdr:cNvSpPr txBox="1"/>
          </xdr:nvSpPr>
          <xdr:spPr>
            <a:xfrm>
              <a:off x="1064602" y="5063637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𝑉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𝐶𝑎𝑛𝑡𝑖𝑑𝑎𝑑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𝐶𝑜𝑛𝑓𝑖𝑟𝑚𝑎𝑑𝑎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𝑑𝑒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𝑔𝑎𝑠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𝑒𝑛𝑡𝑟𝑒𝑔𝑎𝑑𝑜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𝑙𝑎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𝐶𝐹𝐸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A00-000005000000}"/>
                </a:ext>
              </a:extLst>
            </xdr:cNvPr>
            <xdr:cNvSpPr txBox="1"/>
          </xdr:nvSpPr>
          <xdr:spPr>
            <a:xfrm>
              <a:off x="1064602" y="5063637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𝑉_𝑚𝑚=𝐶𝑎𝑛𝑡𝑖𝑑𝑎𝑑 𝐶𝑜𝑛𝑓𝑖𝑟𝑚𝑎𝑑𝑎 𝑑𝑒 𝑔𝑎𝑠 𝑒𝑛𝑡𝑟𝑒𝑔𝑎𝑑𝑜 𝑎 𝑙𝑎 𝐶𝐹𝐸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21980</xdr:colOff>
      <xdr:row>23</xdr:row>
      <xdr:rowOff>36634</xdr:rowOff>
    </xdr:from>
    <xdr:ext cx="3487616" cy="1342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xmlns="" id="{00000000-0008-0000-0E00-000006000000}"/>
                </a:ext>
              </a:extLst>
            </xdr:cNvPr>
            <xdr:cNvSpPr txBox="1"/>
          </xdr:nvSpPr>
          <xdr:spPr>
            <a:xfrm>
              <a:off x="1096400" y="4730554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/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𝐶𝑜𝑐𝑖𝑒𝑛𝑡𝑒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𝐼𝑛𝑒𝑥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𝑅𝑢𝑏𝑟𝑜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𝐴𝑙𝑙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𝐶𝑜𝑚𝑜𝑑𝑖𝑡𝑖𝑒𝑠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A00-000006000000}"/>
                </a:ext>
              </a:extLst>
            </xdr:cNvPr>
            <xdr:cNvSpPr txBox="1"/>
          </xdr:nvSpPr>
          <xdr:spPr>
            <a:xfrm>
              <a:off x="1096400" y="4730554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𝑈𝑆𝑃𝑃𝐼〗_(</a:t>
              </a:r>
              <a:r>
                <a:rPr lang="es-MX" sz="800" b="0" i="0">
                  <a:latin typeface="Cambria Math" panose="02040503050406030204" pitchFamily="18" charset="0"/>
                </a:rPr>
                <a:t>𝑚/𝑜)=𝐶𝑜𝑐𝑖𝑒𝑛𝑡𝑒 𝑃𝑟𝑜𝑑𝑢𝑐𝑒𝑟 𝑃𝑟𝑖𝑐𝑒 𝐼𝑛𝑒𝑥 𝑅𝑢𝑏𝑟𝑜 𝐴𝑙𝑙 𝐶𝑜𝑚𝑜𝑑𝑖𝑡𝑖𝑒𝑠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21981</xdr:colOff>
      <xdr:row>13</xdr:row>
      <xdr:rowOff>43961</xdr:rowOff>
    </xdr:from>
    <xdr:ext cx="3487616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xmlns="" id="{00000000-0008-0000-0E00-000007000000}"/>
                </a:ext>
              </a:extLst>
            </xdr:cNvPr>
            <xdr:cNvSpPr txBox="1"/>
          </xdr:nvSpPr>
          <xdr:spPr>
            <a:xfrm>
              <a:off x="1096401" y="2604281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𝐶𝑅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𝑅𝑒𝑠𝑒𝑟𝑣𝑎𝑑𝑎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A00-000007000000}"/>
                </a:ext>
              </a:extLst>
            </xdr:cNvPr>
            <xdr:cNvSpPr txBox="1"/>
          </xdr:nvSpPr>
          <xdr:spPr>
            <a:xfrm>
              <a:off x="1096401" y="2604281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𝐶𝑅=𝐶𝑎𝑝𝑎𝑐𝑖𝑑𝑎𝑑 𝑅𝑒𝑠𝑒𝑟𝑣𝑎𝑑𝑎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11</xdr:row>
      <xdr:rowOff>51288</xdr:rowOff>
    </xdr:from>
    <xdr:ext cx="3281026" cy="12260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xmlns="" id="{00000000-0008-0000-0E00-000008000000}"/>
                </a:ext>
              </a:extLst>
            </xdr:cNvPr>
            <xdr:cNvSpPr txBox="1"/>
          </xdr:nvSpPr>
          <xdr:spPr>
            <a:xfrm>
              <a:off x="1043354" y="2165838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MX" sz="8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𝐶𝐹𝐶</m:t>
                      </m:r>
                    </m:e>
                    <m:sub>
                      <m:r>
                        <a:rPr lang="es-MX" sz="800" b="0" i="1">
                          <a:latin typeface="Cambria Math" panose="02040503050406030204" pitchFamily="18" charset="0"/>
                        </a:rPr>
                        <m:t>𝑚</m:t>
                      </m:r>
                    </m:sub>
                  </m:sSub>
                  <m:r>
                    <a:rPr lang="es-MX" sz="800" b="0" i="1">
                      <a:latin typeface="Cambria Math" panose="02040503050406030204" pitchFamily="18" charset="0"/>
                    </a:rPr>
                    <m:t>=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𝐶𝑎𝑟𝑔𝑜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 </m:t>
                  </m:r>
                </m:oMath>
              </a14:m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A00-000008000000}"/>
                </a:ext>
              </a:extLst>
            </xdr:cNvPr>
            <xdr:cNvSpPr txBox="1"/>
          </xdr:nvSpPr>
          <xdr:spPr>
            <a:xfrm>
              <a:off x="1043354" y="2165838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𝐶𝐹𝐶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es-MX" sz="800" b="0" i="0">
                  <a:latin typeface="Cambria Math" panose="02040503050406030204" pitchFamily="18" charset="0"/>
                </a:rPr>
                <a:t>𝑚=𝐶𝑎𝑟𝑔𝑜 </a:t>
              </a:r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12</xdr:row>
      <xdr:rowOff>24848</xdr:rowOff>
    </xdr:from>
    <xdr:ext cx="1922522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xmlns="" id="{00000000-0008-0000-0E00-000009000000}"/>
                </a:ext>
              </a:extLst>
            </xdr:cNvPr>
            <xdr:cNvSpPr txBox="1"/>
          </xdr:nvSpPr>
          <xdr:spPr>
            <a:xfrm>
              <a:off x="1081746" y="2402288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𝐶𝑅𝑉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𝐶𝑎𝑝𝑎𝑐𝑖𝑑𝑎𝑑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𝑅𝑒𝑠𝑒𝑟𝑣𝑎𝑑𝑎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𝑉𝑒𝑟𝑖𝑓𝑖𝑐𝑎𝑑𝑎</m:t>
                    </m:r>
                  </m:oMath>
                </m:oMathPara>
              </a14:m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A00-000009000000}"/>
                </a:ext>
              </a:extLst>
            </xdr:cNvPr>
            <xdr:cNvSpPr txBox="1"/>
          </xdr:nvSpPr>
          <xdr:spPr>
            <a:xfrm>
              <a:off x="1081746" y="2402288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solidFill>
                    <a:schemeClr val="tx1"/>
                  </a:solidFill>
                  <a:latin typeface="Cambria Math" panose="02040503050406030204" pitchFamily="18" charset="0"/>
                  <a:ea typeface="+mn-ea"/>
                  <a:cs typeface="+mn-cs"/>
                </a:rPr>
                <a:t>𝐶𝑅𝑉=𝐶𝑎𝑝𝑎𝑐𝑖𝑑𝑎𝑑 𝑅𝑒𝑠𝑒𝑟𝑣𝑎𝑑𝑎 𝑉𝑒𝑟𝑖𝑓𝑖𝑐𝑎𝑑𝑎</a:t>
              </a:r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14</xdr:row>
      <xdr:rowOff>43962</xdr:rowOff>
    </xdr:from>
    <xdr:ext cx="1489831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xmlns="" id="{00000000-0008-0000-0E00-00000A000000}"/>
                </a:ext>
              </a:extLst>
            </xdr:cNvPr>
            <xdr:cNvSpPr txBox="1"/>
          </xdr:nvSpPr>
          <xdr:spPr>
            <a:xfrm>
              <a:off x="1064602" y="2872887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𝐾𝐶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𝑐𝑎𝑝𝑎𝑐𝑖𝑑𝑎𝑑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𝑇𝑜𝑡𝑎𝑙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𝑀𝑒𝑛𝑠𝑢𝑎𝑙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0" name="CuadroTexto 9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A00-00000A000000}"/>
                </a:ext>
              </a:extLst>
            </xdr:cNvPr>
            <xdr:cNvSpPr txBox="1"/>
          </xdr:nvSpPr>
          <xdr:spPr>
            <a:xfrm>
              <a:off x="1064602" y="2872887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𝐾𝐶=𝑐𝑎𝑝𝑎𝑐𝑖𝑑𝑎𝑑  𝑇𝑜𝑡𝑎𝑙 𝑀𝑒𝑛𝑠𝑢𝑎𝑙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21981</xdr:colOff>
      <xdr:row>22</xdr:row>
      <xdr:rowOff>43961</xdr:rowOff>
    </xdr:from>
    <xdr:ext cx="3487616" cy="2455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xmlns="" id="{00000000-0008-0000-0F00-000002000000}"/>
                </a:ext>
              </a:extLst>
            </xdr:cNvPr>
            <xdr:cNvSpPr txBox="1"/>
          </xdr:nvSpPr>
          <xdr:spPr>
            <a:xfrm>
              <a:off x="1096401" y="446356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presentacion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de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la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Proposicion</m:t>
                  </m:r>
                </m:oMath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B00-000002000000}"/>
                </a:ext>
              </a:extLst>
            </xdr:cNvPr>
            <xdr:cNvSpPr txBox="1"/>
          </xdr:nvSpPr>
          <xdr:spPr>
            <a:xfrm>
              <a:off x="1096401" y="446356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𝑚=𝑃𝑟𝑜𝑑𝑢𝑐𝑒𝑟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de la 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"presentacion de la Proposicion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20</xdr:row>
      <xdr:rowOff>51288</xdr:rowOff>
    </xdr:from>
    <xdr:ext cx="3116879" cy="24057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xmlns="" id="{00000000-0008-0000-0F00-000003000000}"/>
                </a:ext>
              </a:extLst>
            </xdr:cNvPr>
            <xdr:cNvSpPr txBox="1"/>
          </xdr:nvSpPr>
          <xdr:spPr>
            <a:xfrm>
              <a:off x="1043354" y="4137513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𝐶𝑉</m:t>
                    </m:r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𝑈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𝐶𝑎𝑟𝑔𝑜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𝑉𝑎𝑟𝑖𝑎𝑏𝑙𝑒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𝑝𝑜𝑟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𝑈𝑠𝑜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𝑝𝑎𝑟𝑎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",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deacuerdo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           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proposicion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, (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Dolares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/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GJ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)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B00-000003000000}"/>
                </a:ext>
              </a:extLst>
            </xdr:cNvPr>
            <xdr:cNvSpPr txBox="1"/>
          </xdr:nvSpPr>
          <xdr:spPr>
            <a:xfrm>
              <a:off x="1043354" y="4137513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𝐶𝑉𝑈_𝑚=𝐶𝑎𝑟𝑔𝑜 𝑉𝑎𝑟𝑖𝑎𝑏𝑙𝑒 𝑝𝑜𝑟 𝑈𝑠𝑜 𝑝𝑎𝑟𝑎 𝑒𝑙 𝑀𝑒𝑠 "\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"m\", deacuerdo con la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               proposicion, (Dolares/GJ)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21</xdr:row>
      <xdr:rowOff>65942</xdr:rowOff>
    </xdr:from>
    <xdr:ext cx="3371949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xmlns="" id="{00000000-0008-0000-0F00-000004000000}"/>
                </a:ext>
              </a:extLst>
            </xdr:cNvPr>
            <xdr:cNvSpPr txBox="1"/>
          </xdr:nvSpPr>
          <xdr:spPr>
            <a:xfrm>
              <a:off x="1064601" y="4428392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Facturado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B00-000004000000}"/>
                </a:ext>
              </a:extLst>
            </xdr:cNvPr>
            <xdr:cNvSpPr txBox="1"/>
          </xdr:nvSpPr>
          <xdr:spPr>
            <a:xfrm>
              <a:off x="1064601" y="4428392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𝑜=𝑃𝑟𝑜𝑑𝑢𝑐𝑒𝑟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Facturado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24</xdr:row>
      <xdr:rowOff>43962</xdr:rowOff>
    </xdr:from>
    <xdr:ext cx="2621680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xmlns="" id="{00000000-0008-0000-0F00-000005000000}"/>
                </a:ext>
              </a:extLst>
            </xdr:cNvPr>
            <xdr:cNvSpPr txBox="1"/>
          </xdr:nvSpPr>
          <xdr:spPr>
            <a:xfrm>
              <a:off x="1064602" y="5063637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𝑉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𝐶𝑎𝑛𝑡𝑖𝑑𝑎𝑑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𝐶𝑜𝑛𝑓𝑖𝑟𝑚𝑎𝑑𝑎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𝑑𝑒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𝑔𝑎𝑠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𝑒𝑛𝑡𝑟𝑒𝑔𝑎𝑑𝑜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𝑙𝑎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𝐶𝐹𝐸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B00-000005000000}"/>
                </a:ext>
              </a:extLst>
            </xdr:cNvPr>
            <xdr:cNvSpPr txBox="1"/>
          </xdr:nvSpPr>
          <xdr:spPr>
            <a:xfrm>
              <a:off x="1064602" y="5063637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𝑉_𝑚𝑚=𝐶𝑎𝑛𝑡𝑖𝑑𝑎𝑑 𝐶𝑜𝑛𝑓𝑖𝑟𝑚𝑎𝑑𝑎 𝑑𝑒 𝑔𝑎𝑠 𝑒𝑛𝑡𝑟𝑒𝑔𝑎𝑑𝑜 𝑎 𝑙𝑎 𝐶𝐹𝐸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21980</xdr:colOff>
      <xdr:row>23</xdr:row>
      <xdr:rowOff>36634</xdr:rowOff>
    </xdr:from>
    <xdr:ext cx="3487616" cy="1342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xmlns="" id="{00000000-0008-0000-0F00-000006000000}"/>
                </a:ext>
              </a:extLst>
            </xdr:cNvPr>
            <xdr:cNvSpPr txBox="1"/>
          </xdr:nvSpPr>
          <xdr:spPr>
            <a:xfrm>
              <a:off x="1096400" y="4730554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/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𝐶𝑜𝑐𝑖𝑒𝑛𝑡𝑒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𝐼𝑛𝑒𝑥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𝑅𝑢𝑏𝑟𝑜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𝐴𝑙𝑙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𝐶𝑜𝑚𝑜𝑑𝑖𝑡𝑖𝑒𝑠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B00-000006000000}"/>
                </a:ext>
              </a:extLst>
            </xdr:cNvPr>
            <xdr:cNvSpPr txBox="1"/>
          </xdr:nvSpPr>
          <xdr:spPr>
            <a:xfrm>
              <a:off x="1096400" y="4730554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𝑈𝑆𝑃𝑃𝐼〗_(</a:t>
              </a:r>
              <a:r>
                <a:rPr lang="es-MX" sz="800" b="0" i="0">
                  <a:latin typeface="Cambria Math" panose="02040503050406030204" pitchFamily="18" charset="0"/>
                </a:rPr>
                <a:t>𝑚/𝑜)=𝐶𝑜𝑐𝑖𝑒𝑛𝑡𝑒 𝑃𝑟𝑜𝑑𝑢𝑐𝑒𝑟 𝑃𝑟𝑖𝑐𝑒 𝐼𝑛𝑒𝑥 𝑅𝑢𝑏𝑟𝑜 𝐴𝑙𝑙 𝐶𝑜𝑚𝑜𝑑𝑖𝑡𝑖𝑒𝑠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21981</xdr:colOff>
      <xdr:row>13</xdr:row>
      <xdr:rowOff>43961</xdr:rowOff>
    </xdr:from>
    <xdr:ext cx="3487616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xmlns="" id="{00000000-0008-0000-0F00-000007000000}"/>
                </a:ext>
              </a:extLst>
            </xdr:cNvPr>
            <xdr:cNvSpPr txBox="1"/>
          </xdr:nvSpPr>
          <xdr:spPr>
            <a:xfrm>
              <a:off x="1096401" y="2604281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𝐶𝑅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𝑅𝑒𝑠𝑒𝑟𝑣𝑎𝑑𝑎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B00-000007000000}"/>
                </a:ext>
              </a:extLst>
            </xdr:cNvPr>
            <xdr:cNvSpPr txBox="1"/>
          </xdr:nvSpPr>
          <xdr:spPr>
            <a:xfrm>
              <a:off x="1096401" y="2604281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𝐶𝑅=𝐶𝑎𝑝𝑎𝑐𝑖𝑑𝑎𝑑 𝑅𝑒𝑠𝑒𝑟𝑣𝑎𝑑𝑎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11</xdr:row>
      <xdr:rowOff>51288</xdr:rowOff>
    </xdr:from>
    <xdr:ext cx="3281026" cy="12260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xmlns="" id="{00000000-0008-0000-0F00-000008000000}"/>
                </a:ext>
              </a:extLst>
            </xdr:cNvPr>
            <xdr:cNvSpPr txBox="1"/>
          </xdr:nvSpPr>
          <xdr:spPr>
            <a:xfrm>
              <a:off x="1043354" y="2165838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MX" sz="8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𝐶𝐹𝐶</m:t>
                      </m:r>
                    </m:e>
                    <m:sub>
                      <m:r>
                        <a:rPr lang="es-MX" sz="800" b="0" i="1">
                          <a:latin typeface="Cambria Math" panose="02040503050406030204" pitchFamily="18" charset="0"/>
                        </a:rPr>
                        <m:t>𝑚</m:t>
                      </m:r>
                    </m:sub>
                  </m:sSub>
                  <m:r>
                    <a:rPr lang="es-MX" sz="800" b="0" i="1">
                      <a:latin typeface="Cambria Math" panose="02040503050406030204" pitchFamily="18" charset="0"/>
                    </a:rPr>
                    <m:t>=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𝐶𝑎𝑟𝑔𝑜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 </m:t>
                  </m:r>
                </m:oMath>
              </a14:m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B00-000008000000}"/>
                </a:ext>
              </a:extLst>
            </xdr:cNvPr>
            <xdr:cNvSpPr txBox="1"/>
          </xdr:nvSpPr>
          <xdr:spPr>
            <a:xfrm>
              <a:off x="1043354" y="2165838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𝐶𝐹𝐶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es-MX" sz="800" b="0" i="0">
                  <a:latin typeface="Cambria Math" panose="02040503050406030204" pitchFamily="18" charset="0"/>
                </a:rPr>
                <a:t>𝑚=𝐶𝑎𝑟𝑔𝑜 </a:t>
              </a:r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12</xdr:row>
      <xdr:rowOff>24848</xdr:rowOff>
    </xdr:from>
    <xdr:ext cx="1922522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xmlns="" id="{00000000-0008-0000-0F00-000009000000}"/>
                </a:ext>
              </a:extLst>
            </xdr:cNvPr>
            <xdr:cNvSpPr txBox="1"/>
          </xdr:nvSpPr>
          <xdr:spPr>
            <a:xfrm>
              <a:off x="1081746" y="2402288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𝐶𝑅𝑉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𝐶𝑎𝑝𝑎𝑐𝑖𝑑𝑎𝑑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𝑅𝑒𝑠𝑒𝑟𝑣𝑎𝑑𝑎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𝑉𝑒𝑟𝑖𝑓𝑖𝑐𝑎𝑑𝑎</m:t>
                    </m:r>
                  </m:oMath>
                </m:oMathPara>
              </a14:m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B00-000009000000}"/>
                </a:ext>
              </a:extLst>
            </xdr:cNvPr>
            <xdr:cNvSpPr txBox="1"/>
          </xdr:nvSpPr>
          <xdr:spPr>
            <a:xfrm>
              <a:off x="1081746" y="2402288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solidFill>
                    <a:schemeClr val="tx1"/>
                  </a:solidFill>
                  <a:latin typeface="Cambria Math" panose="02040503050406030204" pitchFamily="18" charset="0"/>
                  <a:ea typeface="+mn-ea"/>
                  <a:cs typeface="+mn-cs"/>
                </a:rPr>
                <a:t>𝐶𝑅𝑉=𝐶𝑎𝑝𝑎𝑐𝑖𝑑𝑎𝑑 𝑅𝑒𝑠𝑒𝑟𝑣𝑎𝑑𝑎 𝑉𝑒𝑟𝑖𝑓𝑖𝑐𝑎𝑑𝑎</a:t>
              </a:r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14</xdr:row>
      <xdr:rowOff>43962</xdr:rowOff>
    </xdr:from>
    <xdr:ext cx="1489831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xmlns="" id="{00000000-0008-0000-0F00-00000A000000}"/>
                </a:ext>
              </a:extLst>
            </xdr:cNvPr>
            <xdr:cNvSpPr txBox="1"/>
          </xdr:nvSpPr>
          <xdr:spPr>
            <a:xfrm>
              <a:off x="1064602" y="2872887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𝐾𝐶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𝑐𝑎𝑝𝑎𝑐𝑖𝑑𝑎𝑑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𝑇𝑜𝑡𝑎𝑙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𝑀𝑒𝑛𝑠𝑢𝑎𝑙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0" name="CuadroTexto 9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B00-00000A000000}"/>
                </a:ext>
              </a:extLst>
            </xdr:cNvPr>
            <xdr:cNvSpPr txBox="1"/>
          </xdr:nvSpPr>
          <xdr:spPr>
            <a:xfrm>
              <a:off x="1064602" y="2872887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𝐾𝐶=𝑐𝑎𝑝𝑎𝑐𝑖𝑑𝑎𝑑  𝑇𝑜𝑡𝑎𝑙 𝑀𝑒𝑛𝑠𝑢𝑎𝑙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21981</xdr:colOff>
      <xdr:row>22</xdr:row>
      <xdr:rowOff>43961</xdr:rowOff>
    </xdr:from>
    <xdr:ext cx="3487616" cy="2455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xmlns="" id="{00000000-0008-0000-1000-000002000000}"/>
                </a:ext>
              </a:extLst>
            </xdr:cNvPr>
            <xdr:cNvSpPr txBox="1"/>
          </xdr:nvSpPr>
          <xdr:spPr>
            <a:xfrm>
              <a:off x="1096401" y="446356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presentacion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de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la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Proposicion</m:t>
                  </m:r>
                </m:oMath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C00-000002000000}"/>
                </a:ext>
              </a:extLst>
            </xdr:cNvPr>
            <xdr:cNvSpPr txBox="1"/>
          </xdr:nvSpPr>
          <xdr:spPr>
            <a:xfrm>
              <a:off x="1096401" y="446356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𝑚=𝑃𝑟𝑜𝑑𝑢𝑐𝑒𝑟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de la 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"presentacion de la Proposicion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20</xdr:row>
      <xdr:rowOff>51288</xdr:rowOff>
    </xdr:from>
    <xdr:ext cx="3116879" cy="24057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xmlns="" id="{00000000-0008-0000-1000-000003000000}"/>
                </a:ext>
              </a:extLst>
            </xdr:cNvPr>
            <xdr:cNvSpPr txBox="1"/>
          </xdr:nvSpPr>
          <xdr:spPr>
            <a:xfrm>
              <a:off x="1043354" y="4137513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𝐶𝑉</m:t>
                    </m:r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𝑈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𝐶𝑎𝑟𝑔𝑜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𝑉𝑎𝑟𝑖𝑎𝑏𝑙𝑒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𝑝𝑜𝑟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𝑈𝑠𝑜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𝑝𝑎𝑟𝑎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",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deacuerdo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           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proposicion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, (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Dolares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/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GJ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)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C00-000003000000}"/>
                </a:ext>
              </a:extLst>
            </xdr:cNvPr>
            <xdr:cNvSpPr txBox="1"/>
          </xdr:nvSpPr>
          <xdr:spPr>
            <a:xfrm>
              <a:off x="1043354" y="4137513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𝐶𝑉𝑈_𝑚=𝐶𝑎𝑟𝑔𝑜 𝑉𝑎𝑟𝑖𝑎𝑏𝑙𝑒 𝑝𝑜𝑟 𝑈𝑠𝑜 𝑝𝑎𝑟𝑎 𝑒𝑙 𝑀𝑒𝑠 "\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"m\", deacuerdo con la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               proposicion, (Dolares/GJ)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21</xdr:row>
      <xdr:rowOff>65942</xdr:rowOff>
    </xdr:from>
    <xdr:ext cx="3371949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xmlns="" id="{00000000-0008-0000-1000-000004000000}"/>
                </a:ext>
              </a:extLst>
            </xdr:cNvPr>
            <xdr:cNvSpPr txBox="1"/>
          </xdr:nvSpPr>
          <xdr:spPr>
            <a:xfrm>
              <a:off x="1064601" y="4428392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Facturado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C00-000004000000}"/>
                </a:ext>
              </a:extLst>
            </xdr:cNvPr>
            <xdr:cNvSpPr txBox="1"/>
          </xdr:nvSpPr>
          <xdr:spPr>
            <a:xfrm>
              <a:off x="1064601" y="4428392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𝑜=𝑃𝑟𝑜𝑑𝑢𝑐𝑒𝑟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Facturado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24</xdr:row>
      <xdr:rowOff>43962</xdr:rowOff>
    </xdr:from>
    <xdr:ext cx="2621680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xmlns="" id="{00000000-0008-0000-1000-000005000000}"/>
                </a:ext>
              </a:extLst>
            </xdr:cNvPr>
            <xdr:cNvSpPr txBox="1"/>
          </xdr:nvSpPr>
          <xdr:spPr>
            <a:xfrm>
              <a:off x="1064602" y="5063637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𝑉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𝐶𝑎𝑛𝑡𝑖𝑑𝑎𝑑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𝐶𝑜𝑛𝑓𝑖𝑟𝑚𝑎𝑑𝑎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𝑑𝑒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𝑔𝑎𝑠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𝑒𝑛𝑡𝑟𝑒𝑔𝑎𝑑𝑜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𝑙𝑎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𝐶𝐹𝐸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C00-000005000000}"/>
                </a:ext>
              </a:extLst>
            </xdr:cNvPr>
            <xdr:cNvSpPr txBox="1"/>
          </xdr:nvSpPr>
          <xdr:spPr>
            <a:xfrm>
              <a:off x="1064602" y="5063637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𝑉_𝑚𝑚=𝐶𝑎𝑛𝑡𝑖𝑑𝑎𝑑 𝐶𝑜𝑛𝑓𝑖𝑟𝑚𝑎𝑑𝑎 𝑑𝑒 𝑔𝑎𝑠 𝑒𝑛𝑡𝑟𝑒𝑔𝑎𝑑𝑜 𝑎 𝑙𝑎 𝐶𝐹𝐸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21980</xdr:colOff>
      <xdr:row>23</xdr:row>
      <xdr:rowOff>36634</xdr:rowOff>
    </xdr:from>
    <xdr:ext cx="3487616" cy="1342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xmlns="" id="{00000000-0008-0000-1000-000006000000}"/>
                </a:ext>
              </a:extLst>
            </xdr:cNvPr>
            <xdr:cNvSpPr txBox="1"/>
          </xdr:nvSpPr>
          <xdr:spPr>
            <a:xfrm>
              <a:off x="1096400" y="4730554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/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𝐶𝑜𝑐𝑖𝑒𝑛𝑡𝑒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𝐼𝑛𝑒𝑥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𝑅𝑢𝑏𝑟𝑜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𝐴𝑙𝑙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𝐶𝑜𝑚𝑜𝑑𝑖𝑡𝑖𝑒𝑠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C00-000006000000}"/>
                </a:ext>
              </a:extLst>
            </xdr:cNvPr>
            <xdr:cNvSpPr txBox="1"/>
          </xdr:nvSpPr>
          <xdr:spPr>
            <a:xfrm>
              <a:off x="1096400" y="4730554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𝑈𝑆𝑃𝑃𝐼〗_(</a:t>
              </a:r>
              <a:r>
                <a:rPr lang="es-MX" sz="800" b="0" i="0">
                  <a:latin typeface="Cambria Math" panose="02040503050406030204" pitchFamily="18" charset="0"/>
                </a:rPr>
                <a:t>𝑚/𝑜)=𝐶𝑜𝑐𝑖𝑒𝑛𝑡𝑒 𝑃𝑟𝑜𝑑𝑢𝑐𝑒𝑟 𝑃𝑟𝑖𝑐𝑒 𝐼𝑛𝑒𝑥 𝑅𝑢𝑏𝑟𝑜 𝐴𝑙𝑙 𝐶𝑜𝑚𝑜𝑑𝑖𝑡𝑖𝑒𝑠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21981</xdr:colOff>
      <xdr:row>13</xdr:row>
      <xdr:rowOff>43961</xdr:rowOff>
    </xdr:from>
    <xdr:ext cx="3487616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xmlns="" id="{00000000-0008-0000-1000-000007000000}"/>
                </a:ext>
              </a:extLst>
            </xdr:cNvPr>
            <xdr:cNvSpPr txBox="1"/>
          </xdr:nvSpPr>
          <xdr:spPr>
            <a:xfrm>
              <a:off x="1096401" y="2604281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𝐶𝑅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𝑅𝑒𝑠𝑒𝑟𝑣𝑎𝑑𝑎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C00-000007000000}"/>
                </a:ext>
              </a:extLst>
            </xdr:cNvPr>
            <xdr:cNvSpPr txBox="1"/>
          </xdr:nvSpPr>
          <xdr:spPr>
            <a:xfrm>
              <a:off x="1096401" y="2604281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𝐶𝑅=𝐶𝑎𝑝𝑎𝑐𝑖𝑑𝑎𝑑 𝑅𝑒𝑠𝑒𝑟𝑣𝑎𝑑𝑎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11</xdr:row>
      <xdr:rowOff>51288</xdr:rowOff>
    </xdr:from>
    <xdr:ext cx="3281026" cy="12260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xmlns="" id="{00000000-0008-0000-1000-000008000000}"/>
                </a:ext>
              </a:extLst>
            </xdr:cNvPr>
            <xdr:cNvSpPr txBox="1"/>
          </xdr:nvSpPr>
          <xdr:spPr>
            <a:xfrm>
              <a:off x="1043354" y="2165838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MX" sz="8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𝐶𝐹𝐶</m:t>
                      </m:r>
                    </m:e>
                    <m:sub>
                      <m:r>
                        <a:rPr lang="es-MX" sz="800" b="0" i="1">
                          <a:latin typeface="Cambria Math" panose="02040503050406030204" pitchFamily="18" charset="0"/>
                        </a:rPr>
                        <m:t>𝑚</m:t>
                      </m:r>
                    </m:sub>
                  </m:sSub>
                  <m:r>
                    <a:rPr lang="es-MX" sz="800" b="0" i="1">
                      <a:latin typeface="Cambria Math" panose="02040503050406030204" pitchFamily="18" charset="0"/>
                    </a:rPr>
                    <m:t>=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𝐶𝑎𝑟𝑔𝑜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 </m:t>
                  </m:r>
                </m:oMath>
              </a14:m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C00-000008000000}"/>
                </a:ext>
              </a:extLst>
            </xdr:cNvPr>
            <xdr:cNvSpPr txBox="1"/>
          </xdr:nvSpPr>
          <xdr:spPr>
            <a:xfrm>
              <a:off x="1043354" y="2165838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𝐶𝐹𝐶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es-MX" sz="800" b="0" i="0">
                  <a:latin typeface="Cambria Math" panose="02040503050406030204" pitchFamily="18" charset="0"/>
                </a:rPr>
                <a:t>𝑚=𝐶𝑎𝑟𝑔𝑜 </a:t>
              </a:r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12</xdr:row>
      <xdr:rowOff>24848</xdr:rowOff>
    </xdr:from>
    <xdr:ext cx="1922522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xmlns="" id="{00000000-0008-0000-1000-000009000000}"/>
                </a:ext>
              </a:extLst>
            </xdr:cNvPr>
            <xdr:cNvSpPr txBox="1"/>
          </xdr:nvSpPr>
          <xdr:spPr>
            <a:xfrm>
              <a:off x="1081746" y="2402288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𝐶𝑅𝑉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𝐶𝑎𝑝𝑎𝑐𝑖𝑑𝑎𝑑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𝑅𝑒𝑠𝑒𝑟𝑣𝑎𝑑𝑎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𝑉𝑒𝑟𝑖𝑓𝑖𝑐𝑎𝑑𝑎</m:t>
                    </m:r>
                  </m:oMath>
                </m:oMathPara>
              </a14:m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C00-000009000000}"/>
                </a:ext>
              </a:extLst>
            </xdr:cNvPr>
            <xdr:cNvSpPr txBox="1"/>
          </xdr:nvSpPr>
          <xdr:spPr>
            <a:xfrm>
              <a:off x="1081746" y="2402288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solidFill>
                    <a:schemeClr val="tx1"/>
                  </a:solidFill>
                  <a:latin typeface="Cambria Math" panose="02040503050406030204" pitchFamily="18" charset="0"/>
                  <a:ea typeface="+mn-ea"/>
                  <a:cs typeface="+mn-cs"/>
                </a:rPr>
                <a:t>𝐶𝑅𝑉=𝐶𝑎𝑝𝑎𝑐𝑖𝑑𝑎𝑑 𝑅𝑒𝑠𝑒𝑟𝑣𝑎𝑑𝑎 𝑉𝑒𝑟𝑖𝑓𝑖𝑐𝑎𝑑𝑎</a:t>
              </a:r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14</xdr:row>
      <xdr:rowOff>43962</xdr:rowOff>
    </xdr:from>
    <xdr:ext cx="1489831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xmlns="" id="{00000000-0008-0000-1000-00000A000000}"/>
                </a:ext>
              </a:extLst>
            </xdr:cNvPr>
            <xdr:cNvSpPr txBox="1"/>
          </xdr:nvSpPr>
          <xdr:spPr>
            <a:xfrm>
              <a:off x="1064602" y="2872887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𝐾𝐶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𝑐𝑎𝑝𝑎𝑐𝑖𝑑𝑎𝑑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𝑇𝑜𝑡𝑎𝑙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𝑀𝑒𝑛𝑠𝑢𝑎𝑙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0" name="CuadroTexto 9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C00-00000A000000}"/>
                </a:ext>
              </a:extLst>
            </xdr:cNvPr>
            <xdr:cNvSpPr txBox="1"/>
          </xdr:nvSpPr>
          <xdr:spPr>
            <a:xfrm>
              <a:off x="1064602" y="2872887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𝐾𝐶=𝑐𝑎𝑝𝑎𝑐𝑖𝑑𝑎𝑑  𝑇𝑜𝑡𝑎𝑙 𝑀𝑒𝑛𝑠𝑢𝑎𝑙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21981</xdr:colOff>
      <xdr:row>22</xdr:row>
      <xdr:rowOff>43961</xdr:rowOff>
    </xdr:from>
    <xdr:ext cx="3487616" cy="2455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xmlns="" id="{00000000-0008-0000-1100-000002000000}"/>
                </a:ext>
              </a:extLst>
            </xdr:cNvPr>
            <xdr:cNvSpPr txBox="1"/>
          </xdr:nvSpPr>
          <xdr:spPr>
            <a:xfrm>
              <a:off x="1096401" y="446356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presentacion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de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la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Proposicion</m:t>
                  </m:r>
                </m:oMath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D00-000002000000}"/>
                </a:ext>
              </a:extLst>
            </xdr:cNvPr>
            <xdr:cNvSpPr txBox="1"/>
          </xdr:nvSpPr>
          <xdr:spPr>
            <a:xfrm>
              <a:off x="1096401" y="446356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𝑚=𝑃𝑟𝑜𝑑𝑢𝑐𝑒𝑟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de la 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"presentacion de la Proposicion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20</xdr:row>
      <xdr:rowOff>51288</xdr:rowOff>
    </xdr:from>
    <xdr:ext cx="3116879" cy="24057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xmlns="" id="{00000000-0008-0000-1100-000003000000}"/>
                </a:ext>
              </a:extLst>
            </xdr:cNvPr>
            <xdr:cNvSpPr txBox="1"/>
          </xdr:nvSpPr>
          <xdr:spPr>
            <a:xfrm>
              <a:off x="1043354" y="4137513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𝐶𝑉</m:t>
                    </m:r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𝑈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𝐶𝑎𝑟𝑔𝑜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𝑉𝑎𝑟𝑖𝑎𝑏𝑙𝑒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𝑝𝑜𝑟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𝑈𝑠𝑜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𝑝𝑎𝑟𝑎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",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deacuerdo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           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proposicion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, (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Dolares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/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GJ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)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D00-000003000000}"/>
                </a:ext>
              </a:extLst>
            </xdr:cNvPr>
            <xdr:cNvSpPr txBox="1"/>
          </xdr:nvSpPr>
          <xdr:spPr>
            <a:xfrm>
              <a:off x="1043354" y="4137513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𝐶𝑉𝑈_𝑚=𝐶𝑎𝑟𝑔𝑜 𝑉𝑎𝑟𝑖𝑎𝑏𝑙𝑒 𝑝𝑜𝑟 𝑈𝑠𝑜 𝑝𝑎𝑟𝑎 𝑒𝑙 𝑀𝑒𝑠 "\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"m\", deacuerdo con la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               proposicion, (Dolares/GJ)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21</xdr:row>
      <xdr:rowOff>65942</xdr:rowOff>
    </xdr:from>
    <xdr:ext cx="3371949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xmlns="" id="{00000000-0008-0000-1100-000004000000}"/>
                </a:ext>
              </a:extLst>
            </xdr:cNvPr>
            <xdr:cNvSpPr txBox="1"/>
          </xdr:nvSpPr>
          <xdr:spPr>
            <a:xfrm>
              <a:off x="1064601" y="4428392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Facturado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D00-000004000000}"/>
                </a:ext>
              </a:extLst>
            </xdr:cNvPr>
            <xdr:cNvSpPr txBox="1"/>
          </xdr:nvSpPr>
          <xdr:spPr>
            <a:xfrm>
              <a:off x="1064601" y="4428392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𝑜=𝑃𝑟𝑜𝑑𝑢𝑐𝑒𝑟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Facturado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24</xdr:row>
      <xdr:rowOff>43962</xdr:rowOff>
    </xdr:from>
    <xdr:ext cx="2621680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xmlns="" id="{00000000-0008-0000-1100-000005000000}"/>
                </a:ext>
              </a:extLst>
            </xdr:cNvPr>
            <xdr:cNvSpPr txBox="1"/>
          </xdr:nvSpPr>
          <xdr:spPr>
            <a:xfrm>
              <a:off x="1064602" y="5063637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𝑉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𝐶𝑎𝑛𝑡𝑖𝑑𝑎𝑑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𝐶𝑜𝑛𝑓𝑖𝑟𝑚𝑎𝑑𝑎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𝑑𝑒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𝑔𝑎𝑠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𝑒𝑛𝑡𝑟𝑒𝑔𝑎𝑑𝑜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𝑙𝑎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𝐶𝐹𝐸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D00-000005000000}"/>
                </a:ext>
              </a:extLst>
            </xdr:cNvPr>
            <xdr:cNvSpPr txBox="1"/>
          </xdr:nvSpPr>
          <xdr:spPr>
            <a:xfrm>
              <a:off x="1064602" y="5063637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𝑉_𝑚𝑚=𝐶𝑎𝑛𝑡𝑖𝑑𝑎𝑑 𝐶𝑜𝑛𝑓𝑖𝑟𝑚𝑎𝑑𝑎 𝑑𝑒 𝑔𝑎𝑠 𝑒𝑛𝑡𝑟𝑒𝑔𝑎𝑑𝑜 𝑎 𝑙𝑎 𝐶𝐹𝐸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21980</xdr:colOff>
      <xdr:row>23</xdr:row>
      <xdr:rowOff>36634</xdr:rowOff>
    </xdr:from>
    <xdr:ext cx="3487616" cy="1342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xmlns="" id="{00000000-0008-0000-1100-000006000000}"/>
                </a:ext>
              </a:extLst>
            </xdr:cNvPr>
            <xdr:cNvSpPr txBox="1"/>
          </xdr:nvSpPr>
          <xdr:spPr>
            <a:xfrm>
              <a:off x="1096400" y="4730554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/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𝐶𝑜𝑐𝑖𝑒𝑛𝑡𝑒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𝐼𝑛𝑒𝑥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𝑅𝑢𝑏𝑟𝑜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𝐴𝑙𝑙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𝐶𝑜𝑚𝑜𝑑𝑖𝑡𝑖𝑒𝑠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D00-000006000000}"/>
                </a:ext>
              </a:extLst>
            </xdr:cNvPr>
            <xdr:cNvSpPr txBox="1"/>
          </xdr:nvSpPr>
          <xdr:spPr>
            <a:xfrm>
              <a:off x="1096400" y="4730554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𝑈𝑆𝑃𝑃𝐼〗_(</a:t>
              </a:r>
              <a:r>
                <a:rPr lang="es-MX" sz="800" b="0" i="0">
                  <a:latin typeface="Cambria Math" panose="02040503050406030204" pitchFamily="18" charset="0"/>
                </a:rPr>
                <a:t>𝑚/𝑜)=𝐶𝑜𝑐𝑖𝑒𝑛𝑡𝑒 𝑃𝑟𝑜𝑑𝑢𝑐𝑒𝑟 𝑃𝑟𝑖𝑐𝑒 𝐼𝑛𝑒𝑥 𝑅𝑢𝑏𝑟𝑜 𝐴𝑙𝑙 𝐶𝑜𝑚𝑜𝑑𝑖𝑡𝑖𝑒𝑠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21981</xdr:colOff>
      <xdr:row>13</xdr:row>
      <xdr:rowOff>43961</xdr:rowOff>
    </xdr:from>
    <xdr:ext cx="3487616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xmlns="" id="{00000000-0008-0000-1100-000007000000}"/>
                </a:ext>
              </a:extLst>
            </xdr:cNvPr>
            <xdr:cNvSpPr txBox="1"/>
          </xdr:nvSpPr>
          <xdr:spPr>
            <a:xfrm>
              <a:off x="1096401" y="2604281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𝐶𝑅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𝑅𝑒𝑠𝑒𝑟𝑣𝑎𝑑𝑎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D00-000007000000}"/>
                </a:ext>
              </a:extLst>
            </xdr:cNvPr>
            <xdr:cNvSpPr txBox="1"/>
          </xdr:nvSpPr>
          <xdr:spPr>
            <a:xfrm>
              <a:off x="1096401" y="2604281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𝐶𝑅=𝐶𝑎𝑝𝑎𝑐𝑖𝑑𝑎𝑑 𝑅𝑒𝑠𝑒𝑟𝑣𝑎𝑑𝑎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11</xdr:row>
      <xdr:rowOff>51288</xdr:rowOff>
    </xdr:from>
    <xdr:ext cx="3281026" cy="12260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xmlns="" id="{00000000-0008-0000-1100-000008000000}"/>
                </a:ext>
              </a:extLst>
            </xdr:cNvPr>
            <xdr:cNvSpPr txBox="1"/>
          </xdr:nvSpPr>
          <xdr:spPr>
            <a:xfrm>
              <a:off x="1043354" y="2165838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MX" sz="8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𝐶𝐹𝐶</m:t>
                      </m:r>
                    </m:e>
                    <m:sub>
                      <m:r>
                        <a:rPr lang="es-MX" sz="800" b="0" i="1">
                          <a:latin typeface="Cambria Math" panose="02040503050406030204" pitchFamily="18" charset="0"/>
                        </a:rPr>
                        <m:t>𝑚</m:t>
                      </m:r>
                    </m:sub>
                  </m:sSub>
                  <m:r>
                    <a:rPr lang="es-MX" sz="800" b="0" i="1">
                      <a:latin typeface="Cambria Math" panose="02040503050406030204" pitchFamily="18" charset="0"/>
                    </a:rPr>
                    <m:t>=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𝐶𝑎𝑟𝑔𝑜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 </m:t>
                  </m:r>
                </m:oMath>
              </a14:m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D00-000008000000}"/>
                </a:ext>
              </a:extLst>
            </xdr:cNvPr>
            <xdr:cNvSpPr txBox="1"/>
          </xdr:nvSpPr>
          <xdr:spPr>
            <a:xfrm>
              <a:off x="1043354" y="2165838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𝐶𝐹𝐶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es-MX" sz="800" b="0" i="0">
                  <a:latin typeface="Cambria Math" panose="02040503050406030204" pitchFamily="18" charset="0"/>
                </a:rPr>
                <a:t>𝑚=𝐶𝑎𝑟𝑔𝑜 </a:t>
              </a:r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12</xdr:row>
      <xdr:rowOff>24848</xdr:rowOff>
    </xdr:from>
    <xdr:ext cx="1922522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xmlns="" id="{00000000-0008-0000-1100-000009000000}"/>
                </a:ext>
              </a:extLst>
            </xdr:cNvPr>
            <xdr:cNvSpPr txBox="1"/>
          </xdr:nvSpPr>
          <xdr:spPr>
            <a:xfrm>
              <a:off x="1081746" y="2402288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𝐶𝑅𝑉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𝐶𝑎𝑝𝑎𝑐𝑖𝑑𝑎𝑑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𝑅𝑒𝑠𝑒𝑟𝑣𝑎𝑑𝑎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𝑉𝑒𝑟𝑖𝑓𝑖𝑐𝑎𝑑𝑎</m:t>
                    </m:r>
                  </m:oMath>
                </m:oMathPara>
              </a14:m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D00-000009000000}"/>
                </a:ext>
              </a:extLst>
            </xdr:cNvPr>
            <xdr:cNvSpPr txBox="1"/>
          </xdr:nvSpPr>
          <xdr:spPr>
            <a:xfrm>
              <a:off x="1081746" y="2402288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solidFill>
                    <a:schemeClr val="tx1"/>
                  </a:solidFill>
                  <a:latin typeface="Cambria Math" panose="02040503050406030204" pitchFamily="18" charset="0"/>
                  <a:ea typeface="+mn-ea"/>
                  <a:cs typeface="+mn-cs"/>
                </a:rPr>
                <a:t>𝐶𝑅𝑉=𝐶𝑎𝑝𝑎𝑐𝑖𝑑𝑎𝑑 𝑅𝑒𝑠𝑒𝑟𝑣𝑎𝑑𝑎 𝑉𝑒𝑟𝑖𝑓𝑖𝑐𝑎𝑑𝑎</a:t>
              </a:r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14</xdr:row>
      <xdr:rowOff>43962</xdr:rowOff>
    </xdr:from>
    <xdr:ext cx="1489831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xmlns="" id="{00000000-0008-0000-1100-00000A000000}"/>
                </a:ext>
              </a:extLst>
            </xdr:cNvPr>
            <xdr:cNvSpPr txBox="1"/>
          </xdr:nvSpPr>
          <xdr:spPr>
            <a:xfrm>
              <a:off x="1064602" y="2872887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𝐾𝐶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𝑐𝑎𝑝𝑎𝑐𝑖𝑑𝑎𝑑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𝑇𝑜𝑡𝑎𝑙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𝑀𝑒𝑛𝑠𝑢𝑎𝑙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0" name="CuadroTexto 9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D00-00000A000000}"/>
                </a:ext>
              </a:extLst>
            </xdr:cNvPr>
            <xdr:cNvSpPr txBox="1"/>
          </xdr:nvSpPr>
          <xdr:spPr>
            <a:xfrm>
              <a:off x="1064602" y="2872887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𝐾𝐶=𝑐𝑎𝑝𝑎𝑐𝑖𝑑𝑎𝑑  𝑇𝑜𝑡𝑎𝑙 𝑀𝑒𝑛𝑠𝑢𝑎𝑙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21981</xdr:colOff>
      <xdr:row>22</xdr:row>
      <xdr:rowOff>43961</xdr:rowOff>
    </xdr:from>
    <xdr:ext cx="3487616" cy="2455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xmlns="" id="{00000000-0008-0000-1200-000002000000}"/>
                </a:ext>
              </a:extLst>
            </xdr:cNvPr>
            <xdr:cNvSpPr txBox="1"/>
          </xdr:nvSpPr>
          <xdr:spPr>
            <a:xfrm>
              <a:off x="1096401" y="446356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presentacion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de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la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Proposicion</m:t>
                  </m:r>
                </m:oMath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E00-000002000000}"/>
                </a:ext>
              </a:extLst>
            </xdr:cNvPr>
            <xdr:cNvSpPr txBox="1"/>
          </xdr:nvSpPr>
          <xdr:spPr>
            <a:xfrm>
              <a:off x="1096401" y="446356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𝑚=𝑃𝑟𝑜𝑑𝑢𝑐𝑒𝑟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de la 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"presentacion de la Proposicion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20</xdr:row>
      <xdr:rowOff>51288</xdr:rowOff>
    </xdr:from>
    <xdr:ext cx="3116879" cy="24057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xmlns="" id="{00000000-0008-0000-1200-000003000000}"/>
                </a:ext>
              </a:extLst>
            </xdr:cNvPr>
            <xdr:cNvSpPr txBox="1"/>
          </xdr:nvSpPr>
          <xdr:spPr>
            <a:xfrm>
              <a:off x="1043354" y="4137513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𝐶𝑉</m:t>
                    </m:r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𝑈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𝐶𝑎𝑟𝑔𝑜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𝑉𝑎𝑟𝑖𝑎𝑏𝑙𝑒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𝑝𝑜𝑟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𝑈𝑠𝑜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𝑝𝑎𝑟𝑎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",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deacuerdo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           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proposicion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, (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Dolares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/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GJ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)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E00-000003000000}"/>
                </a:ext>
              </a:extLst>
            </xdr:cNvPr>
            <xdr:cNvSpPr txBox="1"/>
          </xdr:nvSpPr>
          <xdr:spPr>
            <a:xfrm>
              <a:off x="1043354" y="4137513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𝐶𝑉𝑈_𝑚=𝐶𝑎𝑟𝑔𝑜 𝑉𝑎𝑟𝑖𝑎𝑏𝑙𝑒 𝑝𝑜𝑟 𝑈𝑠𝑜 𝑝𝑎𝑟𝑎 𝑒𝑙 𝑀𝑒𝑠 "\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"m\", deacuerdo con la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               proposicion, (Dolares/GJ)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21</xdr:row>
      <xdr:rowOff>65942</xdr:rowOff>
    </xdr:from>
    <xdr:ext cx="3371949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xmlns="" id="{00000000-0008-0000-1200-000004000000}"/>
                </a:ext>
              </a:extLst>
            </xdr:cNvPr>
            <xdr:cNvSpPr txBox="1"/>
          </xdr:nvSpPr>
          <xdr:spPr>
            <a:xfrm>
              <a:off x="1064601" y="4428392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Facturado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E00-000004000000}"/>
                </a:ext>
              </a:extLst>
            </xdr:cNvPr>
            <xdr:cNvSpPr txBox="1"/>
          </xdr:nvSpPr>
          <xdr:spPr>
            <a:xfrm>
              <a:off x="1064601" y="4428392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𝑜=𝑃𝑟𝑜𝑑𝑢𝑐𝑒𝑟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Facturado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24</xdr:row>
      <xdr:rowOff>43962</xdr:rowOff>
    </xdr:from>
    <xdr:ext cx="2621680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xmlns="" id="{00000000-0008-0000-1200-000005000000}"/>
                </a:ext>
              </a:extLst>
            </xdr:cNvPr>
            <xdr:cNvSpPr txBox="1"/>
          </xdr:nvSpPr>
          <xdr:spPr>
            <a:xfrm>
              <a:off x="1064602" y="5063637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𝑉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𝐶𝑎𝑛𝑡𝑖𝑑𝑎𝑑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𝐶𝑜𝑛𝑓𝑖𝑟𝑚𝑎𝑑𝑎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𝑑𝑒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𝑔𝑎𝑠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𝑒𝑛𝑡𝑟𝑒𝑔𝑎𝑑𝑜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𝑙𝑎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𝐶𝐹𝐸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E00-000005000000}"/>
                </a:ext>
              </a:extLst>
            </xdr:cNvPr>
            <xdr:cNvSpPr txBox="1"/>
          </xdr:nvSpPr>
          <xdr:spPr>
            <a:xfrm>
              <a:off x="1064602" y="5063637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𝑉_𝑚𝑚=𝐶𝑎𝑛𝑡𝑖𝑑𝑎𝑑 𝐶𝑜𝑛𝑓𝑖𝑟𝑚𝑎𝑑𝑎 𝑑𝑒 𝑔𝑎𝑠 𝑒𝑛𝑡𝑟𝑒𝑔𝑎𝑑𝑜 𝑎 𝑙𝑎 𝐶𝐹𝐸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21980</xdr:colOff>
      <xdr:row>23</xdr:row>
      <xdr:rowOff>36634</xdr:rowOff>
    </xdr:from>
    <xdr:ext cx="3487616" cy="1342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xmlns="" id="{00000000-0008-0000-1200-000006000000}"/>
                </a:ext>
              </a:extLst>
            </xdr:cNvPr>
            <xdr:cNvSpPr txBox="1"/>
          </xdr:nvSpPr>
          <xdr:spPr>
            <a:xfrm>
              <a:off x="1096400" y="4730554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/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𝐶𝑜𝑐𝑖𝑒𝑛𝑡𝑒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𝐼𝑛𝑒𝑥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𝑅𝑢𝑏𝑟𝑜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𝐴𝑙𝑙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𝐶𝑜𝑚𝑜𝑑𝑖𝑡𝑖𝑒𝑠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E00-000006000000}"/>
                </a:ext>
              </a:extLst>
            </xdr:cNvPr>
            <xdr:cNvSpPr txBox="1"/>
          </xdr:nvSpPr>
          <xdr:spPr>
            <a:xfrm>
              <a:off x="1096400" y="4730554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𝑈𝑆𝑃𝑃𝐼〗_(</a:t>
              </a:r>
              <a:r>
                <a:rPr lang="es-MX" sz="800" b="0" i="0">
                  <a:latin typeface="Cambria Math" panose="02040503050406030204" pitchFamily="18" charset="0"/>
                </a:rPr>
                <a:t>𝑚/𝑜)=𝐶𝑜𝑐𝑖𝑒𝑛𝑡𝑒 𝑃𝑟𝑜𝑑𝑢𝑐𝑒𝑟 𝑃𝑟𝑖𝑐𝑒 𝐼𝑛𝑒𝑥 𝑅𝑢𝑏𝑟𝑜 𝐴𝑙𝑙 𝐶𝑜𝑚𝑜𝑑𝑖𝑡𝑖𝑒𝑠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21981</xdr:colOff>
      <xdr:row>13</xdr:row>
      <xdr:rowOff>43961</xdr:rowOff>
    </xdr:from>
    <xdr:ext cx="3487616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xmlns="" id="{00000000-0008-0000-1200-000007000000}"/>
                </a:ext>
              </a:extLst>
            </xdr:cNvPr>
            <xdr:cNvSpPr txBox="1"/>
          </xdr:nvSpPr>
          <xdr:spPr>
            <a:xfrm>
              <a:off x="1096401" y="2604281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𝐶𝑅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𝑅𝑒𝑠𝑒𝑟𝑣𝑎𝑑𝑎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E00-000007000000}"/>
                </a:ext>
              </a:extLst>
            </xdr:cNvPr>
            <xdr:cNvSpPr txBox="1"/>
          </xdr:nvSpPr>
          <xdr:spPr>
            <a:xfrm>
              <a:off x="1096401" y="2604281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𝐶𝑅=𝐶𝑎𝑝𝑎𝑐𝑖𝑑𝑎𝑑 𝑅𝑒𝑠𝑒𝑟𝑣𝑎𝑑𝑎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11</xdr:row>
      <xdr:rowOff>51288</xdr:rowOff>
    </xdr:from>
    <xdr:ext cx="3281026" cy="12260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xmlns="" id="{00000000-0008-0000-1200-000008000000}"/>
                </a:ext>
              </a:extLst>
            </xdr:cNvPr>
            <xdr:cNvSpPr txBox="1"/>
          </xdr:nvSpPr>
          <xdr:spPr>
            <a:xfrm>
              <a:off x="1043354" y="2165838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MX" sz="8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𝐶𝐹𝐶</m:t>
                      </m:r>
                    </m:e>
                    <m:sub>
                      <m:r>
                        <a:rPr lang="es-MX" sz="800" b="0" i="1">
                          <a:latin typeface="Cambria Math" panose="02040503050406030204" pitchFamily="18" charset="0"/>
                        </a:rPr>
                        <m:t>𝑚</m:t>
                      </m:r>
                    </m:sub>
                  </m:sSub>
                  <m:r>
                    <a:rPr lang="es-MX" sz="800" b="0" i="1">
                      <a:latin typeface="Cambria Math" panose="02040503050406030204" pitchFamily="18" charset="0"/>
                    </a:rPr>
                    <m:t>=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𝐶𝑎𝑟𝑔𝑜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 </m:t>
                  </m:r>
                </m:oMath>
              </a14:m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E00-000008000000}"/>
                </a:ext>
              </a:extLst>
            </xdr:cNvPr>
            <xdr:cNvSpPr txBox="1"/>
          </xdr:nvSpPr>
          <xdr:spPr>
            <a:xfrm>
              <a:off x="1043354" y="2165838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𝐶𝐹𝐶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es-MX" sz="800" b="0" i="0">
                  <a:latin typeface="Cambria Math" panose="02040503050406030204" pitchFamily="18" charset="0"/>
                </a:rPr>
                <a:t>𝑚=𝐶𝑎𝑟𝑔𝑜 </a:t>
              </a:r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12</xdr:row>
      <xdr:rowOff>24848</xdr:rowOff>
    </xdr:from>
    <xdr:ext cx="1922522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xmlns="" id="{00000000-0008-0000-1200-000009000000}"/>
                </a:ext>
              </a:extLst>
            </xdr:cNvPr>
            <xdr:cNvSpPr txBox="1"/>
          </xdr:nvSpPr>
          <xdr:spPr>
            <a:xfrm>
              <a:off x="1081746" y="2402288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𝐶𝑅𝑉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𝐶𝑎𝑝𝑎𝑐𝑖𝑑𝑎𝑑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𝑅𝑒𝑠𝑒𝑟𝑣𝑎𝑑𝑎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𝑉𝑒𝑟𝑖𝑓𝑖𝑐𝑎𝑑𝑎</m:t>
                    </m:r>
                  </m:oMath>
                </m:oMathPara>
              </a14:m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E00-000009000000}"/>
                </a:ext>
              </a:extLst>
            </xdr:cNvPr>
            <xdr:cNvSpPr txBox="1"/>
          </xdr:nvSpPr>
          <xdr:spPr>
            <a:xfrm>
              <a:off x="1081746" y="2402288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solidFill>
                    <a:schemeClr val="tx1"/>
                  </a:solidFill>
                  <a:latin typeface="Cambria Math" panose="02040503050406030204" pitchFamily="18" charset="0"/>
                  <a:ea typeface="+mn-ea"/>
                  <a:cs typeface="+mn-cs"/>
                </a:rPr>
                <a:t>𝐶𝑅𝑉=𝐶𝑎𝑝𝑎𝑐𝑖𝑑𝑎𝑑 𝑅𝑒𝑠𝑒𝑟𝑣𝑎𝑑𝑎 𝑉𝑒𝑟𝑖𝑓𝑖𝑐𝑎𝑑𝑎</a:t>
              </a:r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14</xdr:row>
      <xdr:rowOff>43962</xdr:rowOff>
    </xdr:from>
    <xdr:ext cx="1489831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xmlns="" id="{00000000-0008-0000-1200-00000A000000}"/>
                </a:ext>
              </a:extLst>
            </xdr:cNvPr>
            <xdr:cNvSpPr txBox="1"/>
          </xdr:nvSpPr>
          <xdr:spPr>
            <a:xfrm>
              <a:off x="1064602" y="2872887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𝐾𝐶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𝑐𝑎𝑝𝑎𝑐𝑖𝑑𝑎𝑑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𝑇𝑜𝑡𝑎𝑙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𝑀𝑒𝑛𝑠𝑢𝑎𝑙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0" name="CuadroTexto 9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E00-00000A000000}"/>
                </a:ext>
              </a:extLst>
            </xdr:cNvPr>
            <xdr:cNvSpPr txBox="1"/>
          </xdr:nvSpPr>
          <xdr:spPr>
            <a:xfrm>
              <a:off x="1064602" y="2872887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𝐾𝐶=𝑐𝑎𝑝𝑎𝑐𝑖𝑑𝑎𝑑  𝑇𝑜𝑡𝑎𝑙 𝑀𝑒𝑛𝑠𝑢𝑎𝑙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21981</xdr:colOff>
      <xdr:row>22</xdr:row>
      <xdr:rowOff>43961</xdr:rowOff>
    </xdr:from>
    <xdr:ext cx="3487616" cy="2455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xmlns="" id="{00000000-0008-0000-1300-000002000000}"/>
                </a:ext>
              </a:extLst>
            </xdr:cNvPr>
            <xdr:cNvSpPr txBox="1"/>
          </xdr:nvSpPr>
          <xdr:spPr>
            <a:xfrm>
              <a:off x="1096401" y="446356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presentacion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de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la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Proposicion</m:t>
                  </m:r>
                </m:oMath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F00-000002000000}"/>
                </a:ext>
              </a:extLst>
            </xdr:cNvPr>
            <xdr:cNvSpPr txBox="1"/>
          </xdr:nvSpPr>
          <xdr:spPr>
            <a:xfrm>
              <a:off x="1096401" y="446356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𝑚=𝑃𝑟𝑜𝑑𝑢𝑐𝑒𝑟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de la 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"presentacion de la Proposicion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20</xdr:row>
      <xdr:rowOff>51288</xdr:rowOff>
    </xdr:from>
    <xdr:ext cx="3116879" cy="24057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xmlns="" id="{00000000-0008-0000-1300-000003000000}"/>
                </a:ext>
              </a:extLst>
            </xdr:cNvPr>
            <xdr:cNvSpPr txBox="1"/>
          </xdr:nvSpPr>
          <xdr:spPr>
            <a:xfrm>
              <a:off x="1043354" y="4137513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𝐶𝑉</m:t>
                    </m:r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𝑈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𝐶𝑎𝑟𝑔𝑜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𝑉𝑎𝑟𝑖𝑎𝑏𝑙𝑒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𝑝𝑜𝑟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𝑈𝑠𝑜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𝑝𝑎𝑟𝑎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",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deacuerdo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           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proposicion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, (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Dolares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/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GJ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)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F00-000003000000}"/>
                </a:ext>
              </a:extLst>
            </xdr:cNvPr>
            <xdr:cNvSpPr txBox="1"/>
          </xdr:nvSpPr>
          <xdr:spPr>
            <a:xfrm>
              <a:off x="1043354" y="4137513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𝐶𝑉𝑈_𝑚=𝐶𝑎𝑟𝑔𝑜 𝑉𝑎𝑟𝑖𝑎𝑏𝑙𝑒 𝑝𝑜𝑟 𝑈𝑠𝑜 𝑝𝑎𝑟𝑎 𝑒𝑙 𝑀𝑒𝑠 "\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"m\", deacuerdo con la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               proposicion, (Dolares/GJ)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21</xdr:row>
      <xdr:rowOff>65942</xdr:rowOff>
    </xdr:from>
    <xdr:ext cx="3371949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xmlns="" id="{00000000-0008-0000-1300-000004000000}"/>
                </a:ext>
              </a:extLst>
            </xdr:cNvPr>
            <xdr:cNvSpPr txBox="1"/>
          </xdr:nvSpPr>
          <xdr:spPr>
            <a:xfrm>
              <a:off x="1064601" y="4428392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Facturado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F00-000004000000}"/>
                </a:ext>
              </a:extLst>
            </xdr:cNvPr>
            <xdr:cNvSpPr txBox="1"/>
          </xdr:nvSpPr>
          <xdr:spPr>
            <a:xfrm>
              <a:off x="1064601" y="4428392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𝑜=𝑃𝑟𝑜𝑑𝑢𝑐𝑒𝑟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Facturado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24</xdr:row>
      <xdr:rowOff>43962</xdr:rowOff>
    </xdr:from>
    <xdr:ext cx="2621680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xmlns="" id="{00000000-0008-0000-1300-000005000000}"/>
                </a:ext>
              </a:extLst>
            </xdr:cNvPr>
            <xdr:cNvSpPr txBox="1"/>
          </xdr:nvSpPr>
          <xdr:spPr>
            <a:xfrm>
              <a:off x="1064602" y="5063637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𝑉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𝐶𝑎𝑛𝑡𝑖𝑑𝑎𝑑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𝐶𝑜𝑛𝑓𝑖𝑟𝑚𝑎𝑑𝑎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𝑑𝑒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𝑔𝑎𝑠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𝑒𝑛𝑡𝑟𝑒𝑔𝑎𝑑𝑜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𝑙𝑎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𝐶𝐹𝐸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F00-000005000000}"/>
                </a:ext>
              </a:extLst>
            </xdr:cNvPr>
            <xdr:cNvSpPr txBox="1"/>
          </xdr:nvSpPr>
          <xdr:spPr>
            <a:xfrm>
              <a:off x="1064602" y="5063637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𝑉_𝑚𝑚=𝐶𝑎𝑛𝑡𝑖𝑑𝑎𝑑 𝐶𝑜𝑛𝑓𝑖𝑟𝑚𝑎𝑑𝑎 𝑑𝑒 𝑔𝑎𝑠 𝑒𝑛𝑡𝑟𝑒𝑔𝑎𝑑𝑜 𝑎 𝑙𝑎 𝐶𝐹𝐸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21980</xdr:colOff>
      <xdr:row>23</xdr:row>
      <xdr:rowOff>36634</xdr:rowOff>
    </xdr:from>
    <xdr:ext cx="3487616" cy="1342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xmlns="" id="{00000000-0008-0000-1300-000006000000}"/>
                </a:ext>
              </a:extLst>
            </xdr:cNvPr>
            <xdr:cNvSpPr txBox="1"/>
          </xdr:nvSpPr>
          <xdr:spPr>
            <a:xfrm>
              <a:off x="1096400" y="4730554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/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𝐶𝑜𝑐𝑖𝑒𝑛𝑡𝑒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𝐼𝑛𝑒𝑥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𝑅𝑢𝑏𝑟𝑜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𝐴𝑙𝑙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𝐶𝑜𝑚𝑜𝑑𝑖𝑡𝑖𝑒𝑠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F00-000006000000}"/>
                </a:ext>
              </a:extLst>
            </xdr:cNvPr>
            <xdr:cNvSpPr txBox="1"/>
          </xdr:nvSpPr>
          <xdr:spPr>
            <a:xfrm>
              <a:off x="1096400" y="4730554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𝑈𝑆𝑃𝑃𝐼〗_(</a:t>
              </a:r>
              <a:r>
                <a:rPr lang="es-MX" sz="800" b="0" i="0">
                  <a:latin typeface="Cambria Math" panose="02040503050406030204" pitchFamily="18" charset="0"/>
                </a:rPr>
                <a:t>𝑚/𝑜)=𝐶𝑜𝑐𝑖𝑒𝑛𝑡𝑒 𝑃𝑟𝑜𝑑𝑢𝑐𝑒𝑟 𝑃𝑟𝑖𝑐𝑒 𝐼𝑛𝑒𝑥 𝑅𝑢𝑏𝑟𝑜 𝐴𝑙𝑙 𝐶𝑜𝑚𝑜𝑑𝑖𝑡𝑖𝑒𝑠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21981</xdr:colOff>
      <xdr:row>13</xdr:row>
      <xdr:rowOff>43961</xdr:rowOff>
    </xdr:from>
    <xdr:ext cx="3487616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xmlns="" id="{00000000-0008-0000-1300-000007000000}"/>
                </a:ext>
              </a:extLst>
            </xdr:cNvPr>
            <xdr:cNvSpPr txBox="1"/>
          </xdr:nvSpPr>
          <xdr:spPr>
            <a:xfrm>
              <a:off x="1096401" y="2604281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𝐶𝑅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𝑅𝑒𝑠𝑒𝑟𝑣𝑎𝑑𝑎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F00-000007000000}"/>
                </a:ext>
              </a:extLst>
            </xdr:cNvPr>
            <xdr:cNvSpPr txBox="1"/>
          </xdr:nvSpPr>
          <xdr:spPr>
            <a:xfrm>
              <a:off x="1096401" y="2604281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𝐶𝑅=𝐶𝑎𝑝𝑎𝑐𝑖𝑑𝑎𝑑 𝑅𝑒𝑠𝑒𝑟𝑣𝑎𝑑𝑎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11</xdr:row>
      <xdr:rowOff>51288</xdr:rowOff>
    </xdr:from>
    <xdr:ext cx="3281026" cy="12260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xmlns="" id="{00000000-0008-0000-1300-000008000000}"/>
                </a:ext>
              </a:extLst>
            </xdr:cNvPr>
            <xdr:cNvSpPr txBox="1"/>
          </xdr:nvSpPr>
          <xdr:spPr>
            <a:xfrm>
              <a:off x="1043354" y="2165838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MX" sz="8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𝐶𝐹𝐶</m:t>
                      </m:r>
                    </m:e>
                    <m:sub>
                      <m:r>
                        <a:rPr lang="es-MX" sz="800" b="0" i="1">
                          <a:latin typeface="Cambria Math" panose="02040503050406030204" pitchFamily="18" charset="0"/>
                        </a:rPr>
                        <m:t>𝑚</m:t>
                      </m:r>
                    </m:sub>
                  </m:sSub>
                  <m:r>
                    <a:rPr lang="es-MX" sz="800" b="0" i="1">
                      <a:latin typeface="Cambria Math" panose="02040503050406030204" pitchFamily="18" charset="0"/>
                    </a:rPr>
                    <m:t>=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𝐶𝑎𝑟𝑔𝑜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 </m:t>
                  </m:r>
                </m:oMath>
              </a14:m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F00-000008000000}"/>
                </a:ext>
              </a:extLst>
            </xdr:cNvPr>
            <xdr:cNvSpPr txBox="1"/>
          </xdr:nvSpPr>
          <xdr:spPr>
            <a:xfrm>
              <a:off x="1043354" y="2165838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𝐶𝐹𝐶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es-MX" sz="800" b="0" i="0">
                  <a:latin typeface="Cambria Math" panose="02040503050406030204" pitchFamily="18" charset="0"/>
                </a:rPr>
                <a:t>𝑚=𝐶𝑎𝑟𝑔𝑜 </a:t>
              </a:r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12</xdr:row>
      <xdr:rowOff>24848</xdr:rowOff>
    </xdr:from>
    <xdr:ext cx="1922522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xmlns="" id="{00000000-0008-0000-1300-000009000000}"/>
                </a:ext>
              </a:extLst>
            </xdr:cNvPr>
            <xdr:cNvSpPr txBox="1"/>
          </xdr:nvSpPr>
          <xdr:spPr>
            <a:xfrm>
              <a:off x="1081746" y="2402288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𝐶𝑅𝑉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𝐶𝑎𝑝𝑎𝑐𝑖𝑑𝑎𝑑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𝑅𝑒𝑠𝑒𝑟𝑣𝑎𝑑𝑎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𝑉𝑒𝑟𝑖𝑓𝑖𝑐𝑎𝑑𝑎</m:t>
                    </m:r>
                  </m:oMath>
                </m:oMathPara>
              </a14:m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F00-000009000000}"/>
                </a:ext>
              </a:extLst>
            </xdr:cNvPr>
            <xdr:cNvSpPr txBox="1"/>
          </xdr:nvSpPr>
          <xdr:spPr>
            <a:xfrm>
              <a:off x="1081746" y="2402288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solidFill>
                    <a:schemeClr val="tx1"/>
                  </a:solidFill>
                  <a:latin typeface="Cambria Math" panose="02040503050406030204" pitchFamily="18" charset="0"/>
                  <a:ea typeface="+mn-ea"/>
                  <a:cs typeface="+mn-cs"/>
                </a:rPr>
                <a:t>𝐶𝑅𝑉=𝐶𝑎𝑝𝑎𝑐𝑖𝑑𝑎𝑑 𝑅𝑒𝑠𝑒𝑟𝑣𝑎𝑑𝑎 𝑉𝑒𝑟𝑖𝑓𝑖𝑐𝑎𝑑𝑎</a:t>
              </a:r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14</xdr:row>
      <xdr:rowOff>43962</xdr:rowOff>
    </xdr:from>
    <xdr:ext cx="1489831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xmlns="" id="{00000000-0008-0000-1300-00000A000000}"/>
                </a:ext>
              </a:extLst>
            </xdr:cNvPr>
            <xdr:cNvSpPr txBox="1"/>
          </xdr:nvSpPr>
          <xdr:spPr>
            <a:xfrm>
              <a:off x="1064602" y="2872887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𝐾𝐶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𝑐𝑎𝑝𝑎𝑐𝑖𝑑𝑎𝑑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𝑇𝑜𝑡𝑎𝑙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𝑀𝑒𝑛𝑠𝑢𝑎𝑙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0" name="CuadroTexto 9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0F00-00000A000000}"/>
                </a:ext>
              </a:extLst>
            </xdr:cNvPr>
            <xdr:cNvSpPr txBox="1"/>
          </xdr:nvSpPr>
          <xdr:spPr>
            <a:xfrm>
              <a:off x="1064602" y="2872887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𝐾𝐶=𝑐𝑎𝑝𝑎𝑐𝑖𝑑𝑎𝑑  𝑇𝑜𝑡𝑎𝑙 𝑀𝑒𝑛𝑠𝑢𝑎𝑙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21981</xdr:colOff>
      <xdr:row>22</xdr:row>
      <xdr:rowOff>43961</xdr:rowOff>
    </xdr:from>
    <xdr:ext cx="3487616" cy="2455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xmlns="" id="{00000000-0008-0000-1400-000002000000}"/>
                </a:ext>
              </a:extLst>
            </xdr:cNvPr>
            <xdr:cNvSpPr txBox="1"/>
          </xdr:nvSpPr>
          <xdr:spPr>
            <a:xfrm>
              <a:off x="1096401" y="446356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presentacion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de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la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Proposicion</m:t>
                  </m:r>
                </m:oMath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000-000002000000}"/>
                </a:ext>
              </a:extLst>
            </xdr:cNvPr>
            <xdr:cNvSpPr txBox="1"/>
          </xdr:nvSpPr>
          <xdr:spPr>
            <a:xfrm>
              <a:off x="1096401" y="446356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𝑚=𝑃𝑟𝑜𝑑𝑢𝑐𝑒𝑟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de la 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"presentacion de la Proposicion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20</xdr:row>
      <xdr:rowOff>51288</xdr:rowOff>
    </xdr:from>
    <xdr:ext cx="3116879" cy="24057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xmlns="" id="{00000000-0008-0000-1400-000003000000}"/>
                </a:ext>
              </a:extLst>
            </xdr:cNvPr>
            <xdr:cNvSpPr txBox="1"/>
          </xdr:nvSpPr>
          <xdr:spPr>
            <a:xfrm>
              <a:off x="1043354" y="4137513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𝐶𝑉</m:t>
                    </m:r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𝑈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𝐶𝑎𝑟𝑔𝑜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𝑉𝑎𝑟𝑖𝑎𝑏𝑙𝑒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𝑝𝑜𝑟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𝑈𝑠𝑜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𝑝𝑎𝑟𝑎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",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deacuerdo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           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proposicion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, (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Dolares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/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GJ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)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000-000003000000}"/>
                </a:ext>
              </a:extLst>
            </xdr:cNvPr>
            <xdr:cNvSpPr txBox="1"/>
          </xdr:nvSpPr>
          <xdr:spPr>
            <a:xfrm>
              <a:off x="1043354" y="4137513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𝐶𝑉𝑈_𝑚=𝐶𝑎𝑟𝑔𝑜 𝑉𝑎𝑟𝑖𝑎𝑏𝑙𝑒 𝑝𝑜𝑟 𝑈𝑠𝑜 𝑝𝑎𝑟𝑎 𝑒𝑙 𝑀𝑒𝑠 "\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"m\", deacuerdo con la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               proposicion, (Dolares/GJ)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21</xdr:row>
      <xdr:rowOff>65942</xdr:rowOff>
    </xdr:from>
    <xdr:ext cx="3371949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xmlns="" id="{00000000-0008-0000-1400-000004000000}"/>
                </a:ext>
              </a:extLst>
            </xdr:cNvPr>
            <xdr:cNvSpPr txBox="1"/>
          </xdr:nvSpPr>
          <xdr:spPr>
            <a:xfrm>
              <a:off x="1064601" y="4428392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Facturado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000-000004000000}"/>
                </a:ext>
              </a:extLst>
            </xdr:cNvPr>
            <xdr:cNvSpPr txBox="1"/>
          </xdr:nvSpPr>
          <xdr:spPr>
            <a:xfrm>
              <a:off x="1064601" y="4428392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𝑜=𝑃𝑟𝑜𝑑𝑢𝑐𝑒𝑟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Facturado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24</xdr:row>
      <xdr:rowOff>43962</xdr:rowOff>
    </xdr:from>
    <xdr:ext cx="2621680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xmlns="" id="{00000000-0008-0000-1400-000005000000}"/>
                </a:ext>
              </a:extLst>
            </xdr:cNvPr>
            <xdr:cNvSpPr txBox="1"/>
          </xdr:nvSpPr>
          <xdr:spPr>
            <a:xfrm>
              <a:off x="1064602" y="5063637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𝑉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𝐶𝑎𝑛𝑡𝑖𝑑𝑎𝑑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𝐶𝑜𝑛𝑓𝑖𝑟𝑚𝑎𝑑𝑎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𝑑𝑒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𝑔𝑎𝑠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𝑒𝑛𝑡𝑟𝑒𝑔𝑎𝑑𝑜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𝑙𝑎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𝐶𝐹𝐸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000-000005000000}"/>
                </a:ext>
              </a:extLst>
            </xdr:cNvPr>
            <xdr:cNvSpPr txBox="1"/>
          </xdr:nvSpPr>
          <xdr:spPr>
            <a:xfrm>
              <a:off x="1064602" y="5063637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𝑉_𝑚𝑚=𝐶𝑎𝑛𝑡𝑖𝑑𝑎𝑑 𝐶𝑜𝑛𝑓𝑖𝑟𝑚𝑎𝑑𝑎 𝑑𝑒 𝑔𝑎𝑠 𝑒𝑛𝑡𝑟𝑒𝑔𝑎𝑑𝑜 𝑎 𝑙𝑎 𝐶𝐹𝐸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21980</xdr:colOff>
      <xdr:row>23</xdr:row>
      <xdr:rowOff>36634</xdr:rowOff>
    </xdr:from>
    <xdr:ext cx="3487616" cy="1342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xmlns="" id="{00000000-0008-0000-1400-000006000000}"/>
                </a:ext>
              </a:extLst>
            </xdr:cNvPr>
            <xdr:cNvSpPr txBox="1"/>
          </xdr:nvSpPr>
          <xdr:spPr>
            <a:xfrm>
              <a:off x="1096400" y="4730554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/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𝐶𝑜𝑐𝑖𝑒𝑛𝑡𝑒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𝐼𝑛𝑒𝑥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𝑅𝑢𝑏𝑟𝑜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𝐴𝑙𝑙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𝐶𝑜𝑚𝑜𝑑𝑖𝑡𝑖𝑒𝑠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000-000006000000}"/>
                </a:ext>
              </a:extLst>
            </xdr:cNvPr>
            <xdr:cNvSpPr txBox="1"/>
          </xdr:nvSpPr>
          <xdr:spPr>
            <a:xfrm>
              <a:off x="1096400" y="4730554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𝑈𝑆𝑃𝑃𝐼〗_(</a:t>
              </a:r>
              <a:r>
                <a:rPr lang="es-MX" sz="800" b="0" i="0">
                  <a:latin typeface="Cambria Math" panose="02040503050406030204" pitchFamily="18" charset="0"/>
                </a:rPr>
                <a:t>𝑚/𝑜)=𝐶𝑜𝑐𝑖𝑒𝑛𝑡𝑒 𝑃𝑟𝑜𝑑𝑢𝑐𝑒𝑟 𝑃𝑟𝑖𝑐𝑒 𝐼𝑛𝑒𝑥 𝑅𝑢𝑏𝑟𝑜 𝐴𝑙𝑙 𝐶𝑜𝑚𝑜𝑑𝑖𝑡𝑖𝑒𝑠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21981</xdr:colOff>
      <xdr:row>13</xdr:row>
      <xdr:rowOff>43961</xdr:rowOff>
    </xdr:from>
    <xdr:ext cx="3487616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xmlns="" id="{00000000-0008-0000-1400-000007000000}"/>
                </a:ext>
              </a:extLst>
            </xdr:cNvPr>
            <xdr:cNvSpPr txBox="1"/>
          </xdr:nvSpPr>
          <xdr:spPr>
            <a:xfrm>
              <a:off x="1096401" y="2604281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𝐶𝑅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𝑅𝑒𝑠𝑒𝑟𝑣𝑎𝑑𝑎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000-000007000000}"/>
                </a:ext>
              </a:extLst>
            </xdr:cNvPr>
            <xdr:cNvSpPr txBox="1"/>
          </xdr:nvSpPr>
          <xdr:spPr>
            <a:xfrm>
              <a:off x="1096401" y="2604281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𝐶𝑅=𝐶𝑎𝑝𝑎𝑐𝑖𝑑𝑎𝑑 𝑅𝑒𝑠𝑒𝑟𝑣𝑎𝑑𝑎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11</xdr:row>
      <xdr:rowOff>51288</xdr:rowOff>
    </xdr:from>
    <xdr:ext cx="3281026" cy="12260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xmlns="" id="{00000000-0008-0000-1400-000008000000}"/>
                </a:ext>
              </a:extLst>
            </xdr:cNvPr>
            <xdr:cNvSpPr txBox="1"/>
          </xdr:nvSpPr>
          <xdr:spPr>
            <a:xfrm>
              <a:off x="1043354" y="2165838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MX" sz="8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𝐶𝐹𝐶</m:t>
                      </m:r>
                    </m:e>
                    <m:sub>
                      <m:r>
                        <a:rPr lang="es-MX" sz="800" b="0" i="1">
                          <a:latin typeface="Cambria Math" panose="02040503050406030204" pitchFamily="18" charset="0"/>
                        </a:rPr>
                        <m:t>𝑚</m:t>
                      </m:r>
                    </m:sub>
                  </m:sSub>
                  <m:r>
                    <a:rPr lang="es-MX" sz="800" b="0" i="1">
                      <a:latin typeface="Cambria Math" panose="02040503050406030204" pitchFamily="18" charset="0"/>
                    </a:rPr>
                    <m:t>=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𝐶𝑎𝑟𝑔𝑜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 </m:t>
                  </m:r>
                </m:oMath>
              </a14:m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000-000008000000}"/>
                </a:ext>
              </a:extLst>
            </xdr:cNvPr>
            <xdr:cNvSpPr txBox="1"/>
          </xdr:nvSpPr>
          <xdr:spPr>
            <a:xfrm>
              <a:off x="1043354" y="2165838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𝐶𝐹𝐶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es-MX" sz="800" b="0" i="0">
                  <a:latin typeface="Cambria Math" panose="02040503050406030204" pitchFamily="18" charset="0"/>
                </a:rPr>
                <a:t>𝑚=𝐶𝑎𝑟𝑔𝑜 </a:t>
              </a:r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12</xdr:row>
      <xdr:rowOff>24848</xdr:rowOff>
    </xdr:from>
    <xdr:ext cx="1922522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xmlns="" id="{00000000-0008-0000-1400-000009000000}"/>
                </a:ext>
              </a:extLst>
            </xdr:cNvPr>
            <xdr:cNvSpPr txBox="1"/>
          </xdr:nvSpPr>
          <xdr:spPr>
            <a:xfrm>
              <a:off x="1081746" y="2402288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𝐶𝑅𝑉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𝐶𝑎𝑝𝑎𝑐𝑖𝑑𝑎𝑑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𝑅𝑒𝑠𝑒𝑟𝑣𝑎𝑑𝑎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𝑉𝑒𝑟𝑖𝑓𝑖𝑐𝑎𝑑𝑎</m:t>
                    </m:r>
                  </m:oMath>
                </m:oMathPara>
              </a14:m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000-000009000000}"/>
                </a:ext>
              </a:extLst>
            </xdr:cNvPr>
            <xdr:cNvSpPr txBox="1"/>
          </xdr:nvSpPr>
          <xdr:spPr>
            <a:xfrm>
              <a:off x="1081746" y="2402288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solidFill>
                    <a:schemeClr val="tx1"/>
                  </a:solidFill>
                  <a:latin typeface="Cambria Math" panose="02040503050406030204" pitchFamily="18" charset="0"/>
                  <a:ea typeface="+mn-ea"/>
                  <a:cs typeface="+mn-cs"/>
                </a:rPr>
                <a:t>𝐶𝑅𝑉=𝐶𝑎𝑝𝑎𝑐𝑖𝑑𝑎𝑑 𝑅𝑒𝑠𝑒𝑟𝑣𝑎𝑑𝑎 𝑉𝑒𝑟𝑖𝑓𝑖𝑐𝑎𝑑𝑎</a:t>
              </a:r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14</xdr:row>
      <xdr:rowOff>43962</xdr:rowOff>
    </xdr:from>
    <xdr:ext cx="1489831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xmlns="" id="{00000000-0008-0000-1400-00000A000000}"/>
                </a:ext>
              </a:extLst>
            </xdr:cNvPr>
            <xdr:cNvSpPr txBox="1"/>
          </xdr:nvSpPr>
          <xdr:spPr>
            <a:xfrm>
              <a:off x="1064602" y="2872887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𝐾𝐶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𝑐𝑎𝑝𝑎𝑐𝑖𝑑𝑎𝑑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𝑇𝑜𝑡𝑎𝑙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𝑀𝑒𝑛𝑠𝑢𝑎𝑙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0" name="CuadroTexto 9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000-00000A000000}"/>
                </a:ext>
              </a:extLst>
            </xdr:cNvPr>
            <xdr:cNvSpPr txBox="1"/>
          </xdr:nvSpPr>
          <xdr:spPr>
            <a:xfrm>
              <a:off x="1064602" y="2872887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𝐾𝐶=𝑐𝑎𝑝𝑎𝑐𝑖𝑑𝑎𝑑  𝑇𝑜𝑡𝑎𝑙 𝑀𝑒𝑛𝑠𝑢𝑎𝑙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21981</xdr:colOff>
      <xdr:row>22</xdr:row>
      <xdr:rowOff>43961</xdr:rowOff>
    </xdr:from>
    <xdr:ext cx="3487616" cy="2455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xmlns="" id="{00000000-0008-0000-1500-000002000000}"/>
                </a:ext>
              </a:extLst>
            </xdr:cNvPr>
            <xdr:cNvSpPr txBox="1"/>
          </xdr:nvSpPr>
          <xdr:spPr>
            <a:xfrm>
              <a:off x="1096401" y="446356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presentacion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de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la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Proposicion</m:t>
                  </m:r>
                </m:oMath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100-000002000000}"/>
                </a:ext>
              </a:extLst>
            </xdr:cNvPr>
            <xdr:cNvSpPr txBox="1"/>
          </xdr:nvSpPr>
          <xdr:spPr>
            <a:xfrm>
              <a:off x="1096401" y="446356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𝑚=𝑃𝑟𝑜𝑑𝑢𝑐𝑒𝑟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de la 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"presentacion de la Proposicion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20</xdr:row>
      <xdr:rowOff>51288</xdr:rowOff>
    </xdr:from>
    <xdr:ext cx="3116879" cy="24057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xmlns="" id="{00000000-0008-0000-1500-000003000000}"/>
                </a:ext>
              </a:extLst>
            </xdr:cNvPr>
            <xdr:cNvSpPr txBox="1"/>
          </xdr:nvSpPr>
          <xdr:spPr>
            <a:xfrm>
              <a:off x="1043354" y="4137513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𝐶𝑉</m:t>
                    </m:r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𝑈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𝐶𝑎𝑟𝑔𝑜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𝑉𝑎𝑟𝑖𝑎𝑏𝑙𝑒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𝑝𝑜𝑟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𝑈𝑠𝑜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𝑝𝑎𝑟𝑎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",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deacuerdo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           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proposicion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, (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Dolares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/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GJ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)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100-000003000000}"/>
                </a:ext>
              </a:extLst>
            </xdr:cNvPr>
            <xdr:cNvSpPr txBox="1"/>
          </xdr:nvSpPr>
          <xdr:spPr>
            <a:xfrm>
              <a:off x="1043354" y="4137513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𝐶𝑉𝑈_𝑚=𝐶𝑎𝑟𝑔𝑜 𝑉𝑎𝑟𝑖𝑎𝑏𝑙𝑒 𝑝𝑜𝑟 𝑈𝑠𝑜 𝑝𝑎𝑟𝑎 𝑒𝑙 𝑀𝑒𝑠 "\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"m\", deacuerdo con la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               proposicion, (Dolares/GJ)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21</xdr:row>
      <xdr:rowOff>65942</xdr:rowOff>
    </xdr:from>
    <xdr:ext cx="3371949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xmlns="" id="{00000000-0008-0000-1500-000004000000}"/>
                </a:ext>
              </a:extLst>
            </xdr:cNvPr>
            <xdr:cNvSpPr txBox="1"/>
          </xdr:nvSpPr>
          <xdr:spPr>
            <a:xfrm>
              <a:off x="1064601" y="4428392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Facturado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100-000004000000}"/>
                </a:ext>
              </a:extLst>
            </xdr:cNvPr>
            <xdr:cNvSpPr txBox="1"/>
          </xdr:nvSpPr>
          <xdr:spPr>
            <a:xfrm>
              <a:off x="1064601" y="4428392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𝑜=𝑃𝑟𝑜𝑑𝑢𝑐𝑒𝑟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Facturado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24</xdr:row>
      <xdr:rowOff>43962</xdr:rowOff>
    </xdr:from>
    <xdr:ext cx="2621680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xmlns="" id="{00000000-0008-0000-1500-000005000000}"/>
                </a:ext>
              </a:extLst>
            </xdr:cNvPr>
            <xdr:cNvSpPr txBox="1"/>
          </xdr:nvSpPr>
          <xdr:spPr>
            <a:xfrm>
              <a:off x="1064602" y="5063637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𝑉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𝐶𝑎𝑛𝑡𝑖𝑑𝑎𝑑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𝐶𝑜𝑛𝑓𝑖𝑟𝑚𝑎𝑑𝑎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𝑑𝑒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𝑔𝑎𝑠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𝑒𝑛𝑡𝑟𝑒𝑔𝑎𝑑𝑜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𝑙𝑎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𝐶𝐹𝐸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100-000005000000}"/>
                </a:ext>
              </a:extLst>
            </xdr:cNvPr>
            <xdr:cNvSpPr txBox="1"/>
          </xdr:nvSpPr>
          <xdr:spPr>
            <a:xfrm>
              <a:off x="1064602" y="5063637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𝑉_𝑚𝑚=𝐶𝑎𝑛𝑡𝑖𝑑𝑎𝑑 𝐶𝑜𝑛𝑓𝑖𝑟𝑚𝑎𝑑𝑎 𝑑𝑒 𝑔𝑎𝑠 𝑒𝑛𝑡𝑟𝑒𝑔𝑎𝑑𝑜 𝑎 𝑙𝑎 𝐶𝐹𝐸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21980</xdr:colOff>
      <xdr:row>23</xdr:row>
      <xdr:rowOff>36634</xdr:rowOff>
    </xdr:from>
    <xdr:ext cx="3487616" cy="1342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xmlns="" id="{00000000-0008-0000-1500-000006000000}"/>
                </a:ext>
              </a:extLst>
            </xdr:cNvPr>
            <xdr:cNvSpPr txBox="1"/>
          </xdr:nvSpPr>
          <xdr:spPr>
            <a:xfrm>
              <a:off x="1096400" y="4730554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/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𝐶𝑜𝑐𝑖𝑒𝑛𝑡𝑒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𝐼𝑛𝑒𝑥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𝑅𝑢𝑏𝑟𝑜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𝐴𝑙𝑙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𝐶𝑜𝑚𝑜𝑑𝑖𝑡𝑖𝑒𝑠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100-000006000000}"/>
                </a:ext>
              </a:extLst>
            </xdr:cNvPr>
            <xdr:cNvSpPr txBox="1"/>
          </xdr:nvSpPr>
          <xdr:spPr>
            <a:xfrm>
              <a:off x="1096400" y="4730554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𝑈𝑆𝑃𝑃𝐼〗_(</a:t>
              </a:r>
              <a:r>
                <a:rPr lang="es-MX" sz="800" b="0" i="0">
                  <a:latin typeface="Cambria Math" panose="02040503050406030204" pitchFamily="18" charset="0"/>
                </a:rPr>
                <a:t>𝑚/𝑜)=𝐶𝑜𝑐𝑖𝑒𝑛𝑡𝑒 𝑃𝑟𝑜𝑑𝑢𝑐𝑒𝑟 𝑃𝑟𝑖𝑐𝑒 𝐼𝑛𝑒𝑥 𝑅𝑢𝑏𝑟𝑜 𝐴𝑙𝑙 𝐶𝑜𝑚𝑜𝑑𝑖𝑡𝑖𝑒𝑠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21981</xdr:colOff>
      <xdr:row>13</xdr:row>
      <xdr:rowOff>43961</xdr:rowOff>
    </xdr:from>
    <xdr:ext cx="3487616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xmlns="" id="{00000000-0008-0000-1500-000007000000}"/>
                </a:ext>
              </a:extLst>
            </xdr:cNvPr>
            <xdr:cNvSpPr txBox="1"/>
          </xdr:nvSpPr>
          <xdr:spPr>
            <a:xfrm>
              <a:off x="1096401" y="2604281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𝐶𝑅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𝑅𝑒𝑠𝑒𝑟𝑣𝑎𝑑𝑎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100-000007000000}"/>
                </a:ext>
              </a:extLst>
            </xdr:cNvPr>
            <xdr:cNvSpPr txBox="1"/>
          </xdr:nvSpPr>
          <xdr:spPr>
            <a:xfrm>
              <a:off x="1096401" y="2604281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𝐶𝑅=𝐶𝑎𝑝𝑎𝑐𝑖𝑑𝑎𝑑 𝑅𝑒𝑠𝑒𝑟𝑣𝑎𝑑𝑎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11</xdr:row>
      <xdr:rowOff>51288</xdr:rowOff>
    </xdr:from>
    <xdr:ext cx="3281026" cy="12260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xmlns="" id="{00000000-0008-0000-1500-000008000000}"/>
                </a:ext>
              </a:extLst>
            </xdr:cNvPr>
            <xdr:cNvSpPr txBox="1"/>
          </xdr:nvSpPr>
          <xdr:spPr>
            <a:xfrm>
              <a:off x="1043354" y="2165838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MX" sz="8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𝐶𝐹𝐶</m:t>
                      </m:r>
                    </m:e>
                    <m:sub>
                      <m:r>
                        <a:rPr lang="es-MX" sz="800" b="0" i="1">
                          <a:latin typeface="Cambria Math" panose="02040503050406030204" pitchFamily="18" charset="0"/>
                        </a:rPr>
                        <m:t>𝑚</m:t>
                      </m:r>
                    </m:sub>
                  </m:sSub>
                  <m:r>
                    <a:rPr lang="es-MX" sz="800" b="0" i="1">
                      <a:latin typeface="Cambria Math" panose="02040503050406030204" pitchFamily="18" charset="0"/>
                    </a:rPr>
                    <m:t>=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𝐶𝑎𝑟𝑔𝑜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 </m:t>
                  </m:r>
                </m:oMath>
              </a14:m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100-000008000000}"/>
                </a:ext>
              </a:extLst>
            </xdr:cNvPr>
            <xdr:cNvSpPr txBox="1"/>
          </xdr:nvSpPr>
          <xdr:spPr>
            <a:xfrm>
              <a:off x="1043354" y="2165838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𝐶𝐹𝐶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es-MX" sz="800" b="0" i="0">
                  <a:latin typeface="Cambria Math" panose="02040503050406030204" pitchFamily="18" charset="0"/>
                </a:rPr>
                <a:t>𝑚=𝐶𝑎𝑟𝑔𝑜 </a:t>
              </a:r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12</xdr:row>
      <xdr:rowOff>24848</xdr:rowOff>
    </xdr:from>
    <xdr:ext cx="1922522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xmlns="" id="{00000000-0008-0000-1500-000009000000}"/>
                </a:ext>
              </a:extLst>
            </xdr:cNvPr>
            <xdr:cNvSpPr txBox="1"/>
          </xdr:nvSpPr>
          <xdr:spPr>
            <a:xfrm>
              <a:off x="1081746" y="2402288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𝐶𝑅𝑉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𝐶𝑎𝑝𝑎𝑐𝑖𝑑𝑎𝑑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𝑅𝑒𝑠𝑒𝑟𝑣𝑎𝑑𝑎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𝑉𝑒𝑟𝑖𝑓𝑖𝑐𝑎𝑑𝑎</m:t>
                    </m:r>
                  </m:oMath>
                </m:oMathPara>
              </a14:m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100-000009000000}"/>
                </a:ext>
              </a:extLst>
            </xdr:cNvPr>
            <xdr:cNvSpPr txBox="1"/>
          </xdr:nvSpPr>
          <xdr:spPr>
            <a:xfrm>
              <a:off x="1081746" y="2402288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solidFill>
                    <a:schemeClr val="tx1"/>
                  </a:solidFill>
                  <a:latin typeface="Cambria Math" panose="02040503050406030204" pitchFamily="18" charset="0"/>
                  <a:ea typeface="+mn-ea"/>
                  <a:cs typeface="+mn-cs"/>
                </a:rPr>
                <a:t>𝐶𝑅𝑉=𝐶𝑎𝑝𝑎𝑐𝑖𝑑𝑎𝑑 𝑅𝑒𝑠𝑒𝑟𝑣𝑎𝑑𝑎 𝑉𝑒𝑟𝑖𝑓𝑖𝑐𝑎𝑑𝑎</a:t>
              </a:r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14</xdr:row>
      <xdr:rowOff>43962</xdr:rowOff>
    </xdr:from>
    <xdr:ext cx="1489831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xmlns="" id="{00000000-0008-0000-1500-00000A000000}"/>
                </a:ext>
              </a:extLst>
            </xdr:cNvPr>
            <xdr:cNvSpPr txBox="1"/>
          </xdr:nvSpPr>
          <xdr:spPr>
            <a:xfrm>
              <a:off x="1064602" y="2872887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𝐾𝐶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𝑐𝑎𝑝𝑎𝑐𝑖𝑑𝑎𝑑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𝑇𝑜𝑡𝑎𝑙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𝑀𝑒𝑛𝑠𝑢𝑎𝑙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0" name="CuadroTexto 9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100-00000A000000}"/>
                </a:ext>
              </a:extLst>
            </xdr:cNvPr>
            <xdr:cNvSpPr txBox="1"/>
          </xdr:nvSpPr>
          <xdr:spPr>
            <a:xfrm>
              <a:off x="1064602" y="2872887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𝐾𝐶=𝑐𝑎𝑝𝑎𝑐𝑖𝑑𝑎𝑑  𝑇𝑜𝑡𝑎𝑙 𝑀𝑒𝑛𝑠𝑢𝑎𝑙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21981</xdr:colOff>
      <xdr:row>22</xdr:row>
      <xdr:rowOff>43961</xdr:rowOff>
    </xdr:from>
    <xdr:ext cx="3487616" cy="2455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xmlns="" id="{00000000-0008-0000-1600-000002000000}"/>
                </a:ext>
              </a:extLst>
            </xdr:cNvPr>
            <xdr:cNvSpPr txBox="1"/>
          </xdr:nvSpPr>
          <xdr:spPr>
            <a:xfrm>
              <a:off x="1096401" y="446356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presentacion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de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la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Proposicion</m:t>
                  </m:r>
                </m:oMath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200-000002000000}"/>
                </a:ext>
              </a:extLst>
            </xdr:cNvPr>
            <xdr:cNvSpPr txBox="1"/>
          </xdr:nvSpPr>
          <xdr:spPr>
            <a:xfrm>
              <a:off x="1096401" y="446356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𝑚=𝑃𝑟𝑜𝑑𝑢𝑐𝑒𝑟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de la 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"presentacion de la Proposicion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20</xdr:row>
      <xdr:rowOff>51288</xdr:rowOff>
    </xdr:from>
    <xdr:ext cx="3116879" cy="24057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xmlns="" id="{00000000-0008-0000-1600-000003000000}"/>
                </a:ext>
              </a:extLst>
            </xdr:cNvPr>
            <xdr:cNvSpPr txBox="1"/>
          </xdr:nvSpPr>
          <xdr:spPr>
            <a:xfrm>
              <a:off x="1043354" y="4137513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𝐶𝑉</m:t>
                    </m:r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𝑈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𝐶𝑎𝑟𝑔𝑜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𝑉𝑎𝑟𝑖𝑎𝑏𝑙𝑒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𝑝𝑜𝑟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𝑈𝑠𝑜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𝑝𝑎𝑟𝑎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",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deacuerdo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           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proposicion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, (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Dolares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/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GJ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)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200-000003000000}"/>
                </a:ext>
              </a:extLst>
            </xdr:cNvPr>
            <xdr:cNvSpPr txBox="1"/>
          </xdr:nvSpPr>
          <xdr:spPr>
            <a:xfrm>
              <a:off x="1043354" y="4137513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𝐶𝑉𝑈_𝑚=𝐶𝑎𝑟𝑔𝑜 𝑉𝑎𝑟𝑖𝑎𝑏𝑙𝑒 𝑝𝑜𝑟 𝑈𝑠𝑜 𝑝𝑎𝑟𝑎 𝑒𝑙 𝑀𝑒𝑠 "\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"m\", deacuerdo con la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               proposicion, (Dolares/GJ)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21</xdr:row>
      <xdr:rowOff>65942</xdr:rowOff>
    </xdr:from>
    <xdr:ext cx="3371949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xmlns="" id="{00000000-0008-0000-1600-000004000000}"/>
                </a:ext>
              </a:extLst>
            </xdr:cNvPr>
            <xdr:cNvSpPr txBox="1"/>
          </xdr:nvSpPr>
          <xdr:spPr>
            <a:xfrm>
              <a:off x="1064601" y="4428392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Facturado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200-000004000000}"/>
                </a:ext>
              </a:extLst>
            </xdr:cNvPr>
            <xdr:cNvSpPr txBox="1"/>
          </xdr:nvSpPr>
          <xdr:spPr>
            <a:xfrm>
              <a:off x="1064601" y="4428392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𝑜=𝑃𝑟𝑜𝑑𝑢𝑐𝑒𝑟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Facturado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24</xdr:row>
      <xdr:rowOff>43962</xdr:rowOff>
    </xdr:from>
    <xdr:ext cx="2621680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xmlns="" id="{00000000-0008-0000-1600-000005000000}"/>
                </a:ext>
              </a:extLst>
            </xdr:cNvPr>
            <xdr:cNvSpPr txBox="1"/>
          </xdr:nvSpPr>
          <xdr:spPr>
            <a:xfrm>
              <a:off x="1064602" y="5063637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𝑉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𝐶𝑎𝑛𝑡𝑖𝑑𝑎𝑑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𝐶𝑜𝑛𝑓𝑖𝑟𝑚𝑎𝑑𝑎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𝑑𝑒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𝑔𝑎𝑠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𝑒𝑛𝑡𝑟𝑒𝑔𝑎𝑑𝑜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𝑙𝑎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𝐶𝐹𝐸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200-000005000000}"/>
                </a:ext>
              </a:extLst>
            </xdr:cNvPr>
            <xdr:cNvSpPr txBox="1"/>
          </xdr:nvSpPr>
          <xdr:spPr>
            <a:xfrm>
              <a:off x="1064602" y="5063637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𝑉_𝑚𝑚=𝐶𝑎𝑛𝑡𝑖𝑑𝑎𝑑 𝐶𝑜𝑛𝑓𝑖𝑟𝑚𝑎𝑑𝑎 𝑑𝑒 𝑔𝑎𝑠 𝑒𝑛𝑡𝑟𝑒𝑔𝑎𝑑𝑜 𝑎 𝑙𝑎 𝐶𝐹𝐸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21980</xdr:colOff>
      <xdr:row>23</xdr:row>
      <xdr:rowOff>36634</xdr:rowOff>
    </xdr:from>
    <xdr:ext cx="3487616" cy="1342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xmlns="" id="{00000000-0008-0000-1600-000006000000}"/>
                </a:ext>
              </a:extLst>
            </xdr:cNvPr>
            <xdr:cNvSpPr txBox="1"/>
          </xdr:nvSpPr>
          <xdr:spPr>
            <a:xfrm>
              <a:off x="1096400" y="4730554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/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𝐶𝑜𝑐𝑖𝑒𝑛𝑡𝑒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𝐼𝑛𝑒𝑥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𝑅𝑢𝑏𝑟𝑜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𝐴𝑙𝑙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𝐶𝑜𝑚𝑜𝑑𝑖𝑡𝑖𝑒𝑠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200-000006000000}"/>
                </a:ext>
              </a:extLst>
            </xdr:cNvPr>
            <xdr:cNvSpPr txBox="1"/>
          </xdr:nvSpPr>
          <xdr:spPr>
            <a:xfrm>
              <a:off x="1096400" y="4730554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𝑈𝑆𝑃𝑃𝐼〗_(</a:t>
              </a:r>
              <a:r>
                <a:rPr lang="es-MX" sz="800" b="0" i="0">
                  <a:latin typeface="Cambria Math" panose="02040503050406030204" pitchFamily="18" charset="0"/>
                </a:rPr>
                <a:t>𝑚/𝑜)=𝐶𝑜𝑐𝑖𝑒𝑛𝑡𝑒 𝑃𝑟𝑜𝑑𝑢𝑐𝑒𝑟 𝑃𝑟𝑖𝑐𝑒 𝐼𝑛𝑒𝑥 𝑅𝑢𝑏𝑟𝑜 𝐴𝑙𝑙 𝐶𝑜𝑚𝑜𝑑𝑖𝑡𝑖𝑒𝑠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21981</xdr:colOff>
      <xdr:row>13</xdr:row>
      <xdr:rowOff>43961</xdr:rowOff>
    </xdr:from>
    <xdr:ext cx="3487616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xmlns="" id="{00000000-0008-0000-1600-000007000000}"/>
                </a:ext>
              </a:extLst>
            </xdr:cNvPr>
            <xdr:cNvSpPr txBox="1"/>
          </xdr:nvSpPr>
          <xdr:spPr>
            <a:xfrm>
              <a:off x="1096401" y="2604281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𝐶𝑅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𝑅𝑒𝑠𝑒𝑟𝑣𝑎𝑑𝑎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200-000007000000}"/>
                </a:ext>
              </a:extLst>
            </xdr:cNvPr>
            <xdr:cNvSpPr txBox="1"/>
          </xdr:nvSpPr>
          <xdr:spPr>
            <a:xfrm>
              <a:off x="1096401" y="2604281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𝐶𝑅=𝐶𝑎𝑝𝑎𝑐𝑖𝑑𝑎𝑑 𝑅𝑒𝑠𝑒𝑟𝑣𝑎𝑑𝑎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11</xdr:row>
      <xdr:rowOff>51288</xdr:rowOff>
    </xdr:from>
    <xdr:ext cx="3281026" cy="12260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xmlns="" id="{00000000-0008-0000-1600-000008000000}"/>
                </a:ext>
              </a:extLst>
            </xdr:cNvPr>
            <xdr:cNvSpPr txBox="1"/>
          </xdr:nvSpPr>
          <xdr:spPr>
            <a:xfrm>
              <a:off x="1043354" y="2165838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MX" sz="8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𝐶𝐹𝐶</m:t>
                      </m:r>
                    </m:e>
                    <m:sub>
                      <m:r>
                        <a:rPr lang="es-MX" sz="800" b="0" i="1">
                          <a:latin typeface="Cambria Math" panose="02040503050406030204" pitchFamily="18" charset="0"/>
                        </a:rPr>
                        <m:t>𝑚</m:t>
                      </m:r>
                    </m:sub>
                  </m:sSub>
                  <m:r>
                    <a:rPr lang="es-MX" sz="800" b="0" i="1">
                      <a:latin typeface="Cambria Math" panose="02040503050406030204" pitchFamily="18" charset="0"/>
                    </a:rPr>
                    <m:t>=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𝐶𝑎𝑟𝑔𝑜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 </m:t>
                  </m:r>
                </m:oMath>
              </a14:m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200-000008000000}"/>
                </a:ext>
              </a:extLst>
            </xdr:cNvPr>
            <xdr:cNvSpPr txBox="1"/>
          </xdr:nvSpPr>
          <xdr:spPr>
            <a:xfrm>
              <a:off x="1043354" y="2165838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𝐶𝐹𝐶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es-MX" sz="800" b="0" i="0">
                  <a:latin typeface="Cambria Math" panose="02040503050406030204" pitchFamily="18" charset="0"/>
                </a:rPr>
                <a:t>𝑚=𝐶𝑎𝑟𝑔𝑜 </a:t>
              </a:r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12</xdr:row>
      <xdr:rowOff>24848</xdr:rowOff>
    </xdr:from>
    <xdr:ext cx="1922522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xmlns="" id="{00000000-0008-0000-1600-000009000000}"/>
                </a:ext>
              </a:extLst>
            </xdr:cNvPr>
            <xdr:cNvSpPr txBox="1"/>
          </xdr:nvSpPr>
          <xdr:spPr>
            <a:xfrm>
              <a:off x="1081746" y="2402288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𝐶𝑅𝑉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𝐶𝑎𝑝𝑎𝑐𝑖𝑑𝑎𝑑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𝑅𝑒𝑠𝑒𝑟𝑣𝑎𝑑𝑎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𝑉𝑒𝑟𝑖𝑓𝑖𝑐𝑎𝑑𝑎</m:t>
                    </m:r>
                  </m:oMath>
                </m:oMathPara>
              </a14:m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200-000009000000}"/>
                </a:ext>
              </a:extLst>
            </xdr:cNvPr>
            <xdr:cNvSpPr txBox="1"/>
          </xdr:nvSpPr>
          <xdr:spPr>
            <a:xfrm>
              <a:off x="1081746" y="2402288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solidFill>
                    <a:schemeClr val="tx1"/>
                  </a:solidFill>
                  <a:latin typeface="Cambria Math" panose="02040503050406030204" pitchFamily="18" charset="0"/>
                  <a:ea typeface="+mn-ea"/>
                  <a:cs typeface="+mn-cs"/>
                </a:rPr>
                <a:t>𝐶𝑅𝑉=𝐶𝑎𝑝𝑎𝑐𝑖𝑑𝑎𝑑 𝑅𝑒𝑠𝑒𝑟𝑣𝑎𝑑𝑎 𝑉𝑒𝑟𝑖𝑓𝑖𝑐𝑎𝑑𝑎</a:t>
              </a:r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14</xdr:row>
      <xdr:rowOff>43962</xdr:rowOff>
    </xdr:from>
    <xdr:ext cx="1489831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xmlns="" id="{00000000-0008-0000-1600-00000A000000}"/>
                </a:ext>
              </a:extLst>
            </xdr:cNvPr>
            <xdr:cNvSpPr txBox="1"/>
          </xdr:nvSpPr>
          <xdr:spPr>
            <a:xfrm>
              <a:off x="1064602" y="2872887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𝐾𝐶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𝑐𝑎𝑝𝑎𝑐𝑖𝑑𝑎𝑑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𝑇𝑜𝑡𝑎𝑙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𝑀𝑒𝑛𝑠𝑢𝑎𝑙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0" name="CuadroTexto 9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200-00000A000000}"/>
                </a:ext>
              </a:extLst>
            </xdr:cNvPr>
            <xdr:cNvSpPr txBox="1"/>
          </xdr:nvSpPr>
          <xdr:spPr>
            <a:xfrm>
              <a:off x="1064602" y="2872887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𝐾𝐶=𝑐𝑎𝑝𝑎𝑐𝑖𝑑𝑎𝑑  𝑇𝑜𝑡𝑎𝑙 𝑀𝑒𝑛𝑠𝑢𝑎𝑙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21981</xdr:colOff>
      <xdr:row>22</xdr:row>
      <xdr:rowOff>43961</xdr:rowOff>
    </xdr:from>
    <xdr:ext cx="3487616" cy="2455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xmlns="" id="{00000000-0008-0000-1700-000002000000}"/>
                </a:ext>
              </a:extLst>
            </xdr:cNvPr>
            <xdr:cNvSpPr txBox="1"/>
          </xdr:nvSpPr>
          <xdr:spPr>
            <a:xfrm>
              <a:off x="1096401" y="446356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presentacion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de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la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Proposicion</m:t>
                  </m:r>
                </m:oMath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300-000002000000}"/>
                </a:ext>
              </a:extLst>
            </xdr:cNvPr>
            <xdr:cNvSpPr txBox="1"/>
          </xdr:nvSpPr>
          <xdr:spPr>
            <a:xfrm>
              <a:off x="1096401" y="446356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𝑚=𝑃𝑟𝑜𝑑𝑢𝑐𝑒𝑟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de la 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"presentacion de la Proposicion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20</xdr:row>
      <xdr:rowOff>51288</xdr:rowOff>
    </xdr:from>
    <xdr:ext cx="3116879" cy="24057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xmlns="" id="{00000000-0008-0000-1700-000003000000}"/>
                </a:ext>
              </a:extLst>
            </xdr:cNvPr>
            <xdr:cNvSpPr txBox="1"/>
          </xdr:nvSpPr>
          <xdr:spPr>
            <a:xfrm>
              <a:off x="1043354" y="4137513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𝐶𝑉</m:t>
                    </m:r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𝑈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𝐶𝑎𝑟𝑔𝑜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𝑉𝑎𝑟𝑖𝑎𝑏𝑙𝑒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𝑝𝑜𝑟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𝑈𝑠𝑜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𝑝𝑎𝑟𝑎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",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deacuerdo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           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proposicion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, (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Dolares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/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GJ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)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300-000003000000}"/>
                </a:ext>
              </a:extLst>
            </xdr:cNvPr>
            <xdr:cNvSpPr txBox="1"/>
          </xdr:nvSpPr>
          <xdr:spPr>
            <a:xfrm>
              <a:off x="1043354" y="4137513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𝐶𝑉𝑈_𝑚=𝐶𝑎𝑟𝑔𝑜 𝑉𝑎𝑟𝑖𝑎𝑏𝑙𝑒 𝑝𝑜𝑟 𝑈𝑠𝑜 𝑝𝑎𝑟𝑎 𝑒𝑙 𝑀𝑒𝑠 "\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"m\", deacuerdo con la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               proposicion, (Dolares/GJ)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21</xdr:row>
      <xdr:rowOff>65942</xdr:rowOff>
    </xdr:from>
    <xdr:ext cx="3371949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xmlns="" id="{00000000-0008-0000-1700-000004000000}"/>
                </a:ext>
              </a:extLst>
            </xdr:cNvPr>
            <xdr:cNvSpPr txBox="1"/>
          </xdr:nvSpPr>
          <xdr:spPr>
            <a:xfrm>
              <a:off x="1064601" y="4428392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Facturado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300-000004000000}"/>
                </a:ext>
              </a:extLst>
            </xdr:cNvPr>
            <xdr:cNvSpPr txBox="1"/>
          </xdr:nvSpPr>
          <xdr:spPr>
            <a:xfrm>
              <a:off x="1064601" y="4428392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𝑜=𝑃𝑟𝑜𝑑𝑢𝑐𝑒𝑟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Facturado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24</xdr:row>
      <xdr:rowOff>43962</xdr:rowOff>
    </xdr:from>
    <xdr:ext cx="2621680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xmlns="" id="{00000000-0008-0000-1700-000005000000}"/>
                </a:ext>
              </a:extLst>
            </xdr:cNvPr>
            <xdr:cNvSpPr txBox="1"/>
          </xdr:nvSpPr>
          <xdr:spPr>
            <a:xfrm>
              <a:off x="1064602" y="5063637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𝑉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𝐶𝑎𝑛𝑡𝑖𝑑𝑎𝑑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𝐶𝑜𝑛𝑓𝑖𝑟𝑚𝑎𝑑𝑎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𝑑𝑒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𝑔𝑎𝑠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𝑒𝑛𝑡𝑟𝑒𝑔𝑎𝑑𝑜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𝑙𝑎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𝐶𝐹𝐸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300-000005000000}"/>
                </a:ext>
              </a:extLst>
            </xdr:cNvPr>
            <xdr:cNvSpPr txBox="1"/>
          </xdr:nvSpPr>
          <xdr:spPr>
            <a:xfrm>
              <a:off x="1064602" y="5063637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𝑉_𝑚𝑚=𝐶𝑎𝑛𝑡𝑖𝑑𝑎𝑑 𝐶𝑜𝑛𝑓𝑖𝑟𝑚𝑎𝑑𝑎 𝑑𝑒 𝑔𝑎𝑠 𝑒𝑛𝑡𝑟𝑒𝑔𝑎𝑑𝑜 𝑎 𝑙𝑎 𝐶𝐹𝐸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21980</xdr:colOff>
      <xdr:row>23</xdr:row>
      <xdr:rowOff>36634</xdr:rowOff>
    </xdr:from>
    <xdr:ext cx="3487616" cy="1342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xmlns="" id="{00000000-0008-0000-1700-000006000000}"/>
                </a:ext>
              </a:extLst>
            </xdr:cNvPr>
            <xdr:cNvSpPr txBox="1"/>
          </xdr:nvSpPr>
          <xdr:spPr>
            <a:xfrm>
              <a:off x="1096400" y="4730554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/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𝐶𝑜𝑐𝑖𝑒𝑛𝑡𝑒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𝐼𝑛𝑒𝑥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𝑅𝑢𝑏𝑟𝑜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𝐴𝑙𝑙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𝐶𝑜𝑚𝑜𝑑𝑖𝑡𝑖𝑒𝑠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300-000006000000}"/>
                </a:ext>
              </a:extLst>
            </xdr:cNvPr>
            <xdr:cNvSpPr txBox="1"/>
          </xdr:nvSpPr>
          <xdr:spPr>
            <a:xfrm>
              <a:off x="1096400" y="4730554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𝑈𝑆𝑃𝑃𝐼〗_(</a:t>
              </a:r>
              <a:r>
                <a:rPr lang="es-MX" sz="800" b="0" i="0">
                  <a:latin typeface="Cambria Math" panose="02040503050406030204" pitchFamily="18" charset="0"/>
                </a:rPr>
                <a:t>𝑚/𝑜)=𝐶𝑜𝑐𝑖𝑒𝑛𝑡𝑒 𝑃𝑟𝑜𝑑𝑢𝑐𝑒𝑟 𝑃𝑟𝑖𝑐𝑒 𝐼𝑛𝑒𝑥 𝑅𝑢𝑏𝑟𝑜 𝐴𝑙𝑙 𝐶𝑜𝑚𝑜𝑑𝑖𝑡𝑖𝑒𝑠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21981</xdr:colOff>
      <xdr:row>13</xdr:row>
      <xdr:rowOff>43961</xdr:rowOff>
    </xdr:from>
    <xdr:ext cx="3487616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xmlns="" id="{00000000-0008-0000-1700-000007000000}"/>
                </a:ext>
              </a:extLst>
            </xdr:cNvPr>
            <xdr:cNvSpPr txBox="1"/>
          </xdr:nvSpPr>
          <xdr:spPr>
            <a:xfrm>
              <a:off x="1096401" y="2604281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𝐶𝑅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𝑅𝑒𝑠𝑒𝑟𝑣𝑎𝑑𝑎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300-000007000000}"/>
                </a:ext>
              </a:extLst>
            </xdr:cNvPr>
            <xdr:cNvSpPr txBox="1"/>
          </xdr:nvSpPr>
          <xdr:spPr>
            <a:xfrm>
              <a:off x="1096401" y="2604281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𝐶𝑅=𝐶𝑎𝑝𝑎𝑐𝑖𝑑𝑎𝑑 𝑅𝑒𝑠𝑒𝑟𝑣𝑎𝑑𝑎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11</xdr:row>
      <xdr:rowOff>51288</xdr:rowOff>
    </xdr:from>
    <xdr:ext cx="3281026" cy="12260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xmlns="" id="{00000000-0008-0000-1700-000008000000}"/>
                </a:ext>
              </a:extLst>
            </xdr:cNvPr>
            <xdr:cNvSpPr txBox="1"/>
          </xdr:nvSpPr>
          <xdr:spPr>
            <a:xfrm>
              <a:off x="1043354" y="2165838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MX" sz="8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𝐶𝐹𝐶</m:t>
                      </m:r>
                    </m:e>
                    <m:sub>
                      <m:r>
                        <a:rPr lang="es-MX" sz="800" b="0" i="1">
                          <a:latin typeface="Cambria Math" panose="02040503050406030204" pitchFamily="18" charset="0"/>
                        </a:rPr>
                        <m:t>𝑚</m:t>
                      </m:r>
                    </m:sub>
                  </m:sSub>
                  <m:r>
                    <a:rPr lang="es-MX" sz="800" b="0" i="1">
                      <a:latin typeface="Cambria Math" panose="02040503050406030204" pitchFamily="18" charset="0"/>
                    </a:rPr>
                    <m:t>=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𝐶𝑎𝑟𝑔𝑜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 </m:t>
                  </m:r>
                </m:oMath>
              </a14:m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300-000008000000}"/>
                </a:ext>
              </a:extLst>
            </xdr:cNvPr>
            <xdr:cNvSpPr txBox="1"/>
          </xdr:nvSpPr>
          <xdr:spPr>
            <a:xfrm>
              <a:off x="1043354" y="2165838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𝐶𝐹𝐶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es-MX" sz="800" b="0" i="0">
                  <a:latin typeface="Cambria Math" panose="02040503050406030204" pitchFamily="18" charset="0"/>
                </a:rPr>
                <a:t>𝑚=𝐶𝑎𝑟𝑔𝑜 </a:t>
              </a:r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12</xdr:row>
      <xdr:rowOff>24848</xdr:rowOff>
    </xdr:from>
    <xdr:ext cx="1922522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xmlns="" id="{00000000-0008-0000-1700-000009000000}"/>
                </a:ext>
              </a:extLst>
            </xdr:cNvPr>
            <xdr:cNvSpPr txBox="1"/>
          </xdr:nvSpPr>
          <xdr:spPr>
            <a:xfrm>
              <a:off x="1081746" y="2402288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𝐶𝑅𝑉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𝐶𝑎𝑝𝑎𝑐𝑖𝑑𝑎𝑑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𝑅𝑒𝑠𝑒𝑟𝑣𝑎𝑑𝑎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𝑉𝑒𝑟𝑖𝑓𝑖𝑐𝑎𝑑𝑎</m:t>
                    </m:r>
                  </m:oMath>
                </m:oMathPara>
              </a14:m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300-000009000000}"/>
                </a:ext>
              </a:extLst>
            </xdr:cNvPr>
            <xdr:cNvSpPr txBox="1"/>
          </xdr:nvSpPr>
          <xdr:spPr>
            <a:xfrm>
              <a:off x="1081746" y="2402288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solidFill>
                    <a:schemeClr val="tx1"/>
                  </a:solidFill>
                  <a:latin typeface="Cambria Math" panose="02040503050406030204" pitchFamily="18" charset="0"/>
                  <a:ea typeface="+mn-ea"/>
                  <a:cs typeface="+mn-cs"/>
                </a:rPr>
                <a:t>𝐶𝑅𝑉=𝐶𝑎𝑝𝑎𝑐𝑖𝑑𝑎𝑑 𝑅𝑒𝑠𝑒𝑟𝑣𝑎𝑑𝑎 𝑉𝑒𝑟𝑖𝑓𝑖𝑐𝑎𝑑𝑎</a:t>
              </a:r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14</xdr:row>
      <xdr:rowOff>43962</xdr:rowOff>
    </xdr:from>
    <xdr:ext cx="1489831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xmlns="" id="{00000000-0008-0000-1700-00000A000000}"/>
                </a:ext>
              </a:extLst>
            </xdr:cNvPr>
            <xdr:cNvSpPr txBox="1"/>
          </xdr:nvSpPr>
          <xdr:spPr>
            <a:xfrm>
              <a:off x="1064602" y="2872887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𝐾𝐶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𝑐𝑎𝑝𝑎𝑐𝑖𝑑𝑎𝑑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𝑇𝑜𝑡𝑎𝑙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𝑀𝑒𝑛𝑠𝑢𝑎𝑙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0" name="CuadroTexto 9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300-00000A000000}"/>
                </a:ext>
              </a:extLst>
            </xdr:cNvPr>
            <xdr:cNvSpPr txBox="1"/>
          </xdr:nvSpPr>
          <xdr:spPr>
            <a:xfrm>
              <a:off x="1064602" y="2872887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𝐾𝐶=𝑐𝑎𝑝𝑎𝑐𝑖𝑑𝑎𝑑  𝑇𝑜𝑡𝑎𝑙 𝑀𝑒𝑛𝑠𝑢𝑎𝑙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21981</xdr:colOff>
      <xdr:row>22</xdr:row>
      <xdr:rowOff>43961</xdr:rowOff>
    </xdr:from>
    <xdr:ext cx="3487616" cy="2455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xmlns="" id="{00000000-0008-0000-1800-000002000000}"/>
                </a:ext>
              </a:extLst>
            </xdr:cNvPr>
            <xdr:cNvSpPr txBox="1"/>
          </xdr:nvSpPr>
          <xdr:spPr>
            <a:xfrm>
              <a:off x="1096401" y="446356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presentacion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de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la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Proposicion</m:t>
                  </m:r>
                </m:oMath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400-000002000000}"/>
                </a:ext>
              </a:extLst>
            </xdr:cNvPr>
            <xdr:cNvSpPr txBox="1"/>
          </xdr:nvSpPr>
          <xdr:spPr>
            <a:xfrm>
              <a:off x="1096401" y="446356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𝑚=𝑃𝑟𝑜𝑑𝑢𝑐𝑒𝑟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de la 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"presentacion de la Proposicion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20</xdr:row>
      <xdr:rowOff>51288</xdr:rowOff>
    </xdr:from>
    <xdr:ext cx="3116879" cy="24057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xmlns="" id="{00000000-0008-0000-1800-000003000000}"/>
                </a:ext>
              </a:extLst>
            </xdr:cNvPr>
            <xdr:cNvSpPr txBox="1"/>
          </xdr:nvSpPr>
          <xdr:spPr>
            <a:xfrm>
              <a:off x="1043354" y="4137513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𝐶𝑉</m:t>
                    </m:r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𝑈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𝐶𝑎𝑟𝑔𝑜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𝑉𝑎𝑟𝑖𝑎𝑏𝑙𝑒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𝑝𝑜𝑟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𝑈𝑠𝑜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𝑝𝑎𝑟𝑎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",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deacuerdo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           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proposicion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, (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Dolares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/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GJ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)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400-000003000000}"/>
                </a:ext>
              </a:extLst>
            </xdr:cNvPr>
            <xdr:cNvSpPr txBox="1"/>
          </xdr:nvSpPr>
          <xdr:spPr>
            <a:xfrm>
              <a:off x="1043354" y="4137513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𝐶𝑉𝑈_𝑚=𝐶𝑎𝑟𝑔𝑜 𝑉𝑎𝑟𝑖𝑎𝑏𝑙𝑒 𝑝𝑜𝑟 𝑈𝑠𝑜 𝑝𝑎𝑟𝑎 𝑒𝑙 𝑀𝑒𝑠 "\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"m\", deacuerdo con la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               proposicion, (Dolares/GJ)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21</xdr:row>
      <xdr:rowOff>65942</xdr:rowOff>
    </xdr:from>
    <xdr:ext cx="3371949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xmlns="" id="{00000000-0008-0000-1800-000004000000}"/>
                </a:ext>
              </a:extLst>
            </xdr:cNvPr>
            <xdr:cNvSpPr txBox="1"/>
          </xdr:nvSpPr>
          <xdr:spPr>
            <a:xfrm>
              <a:off x="1064601" y="4428392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Facturado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400-000004000000}"/>
                </a:ext>
              </a:extLst>
            </xdr:cNvPr>
            <xdr:cNvSpPr txBox="1"/>
          </xdr:nvSpPr>
          <xdr:spPr>
            <a:xfrm>
              <a:off x="1064601" y="4428392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𝑜=𝑃𝑟𝑜𝑑𝑢𝑐𝑒𝑟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Facturado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24</xdr:row>
      <xdr:rowOff>43962</xdr:rowOff>
    </xdr:from>
    <xdr:ext cx="2621680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xmlns="" id="{00000000-0008-0000-1800-000005000000}"/>
                </a:ext>
              </a:extLst>
            </xdr:cNvPr>
            <xdr:cNvSpPr txBox="1"/>
          </xdr:nvSpPr>
          <xdr:spPr>
            <a:xfrm>
              <a:off x="1064602" y="5063637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𝑉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𝐶𝑎𝑛𝑡𝑖𝑑𝑎𝑑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𝐶𝑜𝑛𝑓𝑖𝑟𝑚𝑎𝑑𝑎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𝑑𝑒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𝑔𝑎𝑠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𝑒𝑛𝑡𝑟𝑒𝑔𝑎𝑑𝑜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𝑙𝑎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𝐶𝐹𝐸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400-000005000000}"/>
                </a:ext>
              </a:extLst>
            </xdr:cNvPr>
            <xdr:cNvSpPr txBox="1"/>
          </xdr:nvSpPr>
          <xdr:spPr>
            <a:xfrm>
              <a:off x="1064602" y="5063637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𝑉_𝑚𝑚=𝐶𝑎𝑛𝑡𝑖𝑑𝑎𝑑 𝐶𝑜𝑛𝑓𝑖𝑟𝑚𝑎𝑑𝑎 𝑑𝑒 𝑔𝑎𝑠 𝑒𝑛𝑡𝑟𝑒𝑔𝑎𝑑𝑜 𝑎 𝑙𝑎 𝐶𝐹𝐸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21980</xdr:colOff>
      <xdr:row>23</xdr:row>
      <xdr:rowOff>36634</xdr:rowOff>
    </xdr:from>
    <xdr:ext cx="3487616" cy="1342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xmlns="" id="{00000000-0008-0000-1800-000006000000}"/>
                </a:ext>
              </a:extLst>
            </xdr:cNvPr>
            <xdr:cNvSpPr txBox="1"/>
          </xdr:nvSpPr>
          <xdr:spPr>
            <a:xfrm>
              <a:off x="1096400" y="4730554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/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𝐶𝑜𝑐𝑖𝑒𝑛𝑡𝑒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𝐼𝑛𝑒𝑥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𝑅𝑢𝑏𝑟𝑜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𝐴𝑙𝑙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𝐶𝑜𝑚𝑜𝑑𝑖𝑡𝑖𝑒𝑠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400-000006000000}"/>
                </a:ext>
              </a:extLst>
            </xdr:cNvPr>
            <xdr:cNvSpPr txBox="1"/>
          </xdr:nvSpPr>
          <xdr:spPr>
            <a:xfrm>
              <a:off x="1096400" y="4730554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𝑈𝑆𝑃𝑃𝐼〗_(</a:t>
              </a:r>
              <a:r>
                <a:rPr lang="es-MX" sz="800" b="0" i="0">
                  <a:latin typeface="Cambria Math" panose="02040503050406030204" pitchFamily="18" charset="0"/>
                </a:rPr>
                <a:t>𝑚/𝑜)=𝐶𝑜𝑐𝑖𝑒𝑛𝑡𝑒 𝑃𝑟𝑜𝑑𝑢𝑐𝑒𝑟 𝑃𝑟𝑖𝑐𝑒 𝐼𝑛𝑒𝑥 𝑅𝑢𝑏𝑟𝑜 𝐴𝑙𝑙 𝐶𝑜𝑚𝑜𝑑𝑖𝑡𝑖𝑒𝑠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21981</xdr:colOff>
      <xdr:row>13</xdr:row>
      <xdr:rowOff>43961</xdr:rowOff>
    </xdr:from>
    <xdr:ext cx="3487616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xmlns="" id="{00000000-0008-0000-1800-000007000000}"/>
                </a:ext>
              </a:extLst>
            </xdr:cNvPr>
            <xdr:cNvSpPr txBox="1"/>
          </xdr:nvSpPr>
          <xdr:spPr>
            <a:xfrm>
              <a:off x="1096401" y="2604281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𝐶𝑅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𝑅𝑒𝑠𝑒𝑟𝑣𝑎𝑑𝑎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400-000007000000}"/>
                </a:ext>
              </a:extLst>
            </xdr:cNvPr>
            <xdr:cNvSpPr txBox="1"/>
          </xdr:nvSpPr>
          <xdr:spPr>
            <a:xfrm>
              <a:off x="1096401" y="2604281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𝐶𝑅=𝐶𝑎𝑝𝑎𝑐𝑖𝑑𝑎𝑑 𝑅𝑒𝑠𝑒𝑟𝑣𝑎𝑑𝑎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11</xdr:row>
      <xdr:rowOff>51288</xdr:rowOff>
    </xdr:from>
    <xdr:ext cx="3281026" cy="12260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xmlns="" id="{00000000-0008-0000-1800-000008000000}"/>
                </a:ext>
              </a:extLst>
            </xdr:cNvPr>
            <xdr:cNvSpPr txBox="1"/>
          </xdr:nvSpPr>
          <xdr:spPr>
            <a:xfrm>
              <a:off x="1043354" y="2165838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MX" sz="8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𝐶𝐹𝐶</m:t>
                      </m:r>
                    </m:e>
                    <m:sub>
                      <m:r>
                        <a:rPr lang="es-MX" sz="800" b="0" i="1">
                          <a:latin typeface="Cambria Math" panose="02040503050406030204" pitchFamily="18" charset="0"/>
                        </a:rPr>
                        <m:t>𝑚</m:t>
                      </m:r>
                    </m:sub>
                  </m:sSub>
                  <m:r>
                    <a:rPr lang="es-MX" sz="800" b="0" i="1">
                      <a:latin typeface="Cambria Math" panose="02040503050406030204" pitchFamily="18" charset="0"/>
                    </a:rPr>
                    <m:t>=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𝐶𝑎𝑟𝑔𝑜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 </m:t>
                  </m:r>
                </m:oMath>
              </a14:m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400-000008000000}"/>
                </a:ext>
              </a:extLst>
            </xdr:cNvPr>
            <xdr:cNvSpPr txBox="1"/>
          </xdr:nvSpPr>
          <xdr:spPr>
            <a:xfrm>
              <a:off x="1043354" y="2165838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𝐶𝐹𝐶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es-MX" sz="800" b="0" i="0">
                  <a:latin typeface="Cambria Math" panose="02040503050406030204" pitchFamily="18" charset="0"/>
                </a:rPr>
                <a:t>𝑚=𝐶𝑎𝑟𝑔𝑜 </a:t>
              </a:r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12</xdr:row>
      <xdr:rowOff>24848</xdr:rowOff>
    </xdr:from>
    <xdr:ext cx="1922522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xmlns="" id="{00000000-0008-0000-1800-000009000000}"/>
                </a:ext>
              </a:extLst>
            </xdr:cNvPr>
            <xdr:cNvSpPr txBox="1"/>
          </xdr:nvSpPr>
          <xdr:spPr>
            <a:xfrm>
              <a:off x="1081746" y="2402288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𝐶𝑅𝑉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𝐶𝑎𝑝𝑎𝑐𝑖𝑑𝑎𝑑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𝑅𝑒𝑠𝑒𝑟𝑣𝑎𝑑𝑎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𝑉𝑒𝑟𝑖𝑓𝑖𝑐𝑎𝑑𝑎</m:t>
                    </m:r>
                  </m:oMath>
                </m:oMathPara>
              </a14:m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400-000009000000}"/>
                </a:ext>
              </a:extLst>
            </xdr:cNvPr>
            <xdr:cNvSpPr txBox="1"/>
          </xdr:nvSpPr>
          <xdr:spPr>
            <a:xfrm>
              <a:off x="1081746" y="2402288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solidFill>
                    <a:schemeClr val="tx1"/>
                  </a:solidFill>
                  <a:latin typeface="Cambria Math" panose="02040503050406030204" pitchFamily="18" charset="0"/>
                  <a:ea typeface="+mn-ea"/>
                  <a:cs typeface="+mn-cs"/>
                </a:rPr>
                <a:t>𝐶𝑅𝑉=𝐶𝑎𝑝𝑎𝑐𝑖𝑑𝑎𝑑 𝑅𝑒𝑠𝑒𝑟𝑣𝑎𝑑𝑎 𝑉𝑒𝑟𝑖𝑓𝑖𝑐𝑎𝑑𝑎</a:t>
              </a:r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14</xdr:row>
      <xdr:rowOff>43962</xdr:rowOff>
    </xdr:from>
    <xdr:ext cx="1489831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xmlns="" id="{00000000-0008-0000-1800-00000A000000}"/>
                </a:ext>
              </a:extLst>
            </xdr:cNvPr>
            <xdr:cNvSpPr txBox="1"/>
          </xdr:nvSpPr>
          <xdr:spPr>
            <a:xfrm>
              <a:off x="1064602" y="2872887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𝐾𝐶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𝑐𝑎𝑝𝑎𝑐𝑖𝑑𝑎𝑑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𝑇𝑜𝑡𝑎𝑙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𝑀𝑒𝑛𝑠𝑢𝑎𝑙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0" name="CuadroTexto 9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400-00000A000000}"/>
                </a:ext>
              </a:extLst>
            </xdr:cNvPr>
            <xdr:cNvSpPr txBox="1"/>
          </xdr:nvSpPr>
          <xdr:spPr>
            <a:xfrm>
              <a:off x="1064602" y="2872887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𝐾𝐶=𝑐𝑎𝑝𝑎𝑐𝑖𝑑𝑎𝑑  𝑇𝑜𝑡𝑎𝑙 𝑀𝑒𝑛𝑠𝑢𝑎𝑙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21981</xdr:colOff>
      <xdr:row>22</xdr:row>
      <xdr:rowOff>43961</xdr:rowOff>
    </xdr:from>
    <xdr:ext cx="3487616" cy="2455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xmlns="" id="{00000000-0008-0000-1900-000002000000}"/>
                </a:ext>
              </a:extLst>
            </xdr:cNvPr>
            <xdr:cNvSpPr txBox="1"/>
          </xdr:nvSpPr>
          <xdr:spPr>
            <a:xfrm>
              <a:off x="1096401" y="446356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presentacion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de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la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Proposicion</m:t>
                  </m:r>
                </m:oMath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500-000002000000}"/>
                </a:ext>
              </a:extLst>
            </xdr:cNvPr>
            <xdr:cNvSpPr txBox="1"/>
          </xdr:nvSpPr>
          <xdr:spPr>
            <a:xfrm>
              <a:off x="1096401" y="446356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𝑚=𝑃𝑟𝑜𝑑𝑢𝑐𝑒𝑟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de la 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"presentacion de la Proposicion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20</xdr:row>
      <xdr:rowOff>51288</xdr:rowOff>
    </xdr:from>
    <xdr:ext cx="3116879" cy="24057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xmlns="" id="{00000000-0008-0000-1900-000003000000}"/>
                </a:ext>
              </a:extLst>
            </xdr:cNvPr>
            <xdr:cNvSpPr txBox="1"/>
          </xdr:nvSpPr>
          <xdr:spPr>
            <a:xfrm>
              <a:off x="1043354" y="4137513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𝐶𝑉</m:t>
                    </m:r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𝑈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𝐶𝑎𝑟𝑔𝑜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𝑉𝑎𝑟𝑖𝑎𝑏𝑙𝑒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𝑝𝑜𝑟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𝑈𝑠𝑜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𝑝𝑎𝑟𝑎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",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deacuerdo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           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proposicion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, (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Dolares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/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GJ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)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500-000003000000}"/>
                </a:ext>
              </a:extLst>
            </xdr:cNvPr>
            <xdr:cNvSpPr txBox="1"/>
          </xdr:nvSpPr>
          <xdr:spPr>
            <a:xfrm>
              <a:off x="1043354" y="4137513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𝐶𝑉𝑈_𝑚=𝐶𝑎𝑟𝑔𝑜 𝑉𝑎𝑟𝑖𝑎𝑏𝑙𝑒 𝑝𝑜𝑟 𝑈𝑠𝑜 𝑝𝑎𝑟𝑎 𝑒𝑙 𝑀𝑒𝑠 "\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"m\", deacuerdo con la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               proposicion, (Dolares/GJ)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21</xdr:row>
      <xdr:rowOff>65942</xdr:rowOff>
    </xdr:from>
    <xdr:ext cx="3371949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xmlns="" id="{00000000-0008-0000-1900-000004000000}"/>
                </a:ext>
              </a:extLst>
            </xdr:cNvPr>
            <xdr:cNvSpPr txBox="1"/>
          </xdr:nvSpPr>
          <xdr:spPr>
            <a:xfrm>
              <a:off x="1064601" y="4428392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Facturado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500-000004000000}"/>
                </a:ext>
              </a:extLst>
            </xdr:cNvPr>
            <xdr:cNvSpPr txBox="1"/>
          </xdr:nvSpPr>
          <xdr:spPr>
            <a:xfrm>
              <a:off x="1064601" y="4428392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𝑜=𝑃𝑟𝑜𝑑𝑢𝑐𝑒𝑟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Facturado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24</xdr:row>
      <xdr:rowOff>43962</xdr:rowOff>
    </xdr:from>
    <xdr:ext cx="2621680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xmlns="" id="{00000000-0008-0000-1900-000005000000}"/>
                </a:ext>
              </a:extLst>
            </xdr:cNvPr>
            <xdr:cNvSpPr txBox="1"/>
          </xdr:nvSpPr>
          <xdr:spPr>
            <a:xfrm>
              <a:off x="1064602" y="5063637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𝑉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𝐶𝑎𝑛𝑡𝑖𝑑𝑎𝑑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𝐶𝑜𝑛𝑓𝑖𝑟𝑚𝑎𝑑𝑎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𝑑𝑒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𝑔𝑎𝑠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𝑒𝑛𝑡𝑟𝑒𝑔𝑎𝑑𝑜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𝑙𝑎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𝐶𝐹𝐸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500-000005000000}"/>
                </a:ext>
              </a:extLst>
            </xdr:cNvPr>
            <xdr:cNvSpPr txBox="1"/>
          </xdr:nvSpPr>
          <xdr:spPr>
            <a:xfrm>
              <a:off x="1064602" y="5063637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𝑉_𝑚𝑚=𝐶𝑎𝑛𝑡𝑖𝑑𝑎𝑑 𝐶𝑜𝑛𝑓𝑖𝑟𝑚𝑎𝑑𝑎 𝑑𝑒 𝑔𝑎𝑠 𝑒𝑛𝑡𝑟𝑒𝑔𝑎𝑑𝑜 𝑎 𝑙𝑎 𝐶𝐹𝐸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21980</xdr:colOff>
      <xdr:row>23</xdr:row>
      <xdr:rowOff>36634</xdr:rowOff>
    </xdr:from>
    <xdr:ext cx="3487616" cy="1342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xmlns="" id="{00000000-0008-0000-1900-000006000000}"/>
                </a:ext>
              </a:extLst>
            </xdr:cNvPr>
            <xdr:cNvSpPr txBox="1"/>
          </xdr:nvSpPr>
          <xdr:spPr>
            <a:xfrm>
              <a:off x="1096400" y="4730554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/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𝐶𝑜𝑐𝑖𝑒𝑛𝑡𝑒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𝐼𝑛𝑒𝑥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𝑅𝑢𝑏𝑟𝑜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𝐴𝑙𝑙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𝐶𝑜𝑚𝑜𝑑𝑖𝑡𝑖𝑒𝑠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500-000006000000}"/>
                </a:ext>
              </a:extLst>
            </xdr:cNvPr>
            <xdr:cNvSpPr txBox="1"/>
          </xdr:nvSpPr>
          <xdr:spPr>
            <a:xfrm>
              <a:off x="1096400" y="4730554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𝑈𝑆𝑃𝑃𝐼〗_(</a:t>
              </a:r>
              <a:r>
                <a:rPr lang="es-MX" sz="800" b="0" i="0">
                  <a:latin typeface="Cambria Math" panose="02040503050406030204" pitchFamily="18" charset="0"/>
                </a:rPr>
                <a:t>𝑚/𝑜)=𝐶𝑜𝑐𝑖𝑒𝑛𝑡𝑒 𝑃𝑟𝑜𝑑𝑢𝑐𝑒𝑟 𝑃𝑟𝑖𝑐𝑒 𝐼𝑛𝑒𝑥 𝑅𝑢𝑏𝑟𝑜 𝐴𝑙𝑙 𝐶𝑜𝑚𝑜𝑑𝑖𝑡𝑖𝑒𝑠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21981</xdr:colOff>
      <xdr:row>13</xdr:row>
      <xdr:rowOff>43961</xdr:rowOff>
    </xdr:from>
    <xdr:ext cx="3487616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xmlns="" id="{00000000-0008-0000-1900-000007000000}"/>
                </a:ext>
              </a:extLst>
            </xdr:cNvPr>
            <xdr:cNvSpPr txBox="1"/>
          </xdr:nvSpPr>
          <xdr:spPr>
            <a:xfrm>
              <a:off x="1096401" y="2604281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𝐶𝑅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𝑅𝑒𝑠𝑒𝑟𝑣𝑎𝑑𝑎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500-000007000000}"/>
                </a:ext>
              </a:extLst>
            </xdr:cNvPr>
            <xdr:cNvSpPr txBox="1"/>
          </xdr:nvSpPr>
          <xdr:spPr>
            <a:xfrm>
              <a:off x="1096401" y="2604281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𝐶𝑅=𝐶𝑎𝑝𝑎𝑐𝑖𝑑𝑎𝑑 𝑅𝑒𝑠𝑒𝑟𝑣𝑎𝑑𝑎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11</xdr:row>
      <xdr:rowOff>51288</xdr:rowOff>
    </xdr:from>
    <xdr:ext cx="3281026" cy="12260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xmlns="" id="{00000000-0008-0000-1900-000008000000}"/>
                </a:ext>
              </a:extLst>
            </xdr:cNvPr>
            <xdr:cNvSpPr txBox="1"/>
          </xdr:nvSpPr>
          <xdr:spPr>
            <a:xfrm>
              <a:off x="1043354" y="2165838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MX" sz="8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𝐶𝐹𝐶</m:t>
                      </m:r>
                    </m:e>
                    <m:sub>
                      <m:r>
                        <a:rPr lang="es-MX" sz="800" b="0" i="1">
                          <a:latin typeface="Cambria Math" panose="02040503050406030204" pitchFamily="18" charset="0"/>
                        </a:rPr>
                        <m:t>𝑚</m:t>
                      </m:r>
                    </m:sub>
                  </m:sSub>
                  <m:r>
                    <a:rPr lang="es-MX" sz="800" b="0" i="1">
                      <a:latin typeface="Cambria Math" panose="02040503050406030204" pitchFamily="18" charset="0"/>
                    </a:rPr>
                    <m:t>=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𝐶𝑎𝑟𝑔𝑜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 </m:t>
                  </m:r>
                </m:oMath>
              </a14:m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500-000008000000}"/>
                </a:ext>
              </a:extLst>
            </xdr:cNvPr>
            <xdr:cNvSpPr txBox="1"/>
          </xdr:nvSpPr>
          <xdr:spPr>
            <a:xfrm>
              <a:off x="1043354" y="2165838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𝐶𝐹𝐶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es-MX" sz="800" b="0" i="0">
                  <a:latin typeface="Cambria Math" panose="02040503050406030204" pitchFamily="18" charset="0"/>
                </a:rPr>
                <a:t>𝑚=𝐶𝑎𝑟𝑔𝑜 </a:t>
              </a:r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12</xdr:row>
      <xdr:rowOff>24848</xdr:rowOff>
    </xdr:from>
    <xdr:ext cx="1922522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xmlns="" id="{00000000-0008-0000-1900-000009000000}"/>
                </a:ext>
              </a:extLst>
            </xdr:cNvPr>
            <xdr:cNvSpPr txBox="1"/>
          </xdr:nvSpPr>
          <xdr:spPr>
            <a:xfrm>
              <a:off x="1081746" y="2402288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𝐶𝑅𝑉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𝐶𝑎𝑝𝑎𝑐𝑖𝑑𝑎𝑑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𝑅𝑒𝑠𝑒𝑟𝑣𝑎𝑑𝑎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𝑉𝑒𝑟𝑖𝑓𝑖𝑐𝑎𝑑𝑎</m:t>
                    </m:r>
                  </m:oMath>
                </m:oMathPara>
              </a14:m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500-000009000000}"/>
                </a:ext>
              </a:extLst>
            </xdr:cNvPr>
            <xdr:cNvSpPr txBox="1"/>
          </xdr:nvSpPr>
          <xdr:spPr>
            <a:xfrm>
              <a:off x="1081746" y="2402288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solidFill>
                    <a:schemeClr val="tx1"/>
                  </a:solidFill>
                  <a:latin typeface="Cambria Math" panose="02040503050406030204" pitchFamily="18" charset="0"/>
                  <a:ea typeface="+mn-ea"/>
                  <a:cs typeface="+mn-cs"/>
                </a:rPr>
                <a:t>𝐶𝑅𝑉=𝐶𝑎𝑝𝑎𝑐𝑖𝑑𝑎𝑑 𝑅𝑒𝑠𝑒𝑟𝑣𝑎𝑑𝑎 𝑉𝑒𝑟𝑖𝑓𝑖𝑐𝑎𝑑𝑎</a:t>
              </a:r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14</xdr:row>
      <xdr:rowOff>43962</xdr:rowOff>
    </xdr:from>
    <xdr:ext cx="1489831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xmlns="" id="{00000000-0008-0000-1900-00000A000000}"/>
                </a:ext>
              </a:extLst>
            </xdr:cNvPr>
            <xdr:cNvSpPr txBox="1"/>
          </xdr:nvSpPr>
          <xdr:spPr>
            <a:xfrm>
              <a:off x="1064602" y="2872887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𝐾𝐶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𝑐𝑎𝑝𝑎𝑐𝑖𝑑𝑎𝑑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𝑇𝑜𝑡𝑎𝑙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𝑀𝑒𝑛𝑠𝑢𝑎𝑙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0" name="CuadroTexto 9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500-00000A000000}"/>
                </a:ext>
              </a:extLst>
            </xdr:cNvPr>
            <xdr:cNvSpPr txBox="1"/>
          </xdr:nvSpPr>
          <xdr:spPr>
            <a:xfrm>
              <a:off x="1064602" y="2872887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𝐾𝐶=𝑐𝑎𝑝𝑎𝑐𝑖𝑑𝑎𝑑  𝑇𝑜𝑡𝑎𝑙 𝑀𝑒𝑛𝑠𝑢𝑎𝑙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21981</xdr:colOff>
      <xdr:row>22</xdr:row>
      <xdr:rowOff>43961</xdr:rowOff>
    </xdr:from>
    <xdr:ext cx="3487616" cy="2455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xmlns="" id="{00000000-0008-0000-1A00-000002000000}"/>
                </a:ext>
              </a:extLst>
            </xdr:cNvPr>
            <xdr:cNvSpPr txBox="1"/>
          </xdr:nvSpPr>
          <xdr:spPr>
            <a:xfrm>
              <a:off x="1096401" y="446356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presentacion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de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la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Proposicion</m:t>
                  </m:r>
                </m:oMath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600-000002000000}"/>
                </a:ext>
              </a:extLst>
            </xdr:cNvPr>
            <xdr:cNvSpPr txBox="1"/>
          </xdr:nvSpPr>
          <xdr:spPr>
            <a:xfrm>
              <a:off x="1096401" y="446356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𝑚=𝑃𝑟𝑜𝑑𝑢𝑐𝑒𝑟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de la 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"presentacion de la Proposicion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20</xdr:row>
      <xdr:rowOff>51288</xdr:rowOff>
    </xdr:from>
    <xdr:ext cx="3116879" cy="24057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xmlns="" id="{00000000-0008-0000-1A00-000003000000}"/>
                </a:ext>
              </a:extLst>
            </xdr:cNvPr>
            <xdr:cNvSpPr txBox="1"/>
          </xdr:nvSpPr>
          <xdr:spPr>
            <a:xfrm>
              <a:off x="1043354" y="4137513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𝐶𝑉</m:t>
                    </m:r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𝑈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𝐶𝑎𝑟𝑔𝑜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𝑉𝑎𝑟𝑖𝑎𝑏𝑙𝑒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𝑝𝑜𝑟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𝑈𝑠𝑜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𝑝𝑎𝑟𝑎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",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deacuerdo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           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proposicion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, (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Dolares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/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GJ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)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600-000003000000}"/>
                </a:ext>
              </a:extLst>
            </xdr:cNvPr>
            <xdr:cNvSpPr txBox="1"/>
          </xdr:nvSpPr>
          <xdr:spPr>
            <a:xfrm>
              <a:off x="1043354" y="4137513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𝐶𝑉𝑈_𝑚=𝐶𝑎𝑟𝑔𝑜 𝑉𝑎𝑟𝑖𝑎𝑏𝑙𝑒 𝑝𝑜𝑟 𝑈𝑠𝑜 𝑝𝑎𝑟𝑎 𝑒𝑙 𝑀𝑒𝑠 "\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"m\", deacuerdo con la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               proposicion, (Dolares/GJ)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21</xdr:row>
      <xdr:rowOff>65942</xdr:rowOff>
    </xdr:from>
    <xdr:ext cx="3371949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xmlns="" id="{00000000-0008-0000-1A00-000004000000}"/>
                </a:ext>
              </a:extLst>
            </xdr:cNvPr>
            <xdr:cNvSpPr txBox="1"/>
          </xdr:nvSpPr>
          <xdr:spPr>
            <a:xfrm>
              <a:off x="1064601" y="4428392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Facturado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600-000004000000}"/>
                </a:ext>
              </a:extLst>
            </xdr:cNvPr>
            <xdr:cNvSpPr txBox="1"/>
          </xdr:nvSpPr>
          <xdr:spPr>
            <a:xfrm>
              <a:off x="1064601" y="4428392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𝑜=𝑃𝑟𝑜𝑑𝑢𝑐𝑒𝑟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Facturado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24</xdr:row>
      <xdr:rowOff>43962</xdr:rowOff>
    </xdr:from>
    <xdr:ext cx="2621680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xmlns="" id="{00000000-0008-0000-1A00-000005000000}"/>
                </a:ext>
              </a:extLst>
            </xdr:cNvPr>
            <xdr:cNvSpPr txBox="1"/>
          </xdr:nvSpPr>
          <xdr:spPr>
            <a:xfrm>
              <a:off x="1064602" y="5063637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𝑉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𝐶𝑎𝑛𝑡𝑖𝑑𝑎𝑑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𝐶𝑜𝑛𝑓𝑖𝑟𝑚𝑎𝑑𝑎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𝑑𝑒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𝑔𝑎𝑠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𝑒𝑛𝑡𝑟𝑒𝑔𝑎𝑑𝑜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𝑙𝑎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𝐶𝐹𝐸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600-000005000000}"/>
                </a:ext>
              </a:extLst>
            </xdr:cNvPr>
            <xdr:cNvSpPr txBox="1"/>
          </xdr:nvSpPr>
          <xdr:spPr>
            <a:xfrm>
              <a:off x="1064602" y="5063637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𝑉_𝑚𝑚=𝐶𝑎𝑛𝑡𝑖𝑑𝑎𝑑 𝐶𝑜𝑛𝑓𝑖𝑟𝑚𝑎𝑑𝑎 𝑑𝑒 𝑔𝑎𝑠 𝑒𝑛𝑡𝑟𝑒𝑔𝑎𝑑𝑜 𝑎 𝑙𝑎 𝐶𝐹𝐸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21980</xdr:colOff>
      <xdr:row>23</xdr:row>
      <xdr:rowOff>36634</xdr:rowOff>
    </xdr:from>
    <xdr:ext cx="3487616" cy="1342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xmlns="" id="{00000000-0008-0000-1A00-000006000000}"/>
                </a:ext>
              </a:extLst>
            </xdr:cNvPr>
            <xdr:cNvSpPr txBox="1"/>
          </xdr:nvSpPr>
          <xdr:spPr>
            <a:xfrm>
              <a:off x="1096400" y="4730554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/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𝐶𝑜𝑐𝑖𝑒𝑛𝑡𝑒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𝐼𝑛𝑒𝑥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𝑅𝑢𝑏𝑟𝑜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𝐴𝑙𝑙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𝐶𝑜𝑚𝑜𝑑𝑖𝑡𝑖𝑒𝑠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600-000006000000}"/>
                </a:ext>
              </a:extLst>
            </xdr:cNvPr>
            <xdr:cNvSpPr txBox="1"/>
          </xdr:nvSpPr>
          <xdr:spPr>
            <a:xfrm>
              <a:off x="1096400" y="4730554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𝑈𝑆𝑃𝑃𝐼〗_(</a:t>
              </a:r>
              <a:r>
                <a:rPr lang="es-MX" sz="800" b="0" i="0">
                  <a:latin typeface="Cambria Math" panose="02040503050406030204" pitchFamily="18" charset="0"/>
                </a:rPr>
                <a:t>𝑚/𝑜)=𝐶𝑜𝑐𝑖𝑒𝑛𝑡𝑒 𝑃𝑟𝑜𝑑𝑢𝑐𝑒𝑟 𝑃𝑟𝑖𝑐𝑒 𝐼𝑛𝑒𝑥 𝑅𝑢𝑏𝑟𝑜 𝐴𝑙𝑙 𝐶𝑜𝑚𝑜𝑑𝑖𝑡𝑖𝑒𝑠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21981</xdr:colOff>
      <xdr:row>13</xdr:row>
      <xdr:rowOff>43961</xdr:rowOff>
    </xdr:from>
    <xdr:ext cx="3487616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xmlns="" id="{00000000-0008-0000-1A00-000007000000}"/>
                </a:ext>
              </a:extLst>
            </xdr:cNvPr>
            <xdr:cNvSpPr txBox="1"/>
          </xdr:nvSpPr>
          <xdr:spPr>
            <a:xfrm>
              <a:off x="1096401" y="2604281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𝐶𝑅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𝑅𝑒𝑠𝑒𝑟𝑣𝑎𝑑𝑎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600-000007000000}"/>
                </a:ext>
              </a:extLst>
            </xdr:cNvPr>
            <xdr:cNvSpPr txBox="1"/>
          </xdr:nvSpPr>
          <xdr:spPr>
            <a:xfrm>
              <a:off x="1096401" y="2604281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𝐶𝑅=𝐶𝑎𝑝𝑎𝑐𝑖𝑑𝑎𝑑 𝑅𝑒𝑠𝑒𝑟𝑣𝑎𝑑𝑎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11</xdr:row>
      <xdr:rowOff>51288</xdr:rowOff>
    </xdr:from>
    <xdr:ext cx="3281026" cy="12260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xmlns="" id="{00000000-0008-0000-1A00-000008000000}"/>
                </a:ext>
              </a:extLst>
            </xdr:cNvPr>
            <xdr:cNvSpPr txBox="1"/>
          </xdr:nvSpPr>
          <xdr:spPr>
            <a:xfrm>
              <a:off x="1043354" y="2165838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MX" sz="8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𝐶𝐹𝐶</m:t>
                      </m:r>
                    </m:e>
                    <m:sub>
                      <m:r>
                        <a:rPr lang="es-MX" sz="800" b="0" i="1">
                          <a:latin typeface="Cambria Math" panose="02040503050406030204" pitchFamily="18" charset="0"/>
                        </a:rPr>
                        <m:t>𝑚</m:t>
                      </m:r>
                    </m:sub>
                  </m:sSub>
                  <m:r>
                    <a:rPr lang="es-MX" sz="800" b="0" i="1">
                      <a:latin typeface="Cambria Math" panose="02040503050406030204" pitchFamily="18" charset="0"/>
                    </a:rPr>
                    <m:t>=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𝐶𝑎𝑟𝑔𝑜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 </m:t>
                  </m:r>
                </m:oMath>
              </a14:m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600-000008000000}"/>
                </a:ext>
              </a:extLst>
            </xdr:cNvPr>
            <xdr:cNvSpPr txBox="1"/>
          </xdr:nvSpPr>
          <xdr:spPr>
            <a:xfrm>
              <a:off x="1043354" y="2165838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𝐶𝐹𝐶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es-MX" sz="800" b="0" i="0">
                  <a:latin typeface="Cambria Math" panose="02040503050406030204" pitchFamily="18" charset="0"/>
                </a:rPr>
                <a:t>𝑚=𝐶𝑎𝑟𝑔𝑜 </a:t>
              </a:r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12</xdr:row>
      <xdr:rowOff>24848</xdr:rowOff>
    </xdr:from>
    <xdr:ext cx="1922522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xmlns="" id="{00000000-0008-0000-1A00-000009000000}"/>
                </a:ext>
              </a:extLst>
            </xdr:cNvPr>
            <xdr:cNvSpPr txBox="1"/>
          </xdr:nvSpPr>
          <xdr:spPr>
            <a:xfrm>
              <a:off x="1081746" y="2402288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𝐶𝑅𝑉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𝐶𝑎𝑝𝑎𝑐𝑖𝑑𝑎𝑑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𝑅𝑒𝑠𝑒𝑟𝑣𝑎𝑑𝑎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𝑉𝑒𝑟𝑖𝑓𝑖𝑐𝑎𝑑𝑎</m:t>
                    </m:r>
                  </m:oMath>
                </m:oMathPara>
              </a14:m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600-000009000000}"/>
                </a:ext>
              </a:extLst>
            </xdr:cNvPr>
            <xdr:cNvSpPr txBox="1"/>
          </xdr:nvSpPr>
          <xdr:spPr>
            <a:xfrm>
              <a:off x="1081746" y="2402288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solidFill>
                    <a:schemeClr val="tx1"/>
                  </a:solidFill>
                  <a:latin typeface="Cambria Math" panose="02040503050406030204" pitchFamily="18" charset="0"/>
                  <a:ea typeface="+mn-ea"/>
                  <a:cs typeface="+mn-cs"/>
                </a:rPr>
                <a:t>𝐶𝑅𝑉=𝐶𝑎𝑝𝑎𝑐𝑖𝑑𝑎𝑑 𝑅𝑒𝑠𝑒𝑟𝑣𝑎𝑑𝑎 𝑉𝑒𝑟𝑖𝑓𝑖𝑐𝑎𝑑𝑎</a:t>
              </a:r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14</xdr:row>
      <xdr:rowOff>43962</xdr:rowOff>
    </xdr:from>
    <xdr:ext cx="1489831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xmlns="" id="{00000000-0008-0000-1A00-00000A000000}"/>
                </a:ext>
              </a:extLst>
            </xdr:cNvPr>
            <xdr:cNvSpPr txBox="1"/>
          </xdr:nvSpPr>
          <xdr:spPr>
            <a:xfrm>
              <a:off x="1064602" y="2872887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𝐾𝐶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𝑐𝑎𝑝𝑎𝑐𝑖𝑑𝑎𝑑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𝑇𝑜𝑡𝑎𝑙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𝑀𝑒𝑛𝑠𝑢𝑎𝑙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0" name="CuadroTexto 9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600-00000A000000}"/>
                </a:ext>
              </a:extLst>
            </xdr:cNvPr>
            <xdr:cNvSpPr txBox="1"/>
          </xdr:nvSpPr>
          <xdr:spPr>
            <a:xfrm>
              <a:off x="1064602" y="2872887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𝐾𝐶=𝑐𝑎𝑝𝑎𝑐𝑖𝑑𝑎𝑑  𝑇𝑜𝑡𝑎𝑙 𝑀𝑒𝑛𝑠𝑢𝑎𝑙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21981</xdr:colOff>
      <xdr:row>22</xdr:row>
      <xdr:rowOff>43961</xdr:rowOff>
    </xdr:from>
    <xdr:ext cx="3487616" cy="2455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xmlns="" id="{00000000-0008-0000-1B00-000002000000}"/>
                </a:ext>
              </a:extLst>
            </xdr:cNvPr>
            <xdr:cNvSpPr txBox="1"/>
          </xdr:nvSpPr>
          <xdr:spPr>
            <a:xfrm>
              <a:off x="1096401" y="446356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presentacion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de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la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Proposicion</m:t>
                  </m:r>
                </m:oMath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700-000002000000}"/>
                </a:ext>
              </a:extLst>
            </xdr:cNvPr>
            <xdr:cNvSpPr txBox="1"/>
          </xdr:nvSpPr>
          <xdr:spPr>
            <a:xfrm>
              <a:off x="1096401" y="446356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𝑚=𝑃𝑟𝑜𝑑𝑢𝑐𝑒𝑟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de la 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"presentacion de la Proposicion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20</xdr:row>
      <xdr:rowOff>51288</xdr:rowOff>
    </xdr:from>
    <xdr:ext cx="3116879" cy="24057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xmlns="" id="{00000000-0008-0000-1B00-000003000000}"/>
                </a:ext>
              </a:extLst>
            </xdr:cNvPr>
            <xdr:cNvSpPr txBox="1"/>
          </xdr:nvSpPr>
          <xdr:spPr>
            <a:xfrm>
              <a:off x="1043354" y="4137513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𝐶𝑉</m:t>
                    </m:r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𝑈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𝐶𝑎𝑟𝑔𝑜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𝑉𝑎𝑟𝑖𝑎𝑏𝑙𝑒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𝑝𝑜𝑟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𝑈𝑠𝑜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𝑝𝑎𝑟𝑎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",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deacuerdo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           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proposicion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, (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Dolares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/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GJ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)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700-000003000000}"/>
                </a:ext>
              </a:extLst>
            </xdr:cNvPr>
            <xdr:cNvSpPr txBox="1"/>
          </xdr:nvSpPr>
          <xdr:spPr>
            <a:xfrm>
              <a:off x="1043354" y="4137513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𝐶𝑉𝑈_𝑚=𝐶𝑎𝑟𝑔𝑜 𝑉𝑎𝑟𝑖𝑎𝑏𝑙𝑒 𝑝𝑜𝑟 𝑈𝑠𝑜 𝑝𝑎𝑟𝑎 𝑒𝑙 𝑀𝑒𝑠 "\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"m\", deacuerdo con la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               proposicion, (Dolares/GJ)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21</xdr:row>
      <xdr:rowOff>65942</xdr:rowOff>
    </xdr:from>
    <xdr:ext cx="3371949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xmlns="" id="{00000000-0008-0000-1B00-000004000000}"/>
                </a:ext>
              </a:extLst>
            </xdr:cNvPr>
            <xdr:cNvSpPr txBox="1"/>
          </xdr:nvSpPr>
          <xdr:spPr>
            <a:xfrm>
              <a:off x="1064601" y="4428392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Facturado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700-000004000000}"/>
                </a:ext>
              </a:extLst>
            </xdr:cNvPr>
            <xdr:cNvSpPr txBox="1"/>
          </xdr:nvSpPr>
          <xdr:spPr>
            <a:xfrm>
              <a:off x="1064601" y="4428392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𝑜=𝑃𝑟𝑜𝑑𝑢𝑐𝑒𝑟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Facturado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24</xdr:row>
      <xdr:rowOff>43962</xdr:rowOff>
    </xdr:from>
    <xdr:ext cx="2621680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xmlns="" id="{00000000-0008-0000-1B00-000005000000}"/>
                </a:ext>
              </a:extLst>
            </xdr:cNvPr>
            <xdr:cNvSpPr txBox="1"/>
          </xdr:nvSpPr>
          <xdr:spPr>
            <a:xfrm>
              <a:off x="1064602" y="5063637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𝑉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𝐶𝑎𝑛𝑡𝑖𝑑𝑎𝑑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𝐶𝑜𝑛𝑓𝑖𝑟𝑚𝑎𝑑𝑎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𝑑𝑒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𝑔𝑎𝑠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𝑒𝑛𝑡𝑟𝑒𝑔𝑎𝑑𝑜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𝑙𝑎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𝐶𝐹𝐸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700-000005000000}"/>
                </a:ext>
              </a:extLst>
            </xdr:cNvPr>
            <xdr:cNvSpPr txBox="1"/>
          </xdr:nvSpPr>
          <xdr:spPr>
            <a:xfrm>
              <a:off x="1064602" y="5063637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𝑉_𝑚𝑚=𝐶𝑎𝑛𝑡𝑖𝑑𝑎𝑑 𝐶𝑜𝑛𝑓𝑖𝑟𝑚𝑎𝑑𝑎 𝑑𝑒 𝑔𝑎𝑠 𝑒𝑛𝑡𝑟𝑒𝑔𝑎𝑑𝑜 𝑎 𝑙𝑎 𝐶𝐹𝐸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21980</xdr:colOff>
      <xdr:row>23</xdr:row>
      <xdr:rowOff>36634</xdr:rowOff>
    </xdr:from>
    <xdr:ext cx="3487616" cy="1342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xmlns="" id="{00000000-0008-0000-1B00-000006000000}"/>
                </a:ext>
              </a:extLst>
            </xdr:cNvPr>
            <xdr:cNvSpPr txBox="1"/>
          </xdr:nvSpPr>
          <xdr:spPr>
            <a:xfrm>
              <a:off x="1096400" y="4730554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/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𝐶𝑜𝑐𝑖𝑒𝑛𝑡𝑒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𝐼𝑛𝑒𝑥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𝑅𝑢𝑏𝑟𝑜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𝐴𝑙𝑙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𝐶𝑜𝑚𝑜𝑑𝑖𝑡𝑖𝑒𝑠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700-000006000000}"/>
                </a:ext>
              </a:extLst>
            </xdr:cNvPr>
            <xdr:cNvSpPr txBox="1"/>
          </xdr:nvSpPr>
          <xdr:spPr>
            <a:xfrm>
              <a:off x="1096400" y="4730554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𝑈𝑆𝑃𝑃𝐼〗_(</a:t>
              </a:r>
              <a:r>
                <a:rPr lang="es-MX" sz="800" b="0" i="0">
                  <a:latin typeface="Cambria Math" panose="02040503050406030204" pitchFamily="18" charset="0"/>
                </a:rPr>
                <a:t>𝑚/𝑜)=𝐶𝑜𝑐𝑖𝑒𝑛𝑡𝑒 𝑃𝑟𝑜𝑑𝑢𝑐𝑒𝑟 𝑃𝑟𝑖𝑐𝑒 𝐼𝑛𝑒𝑥 𝑅𝑢𝑏𝑟𝑜 𝐴𝑙𝑙 𝐶𝑜𝑚𝑜𝑑𝑖𝑡𝑖𝑒𝑠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21981</xdr:colOff>
      <xdr:row>13</xdr:row>
      <xdr:rowOff>43961</xdr:rowOff>
    </xdr:from>
    <xdr:ext cx="3487616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xmlns="" id="{00000000-0008-0000-1B00-000007000000}"/>
                </a:ext>
              </a:extLst>
            </xdr:cNvPr>
            <xdr:cNvSpPr txBox="1"/>
          </xdr:nvSpPr>
          <xdr:spPr>
            <a:xfrm>
              <a:off x="1096401" y="2604281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𝐶𝑅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𝑅𝑒𝑠𝑒𝑟𝑣𝑎𝑑𝑎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700-000007000000}"/>
                </a:ext>
              </a:extLst>
            </xdr:cNvPr>
            <xdr:cNvSpPr txBox="1"/>
          </xdr:nvSpPr>
          <xdr:spPr>
            <a:xfrm>
              <a:off x="1096401" y="2604281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𝐶𝑅=𝐶𝑎𝑝𝑎𝑐𝑖𝑑𝑎𝑑 𝑅𝑒𝑠𝑒𝑟𝑣𝑎𝑑𝑎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11</xdr:row>
      <xdr:rowOff>51288</xdr:rowOff>
    </xdr:from>
    <xdr:ext cx="3281026" cy="12260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xmlns="" id="{00000000-0008-0000-1B00-000008000000}"/>
                </a:ext>
              </a:extLst>
            </xdr:cNvPr>
            <xdr:cNvSpPr txBox="1"/>
          </xdr:nvSpPr>
          <xdr:spPr>
            <a:xfrm>
              <a:off x="1043354" y="2165838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MX" sz="8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𝐶𝐹𝐶</m:t>
                      </m:r>
                    </m:e>
                    <m:sub>
                      <m:r>
                        <a:rPr lang="es-MX" sz="800" b="0" i="1">
                          <a:latin typeface="Cambria Math" panose="02040503050406030204" pitchFamily="18" charset="0"/>
                        </a:rPr>
                        <m:t>𝑚</m:t>
                      </m:r>
                    </m:sub>
                  </m:sSub>
                  <m:r>
                    <a:rPr lang="es-MX" sz="800" b="0" i="1">
                      <a:latin typeface="Cambria Math" panose="02040503050406030204" pitchFamily="18" charset="0"/>
                    </a:rPr>
                    <m:t>=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𝐶𝑎𝑟𝑔𝑜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 </m:t>
                  </m:r>
                </m:oMath>
              </a14:m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700-000008000000}"/>
                </a:ext>
              </a:extLst>
            </xdr:cNvPr>
            <xdr:cNvSpPr txBox="1"/>
          </xdr:nvSpPr>
          <xdr:spPr>
            <a:xfrm>
              <a:off x="1043354" y="2165838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𝐶𝐹𝐶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es-MX" sz="800" b="0" i="0">
                  <a:latin typeface="Cambria Math" panose="02040503050406030204" pitchFamily="18" charset="0"/>
                </a:rPr>
                <a:t>𝑚=𝐶𝑎𝑟𝑔𝑜 </a:t>
              </a:r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12</xdr:row>
      <xdr:rowOff>24848</xdr:rowOff>
    </xdr:from>
    <xdr:ext cx="1922522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xmlns="" id="{00000000-0008-0000-1B00-000009000000}"/>
                </a:ext>
              </a:extLst>
            </xdr:cNvPr>
            <xdr:cNvSpPr txBox="1"/>
          </xdr:nvSpPr>
          <xdr:spPr>
            <a:xfrm>
              <a:off x="1081746" y="2402288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𝐶𝑅𝑉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𝐶𝑎𝑝𝑎𝑐𝑖𝑑𝑎𝑑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𝑅𝑒𝑠𝑒𝑟𝑣𝑎𝑑𝑎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𝑉𝑒𝑟𝑖𝑓𝑖𝑐𝑎𝑑𝑎</m:t>
                    </m:r>
                  </m:oMath>
                </m:oMathPara>
              </a14:m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700-000009000000}"/>
                </a:ext>
              </a:extLst>
            </xdr:cNvPr>
            <xdr:cNvSpPr txBox="1"/>
          </xdr:nvSpPr>
          <xdr:spPr>
            <a:xfrm>
              <a:off x="1081746" y="2402288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solidFill>
                    <a:schemeClr val="tx1"/>
                  </a:solidFill>
                  <a:latin typeface="Cambria Math" panose="02040503050406030204" pitchFamily="18" charset="0"/>
                  <a:ea typeface="+mn-ea"/>
                  <a:cs typeface="+mn-cs"/>
                </a:rPr>
                <a:t>𝐶𝑅𝑉=𝐶𝑎𝑝𝑎𝑐𝑖𝑑𝑎𝑑 𝑅𝑒𝑠𝑒𝑟𝑣𝑎𝑑𝑎 𝑉𝑒𝑟𝑖𝑓𝑖𝑐𝑎𝑑𝑎</a:t>
              </a:r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14</xdr:row>
      <xdr:rowOff>43962</xdr:rowOff>
    </xdr:from>
    <xdr:ext cx="1489831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xmlns="" id="{00000000-0008-0000-1B00-00000A000000}"/>
                </a:ext>
              </a:extLst>
            </xdr:cNvPr>
            <xdr:cNvSpPr txBox="1"/>
          </xdr:nvSpPr>
          <xdr:spPr>
            <a:xfrm>
              <a:off x="1064602" y="2872887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𝐾𝐶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𝑐𝑎𝑝𝑎𝑐𝑖𝑑𝑎𝑑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𝑇𝑜𝑡𝑎𝑙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𝑀𝑒𝑛𝑠𝑢𝑎𝑙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0" name="CuadroTexto 9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700-00000A000000}"/>
                </a:ext>
              </a:extLst>
            </xdr:cNvPr>
            <xdr:cNvSpPr txBox="1"/>
          </xdr:nvSpPr>
          <xdr:spPr>
            <a:xfrm>
              <a:off x="1064602" y="2872887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𝐾𝐶=𝑐𝑎𝑝𝑎𝑐𝑖𝑑𝑎𝑑  𝑇𝑜𝑡𝑎𝑙 𝑀𝑒𝑛𝑠𝑢𝑎𝑙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21981</xdr:colOff>
      <xdr:row>22</xdr:row>
      <xdr:rowOff>43961</xdr:rowOff>
    </xdr:from>
    <xdr:ext cx="3487616" cy="2455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xmlns="" id="{00000000-0008-0000-1C00-000002000000}"/>
                </a:ext>
              </a:extLst>
            </xdr:cNvPr>
            <xdr:cNvSpPr txBox="1"/>
          </xdr:nvSpPr>
          <xdr:spPr>
            <a:xfrm>
              <a:off x="1096401" y="446356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presentacion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de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la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Proposicion</m:t>
                  </m:r>
                </m:oMath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800-000002000000}"/>
                </a:ext>
              </a:extLst>
            </xdr:cNvPr>
            <xdr:cNvSpPr txBox="1"/>
          </xdr:nvSpPr>
          <xdr:spPr>
            <a:xfrm>
              <a:off x="1096401" y="446356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𝑚=𝑃𝑟𝑜𝑑𝑢𝑐𝑒𝑟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de la 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"presentacion de la Proposicion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20</xdr:row>
      <xdr:rowOff>51288</xdr:rowOff>
    </xdr:from>
    <xdr:ext cx="3116879" cy="24057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xmlns="" id="{00000000-0008-0000-1C00-000003000000}"/>
                </a:ext>
              </a:extLst>
            </xdr:cNvPr>
            <xdr:cNvSpPr txBox="1"/>
          </xdr:nvSpPr>
          <xdr:spPr>
            <a:xfrm>
              <a:off x="1043354" y="4137513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𝐶𝑉</m:t>
                    </m:r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𝑈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𝐶𝑎𝑟𝑔𝑜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𝑉𝑎𝑟𝑖𝑎𝑏𝑙𝑒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𝑝𝑜𝑟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𝑈𝑠𝑜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𝑝𝑎𝑟𝑎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",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deacuerdo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           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proposicion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, (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Dolares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/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GJ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)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800-000003000000}"/>
                </a:ext>
              </a:extLst>
            </xdr:cNvPr>
            <xdr:cNvSpPr txBox="1"/>
          </xdr:nvSpPr>
          <xdr:spPr>
            <a:xfrm>
              <a:off x="1043354" y="4137513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𝐶𝑉𝑈_𝑚=𝐶𝑎𝑟𝑔𝑜 𝑉𝑎𝑟𝑖𝑎𝑏𝑙𝑒 𝑝𝑜𝑟 𝑈𝑠𝑜 𝑝𝑎𝑟𝑎 𝑒𝑙 𝑀𝑒𝑠 "\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"m\", deacuerdo con la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               proposicion, (Dolares/GJ)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21</xdr:row>
      <xdr:rowOff>65942</xdr:rowOff>
    </xdr:from>
    <xdr:ext cx="3371949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xmlns="" id="{00000000-0008-0000-1C00-000004000000}"/>
                </a:ext>
              </a:extLst>
            </xdr:cNvPr>
            <xdr:cNvSpPr txBox="1"/>
          </xdr:nvSpPr>
          <xdr:spPr>
            <a:xfrm>
              <a:off x="1064601" y="4428392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Facturado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800-000004000000}"/>
                </a:ext>
              </a:extLst>
            </xdr:cNvPr>
            <xdr:cNvSpPr txBox="1"/>
          </xdr:nvSpPr>
          <xdr:spPr>
            <a:xfrm>
              <a:off x="1064601" y="4428392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𝑜=𝑃𝑟𝑜𝑑𝑢𝑐𝑒𝑟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Facturado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24</xdr:row>
      <xdr:rowOff>43962</xdr:rowOff>
    </xdr:from>
    <xdr:ext cx="2621680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xmlns="" id="{00000000-0008-0000-1C00-000005000000}"/>
                </a:ext>
              </a:extLst>
            </xdr:cNvPr>
            <xdr:cNvSpPr txBox="1"/>
          </xdr:nvSpPr>
          <xdr:spPr>
            <a:xfrm>
              <a:off x="1064602" y="5063637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𝑉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𝐶𝑎𝑛𝑡𝑖𝑑𝑎𝑑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𝐶𝑜𝑛𝑓𝑖𝑟𝑚𝑎𝑑𝑎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𝑑𝑒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𝑔𝑎𝑠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𝑒𝑛𝑡𝑟𝑒𝑔𝑎𝑑𝑜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𝑙𝑎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𝐶𝐹𝐸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800-000005000000}"/>
                </a:ext>
              </a:extLst>
            </xdr:cNvPr>
            <xdr:cNvSpPr txBox="1"/>
          </xdr:nvSpPr>
          <xdr:spPr>
            <a:xfrm>
              <a:off x="1064602" y="5063637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𝑉_𝑚𝑚=𝐶𝑎𝑛𝑡𝑖𝑑𝑎𝑑 𝐶𝑜𝑛𝑓𝑖𝑟𝑚𝑎𝑑𝑎 𝑑𝑒 𝑔𝑎𝑠 𝑒𝑛𝑡𝑟𝑒𝑔𝑎𝑑𝑜 𝑎 𝑙𝑎 𝐶𝐹𝐸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21980</xdr:colOff>
      <xdr:row>23</xdr:row>
      <xdr:rowOff>36634</xdr:rowOff>
    </xdr:from>
    <xdr:ext cx="3487616" cy="1342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xmlns="" id="{00000000-0008-0000-1C00-000006000000}"/>
                </a:ext>
              </a:extLst>
            </xdr:cNvPr>
            <xdr:cNvSpPr txBox="1"/>
          </xdr:nvSpPr>
          <xdr:spPr>
            <a:xfrm>
              <a:off x="1096400" y="4730554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/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𝐶𝑜𝑐𝑖𝑒𝑛𝑡𝑒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𝐼𝑛𝑒𝑥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𝑅𝑢𝑏𝑟𝑜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𝐴𝑙𝑙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𝐶𝑜𝑚𝑜𝑑𝑖𝑡𝑖𝑒𝑠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800-000006000000}"/>
                </a:ext>
              </a:extLst>
            </xdr:cNvPr>
            <xdr:cNvSpPr txBox="1"/>
          </xdr:nvSpPr>
          <xdr:spPr>
            <a:xfrm>
              <a:off x="1096400" y="4730554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𝑈𝑆𝑃𝑃𝐼〗_(</a:t>
              </a:r>
              <a:r>
                <a:rPr lang="es-MX" sz="800" b="0" i="0">
                  <a:latin typeface="Cambria Math" panose="02040503050406030204" pitchFamily="18" charset="0"/>
                </a:rPr>
                <a:t>𝑚/𝑜)=𝐶𝑜𝑐𝑖𝑒𝑛𝑡𝑒 𝑃𝑟𝑜𝑑𝑢𝑐𝑒𝑟 𝑃𝑟𝑖𝑐𝑒 𝐼𝑛𝑒𝑥 𝑅𝑢𝑏𝑟𝑜 𝐴𝑙𝑙 𝐶𝑜𝑚𝑜𝑑𝑖𝑡𝑖𝑒𝑠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21981</xdr:colOff>
      <xdr:row>13</xdr:row>
      <xdr:rowOff>43961</xdr:rowOff>
    </xdr:from>
    <xdr:ext cx="3487616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xmlns="" id="{00000000-0008-0000-1C00-000007000000}"/>
                </a:ext>
              </a:extLst>
            </xdr:cNvPr>
            <xdr:cNvSpPr txBox="1"/>
          </xdr:nvSpPr>
          <xdr:spPr>
            <a:xfrm>
              <a:off x="1096401" y="2604281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𝐶𝑅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𝑅𝑒𝑠𝑒𝑟𝑣𝑎𝑑𝑎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800-000007000000}"/>
                </a:ext>
              </a:extLst>
            </xdr:cNvPr>
            <xdr:cNvSpPr txBox="1"/>
          </xdr:nvSpPr>
          <xdr:spPr>
            <a:xfrm>
              <a:off x="1096401" y="2604281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𝐶𝑅=𝐶𝑎𝑝𝑎𝑐𝑖𝑑𝑎𝑑 𝑅𝑒𝑠𝑒𝑟𝑣𝑎𝑑𝑎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11</xdr:row>
      <xdr:rowOff>51288</xdr:rowOff>
    </xdr:from>
    <xdr:ext cx="3281026" cy="12260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xmlns="" id="{00000000-0008-0000-1C00-000008000000}"/>
                </a:ext>
              </a:extLst>
            </xdr:cNvPr>
            <xdr:cNvSpPr txBox="1"/>
          </xdr:nvSpPr>
          <xdr:spPr>
            <a:xfrm>
              <a:off x="1043354" y="2165838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MX" sz="8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𝐶𝐹𝐶</m:t>
                      </m:r>
                    </m:e>
                    <m:sub>
                      <m:r>
                        <a:rPr lang="es-MX" sz="800" b="0" i="1">
                          <a:latin typeface="Cambria Math" panose="02040503050406030204" pitchFamily="18" charset="0"/>
                        </a:rPr>
                        <m:t>𝑚</m:t>
                      </m:r>
                    </m:sub>
                  </m:sSub>
                  <m:r>
                    <a:rPr lang="es-MX" sz="800" b="0" i="1">
                      <a:latin typeface="Cambria Math" panose="02040503050406030204" pitchFamily="18" charset="0"/>
                    </a:rPr>
                    <m:t>=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𝐶𝑎𝑟𝑔𝑜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 </m:t>
                  </m:r>
                </m:oMath>
              </a14:m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800-000008000000}"/>
                </a:ext>
              </a:extLst>
            </xdr:cNvPr>
            <xdr:cNvSpPr txBox="1"/>
          </xdr:nvSpPr>
          <xdr:spPr>
            <a:xfrm>
              <a:off x="1043354" y="2165838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𝐶𝐹𝐶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es-MX" sz="800" b="0" i="0">
                  <a:latin typeface="Cambria Math" panose="02040503050406030204" pitchFamily="18" charset="0"/>
                </a:rPr>
                <a:t>𝑚=𝐶𝑎𝑟𝑔𝑜 </a:t>
              </a:r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12</xdr:row>
      <xdr:rowOff>24848</xdr:rowOff>
    </xdr:from>
    <xdr:ext cx="1922522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xmlns="" id="{00000000-0008-0000-1C00-000009000000}"/>
                </a:ext>
              </a:extLst>
            </xdr:cNvPr>
            <xdr:cNvSpPr txBox="1"/>
          </xdr:nvSpPr>
          <xdr:spPr>
            <a:xfrm>
              <a:off x="1081746" y="2402288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𝐶𝑅𝑉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𝐶𝑎𝑝𝑎𝑐𝑖𝑑𝑎𝑑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𝑅𝑒𝑠𝑒𝑟𝑣𝑎𝑑𝑎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𝑉𝑒𝑟𝑖𝑓𝑖𝑐𝑎𝑑𝑎</m:t>
                    </m:r>
                  </m:oMath>
                </m:oMathPara>
              </a14:m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800-000009000000}"/>
                </a:ext>
              </a:extLst>
            </xdr:cNvPr>
            <xdr:cNvSpPr txBox="1"/>
          </xdr:nvSpPr>
          <xdr:spPr>
            <a:xfrm>
              <a:off x="1081746" y="2402288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solidFill>
                    <a:schemeClr val="tx1"/>
                  </a:solidFill>
                  <a:latin typeface="Cambria Math" panose="02040503050406030204" pitchFamily="18" charset="0"/>
                  <a:ea typeface="+mn-ea"/>
                  <a:cs typeface="+mn-cs"/>
                </a:rPr>
                <a:t>𝐶𝑅𝑉=𝐶𝑎𝑝𝑎𝑐𝑖𝑑𝑎𝑑 𝑅𝑒𝑠𝑒𝑟𝑣𝑎𝑑𝑎 𝑉𝑒𝑟𝑖𝑓𝑖𝑐𝑎𝑑𝑎</a:t>
              </a:r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14</xdr:row>
      <xdr:rowOff>43962</xdr:rowOff>
    </xdr:from>
    <xdr:ext cx="1489831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xmlns="" id="{00000000-0008-0000-1C00-00000A000000}"/>
                </a:ext>
              </a:extLst>
            </xdr:cNvPr>
            <xdr:cNvSpPr txBox="1"/>
          </xdr:nvSpPr>
          <xdr:spPr>
            <a:xfrm>
              <a:off x="1064602" y="2872887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𝐾𝐶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𝑐𝑎𝑝𝑎𝑐𝑖𝑑𝑎𝑑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𝑇𝑜𝑡𝑎𝑙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𝑀𝑒𝑛𝑠𝑢𝑎𝑙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0" name="CuadroTexto 9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800-00000A000000}"/>
                </a:ext>
              </a:extLst>
            </xdr:cNvPr>
            <xdr:cNvSpPr txBox="1"/>
          </xdr:nvSpPr>
          <xdr:spPr>
            <a:xfrm>
              <a:off x="1064602" y="2872887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𝐾𝐶=𝑐𝑎𝑝𝑎𝑐𝑖𝑑𝑎𝑑  𝑇𝑜𝑡𝑎𝑙 𝑀𝑒𝑛𝑠𝑢𝑎𝑙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21981</xdr:colOff>
      <xdr:row>22</xdr:row>
      <xdr:rowOff>43961</xdr:rowOff>
    </xdr:from>
    <xdr:ext cx="3487616" cy="2455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xmlns="" id="{00000000-0008-0000-1D00-000002000000}"/>
                </a:ext>
              </a:extLst>
            </xdr:cNvPr>
            <xdr:cNvSpPr txBox="1"/>
          </xdr:nvSpPr>
          <xdr:spPr>
            <a:xfrm>
              <a:off x="1096401" y="446356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presentacion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de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la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Proposicion</m:t>
                  </m:r>
                </m:oMath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900-000002000000}"/>
                </a:ext>
              </a:extLst>
            </xdr:cNvPr>
            <xdr:cNvSpPr txBox="1"/>
          </xdr:nvSpPr>
          <xdr:spPr>
            <a:xfrm>
              <a:off x="1096401" y="446356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𝑚=𝑃𝑟𝑜𝑑𝑢𝑐𝑒𝑟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de la 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"presentacion de la Proposicion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20</xdr:row>
      <xdr:rowOff>51288</xdr:rowOff>
    </xdr:from>
    <xdr:ext cx="3116879" cy="24057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xmlns="" id="{00000000-0008-0000-1D00-000003000000}"/>
                </a:ext>
              </a:extLst>
            </xdr:cNvPr>
            <xdr:cNvSpPr txBox="1"/>
          </xdr:nvSpPr>
          <xdr:spPr>
            <a:xfrm>
              <a:off x="1043354" y="4137513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𝐶𝑉</m:t>
                    </m:r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𝑈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𝐶𝑎𝑟𝑔𝑜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𝑉𝑎𝑟𝑖𝑎𝑏𝑙𝑒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𝑝𝑜𝑟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𝑈𝑠𝑜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𝑝𝑎𝑟𝑎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",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deacuerdo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           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proposicion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, (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Dolares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/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GJ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)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900-000003000000}"/>
                </a:ext>
              </a:extLst>
            </xdr:cNvPr>
            <xdr:cNvSpPr txBox="1"/>
          </xdr:nvSpPr>
          <xdr:spPr>
            <a:xfrm>
              <a:off x="1043354" y="4137513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𝐶𝑉𝑈_𝑚=𝐶𝑎𝑟𝑔𝑜 𝑉𝑎𝑟𝑖𝑎𝑏𝑙𝑒 𝑝𝑜𝑟 𝑈𝑠𝑜 𝑝𝑎𝑟𝑎 𝑒𝑙 𝑀𝑒𝑠 "\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"m\", deacuerdo con la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               proposicion, (Dolares/GJ)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21</xdr:row>
      <xdr:rowOff>65942</xdr:rowOff>
    </xdr:from>
    <xdr:ext cx="3371949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xmlns="" id="{00000000-0008-0000-1D00-000004000000}"/>
                </a:ext>
              </a:extLst>
            </xdr:cNvPr>
            <xdr:cNvSpPr txBox="1"/>
          </xdr:nvSpPr>
          <xdr:spPr>
            <a:xfrm>
              <a:off x="1064601" y="4428392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Facturado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900-000004000000}"/>
                </a:ext>
              </a:extLst>
            </xdr:cNvPr>
            <xdr:cNvSpPr txBox="1"/>
          </xdr:nvSpPr>
          <xdr:spPr>
            <a:xfrm>
              <a:off x="1064601" y="4428392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𝑜=𝑃𝑟𝑜𝑑𝑢𝑐𝑒𝑟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Facturado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24</xdr:row>
      <xdr:rowOff>43962</xdr:rowOff>
    </xdr:from>
    <xdr:ext cx="2621680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xmlns="" id="{00000000-0008-0000-1D00-000005000000}"/>
                </a:ext>
              </a:extLst>
            </xdr:cNvPr>
            <xdr:cNvSpPr txBox="1"/>
          </xdr:nvSpPr>
          <xdr:spPr>
            <a:xfrm>
              <a:off x="1064602" y="5063637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𝑉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𝐶𝑎𝑛𝑡𝑖𝑑𝑎𝑑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𝐶𝑜𝑛𝑓𝑖𝑟𝑚𝑎𝑑𝑎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𝑑𝑒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𝑔𝑎𝑠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𝑒𝑛𝑡𝑟𝑒𝑔𝑎𝑑𝑜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𝑙𝑎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𝐶𝐹𝐸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900-000005000000}"/>
                </a:ext>
              </a:extLst>
            </xdr:cNvPr>
            <xdr:cNvSpPr txBox="1"/>
          </xdr:nvSpPr>
          <xdr:spPr>
            <a:xfrm>
              <a:off x="1064602" y="5063637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𝑉_𝑚𝑚=𝐶𝑎𝑛𝑡𝑖𝑑𝑎𝑑 𝐶𝑜𝑛𝑓𝑖𝑟𝑚𝑎𝑑𝑎 𝑑𝑒 𝑔𝑎𝑠 𝑒𝑛𝑡𝑟𝑒𝑔𝑎𝑑𝑜 𝑎 𝑙𝑎 𝐶𝐹𝐸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21980</xdr:colOff>
      <xdr:row>23</xdr:row>
      <xdr:rowOff>36634</xdr:rowOff>
    </xdr:from>
    <xdr:ext cx="3487616" cy="1342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xmlns="" id="{00000000-0008-0000-1D00-000006000000}"/>
                </a:ext>
              </a:extLst>
            </xdr:cNvPr>
            <xdr:cNvSpPr txBox="1"/>
          </xdr:nvSpPr>
          <xdr:spPr>
            <a:xfrm>
              <a:off x="1096400" y="4730554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/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𝐶𝑜𝑐𝑖𝑒𝑛𝑡𝑒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𝐼𝑛𝑒𝑥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𝑅𝑢𝑏𝑟𝑜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𝐴𝑙𝑙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𝐶𝑜𝑚𝑜𝑑𝑖𝑡𝑖𝑒𝑠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900-000006000000}"/>
                </a:ext>
              </a:extLst>
            </xdr:cNvPr>
            <xdr:cNvSpPr txBox="1"/>
          </xdr:nvSpPr>
          <xdr:spPr>
            <a:xfrm>
              <a:off x="1096400" y="4730554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𝑈𝑆𝑃𝑃𝐼〗_(</a:t>
              </a:r>
              <a:r>
                <a:rPr lang="es-MX" sz="800" b="0" i="0">
                  <a:latin typeface="Cambria Math" panose="02040503050406030204" pitchFamily="18" charset="0"/>
                </a:rPr>
                <a:t>𝑚/𝑜)=𝐶𝑜𝑐𝑖𝑒𝑛𝑡𝑒 𝑃𝑟𝑜𝑑𝑢𝑐𝑒𝑟 𝑃𝑟𝑖𝑐𝑒 𝐼𝑛𝑒𝑥 𝑅𝑢𝑏𝑟𝑜 𝐴𝑙𝑙 𝐶𝑜𝑚𝑜𝑑𝑖𝑡𝑖𝑒𝑠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21981</xdr:colOff>
      <xdr:row>13</xdr:row>
      <xdr:rowOff>43961</xdr:rowOff>
    </xdr:from>
    <xdr:ext cx="3487616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xmlns="" id="{00000000-0008-0000-1D00-000007000000}"/>
                </a:ext>
              </a:extLst>
            </xdr:cNvPr>
            <xdr:cNvSpPr txBox="1"/>
          </xdr:nvSpPr>
          <xdr:spPr>
            <a:xfrm>
              <a:off x="1096401" y="2604281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𝐶𝑅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𝑅𝑒𝑠𝑒𝑟𝑣𝑎𝑑𝑎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900-000007000000}"/>
                </a:ext>
              </a:extLst>
            </xdr:cNvPr>
            <xdr:cNvSpPr txBox="1"/>
          </xdr:nvSpPr>
          <xdr:spPr>
            <a:xfrm>
              <a:off x="1096401" y="2604281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𝐶𝑅=𝐶𝑎𝑝𝑎𝑐𝑖𝑑𝑎𝑑 𝑅𝑒𝑠𝑒𝑟𝑣𝑎𝑑𝑎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11</xdr:row>
      <xdr:rowOff>51288</xdr:rowOff>
    </xdr:from>
    <xdr:ext cx="3281026" cy="12260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xmlns="" id="{00000000-0008-0000-1D00-000008000000}"/>
                </a:ext>
              </a:extLst>
            </xdr:cNvPr>
            <xdr:cNvSpPr txBox="1"/>
          </xdr:nvSpPr>
          <xdr:spPr>
            <a:xfrm>
              <a:off x="1043354" y="2165838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MX" sz="8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𝐶𝐹𝐶</m:t>
                      </m:r>
                    </m:e>
                    <m:sub>
                      <m:r>
                        <a:rPr lang="es-MX" sz="800" b="0" i="1">
                          <a:latin typeface="Cambria Math" panose="02040503050406030204" pitchFamily="18" charset="0"/>
                        </a:rPr>
                        <m:t>𝑚</m:t>
                      </m:r>
                    </m:sub>
                  </m:sSub>
                  <m:r>
                    <a:rPr lang="es-MX" sz="800" b="0" i="1">
                      <a:latin typeface="Cambria Math" panose="02040503050406030204" pitchFamily="18" charset="0"/>
                    </a:rPr>
                    <m:t>=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𝐶𝑎𝑟𝑔𝑜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 </m:t>
                  </m:r>
                </m:oMath>
              </a14:m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900-000008000000}"/>
                </a:ext>
              </a:extLst>
            </xdr:cNvPr>
            <xdr:cNvSpPr txBox="1"/>
          </xdr:nvSpPr>
          <xdr:spPr>
            <a:xfrm>
              <a:off x="1043354" y="2165838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𝐶𝐹𝐶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es-MX" sz="800" b="0" i="0">
                  <a:latin typeface="Cambria Math" panose="02040503050406030204" pitchFamily="18" charset="0"/>
                </a:rPr>
                <a:t>𝑚=𝐶𝑎𝑟𝑔𝑜 </a:t>
              </a:r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12</xdr:row>
      <xdr:rowOff>24848</xdr:rowOff>
    </xdr:from>
    <xdr:ext cx="1922522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xmlns="" id="{00000000-0008-0000-1D00-000009000000}"/>
                </a:ext>
              </a:extLst>
            </xdr:cNvPr>
            <xdr:cNvSpPr txBox="1"/>
          </xdr:nvSpPr>
          <xdr:spPr>
            <a:xfrm>
              <a:off x="1081746" y="2402288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𝐶𝑅𝑉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𝐶𝑎𝑝𝑎𝑐𝑖𝑑𝑎𝑑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𝑅𝑒𝑠𝑒𝑟𝑣𝑎𝑑𝑎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𝑉𝑒𝑟𝑖𝑓𝑖𝑐𝑎𝑑𝑎</m:t>
                    </m:r>
                  </m:oMath>
                </m:oMathPara>
              </a14:m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900-000009000000}"/>
                </a:ext>
              </a:extLst>
            </xdr:cNvPr>
            <xdr:cNvSpPr txBox="1"/>
          </xdr:nvSpPr>
          <xdr:spPr>
            <a:xfrm>
              <a:off x="1081746" y="2402288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solidFill>
                    <a:schemeClr val="tx1"/>
                  </a:solidFill>
                  <a:latin typeface="Cambria Math" panose="02040503050406030204" pitchFamily="18" charset="0"/>
                  <a:ea typeface="+mn-ea"/>
                  <a:cs typeface="+mn-cs"/>
                </a:rPr>
                <a:t>𝐶𝑅𝑉=𝐶𝑎𝑝𝑎𝑐𝑖𝑑𝑎𝑑 𝑅𝑒𝑠𝑒𝑟𝑣𝑎𝑑𝑎 𝑉𝑒𝑟𝑖𝑓𝑖𝑐𝑎𝑑𝑎</a:t>
              </a:r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14</xdr:row>
      <xdr:rowOff>43962</xdr:rowOff>
    </xdr:from>
    <xdr:ext cx="1489831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xmlns="" id="{00000000-0008-0000-1D00-00000A000000}"/>
                </a:ext>
              </a:extLst>
            </xdr:cNvPr>
            <xdr:cNvSpPr txBox="1"/>
          </xdr:nvSpPr>
          <xdr:spPr>
            <a:xfrm>
              <a:off x="1064602" y="2872887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𝐾𝐶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𝑐𝑎𝑝𝑎𝑐𝑖𝑑𝑎𝑑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𝑇𝑜𝑡𝑎𝑙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𝑀𝑒𝑛𝑠𝑢𝑎𝑙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0" name="CuadroTexto 9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900-00000A000000}"/>
                </a:ext>
              </a:extLst>
            </xdr:cNvPr>
            <xdr:cNvSpPr txBox="1"/>
          </xdr:nvSpPr>
          <xdr:spPr>
            <a:xfrm>
              <a:off x="1064602" y="2872887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𝐾𝐶=𝑐𝑎𝑝𝑎𝑐𝑖𝑑𝑎𝑑  𝑇𝑜𝑡𝑎𝑙 𝑀𝑒𝑛𝑠𝑢𝑎𝑙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21981</xdr:colOff>
      <xdr:row>22</xdr:row>
      <xdr:rowOff>43961</xdr:rowOff>
    </xdr:from>
    <xdr:ext cx="3487616" cy="2455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xmlns="" id="{00000000-0008-0000-1E00-000002000000}"/>
                </a:ext>
              </a:extLst>
            </xdr:cNvPr>
            <xdr:cNvSpPr txBox="1"/>
          </xdr:nvSpPr>
          <xdr:spPr>
            <a:xfrm>
              <a:off x="1096401" y="446356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presentacion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de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la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Proposicion</m:t>
                  </m:r>
                </m:oMath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A00-000002000000}"/>
                </a:ext>
              </a:extLst>
            </xdr:cNvPr>
            <xdr:cNvSpPr txBox="1"/>
          </xdr:nvSpPr>
          <xdr:spPr>
            <a:xfrm>
              <a:off x="1096401" y="446356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𝑚=𝑃𝑟𝑜𝑑𝑢𝑐𝑒𝑟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de la 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"presentacion de la Proposicion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20</xdr:row>
      <xdr:rowOff>51288</xdr:rowOff>
    </xdr:from>
    <xdr:ext cx="3116879" cy="24057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xmlns="" id="{00000000-0008-0000-1E00-000003000000}"/>
                </a:ext>
              </a:extLst>
            </xdr:cNvPr>
            <xdr:cNvSpPr txBox="1"/>
          </xdr:nvSpPr>
          <xdr:spPr>
            <a:xfrm>
              <a:off x="1043354" y="4137513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𝐶𝑉</m:t>
                    </m:r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𝑈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𝐶𝑎𝑟𝑔𝑜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𝑉𝑎𝑟𝑖𝑎𝑏𝑙𝑒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𝑝𝑜𝑟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𝑈𝑠𝑜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𝑝𝑎𝑟𝑎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",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deacuerdo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           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proposicion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, (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Dolares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/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GJ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)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A00-000003000000}"/>
                </a:ext>
              </a:extLst>
            </xdr:cNvPr>
            <xdr:cNvSpPr txBox="1"/>
          </xdr:nvSpPr>
          <xdr:spPr>
            <a:xfrm>
              <a:off x="1043354" y="4137513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𝐶𝑉𝑈_𝑚=𝐶𝑎𝑟𝑔𝑜 𝑉𝑎𝑟𝑖𝑎𝑏𝑙𝑒 𝑝𝑜𝑟 𝑈𝑠𝑜 𝑝𝑎𝑟𝑎 𝑒𝑙 𝑀𝑒𝑠 "\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"m\", deacuerdo con la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               proposicion, (Dolares/GJ)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21</xdr:row>
      <xdr:rowOff>65942</xdr:rowOff>
    </xdr:from>
    <xdr:ext cx="3371949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xmlns="" id="{00000000-0008-0000-1E00-000004000000}"/>
                </a:ext>
              </a:extLst>
            </xdr:cNvPr>
            <xdr:cNvSpPr txBox="1"/>
          </xdr:nvSpPr>
          <xdr:spPr>
            <a:xfrm>
              <a:off x="1064601" y="4428392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Facturado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A00-000004000000}"/>
                </a:ext>
              </a:extLst>
            </xdr:cNvPr>
            <xdr:cNvSpPr txBox="1"/>
          </xdr:nvSpPr>
          <xdr:spPr>
            <a:xfrm>
              <a:off x="1064601" y="4428392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𝑜=𝑃𝑟𝑜𝑑𝑢𝑐𝑒𝑟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Facturado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24</xdr:row>
      <xdr:rowOff>43962</xdr:rowOff>
    </xdr:from>
    <xdr:ext cx="2621680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xmlns="" id="{00000000-0008-0000-1E00-000005000000}"/>
                </a:ext>
              </a:extLst>
            </xdr:cNvPr>
            <xdr:cNvSpPr txBox="1"/>
          </xdr:nvSpPr>
          <xdr:spPr>
            <a:xfrm>
              <a:off x="1064602" y="5063637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𝑉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𝐶𝑎𝑛𝑡𝑖𝑑𝑎𝑑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𝐶𝑜𝑛𝑓𝑖𝑟𝑚𝑎𝑑𝑎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𝑑𝑒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𝑔𝑎𝑠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𝑒𝑛𝑡𝑟𝑒𝑔𝑎𝑑𝑜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𝑙𝑎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𝐶𝐹𝐸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A00-000005000000}"/>
                </a:ext>
              </a:extLst>
            </xdr:cNvPr>
            <xdr:cNvSpPr txBox="1"/>
          </xdr:nvSpPr>
          <xdr:spPr>
            <a:xfrm>
              <a:off x="1064602" y="5063637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𝑉_𝑚𝑚=𝐶𝑎𝑛𝑡𝑖𝑑𝑎𝑑 𝐶𝑜𝑛𝑓𝑖𝑟𝑚𝑎𝑑𝑎 𝑑𝑒 𝑔𝑎𝑠 𝑒𝑛𝑡𝑟𝑒𝑔𝑎𝑑𝑜 𝑎 𝑙𝑎 𝐶𝐹𝐸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21980</xdr:colOff>
      <xdr:row>23</xdr:row>
      <xdr:rowOff>36634</xdr:rowOff>
    </xdr:from>
    <xdr:ext cx="3487616" cy="1342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xmlns="" id="{00000000-0008-0000-1E00-000006000000}"/>
                </a:ext>
              </a:extLst>
            </xdr:cNvPr>
            <xdr:cNvSpPr txBox="1"/>
          </xdr:nvSpPr>
          <xdr:spPr>
            <a:xfrm>
              <a:off x="1096400" y="4730554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/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𝐶𝑜𝑐𝑖𝑒𝑛𝑡𝑒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𝐼𝑛𝑒𝑥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𝑅𝑢𝑏𝑟𝑜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𝐴𝑙𝑙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𝐶𝑜𝑚𝑜𝑑𝑖𝑡𝑖𝑒𝑠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A00-000006000000}"/>
                </a:ext>
              </a:extLst>
            </xdr:cNvPr>
            <xdr:cNvSpPr txBox="1"/>
          </xdr:nvSpPr>
          <xdr:spPr>
            <a:xfrm>
              <a:off x="1096400" y="4730554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𝑈𝑆𝑃𝑃𝐼〗_(</a:t>
              </a:r>
              <a:r>
                <a:rPr lang="es-MX" sz="800" b="0" i="0">
                  <a:latin typeface="Cambria Math" panose="02040503050406030204" pitchFamily="18" charset="0"/>
                </a:rPr>
                <a:t>𝑚/𝑜)=𝐶𝑜𝑐𝑖𝑒𝑛𝑡𝑒 𝑃𝑟𝑜𝑑𝑢𝑐𝑒𝑟 𝑃𝑟𝑖𝑐𝑒 𝐼𝑛𝑒𝑥 𝑅𝑢𝑏𝑟𝑜 𝐴𝑙𝑙 𝐶𝑜𝑚𝑜𝑑𝑖𝑡𝑖𝑒𝑠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21981</xdr:colOff>
      <xdr:row>13</xdr:row>
      <xdr:rowOff>43961</xdr:rowOff>
    </xdr:from>
    <xdr:ext cx="3487616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xmlns="" id="{00000000-0008-0000-1E00-000007000000}"/>
                </a:ext>
              </a:extLst>
            </xdr:cNvPr>
            <xdr:cNvSpPr txBox="1"/>
          </xdr:nvSpPr>
          <xdr:spPr>
            <a:xfrm>
              <a:off x="1096401" y="2604281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𝐶𝑅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𝑅𝑒𝑠𝑒𝑟𝑣𝑎𝑑𝑎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A00-000007000000}"/>
                </a:ext>
              </a:extLst>
            </xdr:cNvPr>
            <xdr:cNvSpPr txBox="1"/>
          </xdr:nvSpPr>
          <xdr:spPr>
            <a:xfrm>
              <a:off x="1096401" y="2604281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𝐶𝑅=𝐶𝑎𝑝𝑎𝑐𝑖𝑑𝑎𝑑 𝑅𝑒𝑠𝑒𝑟𝑣𝑎𝑑𝑎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11</xdr:row>
      <xdr:rowOff>51288</xdr:rowOff>
    </xdr:from>
    <xdr:ext cx="3281026" cy="12260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xmlns="" id="{00000000-0008-0000-1E00-000008000000}"/>
                </a:ext>
              </a:extLst>
            </xdr:cNvPr>
            <xdr:cNvSpPr txBox="1"/>
          </xdr:nvSpPr>
          <xdr:spPr>
            <a:xfrm>
              <a:off x="1043354" y="2165838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MX" sz="8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𝐶𝐹𝐶</m:t>
                      </m:r>
                    </m:e>
                    <m:sub>
                      <m:r>
                        <a:rPr lang="es-MX" sz="800" b="0" i="1">
                          <a:latin typeface="Cambria Math" panose="02040503050406030204" pitchFamily="18" charset="0"/>
                        </a:rPr>
                        <m:t>𝑚</m:t>
                      </m:r>
                    </m:sub>
                  </m:sSub>
                  <m:r>
                    <a:rPr lang="es-MX" sz="800" b="0" i="1">
                      <a:latin typeface="Cambria Math" panose="02040503050406030204" pitchFamily="18" charset="0"/>
                    </a:rPr>
                    <m:t>=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𝐶𝑎𝑟𝑔𝑜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 </m:t>
                  </m:r>
                </m:oMath>
              </a14:m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A00-000008000000}"/>
                </a:ext>
              </a:extLst>
            </xdr:cNvPr>
            <xdr:cNvSpPr txBox="1"/>
          </xdr:nvSpPr>
          <xdr:spPr>
            <a:xfrm>
              <a:off x="1043354" y="2165838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𝐶𝐹𝐶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es-MX" sz="800" b="0" i="0">
                  <a:latin typeface="Cambria Math" panose="02040503050406030204" pitchFamily="18" charset="0"/>
                </a:rPr>
                <a:t>𝑚=𝐶𝑎𝑟𝑔𝑜 </a:t>
              </a:r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12</xdr:row>
      <xdr:rowOff>24848</xdr:rowOff>
    </xdr:from>
    <xdr:ext cx="1922522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xmlns="" id="{00000000-0008-0000-1E00-000009000000}"/>
                </a:ext>
              </a:extLst>
            </xdr:cNvPr>
            <xdr:cNvSpPr txBox="1"/>
          </xdr:nvSpPr>
          <xdr:spPr>
            <a:xfrm>
              <a:off x="1081746" y="2402288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𝐶𝑅𝑉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𝐶𝑎𝑝𝑎𝑐𝑖𝑑𝑎𝑑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𝑅𝑒𝑠𝑒𝑟𝑣𝑎𝑑𝑎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𝑉𝑒𝑟𝑖𝑓𝑖𝑐𝑎𝑑𝑎</m:t>
                    </m:r>
                  </m:oMath>
                </m:oMathPara>
              </a14:m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A00-000009000000}"/>
                </a:ext>
              </a:extLst>
            </xdr:cNvPr>
            <xdr:cNvSpPr txBox="1"/>
          </xdr:nvSpPr>
          <xdr:spPr>
            <a:xfrm>
              <a:off x="1081746" y="2402288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solidFill>
                    <a:schemeClr val="tx1"/>
                  </a:solidFill>
                  <a:latin typeface="Cambria Math" panose="02040503050406030204" pitchFamily="18" charset="0"/>
                  <a:ea typeface="+mn-ea"/>
                  <a:cs typeface="+mn-cs"/>
                </a:rPr>
                <a:t>𝐶𝑅𝑉=𝐶𝑎𝑝𝑎𝑐𝑖𝑑𝑎𝑑 𝑅𝑒𝑠𝑒𝑟𝑣𝑎𝑑𝑎 𝑉𝑒𝑟𝑖𝑓𝑖𝑐𝑎𝑑𝑎</a:t>
              </a:r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14</xdr:row>
      <xdr:rowOff>43962</xdr:rowOff>
    </xdr:from>
    <xdr:ext cx="1489831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xmlns="" id="{00000000-0008-0000-1E00-00000A000000}"/>
                </a:ext>
              </a:extLst>
            </xdr:cNvPr>
            <xdr:cNvSpPr txBox="1"/>
          </xdr:nvSpPr>
          <xdr:spPr>
            <a:xfrm>
              <a:off x="1064602" y="2872887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𝐾𝐶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𝑐𝑎𝑝𝑎𝑐𝑖𝑑𝑎𝑑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𝑇𝑜𝑡𝑎𝑙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𝑀𝑒𝑛𝑠𝑢𝑎𝑙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0" name="CuadroTexto 9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A00-00000A000000}"/>
                </a:ext>
              </a:extLst>
            </xdr:cNvPr>
            <xdr:cNvSpPr txBox="1"/>
          </xdr:nvSpPr>
          <xdr:spPr>
            <a:xfrm>
              <a:off x="1064602" y="2872887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𝐾𝐶=𝑐𝑎𝑝𝑎𝑐𝑖𝑑𝑎𝑑  𝑇𝑜𝑡𝑎𝑙 𝑀𝑒𝑛𝑠𝑢𝑎𝑙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21981</xdr:colOff>
      <xdr:row>22</xdr:row>
      <xdr:rowOff>43961</xdr:rowOff>
    </xdr:from>
    <xdr:ext cx="3487616" cy="2455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xmlns="" id="{00000000-0008-0000-1F00-000002000000}"/>
                </a:ext>
              </a:extLst>
            </xdr:cNvPr>
            <xdr:cNvSpPr txBox="1"/>
          </xdr:nvSpPr>
          <xdr:spPr>
            <a:xfrm>
              <a:off x="1096401" y="446356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presentacion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de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la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Proposicion</m:t>
                  </m:r>
                </m:oMath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B00-000002000000}"/>
                </a:ext>
              </a:extLst>
            </xdr:cNvPr>
            <xdr:cNvSpPr txBox="1"/>
          </xdr:nvSpPr>
          <xdr:spPr>
            <a:xfrm>
              <a:off x="1096401" y="446356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𝑚=𝑃𝑟𝑜𝑑𝑢𝑐𝑒𝑟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de la 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"presentacion de la Proposicion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20</xdr:row>
      <xdr:rowOff>51288</xdr:rowOff>
    </xdr:from>
    <xdr:ext cx="3116879" cy="24057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xmlns="" id="{00000000-0008-0000-1F00-000003000000}"/>
                </a:ext>
              </a:extLst>
            </xdr:cNvPr>
            <xdr:cNvSpPr txBox="1"/>
          </xdr:nvSpPr>
          <xdr:spPr>
            <a:xfrm>
              <a:off x="1043354" y="4137513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𝐶𝑉</m:t>
                    </m:r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𝑈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𝐶𝑎𝑟𝑔𝑜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𝑉𝑎𝑟𝑖𝑎𝑏𝑙𝑒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𝑝𝑜𝑟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𝑈𝑠𝑜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𝑝𝑎𝑟𝑎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",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deacuerdo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           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proposicion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, (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Dolares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/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GJ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)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B00-000003000000}"/>
                </a:ext>
              </a:extLst>
            </xdr:cNvPr>
            <xdr:cNvSpPr txBox="1"/>
          </xdr:nvSpPr>
          <xdr:spPr>
            <a:xfrm>
              <a:off x="1043354" y="4137513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𝐶𝑉𝑈_𝑚=𝐶𝑎𝑟𝑔𝑜 𝑉𝑎𝑟𝑖𝑎𝑏𝑙𝑒 𝑝𝑜𝑟 𝑈𝑠𝑜 𝑝𝑎𝑟𝑎 𝑒𝑙 𝑀𝑒𝑠 "\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"m\", deacuerdo con la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               proposicion, (Dolares/GJ)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21</xdr:row>
      <xdr:rowOff>65942</xdr:rowOff>
    </xdr:from>
    <xdr:ext cx="3371949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xmlns="" id="{00000000-0008-0000-1F00-000004000000}"/>
                </a:ext>
              </a:extLst>
            </xdr:cNvPr>
            <xdr:cNvSpPr txBox="1"/>
          </xdr:nvSpPr>
          <xdr:spPr>
            <a:xfrm>
              <a:off x="1064601" y="4428392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Facturado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B00-000004000000}"/>
                </a:ext>
              </a:extLst>
            </xdr:cNvPr>
            <xdr:cNvSpPr txBox="1"/>
          </xdr:nvSpPr>
          <xdr:spPr>
            <a:xfrm>
              <a:off x="1064601" y="4428392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𝑜=𝑃𝑟𝑜𝑑𝑢𝑐𝑒𝑟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Facturado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24</xdr:row>
      <xdr:rowOff>43962</xdr:rowOff>
    </xdr:from>
    <xdr:ext cx="2621680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xmlns="" id="{00000000-0008-0000-1F00-000005000000}"/>
                </a:ext>
              </a:extLst>
            </xdr:cNvPr>
            <xdr:cNvSpPr txBox="1"/>
          </xdr:nvSpPr>
          <xdr:spPr>
            <a:xfrm>
              <a:off x="1064602" y="5063637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𝑉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𝐶𝑎𝑛𝑡𝑖𝑑𝑎𝑑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𝐶𝑜𝑛𝑓𝑖𝑟𝑚𝑎𝑑𝑎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𝑑𝑒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𝑔𝑎𝑠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𝑒𝑛𝑡𝑟𝑒𝑔𝑎𝑑𝑜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𝑙𝑎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𝐶𝐹𝐸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B00-000005000000}"/>
                </a:ext>
              </a:extLst>
            </xdr:cNvPr>
            <xdr:cNvSpPr txBox="1"/>
          </xdr:nvSpPr>
          <xdr:spPr>
            <a:xfrm>
              <a:off x="1064602" y="5063637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𝑉_𝑚𝑚=𝐶𝑎𝑛𝑡𝑖𝑑𝑎𝑑 𝐶𝑜𝑛𝑓𝑖𝑟𝑚𝑎𝑑𝑎 𝑑𝑒 𝑔𝑎𝑠 𝑒𝑛𝑡𝑟𝑒𝑔𝑎𝑑𝑜 𝑎 𝑙𝑎 𝐶𝐹𝐸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21980</xdr:colOff>
      <xdr:row>23</xdr:row>
      <xdr:rowOff>36634</xdr:rowOff>
    </xdr:from>
    <xdr:ext cx="3487616" cy="1342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xmlns="" id="{00000000-0008-0000-1F00-000006000000}"/>
                </a:ext>
              </a:extLst>
            </xdr:cNvPr>
            <xdr:cNvSpPr txBox="1"/>
          </xdr:nvSpPr>
          <xdr:spPr>
            <a:xfrm>
              <a:off x="1096400" y="4730554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/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𝐶𝑜𝑐𝑖𝑒𝑛𝑡𝑒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𝐼𝑛𝑒𝑥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𝑅𝑢𝑏𝑟𝑜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𝐴𝑙𝑙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𝐶𝑜𝑚𝑜𝑑𝑖𝑡𝑖𝑒𝑠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B00-000006000000}"/>
                </a:ext>
              </a:extLst>
            </xdr:cNvPr>
            <xdr:cNvSpPr txBox="1"/>
          </xdr:nvSpPr>
          <xdr:spPr>
            <a:xfrm>
              <a:off x="1096400" y="4730554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𝑈𝑆𝑃𝑃𝐼〗_(</a:t>
              </a:r>
              <a:r>
                <a:rPr lang="es-MX" sz="800" b="0" i="0">
                  <a:latin typeface="Cambria Math" panose="02040503050406030204" pitchFamily="18" charset="0"/>
                </a:rPr>
                <a:t>𝑚/𝑜)=𝐶𝑜𝑐𝑖𝑒𝑛𝑡𝑒 𝑃𝑟𝑜𝑑𝑢𝑐𝑒𝑟 𝑃𝑟𝑖𝑐𝑒 𝐼𝑛𝑒𝑥 𝑅𝑢𝑏𝑟𝑜 𝐴𝑙𝑙 𝐶𝑜𝑚𝑜𝑑𝑖𝑡𝑖𝑒𝑠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21981</xdr:colOff>
      <xdr:row>13</xdr:row>
      <xdr:rowOff>43961</xdr:rowOff>
    </xdr:from>
    <xdr:ext cx="3487616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xmlns="" id="{00000000-0008-0000-1F00-000007000000}"/>
                </a:ext>
              </a:extLst>
            </xdr:cNvPr>
            <xdr:cNvSpPr txBox="1"/>
          </xdr:nvSpPr>
          <xdr:spPr>
            <a:xfrm>
              <a:off x="1096401" y="2604281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𝐶𝑅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𝑅𝑒𝑠𝑒𝑟𝑣𝑎𝑑𝑎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B00-000007000000}"/>
                </a:ext>
              </a:extLst>
            </xdr:cNvPr>
            <xdr:cNvSpPr txBox="1"/>
          </xdr:nvSpPr>
          <xdr:spPr>
            <a:xfrm>
              <a:off x="1096401" y="2604281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𝐶𝑅=𝐶𝑎𝑝𝑎𝑐𝑖𝑑𝑎𝑑 𝑅𝑒𝑠𝑒𝑟𝑣𝑎𝑑𝑎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11</xdr:row>
      <xdr:rowOff>51288</xdr:rowOff>
    </xdr:from>
    <xdr:ext cx="3281026" cy="12260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xmlns="" id="{00000000-0008-0000-1F00-000008000000}"/>
                </a:ext>
              </a:extLst>
            </xdr:cNvPr>
            <xdr:cNvSpPr txBox="1"/>
          </xdr:nvSpPr>
          <xdr:spPr>
            <a:xfrm>
              <a:off x="1043354" y="2165838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MX" sz="8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𝐶𝐹𝐶</m:t>
                      </m:r>
                    </m:e>
                    <m:sub>
                      <m:r>
                        <a:rPr lang="es-MX" sz="800" b="0" i="1">
                          <a:latin typeface="Cambria Math" panose="02040503050406030204" pitchFamily="18" charset="0"/>
                        </a:rPr>
                        <m:t>𝑚</m:t>
                      </m:r>
                    </m:sub>
                  </m:sSub>
                  <m:r>
                    <a:rPr lang="es-MX" sz="800" b="0" i="1">
                      <a:latin typeface="Cambria Math" panose="02040503050406030204" pitchFamily="18" charset="0"/>
                    </a:rPr>
                    <m:t>=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𝐶𝑎𝑟𝑔𝑜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 </m:t>
                  </m:r>
                </m:oMath>
              </a14:m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B00-000008000000}"/>
                </a:ext>
              </a:extLst>
            </xdr:cNvPr>
            <xdr:cNvSpPr txBox="1"/>
          </xdr:nvSpPr>
          <xdr:spPr>
            <a:xfrm>
              <a:off x="1043354" y="2165838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𝐶𝐹𝐶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es-MX" sz="800" b="0" i="0">
                  <a:latin typeface="Cambria Math" panose="02040503050406030204" pitchFamily="18" charset="0"/>
                </a:rPr>
                <a:t>𝑚=𝐶𝑎𝑟𝑔𝑜 </a:t>
              </a:r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12</xdr:row>
      <xdr:rowOff>24848</xdr:rowOff>
    </xdr:from>
    <xdr:ext cx="1922522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xmlns="" id="{00000000-0008-0000-1F00-000009000000}"/>
                </a:ext>
              </a:extLst>
            </xdr:cNvPr>
            <xdr:cNvSpPr txBox="1"/>
          </xdr:nvSpPr>
          <xdr:spPr>
            <a:xfrm>
              <a:off x="1081746" y="2402288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𝐶𝑅𝑉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𝐶𝑎𝑝𝑎𝑐𝑖𝑑𝑎𝑑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𝑅𝑒𝑠𝑒𝑟𝑣𝑎𝑑𝑎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𝑉𝑒𝑟𝑖𝑓𝑖𝑐𝑎𝑑𝑎</m:t>
                    </m:r>
                  </m:oMath>
                </m:oMathPara>
              </a14:m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B00-000009000000}"/>
                </a:ext>
              </a:extLst>
            </xdr:cNvPr>
            <xdr:cNvSpPr txBox="1"/>
          </xdr:nvSpPr>
          <xdr:spPr>
            <a:xfrm>
              <a:off x="1081746" y="2402288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solidFill>
                    <a:schemeClr val="tx1"/>
                  </a:solidFill>
                  <a:latin typeface="Cambria Math" panose="02040503050406030204" pitchFamily="18" charset="0"/>
                  <a:ea typeface="+mn-ea"/>
                  <a:cs typeface="+mn-cs"/>
                </a:rPr>
                <a:t>𝐶𝑅𝑉=𝐶𝑎𝑝𝑎𝑐𝑖𝑑𝑎𝑑 𝑅𝑒𝑠𝑒𝑟𝑣𝑎𝑑𝑎 𝑉𝑒𝑟𝑖𝑓𝑖𝑐𝑎𝑑𝑎</a:t>
              </a:r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14</xdr:row>
      <xdr:rowOff>43962</xdr:rowOff>
    </xdr:from>
    <xdr:ext cx="1489831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xmlns="" id="{00000000-0008-0000-1F00-00000A000000}"/>
                </a:ext>
              </a:extLst>
            </xdr:cNvPr>
            <xdr:cNvSpPr txBox="1"/>
          </xdr:nvSpPr>
          <xdr:spPr>
            <a:xfrm>
              <a:off x="1064602" y="2872887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𝐾𝐶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𝑐𝑎𝑝𝑎𝑐𝑖𝑑𝑎𝑑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𝑇𝑜𝑡𝑎𝑙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𝑀𝑒𝑛𝑠𝑢𝑎𝑙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0" name="CuadroTexto 9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B00-00000A000000}"/>
                </a:ext>
              </a:extLst>
            </xdr:cNvPr>
            <xdr:cNvSpPr txBox="1"/>
          </xdr:nvSpPr>
          <xdr:spPr>
            <a:xfrm>
              <a:off x="1064602" y="2872887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𝐾𝐶=𝑐𝑎𝑝𝑎𝑐𝑖𝑑𝑎𝑑  𝑇𝑜𝑡𝑎𝑙 𝑀𝑒𝑛𝑠𝑢𝑎𝑙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21981</xdr:colOff>
      <xdr:row>22</xdr:row>
      <xdr:rowOff>43961</xdr:rowOff>
    </xdr:from>
    <xdr:ext cx="3487616" cy="2455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xmlns="" id="{00000000-0008-0000-2000-000002000000}"/>
                </a:ext>
              </a:extLst>
            </xdr:cNvPr>
            <xdr:cNvSpPr txBox="1"/>
          </xdr:nvSpPr>
          <xdr:spPr>
            <a:xfrm>
              <a:off x="1096401" y="446356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presentacion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de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la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Proposicion</m:t>
                  </m:r>
                </m:oMath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C00-000002000000}"/>
                </a:ext>
              </a:extLst>
            </xdr:cNvPr>
            <xdr:cNvSpPr txBox="1"/>
          </xdr:nvSpPr>
          <xdr:spPr>
            <a:xfrm>
              <a:off x="1096401" y="446356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𝑚=𝑃𝑟𝑜𝑑𝑢𝑐𝑒𝑟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de la 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"presentacion de la Proposicion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20</xdr:row>
      <xdr:rowOff>51288</xdr:rowOff>
    </xdr:from>
    <xdr:ext cx="3116879" cy="24057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xmlns="" id="{00000000-0008-0000-2000-000003000000}"/>
                </a:ext>
              </a:extLst>
            </xdr:cNvPr>
            <xdr:cNvSpPr txBox="1"/>
          </xdr:nvSpPr>
          <xdr:spPr>
            <a:xfrm>
              <a:off x="1043354" y="4137513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𝐶𝑉</m:t>
                    </m:r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𝑈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𝐶𝑎𝑟𝑔𝑜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𝑉𝑎𝑟𝑖𝑎𝑏𝑙𝑒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𝑝𝑜𝑟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𝑈𝑠𝑜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𝑝𝑎𝑟𝑎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",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deacuerdo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           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proposicion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, (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Dolares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/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GJ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)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C00-000003000000}"/>
                </a:ext>
              </a:extLst>
            </xdr:cNvPr>
            <xdr:cNvSpPr txBox="1"/>
          </xdr:nvSpPr>
          <xdr:spPr>
            <a:xfrm>
              <a:off x="1043354" y="4137513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𝐶𝑉𝑈_𝑚=𝐶𝑎𝑟𝑔𝑜 𝑉𝑎𝑟𝑖𝑎𝑏𝑙𝑒 𝑝𝑜𝑟 𝑈𝑠𝑜 𝑝𝑎𝑟𝑎 𝑒𝑙 𝑀𝑒𝑠 "\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"m\", deacuerdo con la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               proposicion, (Dolares/GJ)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21</xdr:row>
      <xdr:rowOff>65942</xdr:rowOff>
    </xdr:from>
    <xdr:ext cx="3371949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xmlns="" id="{00000000-0008-0000-2000-000004000000}"/>
                </a:ext>
              </a:extLst>
            </xdr:cNvPr>
            <xdr:cNvSpPr txBox="1"/>
          </xdr:nvSpPr>
          <xdr:spPr>
            <a:xfrm>
              <a:off x="1064601" y="4428392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Facturado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C00-000004000000}"/>
                </a:ext>
              </a:extLst>
            </xdr:cNvPr>
            <xdr:cNvSpPr txBox="1"/>
          </xdr:nvSpPr>
          <xdr:spPr>
            <a:xfrm>
              <a:off x="1064601" y="4428392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𝑜=𝑃𝑟𝑜𝑑𝑢𝑐𝑒𝑟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Facturado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24</xdr:row>
      <xdr:rowOff>43962</xdr:rowOff>
    </xdr:from>
    <xdr:ext cx="2621680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xmlns="" id="{00000000-0008-0000-2000-000005000000}"/>
                </a:ext>
              </a:extLst>
            </xdr:cNvPr>
            <xdr:cNvSpPr txBox="1"/>
          </xdr:nvSpPr>
          <xdr:spPr>
            <a:xfrm>
              <a:off x="1064602" y="5063637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𝑉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𝐶𝑎𝑛𝑡𝑖𝑑𝑎𝑑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𝐶𝑜𝑛𝑓𝑖𝑟𝑚𝑎𝑑𝑎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𝑑𝑒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𝑔𝑎𝑠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𝑒𝑛𝑡𝑟𝑒𝑔𝑎𝑑𝑜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𝑙𝑎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𝐶𝐹𝐸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C00-000005000000}"/>
                </a:ext>
              </a:extLst>
            </xdr:cNvPr>
            <xdr:cNvSpPr txBox="1"/>
          </xdr:nvSpPr>
          <xdr:spPr>
            <a:xfrm>
              <a:off x="1064602" y="5063637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𝑉_𝑚𝑚=𝐶𝑎𝑛𝑡𝑖𝑑𝑎𝑑 𝐶𝑜𝑛𝑓𝑖𝑟𝑚𝑎𝑑𝑎 𝑑𝑒 𝑔𝑎𝑠 𝑒𝑛𝑡𝑟𝑒𝑔𝑎𝑑𝑜 𝑎 𝑙𝑎 𝐶𝐹𝐸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21980</xdr:colOff>
      <xdr:row>23</xdr:row>
      <xdr:rowOff>36634</xdr:rowOff>
    </xdr:from>
    <xdr:ext cx="3487616" cy="1342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xmlns="" id="{00000000-0008-0000-2000-000006000000}"/>
                </a:ext>
              </a:extLst>
            </xdr:cNvPr>
            <xdr:cNvSpPr txBox="1"/>
          </xdr:nvSpPr>
          <xdr:spPr>
            <a:xfrm>
              <a:off x="1096400" y="4730554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/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𝐶𝑜𝑐𝑖𝑒𝑛𝑡𝑒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𝐼𝑛𝑒𝑥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𝑅𝑢𝑏𝑟𝑜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𝐴𝑙𝑙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𝐶𝑜𝑚𝑜𝑑𝑖𝑡𝑖𝑒𝑠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C00-000006000000}"/>
                </a:ext>
              </a:extLst>
            </xdr:cNvPr>
            <xdr:cNvSpPr txBox="1"/>
          </xdr:nvSpPr>
          <xdr:spPr>
            <a:xfrm>
              <a:off x="1096400" y="4730554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𝑈𝑆𝑃𝑃𝐼〗_(</a:t>
              </a:r>
              <a:r>
                <a:rPr lang="es-MX" sz="800" b="0" i="0">
                  <a:latin typeface="Cambria Math" panose="02040503050406030204" pitchFamily="18" charset="0"/>
                </a:rPr>
                <a:t>𝑚/𝑜)=𝐶𝑜𝑐𝑖𝑒𝑛𝑡𝑒 𝑃𝑟𝑜𝑑𝑢𝑐𝑒𝑟 𝑃𝑟𝑖𝑐𝑒 𝐼𝑛𝑒𝑥 𝑅𝑢𝑏𝑟𝑜 𝐴𝑙𝑙 𝐶𝑜𝑚𝑜𝑑𝑖𝑡𝑖𝑒𝑠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21981</xdr:colOff>
      <xdr:row>13</xdr:row>
      <xdr:rowOff>43961</xdr:rowOff>
    </xdr:from>
    <xdr:ext cx="3487616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xmlns="" id="{00000000-0008-0000-2000-000007000000}"/>
                </a:ext>
              </a:extLst>
            </xdr:cNvPr>
            <xdr:cNvSpPr txBox="1"/>
          </xdr:nvSpPr>
          <xdr:spPr>
            <a:xfrm>
              <a:off x="1096401" y="2604281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𝐶𝑅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𝑅𝑒𝑠𝑒𝑟𝑣𝑎𝑑𝑎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C00-000007000000}"/>
                </a:ext>
              </a:extLst>
            </xdr:cNvPr>
            <xdr:cNvSpPr txBox="1"/>
          </xdr:nvSpPr>
          <xdr:spPr>
            <a:xfrm>
              <a:off x="1096401" y="2604281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𝐶𝑅=𝐶𝑎𝑝𝑎𝑐𝑖𝑑𝑎𝑑 𝑅𝑒𝑠𝑒𝑟𝑣𝑎𝑑𝑎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11</xdr:row>
      <xdr:rowOff>51288</xdr:rowOff>
    </xdr:from>
    <xdr:ext cx="3281026" cy="12260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xmlns="" id="{00000000-0008-0000-2000-000008000000}"/>
                </a:ext>
              </a:extLst>
            </xdr:cNvPr>
            <xdr:cNvSpPr txBox="1"/>
          </xdr:nvSpPr>
          <xdr:spPr>
            <a:xfrm>
              <a:off x="1043354" y="2165838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MX" sz="8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𝐶𝐹𝐶</m:t>
                      </m:r>
                    </m:e>
                    <m:sub>
                      <m:r>
                        <a:rPr lang="es-MX" sz="800" b="0" i="1">
                          <a:latin typeface="Cambria Math" panose="02040503050406030204" pitchFamily="18" charset="0"/>
                        </a:rPr>
                        <m:t>𝑚</m:t>
                      </m:r>
                    </m:sub>
                  </m:sSub>
                  <m:r>
                    <a:rPr lang="es-MX" sz="800" b="0" i="1">
                      <a:latin typeface="Cambria Math" panose="02040503050406030204" pitchFamily="18" charset="0"/>
                    </a:rPr>
                    <m:t>=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𝐶𝑎𝑟𝑔𝑜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 </m:t>
                  </m:r>
                </m:oMath>
              </a14:m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C00-000008000000}"/>
                </a:ext>
              </a:extLst>
            </xdr:cNvPr>
            <xdr:cNvSpPr txBox="1"/>
          </xdr:nvSpPr>
          <xdr:spPr>
            <a:xfrm>
              <a:off x="1043354" y="2165838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𝐶𝐹𝐶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es-MX" sz="800" b="0" i="0">
                  <a:latin typeface="Cambria Math" panose="02040503050406030204" pitchFamily="18" charset="0"/>
                </a:rPr>
                <a:t>𝑚=𝐶𝑎𝑟𝑔𝑜 </a:t>
              </a:r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12</xdr:row>
      <xdr:rowOff>24848</xdr:rowOff>
    </xdr:from>
    <xdr:ext cx="1922522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xmlns="" id="{00000000-0008-0000-2000-000009000000}"/>
                </a:ext>
              </a:extLst>
            </xdr:cNvPr>
            <xdr:cNvSpPr txBox="1"/>
          </xdr:nvSpPr>
          <xdr:spPr>
            <a:xfrm>
              <a:off x="1081746" y="2402288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𝐶𝑅𝑉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𝐶𝑎𝑝𝑎𝑐𝑖𝑑𝑎𝑑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𝑅𝑒𝑠𝑒𝑟𝑣𝑎𝑑𝑎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𝑉𝑒𝑟𝑖𝑓𝑖𝑐𝑎𝑑𝑎</m:t>
                    </m:r>
                  </m:oMath>
                </m:oMathPara>
              </a14:m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C00-000009000000}"/>
                </a:ext>
              </a:extLst>
            </xdr:cNvPr>
            <xdr:cNvSpPr txBox="1"/>
          </xdr:nvSpPr>
          <xdr:spPr>
            <a:xfrm>
              <a:off x="1081746" y="2402288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solidFill>
                    <a:schemeClr val="tx1"/>
                  </a:solidFill>
                  <a:latin typeface="Cambria Math" panose="02040503050406030204" pitchFamily="18" charset="0"/>
                  <a:ea typeface="+mn-ea"/>
                  <a:cs typeface="+mn-cs"/>
                </a:rPr>
                <a:t>𝐶𝑅𝑉=𝐶𝑎𝑝𝑎𝑐𝑖𝑑𝑎𝑑 𝑅𝑒𝑠𝑒𝑟𝑣𝑎𝑑𝑎 𝑉𝑒𝑟𝑖𝑓𝑖𝑐𝑎𝑑𝑎</a:t>
              </a:r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14</xdr:row>
      <xdr:rowOff>43962</xdr:rowOff>
    </xdr:from>
    <xdr:ext cx="1489831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xmlns="" id="{00000000-0008-0000-2000-00000A000000}"/>
                </a:ext>
              </a:extLst>
            </xdr:cNvPr>
            <xdr:cNvSpPr txBox="1"/>
          </xdr:nvSpPr>
          <xdr:spPr>
            <a:xfrm>
              <a:off x="1064602" y="2872887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𝐾𝐶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𝑐𝑎𝑝𝑎𝑐𝑖𝑑𝑎𝑑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𝑇𝑜𝑡𝑎𝑙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𝑀𝑒𝑛𝑠𝑢𝑎𝑙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0" name="CuadroTexto 9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C00-00000A000000}"/>
                </a:ext>
              </a:extLst>
            </xdr:cNvPr>
            <xdr:cNvSpPr txBox="1"/>
          </xdr:nvSpPr>
          <xdr:spPr>
            <a:xfrm>
              <a:off x="1064602" y="2872887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𝐾𝐶=𝑐𝑎𝑝𝑎𝑐𝑖𝑑𝑎𝑑  𝑇𝑜𝑡𝑎𝑙 𝑀𝑒𝑛𝑠𝑢𝑎𝑙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21981</xdr:colOff>
      <xdr:row>22</xdr:row>
      <xdr:rowOff>43961</xdr:rowOff>
    </xdr:from>
    <xdr:ext cx="3487616" cy="2455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xmlns="" id="{00000000-0008-0000-2100-000002000000}"/>
                </a:ext>
              </a:extLst>
            </xdr:cNvPr>
            <xdr:cNvSpPr txBox="1"/>
          </xdr:nvSpPr>
          <xdr:spPr>
            <a:xfrm>
              <a:off x="1096401" y="446356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presentacion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de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la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Proposicion</m:t>
                  </m:r>
                </m:oMath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D00-000002000000}"/>
                </a:ext>
              </a:extLst>
            </xdr:cNvPr>
            <xdr:cNvSpPr txBox="1"/>
          </xdr:nvSpPr>
          <xdr:spPr>
            <a:xfrm>
              <a:off x="1096401" y="446356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𝑚=𝑃𝑟𝑜𝑑𝑢𝑐𝑒𝑟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de la 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"presentacion de la Proposicion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20</xdr:row>
      <xdr:rowOff>51288</xdr:rowOff>
    </xdr:from>
    <xdr:ext cx="3116879" cy="24057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xmlns="" id="{00000000-0008-0000-2100-000003000000}"/>
                </a:ext>
              </a:extLst>
            </xdr:cNvPr>
            <xdr:cNvSpPr txBox="1"/>
          </xdr:nvSpPr>
          <xdr:spPr>
            <a:xfrm>
              <a:off x="1043354" y="4137513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𝐶𝑉</m:t>
                    </m:r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𝑈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𝐶𝑎𝑟𝑔𝑜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𝑉𝑎𝑟𝑖𝑎𝑏𝑙𝑒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𝑝𝑜𝑟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𝑈𝑠𝑜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𝑝𝑎𝑟𝑎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",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deacuerdo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           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proposicion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, (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Dolares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/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GJ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)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D00-000003000000}"/>
                </a:ext>
              </a:extLst>
            </xdr:cNvPr>
            <xdr:cNvSpPr txBox="1"/>
          </xdr:nvSpPr>
          <xdr:spPr>
            <a:xfrm>
              <a:off x="1043354" y="4137513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𝐶𝑉𝑈_𝑚=𝐶𝑎𝑟𝑔𝑜 𝑉𝑎𝑟𝑖𝑎𝑏𝑙𝑒 𝑝𝑜𝑟 𝑈𝑠𝑜 𝑝𝑎𝑟𝑎 𝑒𝑙 𝑀𝑒𝑠 "\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"m\", deacuerdo con la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               proposicion, (Dolares/GJ)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21</xdr:row>
      <xdr:rowOff>65942</xdr:rowOff>
    </xdr:from>
    <xdr:ext cx="3371949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xmlns="" id="{00000000-0008-0000-2100-000004000000}"/>
                </a:ext>
              </a:extLst>
            </xdr:cNvPr>
            <xdr:cNvSpPr txBox="1"/>
          </xdr:nvSpPr>
          <xdr:spPr>
            <a:xfrm>
              <a:off x="1064601" y="4428392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Facturado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D00-000004000000}"/>
                </a:ext>
              </a:extLst>
            </xdr:cNvPr>
            <xdr:cNvSpPr txBox="1"/>
          </xdr:nvSpPr>
          <xdr:spPr>
            <a:xfrm>
              <a:off x="1064601" y="4428392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𝑜=𝑃𝑟𝑜𝑑𝑢𝑐𝑒𝑟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Facturado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24</xdr:row>
      <xdr:rowOff>43962</xdr:rowOff>
    </xdr:from>
    <xdr:ext cx="2621680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xmlns="" id="{00000000-0008-0000-2100-000005000000}"/>
                </a:ext>
              </a:extLst>
            </xdr:cNvPr>
            <xdr:cNvSpPr txBox="1"/>
          </xdr:nvSpPr>
          <xdr:spPr>
            <a:xfrm>
              <a:off x="1064602" y="5063637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𝑉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𝐶𝑎𝑛𝑡𝑖𝑑𝑎𝑑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𝐶𝑜𝑛𝑓𝑖𝑟𝑚𝑎𝑑𝑎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𝑑𝑒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𝑔𝑎𝑠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𝑒𝑛𝑡𝑟𝑒𝑔𝑎𝑑𝑜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𝑙𝑎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𝐶𝐹𝐸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D00-000005000000}"/>
                </a:ext>
              </a:extLst>
            </xdr:cNvPr>
            <xdr:cNvSpPr txBox="1"/>
          </xdr:nvSpPr>
          <xdr:spPr>
            <a:xfrm>
              <a:off x="1064602" y="5063637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𝑉_𝑚𝑚=𝐶𝑎𝑛𝑡𝑖𝑑𝑎𝑑 𝐶𝑜𝑛𝑓𝑖𝑟𝑚𝑎𝑑𝑎 𝑑𝑒 𝑔𝑎𝑠 𝑒𝑛𝑡𝑟𝑒𝑔𝑎𝑑𝑜 𝑎 𝑙𝑎 𝐶𝐹𝐸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21980</xdr:colOff>
      <xdr:row>23</xdr:row>
      <xdr:rowOff>36634</xdr:rowOff>
    </xdr:from>
    <xdr:ext cx="3487616" cy="1342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xmlns="" id="{00000000-0008-0000-2100-000006000000}"/>
                </a:ext>
              </a:extLst>
            </xdr:cNvPr>
            <xdr:cNvSpPr txBox="1"/>
          </xdr:nvSpPr>
          <xdr:spPr>
            <a:xfrm>
              <a:off x="1096400" y="4730554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/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𝐶𝑜𝑐𝑖𝑒𝑛𝑡𝑒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𝐼𝑛𝑒𝑥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𝑅𝑢𝑏𝑟𝑜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𝐴𝑙𝑙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𝐶𝑜𝑚𝑜𝑑𝑖𝑡𝑖𝑒𝑠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D00-000006000000}"/>
                </a:ext>
              </a:extLst>
            </xdr:cNvPr>
            <xdr:cNvSpPr txBox="1"/>
          </xdr:nvSpPr>
          <xdr:spPr>
            <a:xfrm>
              <a:off x="1096400" y="4730554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𝑈𝑆𝑃𝑃𝐼〗_(</a:t>
              </a:r>
              <a:r>
                <a:rPr lang="es-MX" sz="800" b="0" i="0">
                  <a:latin typeface="Cambria Math" panose="02040503050406030204" pitchFamily="18" charset="0"/>
                </a:rPr>
                <a:t>𝑚/𝑜)=𝐶𝑜𝑐𝑖𝑒𝑛𝑡𝑒 𝑃𝑟𝑜𝑑𝑢𝑐𝑒𝑟 𝑃𝑟𝑖𝑐𝑒 𝐼𝑛𝑒𝑥 𝑅𝑢𝑏𝑟𝑜 𝐴𝑙𝑙 𝐶𝑜𝑚𝑜𝑑𝑖𝑡𝑖𝑒𝑠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21981</xdr:colOff>
      <xdr:row>13</xdr:row>
      <xdr:rowOff>43961</xdr:rowOff>
    </xdr:from>
    <xdr:ext cx="3487616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xmlns="" id="{00000000-0008-0000-2100-000007000000}"/>
                </a:ext>
              </a:extLst>
            </xdr:cNvPr>
            <xdr:cNvSpPr txBox="1"/>
          </xdr:nvSpPr>
          <xdr:spPr>
            <a:xfrm>
              <a:off x="1096401" y="2604281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𝐶𝑅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𝑅𝑒𝑠𝑒𝑟𝑣𝑎𝑑𝑎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D00-000007000000}"/>
                </a:ext>
              </a:extLst>
            </xdr:cNvPr>
            <xdr:cNvSpPr txBox="1"/>
          </xdr:nvSpPr>
          <xdr:spPr>
            <a:xfrm>
              <a:off x="1096401" y="2604281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𝐶𝑅=𝐶𝑎𝑝𝑎𝑐𝑖𝑑𝑎𝑑 𝑅𝑒𝑠𝑒𝑟𝑣𝑎𝑑𝑎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11</xdr:row>
      <xdr:rowOff>51288</xdr:rowOff>
    </xdr:from>
    <xdr:ext cx="3281026" cy="12260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xmlns="" id="{00000000-0008-0000-2100-000008000000}"/>
                </a:ext>
              </a:extLst>
            </xdr:cNvPr>
            <xdr:cNvSpPr txBox="1"/>
          </xdr:nvSpPr>
          <xdr:spPr>
            <a:xfrm>
              <a:off x="1043354" y="2165838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MX" sz="8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𝐶𝐹𝐶</m:t>
                      </m:r>
                    </m:e>
                    <m:sub>
                      <m:r>
                        <a:rPr lang="es-MX" sz="800" b="0" i="1">
                          <a:latin typeface="Cambria Math" panose="02040503050406030204" pitchFamily="18" charset="0"/>
                        </a:rPr>
                        <m:t>𝑚</m:t>
                      </m:r>
                    </m:sub>
                  </m:sSub>
                  <m:r>
                    <a:rPr lang="es-MX" sz="800" b="0" i="1">
                      <a:latin typeface="Cambria Math" panose="02040503050406030204" pitchFamily="18" charset="0"/>
                    </a:rPr>
                    <m:t>=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𝐶𝑎𝑟𝑔𝑜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 </m:t>
                  </m:r>
                </m:oMath>
              </a14:m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D00-000008000000}"/>
                </a:ext>
              </a:extLst>
            </xdr:cNvPr>
            <xdr:cNvSpPr txBox="1"/>
          </xdr:nvSpPr>
          <xdr:spPr>
            <a:xfrm>
              <a:off x="1043354" y="2165838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𝐶𝐹𝐶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es-MX" sz="800" b="0" i="0">
                  <a:latin typeface="Cambria Math" panose="02040503050406030204" pitchFamily="18" charset="0"/>
                </a:rPr>
                <a:t>𝑚=𝐶𝑎𝑟𝑔𝑜 </a:t>
              </a:r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12</xdr:row>
      <xdr:rowOff>24848</xdr:rowOff>
    </xdr:from>
    <xdr:ext cx="1922522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xmlns="" id="{00000000-0008-0000-2100-000009000000}"/>
                </a:ext>
              </a:extLst>
            </xdr:cNvPr>
            <xdr:cNvSpPr txBox="1"/>
          </xdr:nvSpPr>
          <xdr:spPr>
            <a:xfrm>
              <a:off x="1081746" y="2402288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𝐶𝑅𝑉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𝐶𝑎𝑝𝑎𝑐𝑖𝑑𝑎𝑑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𝑅𝑒𝑠𝑒𝑟𝑣𝑎𝑑𝑎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𝑉𝑒𝑟𝑖𝑓𝑖𝑐𝑎𝑑𝑎</m:t>
                    </m:r>
                  </m:oMath>
                </m:oMathPara>
              </a14:m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D00-000009000000}"/>
                </a:ext>
              </a:extLst>
            </xdr:cNvPr>
            <xdr:cNvSpPr txBox="1"/>
          </xdr:nvSpPr>
          <xdr:spPr>
            <a:xfrm>
              <a:off x="1081746" y="2402288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solidFill>
                    <a:schemeClr val="tx1"/>
                  </a:solidFill>
                  <a:latin typeface="Cambria Math" panose="02040503050406030204" pitchFamily="18" charset="0"/>
                  <a:ea typeface="+mn-ea"/>
                  <a:cs typeface="+mn-cs"/>
                </a:rPr>
                <a:t>𝐶𝑅𝑉=𝐶𝑎𝑝𝑎𝑐𝑖𝑑𝑎𝑑 𝑅𝑒𝑠𝑒𝑟𝑣𝑎𝑑𝑎 𝑉𝑒𝑟𝑖𝑓𝑖𝑐𝑎𝑑𝑎</a:t>
              </a:r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14</xdr:row>
      <xdr:rowOff>43962</xdr:rowOff>
    </xdr:from>
    <xdr:ext cx="1489831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xmlns="" id="{00000000-0008-0000-2100-00000A000000}"/>
                </a:ext>
              </a:extLst>
            </xdr:cNvPr>
            <xdr:cNvSpPr txBox="1"/>
          </xdr:nvSpPr>
          <xdr:spPr>
            <a:xfrm>
              <a:off x="1064602" y="2872887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𝐾𝐶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𝑐𝑎𝑝𝑎𝑐𝑖𝑑𝑎𝑑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𝑇𝑜𝑡𝑎𝑙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𝑀𝑒𝑛𝑠𝑢𝑎𝑙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0" name="CuadroTexto 9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D00-00000A000000}"/>
                </a:ext>
              </a:extLst>
            </xdr:cNvPr>
            <xdr:cNvSpPr txBox="1"/>
          </xdr:nvSpPr>
          <xdr:spPr>
            <a:xfrm>
              <a:off x="1064602" y="2872887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𝐾𝐶=𝑐𝑎𝑝𝑎𝑐𝑖𝑑𝑎𝑑  𝑇𝑜𝑡𝑎𝑙 𝑀𝑒𝑛𝑠𝑢𝑎𝑙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21981</xdr:colOff>
      <xdr:row>22</xdr:row>
      <xdr:rowOff>43961</xdr:rowOff>
    </xdr:from>
    <xdr:ext cx="3487616" cy="2455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xmlns="" id="{00000000-0008-0000-2200-000002000000}"/>
                </a:ext>
              </a:extLst>
            </xdr:cNvPr>
            <xdr:cNvSpPr txBox="1"/>
          </xdr:nvSpPr>
          <xdr:spPr>
            <a:xfrm>
              <a:off x="1096401" y="446356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presentacion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de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la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 </m:t>
                  </m:r>
                  <m:r>
                    <m:rPr>
                      <m:nor/>
                    </m:rPr>
                    <a:rPr lang="es-MX" sz="800" b="0" i="0">
                      <a:latin typeface="Arial" panose="020B0604020202020204" pitchFamily="34" charset="0"/>
                      <a:cs typeface="Arial" panose="020B0604020202020204" pitchFamily="34" charset="0"/>
                    </a:rPr>
                    <m:t>Proposicion</m:t>
                  </m:r>
                </m:oMath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E00-000002000000}"/>
                </a:ext>
              </a:extLst>
            </xdr:cNvPr>
            <xdr:cNvSpPr txBox="1"/>
          </xdr:nvSpPr>
          <xdr:spPr>
            <a:xfrm>
              <a:off x="1096401" y="4463561"/>
              <a:ext cx="3487616" cy="2455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𝑚=𝑃𝑟𝑜𝑑𝑢𝑐𝑒𝑟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de la 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>
                  <a:cs typeface="Arial" panose="020B0604020202020204" pitchFamily="34" charset="0"/>
                </a:rPr>
                <a:t>                    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"presentacion de la Proposicion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20</xdr:row>
      <xdr:rowOff>51288</xdr:rowOff>
    </xdr:from>
    <xdr:ext cx="3116879" cy="24057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xmlns="" id="{00000000-0008-0000-2200-000003000000}"/>
                </a:ext>
              </a:extLst>
            </xdr:cNvPr>
            <xdr:cNvSpPr txBox="1"/>
          </xdr:nvSpPr>
          <xdr:spPr>
            <a:xfrm>
              <a:off x="1043354" y="4137513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𝐶𝑉</m:t>
                    </m:r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𝑈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𝐶𝑎𝑟𝑔𝑜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𝑉𝑎𝑟𝑖𝑎𝑏𝑙𝑒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𝑝𝑜𝑟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𝑈𝑠𝑜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𝑝𝑎𝑟𝑎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",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deacuerdo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la</m:t>
                    </m:r>
                  </m:oMath>
                </m:oMathPara>
              </a14:m>
              <a:endParaRPr lang="es-MX" sz="800" b="0" i="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           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proposicion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, (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Dolares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/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GJ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)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E00-000003000000}"/>
                </a:ext>
              </a:extLst>
            </xdr:cNvPr>
            <xdr:cNvSpPr txBox="1"/>
          </xdr:nvSpPr>
          <xdr:spPr>
            <a:xfrm>
              <a:off x="1043354" y="4137513"/>
              <a:ext cx="3116879" cy="2405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𝐶𝑉𝑈_𝑚=𝐶𝑎𝑟𝑔𝑜 𝑉𝑎𝑟𝑖𝑎𝑏𝑙𝑒 𝑝𝑜𝑟 𝑈𝑠𝑜 𝑝𝑎𝑟𝑎 𝑒𝑙 𝑀𝑒𝑠 "\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"m\", deacuerdo con la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</a:p>
            <a:p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"               proposicion, (Dolares/GJ)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21</xdr:row>
      <xdr:rowOff>65942</xdr:rowOff>
    </xdr:from>
    <xdr:ext cx="3371949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xmlns="" id="{00000000-0008-0000-2200-000004000000}"/>
                </a:ext>
              </a:extLst>
            </xdr:cNvPr>
            <xdr:cNvSpPr txBox="1"/>
          </xdr:nvSpPr>
          <xdr:spPr>
            <a:xfrm>
              <a:off x="1064601" y="4428392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Index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Rubro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All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Comodities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del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Mes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 </m:t>
                    </m:r>
                    <m:r>
                      <m:rPr>
                        <m:nor/>
                      </m:rPr>
                      <a:rPr lang="es-MX" sz="800" b="0" i="0">
                        <a:latin typeface="Arial" panose="020B0604020202020204" pitchFamily="34" charset="0"/>
                        <a:cs typeface="Arial" panose="020B0604020202020204" pitchFamily="34" charset="0"/>
                      </a:rPr>
                      <m:t>Facturado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E00-000004000000}"/>
                </a:ext>
              </a:extLst>
            </xdr:cNvPr>
            <xdr:cNvSpPr txBox="1"/>
          </xdr:nvSpPr>
          <xdr:spPr>
            <a:xfrm>
              <a:off x="1064601" y="4428392"/>
              <a:ext cx="3371949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</a:t>
              </a:r>
              <a:r>
                <a:rPr lang="es-MX" sz="800" b="0" i="0">
                  <a:latin typeface="Cambria Math" panose="02040503050406030204" pitchFamily="18" charset="0"/>
                </a:rPr>
                <a:t>𝑜=𝑃𝑟𝑜𝑑𝑢𝑐𝑒𝑟 𝑃𝑟𝑖𝑐𝑒 "</a:t>
              </a:r>
              <a:r>
                <a:rPr lang="es-MX" sz="800" b="0" i="0">
                  <a:latin typeface="Cambria Math" panose="02040503050406030204" pitchFamily="18" charset="0"/>
                  <a:cs typeface="Arial" panose="020B0604020202020204" pitchFamily="34" charset="0"/>
                </a:rPr>
                <a:t>Index Rubro All Comodities  del Mes Facturado</a:t>
              </a:r>
              <a:r>
                <a:rPr lang="es-MX" sz="800" b="0" i="0">
                  <a:latin typeface="Arial" panose="020B0604020202020204" pitchFamily="34" charset="0"/>
                  <a:cs typeface="Arial" panose="020B0604020202020204" pitchFamily="34" charset="0"/>
                </a:rPr>
                <a:t>"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24</xdr:row>
      <xdr:rowOff>43962</xdr:rowOff>
    </xdr:from>
    <xdr:ext cx="2621680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xmlns="" id="{00000000-0008-0000-2200-000005000000}"/>
                </a:ext>
              </a:extLst>
            </xdr:cNvPr>
            <xdr:cNvSpPr txBox="1"/>
          </xdr:nvSpPr>
          <xdr:spPr>
            <a:xfrm>
              <a:off x="1064602" y="5063637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𝑉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𝑚𝑚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𝐶𝑎𝑛𝑡𝑖𝑑𝑎𝑑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𝐶𝑜𝑛𝑓𝑖𝑟𝑚𝑎𝑑𝑎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𝑑𝑒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𝑔𝑎𝑠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𝑒𝑛𝑡𝑟𝑒𝑔𝑎𝑑𝑜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𝑙𝑎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𝐶𝐹𝐸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E00-000005000000}"/>
                </a:ext>
              </a:extLst>
            </xdr:cNvPr>
            <xdr:cNvSpPr txBox="1"/>
          </xdr:nvSpPr>
          <xdr:spPr>
            <a:xfrm>
              <a:off x="1064602" y="5063637"/>
              <a:ext cx="2621680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𝑉_𝑚𝑚=𝐶𝑎𝑛𝑡𝑖𝑑𝑎𝑑 𝐶𝑜𝑛𝑓𝑖𝑟𝑚𝑎𝑑𝑎 𝑑𝑒 𝑔𝑎𝑠 𝑒𝑛𝑡𝑟𝑒𝑔𝑎𝑑𝑜 𝑎 𝑙𝑎 𝐶𝐹𝐸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21980</xdr:colOff>
      <xdr:row>23</xdr:row>
      <xdr:rowOff>36634</xdr:rowOff>
    </xdr:from>
    <xdr:ext cx="3487616" cy="1342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xmlns="" id="{00000000-0008-0000-2200-000006000000}"/>
                </a:ext>
              </a:extLst>
            </xdr:cNvPr>
            <xdr:cNvSpPr txBox="1"/>
          </xdr:nvSpPr>
          <xdr:spPr>
            <a:xfrm>
              <a:off x="1096400" y="4730554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𝑈𝑆𝑃𝑃𝐼</m:t>
                        </m:r>
                      </m:e>
                      <m:sub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𝑚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/</m:t>
                        </m:r>
                        <m:r>
                          <a:rPr lang="es-MX" sz="800" b="0" i="1">
                            <a:latin typeface="Cambria Math" panose="02040503050406030204" pitchFamily="18" charset="0"/>
                          </a:rPr>
                          <m:t>𝑜</m:t>
                        </m:r>
                      </m:sub>
                    </m:sSub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𝐶𝑜𝑐𝑖𝑒𝑛𝑡𝑒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𝑃𝑟𝑜𝑑𝑢𝑐𝑒𝑟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𝑃𝑟𝑖𝑐𝑒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𝐼𝑛𝑒𝑥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𝑅𝑢𝑏𝑟𝑜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𝐴𝑙𝑙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𝐶𝑜𝑚𝑜𝑑𝑖𝑡𝑖𝑒𝑠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E00-000006000000}"/>
                </a:ext>
              </a:extLst>
            </xdr:cNvPr>
            <xdr:cNvSpPr txBox="1"/>
          </xdr:nvSpPr>
          <xdr:spPr>
            <a:xfrm>
              <a:off x="1096400" y="4730554"/>
              <a:ext cx="3487616" cy="1342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𝑈𝑆𝑃𝑃𝐼〗_(</a:t>
              </a:r>
              <a:r>
                <a:rPr lang="es-MX" sz="800" b="0" i="0">
                  <a:latin typeface="Cambria Math" panose="02040503050406030204" pitchFamily="18" charset="0"/>
                </a:rPr>
                <a:t>𝑚/𝑜)=𝐶𝑜𝑐𝑖𝑒𝑛𝑡𝑒 𝑃𝑟𝑜𝑑𝑢𝑐𝑒𝑟 𝑃𝑟𝑖𝑐𝑒 𝐼𝑛𝑒𝑥 𝑅𝑢𝑏𝑟𝑜 𝐴𝑙𝑙 𝐶𝑜𝑚𝑜𝑑𝑖𝑡𝑖𝑒𝑠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21981</xdr:colOff>
      <xdr:row>13</xdr:row>
      <xdr:rowOff>43961</xdr:rowOff>
    </xdr:from>
    <xdr:ext cx="3487616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xmlns="" id="{00000000-0008-0000-2200-000007000000}"/>
                </a:ext>
              </a:extLst>
            </xdr:cNvPr>
            <xdr:cNvSpPr txBox="1"/>
          </xdr:nvSpPr>
          <xdr:spPr>
            <a:xfrm>
              <a:off x="1096401" y="2604281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𝐶𝑅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𝐶𝑎𝑝𝑎𝑐𝑖𝑑𝑎𝑑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𝑅𝑒𝑠𝑒𝑟𝑣𝑎𝑑𝑎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E00-000007000000}"/>
                </a:ext>
              </a:extLst>
            </xdr:cNvPr>
            <xdr:cNvSpPr txBox="1"/>
          </xdr:nvSpPr>
          <xdr:spPr>
            <a:xfrm>
              <a:off x="1096401" y="2604281"/>
              <a:ext cx="3487616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𝐶𝑅=𝐶𝑎𝑝𝑎𝑐𝑖𝑑𝑎𝑑 𝑅𝑒𝑠𝑒𝑟𝑣𝑎𝑑𝑎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205154</xdr:colOff>
      <xdr:row>11</xdr:row>
      <xdr:rowOff>51288</xdr:rowOff>
    </xdr:from>
    <xdr:ext cx="3281026" cy="12260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xmlns="" id="{00000000-0008-0000-2200-000008000000}"/>
                </a:ext>
              </a:extLst>
            </xdr:cNvPr>
            <xdr:cNvSpPr txBox="1"/>
          </xdr:nvSpPr>
          <xdr:spPr>
            <a:xfrm>
              <a:off x="1043354" y="2165838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MX" sz="8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𝐶𝐹𝐶</m:t>
                      </m:r>
                    </m:e>
                    <m:sub>
                      <m:r>
                        <a:rPr lang="es-MX" sz="800" b="0" i="1">
                          <a:latin typeface="Cambria Math" panose="02040503050406030204" pitchFamily="18" charset="0"/>
                        </a:rPr>
                        <m:t>𝑚</m:t>
                      </m:r>
                    </m:sub>
                  </m:sSub>
                  <m:r>
                    <a:rPr lang="es-MX" sz="800" b="0" i="1">
                      <a:latin typeface="Cambria Math" panose="02040503050406030204" pitchFamily="18" charset="0"/>
                    </a:rPr>
                    <m:t>=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𝐶𝑎𝑟𝑔𝑜</m:t>
                  </m:r>
                  <m:r>
                    <a:rPr lang="es-MX" sz="800" b="0" i="1">
                      <a:latin typeface="Cambria Math" panose="02040503050406030204" pitchFamily="18" charset="0"/>
                    </a:rPr>
                    <m:t> </m:t>
                  </m:r>
                </m:oMath>
              </a14:m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E00-000008000000}"/>
                </a:ext>
              </a:extLst>
            </xdr:cNvPr>
            <xdr:cNvSpPr txBox="1"/>
          </xdr:nvSpPr>
          <xdr:spPr>
            <a:xfrm>
              <a:off x="1043354" y="2165838"/>
              <a:ext cx="3281026" cy="250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〖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𝐶𝐹𝐶</a:t>
              </a:r>
              <a:r>
                <a:rPr lang="es-MX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es-MX" sz="800" b="0" i="0">
                  <a:latin typeface="Cambria Math" panose="02040503050406030204" pitchFamily="18" charset="0"/>
                </a:rPr>
                <a:t>𝑚=𝐶𝑎𝑟𝑔𝑜 </a:t>
              </a:r>
              <a:r>
                <a:rPr lang="es-MX" sz="800">
                  <a:latin typeface="Arial" panose="020B0604020202020204" pitchFamily="34" charset="0"/>
                  <a:cs typeface="Arial" panose="020B0604020202020204" pitchFamily="34" charset="0"/>
                </a:rPr>
                <a:t>Fijo por Capacidad para el Mes</a:t>
              </a:r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"m", de acuerdo con la </a:t>
              </a:r>
            </a:p>
            <a:p>
              <a:pPr algn="l"/>
              <a:r>
                <a:rPr lang="es-MX" sz="800" baseline="0">
                  <a:latin typeface="Arial" panose="020B0604020202020204" pitchFamily="34" charset="0"/>
                  <a:cs typeface="Arial" panose="020B0604020202020204" pitchFamily="34" charset="0"/>
                </a:rPr>
                <a:t>                 proposicion (Dolares/GJ)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7326</xdr:colOff>
      <xdr:row>12</xdr:row>
      <xdr:rowOff>24848</xdr:rowOff>
    </xdr:from>
    <xdr:ext cx="1922522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xmlns="" id="{00000000-0008-0000-2200-000009000000}"/>
                </a:ext>
              </a:extLst>
            </xdr:cNvPr>
            <xdr:cNvSpPr txBox="1"/>
          </xdr:nvSpPr>
          <xdr:spPr>
            <a:xfrm>
              <a:off x="1081746" y="2402288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𝐶𝑅𝑉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𝐶𝑎𝑝𝑎𝑐𝑖𝑑𝑎𝑑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𝑅𝑒𝑠𝑒𝑟𝑣𝑎𝑑𝑎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es-MX" sz="8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𝑉𝑒𝑟𝑖𝑓𝑖𝑐𝑎𝑑𝑎</m:t>
                    </m:r>
                  </m:oMath>
                </m:oMathPara>
              </a14:m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E00-000009000000}"/>
                </a:ext>
              </a:extLst>
            </xdr:cNvPr>
            <xdr:cNvSpPr txBox="1"/>
          </xdr:nvSpPr>
          <xdr:spPr>
            <a:xfrm>
              <a:off x="1081746" y="2402288"/>
              <a:ext cx="1922522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800" b="0" i="0">
                  <a:solidFill>
                    <a:schemeClr val="tx1"/>
                  </a:solidFill>
                  <a:latin typeface="Cambria Math" panose="02040503050406030204" pitchFamily="18" charset="0"/>
                  <a:ea typeface="+mn-ea"/>
                  <a:cs typeface="+mn-cs"/>
                </a:rPr>
                <a:t>𝐶𝑅𝑉=𝐶𝑎𝑝𝑎𝑐𝑖𝑑𝑎𝑑 𝑅𝑒𝑠𝑒𝑟𝑣𝑎𝑑𝑎 𝑉𝑒𝑟𝑖𝑓𝑖𝑐𝑎𝑑𝑎</a:t>
              </a:r>
              <a:endParaRPr lang="es-MX" sz="8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oneCellAnchor>
  <xdr:oneCellAnchor>
    <xdr:from>
      <xdr:col>2</xdr:col>
      <xdr:colOff>7327</xdr:colOff>
      <xdr:row>14</xdr:row>
      <xdr:rowOff>43962</xdr:rowOff>
    </xdr:from>
    <xdr:ext cx="1489831" cy="120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xmlns="" id="{00000000-0008-0000-2200-00000A000000}"/>
                </a:ext>
              </a:extLst>
            </xdr:cNvPr>
            <xdr:cNvSpPr txBox="1"/>
          </xdr:nvSpPr>
          <xdr:spPr>
            <a:xfrm>
              <a:off x="1064602" y="2872887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800" b="0" i="1">
                        <a:latin typeface="Cambria Math" panose="02040503050406030204" pitchFamily="18" charset="0"/>
                      </a:rPr>
                      <m:t>𝐾𝐶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𝑐𝑎𝑝𝑎𝑐𝑖𝑑𝑎𝑑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𝑇𝑜𝑡𝑎𝑙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800" b="0" i="1">
                        <a:latin typeface="Cambria Math" panose="02040503050406030204" pitchFamily="18" charset="0"/>
                      </a:rPr>
                      <m:t>𝑀𝑒𝑛𝑠𝑢𝑎𝑙</m:t>
                    </m:r>
                  </m:oMath>
                </m:oMathPara>
              </a14:m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0" name="CuadroTexto 9">
              <a:extLst>
                <a:ext uri="{FF2B5EF4-FFF2-40B4-BE49-F238E27FC236}">
                  <a16:creationId xmlns:a14="http://schemas.microsoft.com/office/drawing/2010/main" xmlns="" xmlns:a16="http://schemas.microsoft.com/office/drawing/2014/main" id="{00000000-0008-0000-1E00-00000A000000}"/>
                </a:ext>
              </a:extLst>
            </xdr:cNvPr>
            <xdr:cNvSpPr txBox="1"/>
          </xdr:nvSpPr>
          <xdr:spPr>
            <a:xfrm>
              <a:off x="1064602" y="2872887"/>
              <a:ext cx="1489831" cy="120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800" b="0" i="0">
                  <a:latin typeface="Cambria Math" panose="02040503050406030204" pitchFamily="18" charset="0"/>
                </a:rPr>
                <a:t>𝐾𝐶=𝑐𝑎𝑝𝑎𝑐𝑖𝑑𝑎𝑑  𝑇𝑜𝑡𝑎𝑙 𝑀𝑒𝑛𝑠𝑢𝑎𝑙</a:t>
              </a:r>
              <a:endParaRPr lang="es-MX" sz="8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876300</xdr:colOff>
      <xdr:row>5</xdr:row>
      <xdr:rowOff>133350</xdr:rowOff>
    </xdr:from>
    <xdr:to>
      <xdr:col>12</xdr:col>
      <xdr:colOff>876300</xdr:colOff>
      <xdr:row>6</xdr:row>
      <xdr:rowOff>171450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xmlns="" id="{00000000-0008-0000-5700-000007000000}"/>
            </a:ext>
          </a:extLst>
        </xdr:cNvPr>
        <xdr:cNvSpPr txBox="1"/>
      </xdr:nvSpPr>
      <xdr:spPr>
        <a:xfrm>
          <a:off x="10963275" y="1057275"/>
          <a:ext cx="1219200" cy="2190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FT-SR-XX</a:t>
          </a:r>
        </a:p>
      </xdr:txBody>
    </xdr:sp>
    <xdr:clientData/>
  </xdr:twoCellAnchor>
  <xdr:twoCellAnchor>
    <xdr:from>
      <xdr:col>2</xdr:col>
      <xdr:colOff>0</xdr:colOff>
      <xdr:row>0</xdr:row>
      <xdr:rowOff>0</xdr:rowOff>
    </xdr:from>
    <xdr:to>
      <xdr:col>12</xdr:col>
      <xdr:colOff>866775</xdr:colOff>
      <xdr:row>7</xdr:row>
      <xdr:rowOff>19050</xdr:rowOff>
    </xdr:to>
    <xdr:sp macro="" textlink="">
      <xdr:nvSpPr>
        <xdr:cNvPr id="248845" name="AutoShape 17">
          <a:extLst>
            <a:ext uri="{FF2B5EF4-FFF2-40B4-BE49-F238E27FC236}">
              <a16:creationId xmlns:a16="http://schemas.microsoft.com/office/drawing/2014/main" xmlns="" id="{00000000-0008-0000-5700-00000DCC0300}"/>
            </a:ext>
          </a:extLst>
        </xdr:cNvPr>
        <xdr:cNvSpPr>
          <a:spLocks noChangeArrowheads="1"/>
        </xdr:cNvSpPr>
      </xdr:nvSpPr>
      <xdr:spPr bwMode="auto">
        <a:xfrm>
          <a:off x="1133475" y="0"/>
          <a:ext cx="11849100" cy="1304925"/>
        </a:xfrm>
        <a:prstGeom prst="roundRect">
          <a:avLst>
            <a:gd name="adj" fmla="val 16667"/>
          </a:avLst>
        </a:prstGeom>
        <a:noFill/>
        <a:ln w="31750" cmpd="dbl">
          <a:solidFill>
            <a:srgbClr val="009967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161925</xdr:colOff>
      <xdr:row>0</xdr:row>
      <xdr:rowOff>85725</xdr:rowOff>
    </xdr:from>
    <xdr:to>
      <xdr:col>12</xdr:col>
      <xdr:colOff>817470</xdr:colOff>
      <xdr:row>4</xdr:row>
      <xdr:rowOff>152400</xdr:rowOff>
    </xdr:to>
    <xdr:sp macro="" textlink="">
      <xdr:nvSpPr>
        <xdr:cNvPr id="3" name="Cuadro de texto 1">
          <a:extLst>
            <a:ext uri="{FF2B5EF4-FFF2-40B4-BE49-F238E27FC236}">
              <a16:creationId xmlns:a16="http://schemas.microsoft.com/office/drawing/2014/main" xmlns="" id="{00000000-0008-0000-5700-000003000000}"/>
            </a:ext>
          </a:extLst>
        </xdr:cNvPr>
        <xdr:cNvSpPr txBox="1">
          <a:spLocks noChangeArrowheads="1"/>
        </xdr:cNvSpPr>
      </xdr:nvSpPr>
      <xdr:spPr bwMode="auto">
        <a:xfrm>
          <a:off x="7610475" y="85725"/>
          <a:ext cx="4513170" cy="809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r" rtl="0">
            <a:defRPr sz="1000"/>
          </a:pPr>
          <a:r>
            <a:rPr lang="es-MX" sz="1400" b="1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Dirección Corporativa de Operaciones</a:t>
          </a:r>
        </a:p>
        <a:p>
          <a:pPr algn="r" rtl="0">
            <a:defRPr sz="1000"/>
          </a:pPr>
          <a:r>
            <a:rPr lang="es-MX" sz="1400" b="0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               Subdirección de Negocios No Regulados</a:t>
          </a:r>
        </a:p>
        <a:p>
          <a:pPr algn="r" rtl="0">
            <a:defRPr sz="1000"/>
          </a:pPr>
          <a:r>
            <a:rPr lang="es-MX" sz="1400" b="0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Subgerencia Regional de Energéticos Norte</a:t>
          </a:r>
          <a:endParaRPr lang="es-MX" sz="1400" b="0" i="1" u="none" strike="noStrike" baseline="0">
            <a:solidFill>
              <a:srgbClr val="009969"/>
            </a:solidFill>
            <a:latin typeface="Arial" pitchFamily="34" charset="0"/>
            <a:cs typeface="Arial" pitchFamily="34" charset="0"/>
          </a:endParaRPr>
        </a:p>
        <a:p>
          <a:pPr algn="l" rtl="0">
            <a:defRPr sz="1000"/>
          </a:pPr>
          <a:endParaRPr lang="es-MX" sz="1400" b="1" i="1" u="none" strike="noStrike" baseline="0">
            <a:solidFill>
              <a:srgbClr val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790575</xdr:colOff>
      <xdr:row>5</xdr:row>
      <xdr:rowOff>55033</xdr:rowOff>
    </xdr:to>
    <xdr:pic>
      <xdr:nvPicPr>
        <xdr:cNvPr id="248847" name="Picture 9" descr="C:\Users\francis.munguia\Desktop\LogotipoCFE_verde.jpg">
          <a:extLst>
            <a:ext uri="{FF2B5EF4-FFF2-40B4-BE49-F238E27FC236}">
              <a16:creationId xmlns:a16="http://schemas.microsoft.com/office/drawing/2014/main" xmlns="" id="{00000000-0008-0000-5700-00000FCC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E"/>
            </a:clrFrom>
            <a:clrTo>
              <a:srgbClr val="FFFF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720" b="23125"/>
        <a:stretch>
          <a:fillRect/>
        </a:stretch>
      </xdr:blipFill>
      <xdr:spPr bwMode="auto">
        <a:xfrm>
          <a:off x="1133475" y="180975"/>
          <a:ext cx="201930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781051</xdr:colOff>
      <xdr:row>10</xdr:row>
      <xdr:rowOff>161925</xdr:rowOff>
    </xdr:from>
    <xdr:to>
      <xdr:col>12</xdr:col>
      <xdr:colOff>781051</xdr:colOff>
      <xdr:row>12</xdr:row>
      <xdr:rowOff>133350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xmlns="" id="{00000000-0008-0000-5700-000006000000}"/>
            </a:ext>
          </a:extLst>
        </xdr:cNvPr>
        <xdr:cNvSpPr txBox="1"/>
      </xdr:nvSpPr>
      <xdr:spPr>
        <a:xfrm>
          <a:off x="10868026" y="2190750"/>
          <a:ext cx="1219200" cy="466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Enero</a:t>
          </a:r>
          <a:r>
            <a:rPr lang="es-MX" sz="1100" b="1" baseline="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 - 2018</a:t>
          </a:r>
          <a:endParaRPr lang="es-MX" sz="1100" b="1">
            <a:solidFill>
              <a:srgbClr val="FF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180975</xdr:colOff>
      <xdr:row>4</xdr:row>
      <xdr:rowOff>114301</xdr:rowOff>
    </xdr:from>
    <xdr:to>
      <xdr:col>11</xdr:col>
      <xdr:colOff>923925</xdr:colOff>
      <xdr:row>7</xdr:row>
      <xdr:rowOff>9526</xdr:rowOff>
    </xdr:to>
    <xdr:sp macro="" textlink="">
      <xdr:nvSpPr>
        <xdr:cNvPr id="8" name="Cuadro de texto 1">
          <a:extLst>
            <a:ext uri="{FF2B5EF4-FFF2-40B4-BE49-F238E27FC236}">
              <a16:creationId xmlns:a16="http://schemas.microsoft.com/office/drawing/2014/main" xmlns="" id="{00000000-0008-0000-5700-000008000000}"/>
            </a:ext>
          </a:extLst>
        </xdr:cNvPr>
        <xdr:cNvSpPr txBox="1">
          <a:spLocks noChangeArrowheads="1"/>
        </xdr:cNvSpPr>
      </xdr:nvSpPr>
      <xdr:spPr bwMode="auto">
        <a:xfrm>
          <a:off x="1304925" y="857251"/>
          <a:ext cx="9705975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MX" sz="1400" b="1" i="0" u="none" strike="noStrike" baseline="0">
              <a:solidFill>
                <a:srgbClr val="000000"/>
              </a:solidFill>
              <a:latin typeface="Arial" pitchFamily="34" charset="0"/>
              <a:cs typeface="Arial" pitchFamily="34" charset="0"/>
            </a:rPr>
            <a:t>REVISION DE FACTURACION DE COMBUSTIBLES</a:t>
          </a:r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3</xdr:col>
      <xdr:colOff>384922</xdr:colOff>
      <xdr:row>10</xdr:row>
      <xdr:rowOff>212912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00000000-0008-0000-5700-000009000000}"/>
            </a:ext>
          </a:extLst>
        </xdr:cNvPr>
        <xdr:cNvSpPr txBox="1"/>
      </xdr:nvSpPr>
      <xdr:spPr>
        <a:xfrm>
          <a:off x="1123950" y="1781175"/>
          <a:ext cx="1613647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Tipo de Combustible:</a:t>
          </a:r>
        </a:p>
      </xdr:txBody>
    </xdr:sp>
    <xdr:clientData/>
  </xdr:twoCellAnchor>
  <xdr:twoCellAnchor>
    <xdr:from>
      <xdr:col>3</xdr:col>
      <xdr:colOff>381000</xdr:colOff>
      <xdr:row>10</xdr:row>
      <xdr:rowOff>0</xdr:rowOff>
    </xdr:from>
    <xdr:to>
      <xdr:col>5</xdr:col>
      <xdr:colOff>1209675</xdr:colOff>
      <xdr:row>10</xdr:row>
      <xdr:rowOff>228600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00000000-0008-0000-5700-00000A000000}"/>
            </a:ext>
          </a:extLst>
        </xdr:cNvPr>
        <xdr:cNvSpPr txBox="1"/>
      </xdr:nvSpPr>
      <xdr:spPr>
        <a:xfrm>
          <a:off x="2733675" y="2028825"/>
          <a:ext cx="2695575" cy="228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>
              <a:solidFill>
                <a:srgbClr val="FF0000"/>
              </a:solidFill>
              <a:effectLst/>
              <a:latin typeface="Arial" panose="020B0604020202020204" pitchFamily="34" charset="0"/>
              <a:cs typeface="Arial" panose="020B0604020202020204" pitchFamily="34" charset="0"/>
            </a:rPr>
            <a:t>GAS NATURAL</a:t>
          </a:r>
        </a:p>
      </xdr:txBody>
    </xdr:sp>
    <xdr:clientData/>
  </xdr:twoCellAnchor>
  <xdr:twoCellAnchor>
    <xdr:from>
      <xdr:col>3</xdr:col>
      <xdr:colOff>380999</xdr:colOff>
      <xdr:row>10</xdr:row>
      <xdr:rowOff>219075</xdr:rowOff>
    </xdr:from>
    <xdr:to>
      <xdr:col>6</xdr:col>
      <xdr:colOff>504825</xdr:colOff>
      <xdr:row>11</xdr:row>
      <xdr:rowOff>200025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xmlns="" id="{00000000-0008-0000-5700-00000B000000}"/>
            </a:ext>
          </a:extLst>
        </xdr:cNvPr>
        <xdr:cNvSpPr txBox="1"/>
      </xdr:nvSpPr>
      <xdr:spPr>
        <a:xfrm>
          <a:off x="2733674" y="2247900"/>
          <a:ext cx="3295651" cy="228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MX" sz="1000" b="1" u="sng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TRANSPORTE POR GASODUCTO</a:t>
          </a:r>
        </a:p>
      </xdr:txBody>
    </xdr:sp>
    <xdr:clientData/>
  </xdr:twoCellAnchor>
  <xdr:twoCellAnchor>
    <xdr:from>
      <xdr:col>2</xdr:col>
      <xdr:colOff>0</xdr:colOff>
      <xdr:row>10</xdr:row>
      <xdr:rowOff>228600</xdr:rowOff>
    </xdr:from>
    <xdr:to>
      <xdr:col>3</xdr:col>
      <xdr:colOff>384922</xdr:colOff>
      <xdr:row>11</xdr:row>
      <xdr:rowOff>193862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xmlns="" id="{00000000-0008-0000-5700-00000E000000}"/>
            </a:ext>
          </a:extLst>
        </xdr:cNvPr>
        <xdr:cNvSpPr txBox="1"/>
      </xdr:nvSpPr>
      <xdr:spPr>
        <a:xfrm>
          <a:off x="1123950" y="2009775"/>
          <a:ext cx="1613647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Tipo de Servicio:</a:t>
          </a: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3</xdr:col>
      <xdr:colOff>384922</xdr:colOff>
      <xdr:row>8</xdr:row>
      <xdr:rowOff>212912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xmlns="" id="{00000000-0008-0000-5700-000016000000}"/>
            </a:ext>
          </a:extLst>
        </xdr:cNvPr>
        <xdr:cNvSpPr txBox="1"/>
      </xdr:nvSpPr>
      <xdr:spPr>
        <a:xfrm>
          <a:off x="1123950" y="1533525"/>
          <a:ext cx="1613647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Proveedor:</a:t>
          </a:r>
        </a:p>
        <a:p>
          <a:pPr algn="l"/>
          <a:endParaRPr lang="es-MX" sz="10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380999</xdr:colOff>
      <xdr:row>7</xdr:row>
      <xdr:rowOff>238126</xdr:rowOff>
    </xdr:from>
    <xdr:to>
      <xdr:col>7</xdr:col>
      <xdr:colOff>161924</xdr:colOff>
      <xdr:row>8</xdr:row>
      <xdr:rowOff>228600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xmlns="" id="{00000000-0008-0000-5700-000017000000}"/>
            </a:ext>
          </a:extLst>
        </xdr:cNvPr>
        <xdr:cNvSpPr txBox="1"/>
      </xdr:nvSpPr>
      <xdr:spPr>
        <a:xfrm>
          <a:off x="2733674" y="1524001"/>
          <a:ext cx="3952875" cy="23812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(4326979</a:t>
          </a:r>
          <a:r>
            <a:rPr lang="es-MX" sz="1000" b="1" i="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) </a:t>
          </a:r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TARAHUMARA PIPELINE S DE RL DE CV </a:t>
          </a:r>
          <a:endParaRPr lang="es-MX" sz="1000" u="sng">
            <a:solidFill>
              <a:srgbClr val="FF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0</xdr:colOff>
      <xdr:row>9</xdr:row>
      <xdr:rowOff>0</xdr:rowOff>
    </xdr:from>
    <xdr:to>
      <xdr:col>3</xdr:col>
      <xdr:colOff>384922</xdr:colOff>
      <xdr:row>9</xdr:row>
      <xdr:rowOff>212912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xmlns="" id="{00000000-0008-0000-5700-000018000000}"/>
            </a:ext>
          </a:extLst>
        </xdr:cNvPr>
        <xdr:cNvSpPr txBox="1"/>
      </xdr:nvSpPr>
      <xdr:spPr>
        <a:xfrm>
          <a:off x="1123950" y="1781175"/>
          <a:ext cx="1613647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Contrato:</a:t>
          </a:r>
        </a:p>
      </xdr:txBody>
    </xdr:sp>
    <xdr:clientData/>
  </xdr:twoCellAnchor>
  <xdr:twoCellAnchor>
    <xdr:from>
      <xdr:col>3</xdr:col>
      <xdr:colOff>381000</xdr:colOff>
      <xdr:row>9</xdr:row>
      <xdr:rowOff>19051</xdr:rowOff>
    </xdr:from>
    <xdr:to>
      <xdr:col>5</xdr:col>
      <xdr:colOff>1114425</xdr:colOff>
      <xdr:row>9</xdr:row>
      <xdr:rowOff>228601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xmlns="" id="{00000000-0008-0000-5700-000019000000}"/>
            </a:ext>
          </a:extLst>
        </xdr:cNvPr>
        <xdr:cNvSpPr txBox="1"/>
      </xdr:nvSpPr>
      <xdr:spPr>
        <a:xfrm>
          <a:off x="2733675" y="1800226"/>
          <a:ext cx="2600325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N° SE-CPSTGN-002/2011</a:t>
          </a:r>
          <a:endParaRPr lang="es-MX" sz="1000" u="sng">
            <a:solidFill>
              <a:srgbClr val="FF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591297</xdr:colOff>
      <xdr:row>47</xdr:row>
      <xdr:rowOff>103467</xdr:rowOff>
    </xdr:from>
    <xdr:to>
      <xdr:col>6</xdr:col>
      <xdr:colOff>81430</xdr:colOff>
      <xdr:row>52</xdr:row>
      <xdr:rowOff>59764</xdr:rowOff>
    </xdr:to>
    <xdr:sp macro="" textlink="">
      <xdr:nvSpPr>
        <xdr:cNvPr id="18" name="TextBox 19">
          <a:extLst>
            <a:ext uri="{FF2B5EF4-FFF2-40B4-BE49-F238E27FC236}">
              <a16:creationId xmlns:a16="http://schemas.microsoft.com/office/drawing/2014/main" xmlns="" id="{00000000-0008-0000-5700-000012000000}"/>
            </a:ext>
          </a:extLst>
        </xdr:cNvPr>
        <xdr:cNvSpPr txBox="1"/>
      </xdr:nvSpPr>
      <xdr:spPr>
        <a:xfrm>
          <a:off x="2953497" y="10898467"/>
          <a:ext cx="2665133" cy="84529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___________________________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Elaboro</a:t>
          </a:r>
          <a:r>
            <a:rPr lang="es-MX" sz="1100" b="1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                                               </a:t>
          </a:r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Ing. Rogelio Gaytan Berriel</a:t>
          </a:r>
        </a:p>
      </xdr:txBody>
    </xdr:sp>
    <xdr:clientData/>
  </xdr:twoCellAnchor>
  <xdr:twoCellAnchor>
    <xdr:from>
      <xdr:col>10</xdr:col>
      <xdr:colOff>833158</xdr:colOff>
      <xdr:row>47</xdr:row>
      <xdr:rowOff>65367</xdr:rowOff>
    </xdr:from>
    <xdr:to>
      <xdr:col>13</xdr:col>
      <xdr:colOff>356534</xdr:colOff>
      <xdr:row>52</xdr:row>
      <xdr:rowOff>0</xdr:rowOff>
    </xdr:to>
    <xdr:sp macro="" textlink="">
      <xdr:nvSpPr>
        <xdr:cNvPr id="19" name="TextBox 20">
          <a:extLst>
            <a:ext uri="{FF2B5EF4-FFF2-40B4-BE49-F238E27FC236}">
              <a16:creationId xmlns:a16="http://schemas.microsoft.com/office/drawing/2014/main" xmlns="" id="{00000000-0008-0000-5700-000013000000}"/>
            </a:ext>
          </a:extLst>
        </xdr:cNvPr>
        <xdr:cNvSpPr txBox="1"/>
      </xdr:nvSpPr>
      <xdr:spPr>
        <a:xfrm>
          <a:off x="10853458" y="10860367"/>
          <a:ext cx="2672976" cy="82363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___________________________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Revisó                                                Ing. Fernando Lopez Casillas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876300</xdr:colOff>
      <xdr:row>5</xdr:row>
      <xdr:rowOff>122144</xdr:rowOff>
    </xdr:from>
    <xdr:to>
      <xdr:col>14</xdr:col>
      <xdr:colOff>13447</xdr:colOff>
      <xdr:row>6</xdr:row>
      <xdr:rowOff>160244</xdr:rowOff>
    </xdr:to>
    <xdr:sp macro="" textlink="">
      <xdr:nvSpPr>
        <xdr:cNvPr id="2" name="TextBox 6">
          <a:extLst>
            <a:ext uri="{FF2B5EF4-FFF2-40B4-BE49-F238E27FC236}">
              <a16:creationId xmlns:a16="http://schemas.microsoft.com/office/drawing/2014/main" xmlns="" id="{00000000-0008-0000-5800-000002000000}"/>
            </a:ext>
          </a:extLst>
        </xdr:cNvPr>
        <xdr:cNvSpPr txBox="1"/>
      </xdr:nvSpPr>
      <xdr:spPr>
        <a:xfrm>
          <a:off x="12978653" y="1041026"/>
          <a:ext cx="1221441" cy="21739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FT-SR-XX</a:t>
          </a:r>
        </a:p>
      </xdr:txBody>
    </xdr:sp>
    <xdr:clientData/>
  </xdr:twoCellAnchor>
  <xdr:twoCellAnchor>
    <xdr:from>
      <xdr:col>2</xdr:col>
      <xdr:colOff>0</xdr:colOff>
      <xdr:row>0</xdr:row>
      <xdr:rowOff>0</xdr:rowOff>
    </xdr:from>
    <xdr:to>
      <xdr:col>14</xdr:col>
      <xdr:colOff>57150</xdr:colOff>
      <xdr:row>7</xdr:row>
      <xdr:rowOff>19050</xdr:rowOff>
    </xdr:to>
    <xdr:sp macro="" textlink="">
      <xdr:nvSpPr>
        <xdr:cNvPr id="302089" name="AutoShape 17">
          <a:extLst>
            <a:ext uri="{FF2B5EF4-FFF2-40B4-BE49-F238E27FC236}">
              <a16:creationId xmlns:a16="http://schemas.microsoft.com/office/drawing/2014/main" xmlns="" id="{00000000-0008-0000-5800-0000099C0400}"/>
            </a:ext>
          </a:extLst>
        </xdr:cNvPr>
        <xdr:cNvSpPr>
          <a:spLocks noChangeArrowheads="1"/>
        </xdr:cNvSpPr>
      </xdr:nvSpPr>
      <xdr:spPr bwMode="auto">
        <a:xfrm>
          <a:off x="1133475" y="0"/>
          <a:ext cx="13573125" cy="1304925"/>
        </a:xfrm>
        <a:prstGeom prst="roundRect">
          <a:avLst>
            <a:gd name="adj" fmla="val 16667"/>
          </a:avLst>
        </a:prstGeom>
        <a:noFill/>
        <a:ln w="31750" cmpd="dbl">
          <a:solidFill>
            <a:srgbClr val="009967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1338543</xdr:colOff>
      <xdr:row>0</xdr:row>
      <xdr:rowOff>85725</xdr:rowOff>
    </xdr:from>
    <xdr:to>
      <xdr:col>13</xdr:col>
      <xdr:colOff>951941</xdr:colOff>
      <xdr:row>4</xdr:row>
      <xdr:rowOff>152400</xdr:rowOff>
    </xdr:to>
    <xdr:sp macro="" textlink="">
      <xdr:nvSpPr>
        <xdr:cNvPr id="4" name="Cuadro de texto 1">
          <a:extLst>
            <a:ext uri="{FF2B5EF4-FFF2-40B4-BE49-F238E27FC236}">
              <a16:creationId xmlns:a16="http://schemas.microsoft.com/office/drawing/2014/main" xmlns="" id="{00000000-0008-0000-5800-000004000000}"/>
            </a:ext>
          </a:extLst>
        </xdr:cNvPr>
        <xdr:cNvSpPr txBox="1">
          <a:spLocks noChangeArrowheads="1"/>
        </xdr:cNvSpPr>
      </xdr:nvSpPr>
      <xdr:spPr bwMode="auto">
        <a:xfrm>
          <a:off x="8779249" y="85725"/>
          <a:ext cx="5317192" cy="8062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r" rtl="0">
            <a:defRPr sz="1000"/>
          </a:pPr>
          <a:r>
            <a:rPr lang="es-MX" sz="1400" b="1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Dirección Corporativa de Operaciones</a:t>
          </a:r>
        </a:p>
        <a:p>
          <a:pPr algn="r" rtl="0">
            <a:defRPr sz="1000"/>
          </a:pPr>
          <a:r>
            <a:rPr lang="es-MX" sz="1400" b="0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               Subdirección de Negocios No Regulados</a:t>
          </a:r>
        </a:p>
        <a:p>
          <a:pPr algn="r" rtl="0">
            <a:defRPr sz="1000"/>
          </a:pPr>
          <a:r>
            <a:rPr lang="es-MX" sz="1400" b="0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Subgerencia Regional de Energéticos Norte</a:t>
          </a:r>
          <a:endParaRPr lang="es-MX" sz="1400" b="0" i="1" u="none" strike="noStrike" baseline="0">
            <a:solidFill>
              <a:srgbClr val="009969"/>
            </a:solidFill>
            <a:latin typeface="Arial" pitchFamily="34" charset="0"/>
            <a:cs typeface="Arial" pitchFamily="34" charset="0"/>
          </a:endParaRPr>
        </a:p>
        <a:p>
          <a:pPr algn="l" rtl="0">
            <a:defRPr sz="1000"/>
          </a:pPr>
          <a:endParaRPr lang="es-MX" sz="1400" b="1" i="1" u="none" strike="noStrike" baseline="0">
            <a:solidFill>
              <a:srgbClr val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790575</xdr:colOff>
      <xdr:row>5</xdr:row>
      <xdr:rowOff>36979</xdr:rowOff>
    </xdr:to>
    <xdr:pic>
      <xdr:nvPicPr>
        <xdr:cNvPr id="302091" name="Picture 9" descr="C:\Users\francis.munguia\Desktop\LogotipoCFE_verde.jpg">
          <a:extLst>
            <a:ext uri="{FF2B5EF4-FFF2-40B4-BE49-F238E27FC236}">
              <a16:creationId xmlns:a16="http://schemas.microsoft.com/office/drawing/2014/main" xmlns="" id="{00000000-0008-0000-5800-00000B9C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E"/>
            </a:clrFrom>
            <a:clrTo>
              <a:srgbClr val="FFFF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720" b="23125"/>
        <a:stretch>
          <a:fillRect/>
        </a:stretch>
      </xdr:blipFill>
      <xdr:spPr bwMode="auto">
        <a:xfrm>
          <a:off x="1133475" y="180975"/>
          <a:ext cx="201930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781051</xdr:colOff>
      <xdr:row>10</xdr:row>
      <xdr:rowOff>161925</xdr:rowOff>
    </xdr:from>
    <xdr:to>
      <xdr:col>12</xdr:col>
      <xdr:colOff>781051</xdr:colOff>
      <xdr:row>12</xdr:row>
      <xdr:rowOff>133350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xmlns="" id="{00000000-0008-0000-5800-000006000000}"/>
            </a:ext>
          </a:extLst>
        </xdr:cNvPr>
        <xdr:cNvSpPr txBox="1"/>
      </xdr:nvSpPr>
      <xdr:spPr>
        <a:xfrm>
          <a:off x="11668126" y="2190750"/>
          <a:ext cx="1219200" cy="466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Febrero</a:t>
          </a:r>
          <a:r>
            <a:rPr lang="es-MX" sz="1100" b="1" baseline="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 - 2018</a:t>
          </a:r>
          <a:endParaRPr lang="es-MX" sz="1100" b="1">
            <a:solidFill>
              <a:srgbClr val="FF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180975</xdr:colOff>
      <xdr:row>4</xdr:row>
      <xdr:rowOff>114301</xdr:rowOff>
    </xdr:from>
    <xdr:to>
      <xdr:col>11</xdr:col>
      <xdr:colOff>923925</xdr:colOff>
      <xdr:row>7</xdr:row>
      <xdr:rowOff>9526</xdr:rowOff>
    </xdr:to>
    <xdr:sp macro="" textlink="">
      <xdr:nvSpPr>
        <xdr:cNvPr id="7" name="Cuadro de texto 1">
          <a:extLst>
            <a:ext uri="{FF2B5EF4-FFF2-40B4-BE49-F238E27FC236}">
              <a16:creationId xmlns:a16="http://schemas.microsoft.com/office/drawing/2014/main" xmlns="" id="{00000000-0008-0000-5800-000007000000}"/>
            </a:ext>
          </a:extLst>
        </xdr:cNvPr>
        <xdr:cNvSpPr txBox="1">
          <a:spLocks noChangeArrowheads="1"/>
        </xdr:cNvSpPr>
      </xdr:nvSpPr>
      <xdr:spPr bwMode="auto">
        <a:xfrm>
          <a:off x="1304925" y="857251"/>
          <a:ext cx="10506075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MX" sz="1400" b="1" i="0" u="none" strike="noStrike" baseline="0">
              <a:solidFill>
                <a:srgbClr val="000000"/>
              </a:solidFill>
              <a:latin typeface="Arial" pitchFamily="34" charset="0"/>
              <a:cs typeface="Arial" pitchFamily="34" charset="0"/>
            </a:rPr>
            <a:t>REVISION DE FACTURACION DE COMBUSTIBLES</a:t>
          </a:r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3</xdr:col>
      <xdr:colOff>384922</xdr:colOff>
      <xdr:row>10</xdr:row>
      <xdr:rowOff>212912</xdr:rowOff>
    </xdr:to>
    <xdr:sp macro="" textlink="">
      <xdr:nvSpPr>
        <xdr:cNvPr id="8" name="TextBox 8">
          <a:extLst>
            <a:ext uri="{FF2B5EF4-FFF2-40B4-BE49-F238E27FC236}">
              <a16:creationId xmlns:a16="http://schemas.microsoft.com/office/drawing/2014/main" xmlns="" id="{00000000-0008-0000-5800-000008000000}"/>
            </a:ext>
          </a:extLst>
        </xdr:cNvPr>
        <xdr:cNvSpPr txBox="1"/>
      </xdr:nvSpPr>
      <xdr:spPr>
        <a:xfrm>
          <a:off x="1123950" y="2028825"/>
          <a:ext cx="1613647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Tipo de Combustible:</a:t>
          </a:r>
        </a:p>
      </xdr:txBody>
    </xdr:sp>
    <xdr:clientData/>
  </xdr:twoCellAnchor>
  <xdr:twoCellAnchor>
    <xdr:from>
      <xdr:col>3</xdr:col>
      <xdr:colOff>381000</xdr:colOff>
      <xdr:row>10</xdr:row>
      <xdr:rowOff>0</xdr:rowOff>
    </xdr:from>
    <xdr:to>
      <xdr:col>5</xdr:col>
      <xdr:colOff>1209675</xdr:colOff>
      <xdr:row>10</xdr:row>
      <xdr:rowOff>228600</xdr:rowOff>
    </xdr:to>
    <xdr:sp macro="" textlink="">
      <xdr:nvSpPr>
        <xdr:cNvPr id="9" name="TextBox 9">
          <a:extLst>
            <a:ext uri="{FF2B5EF4-FFF2-40B4-BE49-F238E27FC236}">
              <a16:creationId xmlns:a16="http://schemas.microsoft.com/office/drawing/2014/main" xmlns="" id="{00000000-0008-0000-5800-000009000000}"/>
            </a:ext>
          </a:extLst>
        </xdr:cNvPr>
        <xdr:cNvSpPr txBox="1"/>
      </xdr:nvSpPr>
      <xdr:spPr>
        <a:xfrm>
          <a:off x="2733675" y="2028825"/>
          <a:ext cx="2695575" cy="228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>
              <a:solidFill>
                <a:srgbClr val="FF0000"/>
              </a:solidFill>
              <a:effectLst/>
              <a:latin typeface="Arial" panose="020B0604020202020204" pitchFamily="34" charset="0"/>
              <a:cs typeface="Arial" panose="020B0604020202020204" pitchFamily="34" charset="0"/>
            </a:rPr>
            <a:t>GAS NATURAL</a:t>
          </a:r>
        </a:p>
      </xdr:txBody>
    </xdr:sp>
    <xdr:clientData/>
  </xdr:twoCellAnchor>
  <xdr:twoCellAnchor>
    <xdr:from>
      <xdr:col>3</xdr:col>
      <xdr:colOff>380999</xdr:colOff>
      <xdr:row>10</xdr:row>
      <xdr:rowOff>219075</xdr:rowOff>
    </xdr:from>
    <xdr:to>
      <xdr:col>6</xdr:col>
      <xdr:colOff>504825</xdr:colOff>
      <xdr:row>11</xdr:row>
      <xdr:rowOff>200025</xdr:rowOff>
    </xdr:to>
    <xdr:sp macro="" textlink="">
      <xdr:nvSpPr>
        <xdr:cNvPr id="10" name="TextBox 10">
          <a:extLst>
            <a:ext uri="{FF2B5EF4-FFF2-40B4-BE49-F238E27FC236}">
              <a16:creationId xmlns:a16="http://schemas.microsoft.com/office/drawing/2014/main" xmlns="" id="{00000000-0008-0000-5800-00000A000000}"/>
            </a:ext>
          </a:extLst>
        </xdr:cNvPr>
        <xdr:cNvSpPr txBox="1"/>
      </xdr:nvSpPr>
      <xdr:spPr>
        <a:xfrm>
          <a:off x="2733674" y="2247900"/>
          <a:ext cx="3295651" cy="228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MX" sz="1000" b="1" u="sng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TRANSPORTE POR GASODUCTO</a:t>
          </a:r>
        </a:p>
      </xdr:txBody>
    </xdr:sp>
    <xdr:clientData/>
  </xdr:twoCellAnchor>
  <xdr:twoCellAnchor>
    <xdr:from>
      <xdr:col>2</xdr:col>
      <xdr:colOff>0</xdr:colOff>
      <xdr:row>10</xdr:row>
      <xdr:rowOff>228600</xdr:rowOff>
    </xdr:from>
    <xdr:to>
      <xdr:col>3</xdr:col>
      <xdr:colOff>384922</xdr:colOff>
      <xdr:row>11</xdr:row>
      <xdr:rowOff>193862</xdr:rowOff>
    </xdr:to>
    <xdr:sp macro="" textlink="">
      <xdr:nvSpPr>
        <xdr:cNvPr id="11" name="TextBox 13">
          <a:extLst>
            <a:ext uri="{FF2B5EF4-FFF2-40B4-BE49-F238E27FC236}">
              <a16:creationId xmlns:a16="http://schemas.microsoft.com/office/drawing/2014/main" xmlns="" id="{00000000-0008-0000-5800-00000B000000}"/>
            </a:ext>
          </a:extLst>
        </xdr:cNvPr>
        <xdr:cNvSpPr txBox="1"/>
      </xdr:nvSpPr>
      <xdr:spPr>
        <a:xfrm>
          <a:off x="1123950" y="2257425"/>
          <a:ext cx="1613647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Tipo de Servicio:</a:t>
          </a: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3</xdr:col>
      <xdr:colOff>384922</xdr:colOff>
      <xdr:row>8</xdr:row>
      <xdr:rowOff>212912</xdr:rowOff>
    </xdr:to>
    <xdr:sp macro="" textlink="">
      <xdr:nvSpPr>
        <xdr:cNvPr id="14" name="TextBox 21">
          <a:extLst>
            <a:ext uri="{FF2B5EF4-FFF2-40B4-BE49-F238E27FC236}">
              <a16:creationId xmlns:a16="http://schemas.microsoft.com/office/drawing/2014/main" xmlns="" id="{00000000-0008-0000-5800-00000E000000}"/>
            </a:ext>
          </a:extLst>
        </xdr:cNvPr>
        <xdr:cNvSpPr txBox="1"/>
      </xdr:nvSpPr>
      <xdr:spPr>
        <a:xfrm>
          <a:off x="1123950" y="1533525"/>
          <a:ext cx="1613647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Proveedor:</a:t>
          </a:r>
        </a:p>
        <a:p>
          <a:pPr algn="l"/>
          <a:endParaRPr lang="es-MX" sz="10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380999</xdr:colOff>
      <xdr:row>7</xdr:row>
      <xdr:rowOff>238126</xdr:rowOff>
    </xdr:from>
    <xdr:to>
      <xdr:col>7</xdr:col>
      <xdr:colOff>161924</xdr:colOff>
      <xdr:row>8</xdr:row>
      <xdr:rowOff>228600</xdr:rowOff>
    </xdr:to>
    <xdr:sp macro="" textlink="">
      <xdr:nvSpPr>
        <xdr:cNvPr id="15" name="TextBox 22">
          <a:extLst>
            <a:ext uri="{FF2B5EF4-FFF2-40B4-BE49-F238E27FC236}">
              <a16:creationId xmlns:a16="http://schemas.microsoft.com/office/drawing/2014/main" xmlns="" id="{00000000-0008-0000-5800-00000F000000}"/>
            </a:ext>
          </a:extLst>
        </xdr:cNvPr>
        <xdr:cNvSpPr txBox="1"/>
      </xdr:nvSpPr>
      <xdr:spPr>
        <a:xfrm>
          <a:off x="2733674" y="1524001"/>
          <a:ext cx="3952875" cy="23812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(4326979</a:t>
          </a:r>
          <a:r>
            <a:rPr lang="es-MX" sz="1000" b="1" i="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) </a:t>
          </a:r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TARAHUMARA PIPELINE S DE RL DE CV </a:t>
          </a:r>
          <a:endParaRPr lang="es-MX" sz="1000" u="sng">
            <a:solidFill>
              <a:srgbClr val="FF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0</xdr:colOff>
      <xdr:row>9</xdr:row>
      <xdr:rowOff>0</xdr:rowOff>
    </xdr:from>
    <xdr:to>
      <xdr:col>3</xdr:col>
      <xdr:colOff>384922</xdr:colOff>
      <xdr:row>9</xdr:row>
      <xdr:rowOff>212912</xdr:rowOff>
    </xdr:to>
    <xdr:sp macro="" textlink="">
      <xdr:nvSpPr>
        <xdr:cNvPr id="16" name="TextBox 23">
          <a:extLst>
            <a:ext uri="{FF2B5EF4-FFF2-40B4-BE49-F238E27FC236}">
              <a16:creationId xmlns:a16="http://schemas.microsoft.com/office/drawing/2014/main" xmlns="" id="{00000000-0008-0000-5800-000010000000}"/>
            </a:ext>
          </a:extLst>
        </xdr:cNvPr>
        <xdr:cNvSpPr txBox="1"/>
      </xdr:nvSpPr>
      <xdr:spPr>
        <a:xfrm>
          <a:off x="1123950" y="1781175"/>
          <a:ext cx="1613647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Contrato:</a:t>
          </a:r>
        </a:p>
      </xdr:txBody>
    </xdr:sp>
    <xdr:clientData/>
  </xdr:twoCellAnchor>
  <xdr:twoCellAnchor>
    <xdr:from>
      <xdr:col>3</xdr:col>
      <xdr:colOff>381000</xdr:colOff>
      <xdr:row>9</xdr:row>
      <xdr:rowOff>19051</xdr:rowOff>
    </xdr:from>
    <xdr:to>
      <xdr:col>5</xdr:col>
      <xdr:colOff>1114425</xdr:colOff>
      <xdr:row>9</xdr:row>
      <xdr:rowOff>228601</xdr:rowOff>
    </xdr:to>
    <xdr:sp macro="" textlink="">
      <xdr:nvSpPr>
        <xdr:cNvPr id="17" name="TextBox 24">
          <a:extLst>
            <a:ext uri="{FF2B5EF4-FFF2-40B4-BE49-F238E27FC236}">
              <a16:creationId xmlns:a16="http://schemas.microsoft.com/office/drawing/2014/main" xmlns="" id="{00000000-0008-0000-5800-000011000000}"/>
            </a:ext>
          </a:extLst>
        </xdr:cNvPr>
        <xdr:cNvSpPr txBox="1"/>
      </xdr:nvSpPr>
      <xdr:spPr>
        <a:xfrm>
          <a:off x="2733675" y="1800226"/>
          <a:ext cx="2600325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N° SE-CPSTGN-002/2011</a:t>
          </a:r>
          <a:endParaRPr lang="es-MX" sz="1000" u="sng">
            <a:solidFill>
              <a:srgbClr val="FF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591297</xdr:colOff>
      <xdr:row>47</xdr:row>
      <xdr:rowOff>103467</xdr:rowOff>
    </xdr:from>
    <xdr:to>
      <xdr:col>6</xdr:col>
      <xdr:colOff>81430</xdr:colOff>
      <xdr:row>52</xdr:row>
      <xdr:rowOff>59764</xdr:rowOff>
    </xdr:to>
    <xdr:sp macro="" textlink="">
      <xdr:nvSpPr>
        <xdr:cNvPr id="18" name="TextBox 19">
          <a:extLst>
            <a:ext uri="{FF2B5EF4-FFF2-40B4-BE49-F238E27FC236}">
              <a16:creationId xmlns:a16="http://schemas.microsoft.com/office/drawing/2014/main" xmlns="" id="{00000000-0008-0000-5800-000012000000}"/>
            </a:ext>
          </a:extLst>
        </xdr:cNvPr>
        <xdr:cNvSpPr txBox="1"/>
      </xdr:nvSpPr>
      <xdr:spPr>
        <a:xfrm>
          <a:off x="2953497" y="10898467"/>
          <a:ext cx="2665133" cy="84529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___________________________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Elaboro</a:t>
          </a:r>
          <a:r>
            <a:rPr lang="es-MX" sz="1100" b="1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                                                   </a:t>
          </a:r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Ing. Rogelio Gaytan Berriel</a:t>
          </a:r>
        </a:p>
      </xdr:txBody>
    </xdr:sp>
    <xdr:clientData/>
  </xdr:twoCellAnchor>
  <xdr:twoCellAnchor>
    <xdr:from>
      <xdr:col>10</xdr:col>
      <xdr:colOff>833158</xdr:colOff>
      <xdr:row>47</xdr:row>
      <xdr:rowOff>65367</xdr:rowOff>
    </xdr:from>
    <xdr:to>
      <xdr:col>13</xdr:col>
      <xdr:colOff>356534</xdr:colOff>
      <xdr:row>52</xdr:row>
      <xdr:rowOff>0</xdr:rowOff>
    </xdr:to>
    <xdr:sp macro="" textlink="">
      <xdr:nvSpPr>
        <xdr:cNvPr id="19" name="TextBox 20">
          <a:extLst>
            <a:ext uri="{FF2B5EF4-FFF2-40B4-BE49-F238E27FC236}">
              <a16:creationId xmlns:a16="http://schemas.microsoft.com/office/drawing/2014/main" xmlns="" id="{00000000-0008-0000-5800-000013000000}"/>
            </a:ext>
          </a:extLst>
        </xdr:cNvPr>
        <xdr:cNvSpPr txBox="1"/>
      </xdr:nvSpPr>
      <xdr:spPr>
        <a:xfrm>
          <a:off x="10853458" y="10860367"/>
          <a:ext cx="2672976" cy="82363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___________________________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Revisó                                                   Ing. Fernando Lopez Casillas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876300</xdr:colOff>
      <xdr:row>5</xdr:row>
      <xdr:rowOff>133350</xdr:rowOff>
    </xdr:from>
    <xdr:to>
      <xdr:col>12</xdr:col>
      <xdr:colOff>876300</xdr:colOff>
      <xdr:row>6</xdr:row>
      <xdr:rowOff>171450</xdr:rowOff>
    </xdr:to>
    <xdr:sp macro="" textlink="">
      <xdr:nvSpPr>
        <xdr:cNvPr id="2" name="TextBox 6">
          <a:extLst>
            <a:ext uri="{FF2B5EF4-FFF2-40B4-BE49-F238E27FC236}">
              <a16:creationId xmlns:a16="http://schemas.microsoft.com/office/drawing/2014/main" xmlns="" id="{00000000-0008-0000-5900-000002000000}"/>
            </a:ext>
          </a:extLst>
        </xdr:cNvPr>
        <xdr:cNvSpPr txBox="1"/>
      </xdr:nvSpPr>
      <xdr:spPr>
        <a:xfrm>
          <a:off x="11763375" y="1057275"/>
          <a:ext cx="1219200" cy="2190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FT-SR-XX</a:t>
          </a:r>
        </a:p>
      </xdr:txBody>
    </xdr:sp>
    <xdr:clientData/>
  </xdr:twoCellAnchor>
  <xdr:twoCellAnchor>
    <xdr:from>
      <xdr:col>2</xdr:col>
      <xdr:colOff>0</xdr:colOff>
      <xdr:row>0</xdr:row>
      <xdr:rowOff>0</xdr:rowOff>
    </xdr:from>
    <xdr:to>
      <xdr:col>12</xdr:col>
      <xdr:colOff>866775</xdr:colOff>
      <xdr:row>7</xdr:row>
      <xdr:rowOff>19050</xdr:rowOff>
    </xdr:to>
    <xdr:sp macro="" textlink="">
      <xdr:nvSpPr>
        <xdr:cNvPr id="318474" name="AutoShape 17">
          <a:extLst>
            <a:ext uri="{FF2B5EF4-FFF2-40B4-BE49-F238E27FC236}">
              <a16:creationId xmlns:a16="http://schemas.microsoft.com/office/drawing/2014/main" xmlns="" id="{00000000-0008-0000-5900-00000ADC0400}"/>
            </a:ext>
          </a:extLst>
        </xdr:cNvPr>
        <xdr:cNvSpPr>
          <a:spLocks noChangeArrowheads="1"/>
        </xdr:cNvSpPr>
      </xdr:nvSpPr>
      <xdr:spPr bwMode="auto">
        <a:xfrm>
          <a:off x="1133475" y="0"/>
          <a:ext cx="11849100" cy="1304925"/>
        </a:xfrm>
        <a:prstGeom prst="roundRect">
          <a:avLst>
            <a:gd name="adj" fmla="val 16667"/>
          </a:avLst>
        </a:prstGeom>
        <a:noFill/>
        <a:ln w="31750" cmpd="dbl">
          <a:solidFill>
            <a:srgbClr val="009967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161925</xdr:colOff>
      <xdr:row>0</xdr:row>
      <xdr:rowOff>85725</xdr:rowOff>
    </xdr:from>
    <xdr:to>
      <xdr:col>12</xdr:col>
      <xdr:colOff>817470</xdr:colOff>
      <xdr:row>4</xdr:row>
      <xdr:rowOff>152400</xdr:rowOff>
    </xdr:to>
    <xdr:sp macro="" textlink="">
      <xdr:nvSpPr>
        <xdr:cNvPr id="4" name="Cuadro de texto 1">
          <a:extLst>
            <a:ext uri="{FF2B5EF4-FFF2-40B4-BE49-F238E27FC236}">
              <a16:creationId xmlns:a16="http://schemas.microsoft.com/office/drawing/2014/main" xmlns="" id="{00000000-0008-0000-5900-000004000000}"/>
            </a:ext>
          </a:extLst>
        </xdr:cNvPr>
        <xdr:cNvSpPr txBox="1">
          <a:spLocks noChangeArrowheads="1"/>
        </xdr:cNvSpPr>
      </xdr:nvSpPr>
      <xdr:spPr bwMode="auto">
        <a:xfrm>
          <a:off x="7610475" y="85725"/>
          <a:ext cx="5313270" cy="809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r" rtl="0">
            <a:defRPr sz="1000"/>
          </a:pPr>
          <a:r>
            <a:rPr lang="es-MX" sz="1400" b="1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Dirección Corporativa de Operaciones</a:t>
          </a:r>
        </a:p>
        <a:p>
          <a:pPr algn="r" rtl="0">
            <a:defRPr sz="1000"/>
          </a:pPr>
          <a:r>
            <a:rPr lang="es-MX" sz="1400" b="0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               Subdirección de Negocios No Regulados</a:t>
          </a:r>
        </a:p>
        <a:p>
          <a:pPr algn="r" rtl="0">
            <a:defRPr sz="1000"/>
          </a:pPr>
          <a:r>
            <a:rPr lang="es-MX" sz="1400" b="0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Subgerencia Regional de Energéticos Norte</a:t>
          </a:r>
          <a:endParaRPr lang="es-MX" sz="1400" b="0" i="1" u="none" strike="noStrike" baseline="0">
            <a:solidFill>
              <a:srgbClr val="009969"/>
            </a:solidFill>
            <a:latin typeface="Arial" pitchFamily="34" charset="0"/>
            <a:cs typeface="Arial" pitchFamily="34" charset="0"/>
          </a:endParaRPr>
        </a:p>
        <a:p>
          <a:pPr algn="l" rtl="0">
            <a:defRPr sz="1000"/>
          </a:pPr>
          <a:endParaRPr lang="es-MX" sz="1400" b="1" i="1" u="none" strike="noStrike" baseline="0">
            <a:solidFill>
              <a:srgbClr val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790575</xdr:colOff>
      <xdr:row>4</xdr:row>
      <xdr:rowOff>171450</xdr:rowOff>
    </xdr:to>
    <xdr:pic>
      <xdr:nvPicPr>
        <xdr:cNvPr id="318476" name="Picture 9" descr="C:\Users\francis.munguia\Desktop\LogotipoCFE_verde.jpg">
          <a:extLst>
            <a:ext uri="{FF2B5EF4-FFF2-40B4-BE49-F238E27FC236}">
              <a16:creationId xmlns:a16="http://schemas.microsoft.com/office/drawing/2014/main" xmlns="" id="{00000000-0008-0000-5900-00000CDC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E"/>
            </a:clrFrom>
            <a:clrTo>
              <a:srgbClr val="FFFF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720" b="23125"/>
        <a:stretch>
          <a:fillRect/>
        </a:stretch>
      </xdr:blipFill>
      <xdr:spPr bwMode="auto">
        <a:xfrm>
          <a:off x="1133475" y="180975"/>
          <a:ext cx="201930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781051</xdr:colOff>
      <xdr:row>10</xdr:row>
      <xdr:rowOff>161925</xdr:rowOff>
    </xdr:from>
    <xdr:to>
      <xdr:col>12</xdr:col>
      <xdr:colOff>781051</xdr:colOff>
      <xdr:row>12</xdr:row>
      <xdr:rowOff>133350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xmlns="" id="{00000000-0008-0000-5900-000006000000}"/>
            </a:ext>
          </a:extLst>
        </xdr:cNvPr>
        <xdr:cNvSpPr txBox="1"/>
      </xdr:nvSpPr>
      <xdr:spPr>
        <a:xfrm>
          <a:off x="11668126" y="2190750"/>
          <a:ext cx="1219200" cy="466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 baseline="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Marzo - 2018</a:t>
          </a:r>
          <a:endParaRPr lang="es-MX" sz="1100" b="1">
            <a:solidFill>
              <a:srgbClr val="FF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180975</xdr:colOff>
      <xdr:row>4</xdr:row>
      <xdr:rowOff>114301</xdr:rowOff>
    </xdr:from>
    <xdr:to>
      <xdr:col>11</xdr:col>
      <xdr:colOff>923925</xdr:colOff>
      <xdr:row>7</xdr:row>
      <xdr:rowOff>9526</xdr:rowOff>
    </xdr:to>
    <xdr:sp macro="" textlink="">
      <xdr:nvSpPr>
        <xdr:cNvPr id="7" name="Cuadro de texto 1">
          <a:extLst>
            <a:ext uri="{FF2B5EF4-FFF2-40B4-BE49-F238E27FC236}">
              <a16:creationId xmlns:a16="http://schemas.microsoft.com/office/drawing/2014/main" xmlns="" id="{00000000-0008-0000-5900-000007000000}"/>
            </a:ext>
          </a:extLst>
        </xdr:cNvPr>
        <xdr:cNvSpPr txBox="1">
          <a:spLocks noChangeArrowheads="1"/>
        </xdr:cNvSpPr>
      </xdr:nvSpPr>
      <xdr:spPr bwMode="auto">
        <a:xfrm>
          <a:off x="1304925" y="857251"/>
          <a:ext cx="10506075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MX" sz="1400" b="1" i="0" u="none" strike="noStrike" baseline="0">
              <a:solidFill>
                <a:srgbClr val="000000"/>
              </a:solidFill>
              <a:latin typeface="Arial" pitchFamily="34" charset="0"/>
              <a:cs typeface="Arial" pitchFamily="34" charset="0"/>
            </a:rPr>
            <a:t>REVISION DE FACTURACION DE COMBUSTIBLES</a:t>
          </a:r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3</xdr:col>
      <xdr:colOff>384922</xdr:colOff>
      <xdr:row>10</xdr:row>
      <xdr:rowOff>212912</xdr:rowOff>
    </xdr:to>
    <xdr:sp macro="" textlink="">
      <xdr:nvSpPr>
        <xdr:cNvPr id="8" name="TextBox 8">
          <a:extLst>
            <a:ext uri="{FF2B5EF4-FFF2-40B4-BE49-F238E27FC236}">
              <a16:creationId xmlns:a16="http://schemas.microsoft.com/office/drawing/2014/main" xmlns="" id="{00000000-0008-0000-5900-000008000000}"/>
            </a:ext>
          </a:extLst>
        </xdr:cNvPr>
        <xdr:cNvSpPr txBox="1"/>
      </xdr:nvSpPr>
      <xdr:spPr>
        <a:xfrm>
          <a:off x="1123950" y="2028825"/>
          <a:ext cx="1613647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Tipo de Combustible:</a:t>
          </a:r>
        </a:p>
      </xdr:txBody>
    </xdr:sp>
    <xdr:clientData/>
  </xdr:twoCellAnchor>
  <xdr:twoCellAnchor>
    <xdr:from>
      <xdr:col>3</xdr:col>
      <xdr:colOff>381000</xdr:colOff>
      <xdr:row>10</xdr:row>
      <xdr:rowOff>0</xdr:rowOff>
    </xdr:from>
    <xdr:to>
      <xdr:col>5</xdr:col>
      <xdr:colOff>1209675</xdr:colOff>
      <xdr:row>10</xdr:row>
      <xdr:rowOff>228600</xdr:rowOff>
    </xdr:to>
    <xdr:sp macro="" textlink="">
      <xdr:nvSpPr>
        <xdr:cNvPr id="9" name="TextBox 9">
          <a:extLst>
            <a:ext uri="{FF2B5EF4-FFF2-40B4-BE49-F238E27FC236}">
              <a16:creationId xmlns:a16="http://schemas.microsoft.com/office/drawing/2014/main" xmlns="" id="{00000000-0008-0000-5900-000009000000}"/>
            </a:ext>
          </a:extLst>
        </xdr:cNvPr>
        <xdr:cNvSpPr txBox="1"/>
      </xdr:nvSpPr>
      <xdr:spPr>
        <a:xfrm>
          <a:off x="2733675" y="2028825"/>
          <a:ext cx="2695575" cy="228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>
              <a:solidFill>
                <a:srgbClr val="FF0000"/>
              </a:solidFill>
              <a:effectLst/>
              <a:latin typeface="Arial" panose="020B0604020202020204" pitchFamily="34" charset="0"/>
              <a:cs typeface="Arial" panose="020B0604020202020204" pitchFamily="34" charset="0"/>
            </a:rPr>
            <a:t>GAS NATURAL</a:t>
          </a:r>
        </a:p>
      </xdr:txBody>
    </xdr:sp>
    <xdr:clientData/>
  </xdr:twoCellAnchor>
  <xdr:twoCellAnchor>
    <xdr:from>
      <xdr:col>3</xdr:col>
      <xdr:colOff>380999</xdr:colOff>
      <xdr:row>10</xdr:row>
      <xdr:rowOff>219075</xdr:rowOff>
    </xdr:from>
    <xdr:to>
      <xdr:col>6</xdr:col>
      <xdr:colOff>504825</xdr:colOff>
      <xdr:row>11</xdr:row>
      <xdr:rowOff>200025</xdr:rowOff>
    </xdr:to>
    <xdr:sp macro="" textlink="">
      <xdr:nvSpPr>
        <xdr:cNvPr id="10" name="TextBox 10">
          <a:extLst>
            <a:ext uri="{FF2B5EF4-FFF2-40B4-BE49-F238E27FC236}">
              <a16:creationId xmlns:a16="http://schemas.microsoft.com/office/drawing/2014/main" xmlns="" id="{00000000-0008-0000-5900-00000A000000}"/>
            </a:ext>
          </a:extLst>
        </xdr:cNvPr>
        <xdr:cNvSpPr txBox="1"/>
      </xdr:nvSpPr>
      <xdr:spPr>
        <a:xfrm>
          <a:off x="2733674" y="2247900"/>
          <a:ext cx="3295651" cy="228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MX" sz="1000" b="1" u="sng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TRANSPORTE POR GASODUCTO</a:t>
          </a:r>
        </a:p>
      </xdr:txBody>
    </xdr:sp>
    <xdr:clientData/>
  </xdr:twoCellAnchor>
  <xdr:twoCellAnchor>
    <xdr:from>
      <xdr:col>2</xdr:col>
      <xdr:colOff>0</xdr:colOff>
      <xdr:row>10</xdr:row>
      <xdr:rowOff>228600</xdr:rowOff>
    </xdr:from>
    <xdr:to>
      <xdr:col>3</xdr:col>
      <xdr:colOff>384922</xdr:colOff>
      <xdr:row>11</xdr:row>
      <xdr:rowOff>193862</xdr:rowOff>
    </xdr:to>
    <xdr:sp macro="" textlink="">
      <xdr:nvSpPr>
        <xdr:cNvPr id="11" name="TextBox 13">
          <a:extLst>
            <a:ext uri="{FF2B5EF4-FFF2-40B4-BE49-F238E27FC236}">
              <a16:creationId xmlns:a16="http://schemas.microsoft.com/office/drawing/2014/main" xmlns="" id="{00000000-0008-0000-5900-00000B000000}"/>
            </a:ext>
          </a:extLst>
        </xdr:cNvPr>
        <xdr:cNvSpPr txBox="1"/>
      </xdr:nvSpPr>
      <xdr:spPr>
        <a:xfrm>
          <a:off x="1123950" y="2257425"/>
          <a:ext cx="1613647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Tipo de Servicio:</a:t>
          </a: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3</xdr:col>
      <xdr:colOff>384922</xdr:colOff>
      <xdr:row>8</xdr:row>
      <xdr:rowOff>212912</xdr:rowOff>
    </xdr:to>
    <xdr:sp macro="" textlink="">
      <xdr:nvSpPr>
        <xdr:cNvPr id="14" name="TextBox 21">
          <a:extLst>
            <a:ext uri="{FF2B5EF4-FFF2-40B4-BE49-F238E27FC236}">
              <a16:creationId xmlns:a16="http://schemas.microsoft.com/office/drawing/2014/main" xmlns="" id="{00000000-0008-0000-5900-00000E000000}"/>
            </a:ext>
          </a:extLst>
        </xdr:cNvPr>
        <xdr:cNvSpPr txBox="1"/>
      </xdr:nvSpPr>
      <xdr:spPr>
        <a:xfrm>
          <a:off x="1123950" y="1533525"/>
          <a:ext cx="1613647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Proveedor:</a:t>
          </a:r>
        </a:p>
        <a:p>
          <a:pPr algn="l"/>
          <a:endParaRPr lang="es-MX" sz="10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380999</xdr:colOff>
      <xdr:row>7</xdr:row>
      <xdr:rowOff>238126</xdr:rowOff>
    </xdr:from>
    <xdr:to>
      <xdr:col>7</xdr:col>
      <xdr:colOff>161924</xdr:colOff>
      <xdr:row>8</xdr:row>
      <xdr:rowOff>228600</xdr:rowOff>
    </xdr:to>
    <xdr:sp macro="" textlink="">
      <xdr:nvSpPr>
        <xdr:cNvPr id="15" name="TextBox 22">
          <a:extLst>
            <a:ext uri="{FF2B5EF4-FFF2-40B4-BE49-F238E27FC236}">
              <a16:creationId xmlns:a16="http://schemas.microsoft.com/office/drawing/2014/main" xmlns="" id="{00000000-0008-0000-5900-00000F000000}"/>
            </a:ext>
          </a:extLst>
        </xdr:cNvPr>
        <xdr:cNvSpPr txBox="1"/>
      </xdr:nvSpPr>
      <xdr:spPr>
        <a:xfrm>
          <a:off x="2733674" y="1524001"/>
          <a:ext cx="3952875" cy="23812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(4326979</a:t>
          </a:r>
          <a:r>
            <a:rPr lang="es-MX" sz="1000" b="1" i="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) </a:t>
          </a:r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TARAHUMARA PIPELINE S DE RL DE CV </a:t>
          </a:r>
          <a:endParaRPr lang="es-MX" sz="1000" u="sng">
            <a:solidFill>
              <a:srgbClr val="FF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0</xdr:colOff>
      <xdr:row>9</xdr:row>
      <xdr:rowOff>0</xdr:rowOff>
    </xdr:from>
    <xdr:to>
      <xdr:col>3</xdr:col>
      <xdr:colOff>384922</xdr:colOff>
      <xdr:row>9</xdr:row>
      <xdr:rowOff>212912</xdr:rowOff>
    </xdr:to>
    <xdr:sp macro="" textlink="">
      <xdr:nvSpPr>
        <xdr:cNvPr id="16" name="TextBox 23">
          <a:extLst>
            <a:ext uri="{FF2B5EF4-FFF2-40B4-BE49-F238E27FC236}">
              <a16:creationId xmlns:a16="http://schemas.microsoft.com/office/drawing/2014/main" xmlns="" id="{00000000-0008-0000-5900-000010000000}"/>
            </a:ext>
          </a:extLst>
        </xdr:cNvPr>
        <xdr:cNvSpPr txBox="1"/>
      </xdr:nvSpPr>
      <xdr:spPr>
        <a:xfrm>
          <a:off x="1123950" y="1781175"/>
          <a:ext cx="1613647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Contrato:</a:t>
          </a:r>
        </a:p>
      </xdr:txBody>
    </xdr:sp>
    <xdr:clientData/>
  </xdr:twoCellAnchor>
  <xdr:twoCellAnchor>
    <xdr:from>
      <xdr:col>3</xdr:col>
      <xdr:colOff>381000</xdr:colOff>
      <xdr:row>9</xdr:row>
      <xdr:rowOff>19051</xdr:rowOff>
    </xdr:from>
    <xdr:to>
      <xdr:col>5</xdr:col>
      <xdr:colOff>1114425</xdr:colOff>
      <xdr:row>9</xdr:row>
      <xdr:rowOff>228601</xdr:rowOff>
    </xdr:to>
    <xdr:sp macro="" textlink="">
      <xdr:nvSpPr>
        <xdr:cNvPr id="17" name="TextBox 24">
          <a:extLst>
            <a:ext uri="{FF2B5EF4-FFF2-40B4-BE49-F238E27FC236}">
              <a16:creationId xmlns:a16="http://schemas.microsoft.com/office/drawing/2014/main" xmlns="" id="{00000000-0008-0000-5900-000011000000}"/>
            </a:ext>
          </a:extLst>
        </xdr:cNvPr>
        <xdr:cNvSpPr txBox="1"/>
      </xdr:nvSpPr>
      <xdr:spPr>
        <a:xfrm>
          <a:off x="2733675" y="1800226"/>
          <a:ext cx="2600325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N° SE-CPSTGN-002/2011</a:t>
          </a:r>
          <a:endParaRPr lang="es-MX" sz="1000" u="sng">
            <a:solidFill>
              <a:srgbClr val="FF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591297</xdr:colOff>
      <xdr:row>47</xdr:row>
      <xdr:rowOff>103467</xdr:rowOff>
    </xdr:from>
    <xdr:to>
      <xdr:col>6</xdr:col>
      <xdr:colOff>81430</xdr:colOff>
      <xdr:row>52</xdr:row>
      <xdr:rowOff>59764</xdr:rowOff>
    </xdr:to>
    <xdr:sp macro="" textlink="">
      <xdr:nvSpPr>
        <xdr:cNvPr id="18" name="TextBox 19">
          <a:extLst>
            <a:ext uri="{FF2B5EF4-FFF2-40B4-BE49-F238E27FC236}">
              <a16:creationId xmlns:a16="http://schemas.microsoft.com/office/drawing/2014/main" xmlns="" id="{00000000-0008-0000-5900-000012000000}"/>
            </a:ext>
          </a:extLst>
        </xdr:cNvPr>
        <xdr:cNvSpPr txBox="1"/>
      </xdr:nvSpPr>
      <xdr:spPr>
        <a:xfrm>
          <a:off x="2953497" y="10898467"/>
          <a:ext cx="2665133" cy="84529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___________________________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Elaboro</a:t>
          </a:r>
          <a:r>
            <a:rPr lang="es-MX" sz="1100" b="1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                                               </a:t>
          </a:r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Ing. Rogelio Gaytan Berriel</a:t>
          </a:r>
        </a:p>
      </xdr:txBody>
    </xdr:sp>
    <xdr:clientData/>
  </xdr:twoCellAnchor>
  <xdr:twoCellAnchor>
    <xdr:from>
      <xdr:col>10</xdr:col>
      <xdr:colOff>833158</xdr:colOff>
      <xdr:row>47</xdr:row>
      <xdr:rowOff>65367</xdr:rowOff>
    </xdr:from>
    <xdr:to>
      <xdr:col>13</xdr:col>
      <xdr:colOff>356534</xdr:colOff>
      <xdr:row>52</xdr:row>
      <xdr:rowOff>0</xdr:rowOff>
    </xdr:to>
    <xdr:sp macro="" textlink="">
      <xdr:nvSpPr>
        <xdr:cNvPr id="19" name="TextBox 20">
          <a:extLst>
            <a:ext uri="{FF2B5EF4-FFF2-40B4-BE49-F238E27FC236}">
              <a16:creationId xmlns:a16="http://schemas.microsoft.com/office/drawing/2014/main" xmlns="" id="{00000000-0008-0000-5900-000013000000}"/>
            </a:ext>
          </a:extLst>
        </xdr:cNvPr>
        <xdr:cNvSpPr txBox="1"/>
      </xdr:nvSpPr>
      <xdr:spPr>
        <a:xfrm>
          <a:off x="10853458" y="10860367"/>
          <a:ext cx="2672976" cy="82363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___________________________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Revisó                                                Ing. Fernando Lopez Casillas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876300</xdr:colOff>
      <xdr:row>5</xdr:row>
      <xdr:rowOff>133350</xdr:rowOff>
    </xdr:from>
    <xdr:to>
      <xdr:col>12</xdr:col>
      <xdr:colOff>876300</xdr:colOff>
      <xdr:row>6</xdr:row>
      <xdr:rowOff>171450</xdr:rowOff>
    </xdr:to>
    <xdr:sp macro="" textlink="">
      <xdr:nvSpPr>
        <xdr:cNvPr id="2" name="TextBox 6">
          <a:extLst>
            <a:ext uri="{FF2B5EF4-FFF2-40B4-BE49-F238E27FC236}">
              <a16:creationId xmlns:a16="http://schemas.microsoft.com/office/drawing/2014/main" xmlns="" id="{00000000-0008-0000-5A00-000002000000}"/>
            </a:ext>
          </a:extLst>
        </xdr:cNvPr>
        <xdr:cNvSpPr txBox="1"/>
      </xdr:nvSpPr>
      <xdr:spPr>
        <a:xfrm>
          <a:off x="11772900" y="1057275"/>
          <a:ext cx="1219200" cy="2190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FT-SR-XX</a:t>
          </a:r>
        </a:p>
      </xdr:txBody>
    </xdr:sp>
    <xdr:clientData/>
  </xdr:twoCellAnchor>
  <xdr:twoCellAnchor>
    <xdr:from>
      <xdr:col>2</xdr:col>
      <xdr:colOff>0</xdr:colOff>
      <xdr:row>0</xdr:row>
      <xdr:rowOff>0</xdr:rowOff>
    </xdr:from>
    <xdr:to>
      <xdr:col>12</xdr:col>
      <xdr:colOff>866775</xdr:colOff>
      <xdr:row>7</xdr:row>
      <xdr:rowOff>19050</xdr:rowOff>
    </xdr:to>
    <xdr:sp macro="" textlink="">
      <xdr:nvSpPr>
        <xdr:cNvPr id="319498" name="AutoShape 17">
          <a:extLst>
            <a:ext uri="{FF2B5EF4-FFF2-40B4-BE49-F238E27FC236}">
              <a16:creationId xmlns:a16="http://schemas.microsoft.com/office/drawing/2014/main" xmlns="" id="{00000000-0008-0000-5A00-00000AE00400}"/>
            </a:ext>
          </a:extLst>
        </xdr:cNvPr>
        <xdr:cNvSpPr>
          <a:spLocks noChangeArrowheads="1"/>
        </xdr:cNvSpPr>
      </xdr:nvSpPr>
      <xdr:spPr bwMode="auto">
        <a:xfrm>
          <a:off x="1133475" y="0"/>
          <a:ext cx="11849100" cy="1304925"/>
        </a:xfrm>
        <a:prstGeom prst="roundRect">
          <a:avLst>
            <a:gd name="adj" fmla="val 16667"/>
          </a:avLst>
        </a:prstGeom>
        <a:noFill/>
        <a:ln w="31750" cmpd="dbl">
          <a:solidFill>
            <a:srgbClr val="009967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161925</xdr:colOff>
      <xdr:row>0</xdr:row>
      <xdr:rowOff>85725</xdr:rowOff>
    </xdr:from>
    <xdr:to>
      <xdr:col>12</xdr:col>
      <xdr:colOff>817470</xdr:colOff>
      <xdr:row>4</xdr:row>
      <xdr:rowOff>152400</xdr:rowOff>
    </xdr:to>
    <xdr:sp macro="" textlink="">
      <xdr:nvSpPr>
        <xdr:cNvPr id="4" name="Cuadro de texto 1">
          <a:extLst>
            <a:ext uri="{FF2B5EF4-FFF2-40B4-BE49-F238E27FC236}">
              <a16:creationId xmlns:a16="http://schemas.microsoft.com/office/drawing/2014/main" xmlns="" id="{00000000-0008-0000-5A00-000004000000}"/>
            </a:ext>
          </a:extLst>
        </xdr:cNvPr>
        <xdr:cNvSpPr txBox="1">
          <a:spLocks noChangeArrowheads="1"/>
        </xdr:cNvSpPr>
      </xdr:nvSpPr>
      <xdr:spPr bwMode="auto">
        <a:xfrm>
          <a:off x="7620000" y="85725"/>
          <a:ext cx="5313270" cy="809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r" rtl="0">
            <a:defRPr sz="1000"/>
          </a:pPr>
          <a:r>
            <a:rPr lang="es-MX" sz="1400" b="1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Dirección Corporativa de Operaciones</a:t>
          </a:r>
        </a:p>
        <a:p>
          <a:pPr algn="r" rtl="0">
            <a:defRPr sz="1000"/>
          </a:pPr>
          <a:r>
            <a:rPr lang="es-MX" sz="1400" b="0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               Subdirección de Negocios No Regulados</a:t>
          </a:r>
        </a:p>
        <a:p>
          <a:pPr algn="r" rtl="0">
            <a:defRPr sz="1000"/>
          </a:pPr>
          <a:r>
            <a:rPr lang="es-MX" sz="1400" b="0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Subgerencia Regional de Energéticos Norte</a:t>
          </a:r>
          <a:endParaRPr lang="es-MX" sz="1400" b="0" i="1" u="none" strike="noStrike" baseline="0">
            <a:solidFill>
              <a:srgbClr val="009969"/>
            </a:solidFill>
            <a:latin typeface="Arial" pitchFamily="34" charset="0"/>
            <a:cs typeface="Arial" pitchFamily="34" charset="0"/>
          </a:endParaRPr>
        </a:p>
        <a:p>
          <a:pPr algn="l" rtl="0">
            <a:defRPr sz="1000"/>
          </a:pPr>
          <a:endParaRPr lang="es-MX" sz="1400" b="1" i="1" u="none" strike="noStrike" baseline="0">
            <a:solidFill>
              <a:srgbClr val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790575</xdr:colOff>
      <xdr:row>4</xdr:row>
      <xdr:rowOff>171450</xdr:rowOff>
    </xdr:to>
    <xdr:pic>
      <xdr:nvPicPr>
        <xdr:cNvPr id="319500" name="Picture 9" descr="C:\Users\francis.munguia\Desktop\LogotipoCFE_verde.jpg">
          <a:extLst>
            <a:ext uri="{FF2B5EF4-FFF2-40B4-BE49-F238E27FC236}">
              <a16:creationId xmlns:a16="http://schemas.microsoft.com/office/drawing/2014/main" xmlns="" id="{00000000-0008-0000-5A00-00000CE0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E"/>
            </a:clrFrom>
            <a:clrTo>
              <a:srgbClr val="FFFF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720" b="23125"/>
        <a:stretch>
          <a:fillRect/>
        </a:stretch>
      </xdr:blipFill>
      <xdr:spPr bwMode="auto">
        <a:xfrm>
          <a:off x="1133475" y="180975"/>
          <a:ext cx="201930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781051</xdr:colOff>
      <xdr:row>10</xdr:row>
      <xdr:rowOff>161925</xdr:rowOff>
    </xdr:from>
    <xdr:to>
      <xdr:col>12</xdr:col>
      <xdr:colOff>781051</xdr:colOff>
      <xdr:row>12</xdr:row>
      <xdr:rowOff>133350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xmlns="" id="{00000000-0008-0000-5A00-000006000000}"/>
            </a:ext>
          </a:extLst>
        </xdr:cNvPr>
        <xdr:cNvSpPr txBox="1"/>
      </xdr:nvSpPr>
      <xdr:spPr>
        <a:xfrm>
          <a:off x="11677651" y="2190750"/>
          <a:ext cx="1219200" cy="466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Abril</a:t>
          </a:r>
          <a:r>
            <a:rPr lang="es-MX" sz="1100" b="1" baseline="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 - 2018</a:t>
          </a:r>
          <a:endParaRPr lang="es-MX" sz="1100" b="1">
            <a:solidFill>
              <a:srgbClr val="FF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180975</xdr:colOff>
      <xdr:row>4</xdr:row>
      <xdr:rowOff>114301</xdr:rowOff>
    </xdr:from>
    <xdr:to>
      <xdr:col>11</xdr:col>
      <xdr:colOff>923925</xdr:colOff>
      <xdr:row>7</xdr:row>
      <xdr:rowOff>9526</xdr:rowOff>
    </xdr:to>
    <xdr:sp macro="" textlink="">
      <xdr:nvSpPr>
        <xdr:cNvPr id="7" name="Cuadro de texto 1">
          <a:extLst>
            <a:ext uri="{FF2B5EF4-FFF2-40B4-BE49-F238E27FC236}">
              <a16:creationId xmlns:a16="http://schemas.microsoft.com/office/drawing/2014/main" xmlns="" id="{00000000-0008-0000-5A00-000007000000}"/>
            </a:ext>
          </a:extLst>
        </xdr:cNvPr>
        <xdr:cNvSpPr txBox="1">
          <a:spLocks noChangeArrowheads="1"/>
        </xdr:cNvSpPr>
      </xdr:nvSpPr>
      <xdr:spPr bwMode="auto">
        <a:xfrm>
          <a:off x="1314450" y="857251"/>
          <a:ext cx="10506075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MX" sz="1400" b="1" i="0" u="none" strike="noStrike" baseline="0">
              <a:solidFill>
                <a:srgbClr val="000000"/>
              </a:solidFill>
              <a:latin typeface="Arial" pitchFamily="34" charset="0"/>
              <a:cs typeface="Arial" pitchFamily="34" charset="0"/>
            </a:rPr>
            <a:t>REVISION DE FACTURACION DE COMBUSTIBLES</a:t>
          </a:r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3</xdr:col>
      <xdr:colOff>384922</xdr:colOff>
      <xdr:row>10</xdr:row>
      <xdr:rowOff>212912</xdr:rowOff>
    </xdr:to>
    <xdr:sp macro="" textlink="">
      <xdr:nvSpPr>
        <xdr:cNvPr id="8" name="TextBox 8">
          <a:extLst>
            <a:ext uri="{FF2B5EF4-FFF2-40B4-BE49-F238E27FC236}">
              <a16:creationId xmlns:a16="http://schemas.microsoft.com/office/drawing/2014/main" xmlns="" id="{00000000-0008-0000-5A00-000008000000}"/>
            </a:ext>
          </a:extLst>
        </xdr:cNvPr>
        <xdr:cNvSpPr txBox="1"/>
      </xdr:nvSpPr>
      <xdr:spPr>
        <a:xfrm>
          <a:off x="1133475" y="2028825"/>
          <a:ext cx="1613647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Tipo de Combustible:</a:t>
          </a:r>
        </a:p>
      </xdr:txBody>
    </xdr:sp>
    <xdr:clientData/>
  </xdr:twoCellAnchor>
  <xdr:twoCellAnchor>
    <xdr:from>
      <xdr:col>3</xdr:col>
      <xdr:colOff>381000</xdr:colOff>
      <xdr:row>10</xdr:row>
      <xdr:rowOff>0</xdr:rowOff>
    </xdr:from>
    <xdr:to>
      <xdr:col>5</xdr:col>
      <xdr:colOff>1209675</xdr:colOff>
      <xdr:row>10</xdr:row>
      <xdr:rowOff>228600</xdr:rowOff>
    </xdr:to>
    <xdr:sp macro="" textlink="">
      <xdr:nvSpPr>
        <xdr:cNvPr id="9" name="TextBox 9">
          <a:extLst>
            <a:ext uri="{FF2B5EF4-FFF2-40B4-BE49-F238E27FC236}">
              <a16:creationId xmlns:a16="http://schemas.microsoft.com/office/drawing/2014/main" xmlns="" id="{00000000-0008-0000-5A00-000009000000}"/>
            </a:ext>
          </a:extLst>
        </xdr:cNvPr>
        <xdr:cNvSpPr txBox="1"/>
      </xdr:nvSpPr>
      <xdr:spPr>
        <a:xfrm>
          <a:off x="2743200" y="2028825"/>
          <a:ext cx="2695575" cy="228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>
              <a:solidFill>
                <a:srgbClr val="FF0000"/>
              </a:solidFill>
              <a:effectLst/>
              <a:latin typeface="Arial" panose="020B0604020202020204" pitchFamily="34" charset="0"/>
              <a:cs typeface="Arial" panose="020B0604020202020204" pitchFamily="34" charset="0"/>
            </a:rPr>
            <a:t>GAS NATURAL</a:t>
          </a:r>
        </a:p>
      </xdr:txBody>
    </xdr:sp>
    <xdr:clientData/>
  </xdr:twoCellAnchor>
  <xdr:twoCellAnchor>
    <xdr:from>
      <xdr:col>3</xdr:col>
      <xdr:colOff>380999</xdr:colOff>
      <xdr:row>10</xdr:row>
      <xdr:rowOff>219075</xdr:rowOff>
    </xdr:from>
    <xdr:to>
      <xdr:col>6</xdr:col>
      <xdr:colOff>504825</xdr:colOff>
      <xdr:row>11</xdr:row>
      <xdr:rowOff>200025</xdr:rowOff>
    </xdr:to>
    <xdr:sp macro="" textlink="">
      <xdr:nvSpPr>
        <xdr:cNvPr id="10" name="TextBox 10">
          <a:extLst>
            <a:ext uri="{FF2B5EF4-FFF2-40B4-BE49-F238E27FC236}">
              <a16:creationId xmlns:a16="http://schemas.microsoft.com/office/drawing/2014/main" xmlns="" id="{00000000-0008-0000-5A00-00000A000000}"/>
            </a:ext>
          </a:extLst>
        </xdr:cNvPr>
        <xdr:cNvSpPr txBox="1"/>
      </xdr:nvSpPr>
      <xdr:spPr>
        <a:xfrm>
          <a:off x="2743199" y="2247900"/>
          <a:ext cx="3295651" cy="228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MX" sz="1000" b="1" u="sng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TRANSPORTE POR GASODUCTO</a:t>
          </a:r>
        </a:p>
      </xdr:txBody>
    </xdr:sp>
    <xdr:clientData/>
  </xdr:twoCellAnchor>
  <xdr:twoCellAnchor>
    <xdr:from>
      <xdr:col>2</xdr:col>
      <xdr:colOff>0</xdr:colOff>
      <xdr:row>10</xdr:row>
      <xdr:rowOff>228600</xdr:rowOff>
    </xdr:from>
    <xdr:to>
      <xdr:col>3</xdr:col>
      <xdr:colOff>384922</xdr:colOff>
      <xdr:row>11</xdr:row>
      <xdr:rowOff>193862</xdr:rowOff>
    </xdr:to>
    <xdr:sp macro="" textlink="">
      <xdr:nvSpPr>
        <xdr:cNvPr id="11" name="TextBox 13">
          <a:extLst>
            <a:ext uri="{FF2B5EF4-FFF2-40B4-BE49-F238E27FC236}">
              <a16:creationId xmlns:a16="http://schemas.microsoft.com/office/drawing/2014/main" xmlns="" id="{00000000-0008-0000-5A00-00000B000000}"/>
            </a:ext>
          </a:extLst>
        </xdr:cNvPr>
        <xdr:cNvSpPr txBox="1"/>
      </xdr:nvSpPr>
      <xdr:spPr>
        <a:xfrm>
          <a:off x="1133475" y="2257425"/>
          <a:ext cx="1613647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Tipo de Servicio:</a:t>
          </a:r>
        </a:p>
      </xdr:txBody>
    </xdr:sp>
    <xdr:clientData/>
  </xdr:twoCellAnchor>
  <xdr:twoCellAnchor>
    <xdr:from>
      <xdr:col>3</xdr:col>
      <xdr:colOff>591297</xdr:colOff>
      <xdr:row>47</xdr:row>
      <xdr:rowOff>103467</xdr:rowOff>
    </xdr:from>
    <xdr:to>
      <xdr:col>6</xdr:col>
      <xdr:colOff>81430</xdr:colOff>
      <xdr:row>52</xdr:row>
      <xdr:rowOff>59764</xdr:rowOff>
    </xdr:to>
    <xdr:sp macro="" textlink="">
      <xdr:nvSpPr>
        <xdr:cNvPr id="12" name="TextBox 19">
          <a:extLst>
            <a:ext uri="{FF2B5EF4-FFF2-40B4-BE49-F238E27FC236}">
              <a16:creationId xmlns:a16="http://schemas.microsoft.com/office/drawing/2014/main" xmlns="" id="{00000000-0008-0000-5A00-00000C000000}"/>
            </a:ext>
          </a:extLst>
        </xdr:cNvPr>
        <xdr:cNvSpPr txBox="1"/>
      </xdr:nvSpPr>
      <xdr:spPr>
        <a:xfrm>
          <a:off x="2952003" y="10786408"/>
          <a:ext cx="2672603" cy="85276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___________________________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Elaboro</a:t>
          </a:r>
          <a:r>
            <a:rPr lang="es-MX" sz="1100" b="1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                                                                               </a:t>
          </a:r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Ing. Rogelio Gaytan Berriel</a:t>
          </a:r>
        </a:p>
      </xdr:txBody>
    </xdr:sp>
    <xdr:clientData/>
  </xdr:twoCellAnchor>
  <xdr:twoCellAnchor>
    <xdr:from>
      <xdr:col>10</xdr:col>
      <xdr:colOff>833158</xdr:colOff>
      <xdr:row>47</xdr:row>
      <xdr:rowOff>65367</xdr:rowOff>
    </xdr:from>
    <xdr:to>
      <xdr:col>13</xdr:col>
      <xdr:colOff>356534</xdr:colOff>
      <xdr:row>52</xdr:row>
      <xdr:rowOff>0</xdr:rowOff>
    </xdr:to>
    <xdr:sp macro="" textlink="">
      <xdr:nvSpPr>
        <xdr:cNvPr id="13" name="TextBox 20">
          <a:extLst>
            <a:ext uri="{FF2B5EF4-FFF2-40B4-BE49-F238E27FC236}">
              <a16:creationId xmlns:a16="http://schemas.microsoft.com/office/drawing/2014/main" xmlns="" id="{00000000-0008-0000-5A00-00000D000000}"/>
            </a:ext>
          </a:extLst>
        </xdr:cNvPr>
        <xdr:cNvSpPr txBox="1"/>
      </xdr:nvSpPr>
      <xdr:spPr>
        <a:xfrm>
          <a:off x="10858687" y="10748308"/>
          <a:ext cx="2690906" cy="8311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___________________________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Revisó                                                Ing. Fernando Lopez Casillas</a:t>
          </a: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3</xdr:col>
      <xdr:colOff>384922</xdr:colOff>
      <xdr:row>8</xdr:row>
      <xdr:rowOff>212912</xdr:rowOff>
    </xdr:to>
    <xdr:sp macro="" textlink="">
      <xdr:nvSpPr>
        <xdr:cNvPr id="14" name="TextBox 21">
          <a:extLst>
            <a:ext uri="{FF2B5EF4-FFF2-40B4-BE49-F238E27FC236}">
              <a16:creationId xmlns:a16="http://schemas.microsoft.com/office/drawing/2014/main" xmlns="" id="{00000000-0008-0000-5A00-00000E000000}"/>
            </a:ext>
          </a:extLst>
        </xdr:cNvPr>
        <xdr:cNvSpPr txBox="1"/>
      </xdr:nvSpPr>
      <xdr:spPr>
        <a:xfrm>
          <a:off x="1133475" y="1533525"/>
          <a:ext cx="1613647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Proveedor:</a:t>
          </a:r>
        </a:p>
        <a:p>
          <a:pPr algn="l"/>
          <a:endParaRPr lang="es-MX" sz="10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380999</xdr:colOff>
      <xdr:row>7</xdr:row>
      <xdr:rowOff>238126</xdr:rowOff>
    </xdr:from>
    <xdr:to>
      <xdr:col>7</xdr:col>
      <xdr:colOff>161924</xdr:colOff>
      <xdr:row>8</xdr:row>
      <xdr:rowOff>228600</xdr:rowOff>
    </xdr:to>
    <xdr:sp macro="" textlink="">
      <xdr:nvSpPr>
        <xdr:cNvPr id="15" name="TextBox 22">
          <a:extLst>
            <a:ext uri="{FF2B5EF4-FFF2-40B4-BE49-F238E27FC236}">
              <a16:creationId xmlns:a16="http://schemas.microsoft.com/office/drawing/2014/main" xmlns="" id="{00000000-0008-0000-5A00-00000F000000}"/>
            </a:ext>
          </a:extLst>
        </xdr:cNvPr>
        <xdr:cNvSpPr txBox="1"/>
      </xdr:nvSpPr>
      <xdr:spPr>
        <a:xfrm>
          <a:off x="2743199" y="1524001"/>
          <a:ext cx="3952875" cy="23812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(4326979</a:t>
          </a:r>
          <a:r>
            <a:rPr lang="es-MX" sz="1000" b="1" i="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) </a:t>
          </a:r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TARAHUMARA PIPELINE S DE RL DE CV </a:t>
          </a:r>
          <a:endParaRPr lang="es-MX" sz="1000" u="sng">
            <a:solidFill>
              <a:srgbClr val="FF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0</xdr:colOff>
      <xdr:row>9</xdr:row>
      <xdr:rowOff>0</xdr:rowOff>
    </xdr:from>
    <xdr:to>
      <xdr:col>3</xdr:col>
      <xdr:colOff>384922</xdr:colOff>
      <xdr:row>9</xdr:row>
      <xdr:rowOff>212912</xdr:rowOff>
    </xdr:to>
    <xdr:sp macro="" textlink="">
      <xdr:nvSpPr>
        <xdr:cNvPr id="16" name="TextBox 23">
          <a:extLst>
            <a:ext uri="{FF2B5EF4-FFF2-40B4-BE49-F238E27FC236}">
              <a16:creationId xmlns:a16="http://schemas.microsoft.com/office/drawing/2014/main" xmlns="" id="{00000000-0008-0000-5A00-000010000000}"/>
            </a:ext>
          </a:extLst>
        </xdr:cNvPr>
        <xdr:cNvSpPr txBox="1"/>
      </xdr:nvSpPr>
      <xdr:spPr>
        <a:xfrm>
          <a:off x="1133475" y="1781175"/>
          <a:ext cx="1613647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Contrato:</a:t>
          </a:r>
        </a:p>
      </xdr:txBody>
    </xdr:sp>
    <xdr:clientData/>
  </xdr:twoCellAnchor>
  <xdr:twoCellAnchor>
    <xdr:from>
      <xdr:col>3</xdr:col>
      <xdr:colOff>381000</xdr:colOff>
      <xdr:row>9</xdr:row>
      <xdr:rowOff>19051</xdr:rowOff>
    </xdr:from>
    <xdr:to>
      <xdr:col>5</xdr:col>
      <xdr:colOff>1114425</xdr:colOff>
      <xdr:row>9</xdr:row>
      <xdr:rowOff>228601</xdr:rowOff>
    </xdr:to>
    <xdr:sp macro="" textlink="">
      <xdr:nvSpPr>
        <xdr:cNvPr id="17" name="TextBox 24">
          <a:extLst>
            <a:ext uri="{FF2B5EF4-FFF2-40B4-BE49-F238E27FC236}">
              <a16:creationId xmlns:a16="http://schemas.microsoft.com/office/drawing/2014/main" xmlns="" id="{00000000-0008-0000-5A00-000011000000}"/>
            </a:ext>
          </a:extLst>
        </xdr:cNvPr>
        <xdr:cNvSpPr txBox="1"/>
      </xdr:nvSpPr>
      <xdr:spPr>
        <a:xfrm>
          <a:off x="2743200" y="1800226"/>
          <a:ext cx="2600325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N° SE-CPSTGN-002/2011</a:t>
          </a:r>
          <a:endParaRPr lang="es-MX" sz="1000" u="sng">
            <a:solidFill>
              <a:srgbClr val="FF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876300</xdr:colOff>
      <xdr:row>5</xdr:row>
      <xdr:rowOff>133350</xdr:rowOff>
    </xdr:from>
    <xdr:to>
      <xdr:col>12</xdr:col>
      <xdr:colOff>876300</xdr:colOff>
      <xdr:row>6</xdr:row>
      <xdr:rowOff>171450</xdr:rowOff>
    </xdr:to>
    <xdr:sp macro="" textlink="">
      <xdr:nvSpPr>
        <xdr:cNvPr id="2" name="TextBox 6">
          <a:extLst>
            <a:ext uri="{FF2B5EF4-FFF2-40B4-BE49-F238E27FC236}">
              <a16:creationId xmlns:a16="http://schemas.microsoft.com/office/drawing/2014/main" xmlns="" id="{00000000-0008-0000-5B00-000002000000}"/>
            </a:ext>
          </a:extLst>
        </xdr:cNvPr>
        <xdr:cNvSpPr txBox="1"/>
      </xdr:nvSpPr>
      <xdr:spPr>
        <a:xfrm>
          <a:off x="11785600" y="1047750"/>
          <a:ext cx="1219200" cy="215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FT-SR-XX</a:t>
          </a:r>
        </a:p>
      </xdr:txBody>
    </xdr:sp>
    <xdr:clientData/>
  </xdr:twoCellAnchor>
  <xdr:twoCellAnchor>
    <xdr:from>
      <xdr:col>2</xdr:col>
      <xdr:colOff>0</xdr:colOff>
      <xdr:row>0</xdr:row>
      <xdr:rowOff>0</xdr:rowOff>
    </xdr:from>
    <xdr:to>
      <xdr:col>12</xdr:col>
      <xdr:colOff>866775</xdr:colOff>
      <xdr:row>7</xdr:row>
      <xdr:rowOff>19050</xdr:rowOff>
    </xdr:to>
    <xdr:sp macro="" textlink="">
      <xdr:nvSpPr>
        <xdr:cNvPr id="331795" name="AutoShape 17">
          <a:extLst>
            <a:ext uri="{FF2B5EF4-FFF2-40B4-BE49-F238E27FC236}">
              <a16:creationId xmlns:a16="http://schemas.microsoft.com/office/drawing/2014/main" xmlns="" id="{00000000-0008-0000-5B00-000013100500}"/>
            </a:ext>
          </a:extLst>
        </xdr:cNvPr>
        <xdr:cNvSpPr>
          <a:spLocks noChangeArrowheads="1"/>
        </xdr:cNvSpPr>
      </xdr:nvSpPr>
      <xdr:spPr bwMode="auto">
        <a:xfrm>
          <a:off x="1133475" y="0"/>
          <a:ext cx="11896725" cy="1304925"/>
        </a:xfrm>
        <a:prstGeom prst="roundRect">
          <a:avLst>
            <a:gd name="adj" fmla="val 16667"/>
          </a:avLst>
        </a:prstGeom>
        <a:noFill/>
        <a:ln w="31750" cmpd="dbl">
          <a:solidFill>
            <a:srgbClr val="009967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161925</xdr:colOff>
      <xdr:row>0</xdr:row>
      <xdr:rowOff>85725</xdr:rowOff>
    </xdr:from>
    <xdr:to>
      <xdr:col>12</xdr:col>
      <xdr:colOff>817470</xdr:colOff>
      <xdr:row>4</xdr:row>
      <xdr:rowOff>152400</xdr:rowOff>
    </xdr:to>
    <xdr:sp macro="" textlink="">
      <xdr:nvSpPr>
        <xdr:cNvPr id="4" name="Cuadro de texto 1">
          <a:extLst>
            <a:ext uri="{FF2B5EF4-FFF2-40B4-BE49-F238E27FC236}">
              <a16:creationId xmlns:a16="http://schemas.microsoft.com/office/drawing/2014/main" xmlns="" id="{00000000-0008-0000-5B00-000004000000}"/>
            </a:ext>
          </a:extLst>
        </xdr:cNvPr>
        <xdr:cNvSpPr txBox="1">
          <a:spLocks noChangeArrowheads="1"/>
        </xdr:cNvSpPr>
      </xdr:nvSpPr>
      <xdr:spPr bwMode="auto">
        <a:xfrm>
          <a:off x="7629525" y="85725"/>
          <a:ext cx="5316445" cy="803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r" rtl="0">
            <a:defRPr sz="1000"/>
          </a:pPr>
          <a:r>
            <a:rPr lang="es-MX" sz="1400" b="1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Dirección Corporativa de Operaciones</a:t>
          </a:r>
        </a:p>
        <a:p>
          <a:pPr algn="r" rtl="0">
            <a:defRPr sz="1000"/>
          </a:pPr>
          <a:r>
            <a:rPr lang="es-MX" sz="1400" b="0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               Subdirección de Negocios No Regulados</a:t>
          </a:r>
        </a:p>
        <a:p>
          <a:pPr algn="r" rtl="0">
            <a:defRPr sz="1000"/>
          </a:pPr>
          <a:r>
            <a:rPr lang="es-MX" sz="1400" b="0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Subgerencia Regional de Energéticos Norte</a:t>
          </a:r>
          <a:endParaRPr lang="es-MX" sz="1400" b="0" i="1" u="none" strike="noStrike" baseline="0">
            <a:solidFill>
              <a:srgbClr val="009969"/>
            </a:solidFill>
            <a:latin typeface="Arial" pitchFamily="34" charset="0"/>
            <a:cs typeface="Arial" pitchFamily="34" charset="0"/>
          </a:endParaRPr>
        </a:p>
        <a:p>
          <a:pPr algn="l" rtl="0">
            <a:defRPr sz="1000"/>
          </a:pPr>
          <a:endParaRPr lang="es-MX" sz="1400" b="1" i="1" u="none" strike="noStrike" baseline="0">
            <a:solidFill>
              <a:srgbClr val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790575</xdr:colOff>
      <xdr:row>5</xdr:row>
      <xdr:rowOff>0</xdr:rowOff>
    </xdr:to>
    <xdr:pic>
      <xdr:nvPicPr>
        <xdr:cNvPr id="331797" name="Picture 9" descr="C:\Users\francis.munguia\Desktop\LogotipoCFE_verde.jpg">
          <a:extLst>
            <a:ext uri="{FF2B5EF4-FFF2-40B4-BE49-F238E27FC236}">
              <a16:creationId xmlns:a16="http://schemas.microsoft.com/office/drawing/2014/main" xmlns="" id="{00000000-0008-0000-5B00-000015100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E"/>
            </a:clrFrom>
            <a:clrTo>
              <a:srgbClr val="FFFF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720" b="23125"/>
        <a:stretch>
          <a:fillRect/>
        </a:stretch>
      </xdr:blipFill>
      <xdr:spPr bwMode="auto">
        <a:xfrm>
          <a:off x="1133475" y="180975"/>
          <a:ext cx="2019300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781051</xdr:colOff>
      <xdr:row>10</xdr:row>
      <xdr:rowOff>161925</xdr:rowOff>
    </xdr:from>
    <xdr:to>
      <xdr:col>12</xdr:col>
      <xdr:colOff>781051</xdr:colOff>
      <xdr:row>12</xdr:row>
      <xdr:rowOff>133350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xmlns="" id="{00000000-0008-0000-5B00-000006000000}"/>
            </a:ext>
          </a:extLst>
        </xdr:cNvPr>
        <xdr:cNvSpPr txBox="1"/>
      </xdr:nvSpPr>
      <xdr:spPr>
        <a:xfrm>
          <a:off x="11690351" y="2155825"/>
          <a:ext cx="1219200" cy="4540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 baseline="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Mayo - 2018</a:t>
          </a:r>
          <a:endParaRPr lang="es-MX" sz="1100" b="1">
            <a:solidFill>
              <a:srgbClr val="FF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180975</xdr:colOff>
      <xdr:row>4</xdr:row>
      <xdr:rowOff>114301</xdr:rowOff>
    </xdr:from>
    <xdr:to>
      <xdr:col>11</xdr:col>
      <xdr:colOff>923925</xdr:colOff>
      <xdr:row>7</xdr:row>
      <xdr:rowOff>9526</xdr:rowOff>
    </xdr:to>
    <xdr:sp macro="" textlink="">
      <xdr:nvSpPr>
        <xdr:cNvPr id="7" name="Cuadro de texto 1">
          <a:extLst>
            <a:ext uri="{FF2B5EF4-FFF2-40B4-BE49-F238E27FC236}">
              <a16:creationId xmlns:a16="http://schemas.microsoft.com/office/drawing/2014/main" xmlns="" id="{00000000-0008-0000-5B00-000007000000}"/>
            </a:ext>
          </a:extLst>
        </xdr:cNvPr>
        <xdr:cNvSpPr txBox="1">
          <a:spLocks noChangeArrowheads="1"/>
        </xdr:cNvSpPr>
      </xdr:nvSpPr>
      <xdr:spPr bwMode="auto">
        <a:xfrm>
          <a:off x="1311275" y="850901"/>
          <a:ext cx="10521950" cy="42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MX" sz="1400" b="1" i="0" u="none" strike="noStrike" baseline="0">
              <a:solidFill>
                <a:srgbClr val="000000"/>
              </a:solidFill>
              <a:latin typeface="Arial" pitchFamily="34" charset="0"/>
              <a:cs typeface="Arial" pitchFamily="34" charset="0"/>
            </a:rPr>
            <a:t>REVISION DE FACTURACION DE COMBUSTIBLES</a:t>
          </a:r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3</xdr:col>
      <xdr:colOff>384922</xdr:colOff>
      <xdr:row>10</xdr:row>
      <xdr:rowOff>212912</xdr:rowOff>
    </xdr:to>
    <xdr:sp macro="" textlink="">
      <xdr:nvSpPr>
        <xdr:cNvPr id="8" name="TextBox 8">
          <a:extLst>
            <a:ext uri="{FF2B5EF4-FFF2-40B4-BE49-F238E27FC236}">
              <a16:creationId xmlns:a16="http://schemas.microsoft.com/office/drawing/2014/main" xmlns="" id="{00000000-0008-0000-5B00-000008000000}"/>
            </a:ext>
          </a:extLst>
        </xdr:cNvPr>
        <xdr:cNvSpPr txBox="1"/>
      </xdr:nvSpPr>
      <xdr:spPr>
        <a:xfrm>
          <a:off x="1130300" y="1993900"/>
          <a:ext cx="1616822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Tipo de Combustible:</a:t>
          </a:r>
        </a:p>
      </xdr:txBody>
    </xdr:sp>
    <xdr:clientData/>
  </xdr:twoCellAnchor>
  <xdr:twoCellAnchor>
    <xdr:from>
      <xdr:col>3</xdr:col>
      <xdr:colOff>381000</xdr:colOff>
      <xdr:row>10</xdr:row>
      <xdr:rowOff>0</xdr:rowOff>
    </xdr:from>
    <xdr:to>
      <xdr:col>5</xdr:col>
      <xdr:colOff>1209675</xdr:colOff>
      <xdr:row>10</xdr:row>
      <xdr:rowOff>228600</xdr:rowOff>
    </xdr:to>
    <xdr:sp macro="" textlink="">
      <xdr:nvSpPr>
        <xdr:cNvPr id="9" name="TextBox 9">
          <a:extLst>
            <a:ext uri="{FF2B5EF4-FFF2-40B4-BE49-F238E27FC236}">
              <a16:creationId xmlns:a16="http://schemas.microsoft.com/office/drawing/2014/main" xmlns="" id="{00000000-0008-0000-5B00-000009000000}"/>
            </a:ext>
          </a:extLst>
        </xdr:cNvPr>
        <xdr:cNvSpPr txBox="1"/>
      </xdr:nvSpPr>
      <xdr:spPr>
        <a:xfrm>
          <a:off x="2743200" y="1993900"/>
          <a:ext cx="2695575" cy="228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>
              <a:solidFill>
                <a:srgbClr val="FF0000"/>
              </a:solidFill>
              <a:effectLst/>
              <a:latin typeface="Arial" panose="020B0604020202020204" pitchFamily="34" charset="0"/>
              <a:cs typeface="Arial" panose="020B0604020202020204" pitchFamily="34" charset="0"/>
            </a:rPr>
            <a:t>GAS NATURAL</a:t>
          </a:r>
        </a:p>
      </xdr:txBody>
    </xdr:sp>
    <xdr:clientData/>
  </xdr:twoCellAnchor>
  <xdr:twoCellAnchor>
    <xdr:from>
      <xdr:col>3</xdr:col>
      <xdr:colOff>380999</xdr:colOff>
      <xdr:row>10</xdr:row>
      <xdr:rowOff>219075</xdr:rowOff>
    </xdr:from>
    <xdr:to>
      <xdr:col>6</xdr:col>
      <xdr:colOff>504825</xdr:colOff>
      <xdr:row>11</xdr:row>
      <xdr:rowOff>200025</xdr:rowOff>
    </xdr:to>
    <xdr:sp macro="" textlink="">
      <xdr:nvSpPr>
        <xdr:cNvPr id="10" name="TextBox 10">
          <a:extLst>
            <a:ext uri="{FF2B5EF4-FFF2-40B4-BE49-F238E27FC236}">
              <a16:creationId xmlns:a16="http://schemas.microsoft.com/office/drawing/2014/main" xmlns="" id="{00000000-0008-0000-5B00-00000A000000}"/>
            </a:ext>
          </a:extLst>
        </xdr:cNvPr>
        <xdr:cNvSpPr txBox="1"/>
      </xdr:nvSpPr>
      <xdr:spPr>
        <a:xfrm>
          <a:off x="2743199" y="2212975"/>
          <a:ext cx="3298826" cy="2222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MX" sz="1000" b="1" u="sng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TRANSPORTE POR GASODUCTO</a:t>
          </a:r>
        </a:p>
      </xdr:txBody>
    </xdr:sp>
    <xdr:clientData/>
  </xdr:twoCellAnchor>
  <xdr:twoCellAnchor>
    <xdr:from>
      <xdr:col>2</xdr:col>
      <xdr:colOff>0</xdr:colOff>
      <xdr:row>10</xdr:row>
      <xdr:rowOff>228600</xdr:rowOff>
    </xdr:from>
    <xdr:to>
      <xdr:col>3</xdr:col>
      <xdr:colOff>384922</xdr:colOff>
      <xdr:row>11</xdr:row>
      <xdr:rowOff>193862</xdr:rowOff>
    </xdr:to>
    <xdr:sp macro="" textlink="">
      <xdr:nvSpPr>
        <xdr:cNvPr id="11" name="TextBox 13">
          <a:extLst>
            <a:ext uri="{FF2B5EF4-FFF2-40B4-BE49-F238E27FC236}">
              <a16:creationId xmlns:a16="http://schemas.microsoft.com/office/drawing/2014/main" xmlns="" id="{00000000-0008-0000-5B00-00000B000000}"/>
            </a:ext>
          </a:extLst>
        </xdr:cNvPr>
        <xdr:cNvSpPr txBox="1"/>
      </xdr:nvSpPr>
      <xdr:spPr>
        <a:xfrm>
          <a:off x="1130300" y="2222500"/>
          <a:ext cx="1616822" cy="20656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Tipo de Servicio:</a:t>
          </a:r>
        </a:p>
      </xdr:txBody>
    </xdr:sp>
    <xdr:clientData/>
  </xdr:twoCellAnchor>
  <xdr:twoCellAnchor>
    <xdr:from>
      <xdr:col>1</xdr:col>
      <xdr:colOff>247650</xdr:colOff>
      <xdr:row>59</xdr:row>
      <xdr:rowOff>133350</xdr:rowOff>
    </xdr:from>
    <xdr:to>
      <xdr:col>4</xdr:col>
      <xdr:colOff>454959</xdr:colOff>
      <xdr:row>64</xdr:row>
      <xdr:rowOff>50800</xdr:rowOff>
    </xdr:to>
    <xdr:sp macro="" textlink="">
      <xdr:nvSpPr>
        <xdr:cNvPr id="12" name="TextBox 19">
          <a:extLst>
            <a:ext uri="{FF2B5EF4-FFF2-40B4-BE49-F238E27FC236}">
              <a16:creationId xmlns:a16="http://schemas.microsoft.com/office/drawing/2014/main" xmlns="" id="{00000000-0008-0000-5B00-00000C000000}"/>
            </a:ext>
          </a:extLst>
        </xdr:cNvPr>
        <xdr:cNvSpPr txBox="1"/>
      </xdr:nvSpPr>
      <xdr:spPr>
        <a:xfrm>
          <a:off x="1085850" y="11169650"/>
          <a:ext cx="2671109" cy="806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___________________________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Elaboro</a:t>
          </a:r>
        </a:p>
        <a:p>
          <a:pPr algn="ctr"/>
          <a:r>
            <a:rPr lang="es-MX" sz="1100" b="1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Ing. Rogelio Gaytan Berriel</a:t>
          </a:r>
          <a:endParaRPr lang="es-MX" sz="11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10</xdr:col>
      <xdr:colOff>295275</xdr:colOff>
      <xdr:row>59</xdr:row>
      <xdr:rowOff>95250</xdr:rowOff>
    </xdr:from>
    <xdr:to>
      <xdr:col>12</xdr:col>
      <xdr:colOff>864534</xdr:colOff>
      <xdr:row>64</xdr:row>
      <xdr:rowOff>0</xdr:rowOff>
    </xdr:to>
    <xdr:sp macro="" textlink="">
      <xdr:nvSpPr>
        <xdr:cNvPr id="13" name="TextBox 20">
          <a:extLst>
            <a:ext uri="{FF2B5EF4-FFF2-40B4-BE49-F238E27FC236}">
              <a16:creationId xmlns:a16="http://schemas.microsoft.com/office/drawing/2014/main" xmlns="" id="{00000000-0008-0000-5B00-00000D000000}"/>
            </a:ext>
          </a:extLst>
        </xdr:cNvPr>
        <xdr:cNvSpPr txBox="1"/>
      </xdr:nvSpPr>
      <xdr:spPr>
        <a:xfrm>
          <a:off x="10315575" y="11131550"/>
          <a:ext cx="2677459" cy="793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___________________________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Revisó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Ing.</a:t>
          </a:r>
          <a:r>
            <a:rPr lang="es-MX" sz="1100" b="1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 Fernando Lopez Casillas</a:t>
          </a:r>
          <a:endParaRPr lang="es-MX" sz="11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3</xdr:col>
      <xdr:colOff>384922</xdr:colOff>
      <xdr:row>8</xdr:row>
      <xdr:rowOff>212912</xdr:rowOff>
    </xdr:to>
    <xdr:sp macro="" textlink="">
      <xdr:nvSpPr>
        <xdr:cNvPr id="14" name="TextBox 21">
          <a:extLst>
            <a:ext uri="{FF2B5EF4-FFF2-40B4-BE49-F238E27FC236}">
              <a16:creationId xmlns:a16="http://schemas.microsoft.com/office/drawing/2014/main" xmlns="" id="{00000000-0008-0000-5B00-00000E000000}"/>
            </a:ext>
          </a:extLst>
        </xdr:cNvPr>
        <xdr:cNvSpPr txBox="1"/>
      </xdr:nvSpPr>
      <xdr:spPr>
        <a:xfrm>
          <a:off x="1130300" y="1511300"/>
          <a:ext cx="1616822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Proveedor:</a:t>
          </a:r>
        </a:p>
        <a:p>
          <a:pPr algn="l"/>
          <a:endParaRPr lang="es-MX" sz="10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380999</xdr:colOff>
      <xdr:row>7</xdr:row>
      <xdr:rowOff>238126</xdr:rowOff>
    </xdr:from>
    <xdr:to>
      <xdr:col>7</xdr:col>
      <xdr:colOff>161924</xdr:colOff>
      <xdr:row>8</xdr:row>
      <xdr:rowOff>228600</xdr:rowOff>
    </xdr:to>
    <xdr:sp macro="" textlink="">
      <xdr:nvSpPr>
        <xdr:cNvPr id="15" name="TextBox 22">
          <a:extLst>
            <a:ext uri="{FF2B5EF4-FFF2-40B4-BE49-F238E27FC236}">
              <a16:creationId xmlns:a16="http://schemas.microsoft.com/office/drawing/2014/main" xmlns="" id="{00000000-0008-0000-5B00-00000F000000}"/>
            </a:ext>
          </a:extLst>
        </xdr:cNvPr>
        <xdr:cNvSpPr txBox="1"/>
      </xdr:nvSpPr>
      <xdr:spPr>
        <a:xfrm>
          <a:off x="2743199" y="1508126"/>
          <a:ext cx="3959225" cy="23177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(4326979</a:t>
          </a:r>
          <a:r>
            <a:rPr lang="es-MX" sz="1000" b="1" i="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) </a:t>
          </a:r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TARAHUMARA PIPELINE S DE RL DE CV </a:t>
          </a:r>
          <a:endParaRPr lang="es-MX" sz="1000" u="sng">
            <a:solidFill>
              <a:srgbClr val="FF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0</xdr:colOff>
      <xdr:row>9</xdr:row>
      <xdr:rowOff>0</xdr:rowOff>
    </xdr:from>
    <xdr:to>
      <xdr:col>3</xdr:col>
      <xdr:colOff>384922</xdr:colOff>
      <xdr:row>9</xdr:row>
      <xdr:rowOff>212912</xdr:rowOff>
    </xdr:to>
    <xdr:sp macro="" textlink="">
      <xdr:nvSpPr>
        <xdr:cNvPr id="16" name="TextBox 23">
          <a:extLst>
            <a:ext uri="{FF2B5EF4-FFF2-40B4-BE49-F238E27FC236}">
              <a16:creationId xmlns:a16="http://schemas.microsoft.com/office/drawing/2014/main" xmlns="" id="{00000000-0008-0000-5B00-000010000000}"/>
            </a:ext>
          </a:extLst>
        </xdr:cNvPr>
        <xdr:cNvSpPr txBox="1"/>
      </xdr:nvSpPr>
      <xdr:spPr>
        <a:xfrm>
          <a:off x="1130300" y="1752600"/>
          <a:ext cx="1616822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Contrato:</a:t>
          </a:r>
        </a:p>
      </xdr:txBody>
    </xdr:sp>
    <xdr:clientData/>
  </xdr:twoCellAnchor>
  <xdr:twoCellAnchor>
    <xdr:from>
      <xdr:col>3</xdr:col>
      <xdr:colOff>381000</xdr:colOff>
      <xdr:row>9</xdr:row>
      <xdr:rowOff>19051</xdr:rowOff>
    </xdr:from>
    <xdr:to>
      <xdr:col>5</xdr:col>
      <xdr:colOff>1114425</xdr:colOff>
      <xdr:row>9</xdr:row>
      <xdr:rowOff>228601</xdr:rowOff>
    </xdr:to>
    <xdr:sp macro="" textlink="">
      <xdr:nvSpPr>
        <xdr:cNvPr id="17" name="TextBox 24">
          <a:extLst>
            <a:ext uri="{FF2B5EF4-FFF2-40B4-BE49-F238E27FC236}">
              <a16:creationId xmlns:a16="http://schemas.microsoft.com/office/drawing/2014/main" xmlns="" id="{00000000-0008-0000-5B00-000011000000}"/>
            </a:ext>
          </a:extLst>
        </xdr:cNvPr>
        <xdr:cNvSpPr txBox="1"/>
      </xdr:nvSpPr>
      <xdr:spPr>
        <a:xfrm>
          <a:off x="2743200" y="1771651"/>
          <a:ext cx="2600325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N° SE-CPSTGN-002/2011</a:t>
          </a:r>
          <a:endParaRPr lang="es-MX" sz="1000" u="sng">
            <a:solidFill>
              <a:srgbClr val="FF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805745</xdr:colOff>
      <xdr:row>5</xdr:row>
      <xdr:rowOff>48683</xdr:rowOff>
    </xdr:from>
    <xdr:to>
      <xdr:col>12</xdr:col>
      <xdr:colOff>790222</xdr:colOff>
      <xdr:row>6</xdr:row>
      <xdr:rowOff>112889</xdr:rowOff>
    </xdr:to>
    <xdr:sp macro="" textlink="">
      <xdr:nvSpPr>
        <xdr:cNvPr id="2" name="TextBox 6">
          <a:extLst>
            <a:ext uri="{FF2B5EF4-FFF2-40B4-BE49-F238E27FC236}">
              <a16:creationId xmlns:a16="http://schemas.microsoft.com/office/drawing/2014/main" xmlns="" id="{00000000-0008-0000-5C00-000002000000}"/>
            </a:ext>
          </a:extLst>
        </xdr:cNvPr>
        <xdr:cNvSpPr txBox="1"/>
      </xdr:nvSpPr>
      <xdr:spPr>
        <a:xfrm>
          <a:off x="11755967" y="909461"/>
          <a:ext cx="1042811" cy="20531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FT-SR-XX</a:t>
          </a:r>
        </a:p>
      </xdr:txBody>
    </xdr:sp>
    <xdr:clientData/>
  </xdr:twoCellAnchor>
  <xdr:twoCellAnchor>
    <xdr:from>
      <xdr:col>2</xdr:col>
      <xdr:colOff>0</xdr:colOff>
      <xdr:row>0</xdr:row>
      <xdr:rowOff>0</xdr:rowOff>
    </xdr:from>
    <xdr:to>
      <xdr:col>12</xdr:col>
      <xdr:colOff>866775</xdr:colOff>
      <xdr:row>7</xdr:row>
      <xdr:rowOff>19050</xdr:rowOff>
    </xdr:to>
    <xdr:sp macro="" textlink="">
      <xdr:nvSpPr>
        <xdr:cNvPr id="332813" name="AutoShape 17">
          <a:extLst>
            <a:ext uri="{FF2B5EF4-FFF2-40B4-BE49-F238E27FC236}">
              <a16:creationId xmlns:a16="http://schemas.microsoft.com/office/drawing/2014/main" xmlns="" id="{00000000-0008-0000-5C00-00000D140500}"/>
            </a:ext>
          </a:extLst>
        </xdr:cNvPr>
        <xdr:cNvSpPr>
          <a:spLocks noChangeArrowheads="1"/>
        </xdr:cNvSpPr>
      </xdr:nvSpPr>
      <xdr:spPr bwMode="auto">
        <a:xfrm>
          <a:off x="1133475" y="0"/>
          <a:ext cx="11849100" cy="1152525"/>
        </a:xfrm>
        <a:prstGeom prst="roundRect">
          <a:avLst>
            <a:gd name="adj" fmla="val 16667"/>
          </a:avLst>
        </a:prstGeom>
        <a:noFill/>
        <a:ln w="31750" cmpd="dbl">
          <a:solidFill>
            <a:srgbClr val="009967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161925</xdr:colOff>
      <xdr:row>0</xdr:row>
      <xdr:rowOff>85725</xdr:rowOff>
    </xdr:from>
    <xdr:to>
      <xdr:col>12</xdr:col>
      <xdr:colOff>817470</xdr:colOff>
      <xdr:row>4</xdr:row>
      <xdr:rowOff>152400</xdr:rowOff>
    </xdr:to>
    <xdr:sp macro="" textlink="">
      <xdr:nvSpPr>
        <xdr:cNvPr id="4" name="Cuadro de texto 1">
          <a:extLst>
            <a:ext uri="{FF2B5EF4-FFF2-40B4-BE49-F238E27FC236}">
              <a16:creationId xmlns:a16="http://schemas.microsoft.com/office/drawing/2014/main" xmlns="" id="{00000000-0008-0000-5C00-000004000000}"/>
            </a:ext>
          </a:extLst>
        </xdr:cNvPr>
        <xdr:cNvSpPr txBox="1">
          <a:spLocks noChangeArrowheads="1"/>
        </xdr:cNvSpPr>
      </xdr:nvSpPr>
      <xdr:spPr bwMode="auto">
        <a:xfrm>
          <a:off x="7629525" y="85725"/>
          <a:ext cx="5316445" cy="803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r" rtl="0">
            <a:defRPr sz="1000"/>
          </a:pPr>
          <a:r>
            <a:rPr lang="es-MX" sz="1400" b="1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Dirección Corporativa de Operaciones</a:t>
          </a:r>
        </a:p>
        <a:p>
          <a:pPr algn="r" rtl="0">
            <a:defRPr sz="1000"/>
          </a:pPr>
          <a:r>
            <a:rPr lang="es-MX" sz="1400" b="0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               Subdirección de Negocios No Regulados</a:t>
          </a:r>
        </a:p>
        <a:p>
          <a:pPr algn="r" rtl="0">
            <a:defRPr sz="1000"/>
          </a:pPr>
          <a:r>
            <a:rPr lang="es-MX" sz="1400" b="0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Subgerencia Regional de Energéticos Norte</a:t>
          </a:r>
          <a:endParaRPr lang="es-MX" sz="1400" b="0" i="1" u="none" strike="noStrike" baseline="0">
            <a:solidFill>
              <a:srgbClr val="009969"/>
            </a:solidFill>
            <a:latin typeface="Arial" pitchFamily="34" charset="0"/>
            <a:cs typeface="Arial" pitchFamily="34" charset="0"/>
          </a:endParaRPr>
        </a:p>
        <a:p>
          <a:pPr algn="l" rtl="0">
            <a:defRPr sz="1000"/>
          </a:pPr>
          <a:endParaRPr lang="es-MX" sz="1400" b="1" i="1" u="none" strike="noStrike" baseline="0">
            <a:solidFill>
              <a:srgbClr val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790575</xdr:colOff>
      <xdr:row>4</xdr:row>
      <xdr:rowOff>143995</xdr:rowOff>
    </xdr:to>
    <xdr:pic>
      <xdr:nvPicPr>
        <xdr:cNvPr id="332815" name="Picture 9" descr="C:\Users\francis.munguia\Desktop\LogotipoCFE_verde.jpg">
          <a:extLst>
            <a:ext uri="{FF2B5EF4-FFF2-40B4-BE49-F238E27FC236}">
              <a16:creationId xmlns:a16="http://schemas.microsoft.com/office/drawing/2014/main" xmlns="" id="{00000000-0008-0000-5C00-00000F140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E"/>
            </a:clrFrom>
            <a:clrTo>
              <a:srgbClr val="FFFF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720" b="23125"/>
        <a:stretch>
          <a:fillRect/>
        </a:stretch>
      </xdr:blipFill>
      <xdr:spPr bwMode="auto">
        <a:xfrm>
          <a:off x="1133475" y="180975"/>
          <a:ext cx="2019300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781051</xdr:colOff>
      <xdr:row>10</xdr:row>
      <xdr:rowOff>161925</xdr:rowOff>
    </xdr:from>
    <xdr:to>
      <xdr:col>12</xdr:col>
      <xdr:colOff>781051</xdr:colOff>
      <xdr:row>12</xdr:row>
      <xdr:rowOff>133350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xmlns="" id="{00000000-0008-0000-5C00-000006000000}"/>
            </a:ext>
          </a:extLst>
        </xdr:cNvPr>
        <xdr:cNvSpPr txBox="1"/>
      </xdr:nvSpPr>
      <xdr:spPr>
        <a:xfrm>
          <a:off x="11690351" y="2155825"/>
          <a:ext cx="1219200" cy="4540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Junio</a:t>
          </a:r>
          <a:r>
            <a:rPr lang="es-MX" sz="1100" b="1" baseline="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- 2018</a:t>
          </a:r>
          <a:endParaRPr lang="es-MX" sz="1100" b="1">
            <a:solidFill>
              <a:srgbClr val="FF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180975</xdr:colOff>
      <xdr:row>4</xdr:row>
      <xdr:rowOff>114301</xdr:rowOff>
    </xdr:from>
    <xdr:to>
      <xdr:col>11</xdr:col>
      <xdr:colOff>923925</xdr:colOff>
      <xdr:row>7</xdr:row>
      <xdr:rowOff>9526</xdr:rowOff>
    </xdr:to>
    <xdr:sp macro="" textlink="">
      <xdr:nvSpPr>
        <xdr:cNvPr id="7" name="Cuadro de texto 1">
          <a:extLst>
            <a:ext uri="{FF2B5EF4-FFF2-40B4-BE49-F238E27FC236}">
              <a16:creationId xmlns:a16="http://schemas.microsoft.com/office/drawing/2014/main" xmlns="" id="{00000000-0008-0000-5C00-000007000000}"/>
            </a:ext>
          </a:extLst>
        </xdr:cNvPr>
        <xdr:cNvSpPr txBox="1">
          <a:spLocks noChangeArrowheads="1"/>
        </xdr:cNvSpPr>
      </xdr:nvSpPr>
      <xdr:spPr bwMode="auto">
        <a:xfrm>
          <a:off x="1311275" y="850901"/>
          <a:ext cx="10521950" cy="42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MX" sz="1400" b="1" i="0" u="none" strike="noStrike" baseline="0">
              <a:solidFill>
                <a:srgbClr val="000000"/>
              </a:solidFill>
              <a:latin typeface="Arial" pitchFamily="34" charset="0"/>
              <a:cs typeface="Arial" pitchFamily="34" charset="0"/>
            </a:rPr>
            <a:t>REVISION DE FACTURACION DE COMBUSTIBLES</a:t>
          </a:r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3</xdr:col>
      <xdr:colOff>384922</xdr:colOff>
      <xdr:row>10</xdr:row>
      <xdr:rowOff>212912</xdr:rowOff>
    </xdr:to>
    <xdr:sp macro="" textlink="">
      <xdr:nvSpPr>
        <xdr:cNvPr id="8" name="TextBox 8">
          <a:extLst>
            <a:ext uri="{FF2B5EF4-FFF2-40B4-BE49-F238E27FC236}">
              <a16:creationId xmlns:a16="http://schemas.microsoft.com/office/drawing/2014/main" xmlns="" id="{00000000-0008-0000-5C00-000008000000}"/>
            </a:ext>
          </a:extLst>
        </xdr:cNvPr>
        <xdr:cNvSpPr txBox="1"/>
      </xdr:nvSpPr>
      <xdr:spPr>
        <a:xfrm>
          <a:off x="1130300" y="1993900"/>
          <a:ext cx="1616822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Tipo de Combustible:</a:t>
          </a:r>
        </a:p>
      </xdr:txBody>
    </xdr:sp>
    <xdr:clientData/>
  </xdr:twoCellAnchor>
  <xdr:twoCellAnchor>
    <xdr:from>
      <xdr:col>3</xdr:col>
      <xdr:colOff>381000</xdr:colOff>
      <xdr:row>10</xdr:row>
      <xdr:rowOff>0</xdr:rowOff>
    </xdr:from>
    <xdr:to>
      <xdr:col>5</xdr:col>
      <xdr:colOff>1209675</xdr:colOff>
      <xdr:row>10</xdr:row>
      <xdr:rowOff>228600</xdr:rowOff>
    </xdr:to>
    <xdr:sp macro="" textlink="">
      <xdr:nvSpPr>
        <xdr:cNvPr id="9" name="TextBox 9">
          <a:extLst>
            <a:ext uri="{FF2B5EF4-FFF2-40B4-BE49-F238E27FC236}">
              <a16:creationId xmlns:a16="http://schemas.microsoft.com/office/drawing/2014/main" xmlns="" id="{00000000-0008-0000-5C00-000009000000}"/>
            </a:ext>
          </a:extLst>
        </xdr:cNvPr>
        <xdr:cNvSpPr txBox="1"/>
      </xdr:nvSpPr>
      <xdr:spPr>
        <a:xfrm>
          <a:off x="2743200" y="1993900"/>
          <a:ext cx="2695575" cy="228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>
              <a:solidFill>
                <a:srgbClr val="FF0000"/>
              </a:solidFill>
              <a:effectLst/>
              <a:latin typeface="Arial" panose="020B0604020202020204" pitchFamily="34" charset="0"/>
              <a:cs typeface="Arial" panose="020B0604020202020204" pitchFamily="34" charset="0"/>
            </a:rPr>
            <a:t>GAS NATURAL</a:t>
          </a:r>
        </a:p>
      </xdr:txBody>
    </xdr:sp>
    <xdr:clientData/>
  </xdr:twoCellAnchor>
  <xdr:twoCellAnchor>
    <xdr:from>
      <xdr:col>3</xdr:col>
      <xdr:colOff>380999</xdr:colOff>
      <xdr:row>10</xdr:row>
      <xdr:rowOff>219075</xdr:rowOff>
    </xdr:from>
    <xdr:to>
      <xdr:col>6</xdr:col>
      <xdr:colOff>504825</xdr:colOff>
      <xdr:row>11</xdr:row>
      <xdr:rowOff>200025</xdr:rowOff>
    </xdr:to>
    <xdr:sp macro="" textlink="">
      <xdr:nvSpPr>
        <xdr:cNvPr id="10" name="TextBox 10">
          <a:extLst>
            <a:ext uri="{FF2B5EF4-FFF2-40B4-BE49-F238E27FC236}">
              <a16:creationId xmlns:a16="http://schemas.microsoft.com/office/drawing/2014/main" xmlns="" id="{00000000-0008-0000-5C00-00000A000000}"/>
            </a:ext>
          </a:extLst>
        </xdr:cNvPr>
        <xdr:cNvSpPr txBox="1"/>
      </xdr:nvSpPr>
      <xdr:spPr>
        <a:xfrm>
          <a:off x="2743199" y="2212975"/>
          <a:ext cx="3298826" cy="2222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MX" sz="1000" b="1" u="sng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TRANSPORTE POR GASODUCTO</a:t>
          </a:r>
        </a:p>
      </xdr:txBody>
    </xdr:sp>
    <xdr:clientData/>
  </xdr:twoCellAnchor>
  <xdr:twoCellAnchor>
    <xdr:from>
      <xdr:col>2</xdr:col>
      <xdr:colOff>0</xdr:colOff>
      <xdr:row>10</xdr:row>
      <xdr:rowOff>228600</xdr:rowOff>
    </xdr:from>
    <xdr:to>
      <xdr:col>3</xdr:col>
      <xdr:colOff>384922</xdr:colOff>
      <xdr:row>11</xdr:row>
      <xdr:rowOff>193862</xdr:rowOff>
    </xdr:to>
    <xdr:sp macro="" textlink="">
      <xdr:nvSpPr>
        <xdr:cNvPr id="11" name="TextBox 13">
          <a:extLst>
            <a:ext uri="{FF2B5EF4-FFF2-40B4-BE49-F238E27FC236}">
              <a16:creationId xmlns:a16="http://schemas.microsoft.com/office/drawing/2014/main" xmlns="" id="{00000000-0008-0000-5C00-00000B000000}"/>
            </a:ext>
          </a:extLst>
        </xdr:cNvPr>
        <xdr:cNvSpPr txBox="1"/>
      </xdr:nvSpPr>
      <xdr:spPr>
        <a:xfrm>
          <a:off x="1130300" y="2222500"/>
          <a:ext cx="1616822" cy="20656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Tipo de Servicio:</a:t>
          </a: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3</xdr:col>
      <xdr:colOff>384922</xdr:colOff>
      <xdr:row>8</xdr:row>
      <xdr:rowOff>212912</xdr:rowOff>
    </xdr:to>
    <xdr:sp macro="" textlink="">
      <xdr:nvSpPr>
        <xdr:cNvPr id="14" name="TextBox 21">
          <a:extLst>
            <a:ext uri="{FF2B5EF4-FFF2-40B4-BE49-F238E27FC236}">
              <a16:creationId xmlns:a16="http://schemas.microsoft.com/office/drawing/2014/main" xmlns="" id="{00000000-0008-0000-5C00-00000E000000}"/>
            </a:ext>
          </a:extLst>
        </xdr:cNvPr>
        <xdr:cNvSpPr txBox="1"/>
      </xdr:nvSpPr>
      <xdr:spPr>
        <a:xfrm>
          <a:off x="1130300" y="1511300"/>
          <a:ext cx="1616822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Proveedor:</a:t>
          </a:r>
        </a:p>
        <a:p>
          <a:pPr algn="l"/>
          <a:endParaRPr lang="es-MX" sz="10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380999</xdr:colOff>
      <xdr:row>7</xdr:row>
      <xdr:rowOff>238126</xdr:rowOff>
    </xdr:from>
    <xdr:to>
      <xdr:col>7</xdr:col>
      <xdr:colOff>161924</xdr:colOff>
      <xdr:row>8</xdr:row>
      <xdr:rowOff>228600</xdr:rowOff>
    </xdr:to>
    <xdr:sp macro="" textlink="">
      <xdr:nvSpPr>
        <xdr:cNvPr id="15" name="TextBox 22">
          <a:extLst>
            <a:ext uri="{FF2B5EF4-FFF2-40B4-BE49-F238E27FC236}">
              <a16:creationId xmlns:a16="http://schemas.microsoft.com/office/drawing/2014/main" xmlns="" id="{00000000-0008-0000-5C00-00000F000000}"/>
            </a:ext>
          </a:extLst>
        </xdr:cNvPr>
        <xdr:cNvSpPr txBox="1"/>
      </xdr:nvSpPr>
      <xdr:spPr>
        <a:xfrm>
          <a:off x="2743199" y="1508126"/>
          <a:ext cx="3959225" cy="23177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(4326979</a:t>
          </a:r>
          <a:r>
            <a:rPr lang="es-MX" sz="1000" b="1" i="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) </a:t>
          </a:r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TARAHUMARA PIPELINE S DE RL DE CV </a:t>
          </a:r>
          <a:endParaRPr lang="es-MX" sz="1000" u="sng">
            <a:solidFill>
              <a:srgbClr val="FF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0</xdr:colOff>
      <xdr:row>9</xdr:row>
      <xdr:rowOff>0</xdr:rowOff>
    </xdr:from>
    <xdr:to>
      <xdr:col>3</xdr:col>
      <xdr:colOff>384922</xdr:colOff>
      <xdr:row>9</xdr:row>
      <xdr:rowOff>212912</xdr:rowOff>
    </xdr:to>
    <xdr:sp macro="" textlink="">
      <xdr:nvSpPr>
        <xdr:cNvPr id="16" name="TextBox 23">
          <a:extLst>
            <a:ext uri="{FF2B5EF4-FFF2-40B4-BE49-F238E27FC236}">
              <a16:creationId xmlns:a16="http://schemas.microsoft.com/office/drawing/2014/main" xmlns="" id="{00000000-0008-0000-5C00-000010000000}"/>
            </a:ext>
          </a:extLst>
        </xdr:cNvPr>
        <xdr:cNvSpPr txBox="1"/>
      </xdr:nvSpPr>
      <xdr:spPr>
        <a:xfrm>
          <a:off x="1130300" y="1752600"/>
          <a:ext cx="1616822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Contrato:</a:t>
          </a:r>
        </a:p>
      </xdr:txBody>
    </xdr:sp>
    <xdr:clientData/>
  </xdr:twoCellAnchor>
  <xdr:twoCellAnchor>
    <xdr:from>
      <xdr:col>3</xdr:col>
      <xdr:colOff>381000</xdr:colOff>
      <xdr:row>9</xdr:row>
      <xdr:rowOff>19051</xdr:rowOff>
    </xdr:from>
    <xdr:to>
      <xdr:col>5</xdr:col>
      <xdr:colOff>1114425</xdr:colOff>
      <xdr:row>9</xdr:row>
      <xdr:rowOff>228601</xdr:rowOff>
    </xdr:to>
    <xdr:sp macro="" textlink="">
      <xdr:nvSpPr>
        <xdr:cNvPr id="17" name="TextBox 24">
          <a:extLst>
            <a:ext uri="{FF2B5EF4-FFF2-40B4-BE49-F238E27FC236}">
              <a16:creationId xmlns:a16="http://schemas.microsoft.com/office/drawing/2014/main" xmlns="" id="{00000000-0008-0000-5C00-000011000000}"/>
            </a:ext>
          </a:extLst>
        </xdr:cNvPr>
        <xdr:cNvSpPr txBox="1"/>
      </xdr:nvSpPr>
      <xdr:spPr>
        <a:xfrm>
          <a:off x="2743200" y="1771651"/>
          <a:ext cx="2600325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N° SE-CPSTGN-002/2011</a:t>
          </a:r>
          <a:endParaRPr lang="es-MX" sz="1000" u="sng">
            <a:solidFill>
              <a:srgbClr val="FF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247650</xdr:colOff>
      <xdr:row>60</xdr:row>
      <xdr:rowOff>133350</xdr:rowOff>
    </xdr:from>
    <xdr:to>
      <xdr:col>4</xdr:col>
      <xdr:colOff>454959</xdr:colOff>
      <xdr:row>64</xdr:row>
      <xdr:rowOff>59764</xdr:rowOff>
    </xdr:to>
    <xdr:sp macro="" textlink="">
      <xdr:nvSpPr>
        <xdr:cNvPr id="18" name="TextBox 19">
          <a:extLst>
            <a:ext uri="{FF2B5EF4-FFF2-40B4-BE49-F238E27FC236}">
              <a16:creationId xmlns:a16="http://schemas.microsoft.com/office/drawing/2014/main" xmlns="" id="{00000000-0008-0000-5C00-000012000000}"/>
            </a:ext>
          </a:extLst>
        </xdr:cNvPr>
        <xdr:cNvSpPr txBox="1"/>
      </xdr:nvSpPr>
      <xdr:spPr>
        <a:xfrm>
          <a:off x="1085850" y="10890250"/>
          <a:ext cx="2671109" cy="63761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___________________________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Elaboro                                                  ing, Rogelio Gaytan BerrIel</a:t>
          </a:r>
        </a:p>
      </xdr:txBody>
    </xdr:sp>
    <xdr:clientData/>
  </xdr:twoCellAnchor>
  <xdr:twoCellAnchor>
    <xdr:from>
      <xdr:col>11</xdr:col>
      <xdr:colOff>414804</xdr:colOff>
      <xdr:row>60</xdr:row>
      <xdr:rowOff>95250</xdr:rowOff>
    </xdr:from>
    <xdr:to>
      <xdr:col>13</xdr:col>
      <xdr:colOff>834651</xdr:colOff>
      <xdr:row>65</xdr:row>
      <xdr:rowOff>59765</xdr:rowOff>
    </xdr:to>
    <xdr:sp macro="" textlink="">
      <xdr:nvSpPr>
        <xdr:cNvPr id="19" name="TextBox 20">
          <a:extLst>
            <a:ext uri="{FF2B5EF4-FFF2-40B4-BE49-F238E27FC236}">
              <a16:creationId xmlns:a16="http://schemas.microsoft.com/office/drawing/2014/main" xmlns="" id="{00000000-0008-0000-5C00-000013000000}"/>
            </a:ext>
          </a:extLst>
        </xdr:cNvPr>
        <xdr:cNvSpPr txBox="1"/>
      </xdr:nvSpPr>
      <xdr:spPr>
        <a:xfrm>
          <a:off x="11324104" y="10852150"/>
          <a:ext cx="2680447" cy="8535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___________________________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Autorizo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Ing.</a:t>
          </a:r>
          <a:r>
            <a:rPr lang="es-MX" sz="1100" b="1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 Fernando Lopez Casillas</a:t>
          </a:r>
          <a:endParaRPr lang="es-MX" sz="11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876300</xdr:colOff>
      <xdr:row>5</xdr:row>
      <xdr:rowOff>133350</xdr:rowOff>
    </xdr:from>
    <xdr:to>
      <xdr:col>12</xdr:col>
      <xdr:colOff>876300</xdr:colOff>
      <xdr:row>6</xdr:row>
      <xdr:rowOff>171450</xdr:rowOff>
    </xdr:to>
    <xdr:sp macro="" textlink="">
      <xdr:nvSpPr>
        <xdr:cNvPr id="2" name="TextBox 6">
          <a:extLst>
            <a:ext uri="{FF2B5EF4-FFF2-40B4-BE49-F238E27FC236}">
              <a16:creationId xmlns:a16="http://schemas.microsoft.com/office/drawing/2014/main" xmlns="" id="{00000000-0008-0000-5D00-000002000000}"/>
            </a:ext>
          </a:extLst>
        </xdr:cNvPr>
        <xdr:cNvSpPr txBox="1"/>
      </xdr:nvSpPr>
      <xdr:spPr>
        <a:xfrm>
          <a:off x="11823700" y="971550"/>
          <a:ext cx="1219200" cy="139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FT-SR-XX</a:t>
          </a:r>
        </a:p>
      </xdr:txBody>
    </xdr:sp>
    <xdr:clientData/>
  </xdr:twoCellAnchor>
  <xdr:twoCellAnchor>
    <xdr:from>
      <xdr:col>2</xdr:col>
      <xdr:colOff>0</xdr:colOff>
      <xdr:row>0</xdr:row>
      <xdr:rowOff>0</xdr:rowOff>
    </xdr:from>
    <xdr:to>
      <xdr:col>12</xdr:col>
      <xdr:colOff>866775</xdr:colOff>
      <xdr:row>7</xdr:row>
      <xdr:rowOff>19050</xdr:rowOff>
    </xdr:to>
    <xdr:sp macro="" textlink="">
      <xdr:nvSpPr>
        <xdr:cNvPr id="341006" name="AutoShape 17">
          <a:extLst>
            <a:ext uri="{FF2B5EF4-FFF2-40B4-BE49-F238E27FC236}">
              <a16:creationId xmlns:a16="http://schemas.microsoft.com/office/drawing/2014/main" xmlns="" id="{00000000-0008-0000-5D00-00000E340500}"/>
            </a:ext>
          </a:extLst>
        </xdr:cNvPr>
        <xdr:cNvSpPr>
          <a:spLocks noChangeArrowheads="1"/>
        </xdr:cNvSpPr>
      </xdr:nvSpPr>
      <xdr:spPr bwMode="auto">
        <a:xfrm>
          <a:off x="1133475" y="0"/>
          <a:ext cx="13239750" cy="1209675"/>
        </a:xfrm>
        <a:prstGeom prst="roundRect">
          <a:avLst>
            <a:gd name="adj" fmla="val 16667"/>
          </a:avLst>
        </a:prstGeom>
        <a:noFill/>
        <a:ln w="31750" cmpd="dbl">
          <a:solidFill>
            <a:srgbClr val="009967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161925</xdr:colOff>
      <xdr:row>0</xdr:row>
      <xdr:rowOff>85725</xdr:rowOff>
    </xdr:from>
    <xdr:to>
      <xdr:col>12</xdr:col>
      <xdr:colOff>817470</xdr:colOff>
      <xdr:row>4</xdr:row>
      <xdr:rowOff>152400</xdr:rowOff>
    </xdr:to>
    <xdr:sp macro="" textlink="">
      <xdr:nvSpPr>
        <xdr:cNvPr id="4" name="Cuadro de texto 1">
          <a:extLst>
            <a:ext uri="{FF2B5EF4-FFF2-40B4-BE49-F238E27FC236}">
              <a16:creationId xmlns:a16="http://schemas.microsoft.com/office/drawing/2014/main" xmlns="" id="{00000000-0008-0000-5D00-000004000000}"/>
            </a:ext>
          </a:extLst>
        </xdr:cNvPr>
        <xdr:cNvSpPr txBox="1">
          <a:spLocks noChangeArrowheads="1"/>
        </xdr:cNvSpPr>
      </xdr:nvSpPr>
      <xdr:spPr bwMode="auto">
        <a:xfrm>
          <a:off x="8162925" y="85725"/>
          <a:ext cx="4821145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r" rtl="0">
            <a:defRPr sz="1000"/>
          </a:pPr>
          <a:r>
            <a:rPr lang="es-MX" sz="1400" b="1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Dirección Corporativa de Operaciones</a:t>
          </a:r>
        </a:p>
        <a:p>
          <a:pPr algn="r" rtl="0">
            <a:defRPr sz="1000"/>
          </a:pPr>
          <a:r>
            <a:rPr lang="es-MX" sz="1400" b="0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               Subdirección de Negocios No Regulados</a:t>
          </a:r>
        </a:p>
        <a:p>
          <a:pPr algn="r" rtl="0">
            <a:defRPr sz="1000"/>
          </a:pPr>
          <a:r>
            <a:rPr lang="es-MX" sz="1400" b="0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Subgerencia Regional de Energéticos Norte</a:t>
          </a:r>
          <a:endParaRPr lang="es-MX" sz="1400" b="0" i="1" u="none" strike="noStrike" baseline="0">
            <a:solidFill>
              <a:srgbClr val="009969"/>
            </a:solidFill>
            <a:latin typeface="Arial" pitchFamily="34" charset="0"/>
            <a:cs typeface="Arial" pitchFamily="34" charset="0"/>
          </a:endParaRPr>
        </a:p>
        <a:p>
          <a:pPr algn="l" rtl="0">
            <a:defRPr sz="1000"/>
          </a:pPr>
          <a:endParaRPr lang="es-MX" sz="1400" b="1" i="1" u="none" strike="noStrike" baseline="0">
            <a:solidFill>
              <a:srgbClr val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790575</xdr:colOff>
      <xdr:row>4</xdr:row>
      <xdr:rowOff>123825</xdr:rowOff>
    </xdr:to>
    <xdr:pic>
      <xdr:nvPicPr>
        <xdr:cNvPr id="341008" name="Picture 9" descr="C:\Users\francis.munguia\Desktop\LogotipoCFE_verde.jpg">
          <a:extLst>
            <a:ext uri="{FF2B5EF4-FFF2-40B4-BE49-F238E27FC236}">
              <a16:creationId xmlns:a16="http://schemas.microsoft.com/office/drawing/2014/main" xmlns="" id="{00000000-0008-0000-5D00-000010340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E"/>
            </a:clrFrom>
            <a:clrTo>
              <a:srgbClr val="FFFF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720" b="23125"/>
        <a:stretch>
          <a:fillRect/>
        </a:stretch>
      </xdr:blipFill>
      <xdr:spPr bwMode="auto">
        <a:xfrm>
          <a:off x="1133475" y="161925"/>
          <a:ext cx="20193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781051</xdr:colOff>
      <xdr:row>10</xdr:row>
      <xdr:rowOff>161925</xdr:rowOff>
    </xdr:from>
    <xdr:to>
      <xdr:col>12</xdr:col>
      <xdr:colOff>781051</xdr:colOff>
      <xdr:row>12</xdr:row>
      <xdr:rowOff>133350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xmlns="" id="{00000000-0008-0000-5D00-000006000000}"/>
            </a:ext>
          </a:extLst>
        </xdr:cNvPr>
        <xdr:cNvSpPr txBox="1"/>
      </xdr:nvSpPr>
      <xdr:spPr>
        <a:xfrm>
          <a:off x="11728451" y="2003425"/>
          <a:ext cx="1219200" cy="4540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Julio</a:t>
          </a:r>
          <a:r>
            <a:rPr lang="es-MX" sz="1100" b="1" baseline="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- 2018</a:t>
          </a:r>
          <a:endParaRPr lang="es-MX" sz="1100" b="1">
            <a:solidFill>
              <a:srgbClr val="FF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180975</xdr:colOff>
      <xdr:row>4</xdr:row>
      <xdr:rowOff>114301</xdr:rowOff>
    </xdr:from>
    <xdr:to>
      <xdr:col>11</xdr:col>
      <xdr:colOff>923925</xdr:colOff>
      <xdr:row>7</xdr:row>
      <xdr:rowOff>9526</xdr:rowOff>
    </xdr:to>
    <xdr:sp macro="" textlink="">
      <xdr:nvSpPr>
        <xdr:cNvPr id="7" name="Cuadro de texto 1">
          <a:extLst>
            <a:ext uri="{FF2B5EF4-FFF2-40B4-BE49-F238E27FC236}">
              <a16:creationId xmlns:a16="http://schemas.microsoft.com/office/drawing/2014/main" xmlns="" id="{00000000-0008-0000-5D00-000007000000}"/>
            </a:ext>
          </a:extLst>
        </xdr:cNvPr>
        <xdr:cNvSpPr txBox="1">
          <a:spLocks noChangeArrowheads="1"/>
        </xdr:cNvSpPr>
      </xdr:nvSpPr>
      <xdr:spPr bwMode="auto">
        <a:xfrm>
          <a:off x="1311275" y="812801"/>
          <a:ext cx="10560050" cy="314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MX" sz="1400" b="1" i="0" u="none" strike="noStrike" baseline="0">
              <a:solidFill>
                <a:srgbClr val="000000"/>
              </a:solidFill>
              <a:latin typeface="Arial" pitchFamily="34" charset="0"/>
              <a:cs typeface="Arial" pitchFamily="34" charset="0"/>
            </a:rPr>
            <a:t>REVISION DE FACTURACION DE COMBUSTIBLES</a:t>
          </a:r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3</xdr:col>
      <xdr:colOff>384922</xdr:colOff>
      <xdr:row>10</xdr:row>
      <xdr:rowOff>212912</xdr:rowOff>
    </xdr:to>
    <xdr:sp macro="" textlink="">
      <xdr:nvSpPr>
        <xdr:cNvPr id="8" name="TextBox 8">
          <a:extLst>
            <a:ext uri="{FF2B5EF4-FFF2-40B4-BE49-F238E27FC236}">
              <a16:creationId xmlns:a16="http://schemas.microsoft.com/office/drawing/2014/main" xmlns="" id="{00000000-0008-0000-5D00-000008000000}"/>
            </a:ext>
          </a:extLst>
        </xdr:cNvPr>
        <xdr:cNvSpPr txBox="1"/>
      </xdr:nvSpPr>
      <xdr:spPr>
        <a:xfrm>
          <a:off x="1130300" y="1841500"/>
          <a:ext cx="1616822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Tipo de Combustible:</a:t>
          </a:r>
        </a:p>
      </xdr:txBody>
    </xdr:sp>
    <xdr:clientData/>
  </xdr:twoCellAnchor>
  <xdr:twoCellAnchor>
    <xdr:from>
      <xdr:col>3</xdr:col>
      <xdr:colOff>381000</xdr:colOff>
      <xdr:row>10</xdr:row>
      <xdr:rowOff>0</xdr:rowOff>
    </xdr:from>
    <xdr:to>
      <xdr:col>5</xdr:col>
      <xdr:colOff>1209675</xdr:colOff>
      <xdr:row>10</xdr:row>
      <xdr:rowOff>228600</xdr:rowOff>
    </xdr:to>
    <xdr:sp macro="" textlink="">
      <xdr:nvSpPr>
        <xdr:cNvPr id="9" name="TextBox 9">
          <a:extLst>
            <a:ext uri="{FF2B5EF4-FFF2-40B4-BE49-F238E27FC236}">
              <a16:creationId xmlns:a16="http://schemas.microsoft.com/office/drawing/2014/main" xmlns="" id="{00000000-0008-0000-5D00-000009000000}"/>
            </a:ext>
          </a:extLst>
        </xdr:cNvPr>
        <xdr:cNvSpPr txBox="1"/>
      </xdr:nvSpPr>
      <xdr:spPr>
        <a:xfrm>
          <a:off x="2743200" y="1841500"/>
          <a:ext cx="3152775" cy="228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>
              <a:solidFill>
                <a:srgbClr val="FF0000"/>
              </a:solidFill>
              <a:effectLst/>
              <a:latin typeface="Arial" panose="020B0604020202020204" pitchFamily="34" charset="0"/>
              <a:cs typeface="Arial" panose="020B0604020202020204" pitchFamily="34" charset="0"/>
            </a:rPr>
            <a:t>GAS NATURAL</a:t>
          </a:r>
        </a:p>
      </xdr:txBody>
    </xdr:sp>
    <xdr:clientData/>
  </xdr:twoCellAnchor>
  <xdr:twoCellAnchor>
    <xdr:from>
      <xdr:col>3</xdr:col>
      <xdr:colOff>380999</xdr:colOff>
      <xdr:row>10</xdr:row>
      <xdr:rowOff>219075</xdr:rowOff>
    </xdr:from>
    <xdr:to>
      <xdr:col>6</xdr:col>
      <xdr:colOff>504825</xdr:colOff>
      <xdr:row>11</xdr:row>
      <xdr:rowOff>200025</xdr:rowOff>
    </xdr:to>
    <xdr:sp macro="" textlink="">
      <xdr:nvSpPr>
        <xdr:cNvPr id="10" name="TextBox 10">
          <a:extLst>
            <a:ext uri="{FF2B5EF4-FFF2-40B4-BE49-F238E27FC236}">
              <a16:creationId xmlns:a16="http://schemas.microsoft.com/office/drawing/2014/main" xmlns="" id="{00000000-0008-0000-5D00-00000A000000}"/>
            </a:ext>
          </a:extLst>
        </xdr:cNvPr>
        <xdr:cNvSpPr txBox="1"/>
      </xdr:nvSpPr>
      <xdr:spPr>
        <a:xfrm>
          <a:off x="2743199" y="2060575"/>
          <a:ext cx="3756026" cy="2222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MX" sz="1000" b="1" u="sng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TRANSPORTE POR GASODUCTO</a:t>
          </a:r>
        </a:p>
      </xdr:txBody>
    </xdr:sp>
    <xdr:clientData/>
  </xdr:twoCellAnchor>
  <xdr:twoCellAnchor>
    <xdr:from>
      <xdr:col>2</xdr:col>
      <xdr:colOff>0</xdr:colOff>
      <xdr:row>10</xdr:row>
      <xdr:rowOff>228600</xdr:rowOff>
    </xdr:from>
    <xdr:to>
      <xdr:col>3</xdr:col>
      <xdr:colOff>384922</xdr:colOff>
      <xdr:row>11</xdr:row>
      <xdr:rowOff>193862</xdr:rowOff>
    </xdr:to>
    <xdr:sp macro="" textlink="">
      <xdr:nvSpPr>
        <xdr:cNvPr id="11" name="TextBox 13">
          <a:extLst>
            <a:ext uri="{FF2B5EF4-FFF2-40B4-BE49-F238E27FC236}">
              <a16:creationId xmlns:a16="http://schemas.microsoft.com/office/drawing/2014/main" xmlns="" id="{00000000-0008-0000-5D00-00000B000000}"/>
            </a:ext>
          </a:extLst>
        </xdr:cNvPr>
        <xdr:cNvSpPr txBox="1"/>
      </xdr:nvSpPr>
      <xdr:spPr>
        <a:xfrm>
          <a:off x="1130300" y="2070100"/>
          <a:ext cx="1616822" cy="20656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Tipo de Servicio:</a:t>
          </a: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3</xdr:col>
      <xdr:colOff>384922</xdr:colOff>
      <xdr:row>8</xdr:row>
      <xdr:rowOff>212912</xdr:rowOff>
    </xdr:to>
    <xdr:sp macro="" textlink="">
      <xdr:nvSpPr>
        <xdr:cNvPr id="12" name="TextBox 21">
          <a:extLst>
            <a:ext uri="{FF2B5EF4-FFF2-40B4-BE49-F238E27FC236}">
              <a16:creationId xmlns:a16="http://schemas.microsoft.com/office/drawing/2014/main" xmlns="" id="{00000000-0008-0000-5D00-00000C000000}"/>
            </a:ext>
          </a:extLst>
        </xdr:cNvPr>
        <xdr:cNvSpPr txBox="1"/>
      </xdr:nvSpPr>
      <xdr:spPr>
        <a:xfrm>
          <a:off x="1130300" y="1358900"/>
          <a:ext cx="1616822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Proveedor:</a:t>
          </a:r>
        </a:p>
        <a:p>
          <a:pPr algn="l"/>
          <a:endParaRPr lang="es-MX" sz="10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380999</xdr:colOff>
      <xdr:row>7</xdr:row>
      <xdr:rowOff>238126</xdr:rowOff>
    </xdr:from>
    <xdr:to>
      <xdr:col>7</xdr:col>
      <xdr:colOff>161924</xdr:colOff>
      <xdr:row>8</xdr:row>
      <xdr:rowOff>228600</xdr:rowOff>
    </xdr:to>
    <xdr:sp macro="" textlink="">
      <xdr:nvSpPr>
        <xdr:cNvPr id="13" name="TextBox 22">
          <a:extLst>
            <a:ext uri="{FF2B5EF4-FFF2-40B4-BE49-F238E27FC236}">
              <a16:creationId xmlns:a16="http://schemas.microsoft.com/office/drawing/2014/main" xmlns="" id="{00000000-0008-0000-5D00-00000D000000}"/>
            </a:ext>
          </a:extLst>
        </xdr:cNvPr>
        <xdr:cNvSpPr txBox="1"/>
      </xdr:nvSpPr>
      <xdr:spPr>
        <a:xfrm>
          <a:off x="2743199" y="1355726"/>
          <a:ext cx="4416425" cy="23177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(4326979</a:t>
          </a:r>
          <a:r>
            <a:rPr lang="es-MX" sz="1000" b="1" i="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) </a:t>
          </a:r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TARAHUMARA PIPELINE S DE RL DE CV </a:t>
          </a:r>
          <a:endParaRPr lang="es-MX" sz="1000" u="sng">
            <a:solidFill>
              <a:srgbClr val="FF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0</xdr:colOff>
      <xdr:row>9</xdr:row>
      <xdr:rowOff>0</xdr:rowOff>
    </xdr:from>
    <xdr:to>
      <xdr:col>3</xdr:col>
      <xdr:colOff>384922</xdr:colOff>
      <xdr:row>9</xdr:row>
      <xdr:rowOff>212912</xdr:rowOff>
    </xdr:to>
    <xdr:sp macro="" textlink="">
      <xdr:nvSpPr>
        <xdr:cNvPr id="14" name="TextBox 23">
          <a:extLst>
            <a:ext uri="{FF2B5EF4-FFF2-40B4-BE49-F238E27FC236}">
              <a16:creationId xmlns:a16="http://schemas.microsoft.com/office/drawing/2014/main" xmlns="" id="{00000000-0008-0000-5D00-00000E000000}"/>
            </a:ext>
          </a:extLst>
        </xdr:cNvPr>
        <xdr:cNvSpPr txBox="1"/>
      </xdr:nvSpPr>
      <xdr:spPr>
        <a:xfrm>
          <a:off x="1130300" y="1600200"/>
          <a:ext cx="1616822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Contrato:</a:t>
          </a:r>
        </a:p>
      </xdr:txBody>
    </xdr:sp>
    <xdr:clientData/>
  </xdr:twoCellAnchor>
  <xdr:twoCellAnchor>
    <xdr:from>
      <xdr:col>3</xdr:col>
      <xdr:colOff>381000</xdr:colOff>
      <xdr:row>9</xdr:row>
      <xdr:rowOff>19051</xdr:rowOff>
    </xdr:from>
    <xdr:to>
      <xdr:col>5</xdr:col>
      <xdr:colOff>1114425</xdr:colOff>
      <xdr:row>9</xdr:row>
      <xdr:rowOff>228601</xdr:rowOff>
    </xdr:to>
    <xdr:sp macro="" textlink="">
      <xdr:nvSpPr>
        <xdr:cNvPr id="15" name="TextBox 24">
          <a:extLst>
            <a:ext uri="{FF2B5EF4-FFF2-40B4-BE49-F238E27FC236}">
              <a16:creationId xmlns:a16="http://schemas.microsoft.com/office/drawing/2014/main" xmlns="" id="{00000000-0008-0000-5D00-00000F000000}"/>
            </a:ext>
          </a:extLst>
        </xdr:cNvPr>
        <xdr:cNvSpPr txBox="1"/>
      </xdr:nvSpPr>
      <xdr:spPr>
        <a:xfrm>
          <a:off x="2743200" y="1619251"/>
          <a:ext cx="3057525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N° SE-CPSTGN-002/2011</a:t>
          </a:r>
          <a:endParaRPr lang="es-MX" sz="1000" u="sng">
            <a:solidFill>
              <a:srgbClr val="FF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247650</xdr:colOff>
      <xdr:row>60</xdr:row>
      <xdr:rowOff>133350</xdr:rowOff>
    </xdr:from>
    <xdr:to>
      <xdr:col>4</xdr:col>
      <xdr:colOff>454959</xdr:colOff>
      <xdr:row>64</xdr:row>
      <xdr:rowOff>59764</xdr:rowOff>
    </xdr:to>
    <xdr:sp macro="" textlink="">
      <xdr:nvSpPr>
        <xdr:cNvPr id="16" name="TextBox 19">
          <a:extLst>
            <a:ext uri="{FF2B5EF4-FFF2-40B4-BE49-F238E27FC236}">
              <a16:creationId xmlns:a16="http://schemas.microsoft.com/office/drawing/2014/main" xmlns="" id="{00000000-0008-0000-5D00-000010000000}"/>
            </a:ext>
          </a:extLst>
        </xdr:cNvPr>
        <xdr:cNvSpPr txBox="1"/>
      </xdr:nvSpPr>
      <xdr:spPr>
        <a:xfrm>
          <a:off x="1085850" y="14268450"/>
          <a:ext cx="2671109" cy="63761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___________________________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Elaboro                                                      ing, Rogelio Gaytan BerrIel</a:t>
          </a:r>
        </a:p>
      </xdr:txBody>
    </xdr:sp>
    <xdr:clientData/>
  </xdr:twoCellAnchor>
  <xdr:twoCellAnchor>
    <xdr:from>
      <xdr:col>11</xdr:col>
      <xdr:colOff>414804</xdr:colOff>
      <xdr:row>60</xdr:row>
      <xdr:rowOff>95250</xdr:rowOff>
    </xdr:from>
    <xdr:to>
      <xdr:col>13</xdr:col>
      <xdr:colOff>834651</xdr:colOff>
      <xdr:row>65</xdr:row>
      <xdr:rowOff>59765</xdr:rowOff>
    </xdr:to>
    <xdr:sp macro="" textlink="">
      <xdr:nvSpPr>
        <xdr:cNvPr id="17" name="TextBox 20">
          <a:extLst>
            <a:ext uri="{FF2B5EF4-FFF2-40B4-BE49-F238E27FC236}">
              <a16:creationId xmlns:a16="http://schemas.microsoft.com/office/drawing/2014/main" xmlns="" id="{00000000-0008-0000-5D00-000011000000}"/>
            </a:ext>
          </a:extLst>
        </xdr:cNvPr>
        <xdr:cNvSpPr txBox="1"/>
      </xdr:nvSpPr>
      <xdr:spPr>
        <a:xfrm>
          <a:off x="11362204" y="14230350"/>
          <a:ext cx="2680447" cy="8535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___________________________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Autorizo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Ing.</a:t>
          </a:r>
          <a:r>
            <a:rPr lang="es-MX" sz="1100" b="1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 Fernando Lopez Casillas</a:t>
          </a:r>
          <a:endParaRPr lang="es-MX" sz="11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876300</xdr:colOff>
      <xdr:row>5</xdr:row>
      <xdr:rowOff>133350</xdr:rowOff>
    </xdr:from>
    <xdr:to>
      <xdr:col>12</xdr:col>
      <xdr:colOff>876300</xdr:colOff>
      <xdr:row>6</xdr:row>
      <xdr:rowOff>171450</xdr:rowOff>
    </xdr:to>
    <xdr:sp macro="" textlink="">
      <xdr:nvSpPr>
        <xdr:cNvPr id="2" name="TextBox 6">
          <a:extLst>
            <a:ext uri="{FF2B5EF4-FFF2-40B4-BE49-F238E27FC236}">
              <a16:creationId xmlns:a16="http://schemas.microsoft.com/office/drawing/2014/main" xmlns="" id="{00000000-0008-0000-5E00-000002000000}"/>
            </a:ext>
          </a:extLst>
        </xdr:cNvPr>
        <xdr:cNvSpPr txBox="1"/>
      </xdr:nvSpPr>
      <xdr:spPr>
        <a:xfrm>
          <a:off x="12639675" y="1000125"/>
          <a:ext cx="1219200" cy="190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FT-SR-XX</a:t>
          </a:r>
        </a:p>
      </xdr:txBody>
    </xdr:sp>
    <xdr:clientData/>
  </xdr:twoCellAnchor>
  <xdr:twoCellAnchor>
    <xdr:from>
      <xdr:col>2</xdr:col>
      <xdr:colOff>0</xdr:colOff>
      <xdr:row>0</xdr:row>
      <xdr:rowOff>0</xdr:rowOff>
    </xdr:from>
    <xdr:to>
      <xdr:col>12</xdr:col>
      <xdr:colOff>866775</xdr:colOff>
      <xdr:row>7</xdr:row>
      <xdr:rowOff>19050</xdr:rowOff>
    </xdr:to>
    <xdr:sp macro="" textlink="">
      <xdr:nvSpPr>
        <xdr:cNvPr id="346122" name="AutoShape 17">
          <a:extLst>
            <a:ext uri="{FF2B5EF4-FFF2-40B4-BE49-F238E27FC236}">
              <a16:creationId xmlns:a16="http://schemas.microsoft.com/office/drawing/2014/main" xmlns="" id="{00000000-0008-0000-5E00-00000A480500}"/>
            </a:ext>
          </a:extLst>
        </xdr:cNvPr>
        <xdr:cNvSpPr>
          <a:spLocks noChangeArrowheads="1"/>
        </xdr:cNvSpPr>
      </xdr:nvSpPr>
      <xdr:spPr bwMode="auto">
        <a:xfrm>
          <a:off x="1133475" y="0"/>
          <a:ext cx="12773025" cy="1209675"/>
        </a:xfrm>
        <a:prstGeom prst="roundRect">
          <a:avLst>
            <a:gd name="adj" fmla="val 16667"/>
          </a:avLst>
        </a:prstGeom>
        <a:noFill/>
        <a:ln w="31750" cmpd="dbl">
          <a:solidFill>
            <a:srgbClr val="009967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161925</xdr:colOff>
      <xdr:row>0</xdr:row>
      <xdr:rowOff>85725</xdr:rowOff>
    </xdr:from>
    <xdr:to>
      <xdr:col>12</xdr:col>
      <xdr:colOff>817470</xdr:colOff>
      <xdr:row>4</xdr:row>
      <xdr:rowOff>152400</xdr:rowOff>
    </xdr:to>
    <xdr:sp macro="" textlink="">
      <xdr:nvSpPr>
        <xdr:cNvPr id="4" name="Cuadro de texto 1">
          <a:extLst>
            <a:ext uri="{FF2B5EF4-FFF2-40B4-BE49-F238E27FC236}">
              <a16:creationId xmlns:a16="http://schemas.microsoft.com/office/drawing/2014/main" xmlns="" id="{00000000-0008-0000-5E00-000004000000}"/>
            </a:ext>
          </a:extLst>
        </xdr:cNvPr>
        <xdr:cNvSpPr txBox="1">
          <a:spLocks noChangeArrowheads="1"/>
        </xdr:cNvSpPr>
      </xdr:nvSpPr>
      <xdr:spPr bwMode="auto">
        <a:xfrm>
          <a:off x="8248650" y="85725"/>
          <a:ext cx="5551395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r" rtl="0">
            <a:defRPr sz="1000"/>
          </a:pPr>
          <a:r>
            <a:rPr lang="es-MX" sz="1400" b="1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Dirección Corporativa de Operaciones</a:t>
          </a:r>
        </a:p>
        <a:p>
          <a:pPr algn="r" rtl="0">
            <a:defRPr sz="1000"/>
          </a:pPr>
          <a:r>
            <a:rPr lang="es-MX" sz="1400" b="0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               Subdirección de Negocios No Regulados</a:t>
          </a:r>
        </a:p>
        <a:p>
          <a:pPr algn="r" rtl="0">
            <a:defRPr sz="1000"/>
          </a:pPr>
          <a:r>
            <a:rPr lang="es-MX" sz="1400" b="0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Subgerencia Regional de Energéticos Norte</a:t>
          </a:r>
          <a:endParaRPr lang="es-MX" sz="1400" b="0" i="1" u="none" strike="noStrike" baseline="0">
            <a:solidFill>
              <a:srgbClr val="009969"/>
            </a:solidFill>
            <a:latin typeface="Arial" pitchFamily="34" charset="0"/>
            <a:cs typeface="Arial" pitchFamily="34" charset="0"/>
          </a:endParaRPr>
        </a:p>
        <a:p>
          <a:pPr algn="l" rtl="0">
            <a:defRPr sz="1000"/>
          </a:pPr>
          <a:endParaRPr lang="es-MX" sz="1400" b="1" i="1" u="none" strike="noStrike" baseline="0">
            <a:solidFill>
              <a:srgbClr val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790575</xdr:colOff>
      <xdr:row>4</xdr:row>
      <xdr:rowOff>123825</xdr:rowOff>
    </xdr:to>
    <xdr:pic>
      <xdr:nvPicPr>
        <xdr:cNvPr id="346124" name="Picture 9" descr="C:\Users\francis.munguia\Desktop\LogotipoCFE_verde.jpg">
          <a:extLst>
            <a:ext uri="{FF2B5EF4-FFF2-40B4-BE49-F238E27FC236}">
              <a16:creationId xmlns:a16="http://schemas.microsoft.com/office/drawing/2014/main" xmlns="" id="{00000000-0008-0000-5E00-00000C480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E"/>
            </a:clrFrom>
            <a:clrTo>
              <a:srgbClr val="FFFF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720" b="23125"/>
        <a:stretch>
          <a:fillRect/>
        </a:stretch>
      </xdr:blipFill>
      <xdr:spPr bwMode="auto">
        <a:xfrm>
          <a:off x="1133475" y="161925"/>
          <a:ext cx="20193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781051</xdr:colOff>
      <xdr:row>10</xdr:row>
      <xdr:rowOff>161925</xdr:rowOff>
    </xdr:from>
    <xdr:to>
      <xdr:col>12</xdr:col>
      <xdr:colOff>781051</xdr:colOff>
      <xdr:row>12</xdr:row>
      <xdr:rowOff>133350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xmlns="" id="{00000000-0008-0000-5E00-000006000000}"/>
            </a:ext>
          </a:extLst>
        </xdr:cNvPr>
        <xdr:cNvSpPr txBox="1"/>
      </xdr:nvSpPr>
      <xdr:spPr>
        <a:xfrm>
          <a:off x="12544426" y="2095500"/>
          <a:ext cx="1219200" cy="466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Agosto</a:t>
          </a:r>
          <a:r>
            <a:rPr lang="es-MX" sz="1100" b="1" baseline="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 2018</a:t>
          </a:r>
          <a:endParaRPr lang="es-MX" sz="1100" b="1">
            <a:solidFill>
              <a:srgbClr val="FF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180975</xdr:colOff>
      <xdr:row>4</xdr:row>
      <xdr:rowOff>114301</xdr:rowOff>
    </xdr:from>
    <xdr:to>
      <xdr:col>11</xdr:col>
      <xdr:colOff>923925</xdr:colOff>
      <xdr:row>7</xdr:row>
      <xdr:rowOff>9526</xdr:rowOff>
    </xdr:to>
    <xdr:sp macro="" textlink="">
      <xdr:nvSpPr>
        <xdr:cNvPr id="7" name="Cuadro de texto 1">
          <a:extLst>
            <a:ext uri="{FF2B5EF4-FFF2-40B4-BE49-F238E27FC236}">
              <a16:creationId xmlns:a16="http://schemas.microsoft.com/office/drawing/2014/main" xmlns="" id="{00000000-0008-0000-5E00-000007000000}"/>
            </a:ext>
          </a:extLst>
        </xdr:cNvPr>
        <xdr:cNvSpPr txBox="1">
          <a:spLocks noChangeArrowheads="1"/>
        </xdr:cNvSpPr>
      </xdr:nvSpPr>
      <xdr:spPr bwMode="auto">
        <a:xfrm>
          <a:off x="1314450" y="819151"/>
          <a:ext cx="11372850" cy="381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MX" sz="1400" b="1" i="0" u="none" strike="noStrike" baseline="0">
              <a:solidFill>
                <a:srgbClr val="000000"/>
              </a:solidFill>
              <a:latin typeface="Arial" pitchFamily="34" charset="0"/>
              <a:cs typeface="Arial" pitchFamily="34" charset="0"/>
            </a:rPr>
            <a:t>REVISION DE FACTURACION DE COMBUSTIBLES</a:t>
          </a:r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3</xdr:col>
      <xdr:colOff>384922</xdr:colOff>
      <xdr:row>10</xdr:row>
      <xdr:rowOff>212912</xdr:rowOff>
    </xdr:to>
    <xdr:sp macro="" textlink="">
      <xdr:nvSpPr>
        <xdr:cNvPr id="8" name="TextBox 8">
          <a:extLst>
            <a:ext uri="{FF2B5EF4-FFF2-40B4-BE49-F238E27FC236}">
              <a16:creationId xmlns:a16="http://schemas.microsoft.com/office/drawing/2014/main" xmlns="" id="{00000000-0008-0000-5E00-000008000000}"/>
            </a:ext>
          </a:extLst>
        </xdr:cNvPr>
        <xdr:cNvSpPr txBox="1"/>
      </xdr:nvSpPr>
      <xdr:spPr>
        <a:xfrm>
          <a:off x="1133475" y="1933575"/>
          <a:ext cx="1613647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Tipo de Combustible:</a:t>
          </a:r>
        </a:p>
      </xdr:txBody>
    </xdr:sp>
    <xdr:clientData/>
  </xdr:twoCellAnchor>
  <xdr:twoCellAnchor>
    <xdr:from>
      <xdr:col>3</xdr:col>
      <xdr:colOff>381000</xdr:colOff>
      <xdr:row>10</xdr:row>
      <xdr:rowOff>0</xdr:rowOff>
    </xdr:from>
    <xdr:to>
      <xdr:col>5</xdr:col>
      <xdr:colOff>1209675</xdr:colOff>
      <xdr:row>10</xdr:row>
      <xdr:rowOff>228600</xdr:rowOff>
    </xdr:to>
    <xdr:sp macro="" textlink="">
      <xdr:nvSpPr>
        <xdr:cNvPr id="9" name="TextBox 9">
          <a:extLst>
            <a:ext uri="{FF2B5EF4-FFF2-40B4-BE49-F238E27FC236}">
              <a16:creationId xmlns:a16="http://schemas.microsoft.com/office/drawing/2014/main" xmlns="" id="{00000000-0008-0000-5E00-000009000000}"/>
            </a:ext>
          </a:extLst>
        </xdr:cNvPr>
        <xdr:cNvSpPr txBox="1"/>
      </xdr:nvSpPr>
      <xdr:spPr>
        <a:xfrm>
          <a:off x="2743200" y="1933575"/>
          <a:ext cx="3190875" cy="228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>
              <a:solidFill>
                <a:srgbClr val="FF0000"/>
              </a:solidFill>
              <a:effectLst/>
              <a:latin typeface="Arial" panose="020B0604020202020204" pitchFamily="34" charset="0"/>
              <a:cs typeface="Arial" panose="020B0604020202020204" pitchFamily="34" charset="0"/>
            </a:rPr>
            <a:t>GAS NATURAL</a:t>
          </a:r>
        </a:p>
      </xdr:txBody>
    </xdr:sp>
    <xdr:clientData/>
  </xdr:twoCellAnchor>
  <xdr:twoCellAnchor>
    <xdr:from>
      <xdr:col>3</xdr:col>
      <xdr:colOff>380999</xdr:colOff>
      <xdr:row>10</xdr:row>
      <xdr:rowOff>219075</xdr:rowOff>
    </xdr:from>
    <xdr:to>
      <xdr:col>6</xdr:col>
      <xdr:colOff>504825</xdr:colOff>
      <xdr:row>11</xdr:row>
      <xdr:rowOff>200025</xdr:rowOff>
    </xdr:to>
    <xdr:sp macro="" textlink="">
      <xdr:nvSpPr>
        <xdr:cNvPr id="10" name="TextBox 10">
          <a:extLst>
            <a:ext uri="{FF2B5EF4-FFF2-40B4-BE49-F238E27FC236}">
              <a16:creationId xmlns:a16="http://schemas.microsoft.com/office/drawing/2014/main" xmlns="" id="{00000000-0008-0000-5E00-00000A000000}"/>
            </a:ext>
          </a:extLst>
        </xdr:cNvPr>
        <xdr:cNvSpPr txBox="1"/>
      </xdr:nvSpPr>
      <xdr:spPr>
        <a:xfrm>
          <a:off x="2743199" y="2152650"/>
          <a:ext cx="3810001" cy="228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MX" sz="1000" b="1" u="sng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TRANSPORTE POR GASODUCTO</a:t>
          </a:r>
        </a:p>
      </xdr:txBody>
    </xdr:sp>
    <xdr:clientData/>
  </xdr:twoCellAnchor>
  <xdr:twoCellAnchor>
    <xdr:from>
      <xdr:col>2</xdr:col>
      <xdr:colOff>0</xdr:colOff>
      <xdr:row>10</xdr:row>
      <xdr:rowOff>228600</xdr:rowOff>
    </xdr:from>
    <xdr:to>
      <xdr:col>3</xdr:col>
      <xdr:colOff>384922</xdr:colOff>
      <xdr:row>11</xdr:row>
      <xdr:rowOff>193862</xdr:rowOff>
    </xdr:to>
    <xdr:sp macro="" textlink="">
      <xdr:nvSpPr>
        <xdr:cNvPr id="11" name="TextBox 13">
          <a:extLst>
            <a:ext uri="{FF2B5EF4-FFF2-40B4-BE49-F238E27FC236}">
              <a16:creationId xmlns:a16="http://schemas.microsoft.com/office/drawing/2014/main" xmlns="" id="{00000000-0008-0000-5E00-00000B000000}"/>
            </a:ext>
          </a:extLst>
        </xdr:cNvPr>
        <xdr:cNvSpPr txBox="1"/>
      </xdr:nvSpPr>
      <xdr:spPr>
        <a:xfrm>
          <a:off x="1133475" y="2162175"/>
          <a:ext cx="1613647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Tipo de Servicio:</a:t>
          </a: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3</xdr:col>
      <xdr:colOff>384922</xdr:colOff>
      <xdr:row>8</xdr:row>
      <xdr:rowOff>212912</xdr:rowOff>
    </xdr:to>
    <xdr:sp macro="" textlink="">
      <xdr:nvSpPr>
        <xdr:cNvPr id="12" name="TextBox 21">
          <a:extLst>
            <a:ext uri="{FF2B5EF4-FFF2-40B4-BE49-F238E27FC236}">
              <a16:creationId xmlns:a16="http://schemas.microsoft.com/office/drawing/2014/main" xmlns="" id="{00000000-0008-0000-5E00-00000C000000}"/>
            </a:ext>
          </a:extLst>
        </xdr:cNvPr>
        <xdr:cNvSpPr txBox="1"/>
      </xdr:nvSpPr>
      <xdr:spPr>
        <a:xfrm>
          <a:off x="1133475" y="1438275"/>
          <a:ext cx="1613647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Proveedor:</a:t>
          </a:r>
        </a:p>
        <a:p>
          <a:pPr algn="l"/>
          <a:endParaRPr lang="es-MX" sz="10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380999</xdr:colOff>
      <xdr:row>7</xdr:row>
      <xdr:rowOff>238126</xdr:rowOff>
    </xdr:from>
    <xdr:to>
      <xdr:col>7</xdr:col>
      <xdr:colOff>161924</xdr:colOff>
      <xdr:row>8</xdr:row>
      <xdr:rowOff>228600</xdr:rowOff>
    </xdr:to>
    <xdr:sp macro="" textlink="">
      <xdr:nvSpPr>
        <xdr:cNvPr id="13" name="TextBox 22">
          <a:extLst>
            <a:ext uri="{FF2B5EF4-FFF2-40B4-BE49-F238E27FC236}">
              <a16:creationId xmlns:a16="http://schemas.microsoft.com/office/drawing/2014/main" xmlns="" id="{00000000-0008-0000-5E00-00000D000000}"/>
            </a:ext>
          </a:extLst>
        </xdr:cNvPr>
        <xdr:cNvSpPr txBox="1"/>
      </xdr:nvSpPr>
      <xdr:spPr>
        <a:xfrm>
          <a:off x="2743199" y="1428751"/>
          <a:ext cx="4486275" cy="23812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(4326979</a:t>
          </a:r>
          <a:r>
            <a:rPr lang="es-MX" sz="1000" b="1" i="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) </a:t>
          </a:r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TARAHUMARA PIPELINE S DE RL DE CV </a:t>
          </a:r>
          <a:endParaRPr lang="es-MX" sz="1000" u="sng">
            <a:solidFill>
              <a:srgbClr val="FF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0</xdr:colOff>
      <xdr:row>9</xdr:row>
      <xdr:rowOff>0</xdr:rowOff>
    </xdr:from>
    <xdr:to>
      <xdr:col>3</xdr:col>
      <xdr:colOff>384922</xdr:colOff>
      <xdr:row>9</xdr:row>
      <xdr:rowOff>212912</xdr:rowOff>
    </xdr:to>
    <xdr:sp macro="" textlink="">
      <xdr:nvSpPr>
        <xdr:cNvPr id="14" name="TextBox 23">
          <a:extLst>
            <a:ext uri="{FF2B5EF4-FFF2-40B4-BE49-F238E27FC236}">
              <a16:creationId xmlns:a16="http://schemas.microsoft.com/office/drawing/2014/main" xmlns="" id="{00000000-0008-0000-5E00-00000E000000}"/>
            </a:ext>
          </a:extLst>
        </xdr:cNvPr>
        <xdr:cNvSpPr txBox="1"/>
      </xdr:nvSpPr>
      <xdr:spPr>
        <a:xfrm>
          <a:off x="1133475" y="1685925"/>
          <a:ext cx="1613647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Contrato:</a:t>
          </a:r>
        </a:p>
      </xdr:txBody>
    </xdr:sp>
    <xdr:clientData/>
  </xdr:twoCellAnchor>
  <xdr:twoCellAnchor>
    <xdr:from>
      <xdr:col>3</xdr:col>
      <xdr:colOff>381000</xdr:colOff>
      <xdr:row>9</xdr:row>
      <xdr:rowOff>19051</xdr:rowOff>
    </xdr:from>
    <xdr:to>
      <xdr:col>5</xdr:col>
      <xdr:colOff>1114425</xdr:colOff>
      <xdr:row>9</xdr:row>
      <xdr:rowOff>228601</xdr:rowOff>
    </xdr:to>
    <xdr:sp macro="" textlink="">
      <xdr:nvSpPr>
        <xdr:cNvPr id="15" name="TextBox 24">
          <a:extLst>
            <a:ext uri="{FF2B5EF4-FFF2-40B4-BE49-F238E27FC236}">
              <a16:creationId xmlns:a16="http://schemas.microsoft.com/office/drawing/2014/main" xmlns="" id="{00000000-0008-0000-5E00-00000F000000}"/>
            </a:ext>
          </a:extLst>
        </xdr:cNvPr>
        <xdr:cNvSpPr txBox="1"/>
      </xdr:nvSpPr>
      <xdr:spPr>
        <a:xfrm>
          <a:off x="2743200" y="1704976"/>
          <a:ext cx="3095625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N° SE-CPSTGN-002/2011</a:t>
          </a:r>
          <a:endParaRPr lang="es-MX" sz="1000" u="sng">
            <a:solidFill>
              <a:srgbClr val="FF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247650</xdr:colOff>
      <xdr:row>60</xdr:row>
      <xdr:rowOff>133350</xdr:rowOff>
    </xdr:from>
    <xdr:to>
      <xdr:col>4</xdr:col>
      <xdr:colOff>454959</xdr:colOff>
      <xdr:row>64</xdr:row>
      <xdr:rowOff>59764</xdr:rowOff>
    </xdr:to>
    <xdr:sp macro="" textlink="">
      <xdr:nvSpPr>
        <xdr:cNvPr id="16" name="TextBox 19">
          <a:extLst>
            <a:ext uri="{FF2B5EF4-FFF2-40B4-BE49-F238E27FC236}">
              <a16:creationId xmlns:a16="http://schemas.microsoft.com/office/drawing/2014/main" xmlns="" id="{00000000-0008-0000-5E00-000010000000}"/>
            </a:ext>
          </a:extLst>
        </xdr:cNvPr>
        <xdr:cNvSpPr txBox="1"/>
      </xdr:nvSpPr>
      <xdr:spPr>
        <a:xfrm>
          <a:off x="1085850" y="17164050"/>
          <a:ext cx="2693334" cy="57411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___________________________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Elaboro                                                  ing, Rogelio Gaytan BerrIel</a:t>
          </a:r>
        </a:p>
      </xdr:txBody>
    </xdr:sp>
    <xdr:clientData/>
  </xdr:twoCellAnchor>
  <xdr:twoCellAnchor>
    <xdr:from>
      <xdr:col>11</xdr:col>
      <xdr:colOff>414804</xdr:colOff>
      <xdr:row>60</xdr:row>
      <xdr:rowOff>95250</xdr:rowOff>
    </xdr:from>
    <xdr:to>
      <xdr:col>13</xdr:col>
      <xdr:colOff>834651</xdr:colOff>
      <xdr:row>65</xdr:row>
      <xdr:rowOff>59765</xdr:rowOff>
    </xdr:to>
    <xdr:sp macro="" textlink="">
      <xdr:nvSpPr>
        <xdr:cNvPr id="17" name="TextBox 20">
          <a:extLst>
            <a:ext uri="{FF2B5EF4-FFF2-40B4-BE49-F238E27FC236}">
              <a16:creationId xmlns:a16="http://schemas.microsoft.com/office/drawing/2014/main" xmlns="" id="{00000000-0008-0000-5E00-000011000000}"/>
            </a:ext>
          </a:extLst>
        </xdr:cNvPr>
        <xdr:cNvSpPr txBox="1"/>
      </xdr:nvSpPr>
      <xdr:spPr>
        <a:xfrm>
          <a:off x="12178179" y="17125950"/>
          <a:ext cx="2791572" cy="7741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___________________________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Autorizo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Ing.</a:t>
          </a:r>
          <a:r>
            <a:rPr lang="es-MX" sz="1100" b="1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 Fernando Lopez Casillas</a:t>
          </a:r>
          <a:endParaRPr lang="es-MX" sz="11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876300</xdr:colOff>
      <xdr:row>5</xdr:row>
      <xdr:rowOff>133350</xdr:rowOff>
    </xdr:from>
    <xdr:to>
      <xdr:col>12</xdr:col>
      <xdr:colOff>876300</xdr:colOff>
      <xdr:row>6</xdr:row>
      <xdr:rowOff>171450</xdr:rowOff>
    </xdr:to>
    <xdr:sp macro="" textlink="">
      <xdr:nvSpPr>
        <xdr:cNvPr id="2" name="TextBox 6">
          <a:extLst>
            <a:ext uri="{FF2B5EF4-FFF2-40B4-BE49-F238E27FC236}">
              <a16:creationId xmlns:a16="http://schemas.microsoft.com/office/drawing/2014/main" xmlns="" id="{00000000-0008-0000-5F00-000002000000}"/>
            </a:ext>
          </a:extLst>
        </xdr:cNvPr>
        <xdr:cNvSpPr txBox="1"/>
      </xdr:nvSpPr>
      <xdr:spPr>
        <a:xfrm>
          <a:off x="12639675" y="1000125"/>
          <a:ext cx="1219200" cy="190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FT-SR-XX</a:t>
          </a:r>
        </a:p>
      </xdr:txBody>
    </xdr:sp>
    <xdr:clientData/>
  </xdr:twoCellAnchor>
  <xdr:twoCellAnchor>
    <xdr:from>
      <xdr:col>2</xdr:col>
      <xdr:colOff>0</xdr:colOff>
      <xdr:row>0</xdr:row>
      <xdr:rowOff>0</xdr:rowOff>
    </xdr:from>
    <xdr:to>
      <xdr:col>12</xdr:col>
      <xdr:colOff>866775</xdr:colOff>
      <xdr:row>7</xdr:row>
      <xdr:rowOff>19050</xdr:rowOff>
    </xdr:to>
    <xdr:sp macro="" textlink="">
      <xdr:nvSpPr>
        <xdr:cNvPr id="349192" name="AutoShape 17">
          <a:extLst>
            <a:ext uri="{FF2B5EF4-FFF2-40B4-BE49-F238E27FC236}">
              <a16:creationId xmlns:a16="http://schemas.microsoft.com/office/drawing/2014/main" xmlns="" id="{00000000-0008-0000-5F00-000008540500}"/>
            </a:ext>
          </a:extLst>
        </xdr:cNvPr>
        <xdr:cNvSpPr>
          <a:spLocks noChangeArrowheads="1"/>
        </xdr:cNvSpPr>
      </xdr:nvSpPr>
      <xdr:spPr bwMode="auto">
        <a:xfrm>
          <a:off x="1133475" y="0"/>
          <a:ext cx="12715875" cy="1209675"/>
        </a:xfrm>
        <a:prstGeom prst="roundRect">
          <a:avLst>
            <a:gd name="adj" fmla="val 16667"/>
          </a:avLst>
        </a:prstGeom>
        <a:noFill/>
        <a:ln w="31750" cmpd="dbl">
          <a:solidFill>
            <a:srgbClr val="009967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161925</xdr:colOff>
      <xdr:row>0</xdr:row>
      <xdr:rowOff>85725</xdr:rowOff>
    </xdr:from>
    <xdr:to>
      <xdr:col>12</xdr:col>
      <xdr:colOff>817470</xdr:colOff>
      <xdr:row>4</xdr:row>
      <xdr:rowOff>152400</xdr:rowOff>
    </xdr:to>
    <xdr:sp macro="" textlink="">
      <xdr:nvSpPr>
        <xdr:cNvPr id="4" name="Cuadro de texto 1">
          <a:extLst>
            <a:ext uri="{FF2B5EF4-FFF2-40B4-BE49-F238E27FC236}">
              <a16:creationId xmlns:a16="http://schemas.microsoft.com/office/drawing/2014/main" xmlns="" id="{00000000-0008-0000-5F00-000004000000}"/>
            </a:ext>
          </a:extLst>
        </xdr:cNvPr>
        <xdr:cNvSpPr txBox="1">
          <a:spLocks noChangeArrowheads="1"/>
        </xdr:cNvSpPr>
      </xdr:nvSpPr>
      <xdr:spPr bwMode="auto">
        <a:xfrm>
          <a:off x="8248650" y="85725"/>
          <a:ext cx="5551395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r" rtl="0">
            <a:defRPr sz="1000"/>
          </a:pPr>
          <a:r>
            <a:rPr lang="es-MX" sz="1400" b="1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Dirección Corporativa de Operaciones</a:t>
          </a:r>
        </a:p>
        <a:p>
          <a:pPr algn="r" rtl="0">
            <a:defRPr sz="1000"/>
          </a:pPr>
          <a:r>
            <a:rPr lang="es-MX" sz="1400" b="0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               Unidad de Gasoductos</a:t>
          </a:r>
        </a:p>
        <a:p>
          <a:pPr algn="r" rtl="0">
            <a:defRPr sz="1000"/>
          </a:pPr>
          <a:r>
            <a:rPr lang="es-MX" sz="1400" b="0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Subgerencia Regional de Energéticos Norte</a:t>
          </a:r>
          <a:endParaRPr lang="es-MX" sz="1400" b="0" i="1" u="none" strike="noStrike" baseline="0">
            <a:solidFill>
              <a:srgbClr val="009969"/>
            </a:solidFill>
            <a:latin typeface="Arial" pitchFamily="34" charset="0"/>
            <a:cs typeface="Arial" pitchFamily="34" charset="0"/>
          </a:endParaRPr>
        </a:p>
        <a:p>
          <a:pPr algn="l" rtl="0">
            <a:defRPr sz="1000"/>
          </a:pPr>
          <a:endParaRPr lang="es-MX" sz="1400" b="1" i="1" u="none" strike="noStrike" baseline="0">
            <a:solidFill>
              <a:srgbClr val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790575</xdr:colOff>
      <xdr:row>4</xdr:row>
      <xdr:rowOff>123825</xdr:rowOff>
    </xdr:to>
    <xdr:pic>
      <xdr:nvPicPr>
        <xdr:cNvPr id="349194" name="Picture 9" descr="C:\Users\francis.munguia\Desktop\LogotipoCFE_verde.jpg">
          <a:extLst>
            <a:ext uri="{FF2B5EF4-FFF2-40B4-BE49-F238E27FC236}">
              <a16:creationId xmlns:a16="http://schemas.microsoft.com/office/drawing/2014/main" xmlns="" id="{00000000-0008-0000-5F00-00000A540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E"/>
            </a:clrFrom>
            <a:clrTo>
              <a:srgbClr val="FFFF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720" b="23125"/>
        <a:stretch>
          <a:fillRect/>
        </a:stretch>
      </xdr:blipFill>
      <xdr:spPr bwMode="auto">
        <a:xfrm>
          <a:off x="1133475" y="161925"/>
          <a:ext cx="20193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781050</xdr:colOff>
      <xdr:row>10</xdr:row>
      <xdr:rowOff>161925</xdr:rowOff>
    </xdr:from>
    <xdr:to>
      <xdr:col>12</xdr:col>
      <xdr:colOff>874057</xdr:colOff>
      <xdr:row>12</xdr:row>
      <xdr:rowOff>133350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xmlns="" id="{00000000-0008-0000-5F00-000006000000}"/>
            </a:ext>
          </a:extLst>
        </xdr:cNvPr>
        <xdr:cNvSpPr txBox="1"/>
      </xdr:nvSpPr>
      <xdr:spPr>
        <a:xfrm>
          <a:off x="12547226" y="2066925"/>
          <a:ext cx="1314449" cy="46448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Septiembre</a:t>
          </a:r>
          <a:r>
            <a:rPr lang="es-MX" sz="1100" b="1" baseline="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 2018</a:t>
          </a:r>
          <a:endParaRPr lang="es-MX" sz="1100" b="1">
            <a:solidFill>
              <a:srgbClr val="FF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180975</xdr:colOff>
      <xdr:row>4</xdr:row>
      <xdr:rowOff>114301</xdr:rowOff>
    </xdr:from>
    <xdr:to>
      <xdr:col>11</xdr:col>
      <xdr:colOff>923925</xdr:colOff>
      <xdr:row>7</xdr:row>
      <xdr:rowOff>9526</xdr:rowOff>
    </xdr:to>
    <xdr:sp macro="" textlink="">
      <xdr:nvSpPr>
        <xdr:cNvPr id="7" name="Cuadro de texto 1">
          <a:extLst>
            <a:ext uri="{FF2B5EF4-FFF2-40B4-BE49-F238E27FC236}">
              <a16:creationId xmlns:a16="http://schemas.microsoft.com/office/drawing/2014/main" xmlns="" id="{00000000-0008-0000-5F00-000007000000}"/>
            </a:ext>
          </a:extLst>
        </xdr:cNvPr>
        <xdr:cNvSpPr txBox="1">
          <a:spLocks noChangeArrowheads="1"/>
        </xdr:cNvSpPr>
      </xdr:nvSpPr>
      <xdr:spPr bwMode="auto">
        <a:xfrm>
          <a:off x="1314450" y="819151"/>
          <a:ext cx="11372850" cy="381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MX" sz="1400" b="1" i="0" u="none" strike="noStrike" baseline="0">
              <a:solidFill>
                <a:srgbClr val="000000"/>
              </a:solidFill>
              <a:latin typeface="Arial" pitchFamily="34" charset="0"/>
              <a:cs typeface="Arial" pitchFamily="34" charset="0"/>
            </a:rPr>
            <a:t>REVISION DE FACTURACION DE COMBUSTIBLES</a:t>
          </a:r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3</xdr:col>
      <xdr:colOff>384922</xdr:colOff>
      <xdr:row>10</xdr:row>
      <xdr:rowOff>212912</xdr:rowOff>
    </xdr:to>
    <xdr:sp macro="" textlink="">
      <xdr:nvSpPr>
        <xdr:cNvPr id="8" name="TextBox 8">
          <a:extLst>
            <a:ext uri="{FF2B5EF4-FFF2-40B4-BE49-F238E27FC236}">
              <a16:creationId xmlns:a16="http://schemas.microsoft.com/office/drawing/2014/main" xmlns="" id="{00000000-0008-0000-5F00-000008000000}"/>
            </a:ext>
          </a:extLst>
        </xdr:cNvPr>
        <xdr:cNvSpPr txBox="1"/>
      </xdr:nvSpPr>
      <xdr:spPr>
        <a:xfrm>
          <a:off x="1133475" y="1933575"/>
          <a:ext cx="1613647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Tipo de Combustible:</a:t>
          </a:r>
        </a:p>
      </xdr:txBody>
    </xdr:sp>
    <xdr:clientData/>
  </xdr:twoCellAnchor>
  <xdr:twoCellAnchor>
    <xdr:from>
      <xdr:col>3</xdr:col>
      <xdr:colOff>381000</xdr:colOff>
      <xdr:row>10</xdr:row>
      <xdr:rowOff>0</xdr:rowOff>
    </xdr:from>
    <xdr:to>
      <xdr:col>5</xdr:col>
      <xdr:colOff>1209675</xdr:colOff>
      <xdr:row>10</xdr:row>
      <xdr:rowOff>228600</xdr:rowOff>
    </xdr:to>
    <xdr:sp macro="" textlink="">
      <xdr:nvSpPr>
        <xdr:cNvPr id="9" name="TextBox 9">
          <a:extLst>
            <a:ext uri="{FF2B5EF4-FFF2-40B4-BE49-F238E27FC236}">
              <a16:creationId xmlns:a16="http://schemas.microsoft.com/office/drawing/2014/main" xmlns="" id="{00000000-0008-0000-5F00-000009000000}"/>
            </a:ext>
          </a:extLst>
        </xdr:cNvPr>
        <xdr:cNvSpPr txBox="1"/>
      </xdr:nvSpPr>
      <xdr:spPr>
        <a:xfrm>
          <a:off x="2743200" y="1933575"/>
          <a:ext cx="3190875" cy="228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>
              <a:solidFill>
                <a:srgbClr val="FF0000"/>
              </a:solidFill>
              <a:effectLst/>
              <a:latin typeface="Arial" panose="020B0604020202020204" pitchFamily="34" charset="0"/>
              <a:cs typeface="Arial" panose="020B0604020202020204" pitchFamily="34" charset="0"/>
            </a:rPr>
            <a:t>GAS NATURAL</a:t>
          </a:r>
        </a:p>
      </xdr:txBody>
    </xdr:sp>
    <xdr:clientData/>
  </xdr:twoCellAnchor>
  <xdr:twoCellAnchor>
    <xdr:from>
      <xdr:col>3</xdr:col>
      <xdr:colOff>380999</xdr:colOff>
      <xdr:row>10</xdr:row>
      <xdr:rowOff>219075</xdr:rowOff>
    </xdr:from>
    <xdr:to>
      <xdr:col>6</xdr:col>
      <xdr:colOff>504825</xdr:colOff>
      <xdr:row>11</xdr:row>
      <xdr:rowOff>200025</xdr:rowOff>
    </xdr:to>
    <xdr:sp macro="" textlink="">
      <xdr:nvSpPr>
        <xdr:cNvPr id="10" name="TextBox 10">
          <a:extLst>
            <a:ext uri="{FF2B5EF4-FFF2-40B4-BE49-F238E27FC236}">
              <a16:creationId xmlns:a16="http://schemas.microsoft.com/office/drawing/2014/main" xmlns="" id="{00000000-0008-0000-5F00-00000A000000}"/>
            </a:ext>
          </a:extLst>
        </xdr:cNvPr>
        <xdr:cNvSpPr txBox="1"/>
      </xdr:nvSpPr>
      <xdr:spPr>
        <a:xfrm>
          <a:off x="2743199" y="2152650"/>
          <a:ext cx="3810001" cy="228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MX" sz="1000" b="1" u="sng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TRANSPORTE POR GASODUCTO</a:t>
          </a:r>
        </a:p>
      </xdr:txBody>
    </xdr:sp>
    <xdr:clientData/>
  </xdr:twoCellAnchor>
  <xdr:twoCellAnchor>
    <xdr:from>
      <xdr:col>2</xdr:col>
      <xdr:colOff>0</xdr:colOff>
      <xdr:row>10</xdr:row>
      <xdr:rowOff>228600</xdr:rowOff>
    </xdr:from>
    <xdr:to>
      <xdr:col>3</xdr:col>
      <xdr:colOff>384922</xdr:colOff>
      <xdr:row>11</xdr:row>
      <xdr:rowOff>193862</xdr:rowOff>
    </xdr:to>
    <xdr:sp macro="" textlink="">
      <xdr:nvSpPr>
        <xdr:cNvPr id="11" name="TextBox 13">
          <a:extLst>
            <a:ext uri="{FF2B5EF4-FFF2-40B4-BE49-F238E27FC236}">
              <a16:creationId xmlns:a16="http://schemas.microsoft.com/office/drawing/2014/main" xmlns="" id="{00000000-0008-0000-5F00-00000B000000}"/>
            </a:ext>
          </a:extLst>
        </xdr:cNvPr>
        <xdr:cNvSpPr txBox="1"/>
      </xdr:nvSpPr>
      <xdr:spPr>
        <a:xfrm>
          <a:off x="1133475" y="2162175"/>
          <a:ext cx="1613647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Tipo de Servicio:</a:t>
          </a: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3</xdr:col>
      <xdr:colOff>384922</xdr:colOff>
      <xdr:row>8</xdr:row>
      <xdr:rowOff>212912</xdr:rowOff>
    </xdr:to>
    <xdr:sp macro="" textlink="">
      <xdr:nvSpPr>
        <xdr:cNvPr id="12" name="TextBox 21">
          <a:extLst>
            <a:ext uri="{FF2B5EF4-FFF2-40B4-BE49-F238E27FC236}">
              <a16:creationId xmlns:a16="http://schemas.microsoft.com/office/drawing/2014/main" xmlns="" id="{00000000-0008-0000-5F00-00000C000000}"/>
            </a:ext>
          </a:extLst>
        </xdr:cNvPr>
        <xdr:cNvSpPr txBox="1"/>
      </xdr:nvSpPr>
      <xdr:spPr>
        <a:xfrm>
          <a:off x="1133475" y="1438275"/>
          <a:ext cx="1613647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Proveedor:</a:t>
          </a:r>
        </a:p>
        <a:p>
          <a:pPr algn="l"/>
          <a:endParaRPr lang="es-MX" sz="10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380999</xdr:colOff>
      <xdr:row>7</xdr:row>
      <xdr:rowOff>238126</xdr:rowOff>
    </xdr:from>
    <xdr:to>
      <xdr:col>7</xdr:col>
      <xdr:colOff>161924</xdr:colOff>
      <xdr:row>8</xdr:row>
      <xdr:rowOff>228600</xdr:rowOff>
    </xdr:to>
    <xdr:sp macro="" textlink="">
      <xdr:nvSpPr>
        <xdr:cNvPr id="13" name="TextBox 22">
          <a:extLst>
            <a:ext uri="{FF2B5EF4-FFF2-40B4-BE49-F238E27FC236}">
              <a16:creationId xmlns:a16="http://schemas.microsoft.com/office/drawing/2014/main" xmlns="" id="{00000000-0008-0000-5F00-00000D000000}"/>
            </a:ext>
          </a:extLst>
        </xdr:cNvPr>
        <xdr:cNvSpPr txBox="1"/>
      </xdr:nvSpPr>
      <xdr:spPr>
        <a:xfrm>
          <a:off x="2743199" y="1428751"/>
          <a:ext cx="4486275" cy="23812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(4326979</a:t>
          </a:r>
          <a:r>
            <a:rPr lang="es-MX" sz="1000" b="1" i="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) </a:t>
          </a:r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TARAHUMARA PIPELINE S DE RL DE CV </a:t>
          </a:r>
          <a:endParaRPr lang="es-MX" sz="1000" u="sng">
            <a:solidFill>
              <a:srgbClr val="FF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0</xdr:colOff>
      <xdr:row>9</xdr:row>
      <xdr:rowOff>0</xdr:rowOff>
    </xdr:from>
    <xdr:to>
      <xdr:col>3</xdr:col>
      <xdr:colOff>384922</xdr:colOff>
      <xdr:row>9</xdr:row>
      <xdr:rowOff>212912</xdr:rowOff>
    </xdr:to>
    <xdr:sp macro="" textlink="">
      <xdr:nvSpPr>
        <xdr:cNvPr id="14" name="TextBox 23">
          <a:extLst>
            <a:ext uri="{FF2B5EF4-FFF2-40B4-BE49-F238E27FC236}">
              <a16:creationId xmlns:a16="http://schemas.microsoft.com/office/drawing/2014/main" xmlns="" id="{00000000-0008-0000-5F00-00000E000000}"/>
            </a:ext>
          </a:extLst>
        </xdr:cNvPr>
        <xdr:cNvSpPr txBox="1"/>
      </xdr:nvSpPr>
      <xdr:spPr>
        <a:xfrm>
          <a:off x="1133475" y="1685925"/>
          <a:ext cx="1613647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Contrato:</a:t>
          </a:r>
        </a:p>
      </xdr:txBody>
    </xdr:sp>
    <xdr:clientData/>
  </xdr:twoCellAnchor>
  <xdr:twoCellAnchor>
    <xdr:from>
      <xdr:col>3</xdr:col>
      <xdr:colOff>381000</xdr:colOff>
      <xdr:row>9</xdr:row>
      <xdr:rowOff>19051</xdr:rowOff>
    </xdr:from>
    <xdr:to>
      <xdr:col>5</xdr:col>
      <xdr:colOff>1114425</xdr:colOff>
      <xdr:row>9</xdr:row>
      <xdr:rowOff>228601</xdr:rowOff>
    </xdr:to>
    <xdr:sp macro="" textlink="">
      <xdr:nvSpPr>
        <xdr:cNvPr id="15" name="TextBox 24">
          <a:extLst>
            <a:ext uri="{FF2B5EF4-FFF2-40B4-BE49-F238E27FC236}">
              <a16:creationId xmlns:a16="http://schemas.microsoft.com/office/drawing/2014/main" xmlns="" id="{00000000-0008-0000-5F00-00000F000000}"/>
            </a:ext>
          </a:extLst>
        </xdr:cNvPr>
        <xdr:cNvSpPr txBox="1"/>
      </xdr:nvSpPr>
      <xdr:spPr>
        <a:xfrm>
          <a:off x="2743200" y="1704976"/>
          <a:ext cx="3095625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N° SE-CPSTGN-002/2011</a:t>
          </a:r>
          <a:endParaRPr lang="es-MX" sz="1000" u="sng">
            <a:solidFill>
              <a:srgbClr val="FF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247650</xdr:colOff>
      <xdr:row>60</xdr:row>
      <xdr:rowOff>133349</xdr:rowOff>
    </xdr:from>
    <xdr:to>
      <xdr:col>4</xdr:col>
      <xdr:colOff>454959</xdr:colOff>
      <xdr:row>65</xdr:row>
      <xdr:rowOff>78440</xdr:rowOff>
    </xdr:to>
    <xdr:sp macro="" textlink="">
      <xdr:nvSpPr>
        <xdr:cNvPr id="16" name="TextBox 19">
          <a:extLst>
            <a:ext uri="{FF2B5EF4-FFF2-40B4-BE49-F238E27FC236}">
              <a16:creationId xmlns:a16="http://schemas.microsoft.com/office/drawing/2014/main" xmlns="" id="{00000000-0008-0000-5F00-000010000000}"/>
            </a:ext>
          </a:extLst>
        </xdr:cNvPr>
        <xdr:cNvSpPr txBox="1"/>
      </xdr:nvSpPr>
      <xdr:spPr>
        <a:xfrm>
          <a:off x="1088091" y="16863731"/>
          <a:ext cx="2695015" cy="72950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___________________________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Elaboro                                                  ing, Rogelio Gaytan BerrIel</a:t>
          </a:r>
        </a:p>
      </xdr:txBody>
    </xdr:sp>
    <xdr:clientData/>
  </xdr:twoCellAnchor>
  <xdr:twoCellAnchor>
    <xdr:from>
      <xdr:col>11</xdr:col>
      <xdr:colOff>414804</xdr:colOff>
      <xdr:row>60</xdr:row>
      <xdr:rowOff>95250</xdr:rowOff>
    </xdr:from>
    <xdr:to>
      <xdr:col>13</xdr:col>
      <xdr:colOff>834651</xdr:colOff>
      <xdr:row>65</xdr:row>
      <xdr:rowOff>59765</xdr:rowOff>
    </xdr:to>
    <xdr:sp macro="" textlink="">
      <xdr:nvSpPr>
        <xdr:cNvPr id="17" name="TextBox 20">
          <a:extLst>
            <a:ext uri="{FF2B5EF4-FFF2-40B4-BE49-F238E27FC236}">
              <a16:creationId xmlns:a16="http://schemas.microsoft.com/office/drawing/2014/main" xmlns="" id="{00000000-0008-0000-5F00-000011000000}"/>
            </a:ext>
          </a:extLst>
        </xdr:cNvPr>
        <xdr:cNvSpPr txBox="1"/>
      </xdr:nvSpPr>
      <xdr:spPr>
        <a:xfrm>
          <a:off x="12178179" y="17125950"/>
          <a:ext cx="2791572" cy="7741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___________________________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Autorizo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Ing.</a:t>
          </a:r>
          <a:r>
            <a:rPr lang="es-MX" sz="1100" b="1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 Fernando Lopez Casillas</a:t>
          </a:r>
          <a:endParaRPr lang="es-MX" sz="11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876300</xdr:colOff>
      <xdr:row>5</xdr:row>
      <xdr:rowOff>133350</xdr:rowOff>
    </xdr:from>
    <xdr:to>
      <xdr:col>12</xdr:col>
      <xdr:colOff>876300</xdr:colOff>
      <xdr:row>6</xdr:row>
      <xdr:rowOff>171450</xdr:rowOff>
    </xdr:to>
    <xdr:sp macro="" textlink="">
      <xdr:nvSpPr>
        <xdr:cNvPr id="2" name="TextBox 6">
          <a:extLst>
            <a:ext uri="{FF2B5EF4-FFF2-40B4-BE49-F238E27FC236}">
              <a16:creationId xmlns:a16="http://schemas.microsoft.com/office/drawing/2014/main" xmlns="" id="{00000000-0008-0000-6000-000002000000}"/>
            </a:ext>
          </a:extLst>
        </xdr:cNvPr>
        <xdr:cNvSpPr txBox="1"/>
      </xdr:nvSpPr>
      <xdr:spPr>
        <a:xfrm>
          <a:off x="12639675" y="1000125"/>
          <a:ext cx="1219200" cy="190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FT-SR-XX</a:t>
          </a:r>
        </a:p>
      </xdr:txBody>
    </xdr:sp>
    <xdr:clientData/>
  </xdr:twoCellAnchor>
  <xdr:twoCellAnchor>
    <xdr:from>
      <xdr:col>2</xdr:col>
      <xdr:colOff>0</xdr:colOff>
      <xdr:row>0</xdr:row>
      <xdr:rowOff>0</xdr:rowOff>
    </xdr:from>
    <xdr:to>
      <xdr:col>12</xdr:col>
      <xdr:colOff>866775</xdr:colOff>
      <xdr:row>7</xdr:row>
      <xdr:rowOff>19050</xdr:rowOff>
    </xdr:to>
    <xdr:sp macro="" textlink="">
      <xdr:nvSpPr>
        <xdr:cNvPr id="355336" name="AutoShape 17">
          <a:extLst>
            <a:ext uri="{FF2B5EF4-FFF2-40B4-BE49-F238E27FC236}">
              <a16:creationId xmlns:a16="http://schemas.microsoft.com/office/drawing/2014/main" xmlns="" id="{00000000-0008-0000-6000-0000086C0500}"/>
            </a:ext>
          </a:extLst>
        </xdr:cNvPr>
        <xdr:cNvSpPr>
          <a:spLocks noChangeArrowheads="1"/>
        </xdr:cNvSpPr>
      </xdr:nvSpPr>
      <xdr:spPr bwMode="auto">
        <a:xfrm>
          <a:off x="1133475" y="0"/>
          <a:ext cx="12715875" cy="1209675"/>
        </a:xfrm>
        <a:prstGeom prst="roundRect">
          <a:avLst>
            <a:gd name="adj" fmla="val 16667"/>
          </a:avLst>
        </a:prstGeom>
        <a:noFill/>
        <a:ln w="31750" cmpd="dbl">
          <a:solidFill>
            <a:srgbClr val="009967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161925</xdr:colOff>
      <xdr:row>0</xdr:row>
      <xdr:rowOff>85725</xdr:rowOff>
    </xdr:from>
    <xdr:to>
      <xdr:col>12</xdr:col>
      <xdr:colOff>817470</xdr:colOff>
      <xdr:row>4</xdr:row>
      <xdr:rowOff>152400</xdr:rowOff>
    </xdr:to>
    <xdr:sp macro="" textlink="">
      <xdr:nvSpPr>
        <xdr:cNvPr id="4" name="Cuadro de texto 1">
          <a:extLst>
            <a:ext uri="{FF2B5EF4-FFF2-40B4-BE49-F238E27FC236}">
              <a16:creationId xmlns:a16="http://schemas.microsoft.com/office/drawing/2014/main" xmlns="" id="{00000000-0008-0000-6000-000004000000}"/>
            </a:ext>
          </a:extLst>
        </xdr:cNvPr>
        <xdr:cNvSpPr txBox="1">
          <a:spLocks noChangeArrowheads="1"/>
        </xdr:cNvSpPr>
      </xdr:nvSpPr>
      <xdr:spPr bwMode="auto">
        <a:xfrm>
          <a:off x="8248650" y="85725"/>
          <a:ext cx="5551395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r" rtl="0">
            <a:defRPr sz="1000"/>
          </a:pPr>
          <a:r>
            <a:rPr lang="es-MX" sz="1400" b="1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Dirección Corporativa de Operaciones</a:t>
          </a:r>
        </a:p>
        <a:p>
          <a:pPr algn="r" rtl="0">
            <a:defRPr sz="1000"/>
          </a:pPr>
          <a:r>
            <a:rPr lang="es-MX" sz="1400" b="0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               Subdirección de Negocios No Regulados</a:t>
          </a:r>
        </a:p>
        <a:p>
          <a:pPr algn="r" rtl="0">
            <a:defRPr sz="1000"/>
          </a:pPr>
          <a:r>
            <a:rPr lang="es-MX" sz="1400" b="0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Subgerencia Regional de Energéticos Norte</a:t>
          </a:r>
          <a:endParaRPr lang="es-MX" sz="1400" b="0" i="1" u="none" strike="noStrike" baseline="0">
            <a:solidFill>
              <a:srgbClr val="009969"/>
            </a:solidFill>
            <a:latin typeface="Arial" pitchFamily="34" charset="0"/>
            <a:cs typeface="Arial" pitchFamily="34" charset="0"/>
          </a:endParaRPr>
        </a:p>
        <a:p>
          <a:pPr algn="l" rtl="0">
            <a:defRPr sz="1000"/>
          </a:pPr>
          <a:endParaRPr lang="es-MX" sz="1400" b="1" i="1" u="none" strike="noStrike" baseline="0">
            <a:solidFill>
              <a:srgbClr val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790575</xdr:colOff>
      <xdr:row>4</xdr:row>
      <xdr:rowOff>96610</xdr:rowOff>
    </xdr:to>
    <xdr:pic>
      <xdr:nvPicPr>
        <xdr:cNvPr id="355338" name="Picture 9" descr="C:\Users\francis.munguia\Desktop\LogotipoCFE_verde.jpg">
          <a:extLst>
            <a:ext uri="{FF2B5EF4-FFF2-40B4-BE49-F238E27FC236}">
              <a16:creationId xmlns:a16="http://schemas.microsoft.com/office/drawing/2014/main" xmlns="" id="{00000000-0008-0000-6000-00000A6C0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E"/>
            </a:clrFrom>
            <a:clrTo>
              <a:srgbClr val="FFFF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720" b="23125"/>
        <a:stretch>
          <a:fillRect/>
        </a:stretch>
      </xdr:blipFill>
      <xdr:spPr bwMode="auto">
        <a:xfrm>
          <a:off x="1133475" y="161925"/>
          <a:ext cx="20193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781050</xdr:colOff>
      <xdr:row>10</xdr:row>
      <xdr:rowOff>161925</xdr:rowOff>
    </xdr:from>
    <xdr:to>
      <xdr:col>12</xdr:col>
      <xdr:colOff>874057</xdr:colOff>
      <xdr:row>12</xdr:row>
      <xdr:rowOff>133350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xmlns="" id="{00000000-0008-0000-6000-000006000000}"/>
            </a:ext>
          </a:extLst>
        </xdr:cNvPr>
        <xdr:cNvSpPr txBox="1"/>
      </xdr:nvSpPr>
      <xdr:spPr>
        <a:xfrm>
          <a:off x="12544425" y="2095500"/>
          <a:ext cx="1312207" cy="466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Octubre</a:t>
          </a:r>
          <a:r>
            <a:rPr lang="es-MX" sz="1100" b="1" baseline="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 2018</a:t>
          </a:r>
          <a:endParaRPr lang="es-MX" sz="1100" b="1">
            <a:solidFill>
              <a:srgbClr val="FF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180975</xdr:colOff>
      <xdr:row>4</xdr:row>
      <xdr:rowOff>114301</xdr:rowOff>
    </xdr:from>
    <xdr:to>
      <xdr:col>11</xdr:col>
      <xdr:colOff>923925</xdr:colOff>
      <xdr:row>7</xdr:row>
      <xdr:rowOff>9526</xdr:rowOff>
    </xdr:to>
    <xdr:sp macro="" textlink="">
      <xdr:nvSpPr>
        <xdr:cNvPr id="7" name="Cuadro de texto 1">
          <a:extLst>
            <a:ext uri="{FF2B5EF4-FFF2-40B4-BE49-F238E27FC236}">
              <a16:creationId xmlns:a16="http://schemas.microsoft.com/office/drawing/2014/main" xmlns="" id="{00000000-0008-0000-6000-000007000000}"/>
            </a:ext>
          </a:extLst>
        </xdr:cNvPr>
        <xdr:cNvSpPr txBox="1">
          <a:spLocks noChangeArrowheads="1"/>
        </xdr:cNvSpPr>
      </xdr:nvSpPr>
      <xdr:spPr bwMode="auto">
        <a:xfrm>
          <a:off x="1314450" y="819151"/>
          <a:ext cx="11372850" cy="381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MX" sz="1400" b="1" i="0" u="none" strike="noStrike" baseline="0">
              <a:solidFill>
                <a:srgbClr val="000000"/>
              </a:solidFill>
              <a:latin typeface="Arial" pitchFamily="34" charset="0"/>
              <a:cs typeface="Arial" pitchFamily="34" charset="0"/>
            </a:rPr>
            <a:t>REVISION DE FACTURACION DE COMBUSTIBLES</a:t>
          </a:r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3</xdr:col>
      <xdr:colOff>384922</xdr:colOff>
      <xdr:row>10</xdr:row>
      <xdr:rowOff>212912</xdr:rowOff>
    </xdr:to>
    <xdr:sp macro="" textlink="">
      <xdr:nvSpPr>
        <xdr:cNvPr id="8" name="TextBox 8">
          <a:extLst>
            <a:ext uri="{FF2B5EF4-FFF2-40B4-BE49-F238E27FC236}">
              <a16:creationId xmlns:a16="http://schemas.microsoft.com/office/drawing/2014/main" xmlns="" id="{00000000-0008-0000-6000-000008000000}"/>
            </a:ext>
          </a:extLst>
        </xdr:cNvPr>
        <xdr:cNvSpPr txBox="1"/>
      </xdr:nvSpPr>
      <xdr:spPr>
        <a:xfrm>
          <a:off x="1133475" y="1933575"/>
          <a:ext cx="1613647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Tipo de Combustible:</a:t>
          </a:r>
        </a:p>
      </xdr:txBody>
    </xdr:sp>
    <xdr:clientData/>
  </xdr:twoCellAnchor>
  <xdr:twoCellAnchor>
    <xdr:from>
      <xdr:col>3</xdr:col>
      <xdr:colOff>381000</xdr:colOff>
      <xdr:row>10</xdr:row>
      <xdr:rowOff>0</xdr:rowOff>
    </xdr:from>
    <xdr:to>
      <xdr:col>5</xdr:col>
      <xdr:colOff>1209675</xdr:colOff>
      <xdr:row>10</xdr:row>
      <xdr:rowOff>228600</xdr:rowOff>
    </xdr:to>
    <xdr:sp macro="" textlink="">
      <xdr:nvSpPr>
        <xdr:cNvPr id="9" name="TextBox 9">
          <a:extLst>
            <a:ext uri="{FF2B5EF4-FFF2-40B4-BE49-F238E27FC236}">
              <a16:creationId xmlns:a16="http://schemas.microsoft.com/office/drawing/2014/main" xmlns="" id="{00000000-0008-0000-6000-000009000000}"/>
            </a:ext>
          </a:extLst>
        </xdr:cNvPr>
        <xdr:cNvSpPr txBox="1"/>
      </xdr:nvSpPr>
      <xdr:spPr>
        <a:xfrm>
          <a:off x="2743200" y="1933575"/>
          <a:ext cx="3190875" cy="228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>
              <a:solidFill>
                <a:srgbClr val="FF0000"/>
              </a:solidFill>
              <a:effectLst/>
              <a:latin typeface="Arial" panose="020B0604020202020204" pitchFamily="34" charset="0"/>
              <a:cs typeface="Arial" panose="020B0604020202020204" pitchFamily="34" charset="0"/>
            </a:rPr>
            <a:t>GAS NATURAL</a:t>
          </a:r>
        </a:p>
      </xdr:txBody>
    </xdr:sp>
    <xdr:clientData/>
  </xdr:twoCellAnchor>
  <xdr:twoCellAnchor>
    <xdr:from>
      <xdr:col>3</xdr:col>
      <xdr:colOff>380999</xdr:colOff>
      <xdr:row>10</xdr:row>
      <xdr:rowOff>219075</xdr:rowOff>
    </xdr:from>
    <xdr:to>
      <xdr:col>6</xdr:col>
      <xdr:colOff>504825</xdr:colOff>
      <xdr:row>11</xdr:row>
      <xdr:rowOff>200025</xdr:rowOff>
    </xdr:to>
    <xdr:sp macro="" textlink="">
      <xdr:nvSpPr>
        <xdr:cNvPr id="10" name="TextBox 10">
          <a:extLst>
            <a:ext uri="{FF2B5EF4-FFF2-40B4-BE49-F238E27FC236}">
              <a16:creationId xmlns:a16="http://schemas.microsoft.com/office/drawing/2014/main" xmlns="" id="{00000000-0008-0000-6000-00000A000000}"/>
            </a:ext>
          </a:extLst>
        </xdr:cNvPr>
        <xdr:cNvSpPr txBox="1"/>
      </xdr:nvSpPr>
      <xdr:spPr>
        <a:xfrm>
          <a:off x="2743199" y="2152650"/>
          <a:ext cx="3810001" cy="228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MX" sz="1000" b="1" u="sng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TRANSPORTE POR GASODUCTO</a:t>
          </a:r>
        </a:p>
      </xdr:txBody>
    </xdr:sp>
    <xdr:clientData/>
  </xdr:twoCellAnchor>
  <xdr:twoCellAnchor>
    <xdr:from>
      <xdr:col>2</xdr:col>
      <xdr:colOff>0</xdr:colOff>
      <xdr:row>10</xdr:row>
      <xdr:rowOff>228600</xdr:rowOff>
    </xdr:from>
    <xdr:to>
      <xdr:col>3</xdr:col>
      <xdr:colOff>384922</xdr:colOff>
      <xdr:row>11</xdr:row>
      <xdr:rowOff>193862</xdr:rowOff>
    </xdr:to>
    <xdr:sp macro="" textlink="">
      <xdr:nvSpPr>
        <xdr:cNvPr id="11" name="TextBox 13">
          <a:extLst>
            <a:ext uri="{FF2B5EF4-FFF2-40B4-BE49-F238E27FC236}">
              <a16:creationId xmlns:a16="http://schemas.microsoft.com/office/drawing/2014/main" xmlns="" id="{00000000-0008-0000-6000-00000B000000}"/>
            </a:ext>
          </a:extLst>
        </xdr:cNvPr>
        <xdr:cNvSpPr txBox="1"/>
      </xdr:nvSpPr>
      <xdr:spPr>
        <a:xfrm>
          <a:off x="1133475" y="2162175"/>
          <a:ext cx="1613647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Tipo de Servicio:</a:t>
          </a: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3</xdr:col>
      <xdr:colOff>384922</xdr:colOff>
      <xdr:row>8</xdr:row>
      <xdr:rowOff>212912</xdr:rowOff>
    </xdr:to>
    <xdr:sp macro="" textlink="">
      <xdr:nvSpPr>
        <xdr:cNvPr id="12" name="TextBox 21">
          <a:extLst>
            <a:ext uri="{FF2B5EF4-FFF2-40B4-BE49-F238E27FC236}">
              <a16:creationId xmlns:a16="http://schemas.microsoft.com/office/drawing/2014/main" xmlns="" id="{00000000-0008-0000-6000-00000C000000}"/>
            </a:ext>
          </a:extLst>
        </xdr:cNvPr>
        <xdr:cNvSpPr txBox="1"/>
      </xdr:nvSpPr>
      <xdr:spPr>
        <a:xfrm>
          <a:off x="1133475" y="1438275"/>
          <a:ext cx="1613647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Proveedor:</a:t>
          </a:r>
        </a:p>
        <a:p>
          <a:pPr algn="l"/>
          <a:endParaRPr lang="es-MX" sz="10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380999</xdr:colOff>
      <xdr:row>7</xdr:row>
      <xdr:rowOff>238126</xdr:rowOff>
    </xdr:from>
    <xdr:to>
      <xdr:col>7</xdr:col>
      <xdr:colOff>161924</xdr:colOff>
      <xdr:row>8</xdr:row>
      <xdr:rowOff>228600</xdr:rowOff>
    </xdr:to>
    <xdr:sp macro="" textlink="">
      <xdr:nvSpPr>
        <xdr:cNvPr id="13" name="TextBox 22">
          <a:extLst>
            <a:ext uri="{FF2B5EF4-FFF2-40B4-BE49-F238E27FC236}">
              <a16:creationId xmlns:a16="http://schemas.microsoft.com/office/drawing/2014/main" xmlns="" id="{00000000-0008-0000-6000-00000D000000}"/>
            </a:ext>
          </a:extLst>
        </xdr:cNvPr>
        <xdr:cNvSpPr txBox="1"/>
      </xdr:nvSpPr>
      <xdr:spPr>
        <a:xfrm>
          <a:off x="2743199" y="1428751"/>
          <a:ext cx="4486275" cy="23812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(4326979</a:t>
          </a:r>
          <a:r>
            <a:rPr lang="es-MX" sz="1000" b="1" i="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) </a:t>
          </a:r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TARAHUMARA PIPELINE S DE RL DE CV </a:t>
          </a:r>
          <a:endParaRPr lang="es-MX" sz="1000" u="sng">
            <a:solidFill>
              <a:srgbClr val="FF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0</xdr:colOff>
      <xdr:row>9</xdr:row>
      <xdr:rowOff>0</xdr:rowOff>
    </xdr:from>
    <xdr:to>
      <xdr:col>3</xdr:col>
      <xdr:colOff>384922</xdr:colOff>
      <xdr:row>9</xdr:row>
      <xdr:rowOff>212912</xdr:rowOff>
    </xdr:to>
    <xdr:sp macro="" textlink="">
      <xdr:nvSpPr>
        <xdr:cNvPr id="14" name="TextBox 23">
          <a:extLst>
            <a:ext uri="{FF2B5EF4-FFF2-40B4-BE49-F238E27FC236}">
              <a16:creationId xmlns:a16="http://schemas.microsoft.com/office/drawing/2014/main" xmlns="" id="{00000000-0008-0000-6000-00000E000000}"/>
            </a:ext>
          </a:extLst>
        </xdr:cNvPr>
        <xdr:cNvSpPr txBox="1"/>
      </xdr:nvSpPr>
      <xdr:spPr>
        <a:xfrm>
          <a:off x="1133475" y="1685925"/>
          <a:ext cx="1613647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Contrato:</a:t>
          </a:r>
        </a:p>
      </xdr:txBody>
    </xdr:sp>
    <xdr:clientData/>
  </xdr:twoCellAnchor>
  <xdr:twoCellAnchor>
    <xdr:from>
      <xdr:col>3</xdr:col>
      <xdr:colOff>381000</xdr:colOff>
      <xdr:row>9</xdr:row>
      <xdr:rowOff>19051</xdr:rowOff>
    </xdr:from>
    <xdr:to>
      <xdr:col>5</xdr:col>
      <xdr:colOff>1114425</xdr:colOff>
      <xdr:row>9</xdr:row>
      <xdr:rowOff>228601</xdr:rowOff>
    </xdr:to>
    <xdr:sp macro="" textlink="">
      <xdr:nvSpPr>
        <xdr:cNvPr id="15" name="TextBox 24">
          <a:extLst>
            <a:ext uri="{FF2B5EF4-FFF2-40B4-BE49-F238E27FC236}">
              <a16:creationId xmlns:a16="http://schemas.microsoft.com/office/drawing/2014/main" xmlns="" id="{00000000-0008-0000-6000-00000F000000}"/>
            </a:ext>
          </a:extLst>
        </xdr:cNvPr>
        <xdr:cNvSpPr txBox="1"/>
      </xdr:nvSpPr>
      <xdr:spPr>
        <a:xfrm>
          <a:off x="2743200" y="1704976"/>
          <a:ext cx="3095625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N° SE-CPSTGN-002/2011</a:t>
          </a:r>
          <a:endParaRPr lang="es-MX" sz="1000" u="sng">
            <a:solidFill>
              <a:srgbClr val="FF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247650</xdr:colOff>
      <xdr:row>61</xdr:row>
      <xdr:rowOff>133349</xdr:rowOff>
    </xdr:from>
    <xdr:to>
      <xdr:col>4</xdr:col>
      <xdr:colOff>454959</xdr:colOff>
      <xdr:row>66</xdr:row>
      <xdr:rowOff>78440</xdr:rowOff>
    </xdr:to>
    <xdr:sp macro="" textlink="">
      <xdr:nvSpPr>
        <xdr:cNvPr id="16" name="TextBox 19">
          <a:extLst>
            <a:ext uri="{FF2B5EF4-FFF2-40B4-BE49-F238E27FC236}">
              <a16:creationId xmlns:a16="http://schemas.microsoft.com/office/drawing/2014/main" xmlns="" id="{00000000-0008-0000-6000-000010000000}"/>
            </a:ext>
          </a:extLst>
        </xdr:cNvPr>
        <xdr:cNvSpPr txBox="1"/>
      </xdr:nvSpPr>
      <xdr:spPr>
        <a:xfrm>
          <a:off x="1085850" y="17002124"/>
          <a:ext cx="2693334" cy="75471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___________________________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Elaboro                                  </a:t>
          </a:r>
          <a:r>
            <a:rPr lang="es-MX" sz="1100" b="1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          </a:t>
          </a:r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          ing, Rogelio Gaytan BerrIel</a:t>
          </a:r>
        </a:p>
      </xdr:txBody>
    </xdr:sp>
    <xdr:clientData/>
  </xdr:twoCellAnchor>
  <xdr:twoCellAnchor>
    <xdr:from>
      <xdr:col>11</xdr:col>
      <xdr:colOff>414804</xdr:colOff>
      <xdr:row>61</xdr:row>
      <xdr:rowOff>95250</xdr:rowOff>
    </xdr:from>
    <xdr:to>
      <xdr:col>13</xdr:col>
      <xdr:colOff>834651</xdr:colOff>
      <xdr:row>66</xdr:row>
      <xdr:rowOff>59765</xdr:rowOff>
    </xdr:to>
    <xdr:sp macro="" textlink="">
      <xdr:nvSpPr>
        <xdr:cNvPr id="17" name="TextBox 20">
          <a:extLst>
            <a:ext uri="{FF2B5EF4-FFF2-40B4-BE49-F238E27FC236}">
              <a16:creationId xmlns:a16="http://schemas.microsoft.com/office/drawing/2014/main" xmlns="" id="{00000000-0008-0000-6000-000011000000}"/>
            </a:ext>
          </a:extLst>
        </xdr:cNvPr>
        <xdr:cNvSpPr txBox="1"/>
      </xdr:nvSpPr>
      <xdr:spPr>
        <a:xfrm>
          <a:off x="12178179" y="16964025"/>
          <a:ext cx="2791572" cy="7741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___________________________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Autorizo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Ing.</a:t>
          </a:r>
          <a:r>
            <a:rPr lang="es-MX" sz="1100" b="1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 Fernando Lopez Casillas</a:t>
          </a:r>
          <a:endParaRPr lang="es-MX" sz="11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226919</xdr:colOff>
      <xdr:row>45</xdr:row>
      <xdr:rowOff>33618</xdr:rowOff>
    </xdr:from>
    <xdr:to>
      <xdr:col>32</xdr:col>
      <xdr:colOff>723580</xdr:colOff>
      <xdr:row>55</xdr:row>
      <xdr:rowOff>16009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6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876300</xdr:colOff>
      <xdr:row>5</xdr:row>
      <xdr:rowOff>133350</xdr:rowOff>
    </xdr:from>
    <xdr:to>
      <xdr:col>12</xdr:col>
      <xdr:colOff>876300</xdr:colOff>
      <xdr:row>6</xdr:row>
      <xdr:rowOff>171450</xdr:rowOff>
    </xdr:to>
    <xdr:sp macro="" textlink="">
      <xdr:nvSpPr>
        <xdr:cNvPr id="2" name="TextBox 6">
          <a:extLst>
            <a:ext uri="{FF2B5EF4-FFF2-40B4-BE49-F238E27FC236}">
              <a16:creationId xmlns:a16="http://schemas.microsoft.com/office/drawing/2014/main" xmlns="" id="{00000000-0008-0000-6100-000002000000}"/>
            </a:ext>
          </a:extLst>
        </xdr:cNvPr>
        <xdr:cNvSpPr txBox="1"/>
      </xdr:nvSpPr>
      <xdr:spPr>
        <a:xfrm>
          <a:off x="12639675" y="1000125"/>
          <a:ext cx="1219200" cy="190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FT-SR-XX</a:t>
          </a:r>
        </a:p>
      </xdr:txBody>
    </xdr:sp>
    <xdr:clientData/>
  </xdr:twoCellAnchor>
  <xdr:twoCellAnchor>
    <xdr:from>
      <xdr:col>2</xdr:col>
      <xdr:colOff>0</xdr:colOff>
      <xdr:row>0</xdr:row>
      <xdr:rowOff>0</xdr:rowOff>
    </xdr:from>
    <xdr:to>
      <xdr:col>12</xdr:col>
      <xdr:colOff>866775</xdr:colOff>
      <xdr:row>7</xdr:row>
      <xdr:rowOff>19050</xdr:rowOff>
    </xdr:to>
    <xdr:sp macro="" textlink="">
      <xdr:nvSpPr>
        <xdr:cNvPr id="356360" name="AutoShape 17">
          <a:extLst>
            <a:ext uri="{FF2B5EF4-FFF2-40B4-BE49-F238E27FC236}">
              <a16:creationId xmlns:a16="http://schemas.microsoft.com/office/drawing/2014/main" xmlns="" id="{00000000-0008-0000-6100-000008700500}"/>
            </a:ext>
          </a:extLst>
        </xdr:cNvPr>
        <xdr:cNvSpPr>
          <a:spLocks noChangeArrowheads="1"/>
        </xdr:cNvSpPr>
      </xdr:nvSpPr>
      <xdr:spPr bwMode="auto">
        <a:xfrm>
          <a:off x="1133475" y="0"/>
          <a:ext cx="12715875" cy="1209675"/>
        </a:xfrm>
        <a:prstGeom prst="roundRect">
          <a:avLst>
            <a:gd name="adj" fmla="val 16667"/>
          </a:avLst>
        </a:prstGeom>
        <a:noFill/>
        <a:ln w="31750" cmpd="dbl">
          <a:solidFill>
            <a:srgbClr val="009967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161925</xdr:colOff>
      <xdr:row>0</xdr:row>
      <xdr:rowOff>85725</xdr:rowOff>
    </xdr:from>
    <xdr:to>
      <xdr:col>12</xdr:col>
      <xdr:colOff>817470</xdr:colOff>
      <xdr:row>4</xdr:row>
      <xdr:rowOff>152400</xdr:rowOff>
    </xdr:to>
    <xdr:sp macro="" textlink="">
      <xdr:nvSpPr>
        <xdr:cNvPr id="4" name="Cuadro de texto 1">
          <a:extLst>
            <a:ext uri="{FF2B5EF4-FFF2-40B4-BE49-F238E27FC236}">
              <a16:creationId xmlns:a16="http://schemas.microsoft.com/office/drawing/2014/main" xmlns="" id="{00000000-0008-0000-6100-000004000000}"/>
            </a:ext>
          </a:extLst>
        </xdr:cNvPr>
        <xdr:cNvSpPr txBox="1">
          <a:spLocks noChangeArrowheads="1"/>
        </xdr:cNvSpPr>
      </xdr:nvSpPr>
      <xdr:spPr bwMode="auto">
        <a:xfrm>
          <a:off x="8248650" y="85725"/>
          <a:ext cx="5551395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r" rtl="0">
            <a:defRPr sz="1000"/>
          </a:pPr>
          <a:r>
            <a:rPr lang="es-MX" sz="1400" b="1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Dirección Corporativa de Operaciones</a:t>
          </a:r>
        </a:p>
        <a:p>
          <a:pPr algn="r" rtl="0">
            <a:defRPr sz="1000"/>
          </a:pPr>
          <a:r>
            <a:rPr lang="es-MX" sz="1400" b="0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               Subdirección de Negocios No Regulados</a:t>
          </a:r>
        </a:p>
        <a:p>
          <a:pPr algn="r" rtl="0">
            <a:defRPr sz="1000"/>
          </a:pPr>
          <a:r>
            <a:rPr lang="es-MX" sz="1400" b="0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Subgerencia Regional de Energéticos Norte</a:t>
          </a:r>
          <a:endParaRPr lang="es-MX" sz="1400" b="0" i="1" u="none" strike="noStrike" baseline="0">
            <a:solidFill>
              <a:srgbClr val="009969"/>
            </a:solidFill>
            <a:latin typeface="Arial" pitchFamily="34" charset="0"/>
            <a:cs typeface="Arial" pitchFamily="34" charset="0"/>
          </a:endParaRPr>
        </a:p>
        <a:p>
          <a:pPr algn="l" rtl="0">
            <a:defRPr sz="1000"/>
          </a:pPr>
          <a:endParaRPr lang="es-MX" sz="1400" b="1" i="1" u="none" strike="noStrike" baseline="0">
            <a:solidFill>
              <a:srgbClr val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790575</xdr:colOff>
      <xdr:row>4</xdr:row>
      <xdr:rowOff>123825</xdr:rowOff>
    </xdr:to>
    <xdr:pic>
      <xdr:nvPicPr>
        <xdr:cNvPr id="356362" name="Picture 9" descr="C:\Users\francis.munguia\Desktop\LogotipoCFE_verde.jpg">
          <a:extLst>
            <a:ext uri="{FF2B5EF4-FFF2-40B4-BE49-F238E27FC236}">
              <a16:creationId xmlns:a16="http://schemas.microsoft.com/office/drawing/2014/main" xmlns="" id="{00000000-0008-0000-6100-00000A700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E"/>
            </a:clrFrom>
            <a:clrTo>
              <a:srgbClr val="FFFF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720" b="23125"/>
        <a:stretch>
          <a:fillRect/>
        </a:stretch>
      </xdr:blipFill>
      <xdr:spPr bwMode="auto">
        <a:xfrm>
          <a:off x="1133475" y="161925"/>
          <a:ext cx="20193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781050</xdr:colOff>
      <xdr:row>10</xdr:row>
      <xdr:rowOff>161925</xdr:rowOff>
    </xdr:from>
    <xdr:to>
      <xdr:col>12</xdr:col>
      <xdr:colOff>874057</xdr:colOff>
      <xdr:row>12</xdr:row>
      <xdr:rowOff>133350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xmlns="" id="{00000000-0008-0000-6100-000006000000}"/>
            </a:ext>
          </a:extLst>
        </xdr:cNvPr>
        <xdr:cNvSpPr txBox="1"/>
      </xdr:nvSpPr>
      <xdr:spPr>
        <a:xfrm>
          <a:off x="12544425" y="2095500"/>
          <a:ext cx="1312207" cy="466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Noviembre</a:t>
          </a:r>
          <a:r>
            <a:rPr lang="es-MX" sz="1100" b="1" baseline="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 2018</a:t>
          </a:r>
          <a:endParaRPr lang="es-MX" sz="1100" b="1">
            <a:solidFill>
              <a:srgbClr val="FF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180975</xdr:colOff>
      <xdr:row>4</xdr:row>
      <xdr:rowOff>114301</xdr:rowOff>
    </xdr:from>
    <xdr:to>
      <xdr:col>11</xdr:col>
      <xdr:colOff>923925</xdr:colOff>
      <xdr:row>7</xdr:row>
      <xdr:rowOff>9526</xdr:rowOff>
    </xdr:to>
    <xdr:sp macro="" textlink="">
      <xdr:nvSpPr>
        <xdr:cNvPr id="7" name="Cuadro de texto 1">
          <a:extLst>
            <a:ext uri="{FF2B5EF4-FFF2-40B4-BE49-F238E27FC236}">
              <a16:creationId xmlns:a16="http://schemas.microsoft.com/office/drawing/2014/main" xmlns="" id="{00000000-0008-0000-6100-000007000000}"/>
            </a:ext>
          </a:extLst>
        </xdr:cNvPr>
        <xdr:cNvSpPr txBox="1">
          <a:spLocks noChangeArrowheads="1"/>
        </xdr:cNvSpPr>
      </xdr:nvSpPr>
      <xdr:spPr bwMode="auto">
        <a:xfrm>
          <a:off x="1314450" y="819151"/>
          <a:ext cx="11372850" cy="381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MX" sz="1400" b="1" i="0" u="none" strike="noStrike" baseline="0">
              <a:solidFill>
                <a:srgbClr val="000000"/>
              </a:solidFill>
              <a:latin typeface="Arial" pitchFamily="34" charset="0"/>
              <a:cs typeface="Arial" pitchFamily="34" charset="0"/>
            </a:rPr>
            <a:t>REVISION DE FACTURACION DE COMBUSTIBLES</a:t>
          </a:r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3</xdr:col>
      <xdr:colOff>384922</xdr:colOff>
      <xdr:row>10</xdr:row>
      <xdr:rowOff>212912</xdr:rowOff>
    </xdr:to>
    <xdr:sp macro="" textlink="">
      <xdr:nvSpPr>
        <xdr:cNvPr id="8" name="TextBox 8">
          <a:extLst>
            <a:ext uri="{FF2B5EF4-FFF2-40B4-BE49-F238E27FC236}">
              <a16:creationId xmlns:a16="http://schemas.microsoft.com/office/drawing/2014/main" xmlns="" id="{00000000-0008-0000-6100-000008000000}"/>
            </a:ext>
          </a:extLst>
        </xdr:cNvPr>
        <xdr:cNvSpPr txBox="1"/>
      </xdr:nvSpPr>
      <xdr:spPr>
        <a:xfrm>
          <a:off x="1133475" y="1933575"/>
          <a:ext cx="1613647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Tipo de Combustible:</a:t>
          </a:r>
        </a:p>
      </xdr:txBody>
    </xdr:sp>
    <xdr:clientData/>
  </xdr:twoCellAnchor>
  <xdr:twoCellAnchor>
    <xdr:from>
      <xdr:col>3</xdr:col>
      <xdr:colOff>381000</xdr:colOff>
      <xdr:row>10</xdr:row>
      <xdr:rowOff>0</xdr:rowOff>
    </xdr:from>
    <xdr:to>
      <xdr:col>5</xdr:col>
      <xdr:colOff>1209675</xdr:colOff>
      <xdr:row>10</xdr:row>
      <xdr:rowOff>228600</xdr:rowOff>
    </xdr:to>
    <xdr:sp macro="" textlink="">
      <xdr:nvSpPr>
        <xdr:cNvPr id="9" name="TextBox 9">
          <a:extLst>
            <a:ext uri="{FF2B5EF4-FFF2-40B4-BE49-F238E27FC236}">
              <a16:creationId xmlns:a16="http://schemas.microsoft.com/office/drawing/2014/main" xmlns="" id="{00000000-0008-0000-6100-000009000000}"/>
            </a:ext>
          </a:extLst>
        </xdr:cNvPr>
        <xdr:cNvSpPr txBox="1"/>
      </xdr:nvSpPr>
      <xdr:spPr>
        <a:xfrm>
          <a:off x="2743200" y="1933575"/>
          <a:ext cx="3190875" cy="228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>
              <a:solidFill>
                <a:srgbClr val="FF0000"/>
              </a:solidFill>
              <a:effectLst/>
              <a:latin typeface="Arial" panose="020B0604020202020204" pitchFamily="34" charset="0"/>
              <a:cs typeface="Arial" panose="020B0604020202020204" pitchFamily="34" charset="0"/>
            </a:rPr>
            <a:t>GAS NATURAL</a:t>
          </a:r>
        </a:p>
      </xdr:txBody>
    </xdr:sp>
    <xdr:clientData/>
  </xdr:twoCellAnchor>
  <xdr:twoCellAnchor>
    <xdr:from>
      <xdr:col>3</xdr:col>
      <xdr:colOff>380999</xdr:colOff>
      <xdr:row>10</xdr:row>
      <xdr:rowOff>219075</xdr:rowOff>
    </xdr:from>
    <xdr:to>
      <xdr:col>6</xdr:col>
      <xdr:colOff>504825</xdr:colOff>
      <xdr:row>11</xdr:row>
      <xdr:rowOff>200025</xdr:rowOff>
    </xdr:to>
    <xdr:sp macro="" textlink="">
      <xdr:nvSpPr>
        <xdr:cNvPr id="10" name="TextBox 10">
          <a:extLst>
            <a:ext uri="{FF2B5EF4-FFF2-40B4-BE49-F238E27FC236}">
              <a16:creationId xmlns:a16="http://schemas.microsoft.com/office/drawing/2014/main" xmlns="" id="{00000000-0008-0000-6100-00000A000000}"/>
            </a:ext>
          </a:extLst>
        </xdr:cNvPr>
        <xdr:cNvSpPr txBox="1"/>
      </xdr:nvSpPr>
      <xdr:spPr>
        <a:xfrm>
          <a:off x="2743199" y="2152650"/>
          <a:ext cx="3810001" cy="228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MX" sz="1000" b="1" u="sng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TRANSPORTE POR GASODUCTO</a:t>
          </a:r>
        </a:p>
      </xdr:txBody>
    </xdr:sp>
    <xdr:clientData/>
  </xdr:twoCellAnchor>
  <xdr:twoCellAnchor>
    <xdr:from>
      <xdr:col>2</xdr:col>
      <xdr:colOff>0</xdr:colOff>
      <xdr:row>10</xdr:row>
      <xdr:rowOff>228600</xdr:rowOff>
    </xdr:from>
    <xdr:to>
      <xdr:col>3</xdr:col>
      <xdr:colOff>384922</xdr:colOff>
      <xdr:row>11</xdr:row>
      <xdr:rowOff>193862</xdr:rowOff>
    </xdr:to>
    <xdr:sp macro="" textlink="">
      <xdr:nvSpPr>
        <xdr:cNvPr id="11" name="TextBox 13">
          <a:extLst>
            <a:ext uri="{FF2B5EF4-FFF2-40B4-BE49-F238E27FC236}">
              <a16:creationId xmlns:a16="http://schemas.microsoft.com/office/drawing/2014/main" xmlns="" id="{00000000-0008-0000-6100-00000B000000}"/>
            </a:ext>
          </a:extLst>
        </xdr:cNvPr>
        <xdr:cNvSpPr txBox="1"/>
      </xdr:nvSpPr>
      <xdr:spPr>
        <a:xfrm>
          <a:off x="1133475" y="2162175"/>
          <a:ext cx="1613647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Tipo de Servicio:</a:t>
          </a: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3</xdr:col>
      <xdr:colOff>384922</xdr:colOff>
      <xdr:row>8</xdr:row>
      <xdr:rowOff>212912</xdr:rowOff>
    </xdr:to>
    <xdr:sp macro="" textlink="">
      <xdr:nvSpPr>
        <xdr:cNvPr id="12" name="TextBox 21">
          <a:extLst>
            <a:ext uri="{FF2B5EF4-FFF2-40B4-BE49-F238E27FC236}">
              <a16:creationId xmlns:a16="http://schemas.microsoft.com/office/drawing/2014/main" xmlns="" id="{00000000-0008-0000-6100-00000C000000}"/>
            </a:ext>
          </a:extLst>
        </xdr:cNvPr>
        <xdr:cNvSpPr txBox="1"/>
      </xdr:nvSpPr>
      <xdr:spPr>
        <a:xfrm>
          <a:off x="1133475" y="1438275"/>
          <a:ext cx="1613647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Proveedor:</a:t>
          </a:r>
        </a:p>
        <a:p>
          <a:pPr algn="l"/>
          <a:endParaRPr lang="es-MX" sz="10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380999</xdr:colOff>
      <xdr:row>7</xdr:row>
      <xdr:rowOff>238126</xdr:rowOff>
    </xdr:from>
    <xdr:to>
      <xdr:col>7</xdr:col>
      <xdr:colOff>161924</xdr:colOff>
      <xdr:row>8</xdr:row>
      <xdr:rowOff>228600</xdr:rowOff>
    </xdr:to>
    <xdr:sp macro="" textlink="">
      <xdr:nvSpPr>
        <xdr:cNvPr id="13" name="TextBox 22">
          <a:extLst>
            <a:ext uri="{FF2B5EF4-FFF2-40B4-BE49-F238E27FC236}">
              <a16:creationId xmlns:a16="http://schemas.microsoft.com/office/drawing/2014/main" xmlns="" id="{00000000-0008-0000-6100-00000D000000}"/>
            </a:ext>
          </a:extLst>
        </xdr:cNvPr>
        <xdr:cNvSpPr txBox="1"/>
      </xdr:nvSpPr>
      <xdr:spPr>
        <a:xfrm>
          <a:off x="2743199" y="1428751"/>
          <a:ext cx="4486275" cy="23812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(4326979</a:t>
          </a:r>
          <a:r>
            <a:rPr lang="es-MX" sz="1000" b="1" i="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) </a:t>
          </a:r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TARAHUMARA PIPELINE S DE RL DE CV </a:t>
          </a:r>
          <a:endParaRPr lang="es-MX" sz="1000" u="sng">
            <a:solidFill>
              <a:srgbClr val="FF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0</xdr:colOff>
      <xdr:row>9</xdr:row>
      <xdr:rowOff>0</xdr:rowOff>
    </xdr:from>
    <xdr:to>
      <xdr:col>3</xdr:col>
      <xdr:colOff>384922</xdr:colOff>
      <xdr:row>9</xdr:row>
      <xdr:rowOff>212912</xdr:rowOff>
    </xdr:to>
    <xdr:sp macro="" textlink="">
      <xdr:nvSpPr>
        <xdr:cNvPr id="14" name="TextBox 23">
          <a:extLst>
            <a:ext uri="{FF2B5EF4-FFF2-40B4-BE49-F238E27FC236}">
              <a16:creationId xmlns:a16="http://schemas.microsoft.com/office/drawing/2014/main" xmlns="" id="{00000000-0008-0000-6100-00000E000000}"/>
            </a:ext>
          </a:extLst>
        </xdr:cNvPr>
        <xdr:cNvSpPr txBox="1"/>
      </xdr:nvSpPr>
      <xdr:spPr>
        <a:xfrm>
          <a:off x="1133475" y="1685925"/>
          <a:ext cx="1613647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Contrato:</a:t>
          </a:r>
        </a:p>
      </xdr:txBody>
    </xdr:sp>
    <xdr:clientData/>
  </xdr:twoCellAnchor>
  <xdr:twoCellAnchor>
    <xdr:from>
      <xdr:col>3</xdr:col>
      <xdr:colOff>381000</xdr:colOff>
      <xdr:row>9</xdr:row>
      <xdr:rowOff>19051</xdr:rowOff>
    </xdr:from>
    <xdr:to>
      <xdr:col>5</xdr:col>
      <xdr:colOff>1114425</xdr:colOff>
      <xdr:row>9</xdr:row>
      <xdr:rowOff>228601</xdr:rowOff>
    </xdr:to>
    <xdr:sp macro="" textlink="">
      <xdr:nvSpPr>
        <xdr:cNvPr id="15" name="TextBox 24">
          <a:extLst>
            <a:ext uri="{FF2B5EF4-FFF2-40B4-BE49-F238E27FC236}">
              <a16:creationId xmlns:a16="http://schemas.microsoft.com/office/drawing/2014/main" xmlns="" id="{00000000-0008-0000-6100-00000F000000}"/>
            </a:ext>
          </a:extLst>
        </xdr:cNvPr>
        <xdr:cNvSpPr txBox="1"/>
      </xdr:nvSpPr>
      <xdr:spPr>
        <a:xfrm>
          <a:off x="2743200" y="1704976"/>
          <a:ext cx="3095625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N° SE-CPSTGN-002/2011</a:t>
          </a:r>
          <a:endParaRPr lang="es-MX" sz="1000" u="sng">
            <a:solidFill>
              <a:srgbClr val="FF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247650</xdr:colOff>
      <xdr:row>61</xdr:row>
      <xdr:rowOff>133349</xdr:rowOff>
    </xdr:from>
    <xdr:to>
      <xdr:col>4</xdr:col>
      <xdr:colOff>454959</xdr:colOff>
      <xdr:row>66</xdr:row>
      <xdr:rowOff>78440</xdr:rowOff>
    </xdr:to>
    <xdr:sp macro="" textlink="">
      <xdr:nvSpPr>
        <xdr:cNvPr id="16" name="TextBox 19">
          <a:extLst>
            <a:ext uri="{FF2B5EF4-FFF2-40B4-BE49-F238E27FC236}">
              <a16:creationId xmlns:a16="http://schemas.microsoft.com/office/drawing/2014/main" xmlns="" id="{00000000-0008-0000-6100-000010000000}"/>
            </a:ext>
          </a:extLst>
        </xdr:cNvPr>
        <xdr:cNvSpPr txBox="1"/>
      </xdr:nvSpPr>
      <xdr:spPr>
        <a:xfrm>
          <a:off x="1085850" y="17002124"/>
          <a:ext cx="2693334" cy="75471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___________________________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Elaboro                                                  ing, Rogelio Gaytan BerrIel</a:t>
          </a:r>
        </a:p>
      </xdr:txBody>
    </xdr:sp>
    <xdr:clientData/>
  </xdr:twoCellAnchor>
  <xdr:twoCellAnchor>
    <xdr:from>
      <xdr:col>11</xdr:col>
      <xdr:colOff>414804</xdr:colOff>
      <xdr:row>61</xdr:row>
      <xdr:rowOff>95250</xdr:rowOff>
    </xdr:from>
    <xdr:to>
      <xdr:col>13</xdr:col>
      <xdr:colOff>834651</xdr:colOff>
      <xdr:row>66</xdr:row>
      <xdr:rowOff>59765</xdr:rowOff>
    </xdr:to>
    <xdr:sp macro="" textlink="">
      <xdr:nvSpPr>
        <xdr:cNvPr id="17" name="TextBox 20">
          <a:extLst>
            <a:ext uri="{FF2B5EF4-FFF2-40B4-BE49-F238E27FC236}">
              <a16:creationId xmlns:a16="http://schemas.microsoft.com/office/drawing/2014/main" xmlns="" id="{00000000-0008-0000-6100-000011000000}"/>
            </a:ext>
          </a:extLst>
        </xdr:cNvPr>
        <xdr:cNvSpPr txBox="1"/>
      </xdr:nvSpPr>
      <xdr:spPr>
        <a:xfrm>
          <a:off x="12178179" y="16964025"/>
          <a:ext cx="2791572" cy="7741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___________________________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Autorizo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Ing.</a:t>
          </a:r>
          <a:r>
            <a:rPr lang="es-MX" sz="1100" b="1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 Fernando Lopez Casillas</a:t>
          </a:r>
          <a:endParaRPr lang="es-MX" sz="11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367392</xdr:colOff>
      <xdr:row>44</xdr:row>
      <xdr:rowOff>176893</xdr:rowOff>
    </xdr:from>
    <xdr:to>
      <xdr:col>33</xdr:col>
      <xdr:colOff>88447</xdr:colOff>
      <xdr:row>55</xdr:row>
      <xdr:rowOff>81641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xmlns="" id="{00000000-0008-0000-61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876300</xdr:colOff>
      <xdr:row>5</xdr:row>
      <xdr:rowOff>133350</xdr:rowOff>
    </xdr:from>
    <xdr:to>
      <xdr:col>12</xdr:col>
      <xdr:colOff>876300</xdr:colOff>
      <xdr:row>6</xdr:row>
      <xdr:rowOff>171450</xdr:rowOff>
    </xdr:to>
    <xdr:sp macro="" textlink="">
      <xdr:nvSpPr>
        <xdr:cNvPr id="2" name="TextBox 6">
          <a:extLst>
            <a:ext uri="{FF2B5EF4-FFF2-40B4-BE49-F238E27FC236}">
              <a16:creationId xmlns:a16="http://schemas.microsoft.com/office/drawing/2014/main" xmlns="" id="{00000000-0008-0000-6200-000002000000}"/>
            </a:ext>
          </a:extLst>
        </xdr:cNvPr>
        <xdr:cNvSpPr txBox="1"/>
      </xdr:nvSpPr>
      <xdr:spPr>
        <a:xfrm>
          <a:off x="12636500" y="1009650"/>
          <a:ext cx="1219200" cy="190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FT-SR-XX</a:t>
          </a:r>
        </a:p>
      </xdr:txBody>
    </xdr:sp>
    <xdr:clientData/>
  </xdr:twoCellAnchor>
  <xdr:twoCellAnchor>
    <xdr:from>
      <xdr:col>2</xdr:col>
      <xdr:colOff>0</xdr:colOff>
      <xdr:row>0</xdr:row>
      <xdr:rowOff>0</xdr:rowOff>
    </xdr:from>
    <xdr:to>
      <xdr:col>12</xdr:col>
      <xdr:colOff>866775</xdr:colOff>
      <xdr:row>7</xdr:row>
      <xdr:rowOff>19050</xdr:rowOff>
    </xdr:to>
    <xdr:sp macro="" textlink="">
      <xdr:nvSpPr>
        <xdr:cNvPr id="3" name="AutoShape 17">
          <a:extLst>
            <a:ext uri="{FF2B5EF4-FFF2-40B4-BE49-F238E27FC236}">
              <a16:creationId xmlns:a16="http://schemas.microsoft.com/office/drawing/2014/main" xmlns="" id="{00000000-0008-0000-6200-000003000000}"/>
            </a:ext>
          </a:extLst>
        </xdr:cNvPr>
        <xdr:cNvSpPr>
          <a:spLocks noChangeArrowheads="1"/>
        </xdr:cNvSpPr>
      </xdr:nvSpPr>
      <xdr:spPr bwMode="auto">
        <a:xfrm>
          <a:off x="1130300" y="0"/>
          <a:ext cx="12715875" cy="1225550"/>
        </a:xfrm>
        <a:prstGeom prst="roundRect">
          <a:avLst>
            <a:gd name="adj" fmla="val 16667"/>
          </a:avLst>
        </a:prstGeom>
        <a:noFill/>
        <a:ln w="31750" cmpd="dbl">
          <a:solidFill>
            <a:srgbClr val="009967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161925</xdr:colOff>
      <xdr:row>0</xdr:row>
      <xdr:rowOff>85725</xdr:rowOff>
    </xdr:from>
    <xdr:to>
      <xdr:col>12</xdr:col>
      <xdr:colOff>817470</xdr:colOff>
      <xdr:row>4</xdr:row>
      <xdr:rowOff>152400</xdr:rowOff>
    </xdr:to>
    <xdr:sp macro="" textlink="">
      <xdr:nvSpPr>
        <xdr:cNvPr id="4" name="Cuadro de texto 1">
          <a:extLst>
            <a:ext uri="{FF2B5EF4-FFF2-40B4-BE49-F238E27FC236}">
              <a16:creationId xmlns:a16="http://schemas.microsoft.com/office/drawing/2014/main" xmlns="" id="{00000000-0008-0000-6200-000004000000}"/>
            </a:ext>
          </a:extLst>
        </xdr:cNvPr>
        <xdr:cNvSpPr txBox="1">
          <a:spLocks noChangeArrowheads="1"/>
        </xdr:cNvSpPr>
      </xdr:nvSpPr>
      <xdr:spPr bwMode="auto">
        <a:xfrm>
          <a:off x="8239125" y="85725"/>
          <a:ext cx="5557745" cy="777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r" rtl="0">
            <a:defRPr sz="1000"/>
          </a:pPr>
          <a:r>
            <a:rPr lang="es-MX" sz="1400" b="1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Dirección Corporativa de Operaciones</a:t>
          </a:r>
        </a:p>
        <a:p>
          <a:pPr algn="r" rtl="0">
            <a:defRPr sz="1000"/>
          </a:pPr>
          <a:r>
            <a:rPr lang="es-MX" sz="1400" b="0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               Subdirección de Negocios No Regulados</a:t>
          </a:r>
        </a:p>
        <a:p>
          <a:pPr algn="r" rtl="0">
            <a:defRPr sz="1000"/>
          </a:pPr>
          <a:r>
            <a:rPr lang="es-MX" sz="1400" b="0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Subgerencia Regional de Energéticos Norte</a:t>
          </a:r>
          <a:endParaRPr lang="es-MX" sz="1400" b="0" i="1" u="none" strike="noStrike" baseline="0">
            <a:solidFill>
              <a:srgbClr val="009969"/>
            </a:solidFill>
            <a:latin typeface="Arial" pitchFamily="34" charset="0"/>
            <a:cs typeface="Arial" pitchFamily="34" charset="0"/>
          </a:endParaRPr>
        </a:p>
        <a:p>
          <a:pPr algn="l" rtl="0">
            <a:defRPr sz="1000"/>
          </a:pPr>
          <a:endParaRPr lang="es-MX" sz="1400" b="1" i="1" u="none" strike="noStrike" baseline="0">
            <a:solidFill>
              <a:srgbClr val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790575</xdr:colOff>
      <xdr:row>4</xdr:row>
      <xdr:rowOff>123825</xdr:rowOff>
    </xdr:to>
    <xdr:pic>
      <xdr:nvPicPr>
        <xdr:cNvPr id="5" name="Picture 9" descr="C:\Users\francis.munguia\Desktop\LogotipoCFE_verde.jpg">
          <a:extLst>
            <a:ext uri="{FF2B5EF4-FFF2-40B4-BE49-F238E27FC236}">
              <a16:creationId xmlns:a16="http://schemas.microsoft.com/office/drawing/2014/main" xmlns="" id="{00000000-0008-0000-6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E"/>
            </a:clrFrom>
            <a:clrTo>
              <a:srgbClr val="FFFF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720" b="23125"/>
        <a:stretch>
          <a:fillRect/>
        </a:stretch>
      </xdr:blipFill>
      <xdr:spPr bwMode="auto">
        <a:xfrm>
          <a:off x="1130300" y="165100"/>
          <a:ext cx="2022475" cy="669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781050</xdr:colOff>
      <xdr:row>10</xdr:row>
      <xdr:rowOff>161925</xdr:rowOff>
    </xdr:from>
    <xdr:to>
      <xdr:col>12</xdr:col>
      <xdr:colOff>874057</xdr:colOff>
      <xdr:row>12</xdr:row>
      <xdr:rowOff>133350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xmlns="" id="{00000000-0008-0000-6200-000006000000}"/>
            </a:ext>
          </a:extLst>
        </xdr:cNvPr>
        <xdr:cNvSpPr txBox="1"/>
      </xdr:nvSpPr>
      <xdr:spPr>
        <a:xfrm>
          <a:off x="12541250" y="2092325"/>
          <a:ext cx="1312207" cy="4540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Diciembre</a:t>
          </a:r>
          <a:r>
            <a:rPr lang="es-MX" sz="1100" b="1" baseline="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 2018</a:t>
          </a:r>
          <a:endParaRPr lang="es-MX" sz="1100" b="1">
            <a:solidFill>
              <a:srgbClr val="FF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180975</xdr:colOff>
      <xdr:row>4</xdr:row>
      <xdr:rowOff>114301</xdr:rowOff>
    </xdr:from>
    <xdr:to>
      <xdr:col>11</xdr:col>
      <xdr:colOff>923925</xdr:colOff>
      <xdr:row>7</xdr:row>
      <xdr:rowOff>9526</xdr:rowOff>
    </xdr:to>
    <xdr:sp macro="" textlink="">
      <xdr:nvSpPr>
        <xdr:cNvPr id="7" name="Cuadro de texto 1">
          <a:extLst>
            <a:ext uri="{FF2B5EF4-FFF2-40B4-BE49-F238E27FC236}">
              <a16:creationId xmlns:a16="http://schemas.microsoft.com/office/drawing/2014/main" xmlns="" id="{00000000-0008-0000-6200-000007000000}"/>
            </a:ext>
          </a:extLst>
        </xdr:cNvPr>
        <xdr:cNvSpPr txBox="1">
          <a:spLocks noChangeArrowheads="1"/>
        </xdr:cNvSpPr>
      </xdr:nvSpPr>
      <xdr:spPr bwMode="auto">
        <a:xfrm>
          <a:off x="1311275" y="825501"/>
          <a:ext cx="11372850" cy="390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MX" sz="1400" b="1" i="0" u="none" strike="noStrike" baseline="0">
              <a:solidFill>
                <a:srgbClr val="000000"/>
              </a:solidFill>
              <a:latin typeface="Arial" pitchFamily="34" charset="0"/>
              <a:cs typeface="Arial" pitchFamily="34" charset="0"/>
            </a:rPr>
            <a:t>REVISION DE FACTURACION DE COMBUSTIBLES</a:t>
          </a:r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3</xdr:col>
      <xdr:colOff>384922</xdr:colOff>
      <xdr:row>10</xdr:row>
      <xdr:rowOff>212912</xdr:rowOff>
    </xdr:to>
    <xdr:sp macro="" textlink="">
      <xdr:nvSpPr>
        <xdr:cNvPr id="8" name="TextBox 8">
          <a:extLst>
            <a:ext uri="{FF2B5EF4-FFF2-40B4-BE49-F238E27FC236}">
              <a16:creationId xmlns:a16="http://schemas.microsoft.com/office/drawing/2014/main" xmlns="" id="{00000000-0008-0000-6200-000008000000}"/>
            </a:ext>
          </a:extLst>
        </xdr:cNvPr>
        <xdr:cNvSpPr txBox="1"/>
      </xdr:nvSpPr>
      <xdr:spPr>
        <a:xfrm>
          <a:off x="1130300" y="1930400"/>
          <a:ext cx="1616822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Tipo de Combustible:</a:t>
          </a:r>
        </a:p>
      </xdr:txBody>
    </xdr:sp>
    <xdr:clientData/>
  </xdr:twoCellAnchor>
  <xdr:twoCellAnchor>
    <xdr:from>
      <xdr:col>3</xdr:col>
      <xdr:colOff>381000</xdr:colOff>
      <xdr:row>10</xdr:row>
      <xdr:rowOff>0</xdr:rowOff>
    </xdr:from>
    <xdr:to>
      <xdr:col>5</xdr:col>
      <xdr:colOff>1209675</xdr:colOff>
      <xdr:row>10</xdr:row>
      <xdr:rowOff>228600</xdr:rowOff>
    </xdr:to>
    <xdr:sp macro="" textlink="">
      <xdr:nvSpPr>
        <xdr:cNvPr id="9" name="TextBox 9">
          <a:extLst>
            <a:ext uri="{FF2B5EF4-FFF2-40B4-BE49-F238E27FC236}">
              <a16:creationId xmlns:a16="http://schemas.microsoft.com/office/drawing/2014/main" xmlns="" id="{00000000-0008-0000-6200-000009000000}"/>
            </a:ext>
          </a:extLst>
        </xdr:cNvPr>
        <xdr:cNvSpPr txBox="1"/>
      </xdr:nvSpPr>
      <xdr:spPr>
        <a:xfrm>
          <a:off x="2743200" y="1930400"/>
          <a:ext cx="3190875" cy="228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>
              <a:solidFill>
                <a:srgbClr val="FF0000"/>
              </a:solidFill>
              <a:effectLst/>
              <a:latin typeface="Arial" panose="020B0604020202020204" pitchFamily="34" charset="0"/>
              <a:cs typeface="Arial" panose="020B0604020202020204" pitchFamily="34" charset="0"/>
            </a:rPr>
            <a:t>GAS NATURAL</a:t>
          </a:r>
        </a:p>
      </xdr:txBody>
    </xdr:sp>
    <xdr:clientData/>
  </xdr:twoCellAnchor>
  <xdr:twoCellAnchor>
    <xdr:from>
      <xdr:col>3</xdr:col>
      <xdr:colOff>380999</xdr:colOff>
      <xdr:row>10</xdr:row>
      <xdr:rowOff>219075</xdr:rowOff>
    </xdr:from>
    <xdr:to>
      <xdr:col>6</xdr:col>
      <xdr:colOff>504825</xdr:colOff>
      <xdr:row>11</xdr:row>
      <xdr:rowOff>200025</xdr:rowOff>
    </xdr:to>
    <xdr:sp macro="" textlink="">
      <xdr:nvSpPr>
        <xdr:cNvPr id="10" name="TextBox 10">
          <a:extLst>
            <a:ext uri="{FF2B5EF4-FFF2-40B4-BE49-F238E27FC236}">
              <a16:creationId xmlns:a16="http://schemas.microsoft.com/office/drawing/2014/main" xmlns="" id="{00000000-0008-0000-6200-00000A000000}"/>
            </a:ext>
          </a:extLst>
        </xdr:cNvPr>
        <xdr:cNvSpPr txBox="1"/>
      </xdr:nvSpPr>
      <xdr:spPr>
        <a:xfrm>
          <a:off x="2743199" y="2149475"/>
          <a:ext cx="3806826" cy="2222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MX" sz="1000" b="1" u="sng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TRANSPORTE POR GASODUCTO</a:t>
          </a:r>
        </a:p>
      </xdr:txBody>
    </xdr:sp>
    <xdr:clientData/>
  </xdr:twoCellAnchor>
  <xdr:twoCellAnchor>
    <xdr:from>
      <xdr:col>2</xdr:col>
      <xdr:colOff>0</xdr:colOff>
      <xdr:row>10</xdr:row>
      <xdr:rowOff>228600</xdr:rowOff>
    </xdr:from>
    <xdr:to>
      <xdr:col>3</xdr:col>
      <xdr:colOff>384922</xdr:colOff>
      <xdr:row>11</xdr:row>
      <xdr:rowOff>193862</xdr:rowOff>
    </xdr:to>
    <xdr:sp macro="" textlink="">
      <xdr:nvSpPr>
        <xdr:cNvPr id="11" name="TextBox 13">
          <a:extLst>
            <a:ext uri="{FF2B5EF4-FFF2-40B4-BE49-F238E27FC236}">
              <a16:creationId xmlns:a16="http://schemas.microsoft.com/office/drawing/2014/main" xmlns="" id="{00000000-0008-0000-6200-00000B000000}"/>
            </a:ext>
          </a:extLst>
        </xdr:cNvPr>
        <xdr:cNvSpPr txBox="1"/>
      </xdr:nvSpPr>
      <xdr:spPr>
        <a:xfrm>
          <a:off x="1130300" y="2159000"/>
          <a:ext cx="1616822" cy="20656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Tipo de Servicio:</a:t>
          </a: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3</xdr:col>
      <xdr:colOff>384922</xdr:colOff>
      <xdr:row>8</xdr:row>
      <xdr:rowOff>212912</xdr:rowOff>
    </xdr:to>
    <xdr:sp macro="" textlink="">
      <xdr:nvSpPr>
        <xdr:cNvPr id="12" name="TextBox 21">
          <a:extLst>
            <a:ext uri="{FF2B5EF4-FFF2-40B4-BE49-F238E27FC236}">
              <a16:creationId xmlns:a16="http://schemas.microsoft.com/office/drawing/2014/main" xmlns="" id="{00000000-0008-0000-6200-00000C000000}"/>
            </a:ext>
          </a:extLst>
        </xdr:cNvPr>
        <xdr:cNvSpPr txBox="1"/>
      </xdr:nvSpPr>
      <xdr:spPr>
        <a:xfrm>
          <a:off x="1130300" y="1447800"/>
          <a:ext cx="1616822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Proveedor:</a:t>
          </a:r>
        </a:p>
        <a:p>
          <a:pPr algn="l"/>
          <a:endParaRPr lang="es-MX" sz="10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380999</xdr:colOff>
      <xdr:row>7</xdr:row>
      <xdr:rowOff>238126</xdr:rowOff>
    </xdr:from>
    <xdr:to>
      <xdr:col>7</xdr:col>
      <xdr:colOff>161924</xdr:colOff>
      <xdr:row>8</xdr:row>
      <xdr:rowOff>228600</xdr:rowOff>
    </xdr:to>
    <xdr:sp macro="" textlink="">
      <xdr:nvSpPr>
        <xdr:cNvPr id="13" name="TextBox 22">
          <a:extLst>
            <a:ext uri="{FF2B5EF4-FFF2-40B4-BE49-F238E27FC236}">
              <a16:creationId xmlns:a16="http://schemas.microsoft.com/office/drawing/2014/main" xmlns="" id="{00000000-0008-0000-6200-00000D000000}"/>
            </a:ext>
          </a:extLst>
        </xdr:cNvPr>
        <xdr:cNvSpPr txBox="1"/>
      </xdr:nvSpPr>
      <xdr:spPr>
        <a:xfrm>
          <a:off x="2743199" y="1444626"/>
          <a:ext cx="4479925" cy="23177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(4326979</a:t>
          </a:r>
          <a:r>
            <a:rPr lang="es-MX" sz="1000" b="1" i="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) </a:t>
          </a:r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TARAHUMARA PIPELINE S DE RL DE CV </a:t>
          </a:r>
          <a:endParaRPr lang="es-MX" sz="1000" u="sng">
            <a:solidFill>
              <a:srgbClr val="FF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0</xdr:colOff>
      <xdr:row>9</xdr:row>
      <xdr:rowOff>0</xdr:rowOff>
    </xdr:from>
    <xdr:to>
      <xdr:col>3</xdr:col>
      <xdr:colOff>384922</xdr:colOff>
      <xdr:row>9</xdr:row>
      <xdr:rowOff>212912</xdr:rowOff>
    </xdr:to>
    <xdr:sp macro="" textlink="">
      <xdr:nvSpPr>
        <xdr:cNvPr id="14" name="TextBox 23">
          <a:extLst>
            <a:ext uri="{FF2B5EF4-FFF2-40B4-BE49-F238E27FC236}">
              <a16:creationId xmlns:a16="http://schemas.microsoft.com/office/drawing/2014/main" xmlns="" id="{00000000-0008-0000-6200-00000E000000}"/>
            </a:ext>
          </a:extLst>
        </xdr:cNvPr>
        <xdr:cNvSpPr txBox="1"/>
      </xdr:nvSpPr>
      <xdr:spPr>
        <a:xfrm>
          <a:off x="1130300" y="1689100"/>
          <a:ext cx="1616822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Contrato:</a:t>
          </a:r>
        </a:p>
      </xdr:txBody>
    </xdr:sp>
    <xdr:clientData/>
  </xdr:twoCellAnchor>
  <xdr:twoCellAnchor>
    <xdr:from>
      <xdr:col>3</xdr:col>
      <xdr:colOff>381000</xdr:colOff>
      <xdr:row>9</xdr:row>
      <xdr:rowOff>19051</xdr:rowOff>
    </xdr:from>
    <xdr:to>
      <xdr:col>5</xdr:col>
      <xdr:colOff>1114425</xdr:colOff>
      <xdr:row>9</xdr:row>
      <xdr:rowOff>228601</xdr:rowOff>
    </xdr:to>
    <xdr:sp macro="" textlink="">
      <xdr:nvSpPr>
        <xdr:cNvPr id="15" name="TextBox 24">
          <a:extLst>
            <a:ext uri="{FF2B5EF4-FFF2-40B4-BE49-F238E27FC236}">
              <a16:creationId xmlns:a16="http://schemas.microsoft.com/office/drawing/2014/main" xmlns="" id="{00000000-0008-0000-6200-00000F000000}"/>
            </a:ext>
          </a:extLst>
        </xdr:cNvPr>
        <xdr:cNvSpPr txBox="1"/>
      </xdr:nvSpPr>
      <xdr:spPr>
        <a:xfrm>
          <a:off x="2743200" y="1708151"/>
          <a:ext cx="3095625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N° SE-CPSTGN-002/2011</a:t>
          </a:r>
          <a:endParaRPr lang="es-MX" sz="1000" u="sng">
            <a:solidFill>
              <a:srgbClr val="FF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247650</xdr:colOff>
      <xdr:row>60</xdr:row>
      <xdr:rowOff>133349</xdr:rowOff>
    </xdr:from>
    <xdr:to>
      <xdr:col>4</xdr:col>
      <xdr:colOff>454959</xdr:colOff>
      <xdr:row>65</xdr:row>
      <xdr:rowOff>78440</xdr:rowOff>
    </xdr:to>
    <xdr:sp macro="" textlink="">
      <xdr:nvSpPr>
        <xdr:cNvPr id="16" name="TextBox 19">
          <a:extLst>
            <a:ext uri="{FF2B5EF4-FFF2-40B4-BE49-F238E27FC236}">
              <a16:creationId xmlns:a16="http://schemas.microsoft.com/office/drawing/2014/main" xmlns="" id="{00000000-0008-0000-6200-000010000000}"/>
            </a:ext>
          </a:extLst>
        </xdr:cNvPr>
        <xdr:cNvSpPr txBox="1"/>
      </xdr:nvSpPr>
      <xdr:spPr>
        <a:xfrm>
          <a:off x="1085850" y="17252949"/>
          <a:ext cx="2696509" cy="77059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___________________________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Elaboro                                                  ing, Rogelio Gaytan BerrIel</a:t>
          </a:r>
        </a:p>
      </xdr:txBody>
    </xdr:sp>
    <xdr:clientData/>
  </xdr:twoCellAnchor>
  <xdr:twoCellAnchor>
    <xdr:from>
      <xdr:col>11</xdr:col>
      <xdr:colOff>414804</xdr:colOff>
      <xdr:row>60</xdr:row>
      <xdr:rowOff>95250</xdr:rowOff>
    </xdr:from>
    <xdr:to>
      <xdr:col>13</xdr:col>
      <xdr:colOff>834651</xdr:colOff>
      <xdr:row>65</xdr:row>
      <xdr:rowOff>59765</xdr:rowOff>
    </xdr:to>
    <xdr:sp macro="" textlink="">
      <xdr:nvSpPr>
        <xdr:cNvPr id="17" name="TextBox 20">
          <a:extLst>
            <a:ext uri="{FF2B5EF4-FFF2-40B4-BE49-F238E27FC236}">
              <a16:creationId xmlns:a16="http://schemas.microsoft.com/office/drawing/2014/main" xmlns="" id="{00000000-0008-0000-6200-000011000000}"/>
            </a:ext>
          </a:extLst>
        </xdr:cNvPr>
        <xdr:cNvSpPr txBox="1"/>
      </xdr:nvSpPr>
      <xdr:spPr>
        <a:xfrm>
          <a:off x="12175004" y="17214850"/>
          <a:ext cx="2794747" cy="7900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___________________________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Autorizo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Ing.</a:t>
          </a:r>
          <a:r>
            <a:rPr lang="es-MX" sz="1100" b="1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 Fernando Lopez Casillas</a:t>
          </a:r>
          <a:endParaRPr lang="es-MX" sz="11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130616</xdr:colOff>
      <xdr:row>45</xdr:row>
      <xdr:rowOff>238126</xdr:rowOff>
    </xdr:from>
    <xdr:to>
      <xdr:col>32</xdr:col>
      <xdr:colOff>674370</xdr:colOff>
      <xdr:row>60</xdr:row>
      <xdr:rowOff>156881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xmlns="" id="{00000000-0008-0000-62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876300</xdr:colOff>
      <xdr:row>5</xdr:row>
      <xdr:rowOff>133350</xdr:rowOff>
    </xdr:from>
    <xdr:to>
      <xdr:col>12</xdr:col>
      <xdr:colOff>876300</xdr:colOff>
      <xdr:row>6</xdr:row>
      <xdr:rowOff>171450</xdr:rowOff>
    </xdr:to>
    <xdr:sp macro="" textlink="">
      <xdr:nvSpPr>
        <xdr:cNvPr id="2" name="TextBox 6">
          <a:extLst>
            <a:ext uri="{FF2B5EF4-FFF2-40B4-BE49-F238E27FC236}">
              <a16:creationId xmlns:a16="http://schemas.microsoft.com/office/drawing/2014/main" xmlns="" id="{00000000-0008-0000-6300-000002000000}"/>
            </a:ext>
          </a:extLst>
        </xdr:cNvPr>
        <xdr:cNvSpPr txBox="1"/>
      </xdr:nvSpPr>
      <xdr:spPr>
        <a:xfrm>
          <a:off x="12636500" y="1009650"/>
          <a:ext cx="1219200" cy="190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FT-SR-XX</a:t>
          </a:r>
        </a:p>
      </xdr:txBody>
    </xdr:sp>
    <xdr:clientData/>
  </xdr:twoCellAnchor>
  <xdr:twoCellAnchor>
    <xdr:from>
      <xdr:col>2</xdr:col>
      <xdr:colOff>0</xdr:colOff>
      <xdr:row>0</xdr:row>
      <xdr:rowOff>0</xdr:rowOff>
    </xdr:from>
    <xdr:to>
      <xdr:col>12</xdr:col>
      <xdr:colOff>866775</xdr:colOff>
      <xdr:row>7</xdr:row>
      <xdr:rowOff>19050</xdr:rowOff>
    </xdr:to>
    <xdr:sp macro="" textlink="">
      <xdr:nvSpPr>
        <xdr:cNvPr id="3" name="AutoShape 17">
          <a:extLst>
            <a:ext uri="{FF2B5EF4-FFF2-40B4-BE49-F238E27FC236}">
              <a16:creationId xmlns:a16="http://schemas.microsoft.com/office/drawing/2014/main" xmlns="" id="{00000000-0008-0000-6300-000003000000}"/>
            </a:ext>
          </a:extLst>
        </xdr:cNvPr>
        <xdr:cNvSpPr>
          <a:spLocks noChangeArrowheads="1"/>
        </xdr:cNvSpPr>
      </xdr:nvSpPr>
      <xdr:spPr bwMode="auto">
        <a:xfrm>
          <a:off x="1130300" y="0"/>
          <a:ext cx="12715875" cy="1225550"/>
        </a:xfrm>
        <a:prstGeom prst="roundRect">
          <a:avLst>
            <a:gd name="adj" fmla="val 16667"/>
          </a:avLst>
        </a:prstGeom>
        <a:noFill/>
        <a:ln w="31750" cmpd="dbl">
          <a:solidFill>
            <a:srgbClr val="009967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161925</xdr:colOff>
      <xdr:row>0</xdr:row>
      <xdr:rowOff>85725</xdr:rowOff>
    </xdr:from>
    <xdr:to>
      <xdr:col>12</xdr:col>
      <xdr:colOff>817470</xdr:colOff>
      <xdr:row>4</xdr:row>
      <xdr:rowOff>152400</xdr:rowOff>
    </xdr:to>
    <xdr:sp macro="" textlink="">
      <xdr:nvSpPr>
        <xdr:cNvPr id="4" name="Cuadro de texto 1">
          <a:extLst>
            <a:ext uri="{FF2B5EF4-FFF2-40B4-BE49-F238E27FC236}">
              <a16:creationId xmlns:a16="http://schemas.microsoft.com/office/drawing/2014/main" xmlns="" id="{00000000-0008-0000-6300-000004000000}"/>
            </a:ext>
          </a:extLst>
        </xdr:cNvPr>
        <xdr:cNvSpPr txBox="1">
          <a:spLocks noChangeArrowheads="1"/>
        </xdr:cNvSpPr>
      </xdr:nvSpPr>
      <xdr:spPr bwMode="auto">
        <a:xfrm>
          <a:off x="8239125" y="85725"/>
          <a:ext cx="5557745" cy="777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r" rtl="0">
            <a:defRPr sz="1000"/>
          </a:pPr>
          <a:r>
            <a:rPr lang="es-MX" sz="1400" b="1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Dirección Corporativa de Operaciones</a:t>
          </a:r>
        </a:p>
        <a:p>
          <a:pPr algn="r" rtl="0">
            <a:defRPr sz="1000"/>
          </a:pPr>
          <a:r>
            <a:rPr lang="es-MX" sz="1400" b="0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               Subdirección de Negocios No Regulados</a:t>
          </a:r>
        </a:p>
        <a:p>
          <a:pPr algn="r" rtl="0">
            <a:defRPr sz="1000"/>
          </a:pPr>
          <a:r>
            <a:rPr lang="es-MX" sz="1400" b="0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Subgerencia Regional de Energéticos Norte</a:t>
          </a:r>
          <a:endParaRPr lang="es-MX" sz="1400" b="0" i="1" u="none" strike="noStrike" baseline="0">
            <a:solidFill>
              <a:srgbClr val="009969"/>
            </a:solidFill>
            <a:latin typeface="Arial" pitchFamily="34" charset="0"/>
            <a:cs typeface="Arial" pitchFamily="34" charset="0"/>
          </a:endParaRPr>
        </a:p>
        <a:p>
          <a:pPr algn="l" rtl="0">
            <a:defRPr sz="1000"/>
          </a:pPr>
          <a:endParaRPr lang="es-MX" sz="1400" b="1" i="1" u="none" strike="noStrike" baseline="0">
            <a:solidFill>
              <a:srgbClr val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790575</xdr:colOff>
      <xdr:row>4</xdr:row>
      <xdr:rowOff>123825</xdr:rowOff>
    </xdr:to>
    <xdr:pic>
      <xdr:nvPicPr>
        <xdr:cNvPr id="5" name="Picture 9" descr="C:\Users\francis.munguia\Desktop\LogotipoCFE_verde.jpg">
          <a:extLst>
            <a:ext uri="{FF2B5EF4-FFF2-40B4-BE49-F238E27FC236}">
              <a16:creationId xmlns:a16="http://schemas.microsoft.com/office/drawing/2014/main" xmlns="" id="{00000000-0008-0000-6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E"/>
            </a:clrFrom>
            <a:clrTo>
              <a:srgbClr val="FFFF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720" b="23125"/>
        <a:stretch>
          <a:fillRect/>
        </a:stretch>
      </xdr:blipFill>
      <xdr:spPr bwMode="auto">
        <a:xfrm>
          <a:off x="1130300" y="165100"/>
          <a:ext cx="2022475" cy="669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781050</xdr:colOff>
      <xdr:row>10</xdr:row>
      <xdr:rowOff>161925</xdr:rowOff>
    </xdr:from>
    <xdr:to>
      <xdr:col>12</xdr:col>
      <xdr:colOff>874057</xdr:colOff>
      <xdr:row>12</xdr:row>
      <xdr:rowOff>133350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xmlns="" id="{00000000-0008-0000-6300-000006000000}"/>
            </a:ext>
          </a:extLst>
        </xdr:cNvPr>
        <xdr:cNvSpPr txBox="1"/>
      </xdr:nvSpPr>
      <xdr:spPr>
        <a:xfrm>
          <a:off x="12541250" y="2092325"/>
          <a:ext cx="1312207" cy="4540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Enero</a:t>
          </a:r>
          <a:r>
            <a:rPr lang="es-MX" sz="1100" b="1" baseline="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 2019</a:t>
          </a:r>
          <a:endParaRPr lang="es-MX" sz="1100" b="1">
            <a:solidFill>
              <a:srgbClr val="FF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180975</xdr:colOff>
      <xdr:row>4</xdr:row>
      <xdr:rowOff>114301</xdr:rowOff>
    </xdr:from>
    <xdr:to>
      <xdr:col>11</xdr:col>
      <xdr:colOff>923925</xdr:colOff>
      <xdr:row>7</xdr:row>
      <xdr:rowOff>9526</xdr:rowOff>
    </xdr:to>
    <xdr:sp macro="" textlink="">
      <xdr:nvSpPr>
        <xdr:cNvPr id="7" name="Cuadro de texto 1">
          <a:extLst>
            <a:ext uri="{FF2B5EF4-FFF2-40B4-BE49-F238E27FC236}">
              <a16:creationId xmlns:a16="http://schemas.microsoft.com/office/drawing/2014/main" xmlns="" id="{00000000-0008-0000-6300-000007000000}"/>
            </a:ext>
          </a:extLst>
        </xdr:cNvPr>
        <xdr:cNvSpPr txBox="1">
          <a:spLocks noChangeArrowheads="1"/>
        </xdr:cNvSpPr>
      </xdr:nvSpPr>
      <xdr:spPr bwMode="auto">
        <a:xfrm>
          <a:off x="1311275" y="825501"/>
          <a:ext cx="11372850" cy="390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MX" sz="1400" b="1" i="0" u="none" strike="noStrike" baseline="0">
              <a:solidFill>
                <a:srgbClr val="000000"/>
              </a:solidFill>
              <a:latin typeface="Arial" pitchFamily="34" charset="0"/>
              <a:cs typeface="Arial" pitchFamily="34" charset="0"/>
            </a:rPr>
            <a:t>REVISION DE FACTURACION DE COMBUSTIBLES</a:t>
          </a:r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3</xdr:col>
      <xdr:colOff>384922</xdr:colOff>
      <xdr:row>10</xdr:row>
      <xdr:rowOff>212912</xdr:rowOff>
    </xdr:to>
    <xdr:sp macro="" textlink="">
      <xdr:nvSpPr>
        <xdr:cNvPr id="8" name="TextBox 8">
          <a:extLst>
            <a:ext uri="{FF2B5EF4-FFF2-40B4-BE49-F238E27FC236}">
              <a16:creationId xmlns:a16="http://schemas.microsoft.com/office/drawing/2014/main" xmlns="" id="{00000000-0008-0000-6300-000008000000}"/>
            </a:ext>
          </a:extLst>
        </xdr:cNvPr>
        <xdr:cNvSpPr txBox="1"/>
      </xdr:nvSpPr>
      <xdr:spPr>
        <a:xfrm>
          <a:off x="1130300" y="1930400"/>
          <a:ext cx="1616822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Tipo de Combustible:</a:t>
          </a:r>
        </a:p>
      </xdr:txBody>
    </xdr:sp>
    <xdr:clientData/>
  </xdr:twoCellAnchor>
  <xdr:twoCellAnchor>
    <xdr:from>
      <xdr:col>3</xdr:col>
      <xdr:colOff>381000</xdr:colOff>
      <xdr:row>10</xdr:row>
      <xdr:rowOff>0</xdr:rowOff>
    </xdr:from>
    <xdr:to>
      <xdr:col>5</xdr:col>
      <xdr:colOff>1209675</xdr:colOff>
      <xdr:row>10</xdr:row>
      <xdr:rowOff>228600</xdr:rowOff>
    </xdr:to>
    <xdr:sp macro="" textlink="">
      <xdr:nvSpPr>
        <xdr:cNvPr id="9" name="TextBox 9">
          <a:extLst>
            <a:ext uri="{FF2B5EF4-FFF2-40B4-BE49-F238E27FC236}">
              <a16:creationId xmlns:a16="http://schemas.microsoft.com/office/drawing/2014/main" xmlns="" id="{00000000-0008-0000-6300-000009000000}"/>
            </a:ext>
          </a:extLst>
        </xdr:cNvPr>
        <xdr:cNvSpPr txBox="1"/>
      </xdr:nvSpPr>
      <xdr:spPr>
        <a:xfrm>
          <a:off x="2743200" y="1930400"/>
          <a:ext cx="3190875" cy="228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>
              <a:solidFill>
                <a:srgbClr val="FF0000"/>
              </a:solidFill>
              <a:effectLst/>
              <a:latin typeface="Arial" panose="020B0604020202020204" pitchFamily="34" charset="0"/>
              <a:cs typeface="Arial" panose="020B0604020202020204" pitchFamily="34" charset="0"/>
            </a:rPr>
            <a:t>GAS NATURAL</a:t>
          </a:r>
        </a:p>
      </xdr:txBody>
    </xdr:sp>
    <xdr:clientData/>
  </xdr:twoCellAnchor>
  <xdr:twoCellAnchor>
    <xdr:from>
      <xdr:col>3</xdr:col>
      <xdr:colOff>380999</xdr:colOff>
      <xdr:row>10</xdr:row>
      <xdr:rowOff>219075</xdr:rowOff>
    </xdr:from>
    <xdr:to>
      <xdr:col>6</xdr:col>
      <xdr:colOff>504825</xdr:colOff>
      <xdr:row>11</xdr:row>
      <xdr:rowOff>200025</xdr:rowOff>
    </xdr:to>
    <xdr:sp macro="" textlink="">
      <xdr:nvSpPr>
        <xdr:cNvPr id="10" name="TextBox 10">
          <a:extLst>
            <a:ext uri="{FF2B5EF4-FFF2-40B4-BE49-F238E27FC236}">
              <a16:creationId xmlns:a16="http://schemas.microsoft.com/office/drawing/2014/main" xmlns="" id="{00000000-0008-0000-6300-00000A000000}"/>
            </a:ext>
          </a:extLst>
        </xdr:cNvPr>
        <xdr:cNvSpPr txBox="1"/>
      </xdr:nvSpPr>
      <xdr:spPr>
        <a:xfrm>
          <a:off x="2743199" y="2149475"/>
          <a:ext cx="3806826" cy="2222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MX" sz="1000" b="1" u="sng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TRANSPORTE POR GASODUCTO</a:t>
          </a:r>
        </a:p>
      </xdr:txBody>
    </xdr:sp>
    <xdr:clientData/>
  </xdr:twoCellAnchor>
  <xdr:twoCellAnchor>
    <xdr:from>
      <xdr:col>2</xdr:col>
      <xdr:colOff>0</xdr:colOff>
      <xdr:row>10</xdr:row>
      <xdr:rowOff>228600</xdr:rowOff>
    </xdr:from>
    <xdr:to>
      <xdr:col>3</xdr:col>
      <xdr:colOff>384922</xdr:colOff>
      <xdr:row>11</xdr:row>
      <xdr:rowOff>193862</xdr:rowOff>
    </xdr:to>
    <xdr:sp macro="" textlink="">
      <xdr:nvSpPr>
        <xdr:cNvPr id="11" name="TextBox 13">
          <a:extLst>
            <a:ext uri="{FF2B5EF4-FFF2-40B4-BE49-F238E27FC236}">
              <a16:creationId xmlns:a16="http://schemas.microsoft.com/office/drawing/2014/main" xmlns="" id="{00000000-0008-0000-6300-00000B000000}"/>
            </a:ext>
          </a:extLst>
        </xdr:cNvPr>
        <xdr:cNvSpPr txBox="1"/>
      </xdr:nvSpPr>
      <xdr:spPr>
        <a:xfrm>
          <a:off x="1130300" y="2159000"/>
          <a:ext cx="1616822" cy="20656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Tipo de Servicio:</a:t>
          </a: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3</xdr:col>
      <xdr:colOff>384922</xdr:colOff>
      <xdr:row>8</xdr:row>
      <xdr:rowOff>212912</xdr:rowOff>
    </xdr:to>
    <xdr:sp macro="" textlink="">
      <xdr:nvSpPr>
        <xdr:cNvPr id="12" name="TextBox 21">
          <a:extLst>
            <a:ext uri="{FF2B5EF4-FFF2-40B4-BE49-F238E27FC236}">
              <a16:creationId xmlns:a16="http://schemas.microsoft.com/office/drawing/2014/main" xmlns="" id="{00000000-0008-0000-6300-00000C000000}"/>
            </a:ext>
          </a:extLst>
        </xdr:cNvPr>
        <xdr:cNvSpPr txBox="1"/>
      </xdr:nvSpPr>
      <xdr:spPr>
        <a:xfrm>
          <a:off x="1130300" y="1447800"/>
          <a:ext cx="1616822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Proveedor:</a:t>
          </a:r>
        </a:p>
        <a:p>
          <a:pPr algn="l"/>
          <a:endParaRPr lang="es-MX" sz="10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380999</xdr:colOff>
      <xdr:row>7</xdr:row>
      <xdr:rowOff>238126</xdr:rowOff>
    </xdr:from>
    <xdr:to>
      <xdr:col>7</xdr:col>
      <xdr:colOff>161924</xdr:colOff>
      <xdr:row>8</xdr:row>
      <xdr:rowOff>228600</xdr:rowOff>
    </xdr:to>
    <xdr:sp macro="" textlink="">
      <xdr:nvSpPr>
        <xdr:cNvPr id="13" name="TextBox 22">
          <a:extLst>
            <a:ext uri="{FF2B5EF4-FFF2-40B4-BE49-F238E27FC236}">
              <a16:creationId xmlns:a16="http://schemas.microsoft.com/office/drawing/2014/main" xmlns="" id="{00000000-0008-0000-6300-00000D000000}"/>
            </a:ext>
          </a:extLst>
        </xdr:cNvPr>
        <xdr:cNvSpPr txBox="1"/>
      </xdr:nvSpPr>
      <xdr:spPr>
        <a:xfrm>
          <a:off x="2743199" y="1444626"/>
          <a:ext cx="4479925" cy="23177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(4326979</a:t>
          </a:r>
          <a:r>
            <a:rPr lang="es-MX" sz="1000" b="1" i="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) </a:t>
          </a:r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TARAHUMARA PIPELINE S DE RL DE CV </a:t>
          </a:r>
          <a:endParaRPr lang="es-MX" sz="1000" u="sng">
            <a:solidFill>
              <a:srgbClr val="FF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0</xdr:colOff>
      <xdr:row>9</xdr:row>
      <xdr:rowOff>0</xdr:rowOff>
    </xdr:from>
    <xdr:to>
      <xdr:col>3</xdr:col>
      <xdr:colOff>384922</xdr:colOff>
      <xdr:row>9</xdr:row>
      <xdr:rowOff>212912</xdr:rowOff>
    </xdr:to>
    <xdr:sp macro="" textlink="">
      <xdr:nvSpPr>
        <xdr:cNvPr id="14" name="TextBox 23">
          <a:extLst>
            <a:ext uri="{FF2B5EF4-FFF2-40B4-BE49-F238E27FC236}">
              <a16:creationId xmlns:a16="http://schemas.microsoft.com/office/drawing/2014/main" xmlns="" id="{00000000-0008-0000-6300-00000E000000}"/>
            </a:ext>
          </a:extLst>
        </xdr:cNvPr>
        <xdr:cNvSpPr txBox="1"/>
      </xdr:nvSpPr>
      <xdr:spPr>
        <a:xfrm>
          <a:off x="1130300" y="1689100"/>
          <a:ext cx="1616822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Contrato:</a:t>
          </a:r>
        </a:p>
      </xdr:txBody>
    </xdr:sp>
    <xdr:clientData/>
  </xdr:twoCellAnchor>
  <xdr:twoCellAnchor>
    <xdr:from>
      <xdr:col>3</xdr:col>
      <xdr:colOff>381000</xdr:colOff>
      <xdr:row>9</xdr:row>
      <xdr:rowOff>19051</xdr:rowOff>
    </xdr:from>
    <xdr:to>
      <xdr:col>5</xdr:col>
      <xdr:colOff>1114425</xdr:colOff>
      <xdr:row>9</xdr:row>
      <xdr:rowOff>228601</xdr:rowOff>
    </xdr:to>
    <xdr:sp macro="" textlink="">
      <xdr:nvSpPr>
        <xdr:cNvPr id="15" name="TextBox 24">
          <a:extLst>
            <a:ext uri="{FF2B5EF4-FFF2-40B4-BE49-F238E27FC236}">
              <a16:creationId xmlns:a16="http://schemas.microsoft.com/office/drawing/2014/main" xmlns="" id="{00000000-0008-0000-6300-00000F000000}"/>
            </a:ext>
          </a:extLst>
        </xdr:cNvPr>
        <xdr:cNvSpPr txBox="1"/>
      </xdr:nvSpPr>
      <xdr:spPr>
        <a:xfrm>
          <a:off x="2743200" y="1708151"/>
          <a:ext cx="3095625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N° SE-CPSTGN-002/2011</a:t>
          </a:r>
          <a:endParaRPr lang="es-MX" sz="1000" u="sng">
            <a:solidFill>
              <a:srgbClr val="FF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247650</xdr:colOff>
      <xdr:row>60</xdr:row>
      <xdr:rowOff>133349</xdr:rowOff>
    </xdr:from>
    <xdr:to>
      <xdr:col>4</xdr:col>
      <xdr:colOff>454959</xdr:colOff>
      <xdr:row>65</xdr:row>
      <xdr:rowOff>78440</xdr:rowOff>
    </xdr:to>
    <xdr:sp macro="" textlink="">
      <xdr:nvSpPr>
        <xdr:cNvPr id="16" name="TextBox 19">
          <a:extLst>
            <a:ext uri="{FF2B5EF4-FFF2-40B4-BE49-F238E27FC236}">
              <a16:creationId xmlns:a16="http://schemas.microsoft.com/office/drawing/2014/main" xmlns="" id="{00000000-0008-0000-6300-000010000000}"/>
            </a:ext>
          </a:extLst>
        </xdr:cNvPr>
        <xdr:cNvSpPr txBox="1"/>
      </xdr:nvSpPr>
      <xdr:spPr>
        <a:xfrm>
          <a:off x="1085850" y="17252949"/>
          <a:ext cx="2696509" cy="77059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___________________________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Elaboro                                                  ing, Rogelio Gaytan BerrIel</a:t>
          </a:r>
        </a:p>
      </xdr:txBody>
    </xdr:sp>
    <xdr:clientData/>
  </xdr:twoCellAnchor>
  <xdr:twoCellAnchor>
    <xdr:from>
      <xdr:col>11</xdr:col>
      <xdr:colOff>414804</xdr:colOff>
      <xdr:row>60</xdr:row>
      <xdr:rowOff>95250</xdr:rowOff>
    </xdr:from>
    <xdr:to>
      <xdr:col>13</xdr:col>
      <xdr:colOff>834651</xdr:colOff>
      <xdr:row>65</xdr:row>
      <xdr:rowOff>59765</xdr:rowOff>
    </xdr:to>
    <xdr:sp macro="" textlink="">
      <xdr:nvSpPr>
        <xdr:cNvPr id="17" name="TextBox 20">
          <a:extLst>
            <a:ext uri="{FF2B5EF4-FFF2-40B4-BE49-F238E27FC236}">
              <a16:creationId xmlns:a16="http://schemas.microsoft.com/office/drawing/2014/main" xmlns="" id="{00000000-0008-0000-6300-000011000000}"/>
            </a:ext>
          </a:extLst>
        </xdr:cNvPr>
        <xdr:cNvSpPr txBox="1"/>
      </xdr:nvSpPr>
      <xdr:spPr>
        <a:xfrm>
          <a:off x="12175004" y="17214850"/>
          <a:ext cx="2794747" cy="7900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___________________________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Autorizo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Ing.</a:t>
          </a:r>
          <a:r>
            <a:rPr lang="es-MX" sz="1100" b="1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 Fernando Lopez Casillas</a:t>
          </a:r>
          <a:endParaRPr lang="es-MX" sz="11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876300</xdr:colOff>
      <xdr:row>5</xdr:row>
      <xdr:rowOff>133350</xdr:rowOff>
    </xdr:from>
    <xdr:to>
      <xdr:col>12</xdr:col>
      <xdr:colOff>876300</xdr:colOff>
      <xdr:row>6</xdr:row>
      <xdr:rowOff>171450</xdr:rowOff>
    </xdr:to>
    <xdr:sp macro="" textlink="">
      <xdr:nvSpPr>
        <xdr:cNvPr id="2" name="TextBox 6">
          <a:extLst>
            <a:ext uri="{FF2B5EF4-FFF2-40B4-BE49-F238E27FC236}">
              <a16:creationId xmlns:a16="http://schemas.microsoft.com/office/drawing/2014/main" xmlns="" id="{00000000-0008-0000-6400-000002000000}"/>
            </a:ext>
          </a:extLst>
        </xdr:cNvPr>
        <xdr:cNvSpPr txBox="1"/>
      </xdr:nvSpPr>
      <xdr:spPr>
        <a:xfrm>
          <a:off x="12636500" y="1009650"/>
          <a:ext cx="1219200" cy="190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FT-SR-XX</a:t>
          </a:r>
        </a:p>
      </xdr:txBody>
    </xdr:sp>
    <xdr:clientData/>
  </xdr:twoCellAnchor>
  <xdr:twoCellAnchor>
    <xdr:from>
      <xdr:col>2</xdr:col>
      <xdr:colOff>0</xdr:colOff>
      <xdr:row>0</xdr:row>
      <xdr:rowOff>0</xdr:rowOff>
    </xdr:from>
    <xdr:to>
      <xdr:col>12</xdr:col>
      <xdr:colOff>866775</xdr:colOff>
      <xdr:row>7</xdr:row>
      <xdr:rowOff>19050</xdr:rowOff>
    </xdr:to>
    <xdr:sp macro="" textlink="">
      <xdr:nvSpPr>
        <xdr:cNvPr id="3" name="AutoShape 17">
          <a:extLst>
            <a:ext uri="{FF2B5EF4-FFF2-40B4-BE49-F238E27FC236}">
              <a16:creationId xmlns:a16="http://schemas.microsoft.com/office/drawing/2014/main" xmlns="" id="{00000000-0008-0000-6400-000003000000}"/>
            </a:ext>
          </a:extLst>
        </xdr:cNvPr>
        <xdr:cNvSpPr>
          <a:spLocks noChangeArrowheads="1"/>
        </xdr:cNvSpPr>
      </xdr:nvSpPr>
      <xdr:spPr bwMode="auto">
        <a:xfrm>
          <a:off x="1130300" y="0"/>
          <a:ext cx="12715875" cy="1225550"/>
        </a:xfrm>
        <a:prstGeom prst="roundRect">
          <a:avLst>
            <a:gd name="adj" fmla="val 16667"/>
          </a:avLst>
        </a:prstGeom>
        <a:noFill/>
        <a:ln w="31750" cmpd="dbl">
          <a:solidFill>
            <a:srgbClr val="009967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161925</xdr:colOff>
      <xdr:row>0</xdr:row>
      <xdr:rowOff>85725</xdr:rowOff>
    </xdr:from>
    <xdr:to>
      <xdr:col>12</xdr:col>
      <xdr:colOff>817470</xdr:colOff>
      <xdr:row>4</xdr:row>
      <xdr:rowOff>152400</xdr:rowOff>
    </xdr:to>
    <xdr:sp macro="" textlink="">
      <xdr:nvSpPr>
        <xdr:cNvPr id="4" name="Cuadro de texto 1">
          <a:extLst>
            <a:ext uri="{FF2B5EF4-FFF2-40B4-BE49-F238E27FC236}">
              <a16:creationId xmlns:a16="http://schemas.microsoft.com/office/drawing/2014/main" xmlns="" id="{00000000-0008-0000-6400-000004000000}"/>
            </a:ext>
          </a:extLst>
        </xdr:cNvPr>
        <xdr:cNvSpPr txBox="1">
          <a:spLocks noChangeArrowheads="1"/>
        </xdr:cNvSpPr>
      </xdr:nvSpPr>
      <xdr:spPr bwMode="auto">
        <a:xfrm>
          <a:off x="8239125" y="85725"/>
          <a:ext cx="5557745" cy="777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r" rtl="0">
            <a:defRPr sz="1000"/>
          </a:pPr>
          <a:r>
            <a:rPr lang="es-MX" sz="1400" b="1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Dirección Corporativa de Operaciones</a:t>
          </a:r>
        </a:p>
        <a:p>
          <a:pPr algn="r" rtl="0">
            <a:defRPr sz="1000"/>
          </a:pPr>
          <a:r>
            <a:rPr lang="es-MX" sz="1400" b="0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               Subdirección de Negocios No Regulados</a:t>
          </a:r>
        </a:p>
        <a:p>
          <a:pPr algn="r" rtl="0">
            <a:defRPr sz="1000"/>
          </a:pPr>
          <a:r>
            <a:rPr lang="es-MX" sz="1400" b="0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Subgerencia Regional de Energéticos Norte</a:t>
          </a:r>
          <a:endParaRPr lang="es-MX" sz="1400" b="0" i="1" u="none" strike="noStrike" baseline="0">
            <a:solidFill>
              <a:srgbClr val="009969"/>
            </a:solidFill>
            <a:latin typeface="Arial" pitchFamily="34" charset="0"/>
            <a:cs typeface="Arial" pitchFamily="34" charset="0"/>
          </a:endParaRPr>
        </a:p>
        <a:p>
          <a:pPr algn="l" rtl="0">
            <a:defRPr sz="1000"/>
          </a:pPr>
          <a:endParaRPr lang="es-MX" sz="1400" b="1" i="1" u="none" strike="noStrike" baseline="0">
            <a:solidFill>
              <a:srgbClr val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790575</xdr:colOff>
      <xdr:row>4</xdr:row>
      <xdr:rowOff>123825</xdr:rowOff>
    </xdr:to>
    <xdr:pic>
      <xdr:nvPicPr>
        <xdr:cNvPr id="5" name="Picture 9" descr="C:\Users\francis.munguia\Desktop\LogotipoCFE_verde.jpg">
          <a:extLst>
            <a:ext uri="{FF2B5EF4-FFF2-40B4-BE49-F238E27FC236}">
              <a16:creationId xmlns:a16="http://schemas.microsoft.com/office/drawing/2014/main" xmlns="" id="{00000000-0008-0000-6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E"/>
            </a:clrFrom>
            <a:clrTo>
              <a:srgbClr val="FFFF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720" b="23125"/>
        <a:stretch>
          <a:fillRect/>
        </a:stretch>
      </xdr:blipFill>
      <xdr:spPr bwMode="auto">
        <a:xfrm>
          <a:off x="1130300" y="165100"/>
          <a:ext cx="2022475" cy="669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781050</xdr:colOff>
      <xdr:row>10</xdr:row>
      <xdr:rowOff>161925</xdr:rowOff>
    </xdr:from>
    <xdr:to>
      <xdr:col>12</xdr:col>
      <xdr:colOff>874057</xdr:colOff>
      <xdr:row>12</xdr:row>
      <xdr:rowOff>133350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xmlns="" id="{00000000-0008-0000-6400-000006000000}"/>
            </a:ext>
          </a:extLst>
        </xdr:cNvPr>
        <xdr:cNvSpPr txBox="1"/>
      </xdr:nvSpPr>
      <xdr:spPr>
        <a:xfrm>
          <a:off x="12541250" y="2092325"/>
          <a:ext cx="1312207" cy="4540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Febrero</a:t>
          </a:r>
          <a:r>
            <a:rPr lang="es-MX" sz="1100" b="1" baseline="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 2019</a:t>
          </a:r>
          <a:endParaRPr lang="es-MX" sz="1100" b="1">
            <a:solidFill>
              <a:srgbClr val="FF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180975</xdr:colOff>
      <xdr:row>4</xdr:row>
      <xdr:rowOff>114301</xdr:rowOff>
    </xdr:from>
    <xdr:to>
      <xdr:col>11</xdr:col>
      <xdr:colOff>923925</xdr:colOff>
      <xdr:row>7</xdr:row>
      <xdr:rowOff>9526</xdr:rowOff>
    </xdr:to>
    <xdr:sp macro="" textlink="">
      <xdr:nvSpPr>
        <xdr:cNvPr id="7" name="Cuadro de texto 1">
          <a:extLst>
            <a:ext uri="{FF2B5EF4-FFF2-40B4-BE49-F238E27FC236}">
              <a16:creationId xmlns:a16="http://schemas.microsoft.com/office/drawing/2014/main" xmlns="" id="{00000000-0008-0000-6400-000007000000}"/>
            </a:ext>
          </a:extLst>
        </xdr:cNvPr>
        <xdr:cNvSpPr txBox="1">
          <a:spLocks noChangeArrowheads="1"/>
        </xdr:cNvSpPr>
      </xdr:nvSpPr>
      <xdr:spPr bwMode="auto">
        <a:xfrm>
          <a:off x="1311275" y="825501"/>
          <a:ext cx="11372850" cy="390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MX" sz="1400" b="1" i="0" u="none" strike="noStrike" baseline="0">
              <a:solidFill>
                <a:srgbClr val="000000"/>
              </a:solidFill>
              <a:latin typeface="Arial" pitchFamily="34" charset="0"/>
              <a:cs typeface="Arial" pitchFamily="34" charset="0"/>
            </a:rPr>
            <a:t>REVISION DE FACTURACION DE COMBUSTIBLES</a:t>
          </a:r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3</xdr:col>
      <xdr:colOff>384922</xdr:colOff>
      <xdr:row>10</xdr:row>
      <xdr:rowOff>212912</xdr:rowOff>
    </xdr:to>
    <xdr:sp macro="" textlink="">
      <xdr:nvSpPr>
        <xdr:cNvPr id="8" name="TextBox 8">
          <a:extLst>
            <a:ext uri="{FF2B5EF4-FFF2-40B4-BE49-F238E27FC236}">
              <a16:creationId xmlns:a16="http://schemas.microsoft.com/office/drawing/2014/main" xmlns="" id="{00000000-0008-0000-6400-000008000000}"/>
            </a:ext>
          </a:extLst>
        </xdr:cNvPr>
        <xdr:cNvSpPr txBox="1"/>
      </xdr:nvSpPr>
      <xdr:spPr>
        <a:xfrm>
          <a:off x="1130300" y="1930400"/>
          <a:ext cx="1616822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Tipo de Combustible:</a:t>
          </a:r>
        </a:p>
      </xdr:txBody>
    </xdr:sp>
    <xdr:clientData/>
  </xdr:twoCellAnchor>
  <xdr:twoCellAnchor>
    <xdr:from>
      <xdr:col>3</xdr:col>
      <xdr:colOff>381000</xdr:colOff>
      <xdr:row>10</xdr:row>
      <xdr:rowOff>0</xdr:rowOff>
    </xdr:from>
    <xdr:to>
      <xdr:col>5</xdr:col>
      <xdr:colOff>1209675</xdr:colOff>
      <xdr:row>10</xdr:row>
      <xdr:rowOff>228600</xdr:rowOff>
    </xdr:to>
    <xdr:sp macro="" textlink="">
      <xdr:nvSpPr>
        <xdr:cNvPr id="9" name="TextBox 9">
          <a:extLst>
            <a:ext uri="{FF2B5EF4-FFF2-40B4-BE49-F238E27FC236}">
              <a16:creationId xmlns:a16="http://schemas.microsoft.com/office/drawing/2014/main" xmlns="" id="{00000000-0008-0000-6400-000009000000}"/>
            </a:ext>
          </a:extLst>
        </xdr:cNvPr>
        <xdr:cNvSpPr txBox="1"/>
      </xdr:nvSpPr>
      <xdr:spPr>
        <a:xfrm>
          <a:off x="2743200" y="1930400"/>
          <a:ext cx="3190875" cy="228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>
              <a:solidFill>
                <a:srgbClr val="FF0000"/>
              </a:solidFill>
              <a:effectLst/>
              <a:latin typeface="Arial" panose="020B0604020202020204" pitchFamily="34" charset="0"/>
              <a:cs typeface="Arial" panose="020B0604020202020204" pitchFamily="34" charset="0"/>
            </a:rPr>
            <a:t>GAS NATURAL</a:t>
          </a:r>
        </a:p>
      </xdr:txBody>
    </xdr:sp>
    <xdr:clientData/>
  </xdr:twoCellAnchor>
  <xdr:twoCellAnchor>
    <xdr:from>
      <xdr:col>3</xdr:col>
      <xdr:colOff>380999</xdr:colOff>
      <xdr:row>10</xdr:row>
      <xdr:rowOff>219075</xdr:rowOff>
    </xdr:from>
    <xdr:to>
      <xdr:col>6</xdr:col>
      <xdr:colOff>504825</xdr:colOff>
      <xdr:row>11</xdr:row>
      <xdr:rowOff>200025</xdr:rowOff>
    </xdr:to>
    <xdr:sp macro="" textlink="">
      <xdr:nvSpPr>
        <xdr:cNvPr id="10" name="TextBox 10">
          <a:extLst>
            <a:ext uri="{FF2B5EF4-FFF2-40B4-BE49-F238E27FC236}">
              <a16:creationId xmlns:a16="http://schemas.microsoft.com/office/drawing/2014/main" xmlns="" id="{00000000-0008-0000-6400-00000A000000}"/>
            </a:ext>
          </a:extLst>
        </xdr:cNvPr>
        <xdr:cNvSpPr txBox="1"/>
      </xdr:nvSpPr>
      <xdr:spPr>
        <a:xfrm>
          <a:off x="2743199" y="2149475"/>
          <a:ext cx="3806826" cy="2222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MX" sz="1000" b="1" u="sng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TRANSPORTE POR GASODUCTO</a:t>
          </a:r>
        </a:p>
      </xdr:txBody>
    </xdr:sp>
    <xdr:clientData/>
  </xdr:twoCellAnchor>
  <xdr:twoCellAnchor>
    <xdr:from>
      <xdr:col>2</xdr:col>
      <xdr:colOff>0</xdr:colOff>
      <xdr:row>10</xdr:row>
      <xdr:rowOff>228600</xdr:rowOff>
    </xdr:from>
    <xdr:to>
      <xdr:col>3</xdr:col>
      <xdr:colOff>384922</xdr:colOff>
      <xdr:row>11</xdr:row>
      <xdr:rowOff>193862</xdr:rowOff>
    </xdr:to>
    <xdr:sp macro="" textlink="">
      <xdr:nvSpPr>
        <xdr:cNvPr id="11" name="TextBox 13">
          <a:extLst>
            <a:ext uri="{FF2B5EF4-FFF2-40B4-BE49-F238E27FC236}">
              <a16:creationId xmlns:a16="http://schemas.microsoft.com/office/drawing/2014/main" xmlns="" id="{00000000-0008-0000-6400-00000B000000}"/>
            </a:ext>
          </a:extLst>
        </xdr:cNvPr>
        <xdr:cNvSpPr txBox="1"/>
      </xdr:nvSpPr>
      <xdr:spPr>
        <a:xfrm>
          <a:off x="1130300" y="2159000"/>
          <a:ext cx="1616822" cy="20656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Tipo de Servicio:</a:t>
          </a: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3</xdr:col>
      <xdr:colOff>384922</xdr:colOff>
      <xdr:row>8</xdr:row>
      <xdr:rowOff>212912</xdr:rowOff>
    </xdr:to>
    <xdr:sp macro="" textlink="">
      <xdr:nvSpPr>
        <xdr:cNvPr id="12" name="TextBox 21">
          <a:extLst>
            <a:ext uri="{FF2B5EF4-FFF2-40B4-BE49-F238E27FC236}">
              <a16:creationId xmlns:a16="http://schemas.microsoft.com/office/drawing/2014/main" xmlns="" id="{00000000-0008-0000-6400-00000C000000}"/>
            </a:ext>
          </a:extLst>
        </xdr:cNvPr>
        <xdr:cNvSpPr txBox="1"/>
      </xdr:nvSpPr>
      <xdr:spPr>
        <a:xfrm>
          <a:off x="1130300" y="1447800"/>
          <a:ext cx="1616822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Proveedor:</a:t>
          </a:r>
        </a:p>
        <a:p>
          <a:pPr algn="l"/>
          <a:endParaRPr lang="es-MX" sz="10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380999</xdr:colOff>
      <xdr:row>7</xdr:row>
      <xdr:rowOff>238126</xdr:rowOff>
    </xdr:from>
    <xdr:to>
      <xdr:col>7</xdr:col>
      <xdr:colOff>161924</xdr:colOff>
      <xdr:row>8</xdr:row>
      <xdr:rowOff>228600</xdr:rowOff>
    </xdr:to>
    <xdr:sp macro="" textlink="">
      <xdr:nvSpPr>
        <xdr:cNvPr id="13" name="TextBox 22">
          <a:extLst>
            <a:ext uri="{FF2B5EF4-FFF2-40B4-BE49-F238E27FC236}">
              <a16:creationId xmlns:a16="http://schemas.microsoft.com/office/drawing/2014/main" xmlns="" id="{00000000-0008-0000-6400-00000D000000}"/>
            </a:ext>
          </a:extLst>
        </xdr:cNvPr>
        <xdr:cNvSpPr txBox="1"/>
      </xdr:nvSpPr>
      <xdr:spPr>
        <a:xfrm>
          <a:off x="2743199" y="1444626"/>
          <a:ext cx="4479925" cy="23177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(4326979</a:t>
          </a:r>
          <a:r>
            <a:rPr lang="es-MX" sz="1000" b="1" i="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) </a:t>
          </a:r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TARAHUMARA PIPELINE S DE RL DE CV </a:t>
          </a:r>
          <a:endParaRPr lang="es-MX" sz="1000" u="sng">
            <a:solidFill>
              <a:srgbClr val="FF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0</xdr:colOff>
      <xdr:row>9</xdr:row>
      <xdr:rowOff>0</xdr:rowOff>
    </xdr:from>
    <xdr:to>
      <xdr:col>3</xdr:col>
      <xdr:colOff>384922</xdr:colOff>
      <xdr:row>9</xdr:row>
      <xdr:rowOff>212912</xdr:rowOff>
    </xdr:to>
    <xdr:sp macro="" textlink="">
      <xdr:nvSpPr>
        <xdr:cNvPr id="14" name="TextBox 23">
          <a:extLst>
            <a:ext uri="{FF2B5EF4-FFF2-40B4-BE49-F238E27FC236}">
              <a16:creationId xmlns:a16="http://schemas.microsoft.com/office/drawing/2014/main" xmlns="" id="{00000000-0008-0000-6400-00000E000000}"/>
            </a:ext>
          </a:extLst>
        </xdr:cNvPr>
        <xdr:cNvSpPr txBox="1"/>
      </xdr:nvSpPr>
      <xdr:spPr>
        <a:xfrm>
          <a:off x="1130300" y="1689100"/>
          <a:ext cx="1616822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Contrato:</a:t>
          </a:r>
        </a:p>
      </xdr:txBody>
    </xdr:sp>
    <xdr:clientData/>
  </xdr:twoCellAnchor>
  <xdr:twoCellAnchor>
    <xdr:from>
      <xdr:col>3</xdr:col>
      <xdr:colOff>381000</xdr:colOff>
      <xdr:row>9</xdr:row>
      <xdr:rowOff>19051</xdr:rowOff>
    </xdr:from>
    <xdr:to>
      <xdr:col>5</xdr:col>
      <xdr:colOff>1114425</xdr:colOff>
      <xdr:row>9</xdr:row>
      <xdr:rowOff>228601</xdr:rowOff>
    </xdr:to>
    <xdr:sp macro="" textlink="">
      <xdr:nvSpPr>
        <xdr:cNvPr id="15" name="TextBox 24">
          <a:extLst>
            <a:ext uri="{FF2B5EF4-FFF2-40B4-BE49-F238E27FC236}">
              <a16:creationId xmlns:a16="http://schemas.microsoft.com/office/drawing/2014/main" xmlns="" id="{00000000-0008-0000-6400-00000F000000}"/>
            </a:ext>
          </a:extLst>
        </xdr:cNvPr>
        <xdr:cNvSpPr txBox="1"/>
      </xdr:nvSpPr>
      <xdr:spPr>
        <a:xfrm>
          <a:off x="2743200" y="1708151"/>
          <a:ext cx="3095625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N° SE-CPSTGN-002/2011</a:t>
          </a:r>
          <a:endParaRPr lang="es-MX" sz="1000" u="sng">
            <a:solidFill>
              <a:srgbClr val="FF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247650</xdr:colOff>
      <xdr:row>60</xdr:row>
      <xdr:rowOff>133349</xdr:rowOff>
    </xdr:from>
    <xdr:to>
      <xdr:col>4</xdr:col>
      <xdr:colOff>454959</xdr:colOff>
      <xdr:row>65</xdr:row>
      <xdr:rowOff>78440</xdr:rowOff>
    </xdr:to>
    <xdr:sp macro="" textlink="">
      <xdr:nvSpPr>
        <xdr:cNvPr id="18" name="TextBox 19">
          <a:extLst>
            <a:ext uri="{FF2B5EF4-FFF2-40B4-BE49-F238E27FC236}">
              <a16:creationId xmlns:a16="http://schemas.microsoft.com/office/drawing/2014/main" xmlns="" id="{00000000-0008-0000-6400-000012000000}"/>
            </a:ext>
          </a:extLst>
        </xdr:cNvPr>
        <xdr:cNvSpPr txBox="1"/>
      </xdr:nvSpPr>
      <xdr:spPr>
        <a:xfrm>
          <a:off x="1085850" y="17154524"/>
          <a:ext cx="2883834" cy="75471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___________________________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Elaboro                                                      ing, Rogelio Gaytan BerrIel</a:t>
          </a:r>
        </a:p>
      </xdr:txBody>
    </xdr:sp>
    <xdr:clientData/>
  </xdr:twoCellAnchor>
  <xdr:twoCellAnchor>
    <xdr:from>
      <xdr:col>11</xdr:col>
      <xdr:colOff>414804</xdr:colOff>
      <xdr:row>60</xdr:row>
      <xdr:rowOff>95250</xdr:rowOff>
    </xdr:from>
    <xdr:to>
      <xdr:col>13</xdr:col>
      <xdr:colOff>834651</xdr:colOff>
      <xdr:row>65</xdr:row>
      <xdr:rowOff>59765</xdr:rowOff>
    </xdr:to>
    <xdr:sp macro="" textlink="">
      <xdr:nvSpPr>
        <xdr:cNvPr id="19" name="TextBox 20">
          <a:extLst>
            <a:ext uri="{FF2B5EF4-FFF2-40B4-BE49-F238E27FC236}">
              <a16:creationId xmlns:a16="http://schemas.microsoft.com/office/drawing/2014/main" xmlns="" id="{00000000-0008-0000-6400-000013000000}"/>
            </a:ext>
          </a:extLst>
        </xdr:cNvPr>
        <xdr:cNvSpPr txBox="1"/>
      </xdr:nvSpPr>
      <xdr:spPr>
        <a:xfrm>
          <a:off x="12368679" y="17116425"/>
          <a:ext cx="2943972" cy="7741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___________________________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Autorizo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Ing.</a:t>
          </a:r>
          <a:r>
            <a:rPr lang="es-MX" sz="1100" b="1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 Fernando Lopez Casillas</a:t>
          </a:r>
          <a:endParaRPr lang="es-MX" sz="11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876300</xdr:colOff>
      <xdr:row>5</xdr:row>
      <xdr:rowOff>133350</xdr:rowOff>
    </xdr:from>
    <xdr:to>
      <xdr:col>12</xdr:col>
      <xdr:colOff>876300</xdr:colOff>
      <xdr:row>6</xdr:row>
      <xdr:rowOff>171450</xdr:rowOff>
    </xdr:to>
    <xdr:sp macro="" textlink="">
      <xdr:nvSpPr>
        <xdr:cNvPr id="2" name="TextBox 6">
          <a:extLst>
            <a:ext uri="{FF2B5EF4-FFF2-40B4-BE49-F238E27FC236}">
              <a16:creationId xmlns:a16="http://schemas.microsoft.com/office/drawing/2014/main" xmlns="" id="{00000000-0008-0000-6500-000002000000}"/>
            </a:ext>
          </a:extLst>
        </xdr:cNvPr>
        <xdr:cNvSpPr txBox="1"/>
      </xdr:nvSpPr>
      <xdr:spPr>
        <a:xfrm>
          <a:off x="12636500" y="1009650"/>
          <a:ext cx="1219200" cy="190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FT-SR-XX</a:t>
          </a:r>
        </a:p>
      </xdr:txBody>
    </xdr:sp>
    <xdr:clientData/>
  </xdr:twoCellAnchor>
  <xdr:twoCellAnchor>
    <xdr:from>
      <xdr:col>2</xdr:col>
      <xdr:colOff>0</xdr:colOff>
      <xdr:row>0</xdr:row>
      <xdr:rowOff>0</xdr:rowOff>
    </xdr:from>
    <xdr:to>
      <xdr:col>12</xdr:col>
      <xdr:colOff>866775</xdr:colOff>
      <xdr:row>7</xdr:row>
      <xdr:rowOff>19050</xdr:rowOff>
    </xdr:to>
    <xdr:sp macro="" textlink="">
      <xdr:nvSpPr>
        <xdr:cNvPr id="3" name="AutoShape 17">
          <a:extLst>
            <a:ext uri="{FF2B5EF4-FFF2-40B4-BE49-F238E27FC236}">
              <a16:creationId xmlns:a16="http://schemas.microsoft.com/office/drawing/2014/main" xmlns="" id="{00000000-0008-0000-6500-000003000000}"/>
            </a:ext>
          </a:extLst>
        </xdr:cNvPr>
        <xdr:cNvSpPr>
          <a:spLocks noChangeArrowheads="1"/>
        </xdr:cNvSpPr>
      </xdr:nvSpPr>
      <xdr:spPr bwMode="auto">
        <a:xfrm>
          <a:off x="1130300" y="0"/>
          <a:ext cx="12715875" cy="1225550"/>
        </a:xfrm>
        <a:prstGeom prst="roundRect">
          <a:avLst>
            <a:gd name="adj" fmla="val 16667"/>
          </a:avLst>
        </a:prstGeom>
        <a:noFill/>
        <a:ln w="31750" cmpd="dbl">
          <a:solidFill>
            <a:srgbClr val="009967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161925</xdr:colOff>
      <xdr:row>0</xdr:row>
      <xdr:rowOff>85725</xdr:rowOff>
    </xdr:from>
    <xdr:to>
      <xdr:col>12</xdr:col>
      <xdr:colOff>817470</xdr:colOff>
      <xdr:row>4</xdr:row>
      <xdr:rowOff>152400</xdr:rowOff>
    </xdr:to>
    <xdr:sp macro="" textlink="">
      <xdr:nvSpPr>
        <xdr:cNvPr id="4" name="Cuadro de texto 1">
          <a:extLst>
            <a:ext uri="{FF2B5EF4-FFF2-40B4-BE49-F238E27FC236}">
              <a16:creationId xmlns:a16="http://schemas.microsoft.com/office/drawing/2014/main" xmlns="" id="{00000000-0008-0000-6500-000004000000}"/>
            </a:ext>
          </a:extLst>
        </xdr:cNvPr>
        <xdr:cNvSpPr txBox="1">
          <a:spLocks noChangeArrowheads="1"/>
        </xdr:cNvSpPr>
      </xdr:nvSpPr>
      <xdr:spPr bwMode="auto">
        <a:xfrm>
          <a:off x="8239125" y="85725"/>
          <a:ext cx="5557745" cy="777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r" rtl="0">
            <a:defRPr sz="1000"/>
          </a:pPr>
          <a:r>
            <a:rPr lang="es-MX" sz="1400" b="1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Dirección Corporativa de Operaciones</a:t>
          </a:r>
        </a:p>
        <a:p>
          <a:pPr algn="r" rtl="0">
            <a:defRPr sz="1000"/>
          </a:pPr>
          <a:r>
            <a:rPr lang="es-MX" sz="1400" b="0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               Subdirección de Negocios No Regulados</a:t>
          </a:r>
        </a:p>
        <a:p>
          <a:pPr algn="r" rtl="0">
            <a:defRPr sz="1000"/>
          </a:pPr>
          <a:r>
            <a:rPr lang="es-MX" sz="1400" b="0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Subgerencia Regional de Energéticos Norte</a:t>
          </a:r>
          <a:endParaRPr lang="es-MX" sz="1400" b="0" i="1" u="none" strike="noStrike" baseline="0">
            <a:solidFill>
              <a:srgbClr val="009969"/>
            </a:solidFill>
            <a:latin typeface="Arial" pitchFamily="34" charset="0"/>
            <a:cs typeface="Arial" pitchFamily="34" charset="0"/>
          </a:endParaRPr>
        </a:p>
        <a:p>
          <a:pPr algn="l" rtl="0">
            <a:defRPr sz="1000"/>
          </a:pPr>
          <a:endParaRPr lang="es-MX" sz="1400" b="1" i="1" u="none" strike="noStrike" baseline="0">
            <a:solidFill>
              <a:srgbClr val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790575</xdr:colOff>
      <xdr:row>4</xdr:row>
      <xdr:rowOff>123825</xdr:rowOff>
    </xdr:to>
    <xdr:pic>
      <xdr:nvPicPr>
        <xdr:cNvPr id="5" name="Picture 9" descr="C:\Users\francis.munguia\Desktop\LogotipoCFE_verde.jpg">
          <a:extLst>
            <a:ext uri="{FF2B5EF4-FFF2-40B4-BE49-F238E27FC236}">
              <a16:creationId xmlns:a16="http://schemas.microsoft.com/office/drawing/2014/main" xmlns="" id="{00000000-0008-0000-6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E"/>
            </a:clrFrom>
            <a:clrTo>
              <a:srgbClr val="FFFF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720" b="23125"/>
        <a:stretch>
          <a:fillRect/>
        </a:stretch>
      </xdr:blipFill>
      <xdr:spPr bwMode="auto">
        <a:xfrm>
          <a:off x="1130300" y="165100"/>
          <a:ext cx="2022475" cy="669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781050</xdr:colOff>
      <xdr:row>10</xdr:row>
      <xdr:rowOff>161925</xdr:rowOff>
    </xdr:from>
    <xdr:to>
      <xdr:col>12</xdr:col>
      <xdr:colOff>874057</xdr:colOff>
      <xdr:row>12</xdr:row>
      <xdr:rowOff>133350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xmlns="" id="{00000000-0008-0000-6500-000006000000}"/>
            </a:ext>
          </a:extLst>
        </xdr:cNvPr>
        <xdr:cNvSpPr txBox="1"/>
      </xdr:nvSpPr>
      <xdr:spPr>
        <a:xfrm>
          <a:off x="12541250" y="2092325"/>
          <a:ext cx="1312207" cy="4540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Marzo </a:t>
          </a:r>
          <a:r>
            <a:rPr lang="es-MX" sz="1100" b="1" baseline="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2019</a:t>
          </a:r>
          <a:endParaRPr lang="es-MX" sz="1100" b="1">
            <a:solidFill>
              <a:srgbClr val="FF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180975</xdr:colOff>
      <xdr:row>4</xdr:row>
      <xdr:rowOff>114301</xdr:rowOff>
    </xdr:from>
    <xdr:to>
      <xdr:col>11</xdr:col>
      <xdr:colOff>923925</xdr:colOff>
      <xdr:row>7</xdr:row>
      <xdr:rowOff>9526</xdr:rowOff>
    </xdr:to>
    <xdr:sp macro="" textlink="">
      <xdr:nvSpPr>
        <xdr:cNvPr id="7" name="Cuadro de texto 1">
          <a:extLst>
            <a:ext uri="{FF2B5EF4-FFF2-40B4-BE49-F238E27FC236}">
              <a16:creationId xmlns:a16="http://schemas.microsoft.com/office/drawing/2014/main" xmlns="" id="{00000000-0008-0000-6500-000007000000}"/>
            </a:ext>
          </a:extLst>
        </xdr:cNvPr>
        <xdr:cNvSpPr txBox="1">
          <a:spLocks noChangeArrowheads="1"/>
        </xdr:cNvSpPr>
      </xdr:nvSpPr>
      <xdr:spPr bwMode="auto">
        <a:xfrm>
          <a:off x="1311275" y="825501"/>
          <a:ext cx="11372850" cy="390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MX" sz="1400" b="1" i="0" u="none" strike="noStrike" baseline="0">
              <a:solidFill>
                <a:srgbClr val="000000"/>
              </a:solidFill>
              <a:latin typeface="Arial" pitchFamily="34" charset="0"/>
              <a:cs typeface="Arial" pitchFamily="34" charset="0"/>
            </a:rPr>
            <a:t>REVISION DE FACTURACION DE COMBUSTIBLES</a:t>
          </a:r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3</xdr:col>
      <xdr:colOff>384922</xdr:colOff>
      <xdr:row>10</xdr:row>
      <xdr:rowOff>212912</xdr:rowOff>
    </xdr:to>
    <xdr:sp macro="" textlink="">
      <xdr:nvSpPr>
        <xdr:cNvPr id="8" name="TextBox 8">
          <a:extLst>
            <a:ext uri="{FF2B5EF4-FFF2-40B4-BE49-F238E27FC236}">
              <a16:creationId xmlns:a16="http://schemas.microsoft.com/office/drawing/2014/main" xmlns="" id="{00000000-0008-0000-6500-000008000000}"/>
            </a:ext>
          </a:extLst>
        </xdr:cNvPr>
        <xdr:cNvSpPr txBox="1"/>
      </xdr:nvSpPr>
      <xdr:spPr>
        <a:xfrm>
          <a:off x="1130300" y="1930400"/>
          <a:ext cx="1616822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Tipo de Combustible:</a:t>
          </a:r>
        </a:p>
      </xdr:txBody>
    </xdr:sp>
    <xdr:clientData/>
  </xdr:twoCellAnchor>
  <xdr:twoCellAnchor>
    <xdr:from>
      <xdr:col>3</xdr:col>
      <xdr:colOff>381000</xdr:colOff>
      <xdr:row>10</xdr:row>
      <xdr:rowOff>0</xdr:rowOff>
    </xdr:from>
    <xdr:to>
      <xdr:col>5</xdr:col>
      <xdr:colOff>1209675</xdr:colOff>
      <xdr:row>10</xdr:row>
      <xdr:rowOff>228600</xdr:rowOff>
    </xdr:to>
    <xdr:sp macro="" textlink="">
      <xdr:nvSpPr>
        <xdr:cNvPr id="9" name="TextBox 9">
          <a:extLst>
            <a:ext uri="{FF2B5EF4-FFF2-40B4-BE49-F238E27FC236}">
              <a16:creationId xmlns:a16="http://schemas.microsoft.com/office/drawing/2014/main" xmlns="" id="{00000000-0008-0000-6500-000009000000}"/>
            </a:ext>
          </a:extLst>
        </xdr:cNvPr>
        <xdr:cNvSpPr txBox="1"/>
      </xdr:nvSpPr>
      <xdr:spPr>
        <a:xfrm>
          <a:off x="2743200" y="1930400"/>
          <a:ext cx="3190875" cy="228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>
              <a:solidFill>
                <a:srgbClr val="FF0000"/>
              </a:solidFill>
              <a:effectLst/>
              <a:latin typeface="Arial" panose="020B0604020202020204" pitchFamily="34" charset="0"/>
              <a:cs typeface="Arial" panose="020B0604020202020204" pitchFamily="34" charset="0"/>
            </a:rPr>
            <a:t>GAS NATURAL</a:t>
          </a:r>
        </a:p>
      </xdr:txBody>
    </xdr:sp>
    <xdr:clientData/>
  </xdr:twoCellAnchor>
  <xdr:twoCellAnchor>
    <xdr:from>
      <xdr:col>3</xdr:col>
      <xdr:colOff>380999</xdr:colOff>
      <xdr:row>10</xdr:row>
      <xdr:rowOff>219075</xdr:rowOff>
    </xdr:from>
    <xdr:to>
      <xdr:col>6</xdr:col>
      <xdr:colOff>504825</xdr:colOff>
      <xdr:row>11</xdr:row>
      <xdr:rowOff>200025</xdr:rowOff>
    </xdr:to>
    <xdr:sp macro="" textlink="">
      <xdr:nvSpPr>
        <xdr:cNvPr id="10" name="TextBox 10">
          <a:extLst>
            <a:ext uri="{FF2B5EF4-FFF2-40B4-BE49-F238E27FC236}">
              <a16:creationId xmlns:a16="http://schemas.microsoft.com/office/drawing/2014/main" xmlns="" id="{00000000-0008-0000-6500-00000A000000}"/>
            </a:ext>
          </a:extLst>
        </xdr:cNvPr>
        <xdr:cNvSpPr txBox="1"/>
      </xdr:nvSpPr>
      <xdr:spPr>
        <a:xfrm>
          <a:off x="2743199" y="2149475"/>
          <a:ext cx="3806826" cy="2222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MX" sz="1000" b="1" u="sng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TRANSPORTE POR GASODUCTO</a:t>
          </a:r>
        </a:p>
      </xdr:txBody>
    </xdr:sp>
    <xdr:clientData/>
  </xdr:twoCellAnchor>
  <xdr:twoCellAnchor>
    <xdr:from>
      <xdr:col>2</xdr:col>
      <xdr:colOff>0</xdr:colOff>
      <xdr:row>10</xdr:row>
      <xdr:rowOff>228600</xdr:rowOff>
    </xdr:from>
    <xdr:to>
      <xdr:col>3</xdr:col>
      <xdr:colOff>384922</xdr:colOff>
      <xdr:row>11</xdr:row>
      <xdr:rowOff>193862</xdr:rowOff>
    </xdr:to>
    <xdr:sp macro="" textlink="">
      <xdr:nvSpPr>
        <xdr:cNvPr id="11" name="TextBox 13">
          <a:extLst>
            <a:ext uri="{FF2B5EF4-FFF2-40B4-BE49-F238E27FC236}">
              <a16:creationId xmlns:a16="http://schemas.microsoft.com/office/drawing/2014/main" xmlns="" id="{00000000-0008-0000-6500-00000B000000}"/>
            </a:ext>
          </a:extLst>
        </xdr:cNvPr>
        <xdr:cNvSpPr txBox="1"/>
      </xdr:nvSpPr>
      <xdr:spPr>
        <a:xfrm>
          <a:off x="1130300" y="2159000"/>
          <a:ext cx="1616822" cy="20656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Tipo de Servicio:</a:t>
          </a: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3</xdr:col>
      <xdr:colOff>384922</xdr:colOff>
      <xdr:row>8</xdr:row>
      <xdr:rowOff>212912</xdr:rowOff>
    </xdr:to>
    <xdr:sp macro="" textlink="">
      <xdr:nvSpPr>
        <xdr:cNvPr id="12" name="TextBox 21">
          <a:extLst>
            <a:ext uri="{FF2B5EF4-FFF2-40B4-BE49-F238E27FC236}">
              <a16:creationId xmlns:a16="http://schemas.microsoft.com/office/drawing/2014/main" xmlns="" id="{00000000-0008-0000-6500-00000C000000}"/>
            </a:ext>
          </a:extLst>
        </xdr:cNvPr>
        <xdr:cNvSpPr txBox="1"/>
      </xdr:nvSpPr>
      <xdr:spPr>
        <a:xfrm>
          <a:off x="1130300" y="1447800"/>
          <a:ext cx="1616822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Proveedor:</a:t>
          </a:r>
        </a:p>
        <a:p>
          <a:pPr algn="l"/>
          <a:endParaRPr lang="es-MX" sz="10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380999</xdr:colOff>
      <xdr:row>7</xdr:row>
      <xdr:rowOff>238126</xdr:rowOff>
    </xdr:from>
    <xdr:to>
      <xdr:col>7</xdr:col>
      <xdr:colOff>161924</xdr:colOff>
      <xdr:row>8</xdr:row>
      <xdr:rowOff>228600</xdr:rowOff>
    </xdr:to>
    <xdr:sp macro="" textlink="">
      <xdr:nvSpPr>
        <xdr:cNvPr id="13" name="TextBox 22">
          <a:extLst>
            <a:ext uri="{FF2B5EF4-FFF2-40B4-BE49-F238E27FC236}">
              <a16:creationId xmlns:a16="http://schemas.microsoft.com/office/drawing/2014/main" xmlns="" id="{00000000-0008-0000-6500-00000D000000}"/>
            </a:ext>
          </a:extLst>
        </xdr:cNvPr>
        <xdr:cNvSpPr txBox="1"/>
      </xdr:nvSpPr>
      <xdr:spPr>
        <a:xfrm>
          <a:off x="2743199" y="1444626"/>
          <a:ext cx="4479925" cy="23177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(4326979</a:t>
          </a:r>
          <a:r>
            <a:rPr lang="es-MX" sz="1000" b="1" i="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) </a:t>
          </a:r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TARAHUMARA PIPELINE S DE RL DE CV </a:t>
          </a:r>
          <a:endParaRPr lang="es-MX" sz="1000" u="sng">
            <a:solidFill>
              <a:srgbClr val="FF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0</xdr:colOff>
      <xdr:row>9</xdr:row>
      <xdr:rowOff>0</xdr:rowOff>
    </xdr:from>
    <xdr:to>
      <xdr:col>3</xdr:col>
      <xdr:colOff>384922</xdr:colOff>
      <xdr:row>9</xdr:row>
      <xdr:rowOff>212912</xdr:rowOff>
    </xdr:to>
    <xdr:sp macro="" textlink="">
      <xdr:nvSpPr>
        <xdr:cNvPr id="14" name="TextBox 23">
          <a:extLst>
            <a:ext uri="{FF2B5EF4-FFF2-40B4-BE49-F238E27FC236}">
              <a16:creationId xmlns:a16="http://schemas.microsoft.com/office/drawing/2014/main" xmlns="" id="{00000000-0008-0000-6500-00000E000000}"/>
            </a:ext>
          </a:extLst>
        </xdr:cNvPr>
        <xdr:cNvSpPr txBox="1"/>
      </xdr:nvSpPr>
      <xdr:spPr>
        <a:xfrm>
          <a:off x="1130300" y="1689100"/>
          <a:ext cx="1616822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Contrato:</a:t>
          </a:r>
        </a:p>
      </xdr:txBody>
    </xdr:sp>
    <xdr:clientData/>
  </xdr:twoCellAnchor>
  <xdr:twoCellAnchor>
    <xdr:from>
      <xdr:col>3</xdr:col>
      <xdr:colOff>381000</xdr:colOff>
      <xdr:row>9</xdr:row>
      <xdr:rowOff>19051</xdr:rowOff>
    </xdr:from>
    <xdr:to>
      <xdr:col>5</xdr:col>
      <xdr:colOff>1114425</xdr:colOff>
      <xdr:row>9</xdr:row>
      <xdr:rowOff>228601</xdr:rowOff>
    </xdr:to>
    <xdr:sp macro="" textlink="">
      <xdr:nvSpPr>
        <xdr:cNvPr id="15" name="TextBox 24">
          <a:extLst>
            <a:ext uri="{FF2B5EF4-FFF2-40B4-BE49-F238E27FC236}">
              <a16:creationId xmlns:a16="http://schemas.microsoft.com/office/drawing/2014/main" xmlns="" id="{00000000-0008-0000-6500-00000F000000}"/>
            </a:ext>
          </a:extLst>
        </xdr:cNvPr>
        <xdr:cNvSpPr txBox="1"/>
      </xdr:nvSpPr>
      <xdr:spPr>
        <a:xfrm>
          <a:off x="2743200" y="1708151"/>
          <a:ext cx="3095625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N° SE-CPSTGN-002/2011</a:t>
          </a:r>
          <a:endParaRPr lang="es-MX" sz="1000" u="sng">
            <a:solidFill>
              <a:srgbClr val="FF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247650</xdr:colOff>
      <xdr:row>60</xdr:row>
      <xdr:rowOff>133349</xdr:rowOff>
    </xdr:from>
    <xdr:to>
      <xdr:col>4</xdr:col>
      <xdr:colOff>454959</xdr:colOff>
      <xdr:row>65</xdr:row>
      <xdr:rowOff>78440</xdr:rowOff>
    </xdr:to>
    <xdr:sp macro="" textlink="">
      <xdr:nvSpPr>
        <xdr:cNvPr id="16" name="TextBox 19">
          <a:extLst>
            <a:ext uri="{FF2B5EF4-FFF2-40B4-BE49-F238E27FC236}">
              <a16:creationId xmlns:a16="http://schemas.microsoft.com/office/drawing/2014/main" xmlns="" id="{00000000-0008-0000-6500-000010000000}"/>
            </a:ext>
          </a:extLst>
        </xdr:cNvPr>
        <xdr:cNvSpPr txBox="1"/>
      </xdr:nvSpPr>
      <xdr:spPr>
        <a:xfrm>
          <a:off x="1085850" y="17252949"/>
          <a:ext cx="2696509" cy="77059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___________________________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Elaboro                                                   ing, Rogelio Gaytan BerrIel</a:t>
          </a:r>
        </a:p>
      </xdr:txBody>
    </xdr:sp>
    <xdr:clientData/>
  </xdr:twoCellAnchor>
  <xdr:twoCellAnchor>
    <xdr:from>
      <xdr:col>11</xdr:col>
      <xdr:colOff>414804</xdr:colOff>
      <xdr:row>60</xdr:row>
      <xdr:rowOff>95250</xdr:rowOff>
    </xdr:from>
    <xdr:to>
      <xdr:col>13</xdr:col>
      <xdr:colOff>834651</xdr:colOff>
      <xdr:row>65</xdr:row>
      <xdr:rowOff>59765</xdr:rowOff>
    </xdr:to>
    <xdr:sp macro="" textlink="">
      <xdr:nvSpPr>
        <xdr:cNvPr id="17" name="TextBox 20">
          <a:extLst>
            <a:ext uri="{FF2B5EF4-FFF2-40B4-BE49-F238E27FC236}">
              <a16:creationId xmlns:a16="http://schemas.microsoft.com/office/drawing/2014/main" xmlns="" id="{00000000-0008-0000-6500-000011000000}"/>
            </a:ext>
          </a:extLst>
        </xdr:cNvPr>
        <xdr:cNvSpPr txBox="1"/>
      </xdr:nvSpPr>
      <xdr:spPr>
        <a:xfrm>
          <a:off x="12175004" y="17214850"/>
          <a:ext cx="2794747" cy="7900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___________________________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Autorizo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Ing.</a:t>
          </a:r>
          <a:r>
            <a:rPr lang="es-MX" sz="1100" b="1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 Fernando Lopez Casillas</a:t>
          </a:r>
          <a:endParaRPr lang="es-MX" sz="11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876300</xdr:colOff>
      <xdr:row>5</xdr:row>
      <xdr:rowOff>133350</xdr:rowOff>
    </xdr:from>
    <xdr:to>
      <xdr:col>12</xdr:col>
      <xdr:colOff>876300</xdr:colOff>
      <xdr:row>6</xdr:row>
      <xdr:rowOff>171450</xdr:rowOff>
    </xdr:to>
    <xdr:sp macro="" textlink="">
      <xdr:nvSpPr>
        <xdr:cNvPr id="2" name="TextBox 6">
          <a:extLst>
            <a:ext uri="{FF2B5EF4-FFF2-40B4-BE49-F238E27FC236}">
              <a16:creationId xmlns:a16="http://schemas.microsoft.com/office/drawing/2014/main" xmlns="" id="{00000000-0008-0000-6600-000002000000}"/>
            </a:ext>
          </a:extLst>
        </xdr:cNvPr>
        <xdr:cNvSpPr txBox="1"/>
      </xdr:nvSpPr>
      <xdr:spPr>
        <a:xfrm>
          <a:off x="12636500" y="1009650"/>
          <a:ext cx="1219200" cy="190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FT-SR-XX</a:t>
          </a:r>
        </a:p>
      </xdr:txBody>
    </xdr:sp>
    <xdr:clientData/>
  </xdr:twoCellAnchor>
  <xdr:twoCellAnchor>
    <xdr:from>
      <xdr:col>2</xdr:col>
      <xdr:colOff>0</xdr:colOff>
      <xdr:row>0</xdr:row>
      <xdr:rowOff>0</xdr:rowOff>
    </xdr:from>
    <xdr:to>
      <xdr:col>12</xdr:col>
      <xdr:colOff>866775</xdr:colOff>
      <xdr:row>7</xdr:row>
      <xdr:rowOff>19050</xdr:rowOff>
    </xdr:to>
    <xdr:sp macro="" textlink="">
      <xdr:nvSpPr>
        <xdr:cNvPr id="3" name="AutoShape 17">
          <a:extLst>
            <a:ext uri="{FF2B5EF4-FFF2-40B4-BE49-F238E27FC236}">
              <a16:creationId xmlns:a16="http://schemas.microsoft.com/office/drawing/2014/main" xmlns="" id="{00000000-0008-0000-6600-000003000000}"/>
            </a:ext>
          </a:extLst>
        </xdr:cNvPr>
        <xdr:cNvSpPr>
          <a:spLocks noChangeArrowheads="1"/>
        </xdr:cNvSpPr>
      </xdr:nvSpPr>
      <xdr:spPr bwMode="auto">
        <a:xfrm>
          <a:off x="1130300" y="0"/>
          <a:ext cx="12715875" cy="1225550"/>
        </a:xfrm>
        <a:prstGeom prst="roundRect">
          <a:avLst>
            <a:gd name="adj" fmla="val 16667"/>
          </a:avLst>
        </a:prstGeom>
        <a:noFill/>
        <a:ln w="31750" cmpd="dbl">
          <a:solidFill>
            <a:srgbClr val="009967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161925</xdr:colOff>
      <xdr:row>0</xdr:row>
      <xdr:rowOff>85725</xdr:rowOff>
    </xdr:from>
    <xdr:to>
      <xdr:col>12</xdr:col>
      <xdr:colOff>817470</xdr:colOff>
      <xdr:row>4</xdr:row>
      <xdr:rowOff>152400</xdr:rowOff>
    </xdr:to>
    <xdr:sp macro="" textlink="">
      <xdr:nvSpPr>
        <xdr:cNvPr id="4" name="Cuadro de texto 1">
          <a:extLst>
            <a:ext uri="{FF2B5EF4-FFF2-40B4-BE49-F238E27FC236}">
              <a16:creationId xmlns:a16="http://schemas.microsoft.com/office/drawing/2014/main" xmlns="" id="{00000000-0008-0000-6600-000004000000}"/>
            </a:ext>
          </a:extLst>
        </xdr:cNvPr>
        <xdr:cNvSpPr txBox="1">
          <a:spLocks noChangeArrowheads="1"/>
        </xdr:cNvSpPr>
      </xdr:nvSpPr>
      <xdr:spPr bwMode="auto">
        <a:xfrm>
          <a:off x="8239125" y="85725"/>
          <a:ext cx="5557745" cy="777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r" rtl="0">
            <a:defRPr sz="1000"/>
          </a:pPr>
          <a:r>
            <a:rPr lang="es-MX" sz="1400" b="1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Dirección Corporativa de Operaciones</a:t>
          </a:r>
        </a:p>
        <a:p>
          <a:pPr algn="r" rtl="0">
            <a:defRPr sz="1000"/>
          </a:pPr>
          <a:r>
            <a:rPr lang="es-MX" sz="1400" b="0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               Subdirección de Negocios No Regulados</a:t>
          </a:r>
        </a:p>
        <a:p>
          <a:pPr algn="r" rtl="0">
            <a:defRPr sz="1000"/>
          </a:pPr>
          <a:r>
            <a:rPr lang="es-MX" sz="1400" b="0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Subgerencia Regional de Energéticos Norte</a:t>
          </a:r>
          <a:endParaRPr lang="es-MX" sz="1400" b="0" i="1" u="none" strike="noStrike" baseline="0">
            <a:solidFill>
              <a:srgbClr val="009969"/>
            </a:solidFill>
            <a:latin typeface="Arial" pitchFamily="34" charset="0"/>
            <a:cs typeface="Arial" pitchFamily="34" charset="0"/>
          </a:endParaRPr>
        </a:p>
        <a:p>
          <a:pPr algn="l" rtl="0">
            <a:defRPr sz="1000"/>
          </a:pPr>
          <a:endParaRPr lang="es-MX" sz="1400" b="1" i="1" u="none" strike="noStrike" baseline="0">
            <a:solidFill>
              <a:srgbClr val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790575</xdr:colOff>
      <xdr:row>4</xdr:row>
      <xdr:rowOff>123825</xdr:rowOff>
    </xdr:to>
    <xdr:pic>
      <xdr:nvPicPr>
        <xdr:cNvPr id="5" name="Picture 9" descr="C:\Users\francis.munguia\Desktop\LogotipoCFE_verde.jpg">
          <a:extLst>
            <a:ext uri="{FF2B5EF4-FFF2-40B4-BE49-F238E27FC236}">
              <a16:creationId xmlns:a16="http://schemas.microsoft.com/office/drawing/2014/main" xmlns="" id="{00000000-0008-0000-6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E"/>
            </a:clrFrom>
            <a:clrTo>
              <a:srgbClr val="FFFF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720" b="23125"/>
        <a:stretch>
          <a:fillRect/>
        </a:stretch>
      </xdr:blipFill>
      <xdr:spPr bwMode="auto">
        <a:xfrm>
          <a:off x="1130300" y="165100"/>
          <a:ext cx="2022475" cy="669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781050</xdr:colOff>
      <xdr:row>10</xdr:row>
      <xdr:rowOff>161925</xdr:rowOff>
    </xdr:from>
    <xdr:to>
      <xdr:col>12</xdr:col>
      <xdr:colOff>874057</xdr:colOff>
      <xdr:row>12</xdr:row>
      <xdr:rowOff>133350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xmlns="" id="{00000000-0008-0000-6600-000006000000}"/>
            </a:ext>
          </a:extLst>
        </xdr:cNvPr>
        <xdr:cNvSpPr txBox="1"/>
      </xdr:nvSpPr>
      <xdr:spPr>
        <a:xfrm>
          <a:off x="12541250" y="2092325"/>
          <a:ext cx="1312207" cy="4540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Abril</a:t>
          </a:r>
          <a:r>
            <a:rPr lang="es-MX" sz="1100" b="1" baseline="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 2019</a:t>
          </a:r>
          <a:endParaRPr lang="es-MX" sz="1100" b="1">
            <a:solidFill>
              <a:srgbClr val="FF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180975</xdr:colOff>
      <xdr:row>4</xdr:row>
      <xdr:rowOff>114301</xdr:rowOff>
    </xdr:from>
    <xdr:to>
      <xdr:col>11</xdr:col>
      <xdr:colOff>923925</xdr:colOff>
      <xdr:row>7</xdr:row>
      <xdr:rowOff>9526</xdr:rowOff>
    </xdr:to>
    <xdr:sp macro="" textlink="">
      <xdr:nvSpPr>
        <xdr:cNvPr id="7" name="Cuadro de texto 1">
          <a:extLst>
            <a:ext uri="{FF2B5EF4-FFF2-40B4-BE49-F238E27FC236}">
              <a16:creationId xmlns:a16="http://schemas.microsoft.com/office/drawing/2014/main" xmlns="" id="{00000000-0008-0000-6600-000007000000}"/>
            </a:ext>
          </a:extLst>
        </xdr:cNvPr>
        <xdr:cNvSpPr txBox="1">
          <a:spLocks noChangeArrowheads="1"/>
        </xdr:cNvSpPr>
      </xdr:nvSpPr>
      <xdr:spPr bwMode="auto">
        <a:xfrm>
          <a:off x="1311275" y="825501"/>
          <a:ext cx="11372850" cy="390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MX" sz="1400" b="1" i="0" u="none" strike="noStrike" baseline="0">
              <a:solidFill>
                <a:srgbClr val="000000"/>
              </a:solidFill>
              <a:latin typeface="Arial" pitchFamily="34" charset="0"/>
              <a:cs typeface="Arial" pitchFamily="34" charset="0"/>
            </a:rPr>
            <a:t>REVISION DE FACTURACION DE COMBUSTIBLES</a:t>
          </a:r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3</xdr:col>
      <xdr:colOff>384922</xdr:colOff>
      <xdr:row>10</xdr:row>
      <xdr:rowOff>212912</xdr:rowOff>
    </xdr:to>
    <xdr:sp macro="" textlink="">
      <xdr:nvSpPr>
        <xdr:cNvPr id="8" name="TextBox 8">
          <a:extLst>
            <a:ext uri="{FF2B5EF4-FFF2-40B4-BE49-F238E27FC236}">
              <a16:creationId xmlns:a16="http://schemas.microsoft.com/office/drawing/2014/main" xmlns="" id="{00000000-0008-0000-6600-000008000000}"/>
            </a:ext>
          </a:extLst>
        </xdr:cNvPr>
        <xdr:cNvSpPr txBox="1"/>
      </xdr:nvSpPr>
      <xdr:spPr>
        <a:xfrm>
          <a:off x="1130300" y="1930400"/>
          <a:ext cx="1616822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Tipo de Combustible:</a:t>
          </a:r>
        </a:p>
      </xdr:txBody>
    </xdr:sp>
    <xdr:clientData/>
  </xdr:twoCellAnchor>
  <xdr:twoCellAnchor>
    <xdr:from>
      <xdr:col>3</xdr:col>
      <xdr:colOff>381000</xdr:colOff>
      <xdr:row>10</xdr:row>
      <xdr:rowOff>0</xdr:rowOff>
    </xdr:from>
    <xdr:to>
      <xdr:col>5</xdr:col>
      <xdr:colOff>1209675</xdr:colOff>
      <xdr:row>10</xdr:row>
      <xdr:rowOff>228600</xdr:rowOff>
    </xdr:to>
    <xdr:sp macro="" textlink="">
      <xdr:nvSpPr>
        <xdr:cNvPr id="9" name="TextBox 9">
          <a:extLst>
            <a:ext uri="{FF2B5EF4-FFF2-40B4-BE49-F238E27FC236}">
              <a16:creationId xmlns:a16="http://schemas.microsoft.com/office/drawing/2014/main" xmlns="" id="{00000000-0008-0000-6600-000009000000}"/>
            </a:ext>
          </a:extLst>
        </xdr:cNvPr>
        <xdr:cNvSpPr txBox="1"/>
      </xdr:nvSpPr>
      <xdr:spPr>
        <a:xfrm>
          <a:off x="2743200" y="1930400"/>
          <a:ext cx="3190875" cy="228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>
              <a:solidFill>
                <a:srgbClr val="FF0000"/>
              </a:solidFill>
              <a:effectLst/>
              <a:latin typeface="Arial" panose="020B0604020202020204" pitchFamily="34" charset="0"/>
              <a:cs typeface="Arial" panose="020B0604020202020204" pitchFamily="34" charset="0"/>
            </a:rPr>
            <a:t>GAS NATURAL</a:t>
          </a:r>
        </a:p>
      </xdr:txBody>
    </xdr:sp>
    <xdr:clientData/>
  </xdr:twoCellAnchor>
  <xdr:twoCellAnchor>
    <xdr:from>
      <xdr:col>3</xdr:col>
      <xdr:colOff>380999</xdr:colOff>
      <xdr:row>10</xdr:row>
      <xdr:rowOff>219075</xdr:rowOff>
    </xdr:from>
    <xdr:to>
      <xdr:col>6</xdr:col>
      <xdr:colOff>504825</xdr:colOff>
      <xdr:row>11</xdr:row>
      <xdr:rowOff>200025</xdr:rowOff>
    </xdr:to>
    <xdr:sp macro="" textlink="">
      <xdr:nvSpPr>
        <xdr:cNvPr id="10" name="TextBox 10">
          <a:extLst>
            <a:ext uri="{FF2B5EF4-FFF2-40B4-BE49-F238E27FC236}">
              <a16:creationId xmlns:a16="http://schemas.microsoft.com/office/drawing/2014/main" xmlns="" id="{00000000-0008-0000-6600-00000A000000}"/>
            </a:ext>
          </a:extLst>
        </xdr:cNvPr>
        <xdr:cNvSpPr txBox="1"/>
      </xdr:nvSpPr>
      <xdr:spPr>
        <a:xfrm>
          <a:off x="2743199" y="2149475"/>
          <a:ext cx="3806826" cy="2222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MX" sz="1000" b="1" u="sng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TRANSPORTE POR GASODUCTO</a:t>
          </a:r>
        </a:p>
      </xdr:txBody>
    </xdr:sp>
    <xdr:clientData/>
  </xdr:twoCellAnchor>
  <xdr:twoCellAnchor>
    <xdr:from>
      <xdr:col>2</xdr:col>
      <xdr:colOff>0</xdr:colOff>
      <xdr:row>10</xdr:row>
      <xdr:rowOff>228600</xdr:rowOff>
    </xdr:from>
    <xdr:to>
      <xdr:col>3</xdr:col>
      <xdr:colOff>384922</xdr:colOff>
      <xdr:row>11</xdr:row>
      <xdr:rowOff>193862</xdr:rowOff>
    </xdr:to>
    <xdr:sp macro="" textlink="">
      <xdr:nvSpPr>
        <xdr:cNvPr id="11" name="TextBox 13">
          <a:extLst>
            <a:ext uri="{FF2B5EF4-FFF2-40B4-BE49-F238E27FC236}">
              <a16:creationId xmlns:a16="http://schemas.microsoft.com/office/drawing/2014/main" xmlns="" id="{00000000-0008-0000-6600-00000B000000}"/>
            </a:ext>
          </a:extLst>
        </xdr:cNvPr>
        <xdr:cNvSpPr txBox="1"/>
      </xdr:nvSpPr>
      <xdr:spPr>
        <a:xfrm>
          <a:off x="1130300" y="2159000"/>
          <a:ext cx="1616822" cy="20656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Tipo de Servicio:</a:t>
          </a: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3</xdr:col>
      <xdr:colOff>384922</xdr:colOff>
      <xdr:row>8</xdr:row>
      <xdr:rowOff>212912</xdr:rowOff>
    </xdr:to>
    <xdr:sp macro="" textlink="">
      <xdr:nvSpPr>
        <xdr:cNvPr id="12" name="TextBox 21">
          <a:extLst>
            <a:ext uri="{FF2B5EF4-FFF2-40B4-BE49-F238E27FC236}">
              <a16:creationId xmlns:a16="http://schemas.microsoft.com/office/drawing/2014/main" xmlns="" id="{00000000-0008-0000-6600-00000C000000}"/>
            </a:ext>
          </a:extLst>
        </xdr:cNvPr>
        <xdr:cNvSpPr txBox="1"/>
      </xdr:nvSpPr>
      <xdr:spPr>
        <a:xfrm>
          <a:off x="1130300" y="1447800"/>
          <a:ext cx="1616822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Proveedor:</a:t>
          </a:r>
        </a:p>
        <a:p>
          <a:pPr algn="l"/>
          <a:endParaRPr lang="es-MX" sz="10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380999</xdr:colOff>
      <xdr:row>7</xdr:row>
      <xdr:rowOff>238126</xdr:rowOff>
    </xdr:from>
    <xdr:to>
      <xdr:col>7</xdr:col>
      <xdr:colOff>161924</xdr:colOff>
      <xdr:row>8</xdr:row>
      <xdr:rowOff>228600</xdr:rowOff>
    </xdr:to>
    <xdr:sp macro="" textlink="">
      <xdr:nvSpPr>
        <xdr:cNvPr id="13" name="TextBox 22">
          <a:extLst>
            <a:ext uri="{FF2B5EF4-FFF2-40B4-BE49-F238E27FC236}">
              <a16:creationId xmlns:a16="http://schemas.microsoft.com/office/drawing/2014/main" xmlns="" id="{00000000-0008-0000-6600-00000D000000}"/>
            </a:ext>
          </a:extLst>
        </xdr:cNvPr>
        <xdr:cNvSpPr txBox="1"/>
      </xdr:nvSpPr>
      <xdr:spPr>
        <a:xfrm>
          <a:off x="2743199" y="1444626"/>
          <a:ext cx="4479925" cy="23177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(4326979</a:t>
          </a:r>
          <a:r>
            <a:rPr lang="es-MX" sz="1000" b="1" i="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) </a:t>
          </a:r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TARAHUMARA PIPELINE S DE RL DE CV </a:t>
          </a:r>
          <a:endParaRPr lang="es-MX" sz="1000" u="sng">
            <a:solidFill>
              <a:srgbClr val="FF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0</xdr:colOff>
      <xdr:row>9</xdr:row>
      <xdr:rowOff>0</xdr:rowOff>
    </xdr:from>
    <xdr:to>
      <xdr:col>3</xdr:col>
      <xdr:colOff>384922</xdr:colOff>
      <xdr:row>9</xdr:row>
      <xdr:rowOff>212912</xdr:rowOff>
    </xdr:to>
    <xdr:sp macro="" textlink="">
      <xdr:nvSpPr>
        <xdr:cNvPr id="14" name="TextBox 23">
          <a:extLst>
            <a:ext uri="{FF2B5EF4-FFF2-40B4-BE49-F238E27FC236}">
              <a16:creationId xmlns:a16="http://schemas.microsoft.com/office/drawing/2014/main" xmlns="" id="{00000000-0008-0000-6600-00000E000000}"/>
            </a:ext>
          </a:extLst>
        </xdr:cNvPr>
        <xdr:cNvSpPr txBox="1"/>
      </xdr:nvSpPr>
      <xdr:spPr>
        <a:xfrm>
          <a:off x="1130300" y="1689100"/>
          <a:ext cx="1616822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Contrato:</a:t>
          </a:r>
        </a:p>
      </xdr:txBody>
    </xdr:sp>
    <xdr:clientData/>
  </xdr:twoCellAnchor>
  <xdr:twoCellAnchor>
    <xdr:from>
      <xdr:col>3</xdr:col>
      <xdr:colOff>381000</xdr:colOff>
      <xdr:row>9</xdr:row>
      <xdr:rowOff>19051</xdr:rowOff>
    </xdr:from>
    <xdr:to>
      <xdr:col>5</xdr:col>
      <xdr:colOff>1114425</xdr:colOff>
      <xdr:row>9</xdr:row>
      <xdr:rowOff>228601</xdr:rowOff>
    </xdr:to>
    <xdr:sp macro="" textlink="">
      <xdr:nvSpPr>
        <xdr:cNvPr id="15" name="TextBox 24">
          <a:extLst>
            <a:ext uri="{FF2B5EF4-FFF2-40B4-BE49-F238E27FC236}">
              <a16:creationId xmlns:a16="http://schemas.microsoft.com/office/drawing/2014/main" xmlns="" id="{00000000-0008-0000-6600-00000F000000}"/>
            </a:ext>
          </a:extLst>
        </xdr:cNvPr>
        <xdr:cNvSpPr txBox="1"/>
      </xdr:nvSpPr>
      <xdr:spPr>
        <a:xfrm>
          <a:off x="2743200" y="1708151"/>
          <a:ext cx="3095625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N° SE-CPSTGN-002/2011</a:t>
          </a:r>
          <a:endParaRPr lang="es-MX" sz="1000" u="sng">
            <a:solidFill>
              <a:srgbClr val="FF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247650</xdr:colOff>
      <xdr:row>60</xdr:row>
      <xdr:rowOff>133349</xdr:rowOff>
    </xdr:from>
    <xdr:to>
      <xdr:col>4</xdr:col>
      <xdr:colOff>454959</xdr:colOff>
      <xdr:row>65</xdr:row>
      <xdr:rowOff>78440</xdr:rowOff>
    </xdr:to>
    <xdr:sp macro="" textlink="">
      <xdr:nvSpPr>
        <xdr:cNvPr id="16" name="TextBox 19">
          <a:extLst>
            <a:ext uri="{FF2B5EF4-FFF2-40B4-BE49-F238E27FC236}">
              <a16:creationId xmlns:a16="http://schemas.microsoft.com/office/drawing/2014/main" xmlns="" id="{00000000-0008-0000-6600-000010000000}"/>
            </a:ext>
          </a:extLst>
        </xdr:cNvPr>
        <xdr:cNvSpPr txBox="1"/>
      </xdr:nvSpPr>
      <xdr:spPr>
        <a:xfrm>
          <a:off x="1085850" y="17252949"/>
          <a:ext cx="2696509" cy="77059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___________________________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Elaboro                                                  ing, Rogelio Gaytan BerrIel</a:t>
          </a:r>
        </a:p>
      </xdr:txBody>
    </xdr:sp>
    <xdr:clientData/>
  </xdr:twoCellAnchor>
  <xdr:twoCellAnchor>
    <xdr:from>
      <xdr:col>11</xdr:col>
      <xdr:colOff>414804</xdr:colOff>
      <xdr:row>60</xdr:row>
      <xdr:rowOff>95250</xdr:rowOff>
    </xdr:from>
    <xdr:to>
      <xdr:col>13</xdr:col>
      <xdr:colOff>834651</xdr:colOff>
      <xdr:row>65</xdr:row>
      <xdr:rowOff>59765</xdr:rowOff>
    </xdr:to>
    <xdr:sp macro="" textlink="">
      <xdr:nvSpPr>
        <xdr:cNvPr id="17" name="TextBox 20">
          <a:extLst>
            <a:ext uri="{FF2B5EF4-FFF2-40B4-BE49-F238E27FC236}">
              <a16:creationId xmlns:a16="http://schemas.microsoft.com/office/drawing/2014/main" xmlns="" id="{00000000-0008-0000-6600-000011000000}"/>
            </a:ext>
          </a:extLst>
        </xdr:cNvPr>
        <xdr:cNvSpPr txBox="1"/>
      </xdr:nvSpPr>
      <xdr:spPr>
        <a:xfrm>
          <a:off x="12175004" y="17214850"/>
          <a:ext cx="2794747" cy="7900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___________________________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Autorizo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Ing.</a:t>
          </a:r>
          <a:r>
            <a:rPr lang="es-MX" sz="1100" b="1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 Fernando Lopez Casillas</a:t>
          </a:r>
          <a:endParaRPr lang="es-MX" sz="11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876300</xdr:colOff>
      <xdr:row>5</xdr:row>
      <xdr:rowOff>133350</xdr:rowOff>
    </xdr:from>
    <xdr:to>
      <xdr:col>12</xdr:col>
      <xdr:colOff>876300</xdr:colOff>
      <xdr:row>6</xdr:row>
      <xdr:rowOff>171450</xdr:rowOff>
    </xdr:to>
    <xdr:sp macro="" textlink="">
      <xdr:nvSpPr>
        <xdr:cNvPr id="2" name="TextBox 6">
          <a:extLst>
            <a:ext uri="{FF2B5EF4-FFF2-40B4-BE49-F238E27FC236}">
              <a16:creationId xmlns:a16="http://schemas.microsoft.com/office/drawing/2014/main" xmlns="" id="{00000000-0008-0000-6700-000002000000}"/>
            </a:ext>
          </a:extLst>
        </xdr:cNvPr>
        <xdr:cNvSpPr txBox="1"/>
      </xdr:nvSpPr>
      <xdr:spPr>
        <a:xfrm>
          <a:off x="12636500" y="1009650"/>
          <a:ext cx="1219200" cy="190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FT-SR-XX</a:t>
          </a:r>
        </a:p>
      </xdr:txBody>
    </xdr:sp>
    <xdr:clientData/>
  </xdr:twoCellAnchor>
  <xdr:twoCellAnchor>
    <xdr:from>
      <xdr:col>2</xdr:col>
      <xdr:colOff>0</xdr:colOff>
      <xdr:row>0</xdr:row>
      <xdr:rowOff>0</xdr:rowOff>
    </xdr:from>
    <xdr:to>
      <xdr:col>12</xdr:col>
      <xdr:colOff>866775</xdr:colOff>
      <xdr:row>7</xdr:row>
      <xdr:rowOff>19050</xdr:rowOff>
    </xdr:to>
    <xdr:sp macro="" textlink="">
      <xdr:nvSpPr>
        <xdr:cNvPr id="3" name="AutoShape 17">
          <a:extLst>
            <a:ext uri="{FF2B5EF4-FFF2-40B4-BE49-F238E27FC236}">
              <a16:creationId xmlns:a16="http://schemas.microsoft.com/office/drawing/2014/main" xmlns="" id="{00000000-0008-0000-6700-000003000000}"/>
            </a:ext>
          </a:extLst>
        </xdr:cNvPr>
        <xdr:cNvSpPr>
          <a:spLocks noChangeArrowheads="1"/>
        </xdr:cNvSpPr>
      </xdr:nvSpPr>
      <xdr:spPr bwMode="auto">
        <a:xfrm>
          <a:off x="1130300" y="0"/>
          <a:ext cx="12715875" cy="1225550"/>
        </a:xfrm>
        <a:prstGeom prst="roundRect">
          <a:avLst>
            <a:gd name="adj" fmla="val 16667"/>
          </a:avLst>
        </a:prstGeom>
        <a:noFill/>
        <a:ln w="31750" cmpd="dbl">
          <a:solidFill>
            <a:srgbClr val="009967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161925</xdr:colOff>
      <xdr:row>0</xdr:row>
      <xdr:rowOff>85725</xdr:rowOff>
    </xdr:from>
    <xdr:to>
      <xdr:col>12</xdr:col>
      <xdr:colOff>817470</xdr:colOff>
      <xdr:row>4</xdr:row>
      <xdr:rowOff>152400</xdr:rowOff>
    </xdr:to>
    <xdr:sp macro="" textlink="">
      <xdr:nvSpPr>
        <xdr:cNvPr id="4" name="Cuadro de texto 1">
          <a:extLst>
            <a:ext uri="{FF2B5EF4-FFF2-40B4-BE49-F238E27FC236}">
              <a16:creationId xmlns:a16="http://schemas.microsoft.com/office/drawing/2014/main" xmlns="" id="{00000000-0008-0000-6700-000004000000}"/>
            </a:ext>
          </a:extLst>
        </xdr:cNvPr>
        <xdr:cNvSpPr txBox="1">
          <a:spLocks noChangeArrowheads="1"/>
        </xdr:cNvSpPr>
      </xdr:nvSpPr>
      <xdr:spPr bwMode="auto">
        <a:xfrm>
          <a:off x="8239125" y="85725"/>
          <a:ext cx="5557745" cy="777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r" rtl="0">
            <a:defRPr sz="1000"/>
          </a:pPr>
          <a:r>
            <a:rPr lang="es-MX" sz="1400" b="1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Dirección Corporativa de Operaciones</a:t>
          </a:r>
        </a:p>
        <a:p>
          <a:pPr algn="r" rtl="0">
            <a:defRPr sz="1000"/>
          </a:pPr>
          <a:r>
            <a:rPr lang="es-MX" sz="1400" b="0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               Subdirección de Negocios No Regulados</a:t>
          </a:r>
        </a:p>
        <a:p>
          <a:pPr algn="r" rtl="0">
            <a:defRPr sz="1000"/>
          </a:pPr>
          <a:r>
            <a:rPr lang="es-MX" sz="1400" b="0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Subgerencia Regional de Energéticos Norte</a:t>
          </a:r>
          <a:endParaRPr lang="es-MX" sz="1400" b="0" i="1" u="none" strike="noStrike" baseline="0">
            <a:solidFill>
              <a:srgbClr val="009969"/>
            </a:solidFill>
            <a:latin typeface="Arial" pitchFamily="34" charset="0"/>
            <a:cs typeface="Arial" pitchFamily="34" charset="0"/>
          </a:endParaRPr>
        </a:p>
        <a:p>
          <a:pPr algn="l" rtl="0">
            <a:defRPr sz="1000"/>
          </a:pPr>
          <a:endParaRPr lang="es-MX" sz="1400" b="1" i="1" u="none" strike="noStrike" baseline="0">
            <a:solidFill>
              <a:srgbClr val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790575</xdr:colOff>
      <xdr:row>4</xdr:row>
      <xdr:rowOff>123825</xdr:rowOff>
    </xdr:to>
    <xdr:pic>
      <xdr:nvPicPr>
        <xdr:cNvPr id="5" name="Picture 9" descr="C:\Users\francis.munguia\Desktop\LogotipoCFE_verde.jpg">
          <a:extLst>
            <a:ext uri="{FF2B5EF4-FFF2-40B4-BE49-F238E27FC236}">
              <a16:creationId xmlns:a16="http://schemas.microsoft.com/office/drawing/2014/main" xmlns="" id="{00000000-0008-0000-6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E"/>
            </a:clrFrom>
            <a:clrTo>
              <a:srgbClr val="FFFF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720" b="23125"/>
        <a:stretch>
          <a:fillRect/>
        </a:stretch>
      </xdr:blipFill>
      <xdr:spPr bwMode="auto">
        <a:xfrm>
          <a:off x="1130300" y="165100"/>
          <a:ext cx="2022475" cy="669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781050</xdr:colOff>
      <xdr:row>10</xdr:row>
      <xdr:rowOff>161925</xdr:rowOff>
    </xdr:from>
    <xdr:to>
      <xdr:col>12</xdr:col>
      <xdr:colOff>874057</xdr:colOff>
      <xdr:row>12</xdr:row>
      <xdr:rowOff>133350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xmlns="" id="{00000000-0008-0000-6700-000006000000}"/>
            </a:ext>
          </a:extLst>
        </xdr:cNvPr>
        <xdr:cNvSpPr txBox="1"/>
      </xdr:nvSpPr>
      <xdr:spPr>
        <a:xfrm>
          <a:off x="12541250" y="2092325"/>
          <a:ext cx="1312207" cy="4540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Mayo</a:t>
          </a:r>
          <a:r>
            <a:rPr lang="es-MX" sz="1100" b="1" baseline="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 2019</a:t>
          </a:r>
          <a:endParaRPr lang="es-MX" sz="1100" b="1">
            <a:solidFill>
              <a:srgbClr val="FF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180975</xdr:colOff>
      <xdr:row>4</xdr:row>
      <xdr:rowOff>114301</xdr:rowOff>
    </xdr:from>
    <xdr:to>
      <xdr:col>11</xdr:col>
      <xdr:colOff>923925</xdr:colOff>
      <xdr:row>7</xdr:row>
      <xdr:rowOff>9526</xdr:rowOff>
    </xdr:to>
    <xdr:sp macro="" textlink="">
      <xdr:nvSpPr>
        <xdr:cNvPr id="7" name="Cuadro de texto 1">
          <a:extLst>
            <a:ext uri="{FF2B5EF4-FFF2-40B4-BE49-F238E27FC236}">
              <a16:creationId xmlns:a16="http://schemas.microsoft.com/office/drawing/2014/main" xmlns="" id="{00000000-0008-0000-6700-000007000000}"/>
            </a:ext>
          </a:extLst>
        </xdr:cNvPr>
        <xdr:cNvSpPr txBox="1">
          <a:spLocks noChangeArrowheads="1"/>
        </xdr:cNvSpPr>
      </xdr:nvSpPr>
      <xdr:spPr bwMode="auto">
        <a:xfrm>
          <a:off x="1311275" y="825501"/>
          <a:ext cx="11372850" cy="390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MX" sz="1400" b="1" i="0" u="none" strike="noStrike" baseline="0">
              <a:solidFill>
                <a:srgbClr val="000000"/>
              </a:solidFill>
              <a:latin typeface="Arial" pitchFamily="34" charset="0"/>
              <a:cs typeface="Arial" pitchFamily="34" charset="0"/>
            </a:rPr>
            <a:t>REVISION DE FACTURACION DE COMBUSTIBLES</a:t>
          </a:r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3</xdr:col>
      <xdr:colOff>384922</xdr:colOff>
      <xdr:row>10</xdr:row>
      <xdr:rowOff>212912</xdr:rowOff>
    </xdr:to>
    <xdr:sp macro="" textlink="">
      <xdr:nvSpPr>
        <xdr:cNvPr id="8" name="TextBox 8">
          <a:extLst>
            <a:ext uri="{FF2B5EF4-FFF2-40B4-BE49-F238E27FC236}">
              <a16:creationId xmlns:a16="http://schemas.microsoft.com/office/drawing/2014/main" xmlns="" id="{00000000-0008-0000-6700-000008000000}"/>
            </a:ext>
          </a:extLst>
        </xdr:cNvPr>
        <xdr:cNvSpPr txBox="1"/>
      </xdr:nvSpPr>
      <xdr:spPr>
        <a:xfrm>
          <a:off x="1130300" y="1930400"/>
          <a:ext cx="1616822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Tipo de Combustible:</a:t>
          </a:r>
        </a:p>
      </xdr:txBody>
    </xdr:sp>
    <xdr:clientData/>
  </xdr:twoCellAnchor>
  <xdr:twoCellAnchor>
    <xdr:from>
      <xdr:col>3</xdr:col>
      <xdr:colOff>381000</xdr:colOff>
      <xdr:row>10</xdr:row>
      <xdr:rowOff>0</xdr:rowOff>
    </xdr:from>
    <xdr:to>
      <xdr:col>5</xdr:col>
      <xdr:colOff>1209675</xdr:colOff>
      <xdr:row>10</xdr:row>
      <xdr:rowOff>228600</xdr:rowOff>
    </xdr:to>
    <xdr:sp macro="" textlink="">
      <xdr:nvSpPr>
        <xdr:cNvPr id="9" name="TextBox 9">
          <a:extLst>
            <a:ext uri="{FF2B5EF4-FFF2-40B4-BE49-F238E27FC236}">
              <a16:creationId xmlns:a16="http://schemas.microsoft.com/office/drawing/2014/main" xmlns="" id="{00000000-0008-0000-6700-000009000000}"/>
            </a:ext>
          </a:extLst>
        </xdr:cNvPr>
        <xdr:cNvSpPr txBox="1"/>
      </xdr:nvSpPr>
      <xdr:spPr>
        <a:xfrm>
          <a:off x="2743200" y="1930400"/>
          <a:ext cx="3190875" cy="228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>
              <a:solidFill>
                <a:srgbClr val="FF0000"/>
              </a:solidFill>
              <a:effectLst/>
              <a:latin typeface="Arial" panose="020B0604020202020204" pitchFamily="34" charset="0"/>
              <a:cs typeface="Arial" panose="020B0604020202020204" pitchFamily="34" charset="0"/>
            </a:rPr>
            <a:t>GAS NATURAL</a:t>
          </a:r>
        </a:p>
      </xdr:txBody>
    </xdr:sp>
    <xdr:clientData/>
  </xdr:twoCellAnchor>
  <xdr:twoCellAnchor>
    <xdr:from>
      <xdr:col>3</xdr:col>
      <xdr:colOff>380999</xdr:colOff>
      <xdr:row>10</xdr:row>
      <xdr:rowOff>219075</xdr:rowOff>
    </xdr:from>
    <xdr:to>
      <xdr:col>6</xdr:col>
      <xdr:colOff>504825</xdr:colOff>
      <xdr:row>11</xdr:row>
      <xdr:rowOff>200025</xdr:rowOff>
    </xdr:to>
    <xdr:sp macro="" textlink="">
      <xdr:nvSpPr>
        <xdr:cNvPr id="10" name="TextBox 10">
          <a:extLst>
            <a:ext uri="{FF2B5EF4-FFF2-40B4-BE49-F238E27FC236}">
              <a16:creationId xmlns:a16="http://schemas.microsoft.com/office/drawing/2014/main" xmlns="" id="{00000000-0008-0000-6700-00000A000000}"/>
            </a:ext>
          </a:extLst>
        </xdr:cNvPr>
        <xdr:cNvSpPr txBox="1"/>
      </xdr:nvSpPr>
      <xdr:spPr>
        <a:xfrm>
          <a:off x="2743199" y="2149475"/>
          <a:ext cx="3806826" cy="2222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MX" sz="1000" b="1" u="sng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TRANSPORTE POR GASODUCTO</a:t>
          </a:r>
        </a:p>
      </xdr:txBody>
    </xdr:sp>
    <xdr:clientData/>
  </xdr:twoCellAnchor>
  <xdr:twoCellAnchor>
    <xdr:from>
      <xdr:col>2</xdr:col>
      <xdr:colOff>0</xdr:colOff>
      <xdr:row>10</xdr:row>
      <xdr:rowOff>228600</xdr:rowOff>
    </xdr:from>
    <xdr:to>
      <xdr:col>3</xdr:col>
      <xdr:colOff>384922</xdr:colOff>
      <xdr:row>11</xdr:row>
      <xdr:rowOff>193862</xdr:rowOff>
    </xdr:to>
    <xdr:sp macro="" textlink="">
      <xdr:nvSpPr>
        <xdr:cNvPr id="11" name="TextBox 13">
          <a:extLst>
            <a:ext uri="{FF2B5EF4-FFF2-40B4-BE49-F238E27FC236}">
              <a16:creationId xmlns:a16="http://schemas.microsoft.com/office/drawing/2014/main" xmlns="" id="{00000000-0008-0000-6700-00000B000000}"/>
            </a:ext>
          </a:extLst>
        </xdr:cNvPr>
        <xdr:cNvSpPr txBox="1"/>
      </xdr:nvSpPr>
      <xdr:spPr>
        <a:xfrm>
          <a:off x="1130300" y="2159000"/>
          <a:ext cx="1616822" cy="20656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Tipo de Servicio:</a:t>
          </a: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3</xdr:col>
      <xdr:colOff>384922</xdr:colOff>
      <xdr:row>8</xdr:row>
      <xdr:rowOff>212912</xdr:rowOff>
    </xdr:to>
    <xdr:sp macro="" textlink="">
      <xdr:nvSpPr>
        <xdr:cNvPr id="12" name="TextBox 21">
          <a:extLst>
            <a:ext uri="{FF2B5EF4-FFF2-40B4-BE49-F238E27FC236}">
              <a16:creationId xmlns:a16="http://schemas.microsoft.com/office/drawing/2014/main" xmlns="" id="{00000000-0008-0000-6700-00000C000000}"/>
            </a:ext>
          </a:extLst>
        </xdr:cNvPr>
        <xdr:cNvSpPr txBox="1"/>
      </xdr:nvSpPr>
      <xdr:spPr>
        <a:xfrm>
          <a:off x="1130300" y="1447800"/>
          <a:ext cx="1616822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Proveedor:</a:t>
          </a:r>
        </a:p>
        <a:p>
          <a:pPr algn="l"/>
          <a:endParaRPr lang="es-MX" sz="10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380999</xdr:colOff>
      <xdr:row>7</xdr:row>
      <xdr:rowOff>238126</xdr:rowOff>
    </xdr:from>
    <xdr:to>
      <xdr:col>7</xdr:col>
      <xdr:colOff>161924</xdr:colOff>
      <xdr:row>8</xdr:row>
      <xdr:rowOff>228600</xdr:rowOff>
    </xdr:to>
    <xdr:sp macro="" textlink="">
      <xdr:nvSpPr>
        <xdr:cNvPr id="13" name="TextBox 22">
          <a:extLst>
            <a:ext uri="{FF2B5EF4-FFF2-40B4-BE49-F238E27FC236}">
              <a16:creationId xmlns:a16="http://schemas.microsoft.com/office/drawing/2014/main" xmlns="" id="{00000000-0008-0000-6700-00000D000000}"/>
            </a:ext>
          </a:extLst>
        </xdr:cNvPr>
        <xdr:cNvSpPr txBox="1"/>
      </xdr:nvSpPr>
      <xdr:spPr>
        <a:xfrm>
          <a:off x="2743199" y="1444626"/>
          <a:ext cx="4479925" cy="23177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(4326979</a:t>
          </a:r>
          <a:r>
            <a:rPr lang="es-MX" sz="1000" b="1" i="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) </a:t>
          </a:r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TARAHUMARA PIPELINE S DE RL DE CV </a:t>
          </a:r>
          <a:endParaRPr lang="es-MX" sz="1000" u="sng">
            <a:solidFill>
              <a:srgbClr val="FF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0</xdr:colOff>
      <xdr:row>9</xdr:row>
      <xdr:rowOff>0</xdr:rowOff>
    </xdr:from>
    <xdr:to>
      <xdr:col>3</xdr:col>
      <xdr:colOff>384922</xdr:colOff>
      <xdr:row>9</xdr:row>
      <xdr:rowOff>212912</xdr:rowOff>
    </xdr:to>
    <xdr:sp macro="" textlink="">
      <xdr:nvSpPr>
        <xdr:cNvPr id="14" name="TextBox 23">
          <a:extLst>
            <a:ext uri="{FF2B5EF4-FFF2-40B4-BE49-F238E27FC236}">
              <a16:creationId xmlns:a16="http://schemas.microsoft.com/office/drawing/2014/main" xmlns="" id="{00000000-0008-0000-6700-00000E000000}"/>
            </a:ext>
          </a:extLst>
        </xdr:cNvPr>
        <xdr:cNvSpPr txBox="1"/>
      </xdr:nvSpPr>
      <xdr:spPr>
        <a:xfrm>
          <a:off x="1130300" y="1689100"/>
          <a:ext cx="1616822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Contrato:</a:t>
          </a:r>
        </a:p>
      </xdr:txBody>
    </xdr:sp>
    <xdr:clientData/>
  </xdr:twoCellAnchor>
  <xdr:twoCellAnchor>
    <xdr:from>
      <xdr:col>3</xdr:col>
      <xdr:colOff>381000</xdr:colOff>
      <xdr:row>9</xdr:row>
      <xdr:rowOff>19051</xdr:rowOff>
    </xdr:from>
    <xdr:to>
      <xdr:col>5</xdr:col>
      <xdr:colOff>1114425</xdr:colOff>
      <xdr:row>9</xdr:row>
      <xdr:rowOff>228601</xdr:rowOff>
    </xdr:to>
    <xdr:sp macro="" textlink="">
      <xdr:nvSpPr>
        <xdr:cNvPr id="15" name="TextBox 24">
          <a:extLst>
            <a:ext uri="{FF2B5EF4-FFF2-40B4-BE49-F238E27FC236}">
              <a16:creationId xmlns:a16="http://schemas.microsoft.com/office/drawing/2014/main" xmlns="" id="{00000000-0008-0000-6700-00000F000000}"/>
            </a:ext>
          </a:extLst>
        </xdr:cNvPr>
        <xdr:cNvSpPr txBox="1"/>
      </xdr:nvSpPr>
      <xdr:spPr>
        <a:xfrm>
          <a:off x="2743200" y="1708151"/>
          <a:ext cx="3095625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N° SE-CPSTGN-002/2011</a:t>
          </a:r>
          <a:endParaRPr lang="es-MX" sz="1000" u="sng">
            <a:solidFill>
              <a:srgbClr val="FF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247650</xdr:colOff>
      <xdr:row>60</xdr:row>
      <xdr:rowOff>133349</xdr:rowOff>
    </xdr:from>
    <xdr:to>
      <xdr:col>4</xdr:col>
      <xdr:colOff>454959</xdr:colOff>
      <xdr:row>65</xdr:row>
      <xdr:rowOff>78440</xdr:rowOff>
    </xdr:to>
    <xdr:sp macro="" textlink="">
      <xdr:nvSpPr>
        <xdr:cNvPr id="16" name="TextBox 19">
          <a:extLst>
            <a:ext uri="{FF2B5EF4-FFF2-40B4-BE49-F238E27FC236}">
              <a16:creationId xmlns:a16="http://schemas.microsoft.com/office/drawing/2014/main" xmlns="" id="{00000000-0008-0000-6700-000010000000}"/>
            </a:ext>
          </a:extLst>
        </xdr:cNvPr>
        <xdr:cNvSpPr txBox="1"/>
      </xdr:nvSpPr>
      <xdr:spPr>
        <a:xfrm>
          <a:off x="1085850" y="17252949"/>
          <a:ext cx="2696509" cy="77059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___________________________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Elaboro                                                  ing, Rogelio Gaytan BerrIel</a:t>
          </a:r>
        </a:p>
      </xdr:txBody>
    </xdr:sp>
    <xdr:clientData/>
  </xdr:twoCellAnchor>
  <xdr:twoCellAnchor>
    <xdr:from>
      <xdr:col>11</xdr:col>
      <xdr:colOff>414804</xdr:colOff>
      <xdr:row>60</xdr:row>
      <xdr:rowOff>95250</xdr:rowOff>
    </xdr:from>
    <xdr:to>
      <xdr:col>13</xdr:col>
      <xdr:colOff>834651</xdr:colOff>
      <xdr:row>65</xdr:row>
      <xdr:rowOff>59765</xdr:rowOff>
    </xdr:to>
    <xdr:sp macro="" textlink="">
      <xdr:nvSpPr>
        <xdr:cNvPr id="17" name="TextBox 20">
          <a:extLst>
            <a:ext uri="{FF2B5EF4-FFF2-40B4-BE49-F238E27FC236}">
              <a16:creationId xmlns:a16="http://schemas.microsoft.com/office/drawing/2014/main" xmlns="" id="{00000000-0008-0000-6700-000011000000}"/>
            </a:ext>
          </a:extLst>
        </xdr:cNvPr>
        <xdr:cNvSpPr txBox="1"/>
      </xdr:nvSpPr>
      <xdr:spPr>
        <a:xfrm>
          <a:off x="12175004" y="17214850"/>
          <a:ext cx="2794747" cy="7900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___________________________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Autorizo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Ing.</a:t>
          </a:r>
          <a:r>
            <a:rPr lang="es-MX" sz="1100" b="1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 Fernando Lopez Casillas</a:t>
          </a:r>
          <a:endParaRPr lang="es-MX" sz="11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876300</xdr:colOff>
      <xdr:row>5</xdr:row>
      <xdr:rowOff>133350</xdr:rowOff>
    </xdr:from>
    <xdr:to>
      <xdr:col>12</xdr:col>
      <xdr:colOff>876300</xdr:colOff>
      <xdr:row>6</xdr:row>
      <xdr:rowOff>171450</xdr:rowOff>
    </xdr:to>
    <xdr:sp macro="" textlink="">
      <xdr:nvSpPr>
        <xdr:cNvPr id="2" name="TextBox 6">
          <a:extLst>
            <a:ext uri="{FF2B5EF4-FFF2-40B4-BE49-F238E27FC236}">
              <a16:creationId xmlns:a16="http://schemas.microsoft.com/office/drawing/2014/main" xmlns="" id="{00000000-0008-0000-6800-000002000000}"/>
            </a:ext>
          </a:extLst>
        </xdr:cNvPr>
        <xdr:cNvSpPr txBox="1"/>
      </xdr:nvSpPr>
      <xdr:spPr>
        <a:xfrm>
          <a:off x="12636500" y="1009650"/>
          <a:ext cx="1219200" cy="190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FT-SR-XX</a:t>
          </a:r>
        </a:p>
      </xdr:txBody>
    </xdr:sp>
    <xdr:clientData/>
  </xdr:twoCellAnchor>
  <xdr:twoCellAnchor>
    <xdr:from>
      <xdr:col>2</xdr:col>
      <xdr:colOff>0</xdr:colOff>
      <xdr:row>0</xdr:row>
      <xdr:rowOff>0</xdr:rowOff>
    </xdr:from>
    <xdr:to>
      <xdr:col>12</xdr:col>
      <xdr:colOff>866775</xdr:colOff>
      <xdr:row>7</xdr:row>
      <xdr:rowOff>19050</xdr:rowOff>
    </xdr:to>
    <xdr:sp macro="" textlink="">
      <xdr:nvSpPr>
        <xdr:cNvPr id="3" name="AutoShape 17">
          <a:extLst>
            <a:ext uri="{FF2B5EF4-FFF2-40B4-BE49-F238E27FC236}">
              <a16:creationId xmlns:a16="http://schemas.microsoft.com/office/drawing/2014/main" xmlns="" id="{00000000-0008-0000-6800-000003000000}"/>
            </a:ext>
          </a:extLst>
        </xdr:cNvPr>
        <xdr:cNvSpPr>
          <a:spLocks noChangeArrowheads="1"/>
        </xdr:cNvSpPr>
      </xdr:nvSpPr>
      <xdr:spPr bwMode="auto">
        <a:xfrm>
          <a:off x="1130300" y="0"/>
          <a:ext cx="12715875" cy="1225550"/>
        </a:xfrm>
        <a:prstGeom prst="roundRect">
          <a:avLst>
            <a:gd name="adj" fmla="val 16667"/>
          </a:avLst>
        </a:prstGeom>
        <a:noFill/>
        <a:ln w="31750" cmpd="dbl">
          <a:solidFill>
            <a:srgbClr val="009967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161925</xdr:colOff>
      <xdr:row>0</xdr:row>
      <xdr:rowOff>85725</xdr:rowOff>
    </xdr:from>
    <xdr:to>
      <xdr:col>12</xdr:col>
      <xdr:colOff>817470</xdr:colOff>
      <xdr:row>4</xdr:row>
      <xdr:rowOff>152400</xdr:rowOff>
    </xdr:to>
    <xdr:sp macro="" textlink="">
      <xdr:nvSpPr>
        <xdr:cNvPr id="4" name="Cuadro de texto 1">
          <a:extLst>
            <a:ext uri="{FF2B5EF4-FFF2-40B4-BE49-F238E27FC236}">
              <a16:creationId xmlns:a16="http://schemas.microsoft.com/office/drawing/2014/main" xmlns="" id="{00000000-0008-0000-6800-000004000000}"/>
            </a:ext>
          </a:extLst>
        </xdr:cNvPr>
        <xdr:cNvSpPr txBox="1">
          <a:spLocks noChangeArrowheads="1"/>
        </xdr:cNvSpPr>
      </xdr:nvSpPr>
      <xdr:spPr bwMode="auto">
        <a:xfrm>
          <a:off x="8239125" y="85725"/>
          <a:ext cx="5557745" cy="777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r" rtl="0">
            <a:defRPr sz="1000"/>
          </a:pPr>
          <a:r>
            <a:rPr lang="es-MX" sz="1400" b="1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Dirección Corporativa de Operaciones</a:t>
          </a:r>
        </a:p>
        <a:p>
          <a:pPr algn="r" rtl="0">
            <a:defRPr sz="1000"/>
          </a:pPr>
          <a:r>
            <a:rPr lang="es-MX" sz="1400" b="0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               Subdirección de Negocios No Regulados</a:t>
          </a:r>
        </a:p>
        <a:p>
          <a:pPr algn="r" rtl="0">
            <a:defRPr sz="1000"/>
          </a:pPr>
          <a:r>
            <a:rPr lang="es-MX" sz="1400" b="0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Subgerencia Regional de Energéticos Norte</a:t>
          </a:r>
          <a:endParaRPr lang="es-MX" sz="1400" b="0" i="1" u="none" strike="noStrike" baseline="0">
            <a:solidFill>
              <a:srgbClr val="009969"/>
            </a:solidFill>
            <a:latin typeface="Arial" pitchFamily="34" charset="0"/>
            <a:cs typeface="Arial" pitchFamily="34" charset="0"/>
          </a:endParaRPr>
        </a:p>
        <a:p>
          <a:pPr algn="l" rtl="0">
            <a:defRPr sz="1000"/>
          </a:pPr>
          <a:endParaRPr lang="es-MX" sz="1400" b="1" i="1" u="none" strike="noStrike" baseline="0">
            <a:solidFill>
              <a:srgbClr val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790575</xdr:colOff>
      <xdr:row>4</xdr:row>
      <xdr:rowOff>123825</xdr:rowOff>
    </xdr:to>
    <xdr:pic>
      <xdr:nvPicPr>
        <xdr:cNvPr id="5" name="Picture 9" descr="C:\Users\francis.munguia\Desktop\LogotipoCFE_verde.jpg">
          <a:extLst>
            <a:ext uri="{FF2B5EF4-FFF2-40B4-BE49-F238E27FC236}">
              <a16:creationId xmlns:a16="http://schemas.microsoft.com/office/drawing/2014/main" xmlns="" id="{00000000-0008-0000-6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E"/>
            </a:clrFrom>
            <a:clrTo>
              <a:srgbClr val="FFFF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720" b="23125"/>
        <a:stretch>
          <a:fillRect/>
        </a:stretch>
      </xdr:blipFill>
      <xdr:spPr bwMode="auto">
        <a:xfrm>
          <a:off x="1130300" y="165100"/>
          <a:ext cx="2022475" cy="669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781050</xdr:colOff>
      <xdr:row>10</xdr:row>
      <xdr:rowOff>161925</xdr:rowOff>
    </xdr:from>
    <xdr:to>
      <xdr:col>12</xdr:col>
      <xdr:colOff>874057</xdr:colOff>
      <xdr:row>12</xdr:row>
      <xdr:rowOff>133350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xmlns="" id="{00000000-0008-0000-6800-000006000000}"/>
            </a:ext>
          </a:extLst>
        </xdr:cNvPr>
        <xdr:cNvSpPr txBox="1"/>
      </xdr:nvSpPr>
      <xdr:spPr>
        <a:xfrm>
          <a:off x="12541250" y="2092325"/>
          <a:ext cx="1312207" cy="4540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Junio</a:t>
          </a:r>
          <a:r>
            <a:rPr lang="es-MX" sz="1100" b="1" baseline="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 2019</a:t>
          </a:r>
          <a:endParaRPr lang="es-MX" sz="1100" b="1">
            <a:solidFill>
              <a:srgbClr val="FF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180975</xdr:colOff>
      <xdr:row>4</xdr:row>
      <xdr:rowOff>114301</xdr:rowOff>
    </xdr:from>
    <xdr:to>
      <xdr:col>11</xdr:col>
      <xdr:colOff>923925</xdr:colOff>
      <xdr:row>7</xdr:row>
      <xdr:rowOff>9526</xdr:rowOff>
    </xdr:to>
    <xdr:sp macro="" textlink="">
      <xdr:nvSpPr>
        <xdr:cNvPr id="7" name="Cuadro de texto 1">
          <a:extLst>
            <a:ext uri="{FF2B5EF4-FFF2-40B4-BE49-F238E27FC236}">
              <a16:creationId xmlns:a16="http://schemas.microsoft.com/office/drawing/2014/main" xmlns="" id="{00000000-0008-0000-6800-000007000000}"/>
            </a:ext>
          </a:extLst>
        </xdr:cNvPr>
        <xdr:cNvSpPr txBox="1">
          <a:spLocks noChangeArrowheads="1"/>
        </xdr:cNvSpPr>
      </xdr:nvSpPr>
      <xdr:spPr bwMode="auto">
        <a:xfrm>
          <a:off x="1311275" y="825501"/>
          <a:ext cx="11372850" cy="390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MX" sz="1400" b="1" i="0" u="none" strike="noStrike" baseline="0">
              <a:solidFill>
                <a:srgbClr val="000000"/>
              </a:solidFill>
              <a:latin typeface="Arial" pitchFamily="34" charset="0"/>
              <a:cs typeface="Arial" pitchFamily="34" charset="0"/>
            </a:rPr>
            <a:t>REVISION DE FACTURACION DE COMBUSTIBLES</a:t>
          </a:r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3</xdr:col>
      <xdr:colOff>384922</xdr:colOff>
      <xdr:row>10</xdr:row>
      <xdr:rowOff>212912</xdr:rowOff>
    </xdr:to>
    <xdr:sp macro="" textlink="">
      <xdr:nvSpPr>
        <xdr:cNvPr id="8" name="TextBox 8">
          <a:extLst>
            <a:ext uri="{FF2B5EF4-FFF2-40B4-BE49-F238E27FC236}">
              <a16:creationId xmlns:a16="http://schemas.microsoft.com/office/drawing/2014/main" xmlns="" id="{00000000-0008-0000-6800-000008000000}"/>
            </a:ext>
          </a:extLst>
        </xdr:cNvPr>
        <xdr:cNvSpPr txBox="1"/>
      </xdr:nvSpPr>
      <xdr:spPr>
        <a:xfrm>
          <a:off x="1130300" y="1930400"/>
          <a:ext cx="1616822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Tipo de Combustible:</a:t>
          </a:r>
        </a:p>
      </xdr:txBody>
    </xdr:sp>
    <xdr:clientData/>
  </xdr:twoCellAnchor>
  <xdr:twoCellAnchor>
    <xdr:from>
      <xdr:col>3</xdr:col>
      <xdr:colOff>381000</xdr:colOff>
      <xdr:row>10</xdr:row>
      <xdr:rowOff>0</xdr:rowOff>
    </xdr:from>
    <xdr:to>
      <xdr:col>5</xdr:col>
      <xdr:colOff>1209675</xdr:colOff>
      <xdr:row>10</xdr:row>
      <xdr:rowOff>228600</xdr:rowOff>
    </xdr:to>
    <xdr:sp macro="" textlink="">
      <xdr:nvSpPr>
        <xdr:cNvPr id="9" name="TextBox 9">
          <a:extLst>
            <a:ext uri="{FF2B5EF4-FFF2-40B4-BE49-F238E27FC236}">
              <a16:creationId xmlns:a16="http://schemas.microsoft.com/office/drawing/2014/main" xmlns="" id="{00000000-0008-0000-6800-000009000000}"/>
            </a:ext>
          </a:extLst>
        </xdr:cNvPr>
        <xdr:cNvSpPr txBox="1"/>
      </xdr:nvSpPr>
      <xdr:spPr>
        <a:xfrm>
          <a:off x="2743200" y="1930400"/>
          <a:ext cx="3190875" cy="228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>
              <a:solidFill>
                <a:srgbClr val="FF0000"/>
              </a:solidFill>
              <a:effectLst/>
              <a:latin typeface="Arial" panose="020B0604020202020204" pitchFamily="34" charset="0"/>
              <a:cs typeface="Arial" panose="020B0604020202020204" pitchFamily="34" charset="0"/>
            </a:rPr>
            <a:t>GAS NATURAL</a:t>
          </a:r>
        </a:p>
      </xdr:txBody>
    </xdr:sp>
    <xdr:clientData/>
  </xdr:twoCellAnchor>
  <xdr:twoCellAnchor>
    <xdr:from>
      <xdr:col>3</xdr:col>
      <xdr:colOff>380999</xdr:colOff>
      <xdr:row>10</xdr:row>
      <xdr:rowOff>219075</xdr:rowOff>
    </xdr:from>
    <xdr:to>
      <xdr:col>6</xdr:col>
      <xdr:colOff>504825</xdr:colOff>
      <xdr:row>11</xdr:row>
      <xdr:rowOff>200025</xdr:rowOff>
    </xdr:to>
    <xdr:sp macro="" textlink="">
      <xdr:nvSpPr>
        <xdr:cNvPr id="10" name="TextBox 10">
          <a:extLst>
            <a:ext uri="{FF2B5EF4-FFF2-40B4-BE49-F238E27FC236}">
              <a16:creationId xmlns:a16="http://schemas.microsoft.com/office/drawing/2014/main" xmlns="" id="{00000000-0008-0000-6800-00000A000000}"/>
            </a:ext>
          </a:extLst>
        </xdr:cNvPr>
        <xdr:cNvSpPr txBox="1"/>
      </xdr:nvSpPr>
      <xdr:spPr>
        <a:xfrm>
          <a:off x="2743199" y="2149475"/>
          <a:ext cx="3806826" cy="2222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MX" sz="1000" b="1" u="sng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TRANSPORTE POR GASODUCTO</a:t>
          </a:r>
        </a:p>
      </xdr:txBody>
    </xdr:sp>
    <xdr:clientData/>
  </xdr:twoCellAnchor>
  <xdr:twoCellAnchor>
    <xdr:from>
      <xdr:col>2</xdr:col>
      <xdr:colOff>0</xdr:colOff>
      <xdr:row>10</xdr:row>
      <xdr:rowOff>228600</xdr:rowOff>
    </xdr:from>
    <xdr:to>
      <xdr:col>3</xdr:col>
      <xdr:colOff>384922</xdr:colOff>
      <xdr:row>11</xdr:row>
      <xdr:rowOff>193862</xdr:rowOff>
    </xdr:to>
    <xdr:sp macro="" textlink="">
      <xdr:nvSpPr>
        <xdr:cNvPr id="11" name="TextBox 13">
          <a:extLst>
            <a:ext uri="{FF2B5EF4-FFF2-40B4-BE49-F238E27FC236}">
              <a16:creationId xmlns:a16="http://schemas.microsoft.com/office/drawing/2014/main" xmlns="" id="{00000000-0008-0000-6800-00000B000000}"/>
            </a:ext>
          </a:extLst>
        </xdr:cNvPr>
        <xdr:cNvSpPr txBox="1"/>
      </xdr:nvSpPr>
      <xdr:spPr>
        <a:xfrm>
          <a:off x="1130300" y="2159000"/>
          <a:ext cx="1616822" cy="20656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Tipo de Servicio:</a:t>
          </a: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3</xdr:col>
      <xdr:colOff>384922</xdr:colOff>
      <xdr:row>8</xdr:row>
      <xdr:rowOff>212912</xdr:rowOff>
    </xdr:to>
    <xdr:sp macro="" textlink="">
      <xdr:nvSpPr>
        <xdr:cNvPr id="12" name="TextBox 21">
          <a:extLst>
            <a:ext uri="{FF2B5EF4-FFF2-40B4-BE49-F238E27FC236}">
              <a16:creationId xmlns:a16="http://schemas.microsoft.com/office/drawing/2014/main" xmlns="" id="{00000000-0008-0000-6800-00000C000000}"/>
            </a:ext>
          </a:extLst>
        </xdr:cNvPr>
        <xdr:cNvSpPr txBox="1"/>
      </xdr:nvSpPr>
      <xdr:spPr>
        <a:xfrm>
          <a:off x="1130300" y="1447800"/>
          <a:ext cx="1616822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Proveedor:</a:t>
          </a:r>
        </a:p>
        <a:p>
          <a:pPr algn="l"/>
          <a:endParaRPr lang="es-MX" sz="10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380999</xdr:colOff>
      <xdr:row>7</xdr:row>
      <xdr:rowOff>238126</xdr:rowOff>
    </xdr:from>
    <xdr:to>
      <xdr:col>7</xdr:col>
      <xdr:colOff>161924</xdr:colOff>
      <xdr:row>8</xdr:row>
      <xdr:rowOff>228600</xdr:rowOff>
    </xdr:to>
    <xdr:sp macro="" textlink="">
      <xdr:nvSpPr>
        <xdr:cNvPr id="13" name="TextBox 22">
          <a:extLst>
            <a:ext uri="{FF2B5EF4-FFF2-40B4-BE49-F238E27FC236}">
              <a16:creationId xmlns:a16="http://schemas.microsoft.com/office/drawing/2014/main" xmlns="" id="{00000000-0008-0000-6800-00000D000000}"/>
            </a:ext>
          </a:extLst>
        </xdr:cNvPr>
        <xdr:cNvSpPr txBox="1"/>
      </xdr:nvSpPr>
      <xdr:spPr>
        <a:xfrm>
          <a:off x="2743199" y="1444626"/>
          <a:ext cx="4479925" cy="23177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(4326979</a:t>
          </a:r>
          <a:r>
            <a:rPr lang="es-MX" sz="1000" b="1" i="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) </a:t>
          </a:r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TARAHUMARA PIPELINE S DE RL DE CV </a:t>
          </a:r>
          <a:endParaRPr lang="es-MX" sz="1000" u="sng">
            <a:solidFill>
              <a:srgbClr val="FF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0</xdr:colOff>
      <xdr:row>9</xdr:row>
      <xdr:rowOff>0</xdr:rowOff>
    </xdr:from>
    <xdr:to>
      <xdr:col>3</xdr:col>
      <xdr:colOff>384922</xdr:colOff>
      <xdr:row>9</xdr:row>
      <xdr:rowOff>212912</xdr:rowOff>
    </xdr:to>
    <xdr:sp macro="" textlink="">
      <xdr:nvSpPr>
        <xdr:cNvPr id="14" name="TextBox 23">
          <a:extLst>
            <a:ext uri="{FF2B5EF4-FFF2-40B4-BE49-F238E27FC236}">
              <a16:creationId xmlns:a16="http://schemas.microsoft.com/office/drawing/2014/main" xmlns="" id="{00000000-0008-0000-6800-00000E000000}"/>
            </a:ext>
          </a:extLst>
        </xdr:cNvPr>
        <xdr:cNvSpPr txBox="1"/>
      </xdr:nvSpPr>
      <xdr:spPr>
        <a:xfrm>
          <a:off x="1130300" y="1689100"/>
          <a:ext cx="1616822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Contrato:</a:t>
          </a:r>
        </a:p>
      </xdr:txBody>
    </xdr:sp>
    <xdr:clientData/>
  </xdr:twoCellAnchor>
  <xdr:twoCellAnchor>
    <xdr:from>
      <xdr:col>3</xdr:col>
      <xdr:colOff>381000</xdr:colOff>
      <xdr:row>9</xdr:row>
      <xdr:rowOff>19051</xdr:rowOff>
    </xdr:from>
    <xdr:to>
      <xdr:col>5</xdr:col>
      <xdr:colOff>1114425</xdr:colOff>
      <xdr:row>9</xdr:row>
      <xdr:rowOff>228601</xdr:rowOff>
    </xdr:to>
    <xdr:sp macro="" textlink="">
      <xdr:nvSpPr>
        <xdr:cNvPr id="15" name="TextBox 24">
          <a:extLst>
            <a:ext uri="{FF2B5EF4-FFF2-40B4-BE49-F238E27FC236}">
              <a16:creationId xmlns:a16="http://schemas.microsoft.com/office/drawing/2014/main" xmlns="" id="{00000000-0008-0000-6800-00000F000000}"/>
            </a:ext>
          </a:extLst>
        </xdr:cNvPr>
        <xdr:cNvSpPr txBox="1"/>
      </xdr:nvSpPr>
      <xdr:spPr>
        <a:xfrm>
          <a:off x="2743200" y="1708151"/>
          <a:ext cx="3095625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N° SE-CPSTGN-002/2011</a:t>
          </a:r>
          <a:endParaRPr lang="es-MX" sz="1000" u="sng">
            <a:solidFill>
              <a:srgbClr val="FF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247650</xdr:colOff>
      <xdr:row>60</xdr:row>
      <xdr:rowOff>133349</xdr:rowOff>
    </xdr:from>
    <xdr:to>
      <xdr:col>4</xdr:col>
      <xdr:colOff>454959</xdr:colOff>
      <xdr:row>65</xdr:row>
      <xdr:rowOff>78440</xdr:rowOff>
    </xdr:to>
    <xdr:sp macro="" textlink="">
      <xdr:nvSpPr>
        <xdr:cNvPr id="16" name="TextBox 19">
          <a:extLst>
            <a:ext uri="{FF2B5EF4-FFF2-40B4-BE49-F238E27FC236}">
              <a16:creationId xmlns:a16="http://schemas.microsoft.com/office/drawing/2014/main" xmlns="" id="{00000000-0008-0000-6800-000010000000}"/>
            </a:ext>
          </a:extLst>
        </xdr:cNvPr>
        <xdr:cNvSpPr txBox="1"/>
      </xdr:nvSpPr>
      <xdr:spPr>
        <a:xfrm>
          <a:off x="1085850" y="17252949"/>
          <a:ext cx="2696509" cy="77059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___________________________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Elaboro                                                  ing, Rogelio Gaytan BerrIel</a:t>
          </a:r>
        </a:p>
      </xdr:txBody>
    </xdr:sp>
    <xdr:clientData/>
  </xdr:twoCellAnchor>
  <xdr:twoCellAnchor>
    <xdr:from>
      <xdr:col>11</xdr:col>
      <xdr:colOff>414804</xdr:colOff>
      <xdr:row>60</xdr:row>
      <xdr:rowOff>95250</xdr:rowOff>
    </xdr:from>
    <xdr:to>
      <xdr:col>13</xdr:col>
      <xdr:colOff>834651</xdr:colOff>
      <xdr:row>65</xdr:row>
      <xdr:rowOff>59765</xdr:rowOff>
    </xdr:to>
    <xdr:sp macro="" textlink="">
      <xdr:nvSpPr>
        <xdr:cNvPr id="17" name="TextBox 20">
          <a:extLst>
            <a:ext uri="{FF2B5EF4-FFF2-40B4-BE49-F238E27FC236}">
              <a16:creationId xmlns:a16="http://schemas.microsoft.com/office/drawing/2014/main" xmlns="" id="{00000000-0008-0000-6800-000011000000}"/>
            </a:ext>
          </a:extLst>
        </xdr:cNvPr>
        <xdr:cNvSpPr txBox="1"/>
      </xdr:nvSpPr>
      <xdr:spPr>
        <a:xfrm>
          <a:off x="12175004" y="17214850"/>
          <a:ext cx="2794747" cy="7900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___________________________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Autorizo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Ing.</a:t>
          </a:r>
          <a:r>
            <a:rPr lang="es-MX" sz="1100" b="1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 Fernando Lopez Casillas</a:t>
          </a:r>
          <a:endParaRPr lang="es-MX" sz="11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876300</xdr:colOff>
      <xdr:row>5</xdr:row>
      <xdr:rowOff>133350</xdr:rowOff>
    </xdr:from>
    <xdr:to>
      <xdr:col>12</xdr:col>
      <xdr:colOff>876300</xdr:colOff>
      <xdr:row>6</xdr:row>
      <xdr:rowOff>171450</xdr:rowOff>
    </xdr:to>
    <xdr:sp macro="" textlink="">
      <xdr:nvSpPr>
        <xdr:cNvPr id="2" name="TextBox 6">
          <a:extLst>
            <a:ext uri="{FF2B5EF4-FFF2-40B4-BE49-F238E27FC236}">
              <a16:creationId xmlns:a16="http://schemas.microsoft.com/office/drawing/2014/main" xmlns="" id="{00000000-0008-0000-6900-000002000000}"/>
            </a:ext>
          </a:extLst>
        </xdr:cNvPr>
        <xdr:cNvSpPr txBox="1"/>
      </xdr:nvSpPr>
      <xdr:spPr>
        <a:xfrm>
          <a:off x="12636500" y="1009650"/>
          <a:ext cx="1219200" cy="190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FT-SR-XX</a:t>
          </a:r>
        </a:p>
      </xdr:txBody>
    </xdr:sp>
    <xdr:clientData/>
  </xdr:twoCellAnchor>
  <xdr:twoCellAnchor>
    <xdr:from>
      <xdr:col>2</xdr:col>
      <xdr:colOff>0</xdr:colOff>
      <xdr:row>0</xdr:row>
      <xdr:rowOff>0</xdr:rowOff>
    </xdr:from>
    <xdr:to>
      <xdr:col>12</xdr:col>
      <xdr:colOff>866775</xdr:colOff>
      <xdr:row>7</xdr:row>
      <xdr:rowOff>19050</xdr:rowOff>
    </xdr:to>
    <xdr:sp macro="" textlink="">
      <xdr:nvSpPr>
        <xdr:cNvPr id="3" name="AutoShape 17">
          <a:extLst>
            <a:ext uri="{FF2B5EF4-FFF2-40B4-BE49-F238E27FC236}">
              <a16:creationId xmlns:a16="http://schemas.microsoft.com/office/drawing/2014/main" xmlns="" id="{00000000-0008-0000-6900-000003000000}"/>
            </a:ext>
          </a:extLst>
        </xdr:cNvPr>
        <xdr:cNvSpPr>
          <a:spLocks noChangeArrowheads="1"/>
        </xdr:cNvSpPr>
      </xdr:nvSpPr>
      <xdr:spPr bwMode="auto">
        <a:xfrm>
          <a:off x="1130300" y="0"/>
          <a:ext cx="12715875" cy="1225550"/>
        </a:xfrm>
        <a:prstGeom prst="roundRect">
          <a:avLst>
            <a:gd name="adj" fmla="val 16667"/>
          </a:avLst>
        </a:prstGeom>
        <a:noFill/>
        <a:ln w="31750" cmpd="dbl">
          <a:solidFill>
            <a:srgbClr val="009967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161925</xdr:colOff>
      <xdr:row>0</xdr:row>
      <xdr:rowOff>85725</xdr:rowOff>
    </xdr:from>
    <xdr:to>
      <xdr:col>12</xdr:col>
      <xdr:colOff>817470</xdr:colOff>
      <xdr:row>4</xdr:row>
      <xdr:rowOff>152400</xdr:rowOff>
    </xdr:to>
    <xdr:sp macro="" textlink="">
      <xdr:nvSpPr>
        <xdr:cNvPr id="4" name="Cuadro de texto 1">
          <a:extLst>
            <a:ext uri="{FF2B5EF4-FFF2-40B4-BE49-F238E27FC236}">
              <a16:creationId xmlns:a16="http://schemas.microsoft.com/office/drawing/2014/main" xmlns="" id="{00000000-0008-0000-6900-000004000000}"/>
            </a:ext>
          </a:extLst>
        </xdr:cNvPr>
        <xdr:cNvSpPr txBox="1">
          <a:spLocks noChangeArrowheads="1"/>
        </xdr:cNvSpPr>
      </xdr:nvSpPr>
      <xdr:spPr bwMode="auto">
        <a:xfrm>
          <a:off x="8239125" y="85725"/>
          <a:ext cx="5557745" cy="777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r" rtl="0">
            <a:defRPr sz="1000"/>
          </a:pPr>
          <a:r>
            <a:rPr lang="es-MX" sz="1400" b="1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Dirección Corporativa de Operaciones</a:t>
          </a:r>
        </a:p>
        <a:p>
          <a:pPr algn="r" rtl="0">
            <a:defRPr sz="1000"/>
          </a:pPr>
          <a:r>
            <a:rPr lang="es-MX" sz="1400" b="0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               Subdirección de Negocios No Regulados</a:t>
          </a:r>
        </a:p>
        <a:p>
          <a:pPr algn="r" rtl="0">
            <a:defRPr sz="1000"/>
          </a:pPr>
          <a:r>
            <a:rPr lang="es-MX" sz="1400" b="0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Subgerencia Regional de Energéticos Norte</a:t>
          </a:r>
          <a:endParaRPr lang="es-MX" sz="1400" b="0" i="1" u="none" strike="noStrike" baseline="0">
            <a:solidFill>
              <a:srgbClr val="009969"/>
            </a:solidFill>
            <a:latin typeface="Arial" pitchFamily="34" charset="0"/>
            <a:cs typeface="Arial" pitchFamily="34" charset="0"/>
          </a:endParaRPr>
        </a:p>
        <a:p>
          <a:pPr algn="l" rtl="0">
            <a:defRPr sz="1000"/>
          </a:pPr>
          <a:endParaRPr lang="es-MX" sz="1400" b="1" i="1" u="none" strike="noStrike" baseline="0">
            <a:solidFill>
              <a:srgbClr val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790575</xdr:colOff>
      <xdr:row>4</xdr:row>
      <xdr:rowOff>123825</xdr:rowOff>
    </xdr:to>
    <xdr:pic>
      <xdr:nvPicPr>
        <xdr:cNvPr id="5" name="Picture 9" descr="C:\Users\francis.munguia\Desktop\LogotipoCFE_verde.jpg">
          <a:extLst>
            <a:ext uri="{FF2B5EF4-FFF2-40B4-BE49-F238E27FC236}">
              <a16:creationId xmlns:a16="http://schemas.microsoft.com/office/drawing/2014/main" xmlns="" id="{00000000-0008-0000-6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E"/>
            </a:clrFrom>
            <a:clrTo>
              <a:srgbClr val="FFFF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720" b="23125"/>
        <a:stretch>
          <a:fillRect/>
        </a:stretch>
      </xdr:blipFill>
      <xdr:spPr bwMode="auto">
        <a:xfrm>
          <a:off x="1130300" y="165100"/>
          <a:ext cx="2022475" cy="669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781050</xdr:colOff>
      <xdr:row>10</xdr:row>
      <xdr:rowOff>161925</xdr:rowOff>
    </xdr:from>
    <xdr:to>
      <xdr:col>12</xdr:col>
      <xdr:colOff>874057</xdr:colOff>
      <xdr:row>12</xdr:row>
      <xdr:rowOff>133350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xmlns="" id="{00000000-0008-0000-6900-000006000000}"/>
            </a:ext>
          </a:extLst>
        </xdr:cNvPr>
        <xdr:cNvSpPr txBox="1"/>
      </xdr:nvSpPr>
      <xdr:spPr>
        <a:xfrm>
          <a:off x="12541250" y="2092325"/>
          <a:ext cx="1312207" cy="4540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Julio</a:t>
          </a:r>
          <a:r>
            <a:rPr lang="es-MX" sz="1100" b="1" baseline="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 2019</a:t>
          </a:r>
          <a:endParaRPr lang="es-MX" sz="1100" b="1">
            <a:solidFill>
              <a:srgbClr val="FF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180975</xdr:colOff>
      <xdr:row>4</xdr:row>
      <xdr:rowOff>114301</xdr:rowOff>
    </xdr:from>
    <xdr:to>
      <xdr:col>11</xdr:col>
      <xdr:colOff>923925</xdr:colOff>
      <xdr:row>7</xdr:row>
      <xdr:rowOff>9526</xdr:rowOff>
    </xdr:to>
    <xdr:sp macro="" textlink="">
      <xdr:nvSpPr>
        <xdr:cNvPr id="7" name="Cuadro de texto 1">
          <a:extLst>
            <a:ext uri="{FF2B5EF4-FFF2-40B4-BE49-F238E27FC236}">
              <a16:creationId xmlns:a16="http://schemas.microsoft.com/office/drawing/2014/main" xmlns="" id="{00000000-0008-0000-6900-000007000000}"/>
            </a:ext>
          </a:extLst>
        </xdr:cNvPr>
        <xdr:cNvSpPr txBox="1">
          <a:spLocks noChangeArrowheads="1"/>
        </xdr:cNvSpPr>
      </xdr:nvSpPr>
      <xdr:spPr bwMode="auto">
        <a:xfrm>
          <a:off x="1311275" y="825501"/>
          <a:ext cx="11372850" cy="390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MX" sz="1400" b="1" i="0" u="none" strike="noStrike" baseline="0">
              <a:solidFill>
                <a:srgbClr val="000000"/>
              </a:solidFill>
              <a:latin typeface="Arial" pitchFamily="34" charset="0"/>
              <a:cs typeface="Arial" pitchFamily="34" charset="0"/>
            </a:rPr>
            <a:t>REVISION DE FACTURACION DE COMBUSTIBLES</a:t>
          </a:r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3</xdr:col>
      <xdr:colOff>384922</xdr:colOff>
      <xdr:row>10</xdr:row>
      <xdr:rowOff>212912</xdr:rowOff>
    </xdr:to>
    <xdr:sp macro="" textlink="">
      <xdr:nvSpPr>
        <xdr:cNvPr id="8" name="TextBox 8">
          <a:extLst>
            <a:ext uri="{FF2B5EF4-FFF2-40B4-BE49-F238E27FC236}">
              <a16:creationId xmlns:a16="http://schemas.microsoft.com/office/drawing/2014/main" xmlns="" id="{00000000-0008-0000-6900-000008000000}"/>
            </a:ext>
          </a:extLst>
        </xdr:cNvPr>
        <xdr:cNvSpPr txBox="1"/>
      </xdr:nvSpPr>
      <xdr:spPr>
        <a:xfrm>
          <a:off x="1130300" y="1930400"/>
          <a:ext cx="1616822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Tipo de Combustible:</a:t>
          </a:r>
        </a:p>
      </xdr:txBody>
    </xdr:sp>
    <xdr:clientData/>
  </xdr:twoCellAnchor>
  <xdr:twoCellAnchor>
    <xdr:from>
      <xdr:col>3</xdr:col>
      <xdr:colOff>381000</xdr:colOff>
      <xdr:row>10</xdr:row>
      <xdr:rowOff>0</xdr:rowOff>
    </xdr:from>
    <xdr:to>
      <xdr:col>5</xdr:col>
      <xdr:colOff>1209675</xdr:colOff>
      <xdr:row>10</xdr:row>
      <xdr:rowOff>228600</xdr:rowOff>
    </xdr:to>
    <xdr:sp macro="" textlink="">
      <xdr:nvSpPr>
        <xdr:cNvPr id="9" name="TextBox 9">
          <a:extLst>
            <a:ext uri="{FF2B5EF4-FFF2-40B4-BE49-F238E27FC236}">
              <a16:creationId xmlns:a16="http://schemas.microsoft.com/office/drawing/2014/main" xmlns="" id="{00000000-0008-0000-6900-000009000000}"/>
            </a:ext>
          </a:extLst>
        </xdr:cNvPr>
        <xdr:cNvSpPr txBox="1"/>
      </xdr:nvSpPr>
      <xdr:spPr>
        <a:xfrm>
          <a:off x="2743200" y="1930400"/>
          <a:ext cx="3190875" cy="228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>
              <a:solidFill>
                <a:srgbClr val="FF0000"/>
              </a:solidFill>
              <a:effectLst/>
              <a:latin typeface="Arial" panose="020B0604020202020204" pitchFamily="34" charset="0"/>
              <a:cs typeface="Arial" panose="020B0604020202020204" pitchFamily="34" charset="0"/>
            </a:rPr>
            <a:t>GAS NATURAL</a:t>
          </a:r>
        </a:p>
      </xdr:txBody>
    </xdr:sp>
    <xdr:clientData/>
  </xdr:twoCellAnchor>
  <xdr:twoCellAnchor>
    <xdr:from>
      <xdr:col>3</xdr:col>
      <xdr:colOff>380999</xdr:colOff>
      <xdr:row>10</xdr:row>
      <xdr:rowOff>219075</xdr:rowOff>
    </xdr:from>
    <xdr:to>
      <xdr:col>6</xdr:col>
      <xdr:colOff>504825</xdr:colOff>
      <xdr:row>11</xdr:row>
      <xdr:rowOff>200025</xdr:rowOff>
    </xdr:to>
    <xdr:sp macro="" textlink="">
      <xdr:nvSpPr>
        <xdr:cNvPr id="10" name="TextBox 10">
          <a:extLst>
            <a:ext uri="{FF2B5EF4-FFF2-40B4-BE49-F238E27FC236}">
              <a16:creationId xmlns:a16="http://schemas.microsoft.com/office/drawing/2014/main" xmlns="" id="{00000000-0008-0000-6900-00000A000000}"/>
            </a:ext>
          </a:extLst>
        </xdr:cNvPr>
        <xdr:cNvSpPr txBox="1"/>
      </xdr:nvSpPr>
      <xdr:spPr>
        <a:xfrm>
          <a:off x="2743199" y="2149475"/>
          <a:ext cx="3806826" cy="2222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MX" sz="1000" b="1" u="sng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TRANSPORTE POR GASODUCTO</a:t>
          </a:r>
        </a:p>
      </xdr:txBody>
    </xdr:sp>
    <xdr:clientData/>
  </xdr:twoCellAnchor>
  <xdr:twoCellAnchor>
    <xdr:from>
      <xdr:col>2</xdr:col>
      <xdr:colOff>0</xdr:colOff>
      <xdr:row>10</xdr:row>
      <xdr:rowOff>228600</xdr:rowOff>
    </xdr:from>
    <xdr:to>
      <xdr:col>3</xdr:col>
      <xdr:colOff>384922</xdr:colOff>
      <xdr:row>11</xdr:row>
      <xdr:rowOff>193862</xdr:rowOff>
    </xdr:to>
    <xdr:sp macro="" textlink="">
      <xdr:nvSpPr>
        <xdr:cNvPr id="11" name="TextBox 13">
          <a:extLst>
            <a:ext uri="{FF2B5EF4-FFF2-40B4-BE49-F238E27FC236}">
              <a16:creationId xmlns:a16="http://schemas.microsoft.com/office/drawing/2014/main" xmlns="" id="{00000000-0008-0000-6900-00000B000000}"/>
            </a:ext>
          </a:extLst>
        </xdr:cNvPr>
        <xdr:cNvSpPr txBox="1"/>
      </xdr:nvSpPr>
      <xdr:spPr>
        <a:xfrm>
          <a:off x="1130300" y="2159000"/>
          <a:ext cx="1616822" cy="20656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Tipo de Servicio:</a:t>
          </a: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3</xdr:col>
      <xdr:colOff>384922</xdr:colOff>
      <xdr:row>8</xdr:row>
      <xdr:rowOff>212912</xdr:rowOff>
    </xdr:to>
    <xdr:sp macro="" textlink="">
      <xdr:nvSpPr>
        <xdr:cNvPr id="12" name="TextBox 21">
          <a:extLst>
            <a:ext uri="{FF2B5EF4-FFF2-40B4-BE49-F238E27FC236}">
              <a16:creationId xmlns:a16="http://schemas.microsoft.com/office/drawing/2014/main" xmlns="" id="{00000000-0008-0000-6900-00000C000000}"/>
            </a:ext>
          </a:extLst>
        </xdr:cNvPr>
        <xdr:cNvSpPr txBox="1"/>
      </xdr:nvSpPr>
      <xdr:spPr>
        <a:xfrm>
          <a:off x="1130300" y="1447800"/>
          <a:ext cx="1616822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Proveedor:</a:t>
          </a:r>
        </a:p>
        <a:p>
          <a:pPr algn="l"/>
          <a:endParaRPr lang="es-MX" sz="10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380999</xdr:colOff>
      <xdr:row>7</xdr:row>
      <xdr:rowOff>238126</xdr:rowOff>
    </xdr:from>
    <xdr:to>
      <xdr:col>7</xdr:col>
      <xdr:colOff>161924</xdr:colOff>
      <xdr:row>8</xdr:row>
      <xdr:rowOff>228600</xdr:rowOff>
    </xdr:to>
    <xdr:sp macro="" textlink="">
      <xdr:nvSpPr>
        <xdr:cNvPr id="13" name="TextBox 22">
          <a:extLst>
            <a:ext uri="{FF2B5EF4-FFF2-40B4-BE49-F238E27FC236}">
              <a16:creationId xmlns:a16="http://schemas.microsoft.com/office/drawing/2014/main" xmlns="" id="{00000000-0008-0000-6900-00000D000000}"/>
            </a:ext>
          </a:extLst>
        </xdr:cNvPr>
        <xdr:cNvSpPr txBox="1"/>
      </xdr:nvSpPr>
      <xdr:spPr>
        <a:xfrm>
          <a:off x="2743199" y="1444626"/>
          <a:ext cx="4479925" cy="23177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(4326979</a:t>
          </a:r>
          <a:r>
            <a:rPr lang="es-MX" sz="1000" b="1" i="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) </a:t>
          </a:r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TARAHUMARA PIPELINE S DE RL DE CV </a:t>
          </a:r>
          <a:endParaRPr lang="es-MX" sz="1000" u="sng">
            <a:solidFill>
              <a:srgbClr val="FF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0</xdr:colOff>
      <xdr:row>9</xdr:row>
      <xdr:rowOff>0</xdr:rowOff>
    </xdr:from>
    <xdr:to>
      <xdr:col>3</xdr:col>
      <xdr:colOff>384922</xdr:colOff>
      <xdr:row>9</xdr:row>
      <xdr:rowOff>212912</xdr:rowOff>
    </xdr:to>
    <xdr:sp macro="" textlink="">
      <xdr:nvSpPr>
        <xdr:cNvPr id="14" name="TextBox 23">
          <a:extLst>
            <a:ext uri="{FF2B5EF4-FFF2-40B4-BE49-F238E27FC236}">
              <a16:creationId xmlns:a16="http://schemas.microsoft.com/office/drawing/2014/main" xmlns="" id="{00000000-0008-0000-6900-00000E000000}"/>
            </a:ext>
          </a:extLst>
        </xdr:cNvPr>
        <xdr:cNvSpPr txBox="1"/>
      </xdr:nvSpPr>
      <xdr:spPr>
        <a:xfrm>
          <a:off x="1130300" y="1689100"/>
          <a:ext cx="1616822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Contrato:</a:t>
          </a:r>
        </a:p>
      </xdr:txBody>
    </xdr:sp>
    <xdr:clientData/>
  </xdr:twoCellAnchor>
  <xdr:twoCellAnchor>
    <xdr:from>
      <xdr:col>3</xdr:col>
      <xdr:colOff>381000</xdr:colOff>
      <xdr:row>9</xdr:row>
      <xdr:rowOff>19051</xdr:rowOff>
    </xdr:from>
    <xdr:to>
      <xdr:col>5</xdr:col>
      <xdr:colOff>1114425</xdr:colOff>
      <xdr:row>9</xdr:row>
      <xdr:rowOff>228601</xdr:rowOff>
    </xdr:to>
    <xdr:sp macro="" textlink="">
      <xdr:nvSpPr>
        <xdr:cNvPr id="15" name="TextBox 24">
          <a:extLst>
            <a:ext uri="{FF2B5EF4-FFF2-40B4-BE49-F238E27FC236}">
              <a16:creationId xmlns:a16="http://schemas.microsoft.com/office/drawing/2014/main" xmlns="" id="{00000000-0008-0000-6900-00000F000000}"/>
            </a:ext>
          </a:extLst>
        </xdr:cNvPr>
        <xdr:cNvSpPr txBox="1"/>
      </xdr:nvSpPr>
      <xdr:spPr>
        <a:xfrm>
          <a:off x="2743200" y="1708151"/>
          <a:ext cx="3095625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N° SE-CPSTGN-002/2011</a:t>
          </a:r>
          <a:endParaRPr lang="es-MX" sz="1000" u="sng">
            <a:solidFill>
              <a:srgbClr val="FF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247650</xdr:colOff>
      <xdr:row>60</xdr:row>
      <xdr:rowOff>133349</xdr:rowOff>
    </xdr:from>
    <xdr:to>
      <xdr:col>4</xdr:col>
      <xdr:colOff>454959</xdr:colOff>
      <xdr:row>65</xdr:row>
      <xdr:rowOff>78440</xdr:rowOff>
    </xdr:to>
    <xdr:sp macro="" textlink="">
      <xdr:nvSpPr>
        <xdr:cNvPr id="16" name="TextBox 19">
          <a:extLst>
            <a:ext uri="{FF2B5EF4-FFF2-40B4-BE49-F238E27FC236}">
              <a16:creationId xmlns:a16="http://schemas.microsoft.com/office/drawing/2014/main" xmlns="" id="{00000000-0008-0000-6900-000010000000}"/>
            </a:ext>
          </a:extLst>
        </xdr:cNvPr>
        <xdr:cNvSpPr txBox="1"/>
      </xdr:nvSpPr>
      <xdr:spPr>
        <a:xfrm>
          <a:off x="1085850" y="17252949"/>
          <a:ext cx="2696509" cy="77059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___________________________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Elaboro                                                  ing, Rogelio Gaytan BerrIel</a:t>
          </a:r>
        </a:p>
      </xdr:txBody>
    </xdr:sp>
    <xdr:clientData/>
  </xdr:twoCellAnchor>
  <xdr:twoCellAnchor>
    <xdr:from>
      <xdr:col>11</xdr:col>
      <xdr:colOff>414804</xdr:colOff>
      <xdr:row>60</xdr:row>
      <xdr:rowOff>95250</xdr:rowOff>
    </xdr:from>
    <xdr:to>
      <xdr:col>13</xdr:col>
      <xdr:colOff>834651</xdr:colOff>
      <xdr:row>65</xdr:row>
      <xdr:rowOff>59765</xdr:rowOff>
    </xdr:to>
    <xdr:sp macro="" textlink="">
      <xdr:nvSpPr>
        <xdr:cNvPr id="17" name="TextBox 20">
          <a:extLst>
            <a:ext uri="{FF2B5EF4-FFF2-40B4-BE49-F238E27FC236}">
              <a16:creationId xmlns:a16="http://schemas.microsoft.com/office/drawing/2014/main" xmlns="" id="{00000000-0008-0000-6900-000011000000}"/>
            </a:ext>
          </a:extLst>
        </xdr:cNvPr>
        <xdr:cNvSpPr txBox="1"/>
      </xdr:nvSpPr>
      <xdr:spPr>
        <a:xfrm>
          <a:off x="12175004" y="17214850"/>
          <a:ext cx="2794747" cy="7900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___________________________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Autorizo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Ing.</a:t>
          </a:r>
          <a:r>
            <a:rPr lang="es-MX" sz="1100" b="1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 Fernando Lopez Casillas</a:t>
          </a:r>
          <a:endParaRPr lang="es-MX" sz="11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876300</xdr:colOff>
      <xdr:row>5</xdr:row>
      <xdr:rowOff>133350</xdr:rowOff>
    </xdr:from>
    <xdr:to>
      <xdr:col>12</xdr:col>
      <xdr:colOff>876300</xdr:colOff>
      <xdr:row>6</xdr:row>
      <xdr:rowOff>171450</xdr:rowOff>
    </xdr:to>
    <xdr:sp macro="" textlink="">
      <xdr:nvSpPr>
        <xdr:cNvPr id="2" name="TextBox 6">
          <a:extLst>
            <a:ext uri="{FF2B5EF4-FFF2-40B4-BE49-F238E27FC236}">
              <a16:creationId xmlns:a16="http://schemas.microsoft.com/office/drawing/2014/main" xmlns="" id="{00000000-0008-0000-6A00-000002000000}"/>
            </a:ext>
          </a:extLst>
        </xdr:cNvPr>
        <xdr:cNvSpPr txBox="1"/>
      </xdr:nvSpPr>
      <xdr:spPr>
        <a:xfrm>
          <a:off x="12636500" y="1009650"/>
          <a:ext cx="1219200" cy="190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FT-SR-XX</a:t>
          </a:r>
        </a:p>
      </xdr:txBody>
    </xdr:sp>
    <xdr:clientData/>
  </xdr:twoCellAnchor>
  <xdr:twoCellAnchor>
    <xdr:from>
      <xdr:col>2</xdr:col>
      <xdr:colOff>0</xdr:colOff>
      <xdr:row>0</xdr:row>
      <xdr:rowOff>0</xdr:rowOff>
    </xdr:from>
    <xdr:to>
      <xdr:col>12</xdr:col>
      <xdr:colOff>866775</xdr:colOff>
      <xdr:row>7</xdr:row>
      <xdr:rowOff>19050</xdr:rowOff>
    </xdr:to>
    <xdr:sp macro="" textlink="">
      <xdr:nvSpPr>
        <xdr:cNvPr id="3" name="AutoShape 17">
          <a:extLst>
            <a:ext uri="{FF2B5EF4-FFF2-40B4-BE49-F238E27FC236}">
              <a16:creationId xmlns:a16="http://schemas.microsoft.com/office/drawing/2014/main" xmlns="" id="{00000000-0008-0000-6A00-000003000000}"/>
            </a:ext>
          </a:extLst>
        </xdr:cNvPr>
        <xdr:cNvSpPr>
          <a:spLocks noChangeArrowheads="1"/>
        </xdr:cNvSpPr>
      </xdr:nvSpPr>
      <xdr:spPr bwMode="auto">
        <a:xfrm>
          <a:off x="1130300" y="0"/>
          <a:ext cx="12715875" cy="1225550"/>
        </a:xfrm>
        <a:prstGeom prst="roundRect">
          <a:avLst>
            <a:gd name="adj" fmla="val 16667"/>
          </a:avLst>
        </a:prstGeom>
        <a:noFill/>
        <a:ln w="31750" cmpd="dbl">
          <a:solidFill>
            <a:srgbClr val="009967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161925</xdr:colOff>
      <xdr:row>0</xdr:row>
      <xdr:rowOff>85725</xdr:rowOff>
    </xdr:from>
    <xdr:to>
      <xdr:col>12</xdr:col>
      <xdr:colOff>817470</xdr:colOff>
      <xdr:row>4</xdr:row>
      <xdr:rowOff>152400</xdr:rowOff>
    </xdr:to>
    <xdr:sp macro="" textlink="">
      <xdr:nvSpPr>
        <xdr:cNvPr id="4" name="Cuadro de texto 1">
          <a:extLst>
            <a:ext uri="{FF2B5EF4-FFF2-40B4-BE49-F238E27FC236}">
              <a16:creationId xmlns:a16="http://schemas.microsoft.com/office/drawing/2014/main" xmlns="" id="{00000000-0008-0000-6A00-000004000000}"/>
            </a:ext>
          </a:extLst>
        </xdr:cNvPr>
        <xdr:cNvSpPr txBox="1">
          <a:spLocks noChangeArrowheads="1"/>
        </xdr:cNvSpPr>
      </xdr:nvSpPr>
      <xdr:spPr bwMode="auto">
        <a:xfrm>
          <a:off x="8239125" y="85725"/>
          <a:ext cx="5557745" cy="777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r" rtl="0">
            <a:defRPr sz="1000"/>
          </a:pPr>
          <a:r>
            <a:rPr lang="es-MX" sz="1400" b="1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Dirección Corporativa de Operaciones</a:t>
          </a:r>
        </a:p>
        <a:p>
          <a:pPr algn="r" rtl="0">
            <a:defRPr sz="1000"/>
          </a:pPr>
          <a:r>
            <a:rPr lang="es-MX" sz="1400" b="0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               Subdirección de Negocios No Regulados</a:t>
          </a:r>
        </a:p>
        <a:p>
          <a:pPr algn="r" rtl="0">
            <a:defRPr sz="1000"/>
          </a:pPr>
          <a:r>
            <a:rPr lang="es-MX" sz="1400" b="0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Subgerencia Regional de Energéticos Norte</a:t>
          </a:r>
          <a:endParaRPr lang="es-MX" sz="1400" b="0" i="1" u="none" strike="noStrike" baseline="0">
            <a:solidFill>
              <a:srgbClr val="009969"/>
            </a:solidFill>
            <a:latin typeface="Arial" pitchFamily="34" charset="0"/>
            <a:cs typeface="Arial" pitchFamily="34" charset="0"/>
          </a:endParaRPr>
        </a:p>
        <a:p>
          <a:pPr algn="l" rtl="0">
            <a:defRPr sz="1000"/>
          </a:pPr>
          <a:endParaRPr lang="es-MX" sz="1400" b="1" i="1" u="none" strike="noStrike" baseline="0">
            <a:solidFill>
              <a:srgbClr val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790575</xdr:colOff>
      <xdr:row>4</xdr:row>
      <xdr:rowOff>123825</xdr:rowOff>
    </xdr:to>
    <xdr:pic>
      <xdr:nvPicPr>
        <xdr:cNvPr id="5" name="Picture 9" descr="C:\Users\francis.munguia\Desktop\LogotipoCFE_verde.jpg">
          <a:extLst>
            <a:ext uri="{FF2B5EF4-FFF2-40B4-BE49-F238E27FC236}">
              <a16:creationId xmlns:a16="http://schemas.microsoft.com/office/drawing/2014/main" xmlns="" id="{00000000-0008-0000-6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E"/>
            </a:clrFrom>
            <a:clrTo>
              <a:srgbClr val="FFFF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720" b="23125"/>
        <a:stretch>
          <a:fillRect/>
        </a:stretch>
      </xdr:blipFill>
      <xdr:spPr bwMode="auto">
        <a:xfrm>
          <a:off x="1130300" y="165100"/>
          <a:ext cx="2022475" cy="669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781050</xdr:colOff>
      <xdr:row>10</xdr:row>
      <xdr:rowOff>161925</xdr:rowOff>
    </xdr:from>
    <xdr:to>
      <xdr:col>12</xdr:col>
      <xdr:colOff>874057</xdr:colOff>
      <xdr:row>12</xdr:row>
      <xdr:rowOff>133350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xmlns="" id="{00000000-0008-0000-6A00-000006000000}"/>
            </a:ext>
          </a:extLst>
        </xdr:cNvPr>
        <xdr:cNvSpPr txBox="1"/>
      </xdr:nvSpPr>
      <xdr:spPr>
        <a:xfrm>
          <a:off x="12541250" y="2092325"/>
          <a:ext cx="1312207" cy="4540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 baseline="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Agosto 2019</a:t>
          </a:r>
          <a:endParaRPr lang="es-MX" sz="1100" b="1">
            <a:solidFill>
              <a:srgbClr val="FF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180975</xdr:colOff>
      <xdr:row>4</xdr:row>
      <xdr:rowOff>114301</xdr:rowOff>
    </xdr:from>
    <xdr:to>
      <xdr:col>11</xdr:col>
      <xdr:colOff>923925</xdr:colOff>
      <xdr:row>7</xdr:row>
      <xdr:rowOff>9526</xdr:rowOff>
    </xdr:to>
    <xdr:sp macro="" textlink="">
      <xdr:nvSpPr>
        <xdr:cNvPr id="7" name="Cuadro de texto 1">
          <a:extLst>
            <a:ext uri="{FF2B5EF4-FFF2-40B4-BE49-F238E27FC236}">
              <a16:creationId xmlns:a16="http://schemas.microsoft.com/office/drawing/2014/main" xmlns="" id="{00000000-0008-0000-6A00-000007000000}"/>
            </a:ext>
          </a:extLst>
        </xdr:cNvPr>
        <xdr:cNvSpPr txBox="1">
          <a:spLocks noChangeArrowheads="1"/>
        </xdr:cNvSpPr>
      </xdr:nvSpPr>
      <xdr:spPr bwMode="auto">
        <a:xfrm>
          <a:off x="1311275" y="825501"/>
          <a:ext cx="11372850" cy="390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MX" sz="1400" b="1" i="0" u="none" strike="noStrike" baseline="0">
              <a:solidFill>
                <a:srgbClr val="000000"/>
              </a:solidFill>
              <a:latin typeface="Arial" pitchFamily="34" charset="0"/>
              <a:cs typeface="Arial" pitchFamily="34" charset="0"/>
            </a:rPr>
            <a:t>REVISION DE FACTURACION DE COMBUSTIBLES</a:t>
          </a:r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3</xdr:col>
      <xdr:colOff>384922</xdr:colOff>
      <xdr:row>10</xdr:row>
      <xdr:rowOff>212912</xdr:rowOff>
    </xdr:to>
    <xdr:sp macro="" textlink="">
      <xdr:nvSpPr>
        <xdr:cNvPr id="8" name="TextBox 8">
          <a:extLst>
            <a:ext uri="{FF2B5EF4-FFF2-40B4-BE49-F238E27FC236}">
              <a16:creationId xmlns:a16="http://schemas.microsoft.com/office/drawing/2014/main" xmlns="" id="{00000000-0008-0000-6A00-000008000000}"/>
            </a:ext>
          </a:extLst>
        </xdr:cNvPr>
        <xdr:cNvSpPr txBox="1"/>
      </xdr:nvSpPr>
      <xdr:spPr>
        <a:xfrm>
          <a:off x="1130300" y="1930400"/>
          <a:ext cx="1616822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Tipo de Combustible:</a:t>
          </a:r>
        </a:p>
      </xdr:txBody>
    </xdr:sp>
    <xdr:clientData/>
  </xdr:twoCellAnchor>
  <xdr:twoCellAnchor>
    <xdr:from>
      <xdr:col>3</xdr:col>
      <xdr:colOff>381000</xdr:colOff>
      <xdr:row>10</xdr:row>
      <xdr:rowOff>0</xdr:rowOff>
    </xdr:from>
    <xdr:to>
      <xdr:col>5</xdr:col>
      <xdr:colOff>1209675</xdr:colOff>
      <xdr:row>10</xdr:row>
      <xdr:rowOff>228600</xdr:rowOff>
    </xdr:to>
    <xdr:sp macro="" textlink="">
      <xdr:nvSpPr>
        <xdr:cNvPr id="9" name="TextBox 9">
          <a:extLst>
            <a:ext uri="{FF2B5EF4-FFF2-40B4-BE49-F238E27FC236}">
              <a16:creationId xmlns:a16="http://schemas.microsoft.com/office/drawing/2014/main" xmlns="" id="{00000000-0008-0000-6A00-000009000000}"/>
            </a:ext>
          </a:extLst>
        </xdr:cNvPr>
        <xdr:cNvSpPr txBox="1"/>
      </xdr:nvSpPr>
      <xdr:spPr>
        <a:xfrm>
          <a:off x="2743200" y="1930400"/>
          <a:ext cx="3190875" cy="228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>
              <a:solidFill>
                <a:srgbClr val="FF0000"/>
              </a:solidFill>
              <a:effectLst/>
              <a:latin typeface="Arial" panose="020B0604020202020204" pitchFamily="34" charset="0"/>
              <a:cs typeface="Arial" panose="020B0604020202020204" pitchFamily="34" charset="0"/>
            </a:rPr>
            <a:t>GAS NATURAL</a:t>
          </a:r>
        </a:p>
      </xdr:txBody>
    </xdr:sp>
    <xdr:clientData/>
  </xdr:twoCellAnchor>
  <xdr:twoCellAnchor>
    <xdr:from>
      <xdr:col>3</xdr:col>
      <xdr:colOff>380999</xdr:colOff>
      <xdr:row>10</xdr:row>
      <xdr:rowOff>219075</xdr:rowOff>
    </xdr:from>
    <xdr:to>
      <xdr:col>6</xdr:col>
      <xdr:colOff>504825</xdr:colOff>
      <xdr:row>11</xdr:row>
      <xdr:rowOff>200025</xdr:rowOff>
    </xdr:to>
    <xdr:sp macro="" textlink="">
      <xdr:nvSpPr>
        <xdr:cNvPr id="10" name="TextBox 10">
          <a:extLst>
            <a:ext uri="{FF2B5EF4-FFF2-40B4-BE49-F238E27FC236}">
              <a16:creationId xmlns:a16="http://schemas.microsoft.com/office/drawing/2014/main" xmlns="" id="{00000000-0008-0000-6A00-00000A000000}"/>
            </a:ext>
          </a:extLst>
        </xdr:cNvPr>
        <xdr:cNvSpPr txBox="1"/>
      </xdr:nvSpPr>
      <xdr:spPr>
        <a:xfrm>
          <a:off x="2743199" y="2149475"/>
          <a:ext cx="3806826" cy="2222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MX" sz="1000" b="1" u="sng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TRANSPORTE POR GASODUCTO</a:t>
          </a:r>
        </a:p>
      </xdr:txBody>
    </xdr:sp>
    <xdr:clientData/>
  </xdr:twoCellAnchor>
  <xdr:twoCellAnchor>
    <xdr:from>
      <xdr:col>2</xdr:col>
      <xdr:colOff>0</xdr:colOff>
      <xdr:row>10</xdr:row>
      <xdr:rowOff>228600</xdr:rowOff>
    </xdr:from>
    <xdr:to>
      <xdr:col>3</xdr:col>
      <xdr:colOff>384922</xdr:colOff>
      <xdr:row>11</xdr:row>
      <xdr:rowOff>193862</xdr:rowOff>
    </xdr:to>
    <xdr:sp macro="" textlink="">
      <xdr:nvSpPr>
        <xdr:cNvPr id="11" name="TextBox 13">
          <a:extLst>
            <a:ext uri="{FF2B5EF4-FFF2-40B4-BE49-F238E27FC236}">
              <a16:creationId xmlns:a16="http://schemas.microsoft.com/office/drawing/2014/main" xmlns="" id="{00000000-0008-0000-6A00-00000B000000}"/>
            </a:ext>
          </a:extLst>
        </xdr:cNvPr>
        <xdr:cNvSpPr txBox="1"/>
      </xdr:nvSpPr>
      <xdr:spPr>
        <a:xfrm>
          <a:off x="1130300" y="2159000"/>
          <a:ext cx="1616822" cy="20656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Tipo de Servicio:</a:t>
          </a: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3</xdr:col>
      <xdr:colOff>384922</xdr:colOff>
      <xdr:row>8</xdr:row>
      <xdr:rowOff>212912</xdr:rowOff>
    </xdr:to>
    <xdr:sp macro="" textlink="">
      <xdr:nvSpPr>
        <xdr:cNvPr id="12" name="TextBox 21">
          <a:extLst>
            <a:ext uri="{FF2B5EF4-FFF2-40B4-BE49-F238E27FC236}">
              <a16:creationId xmlns:a16="http://schemas.microsoft.com/office/drawing/2014/main" xmlns="" id="{00000000-0008-0000-6A00-00000C000000}"/>
            </a:ext>
          </a:extLst>
        </xdr:cNvPr>
        <xdr:cNvSpPr txBox="1"/>
      </xdr:nvSpPr>
      <xdr:spPr>
        <a:xfrm>
          <a:off x="1130300" y="1447800"/>
          <a:ext cx="1616822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Proveedor:</a:t>
          </a:r>
        </a:p>
        <a:p>
          <a:pPr algn="l"/>
          <a:endParaRPr lang="es-MX" sz="10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380999</xdr:colOff>
      <xdr:row>7</xdr:row>
      <xdr:rowOff>238126</xdr:rowOff>
    </xdr:from>
    <xdr:to>
      <xdr:col>7</xdr:col>
      <xdr:colOff>161924</xdr:colOff>
      <xdr:row>8</xdr:row>
      <xdr:rowOff>228600</xdr:rowOff>
    </xdr:to>
    <xdr:sp macro="" textlink="">
      <xdr:nvSpPr>
        <xdr:cNvPr id="13" name="TextBox 22">
          <a:extLst>
            <a:ext uri="{FF2B5EF4-FFF2-40B4-BE49-F238E27FC236}">
              <a16:creationId xmlns:a16="http://schemas.microsoft.com/office/drawing/2014/main" xmlns="" id="{00000000-0008-0000-6A00-00000D000000}"/>
            </a:ext>
          </a:extLst>
        </xdr:cNvPr>
        <xdr:cNvSpPr txBox="1"/>
      </xdr:nvSpPr>
      <xdr:spPr>
        <a:xfrm>
          <a:off x="2743199" y="1444626"/>
          <a:ext cx="4479925" cy="23177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(4326979</a:t>
          </a:r>
          <a:r>
            <a:rPr lang="es-MX" sz="1000" b="1" i="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) </a:t>
          </a:r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TARAHUMARA PIPELINE S DE RL DE CV </a:t>
          </a:r>
          <a:endParaRPr lang="es-MX" sz="1000" u="sng">
            <a:solidFill>
              <a:srgbClr val="FF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0</xdr:colOff>
      <xdr:row>9</xdr:row>
      <xdr:rowOff>0</xdr:rowOff>
    </xdr:from>
    <xdr:to>
      <xdr:col>3</xdr:col>
      <xdr:colOff>384922</xdr:colOff>
      <xdr:row>9</xdr:row>
      <xdr:rowOff>212912</xdr:rowOff>
    </xdr:to>
    <xdr:sp macro="" textlink="">
      <xdr:nvSpPr>
        <xdr:cNvPr id="14" name="TextBox 23">
          <a:extLst>
            <a:ext uri="{FF2B5EF4-FFF2-40B4-BE49-F238E27FC236}">
              <a16:creationId xmlns:a16="http://schemas.microsoft.com/office/drawing/2014/main" xmlns="" id="{00000000-0008-0000-6A00-00000E000000}"/>
            </a:ext>
          </a:extLst>
        </xdr:cNvPr>
        <xdr:cNvSpPr txBox="1"/>
      </xdr:nvSpPr>
      <xdr:spPr>
        <a:xfrm>
          <a:off x="1130300" y="1689100"/>
          <a:ext cx="1616822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Contrato:</a:t>
          </a:r>
        </a:p>
      </xdr:txBody>
    </xdr:sp>
    <xdr:clientData/>
  </xdr:twoCellAnchor>
  <xdr:twoCellAnchor>
    <xdr:from>
      <xdr:col>3</xdr:col>
      <xdr:colOff>381000</xdr:colOff>
      <xdr:row>9</xdr:row>
      <xdr:rowOff>19051</xdr:rowOff>
    </xdr:from>
    <xdr:to>
      <xdr:col>5</xdr:col>
      <xdr:colOff>1114425</xdr:colOff>
      <xdr:row>9</xdr:row>
      <xdr:rowOff>228601</xdr:rowOff>
    </xdr:to>
    <xdr:sp macro="" textlink="">
      <xdr:nvSpPr>
        <xdr:cNvPr id="15" name="TextBox 24">
          <a:extLst>
            <a:ext uri="{FF2B5EF4-FFF2-40B4-BE49-F238E27FC236}">
              <a16:creationId xmlns:a16="http://schemas.microsoft.com/office/drawing/2014/main" xmlns="" id="{00000000-0008-0000-6A00-00000F000000}"/>
            </a:ext>
          </a:extLst>
        </xdr:cNvPr>
        <xdr:cNvSpPr txBox="1"/>
      </xdr:nvSpPr>
      <xdr:spPr>
        <a:xfrm>
          <a:off x="2743200" y="1708151"/>
          <a:ext cx="3095625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N° SE-CPSTGN-002/2011</a:t>
          </a:r>
          <a:endParaRPr lang="es-MX" sz="1000" u="sng">
            <a:solidFill>
              <a:srgbClr val="FF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247650</xdr:colOff>
      <xdr:row>60</xdr:row>
      <xdr:rowOff>133349</xdr:rowOff>
    </xdr:from>
    <xdr:to>
      <xdr:col>4</xdr:col>
      <xdr:colOff>454959</xdr:colOff>
      <xdr:row>65</xdr:row>
      <xdr:rowOff>78440</xdr:rowOff>
    </xdr:to>
    <xdr:sp macro="" textlink="">
      <xdr:nvSpPr>
        <xdr:cNvPr id="16" name="TextBox 19">
          <a:extLst>
            <a:ext uri="{FF2B5EF4-FFF2-40B4-BE49-F238E27FC236}">
              <a16:creationId xmlns:a16="http://schemas.microsoft.com/office/drawing/2014/main" xmlns="" id="{00000000-0008-0000-6A00-000010000000}"/>
            </a:ext>
          </a:extLst>
        </xdr:cNvPr>
        <xdr:cNvSpPr txBox="1"/>
      </xdr:nvSpPr>
      <xdr:spPr>
        <a:xfrm>
          <a:off x="1085850" y="17252949"/>
          <a:ext cx="2696509" cy="77059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___________________________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Elaboro                                                  ing, Rogelio Gaytan BerrIel</a:t>
          </a:r>
        </a:p>
      </xdr:txBody>
    </xdr:sp>
    <xdr:clientData/>
  </xdr:twoCellAnchor>
  <xdr:twoCellAnchor>
    <xdr:from>
      <xdr:col>11</xdr:col>
      <xdr:colOff>414804</xdr:colOff>
      <xdr:row>60</xdr:row>
      <xdr:rowOff>95250</xdr:rowOff>
    </xdr:from>
    <xdr:to>
      <xdr:col>13</xdr:col>
      <xdr:colOff>834651</xdr:colOff>
      <xdr:row>65</xdr:row>
      <xdr:rowOff>59765</xdr:rowOff>
    </xdr:to>
    <xdr:sp macro="" textlink="">
      <xdr:nvSpPr>
        <xdr:cNvPr id="17" name="TextBox 20">
          <a:extLst>
            <a:ext uri="{FF2B5EF4-FFF2-40B4-BE49-F238E27FC236}">
              <a16:creationId xmlns:a16="http://schemas.microsoft.com/office/drawing/2014/main" xmlns="" id="{00000000-0008-0000-6A00-000011000000}"/>
            </a:ext>
          </a:extLst>
        </xdr:cNvPr>
        <xdr:cNvSpPr txBox="1"/>
      </xdr:nvSpPr>
      <xdr:spPr>
        <a:xfrm>
          <a:off x="12175004" y="17214850"/>
          <a:ext cx="2794747" cy="7900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___________________________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Autorizo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Ing.</a:t>
          </a:r>
          <a:r>
            <a:rPr lang="es-MX" sz="1100" b="1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 Fernando Lopez Casillas</a:t>
          </a:r>
          <a:endParaRPr lang="es-MX" sz="11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876300</xdr:colOff>
      <xdr:row>5</xdr:row>
      <xdr:rowOff>133350</xdr:rowOff>
    </xdr:from>
    <xdr:to>
      <xdr:col>12</xdr:col>
      <xdr:colOff>876300</xdr:colOff>
      <xdr:row>6</xdr:row>
      <xdr:rowOff>171450</xdr:rowOff>
    </xdr:to>
    <xdr:sp macro="" textlink="">
      <xdr:nvSpPr>
        <xdr:cNvPr id="2" name="TextBox 6">
          <a:extLst>
            <a:ext uri="{FF2B5EF4-FFF2-40B4-BE49-F238E27FC236}">
              <a16:creationId xmlns:a16="http://schemas.microsoft.com/office/drawing/2014/main" xmlns="" id="{00000000-0008-0000-6B00-000002000000}"/>
            </a:ext>
          </a:extLst>
        </xdr:cNvPr>
        <xdr:cNvSpPr txBox="1"/>
      </xdr:nvSpPr>
      <xdr:spPr>
        <a:xfrm>
          <a:off x="12636500" y="1009650"/>
          <a:ext cx="1219200" cy="190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FT-SR-XX</a:t>
          </a:r>
        </a:p>
      </xdr:txBody>
    </xdr:sp>
    <xdr:clientData/>
  </xdr:twoCellAnchor>
  <xdr:twoCellAnchor>
    <xdr:from>
      <xdr:col>2</xdr:col>
      <xdr:colOff>0</xdr:colOff>
      <xdr:row>0</xdr:row>
      <xdr:rowOff>0</xdr:rowOff>
    </xdr:from>
    <xdr:to>
      <xdr:col>12</xdr:col>
      <xdr:colOff>866775</xdr:colOff>
      <xdr:row>7</xdr:row>
      <xdr:rowOff>19050</xdr:rowOff>
    </xdr:to>
    <xdr:sp macro="" textlink="">
      <xdr:nvSpPr>
        <xdr:cNvPr id="3" name="AutoShape 17">
          <a:extLst>
            <a:ext uri="{FF2B5EF4-FFF2-40B4-BE49-F238E27FC236}">
              <a16:creationId xmlns:a16="http://schemas.microsoft.com/office/drawing/2014/main" xmlns="" id="{00000000-0008-0000-6B00-000003000000}"/>
            </a:ext>
          </a:extLst>
        </xdr:cNvPr>
        <xdr:cNvSpPr>
          <a:spLocks noChangeArrowheads="1"/>
        </xdr:cNvSpPr>
      </xdr:nvSpPr>
      <xdr:spPr bwMode="auto">
        <a:xfrm>
          <a:off x="1130300" y="0"/>
          <a:ext cx="12715875" cy="1225550"/>
        </a:xfrm>
        <a:prstGeom prst="roundRect">
          <a:avLst>
            <a:gd name="adj" fmla="val 16667"/>
          </a:avLst>
        </a:prstGeom>
        <a:noFill/>
        <a:ln w="31750" cmpd="dbl">
          <a:solidFill>
            <a:srgbClr val="009967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161925</xdr:colOff>
      <xdr:row>0</xdr:row>
      <xdr:rowOff>85725</xdr:rowOff>
    </xdr:from>
    <xdr:to>
      <xdr:col>12</xdr:col>
      <xdr:colOff>817470</xdr:colOff>
      <xdr:row>4</xdr:row>
      <xdr:rowOff>152400</xdr:rowOff>
    </xdr:to>
    <xdr:sp macro="" textlink="">
      <xdr:nvSpPr>
        <xdr:cNvPr id="4" name="Cuadro de texto 1">
          <a:extLst>
            <a:ext uri="{FF2B5EF4-FFF2-40B4-BE49-F238E27FC236}">
              <a16:creationId xmlns:a16="http://schemas.microsoft.com/office/drawing/2014/main" xmlns="" id="{00000000-0008-0000-6B00-000004000000}"/>
            </a:ext>
          </a:extLst>
        </xdr:cNvPr>
        <xdr:cNvSpPr txBox="1">
          <a:spLocks noChangeArrowheads="1"/>
        </xdr:cNvSpPr>
      </xdr:nvSpPr>
      <xdr:spPr bwMode="auto">
        <a:xfrm>
          <a:off x="8239125" y="85725"/>
          <a:ext cx="5557745" cy="777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r" rtl="0">
            <a:defRPr sz="1000"/>
          </a:pPr>
          <a:r>
            <a:rPr lang="es-MX" sz="1400" b="1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Dirección Corporativa de Operaciones</a:t>
          </a:r>
        </a:p>
        <a:p>
          <a:pPr algn="r" rtl="0">
            <a:defRPr sz="1000"/>
          </a:pPr>
          <a:r>
            <a:rPr lang="es-MX" sz="1400" b="0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               Subdirección de Negocios No Regulados</a:t>
          </a:r>
        </a:p>
        <a:p>
          <a:pPr algn="r" rtl="0">
            <a:defRPr sz="1000"/>
          </a:pPr>
          <a:r>
            <a:rPr lang="es-MX" sz="1400" b="0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Subgerencia Regional de Energéticos Norte</a:t>
          </a:r>
          <a:endParaRPr lang="es-MX" sz="1400" b="0" i="1" u="none" strike="noStrike" baseline="0">
            <a:solidFill>
              <a:srgbClr val="009969"/>
            </a:solidFill>
            <a:latin typeface="Arial" pitchFamily="34" charset="0"/>
            <a:cs typeface="Arial" pitchFamily="34" charset="0"/>
          </a:endParaRPr>
        </a:p>
        <a:p>
          <a:pPr algn="l" rtl="0">
            <a:defRPr sz="1000"/>
          </a:pPr>
          <a:endParaRPr lang="es-MX" sz="1400" b="1" i="1" u="none" strike="noStrike" baseline="0">
            <a:solidFill>
              <a:srgbClr val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790575</xdr:colOff>
      <xdr:row>4</xdr:row>
      <xdr:rowOff>123825</xdr:rowOff>
    </xdr:to>
    <xdr:pic>
      <xdr:nvPicPr>
        <xdr:cNvPr id="5" name="Picture 9" descr="C:\Users\francis.munguia\Desktop\LogotipoCFE_verde.jpg">
          <a:extLst>
            <a:ext uri="{FF2B5EF4-FFF2-40B4-BE49-F238E27FC236}">
              <a16:creationId xmlns:a16="http://schemas.microsoft.com/office/drawing/2014/main" xmlns="" id="{00000000-0008-0000-6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E"/>
            </a:clrFrom>
            <a:clrTo>
              <a:srgbClr val="FFFF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720" b="23125"/>
        <a:stretch>
          <a:fillRect/>
        </a:stretch>
      </xdr:blipFill>
      <xdr:spPr bwMode="auto">
        <a:xfrm>
          <a:off x="1130300" y="165100"/>
          <a:ext cx="2022475" cy="669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781050</xdr:colOff>
      <xdr:row>10</xdr:row>
      <xdr:rowOff>161925</xdr:rowOff>
    </xdr:from>
    <xdr:to>
      <xdr:col>12</xdr:col>
      <xdr:colOff>874057</xdr:colOff>
      <xdr:row>12</xdr:row>
      <xdr:rowOff>133350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xmlns="" id="{00000000-0008-0000-6B00-000006000000}"/>
            </a:ext>
          </a:extLst>
        </xdr:cNvPr>
        <xdr:cNvSpPr txBox="1"/>
      </xdr:nvSpPr>
      <xdr:spPr>
        <a:xfrm>
          <a:off x="12541250" y="2092325"/>
          <a:ext cx="1312207" cy="4540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 baseline="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Septiembre 2019</a:t>
          </a:r>
          <a:endParaRPr lang="es-MX" sz="1100" b="1">
            <a:solidFill>
              <a:srgbClr val="FF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180975</xdr:colOff>
      <xdr:row>4</xdr:row>
      <xdr:rowOff>114301</xdr:rowOff>
    </xdr:from>
    <xdr:to>
      <xdr:col>11</xdr:col>
      <xdr:colOff>923925</xdr:colOff>
      <xdr:row>7</xdr:row>
      <xdr:rowOff>9526</xdr:rowOff>
    </xdr:to>
    <xdr:sp macro="" textlink="">
      <xdr:nvSpPr>
        <xdr:cNvPr id="7" name="Cuadro de texto 1">
          <a:extLst>
            <a:ext uri="{FF2B5EF4-FFF2-40B4-BE49-F238E27FC236}">
              <a16:creationId xmlns:a16="http://schemas.microsoft.com/office/drawing/2014/main" xmlns="" id="{00000000-0008-0000-6B00-000007000000}"/>
            </a:ext>
          </a:extLst>
        </xdr:cNvPr>
        <xdr:cNvSpPr txBox="1">
          <a:spLocks noChangeArrowheads="1"/>
        </xdr:cNvSpPr>
      </xdr:nvSpPr>
      <xdr:spPr bwMode="auto">
        <a:xfrm>
          <a:off x="1311275" y="825501"/>
          <a:ext cx="11372850" cy="390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MX" sz="1400" b="1" i="0" u="none" strike="noStrike" baseline="0">
              <a:solidFill>
                <a:srgbClr val="000000"/>
              </a:solidFill>
              <a:latin typeface="Arial" pitchFamily="34" charset="0"/>
              <a:cs typeface="Arial" pitchFamily="34" charset="0"/>
            </a:rPr>
            <a:t>REVISION DE FACTURACION DE COMBUSTIBLES</a:t>
          </a:r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3</xdr:col>
      <xdr:colOff>384922</xdr:colOff>
      <xdr:row>10</xdr:row>
      <xdr:rowOff>212912</xdr:rowOff>
    </xdr:to>
    <xdr:sp macro="" textlink="">
      <xdr:nvSpPr>
        <xdr:cNvPr id="8" name="TextBox 8">
          <a:extLst>
            <a:ext uri="{FF2B5EF4-FFF2-40B4-BE49-F238E27FC236}">
              <a16:creationId xmlns:a16="http://schemas.microsoft.com/office/drawing/2014/main" xmlns="" id="{00000000-0008-0000-6B00-000008000000}"/>
            </a:ext>
          </a:extLst>
        </xdr:cNvPr>
        <xdr:cNvSpPr txBox="1"/>
      </xdr:nvSpPr>
      <xdr:spPr>
        <a:xfrm>
          <a:off x="1130300" y="1930400"/>
          <a:ext cx="1616822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Tipo de Combustible:</a:t>
          </a:r>
        </a:p>
      </xdr:txBody>
    </xdr:sp>
    <xdr:clientData/>
  </xdr:twoCellAnchor>
  <xdr:twoCellAnchor>
    <xdr:from>
      <xdr:col>3</xdr:col>
      <xdr:colOff>381000</xdr:colOff>
      <xdr:row>10</xdr:row>
      <xdr:rowOff>0</xdr:rowOff>
    </xdr:from>
    <xdr:to>
      <xdr:col>5</xdr:col>
      <xdr:colOff>1209675</xdr:colOff>
      <xdr:row>10</xdr:row>
      <xdr:rowOff>228600</xdr:rowOff>
    </xdr:to>
    <xdr:sp macro="" textlink="">
      <xdr:nvSpPr>
        <xdr:cNvPr id="9" name="TextBox 9">
          <a:extLst>
            <a:ext uri="{FF2B5EF4-FFF2-40B4-BE49-F238E27FC236}">
              <a16:creationId xmlns:a16="http://schemas.microsoft.com/office/drawing/2014/main" xmlns="" id="{00000000-0008-0000-6B00-000009000000}"/>
            </a:ext>
          </a:extLst>
        </xdr:cNvPr>
        <xdr:cNvSpPr txBox="1"/>
      </xdr:nvSpPr>
      <xdr:spPr>
        <a:xfrm>
          <a:off x="2743200" y="1930400"/>
          <a:ext cx="3190875" cy="228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>
              <a:solidFill>
                <a:srgbClr val="FF0000"/>
              </a:solidFill>
              <a:effectLst/>
              <a:latin typeface="Arial" panose="020B0604020202020204" pitchFamily="34" charset="0"/>
              <a:cs typeface="Arial" panose="020B0604020202020204" pitchFamily="34" charset="0"/>
            </a:rPr>
            <a:t>GAS NATURAL</a:t>
          </a:r>
        </a:p>
      </xdr:txBody>
    </xdr:sp>
    <xdr:clientData/>
  </xdr:twoCellAnchor>
  <xdr:twoCellAnchor>
    <xdr:from>
      <xdr:col>3</xdr:col>
      <xdr:colOff>380999</xdr:colOff>
      <xdr:row>10</xdr:row>
      <xdr:rowOff>219075</xdr:rowOff>
    </xdr:from>
    <xdr:to>
      <xdr:col>6</xdr:col>
      <xdr:colOff>504825</xdr:colOff>
      <xdr:row>11</xdr:row>
      <xdr:rowOff>200025</xdr:rowOff>
    </xdr:to>
    <xdr:sp macro="" textlink="">
      <xdr:nvSpPr>
        <xdr:cNvPr id="10" name="TextBox 10">
          <a:extLst>
            <a:ext uri="{FF2B5EF4-FFF2-40B4-BE49-F238E27FC236}">
              <a16:creationId xmlns:a16="http://schemas.microsoft.com/office/drawing/2014/main" xmlns="" id="{00000000-0008-0000-6B00-00000A000000}"/>
            </a:ext>
          </a:extLst>
        </xdr:cNvPr>
        <xdr:cNvSpPr txBox="1"/>
      </xdr:nvSpPr>
      <xdr:spPr>
        <a:xfrm>
          <a:off x="2743199" y="2149475"/>
          <a:ext cx="3806826" cy="2222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MX" sz="1000" b="1" u="sng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TRANSPORTE POR GASODUCTO</a:t>
          </a:r>
        </a:p>
      </xdr:txBody>
    </xdr:sp>
    <xdr:clientData/>
  </xdr:twoCellAnchor>
  <xdr:twoCellAnchor>
    <xdr:from>
      <xdr:col>2</xdr:col>
      <xdr:colOff>0</xdr:colOff>
      <xdr:row>10</xdr:row>
      <xdr:rowOff>228600</xdr:rowOff>
    </xdr:from>
    <xdr:to>
      <xdr:col>3</xdr:col>
      <xdr:colOff>384922</xdr:colOff>
      <xdr:row>11</xdr:row>
      <xdr:rowOff>193862</xdr:rowOff>
    </xdr:to>
    <xdr:sp macro="" textlink="">
      <xdr:nvSpPr>
        <xdr:cNvPr id="11" name="TextBox 13">
          <a:extLst>
            <a:ext uri="{FF2B5EF4-FFF2-40B4-BE49-F238E27FC236}">
              <a16:creationId xmlns:a16="http://schemas.microsoft.com/office/drawing/2014/main" xmlns="" id="{00000000-0008-0000-6B00-00000B000000}"/>
            </a:ext>
          </a:extLst>
        </xdr:cNvPr>
        <xdr:cNvSpPr txBox="1"/>
      </xdr:nvSpPr>
      <xdr:spPr>
        <a:xfrm>
          <a:off x="1130300" y="2159000"/>
          <a:ext cx="1616822" cy="20656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Tipo de Servicio:</a:t>
          </a: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3</xdr:col>
      <xdr:colOff>384922</xdr:colOff>
      <xdr:row>8</xdr:row>
      <xdr:rowOff>212912</xdr:rowOff>
    </xdr:to>
    <xdr:sp macro="" textlink="">
      <xdr:nvSpPr>
        <xdr:cNvPr id="12" name="TextBox 21">
          <a:extLst>
            <a:ext uri="{FF2B5EF4-FFF2-40B4-BE49-F238E27FC236}">
              <a16:creationId xmlns:a16="http://schemas.microsoft.com/office/drawing/2014/main" xmlns="" id="{00000000-0008-0000-6B00-00000C000000}"/>
            </a:ext>
          </a:extLst>
        </xdr:cNvPr>
        <xdr:cNvSpPr txBox="1"/>
      </xdr:nvSpPr>
      <xdr:spPr>
        <a:xfrm>
          <a:off x="1130300" y="1447800"/>
          <a:ext cx="1616822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Proveedor:</a:t>
          </a:r>
        </a:p>
        <a:p>
          <a:pPr algn="l"/>
          <a:endParaRPr lang="es-MX" sz="10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380999</xdr:colOff>
      <xdr:row>7</xdr:row>
      <xdr:rowOff>238126</xdr:rowOff>
    </xdr:from>
    <xdr:to>
      <xdr:col>7</xdr:col>
      <xdr:colOff>161924</xdr:colOff>
      <xdr:row>8</xdr:row>
      <xdr:rowOff>228600</xdr:rowOff>
    </xdr:to>
    <xdr:sp macro="" textlink="">
      <xdr:nvSpPr>
        <xdr:cNvPr id="13" name="TextBox 22">
          <a:extLst>
            <a:ext uri="{FF2B5EF4-FFF2-40B4-BE49-F238E27FC236}">
              <a16:creationId xmlns:a16="http://schemas.microsoft.com/office/drawing/2014/main" xmlns="" id="{00000000-0008-0000-6B00-00000D000000}"/>
            </a:ext>
          </a:extLst>
        </xdr:cNvPr>
        <xdr:cNvSpPr txBox="1"/>
      </xdr:nvSpPr>
      <xdr:spPr>
        <a:xfrm>
          <a:off x="2743199" y="1444626"/>
          <a:ext cx="4479925" cy="23177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(4326979</a:t>
          </a:r>
          <a:r>
            <a:rPr lang="es-MX" sz="1000" b="1" i="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) </a:t>
          </a:r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TARAHUMARA PIPELINE S DE RL DE CV </a:t>
          </a:r>
          <a:endParaRPr lang="es-MX" sz="1000" u="sng">
            <a:solidFill>
              <a:srgbClr val="FF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0</xdr:colOff>
      <xdr:row>9</xdr:row>
      <xdr:rowOff>0</xdr:rowOff>
    </xdr:from>
    <xdr:to>
      <xdr:col>3</xdr:col>
      <xdr:colOff>384922</xdr:colOff>
      <xdr:row>9</xdr:row>
      <xdr:rowOff>212912</xdr:rowOff>
    </xdr:to>
    <xdr:sp macro="" textlink="">
      <xdr:nvSpPr>
        <xdr:cNvPr id="14" name="TextBox 23">
          <a:extLst>
            <a:ext uri="{FF2B5EF4-FFF2-40B4-BE49-F238E27FC236}">
              <a16:creationId xmlns:a16="http://schemas.microsoft.com/office/drawing/2014/main" xmlns="" id="{00000000-0008-0000-6B00-00000E000000}"/>
            </a:ext>
          </a:extLst>
        </xdr:cNvPr>
        <xdr:cNvSpPr txBox="1"/>
      </xdr:nvSpPr>
      <xdr:spPr>
        <a:xfrm>
          <a:off x="1130300" y="1689100"/>
          <a:ext cx="1616822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Contrato:</a:t>
          </a:r>
        </a:p>
      </xdr:txBody>
    </xdr:sp>
    <xdr:clientData/>
  </xdr:twoCellAnchor>
  <xdr:twoCellAnchor>
    <xdr:from>
      <xdr:col>3</xdr:col>
      <xdr:colOff>381000</xdr:colOff>
      <xdr:row>9</xdr:row>
      <xdr:rowOff>19051</xdr:rowOff>
    </xdr:from>
    <xdr:to>
      <xdr:col>5</xdr:col>
      <xdr:colOff>1114425</xdr:colOff>
      <xdr:row>9</xdr:row>
      <xdr:rowOff>228601</xdr:rowOff>
    </xdr:to>
    <xdr:sp macro="" textlink="">
      <xdr:nvSpPr>
        <xdr:cNvPr id="15" name="TextBox 24">
          <a:extLst>
            <a:ext uri="{FF2B5EF4-FFF2-40B4-BE49-F238E27FC236}">
              <a16:creationId xmlns:a16="http://schemas.microsoft.com/office/drawing/2014/main" xmlns="" id="{00000000-0008-0000-6B00-00000F000000}"/>
            </a:ext>
          </a:extLst>
        </xdr:cNvPr>
        <xdr:cNvSpPr txBox="1"/>
      </xdr:nvSpPr>
      <xdr:spPr>
        <a:xfrm>
          <a:off x="2743200" y="1708151"/>
          <a:ext cx="3095625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N° SE-CPSTGN-002/2011</a:t>
          </a:r>
          <a:endParaRPr lang="es-MX" sz="1000" u="sng">
            <a:solidFill>
              <a:srgbClr val="FF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247650</xdr:colOff>
      <xdr:row>60</xdr:row>
      <xdr:rowOff>133349</xdr:rowOff>
    </xdr:from>
    <xdr:to>
      <xdr:col>4</xdr:col>
      <xdr:colOff>454959</xdr:colOff>
      <xdr:row>65</xdr:row>
      <xdr:rowOff>78440</xdr:rowOff>
    </xdr:to>
    <xdr:sp macro="" textlink="">
      <xdr:nvSpPr>
        <xdr:cNvPr id="16" name="TextBox 19">
          <a:extLst>
            <a:ext uri="{FF2B5EF4-FFF2-40B4-BE49-F238E27FC236}">
              <a16:creationId xmlns:a16="http://schemas.microsoft.com/office/drawing/2014/main" xmlns="" id="{00000000-0008-0000-6B00-000010000000}"/>
            </a:ext>
          </a:extLst>
        </xdr:cNvPr>
        <xdr:cNvSpPr txBox="1"/>
      </xdr:nvSpPr>
      <xdr:spPr>
        <a:xfrm>
          <a:off x="1085850" y="17252949"/>
          <a:ext cx="2696509" cy="77059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___________________________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Elaboro                                                  ing, Rogelio Gaytan BerrIel</a:t>
          </a:r>
        </a:p>
      </xdr:txBody>
    </xdr:sp>
    <xdr:clientData/>
  </xdr:twoCellAnchor>
  <xdr:twoCellAnchor>
    <xdr:from>
      <xdr:col>11</xdr:col>
      <xdr:colOff>414804</xdr:colOff>
      <xdr:row>60</xdr:row>
      <xdr:rowOff>95250</xdr:rowOff>
    </xdr:from>
    <xdr:to>
      <xdr:col>13</xdr:col>
      <xdr:colOff>834651</xdr:colOff>
      <xdr:row>65</xdr:row>
      <xdr:rowOff>59765</xdr:rowOff>
    </xdr:to>
    <xdr:sp macro="" textlink="">
      <xdr:nvSpPr>
        <xdr:cNvPr id="17" name="TextBox 20">
          <a:extLst>
            <a:ext uri="{FF2B5EF4-FFF2-40B4-BE49-F238E27FC236}">
              <a16:creationId xmlns:a16="http://schemas.microsoft.com/office/drawing/2014/main" xmlns="" id="{00000000-0008-0000-6B00-000011000000}"/>
            </a:ext>
          </a:extLst>
        </xdr:cNvPr>
        <xdr:cNvSpPr txBox="1"/>
      </xdr:nvSpPr>
      <xdr:spPr>
        <a:xfrm>
          <a:off x="12175004" y="17214850"/>
          <a:ext cx="2794747" cy="7900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___________________________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Autorizo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Ing.</a:t>
          </a:r>
          <a:r>
            <a:rPr lang="es-MX" sz="1100" b="1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 Fernando Lopez Casillas</a:t>
          </a:r>
          <a:endParaRPr lang="es-MX" sz="11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876300</xdr:colOff>
      <xdr:row>5</xdr:row>
      <xdr:rowOff>133350</xdr:rowOff>
    </xdr:from>
    <xdr:to>
      <xdr:col>12</xdr:col>
      <xdr:colOff>876300</xdr:colOff>
      <xdr:row>6</xdr:row>
      <xdr:rowOff>171450</xdr:rowOff>
    </xdr:to>
    <xdr:sp macro="" textlink="">
      <xdr:nvSpPr>
        <xdr:cNvPr id="2" name="TextBox 6">
          <a:extLst>
            <a:ext uri="{FF2B5EF4-FFF2-40B4-BE49-F238E27FC236}">
              <a16:creationId xmlns:a16="http://schemas.microsoft.com/office/drawing/2014/main" xmlns="" id="{00000000-0008-0000-6C00-000002000000}"/>
            </a:ext>
          </a:extLst>
        </xdr:cNvPr>
        <xdr:cNvSpPr txBox="1"/>
      </xdr:nvSpPr>
      <xdr:spPr>
        <a:xfrm>
          <a:off x="12636500" y="1009650"/>
          <a:ext cx="1219200" cy="190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FT-SR-XX</a:t>
          </a:r>
        </a:p>
      </xdr:txBody>
    </xdr:sp>
    <xdr:clientData/>
  </xdr:twoCellAnchor>
  <xdr:twoCellAnchor>
    <xdr:from>
      <xdr:col>2</xdr:col>
      <xdr:colOff>0</xdr:colOff>
      <xdr:row>0</xdr:row>
      <xdr:rowOff>0</xdr:rowOff>
    </xdr:from>
    <xdr:to>
      <xdr:col>12</xdr:col>
      <xdr:colOff>866775</xdr:colOff>
      <xdr:row>7</xdr:row>
      <xdr:rowOff>19050</xdr:rowOff>
    </xdr:to>
    <xdr:sp macro="" textlink="">
      <xdr:nvSpPr>
        <xdr:cNvPr id="3" name="AutoShape 17">
          <a:extLst>
            <a:ext uri="{FF2B5EF4-FFF2-40B4-BE49-F238E27FC236}">
              <a16:creationId xmlns:a16="http://schemas.microsoft.com/office/drawing/2014/main" xmlns="" id="{00000000-0008-0000-6C00-000003000000}"/>
            </a:ext>
          </a:extLst>
        </xdr:cNvPr>
        <xdr:cNvSpPr>
          <a:spLocks noChangeArrowheads="1"/>
        </xdr:cNvSpPr>
      </xdr:nvSpPr>
      <xdr:spPr bwMode="auto">
        <a:xfrm>
          <a:off x="1130300" y="0"/>
          <a:ext cx="12715875" cy="1225550"/>
        </a:xfrm>
        <a:prstGeom prst="roundRect">
          <a:avLst>
            <a:gd name="adj" fmla="val 16667"/>
          </a:avLst>
        </a:prstGeom>
        <a:noFill/>
        <a:ln w="31750" cmpd="dbl">
          <a:solidFill>
            <a:srgbClr val="009967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161925</xdr:colOff>
      <xdr:row>0</xdr:row>
      <xdr:rowOff>85725</xdr:rowOff>
    </xdr:from>
    <xdr:to>
      <xdr:col>12</xdr:col>
      <xdr:colOff>817470</xdr:colOff>
      <xdr:row>4</xdr:row>
      <xdr:rowOff>152400</xdr:rowOff>
    </xdr:to>
    <xdr:sp macro="" textlink="">
      <xdr:nvSpPr>
        <xdr:cNvPr id="4" name="Cuadro de texto 1">
          <a:extLst>
            <a:ext uri="{FF2B5EF4-FFF2-40B4-BE49-F238E27FC236}">
              <a16:creationId xmlns:a16="http://schemas.microsoft.com/office/drawing/2014/main" xmlns="" id="{00000000-0008-0000-6C00-000004000000}"/>
            </a:ext>
          </a:extLst>
        </xdr:cNvPr>
        <xdr:cNvSpPr txBox="1">
          <a:spLocks noChangeArrowheads="1"/>
        </xdr:cNvSpPr>
      </xdr:nvSpPr>
      <xdr:spPr bwMode="auto">
        <a:xfrm>
          <a:off x="8239125" y="85725"/>
          <a:ext cx="5557745" cy="777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r" rtl="0">
            <a:defRPr sz="1000"/>
          </a:pPr>
          <a:r>
            <a:rPr lang="es-MX" sz="1400" b="1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Dirección Corporativa de Operaciones</a:t>
          </a:r>
        </a:p>
        <a:p>
          <a:pPr algn="r" rtl="0">
            <a:defRPr sz="1000"/>
          </a:pPr>
          <a:r>
            <a:rPr lang="es-MX" sz="1400" b="0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               Subdirección de Negocios No Regulados</a:t>
          </a:r>
        </a:p>
        <a:p>
          <a:pPr algn="r" rtl="0">
            <a:defRPr sz="1000"/>
          </a:pPr>
          <a:r>
            <a:rPr lang="es-MX" sz="1400" b="0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Subgerencia Regional de Energéticos Norte</a:t>
          </a:r>
          <a:endParaRPr lang="es-MX" sz="1400" b="0" i="1" u="none" strike="noStrike" baseline="0">
            <a:solidFill>
              <a:srgbClr val="009969"/>
            </a:solidFill>
            <a:latin typeface="Arial" pitchFamily="34" charset="0"/>
            <a:cs typeface="Arial" pitchFamily="34" charset="0"/>
          </a:endParaRPr>
        </a:p>
        <a:p>
          <a:pPr algn="l" rtl="0">
            <a:defRPr sz="1000"/>
          </a:pPr>
          <a:endParaRPr lang="es-MX" sz="1400" b="1" i="1" u="none" strike="noStrike" baseline="0">
            <a:solidFill>
              <a:srgbClr val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790575</xdr:colOff>
      <xdr:row>4</xdr:row>
      <xdr:rowOff>123825</xdr:rowOff>
    </xdr:to>
    <xdr:pic>
      <xdr:nvPicPr>
        <xdr:cNvPr id="5" name="Picture 9" descr="C:\Users\francis.munguia\Desktop\LogotipoCFE_verde.jpg">
          <a:extLst>
            <a:ext uri="{FF2B5EF4-FFF2-40B4-BE49-F238E27FC236}">
              <a16:creationId xmlns:a16="http://schemas.microsoft.com/office/drawing/2014/main" xmlns="" id="{00000000-0008-0000-6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E"/>
            </a:clrFrom>
            <a:clrTo>
              <a:srgbClr val="FFFF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720" b="23125"/>
        <a:stretch>
          <a:fillRect/>
        </a:stretch>
      </xdr:blipFill>
      <xdr:spPr bwMode="auto">
        <a:xfrm>
          <a:off x="1130300" y="165100"/>
          <a:ext cx="2022475" cy="669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781050</xdr:colOff>
      <xdr:row>10</xdr:row>
      <xdr:rowOff>161925</xdr:rowOff>
    </xdr:from>
    <xdr:to>
      <xdr:col>12</xdr:col>
      <xdr:colOff>874057</xdr:colOff>
      <xdr:row>12</xdr:row>
      <xdr:rowOff>133350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xmlns="" id="{00000000-0008-0000-6C00-000006000000}"/>
            </a:ext>
          </a:extLst>
        </xdr:cNvPr>
        <xdr:cNvSpPr txBox="1"/>
      </xdr:nvSpPr>
      <xdr:spPr>
        <a:xfrm>
          <a:off x="12541250" y="2092325"/>
          <a:ext cx="1312207" cy="4540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 baseline="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Otubre 2019</a:t>
          </a:r>
          <a:endParaRPr lang="es-MX" sz="1100" b="1">
            <a:solidFill>
              <a:srgbClr val="FF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180975</xdr:colOff>
      <xdr:row>4</xdr:row>
      <xdr:rowOff>114301</xdr:rowOff>
    </xdr:from>
    <xdr:to>
      <xdr:col>11</xdr:col>
      <xdr:colOff>923925</xdr:colOff>
      <xdr:row>7</xdr:row>
      <xdr:rowOff>9526</xdr:rowOff>
    </xdr:to>
    <xdr:sp macro="" textlink="">
      <xdr:nvSpPr>
        <xdr:cNvPr id="7" name="Cuadro de texto 1">
          <a:extLst>
            <a:ext uri="{FF2B5EF4-FFF2-40B4-BE49-F238E27FC236}">
              <a16:creationId xmlns:a16="http://schemas.microsoft.com/office/drawing/2014/main" xmlns="" id="{00000000-0008-0000-6C00-000007000000}"/>
            </a:ext>
          </a:extLst>
        </xdr:cNvPr>
        <xdr:cNvSpPr txBox="1">
          <a:spLocks noChangeArrowheads="1"/>
        </xdr:cNvSpPr>
      </xdr:nvSpPr>
      <xdr:spPr bwMode="auto">
        <a:xfrm>
          <a:off x="1311275" y="825501"/>
          <a:ext cx="11372850" cy="390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MX" sz="1400" b="1" i="0" u="none" strike="noStrike" baseline="0">
              <a:solidFill>
                <a:srgbClr val="000000"/>
              </a:solidFill>
              <a:latin typeface="Arial" pitchFamily="34" charset="0"/>
              <a:cs typeface="Arial" pitchFamily="34" charset="0"/>
            </a:rPr>
            <a:t>REVISION DE FACTURACION DE COMBUSTIBLES</a:t>
          </a:r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3</xdr:col>
      <xdr:colOff>384922</xdr:colOff>
      <xdr:row>10</xdr:row>
      <xdr:rowOff>212912</xdr:rowOff>
    </xdr:to>
    <xdr:sp macro="" textlink="">
      <xdr:nvSpPr>
        <xdr:cNvPr id="8" name="TextBox 8">
          <a:extLst>
            <a:ext uri="{FF2B5EF4-FFF2-40B4-BE49-F238E27FC236}">
              <a16:creationId xmlns:a16="http://schemas.microsoft.com/office/drawing/2014/main" xmlns="" id="{00000000-0008-0000-6C00-000008000000}"/>
            </a:ext>
          </a:extLst>
        </xdr:cNvPr>
        <xdr:cNvSpPr txBox="1"/>
      </xdr:nvSpPr>
      <xdr:spPr>
        <a:xfrm>
          <a:off x="1130300" y="1930400"/>
          <a:ext cx="1616822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Tipo de Combustible:</a:t>
          </a:r>
        </a:p>
      </xdr:txBody>
    </xdr:sp>
    <xdr:clientData/>
  </xdr:twoCellAnchor>
  <xdr:twoCellAnchor>
    <xdr:from>
      <xdr:col>3</xdr:col>
      <xdr:colOff>381000</xdr:colOff>
      <xdr:row>10</xdr:row>
      <xdr:rowOff>0</xdr:rowOff>
    </xdr:from>
    <xdr:to>
      <xdr:col>5</xdr:col>
      <xdr:colOff>1209675</xdr:colOff>
      <xdr:row>10</xdr:row>
      <xdr:rowOff>228600</xdr:rowOff>
    </xdr:to>
    <xdr:sp macro="" textlink="">
      <xdr:nvSpPr>
        <xdr:cNvPr id="9" name="TextBox 9">
          <a:extLst>
            <a:ext uri="{FF2B5EF4-FFF2-40B4-BE49-F238E27FC236}">
              <a16:creationId xmlns:a16="http://schemas.microsoft.com/office/drawing/2014/main" xmlns="" id="{00000000-0008-0000-6C00-000009000000}"/>
            </a:ext>
          </a:extLst>
        </xdr:cNvPr>
        <xdr:cNvSpPr txBox="1"/>
      </xdr:nvSpPr>
      <xdr:spPr>
        <a:xfrm>
          <a:off x="2743200" y="1930400"/>
          <a:ext cx="3190875" cy="228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>
              <a:solidFill>
                <a:srgbClr val="FF0000"/>
              </a:solidFill>
              <a:effectLst/>
              <a:latin typeface="Arial" panose="020B0604020202020204" pitchFamily="34" charset="0"/>
              <a:cs typeface="Arial" panose="020B0604020202020204" pitchFamily="34" charset="0"/>
            </a:rPr>
            <a:t>GAS NATURAL</a:t>
          </a:r>
        </a:p>
      </xdr:txBody>
    </xdr:sp>
    <xdr:clientData/>
  </xdr:twoCellAnchor>
  <xdr:twoCellAnchor>
    <xdr:from>
      <xdr:col>3</xdr:col>
      <xdr:colOff>380999</xdr:colOff>
      <xdr:row>10</xdr:row>
      <xdr:rowOff>219075</xdr:rowOff>
    </xdr:from>
    <xdr:to>
      <xdr:col>6</xdr:col>
      <xdr:colOff>504825</xdr:colOff>
      <xdr:row>11</xdr:row>
      <xdr:rowOff>200025</xdr:rowOff>
    </xdr:to>
    <xdr:sp macro="" textlink="">
      <xdr:nvSpPr>
        <xdr:cNvPr id="10" name="TextBox 10">
          <a:extLst>
            <a:ext uri="{FF2B5EF4-FFF2-40B4-BE49-F238E27FC236}">
              <a16:creationId xmlns:a16="http://schemas.microsoft.com/office/drawing/2014/main" xmlns="" id="{00000000-0008-0000-6C00-00000A000000}"/>
            </a:ext>
          </a:extLst>
        </xdr:cNvPr>
        <xdr:cNvSpPr txBox="1"/>
      </xdr:nvSpPr>
      <xdr:spPr>
        <a:xfrm>
          <a:off x="2743199" y="2149475"/>
          <a:ext cx="3806826" cy="2222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MX" sz="1000" b="1" u="sng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TRANSPORTE POR GASODUCTO</a:t>
          </a:r>
        </a:p>
      </xdr:txBody>
    </xdr:sp>
    <xdr:clientData/>
  </xdr:twoCellAnchor>
  <xdr:twoCellAnchor>
    <xdr:from>
      <xdr:col>2</xdr:col>
      <xdr:colOff>0</xdr:colOff>
      <xdr:row>10</xdr:row>
      <xdr:rowOff>228600</xdr:rowOff>
    </xdr:from>
    <xdr:to>
      <xdr:col>3</xdr:col>
      <xdr:colOff>384922</xdr:colOff>
      <xdr:row>11</xdr:row>
      <xdr:rowOff>193862</xdr:rowOff>
    </xdr:to>
    <xdr:sp macro="" textlink="">
      <xdr:nvSpPr>
        <xdr:cNvPr id="11" name="TextBox 13">
          <a:extLst>
            <a:ext uri="{FF2B5EF4-FFF2-40B4-BE49-F238E27FC236}">
              <a16:creationId xmlns:a16="http://schemas.microsoft.com/office/drawing/2014/main" xmlns="" id="{00000000-0008-0000-6C00-00000B000000}"/>
            </a:ext>
          </a:extLst>
        </xdr:cNvPr>
        <xdr:cNvSpPr txBox="1"/>
      </xdr:nvSpPr>
      <xdr:spPr>
        <a:xfrm>
          <a:off x="1130300" y="2159000"/>
          <a:ext cx="1616822" cy="20656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Tipo de Servicio:</a:t>
          </a: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3</xdr:col>
      <xdr:colOff>384922</xdr:colOff>
      <xdr:row>8</xdr:row>
      <xdr:rowOff>212912</xdr:rowOff>
    </xdr:to>
    <xdr:sp macro="" textlink="">
      <xdr:nvSpPr>
        <xdr:cNvPr id="12" name="TextBox 21">
          <a:extLst>
            <a:ext uri="{FF2B5EF4-FFF2-40B4-BE49-F238E27FC236}">
              <a16:creationId xmlns:a16="http://schemas.microsoft.com/office/drawing/2014/main" xmlns="" id="{00000000-0008-0000-6C00-00000C000000}"/>
            </a:ext>
          </a:extLst>
        </xdr:cNvPr>
        <xdr:cNvSpPr txBox="1"/>
      </xdr:nvSpPr>
      <xdr:spPr>
        <a:xfrm>
          <a:off x="1130300" y="1447800"/>
          <a:ext cx="1616822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Proveedor:</a:t>
          </a:r>
        </a:p>
        <a:p>
          <a:pPr algn="l"/>
          <a:endParaRPr lang="es-MX" sz="10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380999</xdr:colOff>
      <xdr:row>7</xdr:row>
      <xdr:rowOff>238126</xdr:rowOff>
    </xdr:from>
    <xdr:to>
      <xdr:col>7</xdr:col>
      <xdr:colOff>161924</xdr:colOff>
      <xdr:row>8</xdr:row>
      <xdr:rowOff>228600</xdr:rowOff>
    </xdr:to>
    <xdr:sp macro="" textlink="">
      <xdr:nvSpPr>
        <xdr:cNvPr id="13" name="TextBox 22">
          <a:extLst>
            <a:ext uri="{FF2B5EF4-FFF2-40B4-BE49-F238E27FC236}">
              <a16:creationId xmlns:a16="http://schemas.microsoft.com/office/drawing/2014/main" xmlns="" id="{00000000-0008-0000-6C00-00000D000000}"/>
            </a:ext>
          </a:extLst>
        </xdr:cNvPr>
        <xdr:cNvSpPr txBox="1"/>
      </xdr:nvSpPr>
      <xdr:spPr>
        <a:xfrm>
          <a:off x="2743199" y="1444626"/>
          <a:ext cx="4479925" cy="23177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(4326979</a:t>
          </a:r>
          <a:r>
            <a:rPr lang="es-MX" sz="1000" b="1" i="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) </a:t>
          </a:r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TARAHUMARA PIPELINE S DE RL DE CV </a:t>
          </a:r>
          <a:endParaRPr lang="es-MX" sz="1000" u="sng">
            <a:solidFill>
              <a:srgbClr val="FF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0</xdr:colOff>
      <xdr:row>9</xdr:row>
      <xdr:rowOff>0</xdr:rowOff>
    </xdr:from>
    <xdr:to>
      <xdr:col>3</xdr:col>
      <xdr:colOff>384922</xdr:colOff>
      <xdr:row>9</xdr:row>
      <xdr:rowOff>212912</xdr:rowOff>
    </xdr:to>
    <xdr:sp macro="" textlink="">
      <xdr:nvSpPr>
        <xdr:cNvPr id="14" name="TextBox 23">
          <a:extLst>
            <a:ext uri="{FF2B5EF4-FFF2-40B4-BE49-F238E27FC236}">
              <a16:creationId xmlns:a16="http://schemas.microsoft.com/office/drawing/2014/main" xmlns="" id="{00000000-0008-0000-6C00-00000E000000}"/>
            </a:ext>
          </a:extLst>
        </xdr:cNvPr>
        <xdr:cNvSpPr txBox="1"/>
      </xdr:nvSpPr>
      <xdr:spPr>
        <a:xfrm>
          <a:off x="1130300" y="1689100"/>
          <a:ext cx="1616822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Contrato:</a:t>
          </a:r>
        </a:p>
      </xdr:txBody>
    </xdr:sp>
    <xdr:clientData/>
  </xdr:twoCellAnchor>
  <xdr:twoCellAnchor>
    <xdr:from>
      <xdr:col>3</xdr:col>
      <xdr:colOff>381000</xdr:colOff>
      <xdr:row>9</xdr:row>
      <xdr:rowOff>19051</xdr:rowOff>
    </xdr:from>
    <xdr:to>
      <xdr:col>5</xdr:col>
      <xdr:colOff>1114425</xdr:colOff>
      <xdr:row>9</xdr:row>
      <xdr:rowOff>228601</xdr:rowOff>
    </xdr:to>
    <xdr:sp macro="" textlink="">
      <xdr:nvSpPr>
        <xdr:cNvPr id="15" name="TextBox 24">
          <a:extLst>
            <a:ext uri="{FF2B5EF4-FFF2-40B4-BE49-F238E27FC236}">
              <a16:creationId xmlns:a16="http://schemas.microsoft.com/office/drawing/2014/main" xmlns="" id="{00000000-0008-0000-6C00-00000F000000}"/>
            </a:ext>
          </a:extLst>
        </xdr:cNvPr>
        <xdr:cNvSpPr txBox="1"/>
      </xdr:nvSpPr>
      <xdr:spPr>
        <a:xfrm>
          <a:off x="2743200" y="1708151"/>
          <a:ext cx="3095625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N° SE-CPSTGN-002/2011</a:t>
          </a:r>
          <a:endParaRPr lang="es-MX" sz="1000" u="sng">
            <a:solidFill>
              <a:srgbClr val="FF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247650</xdr:colOff>
      <xdr:row>60</xdr:row>
      <xdr:rowOff>133349</xdr:rowOff>
    </xdr:from>
    <xdr:to>
      <xdr:col>4</xdr:col>
      <xdr:colOff>454959</xdr:colOff>
      <xdr:row>65</xdr:row>
      <xdr:rowOff>78440</xdr:rowOff>
    </xdr:to>
    <xdr:sp macro="" textlink="">
      <xdr:nvSpPr>
        <xdr:cNvPr id="16" name="TextBox 19">
          <a:extLst>
            <a:ext uri="{FF2B5EF4-FFF2-40B4-BE49-F238E27FC236}">
              <a16:creationId xmlns:a16="http://schemas.microsoft.com/office/drawing/2014/main" xmlns="" id="{00000000-0008-0000-6C00-000010000000}"/>
            </a:ext>
          </a:extLst>
        </xdr:cNvPr>
        <xdr:cNvSpPr txBox="1"/>
      </xdr:nvSpPr>
      <xdr:spPr>
        <a:xfrm>
          <a:off x="1085850" y="17252949"/>
          <a:ext cx="2696509" cy="77059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___________________________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Elaboro                                                  ing, Rogelio Gaytan BerrIel</a:t>
          </a:r>
        </a:p>
      </xdr:txBody>
    </xdr:sp>
    <xdr:clientData/>
  </xdr:twoCellAnchor>
  <xdr:twoCellAnchor>
    <xdr:from>
      <xdr:col>11</xdr:col>
      <xdr:colOff>414804</xdr:colOff>
      <xdr:row>60</xdr:row>
      <xdr:rowOff>95250</xdr:rowOff>
    </xdr:from>
    <xdr:to>
      <xdr:col>13</xdr:col>
      <xdr:colOff>834651</xdr:colOff>
      <xdr:row>65</xdr:row>
      <xdr:rowOff>59765</xdr:rowOff>
    </xdr:to>
    <xdr:sp macro="" textlink="">
      <xdr:nvSpPr>
        <xdr:cNvPr id="17" name="TextBox 20">
          <a:extLst>
            <a:ext uri="{FF2B5EF4-FFF2-40B4-BE49-F238E27FC236}">
              <a16:creationId xmlns:a16="http://schemas.microsoft.com/office/drawing/2014/main" xmlns="" id="{00000000-0008-0000-6C00-000011000000}"/>
            </a:ext>
          </a:extLst>
        </xdr:cNvPr>
        <xdr:cNvSpPr txBox="1"/>
      </xdr:nvSpPr>
      <xdr:spPr>
        <a:xfrm>
          <a:off x="12175004" y="17214850"/>
          <a:ext cx="2794747" cy="7900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___________________________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Autorizo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Ing.</a:t>
          </a:r>
          <a:r>
            <a:rPr lang="es-MX" sz="1100" b="1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 Fernando Lopez Casillas</a:t>
          </a:r>
          <a:endParaRPr lang="es-MX" sz="11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876300</xdr:colOff>
      <xdr:row>5</xdr:row>
      <xdr:rowOff>133350</xdr:rowOff>
    </xdr:from>
    <xdr:to>
      <xdr:col>12</xdr:col>
      <xdr:colOff>876300</xdr:colOff>
      <xdr:row>6</xdr:row>
      <xdr:rowOff>171450</xdr:rowOff>
    </xdr:to>
    <xdr:sp macro="" textlink="">
      <xdr:nvSpPr>
        <xdr:cNvPr id="2" name="TextBox 6">
          <a:extLst>
            <a:ext uri="{FF2B5EF4-FFF2-40B4-BE49-F238E27FC236}">
              <a16:creationId xmlns:a16="http://schemas.microsoft.com/office/drawing/2014/main" xmlns="" id="{00000000-0008-0000-6D00-000002000000}"/>
            </a:ext>
          </a:extLst>
        </xdr:cNvPr>
        <xdr:cNvSpPr txBox="1"/>
      </xdr:nvSpPr>
      <xdr:spPr>
        <a:xfrm>
          <a:off x="12636500" y="1009650"/>
          <a:ext cx="1219200" cy="190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FT-SR-XX</a:t>
          </a:r>
        </a:p>
      </xdr:txBody>
    </xdr:sp>
    <xdr:clientData/>
  </xdr:twoCellAnchor>
  <xdr:twoCellAnchor>
    <xdr:from>
      <xdr:col>2</xdr:col>
      <xdr:colOff>0</xdr:colOff>
      <xdr:row>0</xdr:row>
      <xdr:rowOff>0</xdr:rowOff>
    </xdr:from>
    <xdr:to>
      <xdr:col>12</xdr:col>
      <xdr:colOff>866775</xdr:colOff>
      <xdr:row>7</xdr:row>
      <xdr:rowOff>19050</xdr:rowOff>
    </xdr:to>
    <xdr:sp macro="" textlink="">
      <xdr:nvSpPr>
        <xdr:cNvPr id="3" name="AutoShape 17">
          <a:extLst>
            <a:ext uri="{FF2B5EF4-FFF2-40B4-BE49-F238E27FC236}">
              <a16:creationId xmlns:a16="http://schemas.microsoft.com/office/drawing/2014/main" xmlns="" id="{00000000-0008-0000-6D00-000003000000}"/>
            </a:ext>
          </a:extLst>
        </xdr:cNvPr>
        <xdr:cNvSpPr>
          <a:spLocks noChangeArrowheads="1"/>
        </xdr:cNvSpPr>
      </xdr:nvSpPr>
      <xdr:spPr bwMode="auto">
        <a:xfrm>
          <a:off x="1130300" y="0"/>
          <a:ext cx="12715875" cy="1225550"/>
        </a:xfrm>
        <a:prstGeom prst="roundRect">
          <a:avLst>
            <a:gd name="adj" fmla="val 16667"/>
          </a:avLst>
        </a:prstGeom>
        <a:noFill/>
        <a:ln w="31750" cmpd="dbl">
          <a:solidFill>
            <a:srgbClr val="009967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161925</xdr:colOff>
      <xdr:row>0</xdr:row>
      <xdr:rowOff>85725</xdr:rowOff>
    </xdr:from>
    <xdr:to>
      <xdr:col>12</xdr:col>
      <xdr:colOff>817470</xdr:colOff>
      <xdr:row>4</xdr:row>
      <xdr:rowOff>152400</xdr:rowOff>
    </xdr:to>
    <xdr:sp macro="" textlink="">
      <xdr:nvSpPr>
        <xdr:cNvPr id="4" name="Cuadro de texto 1">
          <a:extLst>
            <a:ext uri="{FF2B5EF4-FFF2-40B4-BE49-F238E27FC236}">
              <a16:creationId xmlns:a16="http://schemas.microsoft.com/office/drawing/2014/main" xmlns="" id="{00000000-0008-0000-6D00-000004000000}"/>
            </a:ext>
          </a:extLst>
        </xdr:cNvPr>
        <xdr:cNvSpPr txBox="1">
          <a:spLocks noChangeArrowheads="1"/>
        </xdr:cNvSpPr>
      </xdr:nvSpPr>
      <xdr:spPr bwMode="auto">
        <a:xfrm>
          <a:off x="8239125" y="85725"/>
          <a:ext cx="5557745" cy="777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r" rtl="0">
            <a:defRPr sz="1000"/>
          </a:pPr>
          <a:r>
            <a:rPr lang="es-MX" sz="1400" b="1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Dirección Corporativa de Operaciones</a:t>
          </a:r>
        </a:p>
        <a:p>
          <a:pPr algn="r" rtl="0">
            <a:defRPr sz="1000"/>
          </a:pPr>
          <a:r>
            <a:rPr lang="es-MX" sz="1400" b="0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               Subdirección de Negocios No Regulados</a:t>
          </a:r>
        </a:p>
        <a:p>
          <a:pPr algn="r" rtl="0">
            <a:defRPr sz="1000"/>
          </a:pPr>
          <a:r>
            <a:rPr lang="es-MX" sz="1400" b="0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Subgerencia Regional de Energéticos Norte</a:t>
          </a:r>
          <a:endParaRPr lang="es-MX" sz="1400" b="0" i="1" u="none" strike="noStrike" baseline="0">
            <a:solidFill>
              <a:srgbClr val="009969"/>
            </a:solidFill>
            <a:latin typeface="Arial" pitchFamily="34" charset="0"/>
            <a:cs typeface="Arial" pitchFamily="34" charset="0"/>
          </a:endParaRPr>
        </a:p>
        <a:p>
          <a:pPr algn="l" rtl="0">
            <a:defRPr sz="1000"/>
          </a:pPr>
          <a:endParaRPr lang="es-MX" sz="1400" b="1" i="1" u="none" strike="noStrike" baseline="0">
            <a:solidFill>
              <a:srgbClr val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790575</xdr:colOff>
      <xdr:row>4</xdr:row>
      <xdr:rowOff>123825</xdr:rowOff>
    </xdr:to>
    <xdr:pic>
      <xdr:nvPicPr>
        <xdr:cNvPr id="5" name="Picture 9" descr="C:\Users\francis.munguia\Desktop\LogotipoCFE_verde.jpg">
          <a:extLst>
            <a:ext uri="{FF2B5EF4-FFF2-40B4-BE49-F238E27FC236}">
              <a16:creationId xmlns:a16="http://schemas.microsoft.com/office/drawing/2014/main" xmlns="" id="{00000000-0008-0000-6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E"/>
            </a:clrFrom>
            <a:clrTo>
              <a:srgbClr val="FFFF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720" b="23125"/>
        <a:stretch>
          <a:fillRect/>
        </a:stretch>
      </xdr:blipFill>
      <xdr:spPr bwMode="auto">
        <a:xfrm>
          <a:off x="1130300" y="165100"/>
          <a:ext cx="2022475" cy="669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781050</xdr:colOff>
      <xdr:row>10</xdr:row>
      <xdr:rowOff>161925</xdr:rowOff>
    </xdr:from>
    <xdr:to>
      <xdr:col>12</xdr:col>
      <xdr:colOff>874057</xdr:colOff>
      <xdr:row>12</xdr:row>
      <xdr:rowOff>133350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xmlns="" id="{00000000-0008-0000-6D00-000006000000}"/>
            </a:ext>
          </a:extLst>
        </xdr:cNvPr>
        <xdr:cNvSpPr txBox="1"/>
      </xdr:nvSpPr>
      <xdr:spPr>
        <a:xfrm>
          <a:off x="12541250" y="2092325"/>
          <a:ext cx="1312207" cy="4540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Noviembre</a:t>
          </a:r>
          <a:r>
            <a:rPr lang="es-MX" sz="1100" b="1" baseline="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 2019</a:t>
          </a:r>
          <a:endParaRPr lang="es-MX" sz="1100" b="1">
            <a:solidFill>
              <a:srgbClr val="FF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180975</xdr:colOff>
      <xdr:row>4</xdr:row>
      <xdr:rowOff>114301</xdr:rowOff>
    </xdr:from>
    <xdr:to>
      <xdr:col>11</xdr:col>
      <xdr:colOff>923925</xdr:colOff>
      <xdr:row>7</xdr:row>
      <xdr:rowOff>9526</xdr:rowOff>
    </xdr:to>
    <xdr:sp macro="" textlink="">
      <xdr:nvSpPr>
        <xdr:cNvPr id="7" name="Cuadro de texto 1">
          <a:extLst>
            <a:ext uri="{FF2B5EF4-FFF2-40B4-BE49-F238E27FC236}">
              <a16:creationId xmlns:a16="http://schemas.microsoft.com/office/drawing/2014/main" xmlns="" id="{00000000-0008-0000-6D00-000007000000}"/>
            </a:ext>
          </a:extLst>
        </xdr:cNvPr>
        <xdr:cNvSpPr txBox="1">
          <a:spLocks noChangeArrowheads="1"/>
        </xdr:cNvSpPr>
      </xdr:nvSpPr>
      <xdr:spPr bwMode="auto">
        <a:xfrm>
          <a:off x="1311275" y="825501"/>
          <a:ext cx="11372850" cy="390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MX" sz="1400" b="1" i="0" u="none" strike="noStrike" baseline="0">
              <a:solidFill>
                <a:srgbClr val="000000"/>
              </a:solidFill>
              <a:latin typeface="Arial" pitchFamily="34" charset="0"/>
              <a:cs typeface="Arial" pitchFamily="34" charset="0"/>
            </a:rPr>
            <a:t>REVISION DE FACTURACION DE COMBUSTIBLES</a:t>
          </a:r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3</xdr:col>
      <xdr:colOff>384922</xdr:colOff>
      <xdr:row>10</xdr:row>
      <xdr:rowOff>212912</xdr:rowOff>
    </xdr:to>
    <xdr:sp macro="" textlink="">
      <xdr:nvSpPr>
        <xdr:cNvPr id="8" name="TextBox 8">
          <a:extLst>
            <a:ext uri="{FF2B5EF4-FFF2-40B4-BE49-F238E27FC236}">
              <a16:creationId xmlns:a16="http://schemas.microsoft.com/office/drawing/2014/main" xmlns="" id="{00000000-0008-0000-6D00-000008000000}"/>
            </a:ext>
          </a:extLst>
        </xdr:cNvPr>
        <xdr:cNvSpPr txBox="1"/>
      </xdr:nvSpPr>
      <xdr:spPr>
        <a:xfrm>
          <a:off x="1130300" y="1930400"/>
          <a:ext cx="1616822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Tipo de Combustible:</a:t>
          </a:r>
        </a:p>
      </xdr:txBody>
    </xdr:sp>
    <xdr:clientData/>
  </xdr:twoCellAnchor>
  <xdr:twoCellAnchor>
    <xdr:from>
      <xdr:col>3</xdr:col>
      <xdr:colOff>381000</xdr:colOff>
      <xdr:row>10</xdr:row>
      <xdr:rowOff>0</xdr:rowOff>
    </xdr:from>
    <xdr:to>
      <xdr:col>5</xdr:col>
      <xdr:colOff>1209675</xdr:colOff>
      <xdr:row>10</xdr:row>
      <xdr:rowOff>228600</xdr:rowOff>
    </xdr:to>
    <xdr:sp macro="" textlink="">
      <xdr:nvSpPr>
        <xdr:cNvPr id="9" name="TextBox 9">
          <a:extLst>
            <a:ext uri="{FF2B5EF4-FFF2-40B4-BE49-F238E27FC236}">
              <a16:creationId xmlns:a16="http://schemas.microsoft.com/office/drawing/2014/main" xmlns="" id="{00000000-0008-0000-6D00-000009000000}"/>
            </a:ext>
          </a:extLst>
        </xdr:cNvPr>
        <xdr:cNvSpPr txBox="1"/>
      </xdr:nvSpPr>
      <xdr:spPr>
        <a:xfrm>
          <a:off x="2743200" y="1930400"/>
          <a:ext cx="3190875" cy="228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>
              <a:solidFill>
                <a:srgbClr val="FF0000"/>
              </a:solidFill>
              <a:effectLst/>
              <a:latin typeface="Arial" panose="020B0604020202020204" pitchFamily="34" charset="0"/>
              <a:cs typeface="Arial" panose="020B0604020202020204" pitchFamily="34" charset="0"/>
            </a:rPr>
            <a:t>GAS NATURAL</a:t>
          </a:r>
        </a:p>
      </xdr:txBody>
    </xdr:sp>
    <xdr:clientData/>
  </xdr:twoCellAnchor>
  <xdr:twoCellAnchor>
    <xdr:from>
      <xdr:col>3</xdr:col>
      <xdr:colOff>380999</xdr:colOff>
      <xdr:row>10</xdr:row>
      <xdr:rowOff>219075</xdr:rowOff>
    </xdr:from>
    <xdr:to>
      <xdr:col>6</xdr:col>
      <xdr:colOff>504825</xdr:colOff>
      <xdr:row>11</xdr:row>
      <xdr:rowOff>200025</xdr:rowOff>
    </xdr:to>
    <xdr:sp macro="" textlink="">
      <xdr:nvSpPr>
        <xdr:cNvPr id="10" name="TextBox 10">
          <a:extLst>
            <a:ext uri="{FF2B5EF4-FFF2-40B4-BE49-F238E27FC236}">
              <a16:creationId xmlns:a16="http://schemas.microsoft.com/office/drawing/2014/main" xmlns="" id="{00000000-0008-0000-6D00-00000A000000}"/>
            </a:ext>
          </a:extLst>
        </xdr:cNvPr>
        <xdr:cNvSpPr txBox="1"/>
      </xdr:nvSpPr>
      <xdr:spPr>
        <a:xfrm>
          <a:off x="2743199" y="2149475"/>
          <a:ext cx="3806826" cy="2222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MX" sz="1000" b="1" u="sng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TRANSPORTE POR GASODUCTO</a:t>
          </a:r>
        </a:p>
      </xdr:txBody>
    </xdr:sp>
    <xdr:clientData/>
  </xdr:twoCellAnchor>
  <xdr:twoCellAnchor>
    <xdr:from>
      <xdr:col>2</xdr:col>
      <xdr:colOff>0</xdr:colOff>
      <xdr:row>10</xdr:row>
      <xdr:rowOff>228600</xdr:rowOff>
    </xdr:from>
    <xdr:to>
      <xdr:col>3</xdr:col>
      <xdr:colOff>384922</xdr:colOff>
      <xdr:row>11</xdr:row>
      <xdr:rowOff>193862</xdr:rowOff>
    </xdr:to>
    <xdr:sp macro="" textlink="">
      <xdr:nvSpPr>
        <xdr:cNvPr id="11" name="TextBox 13">
          <a:extLst>
            <a:ext uri="{FF2B5EF4-FFF2-40B4-BE49-F238E27FC236}">
              <a16:creationId xmlns:a16="http://schemas.microsoft.com/office/drawing/2014/main" xmlns="" id="{00000000-0008-0000-6D00-00000B000000}"/>
            </a:ext>
          </a:extLst>
        </xdr:cNvPr>
        <xdr:cNvSpPr txBox="1"/>
      </xdr:nvSpPr>
      <xdr:spPr>
        <a:xfrm>
          <a:off x="1130300" y="2159000"/>
          <a:ext cx="1616822" cy="20656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Tipo de Servicio:</a:t>
          </a: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3</xdr:col>
      <xdr:colOff>384922</xdr:colOff>
      <xdr:row>8</xdr:row>
      <xdr:rowOff>212912</xdr:rowOff>
    </xdr:to>
    <xdr:sp macro="" textlink="">
      <xdr:nvSpPr>
        <xdr:cNvPr id="12" name="TextBox 21">
          <a:extLst>
            <a:ext uri="{FF2B5EF4-FFF2-40B4-BE49-F238E27FC236}">
              <a16:creationId xmlns:a16="http://schemas.microsoft.com/office/drawing/2014/main" xmlns="" id="{00000000-0008-0000-6D00-00000C000000}"/>
            </a:ext>
          </a:extLst>
        </xdr:cNvPr>
        <xdr:cNvSpPr txBox="1"/>
      </xdr:nvSpPr>
      <xdr:spPr>
        <a:xfrm>
          <a:off x="1130300" y="1447800"/>
          <a:ext cx="1616822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Proveedor:</a:t>
          </a:r>
        </a:p>
        <a:p>
          <a:pPr algn="l"/>
          <a:endParaRPr lang="es-MX" sz="10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380999</xdr:colOff>
      <xdr:row>7</xdr:row>
      <xdr:rowOff>238126</xdr:rowOff>
    </xdr:from>
    <xdr:to>
      <xdr:col>7</xdr:col>
      <xdr:colOff>161924</xdr:colOff>
      <xdr:row>8</xdr:row>
      <xdr:rowOff>228600</xdr:rowOff>
    </xdr:to>
    <xdr:sp macro="" textlink="">
      <xdr:nvSpPr>
        <xdr:cNvPr id="13" name="TextBox 22">
          <a:extLst>
            <a:ext uri="{FF2B5EF4-FFF2-40B4-BE49-F238E27FC236}">
              <a16:creationId xmlns:a16="http://schemas.microsoft.com/office/drawing/2014/main" xmlns="" id="{00000000-0008-0000-6D00-00000D000000}"/>
            </a:ext>
          </a:extLst>
        </xdr:cNvPr>
        <xdr:cNvSpPr txBox="1"/>
      </xdr:nvSpPr>
      <xdr:spPr>
        <a:xfrm>
          <a:off x="2743199" y="1444626"/>
          <a:ext cx="4479925" cy="23177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(4326979</a:t>
          </a:r>
          <a:r>
            <a:rPr lang="es-MX" sz="1000" b="1" i="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) </a:t>
          </a:r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TARAHUMARA PIPELINE S DE RL DE CV </a:t>
          </a:r>
          <a:endParaRPr lang="es-MX" sz="1000" u="sng">
            <a:solidFill>
              <a:srgbClr val="FF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0</xdr:colOff>
      <xdr:row>9</xdr:row>
      <xdr:rowOff>0</xdr:rowOff>
    </xdr:from>
    <xdr:to>
      <xdr:col>3</xdr:col>
      <xdr:colOff>384922</xdr:colOff>
      <xdr:row>9</xdr:row>
      <xdr:rowOff>212912</xdr:rowOff>
    </xdr:to>
    <xdr:sp macro="" textlink="">
      <xdr:nvSpPr>
        <xdr:cNvPr id="14" name="TextBox 23">
          <a:extLst>
            <a:ext uri="{FF2B5EF4-FFF2-40B4-BE49-F238E27FC236}">
              <a16:creationId xmlns:a16="http://schemas.microsoft.com/office/drawing/2014/main" xmlns="" id="{00000000-0008-0000-6D00-00000E000000}"/>
            </a:ext>
          </a:extLst>
        </xdr:cNvPr>
        <xdr:cNvSpPr txBox="1"/>
      </xdr:nvSpPr>
      <xdr:spPr>
        <a:xfrm>
          <a:off x="1130300" y="1689100"/>
          <a:ext cx="1616822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Contrato:</a:t>
          </a:r>
        </a:p>
      </xdr:txBody>
    </xdr:sp>
    <xdr:clientData/>
  </xdr:twoCellAnchor>
  <xdr:twoCellAnchor>
    <xdr:from>
      <xdr:col>3</xdr:col>
      <xdr:colOff>381000</xdr:colOff>
      <xdr:row>9</xdr:row>
      <xdr:rowOff>19051</xdr:rowOff>
    </xdr:from>
    <xdr:to>
      <xdr:col>5</xdr:col>
      <xdr:colOff>1114425</xdr:colOff>
      <xdr:row>9</xdr:row>
      <xdr:rowOff>228601</xdr:rowOff>
    </xdr:to>
    <xdr:sp macro="" textlink="">
      <xdr:nvSpPr>
        <xdr:cNvPr id="15" name="TextBox 24">
          <a:extLst>
            <a:ext uri="{FF2B5EF4-FFF2-40B4-BE49-F238E27FC236}">
              <a16:creationId xmlns:a16="http://schemas.microsoft.com/office/drawing/2014/main" xmlns="" id="{00000000-0008-0000-6D00-00000F000000}"/>
            </a:ext>
          </a:extLst>
        </xdr:cNvPr>
        <xdr:cNvSpPr txBox="1"/>
      </xdr:nvSpPr>
      <xdr:spPr>
        <a:xfrm>
          <a:off x="2743200" y="1708151"/>
          <a:ext cx="3095625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N° SE-CPSTGN-002/2011</a:t>
          </a:r>
          <a:endParaRPr lang="es-MX" sz="1000" u="sng">
            <a:solidFill>
              <a:srgbClr val="FF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247650</xdr:colOff>
      <xdr:row>60</xdr:row>
      <xdr:rowOff>133349</xdr:rowOff>
    </xdr:from>
    <xdr:to>
      <xdr:col>4</xdr:col>
      <xdr:colOff>454959</xdr:colOff>
      <xdr:row>65</xdr:row>
      <xdr:rowOff>78440</xdr:rowOff>
    </xdr:to>
    <xdr:sp macro="" textlink="">
      <xdr:nvSpPr>
        <xdr:cNvPr id="16" name="TextBox 19">
          <a:extLst>
            <a:ext uri="{FF2B5EF4-FFF2-40B4-BE49-F238E27FC236}">
              <a16:creationId xmlns:a16="http://schemas.microsoft.com/office/drawing/2014/main" xmlns="" id="{00000000-0008-0000-6D00-000010000000}"/>
            </a:ext>
          </a:extLst>
        </xdr:cNvPr>
        <xdr:cNvSpPr txBox="1"/>
      </xdr:nvSpPr>
      <xdr:spPr>
        <a:xfrm>
          <a:off x="1085850" y="17252949"/>
          <a:ext cx="2696509" cy="77059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___________________________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Elaboro                                                  ing, Rogelio Gaytan BerrIel</a:t>
          </a:r>
        </a:p>
      </xdr:txBody>
    </xdr:sp>
    <xdr:clientData/>
  </xdr:twoCellAnchor>
  <xdr:twoCellAnchor>
    <xdr:from>
      <xdr:col>11</xdr:col>
      <xdr:colOff>414804</xdr:colOff>
      <xdr:row>60</xdr:row>
      <xdr:rowOff>95250</xdr:rowOff>
    </xdr:from>
    <xdr:to>
      <xdr:col>13</xdr:col>
      <xdr:colOff>834651</xdr:colOff>
      <xdr:row>65</xdr:row>
      <xdr:rowOff>59765</xdr:rowOff>
    </xdr:to>
    <xdr:sp macro="" textlink="">
      <xdr:nvSpPr>
        <xdr:cNvPr id="17" name="TextBox 20">
          <a:extLst>
            <a:ext uri="{FF2B5EF4-FFF2-40B4-BE49-F238E27FC236}">
              <a16:creationId xmlns:a16="http://schemas.microsoft.com/office/drawing/2014/main" xmlns="" id="{00000000-0008-0000-6D00-000011000000}"/>
            </a:ext>
          </a:extLst>
        </xdr:cNvPr>
        <xdr:cNvSpPr txBox="1"/>
      </xdr:nvSpPr>
      <xdr:spPr>
        <a:xfrm>
          <a:off x="12175004" y="17214850"/>
          <a:ext cx="2794747" cy="7900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___________________________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Autorizo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Ing.</a:t>
          </a:r>
          <a:r>
            <a:rPr lang="es-MX" sz="1100" b="1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 Fernando Lopez Casillas</a:t>
          </a:r>
          <a:endParaRPr lang="es-MX" sz="11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876300</xdr:colOff>
      <xdr:row>5</xdr:row>
      <xdr:rowOff>133350</xdr:rowOff>
    </xdr:from>
    <xdr:to>
      <xdr:col>12</xdr:col>
      <xdr:colOff>876300</xdr:colOff>
      <xdr:row>6</xdr:row>
      <xdr:rowOff>171450</xdr:rowOff>
    </xdr:to>
    <xdr:sp macro="" textlink="">
      <xdr:nvSpPr>
        <xdr:cNvPr id="2" name="TextBox 6">
          <a:extLst>
            <a:ext uri="{FF2B5EF4-FFF2-40B4-BE49-F238E27FC236}">
              <a16:creationId xmlns:a16="http://schemas.microsoft.com/office/drawing/2014/main" xmlns="" id="{00000000-0008-0000-6E00-000002000000}"/>
            </a:ext>
          </a:extLst>
        </xdr:cNvPr>
        <xdr:cNvSpPr txBox="1"/>
      </xdr:nvSpPr>
      <xdr:spPr>
        <a:xfrm>
          <a:off x="12639675" y="1000125"/>
          <a:ext cx="1219200" cy="190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FT-SR-XX</a:t>
          </a:r>
        </a:p>
      </xdr:txBody>
    </xdr:sp>
    <xdr:clientData/>
  </xdr:twoCellAnchor>
  <xdr:twoCellAnchor>
    <xdr:from>
      <xdr:col>2</xdr:col>
      <xdr:colOff>0</xdr:colOff>
      <xdr:row>0</xdr:row>
      <xdr:rowOff>0</xdr:rowOff>
    </xdr:from>
    <xdr:to>
      <xdr:col>12</xdr:col>
      <xdr:colOff>866775</xdr:colOff>
      <xdr:row>7</xdr:row>
      <xdr:rowOff>19050</xdr:rowOff>
    </xdr:to>
    <xdr:sp macro="" textlink="">
      <xdr:nvSpPr>
        <xdr:cNvPr id="357384" name="AutoShape 17">
          <a:extLst>
            <a:ext uri="{FF2B5EF4-FFF2-40B4-BE49-F238E27FC236}">
              <a16:creationId xmlns:a16="http://schemas.microsoft.com/office/drawing/2014/main" xmlns="" id="{00000000-0008-0000-6E00-000008740500}"/>
            </a:ext>
          </a:extLst>
        </xdr:cNvPr>
        <xdr:cNvSpPr>
          <a:spLocks noChangeArrowheads="1"/>
        </xdr:cNvSpPr>
      </xdr:nvSpPr>
      <xdr:spPr bwMode="auto">
        <a:xfrm>
          <a:off x="1133475" y="0"/>
          <a:ext cx="12715875" cy="1209675"/>
        </a:xfrm>
        <a:prstGeom prst="roundRect">
          <a:avLst>
            <a:gd name="adj" fmla="val 16667"/>
          </a:avLst>
        </a:prstGeom>
        <a:noFill/>
        <a:ln w="31750" cmpd="dbl">
          <a:solidFill>
            <a:srgbClr val="009967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161925</xdr:colOff>
      <xdr:row>0</xdr:row>
      <xdr:rowOff>85725</xdr:rowOff>
    </xdr:from>
    <xdr:to>
      <xdr:col>12</xdr:col>
      <xdr:colOff>817470</xdr:colOff>
      <xdr:row>4</xdr:row>
      <xdr:rowOff>152400</xdr:rowOff>
    </xdr:to>
    <xdr:sp macro="" textlink="">
      <xdr:nvSpPr>
        <xdr:cNvPr id="4" name="Cuadro de texto 1">
          <a:extLst>
            <a:ext uri="{FF2B5EF4-FFF2-40B4-BE49-F238E27FC236}">
              <a16:creationId xmlns:a16="http://schemas.microsoft.com/office/drawing/2014/main" xmlns="" id="{00000000-0008-0000-6E00-000004000000}"/>
            </a:ext>
          </a:extLst>
        </xdr:cNvPr>
        <xdr:cNvSpPr txBox="1">
          <a:spLocks noChangeArrowheads="1"/>
        </xdr:cNvSpPr>
      </xdr:nvSpPr>
      <xdr:spPr bwMode="auto">
        <a:xfrm>
          <a:off x="8248650" y="85725"/>
          <a:ext cx="5551395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r" rtl="0">
            <a:defRPr sz="1000"/>
          </a:pPr>
          <a:r>
            <a:rPr lang="es-MX" sz="1400" b="1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Dirección Corporativa de Operaciones</a:t>
          </a:r>
        </a:p>
        <a:p>
          <a:pPr algn="r" rtl="0">
            <a:defRPr sz="1000"/>
          </a:pPr>
          <a:r>
            <a:rPr lang="es-MX" sz="1400" b="0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               Subdirección de Negocios No Regulados</a:t>
          </a:r>
        </a:p>
        <a:p>
          <a:pPr algn="r" rtl="0">
            <a:defRPr sz="1000"/>
          </a:pPr>
          <a:r>
            <a:rPr lang="es-MX" sz="1400" b="0" i="0" u="none" strike="noStrike" baseline="0">
              <a:solidFill>
                <a:srgbClr val="009969"/>
              </a:solidFill>
              <a:latin typeface="Arial" pitchFamily="34" charset="0"/>
              <a:cs typeface="Arial" pitchFamily="34" charset="0"/>
            </a:rPr>
            <a:t>Subgerencia Regional de Energéticos Norte</a:t>
          </a:r>
          <a:endParaRPr lang="es-MX" sz="1400" b="0" i="1" u="none" strike="noStrike" baseline="0">
            <a:solidFill>
              <a:srgbClr val="009969"/>
            </a:solidFill>
            <a:latin typeface="Arial" pitchFamily="34" charset="0"/>
            <a:cs typeface="Arial" pitchFamily="34" charset="0"/>
          </a:endParaRPr>
        </a:p>
        <a:p>
          <a:pPr algn="l" rtl="0">
            <a:defRPr sz="1000"/>
          </a:pPr>
          <a:endParaRPr lang="es-MX" sz="1400" b="1" i="1" u="none" strike="noStrike" baseline="0">
            <a:solidFill>
              <a:srgbClr val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790575</xdr:colOff>
      <xdr:row>4</xdr:row>
      <xdr:rowOff>123825</xdr:rowOff>
    </xdr:to>
    <xdr:pic>
      <xdr:nvPicPr>
        <xdr:cNvPr id="357386" name="Picture 9" descr="C:\Users\francis.munguia\Desktop\LogotipoCFE_verde.jpg">
          <a:extLst>
            <a:ext uri="{FF2B5EF4-FFF2-40B4-BE49-F238E27FC236}">
              <a16:creationId xmlns:a16="http://schemas.microsoft.com/office/drawing/2014/main" xmlns="" id="{00000000-0008-0000-6E00-00000A740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E"/>
            </a:clrFrom>
            <a:clrTo>
              <a:srgbClr val="FFFF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720" b="23125"/>
        <a:stretch>
          <a:fillRect/>
        </a:stretch>
      </xdr:blipFill>
      <xdr:spPr bwMode="auto">
        <a:xfrm>
          <a:off x="1133475" y="161925"/>
          <a:ext cx="20193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781050</xdr:colOff>
      <xdr:row>10</xdr:row>
      <xdr:rowOff>161925</xdr:rowOff>
    </xdr:from>
    <xdr:to>
      <xdr:col>12</xdr:col>
      <xdr:colOff>874057</xdr:colOff>
      <xdr:row>12</xdr:row>
      <xdr:rowOff>133350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xmlns="" id="{00000000-0008-0000-6E00-000006000000}"/>
            </a:ext>
          </a:extLst>
        </xdr:cNvPr>
        <xdr:cNvSpPr txBox="1"/>
      </xdr:nvSpPr>
      <xdr:spPr>
        <a:xfrm>
          <a:off x="12544425" y="2095500"/>
          <a:ext cx="1312207" cy="466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Diciembre</a:t>
          </a:r>
          <a:r>
            <a:rPr lang="es-MX" sz="1100" b="1" baseline="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 2018</a:t>
          </a:r>
          <a:endParaRPr lang="es-MX" sz="1100" b="1">
            <a:solidFill>
              <a:srgbClr val="FF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180975</xdr:colOff>
      <xdr:row>4</xdr:row>
      <xdr:rowOff>114301</xdr:rowOff>
    </xdr:from>
    <xdr:to>
      <xdr:col>11</xdr:col>
      <xdr:colOff>923925</xdr:colOff>
      <xdr:row>7</xdr:row>
      <xdr:rowOff>9526</xdr:rowOff>
    </xdr:to>
    <xdr:sp macro="" textlink="">
      <xdr:nvSpPr>
        <xdr:cNvPr id="7" name="Cuadro de texto 1">
          <a:extLst>
            <a:ext uri="{FF2B5EF4-FFF2-40B4-BE49-F238E27FC236}">
              <a16:creationId xmlns:a16="http://schemas.microsoft.com/office/drawing/2014/main" xmlns="" id="{00000000-0008-0000-6E00-000007000000}"/>
            </a:ext>
          </a:extLst>
        </xdr:cNvPr>
        <xdr:cNvSpPr txBox="1">
          <a:spLocks noChangeArrowheads="1"/>
        </xdr:cNvSpPr>
      </xdr:nvSpPr>
      <xdr:spPr bwMode="auto">
        <a:xfrm>
          <a:off x="1314450" y="819151"/>
          <a:ext cx="11372850" cy="381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MX" sz="1400" b="1" i="0" u="none" strike="noStrike" baseline="0">
              <a:solidFill>
                <a:srgbClr val="000000"/>
              </a:solidFill>
              <a:latin typeface="Arial" pitchFamily="34" charset="0"/>
              <a:cs typeface="Arial" pitchFamily="34" charset="0"/>
            </a:rPr>
            <a:t>REVISION DE FACTURACION DE COMBUSTIBLES</a:t>
          </a:r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3</xdr:col>
      <xdr:colOff>384922</xdr:colOff>
      <xdr:row>10</xdr:row>
      <xdr:rowOff>212912</xdr:rowOff>
    </xdr:to>
    <xdr:sp macro="" textlink="">
      <xdr:nvSpPr>
        <xdr:cNvPr id="8" name="TextBox 8">
          <a:extLst>
            <a:ext uri="{FF2B5EF4-FFF2-40B4-BE49-F238E27FC236}">
              <a16:creationId xmlns:a16="http://schemas.microsoft.com/office/drawing/2014/main" xmlns="" id="{00000000-0008-0000-6E00-000008000000}"/>
            </a:ext>
          </a:extLst>
        </xdr:cNvPr>
        <xdr:cNvSpPr txBox="1"/>
      </xdr:nvSpPr>
      <xdr:spPr>
        <a:xfrm>
          <a:off x="1133475" y="1933575"/>
          <a:ext cx="1613647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Tipo de Combustible:</a:t>
          </a:r>
        </a:p>
      </xdr:txBody>
    </xdr:sp>
    <xdr:clientData/>
  </xdr:twoCellAnchor>
  <xdr:twoCellAnchor>
    <xdr:from>
      <xdr:col>3</xdr:col>
      <xdr:colOff>381000</xdr:colOff>
      <xdr:row>10</xdr:row>
      <xdr:rowOff>0</xdr:rowOff>
    </xdr:from>
    <xdr:to>
      <xdr:col>5</xdr:col>
      <xdr:colOff>1209675</xdr:colOff>
      <xdr:row>10</xdr:row>
      <xdr:rowOff>228600</xdr:rowOff>
    </xdr:to>
    <xdr:sp macro="" textlink="">
      <xdr:nvSpPr>
        <xdr:cNvPr id="9" name="TextBox 9">
          <a:extLst>
            <a:ext uri="{FF2B5EF4-FFF2-40B4-BE49-F238E27FC236}">
              <a16:creationId xmlns:a16="http://schemas.microsoft.com/office/drawing/2014/main" xmlns="" id="{00000000-0008-0000-6E00-000009000000}"/>
            </a:ext>
          </a:extLst>
        </xdr:cNvPr>
        <xdr:cNvSpPr txBox="1"/>
      </xdr:nvSpPr>
      <xdr:spPr>
        <a:xfrm>
          <a:off x="2743200" y="1933575"/>
          <a:ext cx="3190875" cy="228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>
              <a:solidFill>
                <a:srgbClr val="FF0000"/>
              </a:solidFill>
              <a:effectLst/>
              <a:latin typeface="Arial" panose="020B0604020202020204" pitchFamily="34" charset="0"/>
              <a:cs typeface="Arial" panose="020B0604020202020204" pitchFamily="34" charset="0"/>
            </a:rPr>
            <a:t>GAS NATURAL</a:t>
          </a:r>
        </a:p>
      </xdr:txBody>
    </xdr:sp>
    <xdr:clientData/>
  </xdr:twoCellAnchor>
  <xdr:twoCellAnchor>
    <xdr:from>
      <xdr:col>3</xdr:col>
      <xdr:colOff>380999</xdr:colOff>
      <xdr:row>10</xdr:row>
      <xdr:rowOff>219075</xdr:rowOff>
    </xdr:from>
    <xdr:to>
      <xdr:col>6</xdr:col>
      <xdr:colOff>504825</xdr:colOff>
      <xdr:row>11</xdr:row>
      <xdr:rowOff>200025</xdr:rowOff>
    </xdr:to>
    <xdr:sp macro="" textlink="">
      <xdr:nvSpPr>
        <xdr:cNvPr id="10" name="TextBox 10">
          <a:extLst>
            <a:ext uri="{FF2B5EF4-FFF2-40B4-BE49-F238E27FC236}">
              <a16:creationId xmlns:a16="http://schemas.microsoft.com/office/drawing/2014/main" xmlns="" id="{00000000-0008-0000-6E00-00000A000000}"/>
            </a:ext>
          </a:extLst>
        </xdr:cNvPr>
        <xdr:cNvSpPr txBox="1"/>
      </xdr:nvSpPr>
      <xdr:spPr>
        <a:xfrm>
          <a:off x="2743199" y="2152650"/>
          <a:ext cx="3810001" cy="228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MX" sz="1000" b="1" u="sng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TRANSPORTE POR GASODUCTO</a:t>
          </a:r>
        </a:p>
      </xdr:txBody>
    </xdr:sp>
    <xdr:clientData/>
  </xdr:twoCellAnchor>
  <xdr:twoCellAnchor>
    <xdr:from>
      <xdr:col>2</xdr:col>
      <xdr:colOff>0</xdr:colOff>
      <xdr:row>10</xdr:row>
      <xdr:rowOff>228600</xdr:rowOff>
    </xdr:from>
    <xdr:to>
      <xdr:col>3</xdr:col>
      <xdr:colOff>384922</xdr:colOff>
      <xdr:row>11</xdr:row>
      <xdr:rowOff>193862</xdr:rowOff>
    </xdr:to>
    <xdr:sp macro="" textlink="">
      <xdr:nvSpPr>
        <xdr:cNvPr id="11" name="TextBox 13">
          <a:extLst>
            <a:ext uri="{FF2B5EF4-FFF2-40B4-BE49-F238E27FC236}">
              <a16:creationId xmlns:a16="http://schemas.microsoft.com/office/drawing/2014/main" xmlns="" id="{00000000-0008-0000-6E00-00000B000000}"/>
            </a:ext>
          </a:extLst>
        </xdr:cNvPr>
        <xdr:cNvSpPr txBox="1"/>
      </xdr:nvSpPr>
      <xdr:spPr>
        <a:xfrm>
          <a:off x="1133475" y="2162175"/>
          <a:ext cx="1613647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Tipo de Servicio:</a:t>
          </a: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3</xdr:col>
      <xdr:colOff>384922</xdr:colOff>
      <xdr:row>8</xdr:row>
      <xdr:rowOff>212912</xdr:rowOff>
    </xdr:to>
    <xdr:sp macro="" textlink="">
      <xdr:nvSpPr>
        <xdr:cNvPr id="12" name="TextBox 21">
          <a:extLst>
            <a:ext uri="{FF2B5EF4-FFF2-40B4-BE49-F238E27FC236}">
              <a16:creationId xmlns:a16="http://schemas.microsoft.com/office/drawing/2014/main" xmlns="" id="{00000000-0008-0000-6E00-00000C000000}"/>
            </a:ext>
          </a:extLst>
        </xdr:cNvPr>
        <xdr:cNvSpPr txBox="1"/>
      </xdr:nvSpPr>
      <xdr:spPr>
        <a:xfrm>
          <a:off x="1133475" y="1438275"/>
          <a:ext cx="1613647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Proveedor:</a:t>
          </a:r>
        </a:p>
        <a:p>
          <a:pPr algn="l"/>
          <a:endParaRPr lang="es-MX" sz="10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380999</xdr:colOff>
      <xdr:row>7</xdr:row>
      <xdr:rowOff>238126</xdr:rowOff>
    </xdr:from>
    <xdr:to>
      <xdr:col>7</xdr:col>
      <xdr:colOff>161924</xdr:colOff>
      <xdr:row>8</xdr:row>
      <xdr:rowOff>228600</xdr:rowOff>
    </xdr:to>
    <xdr:sp macro="" textlink="">
      <xdr:nvSpPr>
        <xdr:cNvPr id="13" name="TextBox 22">
          <a:extLst>
            <a:ext uri="{FF2B5EF4-FFF2-40B4-BE49-F238E27FC236}">
              <a16:creationId xmlns:a16="http://schemas.microsoft.com/office/drawing/2014/main" xmlns="" id="{00000000-0008-0000-6E00-00000D000000}"/>
            </a:ext>
          </a:extLst>
        </xdr:cNvPr>
        <xdr:cNvSpPr txBox="1"/>
      </xdr:nvSpPr>
      <xdr:spPr>
        <a:xfrm>
          <a:off x="2743199" y="1428751"/>
          <a:ext cx="4486275" cy="23812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(4326979</a:t>
          </a:r>
          <a:r>
            <a:rPr lang="es-MX" sz="1000" b="1" i="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) </a:t>
          </a:r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TARAHUMARA PIPELINE S DE RL DE CV </a:t>
          </a:r>
          <a:endParaRPr lang="es-MX" sz="1000" u="sng">
            <a:solidFill>
              <a:srgbClr val="FF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0</xdr:colOff>
      <xdr:row>9</xdr:row>
      <xdr:rowOff>0</xdr:rowOff>
    </xdr:from>
    <xdr:to>
      <xdr:col>3</xdr:col>
      <xdr:colOff>384922</xdr:colOff>
      <xdr:row>9</xdr:row>
      <xdr:rowOff>212912</xdr:rowOff>
    </xdr:to>
    <xdr:sp macro="" textlink="">
      <xdr:nvSpPr>
        <xdr:cNvPr id="14" name="TextBox 23">
          <a:extLst>
            <a:ext uri="{FF2B5EF4-FFF2-40B4-BE49-F238E27FC236}">
              <a16:creationId xmlns:a16="http://schemas.microsoft.com/office/drawing/2014/main" xmlns="" id="{00000000-0008-0000-6E00-00000E000000}"/>
            </a:ext>
          </a:extLst>
        </xdr:cNvPr>
        <xdr:cNvSpPr txBox="1"/>
      </xdr:nvSpPr>
      <xdr:spPr>
        <a:xfrm>
          <a:off x="1133475" y="1685925"/>
          <a:ext cx="1613647" cy="2129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MX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Contrato:</a:t>
          </a:r>
        </a:p>
      </xdr:txBody>
    </xdr:sp>
    <xdr:clientData/>
  </xdr:twoCellAnchor>
  <xdr:twoCellAnchor>
    <xdr:from>
      <xdr:col>3</xdr:col>
      <xdr:colOff>381000</xdr:colOff>
      <xdr:row>9</xdr:row>
      <xdr:rowOff>19051</xdr:rowOff>
    </xdr:from>
    <xdr:to>
      <xdr:col>5</xdr:col>
      <xdr:colOff>1114425</xdr:colOff>
      <xdr:row>9</xdr:row>
      <xdr:rowOff>228601</xdr:rowOff>
    </xdr:to>
    <xdr:sp macro="" textlink="">
      <xdr:nvSpPr>
        <xdr:cNvPr id="15" name="TextBox 24">
          <a:extLst>
            <a:ext uri="{FF2B5EF4-FFF2-40B4-BE49-F238E27FC236}">
              <a16:creationId xmlns:a16="http://schemas.microsoft.com/office/drawing/2014/main" xmlns="" id="{00000000-0008-0000-6E00-00000F000000}"/>
            </a:ext>
          </a:extLst>
        </xdr:cNvPr>
        <xdr:cNvSpPr txBox="1"/>
      </xdr:nvSpPr>
      <xdr:spPr>
        <a:xfrm>
          <a:off x="2743200" y="1704976"/>
          <a:ext cx="3095625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s-MX" sz="1000" b="1" i="0" u="sng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N° SE-CPSTGN-002/2011</a:t>
          </a:r>
          <a:endParaRPr lang="es-MX" sz="1000" u="sng">
            <a:solidFill>
              <a:srgbClr val="FF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247650</xdr:colOff>
      <xdr:row>60</xdr:row>
      <xdr:rowOff>133349</xdr:rowOff>
    </xdr:from>
    <xdr:to>
      <xdr:col>4</xdr:col>
      <xdr:colOff>454959</xdr:colOff>
      <xdr:row>65</xdr:row>
      <xdr:rowOff>78440</xdr:rowOff>
    </xdr:to>
    <xdr:sp macro="" textlink="">
      <xdr:nvSpPr>
        <xdr:cNvPr id="16" name="TextBox 19">
          <a:extLst>
            <a:ext uri="{FF2B5EF4-FFF2-40B4-BE49-F238E27FC236}">
              <a16:creationId xmlns:a16="http://schemas.microsoft.com/office/drawing/2014/main" xmlns="" id="{00000000-0008-0000-6E00-000010000000}"/>
            </a:ext>
          </a:extLst>
        </xdr:cNvPr>
        <xdr:cNvSpPr txBox="1"/>
      </xdr:nvSpPr>
      <xdr:spPr>
        <a:xfrm>
          <a:off x="1085850" y="17002124"/>
          <a:ext cx="2693334" cy="75471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___________________________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Elaboro                                                  ing, Rogelio Gaytan BerrIel</a:t>
          </a:r>
        </a:p>
      </xdr:txBody>
    </xdr:sp>
    <xdr:clientData/>
  </xdr:twoCellAnchor>
  <xdr:twoCellAnchor>
    <xdr:from>
      <xdr:col>11</xdr:col>
      <xdr:colOff>414804</xdr:colOff>
      <xdr:row>60</xdr:row>
      <xdr:rowOff>95250</xdr:rowOff>
    </xdr:from>
    <xdr:to>
      <xdr:col>13</xdr:col>
      <xdr:colOff>834651</xdr:colOff>
      <xdr:row>65</xdr:row>
      <xdr:rowOff>59765</xdr:rowOff>
    </xdr:to>
    <xdr:sp macro="" textlink="">
      <xdr:nvSpPr>
        <xdr:cNvPr id="17" name="TextBox 20">
          <a:extLst>
            <a:ext uri="{FF2B5EF4-FFF2-40B4-BE49-F238E27FC236}">
              <a16:creationId xmlns:a16="http://schemas.microsoft.com/office/drawing/2014/main" xmlns="" id="{00000000-0008-0000-6E00-000011000000}"/>
            </a:ext>
          </a:extLst>
        </xdr:cNvPr>
        <xdr:cNvSpPr txBox="1"/>
      </xdr:nvSpPr>
      <xdr:spPr>
        <a:xfrm>
          <a:off x="12178179" y="16964025"/>
          <a:ext cx="2791572" cy="7741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___________________________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Autorizo</a:t>
          </a:r>
        </a:p>
        <a:p>
          <a:pPr algn="ctr"/>
          <a:r>
            <a:rPr lang="es-MX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Ing.</a:t>
          </a:r>
          <a:r>
            <a:rPr lang="es-MX" sz="1100" b="1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 Fernando Lopez Casillas</a:t>
          </a:r>
          <a:endParaRPr lang="es-MX" sz="11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476250</xdr:colOff>
      <xdr:row>1</xdr:row>
      <xdr:rowOff>19050</xdr:rowOff>
    </xdr:from>
    <xdr:to>
      <xdr:col>12</xdr:col>
      <xdr:colOff>133350</xdr:colOff>
      <xdr:row>23</xdr:row>
      <xdr:rowOff>66675</xdr:rowOff>
    </xdr:to>
    <xdr:pic>
      <xdr:nvPicPr>
        <xdr:cNvPr id="358401" name="Imagen 1">
          <a:extLst>
            <a:ext uri="{FF2B5EF4-FFF2-40B4-BE49-F238E27FC236}">
              <a16:creationId xmlns:a16="http://schemas.microsoft.com/office/drawing/2014/main" xmlns="" id="{00000000-0008-0000-6F00-000001780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200025"/>
          <a:ext cx="9715500" cy="402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fenergia.sharepoint.com/01%20Bancos/2017/auxiliar%20de%20bancos%202017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fenergia.sharepoint.com/Users/Hugo%20Luna/Documents/CFEnerg&#237;a/CFEn%20admon/zASV/Reportes%20Financieros/4to%20Trim%202017/Intercos%20Dic/EEFF%20CFEnergia%20noviembre%202017%20P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fenergia.sharepoint.com/Users/Liliana%20Garc&#237;a/CFEnergia,%20S.A.%20de%20C.V/Facturaci&#243;n%20-%20Documentos/03%20Clientes/2018/Cfenergia%20concentrado%20de%20facturaci&#243;n%2020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neficiarios"/>
      <sheetName val="ENE"/>
      <sheetName val="feb"/>
      <sheetName val="mar"/>
      <sheetName val="abr"/>
      <sheetName val="may"/>
      <sheetName val="jun"/>
      <sheetName val="jul"/>
      <sheetName val="ago"/>
      <sheetName val="sep"/>
      <sheetName val="oct"/>
      <sheetName val="nov"/>
      <sheetName val="dic"/>
      <sheetName val="cibanco mn"/>
      <sheetName val="monex1"/>
      <sheetName val="monex"/>
      <sheetName val="9641"/>
      <sheetName val="original bco"/>
      <sheetName val="cxp"/>
      <sheetName val="RETIROS"/>
    </sheetNames>
    <sheetDataSet>
      <sheetData sheetId="0">
        <row r="1">
          <cell r="C1">
            <v>1</v>
          </cell>
          <cell r="D1">
            <v>2</v>
          </cell>
          <cell r="E1">
            <v>3</v>
          </cell>
        </row>
        <row r="2">
          <cell r="C2" t="str">
            <v>Nombre</v>
          </cell>
          <cell r="D2" t="str">
            <v>RFC</v>
          </cell>
          <cell r="E2" t="str">
            <v>CURP</v>
          </cell>
          <cell r="F2" t="str">
            <v>FechaRegistro</v>
          </cell>
          <cell r="G2" t="str">
            <v>EsBaja</v>
          </cell>
          <cell r="H2" t="str">
            <v>Telefono1</v>
          </cell>
          <cell r="I2" t="str">
            <v>Telefono2</v>
          </cell>
          <cell r="J2" t="str">
            <v>Telefono3</v>
          </cell>
          <cell r="K2" t="str">
            <v>Fax</v>
          </cell>
          <cell r="L2" t="str">
            <v>eMail</v>
          </cell>
          <cell r="M2" t="str">
            <v>PaginaWeb</v>
          </cell>
        </row>
        <row r="3">
          <cell r="C3" t="str">
            <v>TextoExtra1</v>
          </cell>
          <cell r="D3" t="str">
            <v>TextoExtra2</v>
          </cell>
          <cell r="E3" t="str">
            <v>TextoExtra3</v>
          </cell>
          <cell r="F3" t="str">
            <v>TextoExtra4</v>
          </cell>
          <cell r="G3" t="str">
            <v>FechaExtra1</v>
          </cell>
          <cell r="H3" t="str">
            <v>ImporteExtra1</v>
          </cell>
          <cell r="I3" t="str">
            <v>ImporteExtra2</v>
          </cell>
          <cell r="J3" t="str">
            <v>ImporteExtra3</v>
          </cell>
          <cell r="K3" t="str">
            <v>ImporteExtra4</v>
          </cell>
        </row>
        <row r="4">
          <cell r="C4" t="str">
            <v>Nombre</v>
          </cell>
          <cell r="D4" t="str">
            <v>RFC</v>
          </cell>
          <cell r="E4" t="str">
            <v>CURP</v>
          </cell>
          <cell r="F4" t="str">
            <v>FechaRegistro</v>
          </cell>
          <cell r="G4" t="str">
            <v>EsBaja</v>
          </cell>
          <cell r="H4" t="str">
            <v>Telefono1</v>
          </cell>
          <cell r="I4" t="str">
            <v>Telefono2</v>
          </cell>
          <cell r="J4" t="str">
            <v>Telefono3</v>
          </cell>
          <cell r="K4" t="str">
            <v>Fax</v>
          </cell>
          <cell r="L4" t="str">
            <v>eMail</v>
          </cell>
          <cell r="M4" t="str">
            <v>PaginaWeb</v>
          </cell>
        </row>
        <row r="5">
          <cell r="C5" t="str">
            <v>Comisión Federal de Electricidad</v>
          </cell>
          <cell r="D5" t="str">
            <v>CFE370814QI0</v>
          </cell>
          <cell r="E5">
            <v>0</v>
          </cell>
          <cell r="F5">
            <v>42738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C6" t="str">
            <v>Comisión Federal de Electricidad</v>
          </cell>
          <cell r="D6" t="str">
            <v>CFE370814QI0</v>
          </cell>
          <cell r="E6">
            <v>0</v>
          </cell>
          <cell r="F6">
            <v>42738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42843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C8" t="str">
            <v>HUMBERTO RAMOS SÁNCHEZ</v>
          </cell>
          <cell r="D8" t="str">
            <v>RASH610325VE3</v>
          </cell>
          <cell r="E8">
            <v>0</v>
          </cell>
          <cell r="F8">
            <v>42738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42837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C10" t="str">
            <v>VICTOR LEONARDO ALVAREZ CORTES</v>
          </cell>
          <cell r="D10" t="str">
            <v>AACV761108G66</v>
          </cell>
          <cell r="E10">
            <v>0</v>
          </cell>
          <cell r="F10">
            <v>42738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C11" t="str">
            <v>ARIES ADMINISTRACION SC</v>
          </cell>
          <cell r="D11" t="str">
            <v>AAD990818RDA</v>
          </cell>
          <cell r="E11">
            <v>0</v>
          </cell>
          <cell r="F11">
            <v>42738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C12" t="str">
            <v>RAFAEL ANDRADE DUPUI</v>
          </cell>
          <cell r="D12" t="str">
            <v>AADR521030RG8</v>
          </cell>
          <cell r="E12">
            <v>0</v>
          </cell>
          <cell r="F12">
            <v>42738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C13" t="str">
            <v>JULIO CESAR ALEGRIA DIAZ</v>
          </cell>
          <cell r="D13" t="str">
            <v>AEDJ691102FH1</v>
          </cell>
          <cell r="E13">
            <v>0</v>
          </cell>
          <cell r="F13">
            <v>42738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C14" t="str">
            <v>NYDIA NAOMI ARIYOSHI CONTRERAS</v>
          </cell>
          <cell r="D14" t="str">
            <v>AICN930121PQ3</v>
          </cell>
          <cell r="E14">
            <v>0</v>
          </cell>
          <cell r="F14">
            <v>42738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C15" t="str">
            <v>MARIA MARCELA AVILA TAPIA</v>
          </cell>
          <cell r="D15" t="str">
            <v>AITM920930544</v>
          </cell>
          <cell r="E15">
            <v>0</v>
          </cell>
          <cell r="F15">
            <v>42738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C16" t="str">
            <v>ASPEL DE MEXICO, SA DE CV</v>
          </cell>
          <cell r="D16" t="str">
            <v>AME860107KD9</v>
          </cell>
          <cell r="E16">
            <v>0</v>
          </cell>
          <cell r="F16">
            <v>42738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C17" t="str">
            <v>OLGA LIDIA NAJERA REYES</v>
          </cell>
          <cell r="D17" t="str">
            <v>NARO660221CA5</v>
          </cell>
          <cell r="E17">
            <v>0</v>
          </cell>
          <cell r="F17">
            <v>42738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C18" t="str">
            <v>OPERADORA OMX, SA DE CV</v>
          </cell>
          <cell r="D18" t="str">
            <v>OOM960429832</v>
          </cell>
          <cell r="E18">
            <v>0</v>
          </cell>
          <cell r="F18">
            <v>42738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42836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C20" t="str">
            <v>ANGEL CELESTINO RIOS SANCHEZ</v>
          </cell>
          <cell r="D20" t="str">
            <v>RISA790124GY3</v>
          </cell>
          <cell r="E20">
            <v>0</v>
          </cell>
          <cell r="F20">
            <v>42738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C21" t="str">
            <v>VICTOR IVAN SANCHEZ SILVA</v>
          </cell>
          <cell r="D21" t="str">
            <v>SASV7511297CA</v>
          </cell>
          <cell r="E21">
            <v>0</v>
          </cell>
          <cell r="F21">
            <v>42738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C22" t="str">
            <v>SILVIA VARGAS PROCUNA</v>
          </cell>
          <cell r="D22" t="str">
            <v>VAPS540102I91</v>
          </cell>
          <cell r="E22">
            <v>0</v>
          </cell>
          <cell r="F22">
            <v>42738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CELIA ZUÑIGA REYES</v>
          </cell>
          <cell r="D23" t="str">
            <v>ZURC550202673</v>
          </cell>
          <cell r="E23">
            <v>0</v>
          </cell>
          <cell r="F23">
            <v>42738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C24" t="str">
            <v>CELIA ZUÑIGA REYES</v>
          </cell>
          <cell r="D24" t="str">
            <v>ZURC550202673</v>
          </cell>
          <cell r="E24">
            <v>0</v>
          </cell>
          <cell r="F24">
            <v>42738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42766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C26" t="str">
            <v>ARTURO AGUILAR SANCHEZ</v>
          </cell>
          <cell r="D26" t="str">
            <v>AUSA770324323</v>
          </cell>
          <cell r="E26">
            <v>0</v>
          </cell>
          <cell r="F26">
            <v>42738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C27" t="str">
            <v>SARA ESTHER BLANCO SILVAS</v>
          </cell>
          <cell r="D27" t="str">
            <v>BASS5503255DA</v>
          </cell>
          <cell r="E27">
            <v>0</v>
          </cell>
          <cell r="F27">
            <v>42738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C28" t="str">
            <v>BEST BUY STORES S. DE R.L. DE C.V.</v>
          </cell>
          <cell r="D28" t="str">
            <v>BBS070606D33</v>
          </cell>
          <cell r="E28">
            <v>0</v>
          </cell>
          <cell r="F28">
            <v>42738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42801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C30" t="str">
            <v>JOSE LUIS BENITEZ GONZALEZ</v>
          </cell>
          <cell r="D30" t="str">
            <v>BEGL660525UM5</v>
          </cell>
          <cell r="E30">
            <v>0</v>
          </cell>
          <cell r="F30">
            <v>42738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C31" t="str">
            <v>VANESSA BELTRAN PARROQUIN</v>
          </cell>
          <cell r="D31" t="str">
            <v>BEPV741129HY7</v>
          </cell>
          <cell r="E31">
            <v>0</v>
          </cell>
          <cell r="F31">
            <v>42738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C32" t="str">
            <v>David Birruete Pimentel</v>
          </cell>
          <cell r="D32" t="str">
            <v>BIPD6003109K5</v>
          </cell>
          <cell r="E32">
            <v>0</v>
          </cell>
          <cell r="F32">
            <v>42738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C33" t="str">
            <v>UNITED AIRLINES INC</v>
          </cell>
          <cell r="D33" t="str">
            <v>CAL341217BA2</v>
          </cell>
          <cell r="E33">
            <v>0</v>
          </cell>
          <cell r="F33">
            <v>42738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42768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C35" t="str">
            <v>ERNESTO ADOLFO CASTILLO LOPEZ</v>
          </cell>
          <cell r="D35" t="str">
            <v>CALE810420QEA</v>
          </cell>
          <cell r="E35">
            <v>0</v>
          </cell>
          <cell r="F35">
            <v>42738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C36" t="str">
            <v>ALEJANDRO CARRANZA RESENDIZ</v>
          </cell>
          <cell r="D36" t="str">
            <v>CARA800419SJ0</v>
          </cell>
          <cell r="E36">
            <v>0</v>
          </cell>
          <cell r="F36">
            <v>42738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C37" t="str">
            <v>GERARDO CABRERA RODRIGUEZ</v>
          </cell>
          <cell r="D37" t="str">
            <v>CARG740815UU0</v>
          </cell>
          <cell r="E37">
            <v>0</v>
          </cell>
          <cell r="F37">
            <v>42738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C38" t="str">
            <v>COMERCIAL CITY FRESKO S DE RL DE CV</v>
          </cell>
          <cell r="D38" t="str">
            <v>CCF121101KQ4</v>
          </cell>
          <cell r="E38">
            <v>0</v>
          </cell>
          <cell r="F38">
            <v>42738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C39" t="str">
            <v>CUBEICE CONSULTORES DE NEGOCIOS SC</v>
          </cell>
          <cell r="D39" t="str">
            <v>CCN120530UI2</v>
          </cell>
          <cell r="E39">
            <v>0</v>
          </cell>
          <cell r="F39">
            <v>42738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42815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</row>
        <row r="41">
          <cell r="C41" t="str">
            <v>CADENA COMERCIAL OXXO, S.A. DE C.V.</v>
          </cell>
          <cell r="D41" t="str">
            <v>CCO8605231N4</v>
          </cell>
          <cell r="E41">
            <v>0</v>
          </cell>
          <cell r="F41">
            <v>42738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C42" t="str">
            <v>CRISTINA CEDILLO CAMACHO</v>
          </cell>
          <cell r="D42" t="str">
            <v>CECC841223I49</v>
          </cell>
          <cell r="E42">
            <v>0</v>
          </cell>
          <cell r="F42">
            <v>42738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C43" t="str">
            <v>CORPORATIVO FISCAL DECADA, S.C.</v>
          </cell>
          <cell r="D43" t="str">
            <v>CFD0302269C4</v>
          </cell>
          <cell r="E43">
            <v>0</v>
          </cell>
          <cell r="F43">
            <v>42738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C44" t="str">
            <v>CONSORCIO GASOLINERO PLUS, S.A. DE C.V.</v>
          </cell>
          <cell r="D44" t="str">
            <v>CGP970522EE4</v>
          </cell>
          <cell r="E44">
            <v>0</v>
          </cell>
          <cell r="F44">
            <v>42738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Cabify Mexico S de RL de CV</v>
          </cell>
          <cell r="D45" t="str">
            <v>CME1208017C4</v>
          </cell>
          <cell r="E45">
            <v>0</v>
          </cell>
          <cell r="F45">
            <v>42738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C46" t="str">
            <v>ALAIN CORDIER MONTIEL</v>
          </cell>
          <cell r="D46" t="str">
            <v>COMA801019HI7</v>
          </cell>
          <cell r="E46">
            <v>0</v>
          </cell>
          <cell r="F46">
            <v>42738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C47" t="str">
            <v>CORPO SUBSTORE, SA DE CV</v>
          </cell>
          <cell r="D47" t="str">
            <v>CSU070301MK3</v>
          </cell>
          <cell r="E47">
            <v>0</v>
          </cell>
          <cell r="F47">
            <v>42738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C48" t="str">
            <v>LA CUBIELLA S.A. DE C.V.</v>
          </cell>
          <cell r="D48" t="str">
            <v>CUB040113N69</v>
          </cell>
          <cell r="E48">
            <v>0</v>
          </cell>
          <cell r="F48">
            <v>42738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C49" t="str">
            <v>CLAUDIA CRUZ GARCIA</v>
          </cell>
          <cell r="D49" t="str">
            <v>CUGC800220UW1</v>
          </cell>
          <cell r="E49">
            <v>0</v>
          </cell>
          <cell r="F49">
            <v>42738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C50" t="str">
            <v>ULISES EMMANUEL DE LA CRUZ HERNANDEZ</v>
          </cell>
          <cell r="D50" t="str">
            <v>CUHU911214RL7</v>
          </cell>
          <cell r="E50">
            <v>0</v>
          </cell>
          <cell r="F50">
            <v>42738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C51" t="str">
            <v>Concesionaria Vuela Compañía de Aviación, S.A.P.I. de C.V.</v>
          </cell>
          <cell r="D51" t="str">
            <v>CVA041027H80</v>
          </cell>
          <cell r="E51">
            <v>0</v>
          </cell>
          <cell r="F51">
            <v>42738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C52" t="str">
            <v>La Casa del Viaje S.A. de C.V.</v>
          </cell>
          <cell r="D52" t="str">
            <v>CVI931109SR9</v>
          </cell>
          <cell r="E52">
            <v>0</v>
          </cell>
          <cell r="F52">
            <v>42738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C53" t="str">
            <v>DIEZ DE BONILLA, KURI Y ASOCIADOS, S.C.</v>
          </cell>
          <cell r="D53" t="str">
            <v>DBK850927QC9</v>
          </cell>
          <cell r="E53">
            <v>0</v>
          </cell>
          <cell r="F53">
            <v>42738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42800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C55" t="str">
            <v>AMANDA ISABELLE DEGYVES CARRAL</v>
          </cell>
          <cell r="D55" t="str">
            <v>DECA7808077Q0</v>
          </cell>
          <cell r="E55">
            <v>0</v>
          </cell>
          <cell r="F55">
            <v>42738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C56" t="str">
            <v>MARISOL DELGADILLO SAMANO</v>
          </cell>
          <cell r="D56" t="str">
            <v>DESM801001I77</v>
          </cell>
          <cell r="E56">
            <v>0</v>
          </cell>
          <cell r="F56">
            <v>42738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C57" t="str">
            <v>HUGO CESAR DIAZ HERRERA</v>
          </cell>
          <cell r="D57" t="str">
            <v>DIHH9208136C0</v>
          </cell>
          <cell r="E57">
            <v>0</v>
          </cell>
          <cell r="F57">
            <v>42738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C58" t="str">
            <v>JESUS DAVID DOMINGUEZ ANTONIO</v>
          </cell>
          <cell r="D58" t="str">
            <v>DOAJ9107072V3</v>
          </cell>
          <cell r="E58">
            <v>0</v>
          </cell>
          <cell r="F58">
            <v>42738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C59" t="str">
            <v>JOSE ANTONIO DOMENZAIN JIMENEZ</v>
          </cell>
          <cell r="D59" t="str">
            <v>DOJA741008DV8</v>
          </cell>
          <cell r="E59">
            <v>0</v>
          </cell>
          <cell r="F59">
            <v>42738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C60" t="str">
            <v>DIGITAL SOLUTIONS AMERICAS S DE RL DE CV</v>
          </cell>
          <cell r="D60" t="str">
            <v>DSA130408AM2</v>
          </cell>
          <cell r="E60">
            <v>0</v>
          </cell>
          <cell r="F60">
            <v>42738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C61" t="str">
            <v>XOCHITL ESCAMILLA GUTIERREZ</v>
          </cell>
          <cell r="D61" t="str">
            <v>EAGX881202AJ7</v>
          </cell>
          <cell r="E61">
            <v>0</v>
          </cell>
          <cell r="F61">
            <v>42738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C62" t="str">
            <v>ESTACION DE SERVICIO PARAISO, S.A. DE C.V.</v>
          </cell>
          <cell r="D62" t="str">
            <v>ESP001023CB5</v>
          </cell>
          <cell r="E62">
            <v>0</v>
          </cell>
          <cell r="F62">
            <v>42738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C63" t="str">
            <v>Electronica Tezontle, S.A de C.V.</v>
          </cell>
          <cell r="D63" t="str">
            <v>ETE070809JP7</v>
          </cell>
          <cell r="E63">
            <v>0</v>
          </cell>
          <cell r="F63">
            <v>42738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C64" t="str">
            <v>ANTONIO DE JESUS EZQUERRA CASANOVA</v>
          </cell>
          <cell r="D64" t="str">
            <v>EUCA911225PY6</v>
          </cell>
          <cell r="E64">
            <v>0</v>
          </cell>
          <cell r="F64">
            <v>42738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C65" t="str">
            <v>JUAN JOSE FRAGOSO AVILA</v>
          </cell>
          <cell r="D65" t="str">
            <v>FAAJ7312275V9</v>
          </cell>
          <cell r="E65">
            <v>0</v>
          </cell>
          <cell r="F65">
            <v>42738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C66" t="str">
            <v>Fasink SA de CV</v>
          </cell>
          <cell r="D66" t="str">
            <v>FAS150121T44</v>
          </cell>
          <cell r="E66">
            <v>0</v>
          </cell>
          <cell r="F66">
            <v>42738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42800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</row>
        <row r="68">
          <cell r="C68" t="str">
            <v>FARMACIAS BENAVIDES, SAB DE CV</v>
          </cell>
          <cell r="D68" t="str">
            <v>FBE9110215Z3</v>
          </cell>
          <cell r="E68">
            <v>0</v>
          </cell>
          <cell r="F68">
            <v>42738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C69" t="str">
            <v>MARCO ANTONIO FELIX ARROYO</v>
          </cell>
          <cell r="D69" t="str">
            <v>FEAM871002973</v>
          </cell>
          <cell r="E69">
            <v>0</v>
          </cell>
          <cell r="F69">
            <v>42738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C70" t="str">
            <v>Fibra Hotelera S.C.</v>
          </cell>
          <cell r="D70" t="str">
            <v>FHO121005EFA</v>
          </cell>
          <cell r="E70">
            <v>0</v>
          </cell>
          <cell r="F70">
            <v>42738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C71" t="str">
            <v>ALDO SALVADOR FLORES ALCANTARA</v>
          </cell>
          <cell r="D71" t="str">
            <v>FOAA901119VA1</v>
          </cell>
          <cell r="E71">
            <v>0</v>
          </cell>
          <cell r="F71">
            <v>42738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C72" t="str">
            <v>JOSE DE JESUS FLORES GUTIERREZ</v>
          </cell>
          <cell r="D72" t="str">
            <v>FOGJ9208069U3</v>
          </cell>
          <cell r="E72">
            <v>0</v>
          </cell>
          <cell r="F72">
            <v>42738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GERARDO GARCIA ALEGRIA</v>
          </cell>
          <cell r="D73" t="str">
            <v>GAAG771209F16</v>
          </cell>
          <cell r="E73">
            <v>0</v>
          </cell>
          <cell r="F73">
            <v>42738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C74" t="str">
            <v>ISAAC RAMON GARNICA GONZALEZ</v>
          </cell>
          <cell r="D74" t="str">
            <v>GAGI880602NT8</v>
          </cell>
          <cell r="E74">
            <v>0</v>
          </cell>
          <cell r="F74">
            <v>42738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C75" t="str">
            <v>VICTOR GARCIA JUAREZ</v>
          </cell>
          <cell r="D75" t="str">
            <v>GAJV600303EX5</v>
          </cell>
          <cell r="E75">
            <v>0</v>
          </cell>
          <cell r="F75">
            <v>42738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C76" t="str">
            <v>MARCELINO ARMANDO GARCIA SANCHEZ</v>
          </cell>
          <cell r="D76" t="str">
            <v>GASM521027QY9</v>
          </cell>
          <cell r="E76">
            <v>0</v>
          </cell>
          <cell r="F76">
            <v>42738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C77" t="str">
            <v>LIA GENNY GORDOA AGUILAR</v>
          </cell>
          <cell r="D77" t="str">
            <v>GOAL7307274G6</v>
          </cell>
          <cell r="E77">
            <v>0</v>
          </cell>
          <cell r="F77">
            <v>42738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C78" t="str">
            <v>GIOVANNI ABDIEL GONZALEZ GASCA</v>
          </cell>
          <cell r="D78" t="str">
            <v>GOGG940106PJ8</v>
          </cell>
          <cell r="E78">
            <v>0</v>
          </cell>
          <cell r="F78">
            <v>42738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C79" t="str">
            <v>MIGUEL ANGEL GONZALEZ GUZMAN</v>
          </cell>
          <cell r="D79" t="str">
            <v>GOGM710826859</v>
          </cell>
          <cell r="E79">
            <v>0</v>
          </cell>
          <cell r="F79">
            <v>42738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C80" t="str">
            <v>OLIN GONZALEZ REYES</v>
          </cell>
          <cell r="D80" t="str">
            <v>GORO8312084R6</v>
          </cell>
          <cell r="E80">
            <v>0</v>
          </cell>
          <cell r="F80">
            <v>42738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C81" t="str">
            <v>GRUPO RESTAURANTERO DEL CENTRO SA DE CV</v>
          </cell>
          <cell r="D81" t="str">
            <v>GRC030429EC4</v>
          </cell>
          <cell r="E81">
            <v>0</v>
          </cell>
          <cell r="F81">
            <v>42738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C82" t="str">
            <v>GRUPO TRAMANDO S.A. DE C.V.</v>
          </cell>
          <cell r="D82" t="str">
            <v>GTR150424M39</v>
          </cell>
          <cell r="E82">
            <v>0</v>
          </cell>
          <cell r="F82">
            <v>42738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C83" t="str">
            <v>JOSE DANIEL GUZMAN CASTELLANOS</v>
          </cell>
          <cell r="D83" t="str">
            <v>GUCD810305970</v>
          </cell>
          <cell r="E83">
            <v>0</v>
          </cell>
          <cell r="F83">
            <v>42738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C84" t="str">
            <v>OSCAR DAVID GUTIERREZ REYES</v>
          </cell>
          <cell r="D84" t="str">
            <v>GURO801119AH3</v>
          </cell>
          <cell r="E84">
            <v>0</v>
          </cell>
          <cell r="F84">
            <v>42738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C85" t="str">
            <v>ALEJANDRO HERNANDEZ BUENO</v>
          </cell>
          <cell r="D85" t="str">
            <v>HEBA7804092K4</v>
          </cell>
          <cell r="E85">
            <v>0</v>
          </cell>
          <cell r="F85">
            <v>42738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C86" t="str">
            <v>OMAR HERRERA LOPEZ</v>
          </cell>
          <cell r="D86" t="str">
            <v>HELO800305MA1</v>
          </cell>
          <cell r="E86">
            <v>0</v>
          </cell>
          <cell r="F86">
            <v>42738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C87" t="str">
            <v>ROSALBA HERNANDEZ MERCADO</v>
          </cell>
          <cell r="D87" t="str">
            <v>HEMR6206222G5</v>
          </cell>
          <cell r="E87">
            <v>0</v>
          </cell>
          <cell r="F87">
            <v>42738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C88" t="str">
            <v>NORMA HERNANDEZ RAMIREZ</v>
          </cell>
          <cell r="D88" t="str">
            <v>HERN840622QV2</v>
          </cell>
          <cell r="E88">
            <v>0</v>
          </cell>
          <cell r="F88">
            <v>42738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C89" t="str">
            <v>SIMON HELUE DE LOS RIOS</v>
          </cell>
          <cell r="D89" t="str">
            <v>HERS930913LJ1</v>
          </cell>
          <cell r="E89">
            <v>0</v>
          </cell>
          <cell r="F89">
            <v>42738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C90" t="str">
            <v>VICTOR MANUEL HERNANDEZ SUAREZ</v>
          </cell>
          <cell r="D90" t="str">
            <v>HESV850506DS7</v>
          </cell>
          <cell r="E90">
            <v>0</v>
          </cell>
          <cell r="F90">
            <v>42738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C91" t="str">
            <v>COLUMBA HINOJOSA RODRIGUEZ</v>
          </cell>
          <cell r="D91" t="str">
            <v>HIRC6906172T7</v>
          </cell>
          <cell r="E91">
            <v>0</v>
          </cell>
          <cell r="F91">
            <v>42738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C92" t="str">
            <v>MARCOS HILU TUACHI</v>
          </cell>
          <cell r="D92" t="str">
            <v>HITM691207PG6</v>
          </cell>
          <cell r="E92">
            <v>0</v>
          </cell>
          <cell r="F92">
            <v>42738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C93" t="str">
            <v>ISAAC ISLAS GONZALEZ</v>
          </cell>
          <cell r="D93" t="str">
            <v>IAGI310505C99</v>
          </cell>
          <cell r="E93">
            <v>0</v>
          </cell>
          <cell r="F93">
            <v>42738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C94" t="str">
            <v>INSTITUTO DE ESTUDIOS FISCALES Y ADMINISTRATIVOS, A.C.</v>
          </cell>
          <cell r="D94" t="str">
            <v>IEF791026MHA</v>
          </cell>
          <cell r="E94">
            <v>0</v>
          </cell>
          <cell r="F94">
            <v>42738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INSTITUTO NACIONAL DE ELECTRICIDAD Y ENERGÍAS LIMPIAS</v>
          </cell>
          <cell r="D95" t="str">
            <v>IIE751125JEA</v>
          </cell>
          <cell r="E95">
            <v>0</v>
          </cell>
          <cell r="F95">
            <v>42738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6">
          <cell r="C96" t="str">
            <v>I+D MEXICO S.A DE C.V.</v>
          </cell>
          <cell r="D96" t="str">
            <v>ISD950921HE5</v>
          </cell>
          <cell r="E96">
            <v>0</v>
          </cell>
          <cell r="F96">
            <v>42738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C97" t="str">
            <v>ITALCAFE SA DE CV</v>
          </cell>
          <cell r="D97" t="str">
            <v>ITA050113JL9</v>
          </cell>
          <cell r="E97">
            <v>0</v>
          </cell>
          <cell r="F97">
            <v>42738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C98" t="str">
            <v>RENE ISRAEL JAIMES SANCHEZ</v>
          </cell>
          <cell r="D98" t="str">
            <v>JASR790213119</v>
          </cell>
          <cell r="E98">
            <v>0</v>
          </cell>
          <cell r="F98">
            <v>42738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C99" t="str">
            <v>JORGE JOSE CONTRERAS</v>
          </cell>
          <cell r="D99" t="str">
            <v>JOCJ861103ANA</v>
          </cell>
          <cell r="E99">
            <v>0</v>
          </cell>
          <cell r="F99">
            <v>42738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C100" t="str">
            <v>RODRIGO MISAEL JUAREZ CONDE</v>
          </cell>
          <cell r="D100" t="str">
            <v>JUCR900202MH0</v>
          </cell>
          <cell r="E100">
            <v>0</v>
          </cell>
          <cell r="F100">
            <v>42738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C101" t="str">
            <v>LUIS IGNACIO JUAREZ GOMEZ</v>
          </cell>
          <cell r="D101" t="str">
            <v>JUGL611028K28</v>
          </cell>
          <cell r="E101">
            <v>0</v>
          </cell>
          <cell r="F101">
            <v>42738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C102" t="str">
            <v>DANIEL ALEJANDRO LONA HERNANDEZ</v>
          </cell>
          <cell r="D102" t="str">
            <v>LOHD940105JV5</v>
          </cell>
          <cell r="E102">
            <v>0</v>
          </cell>
          <cell r="F102">
            <v>42738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C103" t="str">
            <v>GABRIEL FERNANDO LOPEZ LAZCANO</v>
          </cell>
          <cell r="D103" t="str">
            <v>LOLG750202U59</v>
          </cell>
          <cell r="E103">
            <v>0</v>
          </cell>
          <cell r="F103">
            <v>42738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C104" t="str">
            <v>HECTOR LOPEZ LEAL</v>
          </cell>
          <cell r="D104" t="str">
            <v>LOLH540412P94</v>
          </cell>
          <cell r="E104">
            <v>0</v>
          </cell>
          <cell r="F104">
            <v>42738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C105" t="str">
            <v>LAURA ANABEL LORA LOPEZ</v>
          </cell>
          <cell r="D105" t="str">
            <v>LOLL840404A19</v>
          </cell>
          <cell r="E105">
            <v>0</v>
          </cell>
          <cell r="F105">
            <v>42738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C106" t="str">
            <v>ERIKA ELENA LOPEZ POLANCO</v>
          </cell>
          <cell r="D106" t="str">
            <v>LOPE7810162QA</v>
          </cell>
          <cell r="E106">
            <v>0</v>
          </cell>
          <cell r="F106">
            <v>42738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C107" t="str">
            <v>LAURA PATRICIA MALDONADO BECERRA</v>
          </cell>
          <cell r="D107" t="str">
            <v>MABL790705ID9</v>
          </cell>
          <cell r="E107">
            <v>0</v>
          </cell>
          <cell r="F107">
            <v>42738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C108" t="str">
            <v>EDITH MARIN CALDERON</v>
          </cell>
          <cell r="D108" t="str">
            <v>MACE8201069H1</v>
          </cell>
          <cell r="E108">
            <v>0</v>
          </cell>
          <cell r="F108">
            <v>42738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C109" t="str">
            <v>JOSE ALBERTO MARQUEZ GUTIERREZ</v>
          </cell>
          <cell r="D109" t="str">
            <v>MAGA8804016H4</v>
          </cell>
          <cell r="E109">
            <v>0</v>
          </cell>
          <cell r="F109">
            <v>42738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C110" t="str">
            <v>LUIS DOMINGO MARQUEZ RAMIREZ</v>
          </cell>
          <cell r="D110" t="str">
            <v>MARL6305112E3</v>
          </cell>
          <cell r="E110">
            <v>0</v>
          </cell>
          <cell r="F110">
            <v>42738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C111" t="str">
            <v>JANNET VERONICA MARTINEZ YESCAS</v>
          </cell>
          <cell r="D111" t="str">
            <v>MAYJ890320AL7</v>
          </cell>
          <cell r="E111">
            <v>0</v>
          </cell>
          <cell r="F111">
            <v>42738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C112" t="str">
            <v>MSD COPIADORAS DE MEXICO, S.A. DE C.V.</v>
          </cell>
          <cell r="D112" t="str">
            <v>MCM160504I6A</v>
          </cell>
          <cell r="E112">
            <v>0</v>
          </cell>
          <cell r="F112">
            <v>42738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C113" t="str">
            <v>JAIR ANTONIO MENDOZA GRANADOS</v>
          </cell>
          <cell r="D113" t="str">
            <v>MEGJ940721U58</v>
          </cell>
          <cell r="E113">
            <v>0</v>
          </cell>
          <cell r="F113">
            <v>42738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C114" t="str">
            <v>LETICIA DENISSE MENDOZA GUILLEN</v>
          </cell>
          <cell r="D114" t="str">
            <v>MEGL8605214A9</v>
          </cell>
          <cell r="E114">
            <v>0</v>
          </cell>
          <cell r="F114">
            <v>42738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C115" t="str">
            <v>Izamco SA de CV</v>
          </cell>
          <cell r="D115" t="str">
            <v>IZA750519DM2</v>
          </cell>
          <cell r="E115">
            <v>0</v>
          </cell>
          <cell r="F115">
            <v>42739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C116" t="str">
            <v>Izamco SA de CV</v>
          </cell>
          <cell r="D116" t="str">
            <v>IZA750519DM2</v>
          </cell>
          <cell r="E116">
            <v>0</v>
          </cell>
          <cell r="F116">
            <v>42739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42800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</row>
        <row r="118">
          <cell r="C118" t="str">
            <v>Fernando Perez Arriaga</v>
          </cell>
          <cell r="D118">
            <v>0</v>
          </cell>
          <cell r="E118">
            <v>0</v>
          </cell>
          <cell r="F118">
            <v>42739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C119" t="str">
            <v>Fernando Perez Arriaga</v>
          </cell>
          <cell r="D119">
            <v>0</v>
          </cell>
          <cell r="E119">
            <v>0</v>
          </cell>
          <cell r="F119">
            <v>42739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C120" t="str">
            <v>EAO DIGITAL SOLUTIONS S.A. DE C.V.</v>
          </cell>
          <cell r="D120" t="str">
            <v>EDS0508123K0</v>
          </cell>
          <cell r="E120">
            <v>0</v>
          </cell>
          <cell r="F120">
            <v>42739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42800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C122" t="str">
            <v>caja chica</v>
          </cell>
          <cell r="D122">
            <v>0</v>
          </cell>
          <cell r="E122">
            <v>0</v>
          </cell>
          <cell r="F122">
            <v>42739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Wingu Networks S.A. de C.V</v>
          </cell>
          <cell r="D123" t="str">
            <v>WNE1203015A1</v>
          </cell>
          <cell r="E123">
            <v>0</v>
          </cell>
          <cell r="F123">
            <v>42739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C124" t="str">
            <v>CLAUDIA ROSARIO MONROY ZUÑIGA</v>
          </cell>
          <cell r="D124" t="str">
            <v>MOZC7607163N3</v>
          </cell>
          <cell r="E124">
            <v>0</v>
          </cell>
          <cell r="F124">
            <v>42739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42800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C126" t="str">
            <v>IOS OFFICES DE MEXICO SA DE CV</v>
          </cell>
          <cell r="D126" t="str">
            <v>IOM080418AP9</v>
          </cell>
          <cell r="E126">
            <v>0</v>
          </cell>
          <cell r="F126">
            <v>42739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42810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</row>
        <row r="128">
          <cell r="C128" t="str">
            <v>sat</v>
          </cell>
          <cell r="D128" t="str">
            <v>XAXX010101000</v>
          </cell>
          <cell r="E128">
            <v>0</v>
          </cell>
          <cell r="F128">
            <v>42739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C129" t="str">
            <v>VERON ESQUIVEL &amp;amp; ASOCIADOS,S.C.</v>
          </cell>
          <cell r="D129" t="str">
            <v>VEA120516MFA</v>
          </cell>
          <cell r="E129">
            <v>0</v>
          </cell>
          <cell r="F129">
            <v>42739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42768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</row>
        <row r="131">
          <cell r="C131" t="str">
            <v>SUPER BBS COMPUTADORAS, S.A. DE C.V.</v>
          </cell>
          <cell r="D131" t="str">
            <v>SBC0305074W2</v>
          </cell>
          <cell r="E131">
            <v>0</v>
          </cell>
          <cell r="F131">
            <v>42739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42815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</row>
        <row r="133">
          <cell r="C133" t="str">
            <v>GRUPO EDUCATIVO ANGLO AMERICANO SC</v>
          </cell>
          <cell r="D133" t="str">
            <v>GEA860402FF1</v>
          </cell>
          <cell r="E133">
            <v>0</v>
          </cell>
          <cell r="F133">
            <v>42739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C134" t="str">
            <v>Diecinueve Treinta y Seis SA de CV</v>
          </cell>
          <cell r="D134" t="str">
            <v>DTS121126CBA</v>
          </cell>
          <cell r="E134">
            <v>0</v>
          </cell>
          <cell r="F134">
            <v>42739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C135" t="str">
            <v>Galaz, Yamazaki, Ruiz Urquiza, S.C.</v>
          </cell>
          <cell r="D135" t="str">
            <v>GYR880101TL1</v>
          </cell>
          <cell r="E135">
            <v>0</v>
          </cell>
          <cell r="F135">
            <v>42739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C136" t="str">
            <v>CODE INGENIERIA SA DE CV</v>
          </cell>
          <cell r="D136" t="str">
            <v>CIN061010JQ8</v>
          </cell>
          <cell r="E136">
            <v>0</v>
          </cell>
          <cell r="F136">
            <v>42739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C137" t="str">
            <v>BANCO MERCANTIL DEL NORTE SA INSTITUCION DE BANCA MULTIPLE GRUPO FINANCIERO BANORTE</v>
          </cell>
          <cell r="D137" t="str">
            <v>BMN930209927</v>
          </cell>
          <cell r="E137">
            <v>0</v>
          </cell>
          <cell r="F137">
            <v>42740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C138" t="str">
            <v>BANCO MERCANTIL DEL NORTE SA INSTITUCION DE BANCA MULTIPLE GRUPO FINANCIERO BANORTE</v>
          </cell>
          <cell r="D138" t="str">
            <v>BMN930209927</v>
          </cell>
          <cell r="E138">
            <v>0</v>
          </cell>
          <cell r="F138">
            <v>42740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C139" t="str">
            <v>Hector Gonzalez Nava</v>
          </cell>
          <cell r="D139">
            <v>0</v>
          </cell>
          <cell r="E139">
            <v>0</v>
          </cell>
          <cell r="F139">
            <v>42740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C140" t="str">
            <v>GAS DEL LITORAL S DE RL DE CV</v>
          </cell>
          <cell r="D140" t="str">
            <v>GLI030611BG3</v>
          </cell>
          <cell r="E140">
            <v>0</v>
          </cell>
          <cell r="F140">
            <v>42740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C141" t="str">
            <v>EVM ENERGIA DEL VALLE DE MEXICO</v>
          </cell>
          <cell r="D141" t="str">
            <v>EEV1307059C7</v>
          </cell>
          <cell r="E141">
            <v>0</v>
          </cell>
          <cell r="F141">
            <v>42740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C142" t="str">
            <v>EVM ENERGIA DEL VALLE DE MEXICO</v>
          </cell>
          <cell r="D142" t="str">
            <v>EEV1307059C7</v>
          </cell>
          <cell r="E142">
            <v>0</v>
          </cell>
          <cell r="F142">
            <v>42740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C143" t="str">
            <v>B.B. ENERGY (GULF) DMCC</v>
          </cell>
          <cell r="D143" t="str">
            <v>XEXX010101000</v>
          </cell>
          <cell r="E143">
            <v>0</v>
          </cell>
          <cell r="F143">
            <v>42740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C144" t="str">
            <v>TRAFIGURA PTE LTD</v>
          </cell>
          <cell r="D144">
            <v>0</v>
          </cell>
          <cell r="E144">
            <v>0</v>
          </cell>
          <cell r="F144">
            <v>42740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TRAFIGURA PTE LTD</v>
          </cell>
          <cell r="D145">
            <v>0</v>
          </cell>
          <cell r="E145">
            <v>0</v>
          </cell>
          <cell r="F145">
            <v>42740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C146" t="str">
            <v>PMI TRADING LIMITED</v>
          </cell>
          <cell r="D146" t="str">
            <v>PMI9105174FA</v>
          </cell>
          <cell r="E146">
            <v>0</v>
          </cell>
          <cell r="F146">
            <v>42740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C147" t="str">
            <v>CFE150811HZ7</v>
          </cell>
          <cell r="D147">
            <v>0</v>
          </cell>
          <cell r="E147">
            <v>0</v>
          </cell>
          <cell r="F147">
            <v>42741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C148" t="str">
            <v>CFE150811HZ7</v>
          </cell>
          <cell r="D148">
            <v>0</v>
          </cell>
          <cell r="E148">
            <v>0</v>
          </cell>
          <cell r="F148">
            <v>42741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C149" t="str">
            <v>allegro</v>
          </cell>
          <cell r="D149" t="str">
            <v>XEXX010101000</v>
          </cell>
          <cell r="E149">
            <v>0</v>
          </cell>
          <cell r="F149">
            <v>42741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C150" t="str">
            <v>allegro</v>
          </cell>
          <cell r="D150" t="str">
            <v>XEXX010101000</v>
          </cell>
          <cell r="E150">
            <v>0</v>
          </cell>
          <cell r="F150">
            <v>42741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C151" t="str">
            <v>EUGENIO HERRERA TERRAZAS</v>
          </cell>
          <cell r="D151">
            <v>0</v>
          </cell>
          <cell r="E151">
            <v>0</v>
          </cell>
          <cell r="F151">
            <v>42755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C152" t="str">
            <v>AMERICAN EXPRESS</v>
          </cell>
          <cell r="D152" t="str">
            <v>AEC810901298</v>
          </cell>
          <cell r="E152">
            <v>0</v>
          </cell>
          <cell r="F152">
            <v>42755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C153" t="str">
            <v>AMERICAN EXPRESS</v>
          </cell>
          <cell r="D153" t="str">
            <v>AEC810901298</v>
          </cell>
          <cell r="E153">
            <v>0</v>
          </cell>
          <cell r="F153">
            <v>42755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42836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C155" t="str">
            <v>OFFICE DEPOT DE MEXICO SA DE CV</v>
          </cell>
          <cell r="D155" t="str">
            <v>ODM950324V2A</v>
          </cell>
          <cell r="E155">
            <v>0</v>
          </cell>
          <cell r="F155">
            <v>42755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C156" t="str">
            <v>MP SUMINISTROS DEL BAJIO SA DE CV</v>
          </cell>
          <cell r="D156" t="str">
            <v>MSB110325UMA</v>
          </cell>
          <cell r="E156">
            <v>0</v>
          </cell>
          <cell r="F156">
            <v>42755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42768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</row>
        <row r="158">
          <cell r="C158" t="str">
            <v>PEMEX LOGISTICA</v>
          </cell>
          <cell r="D158" t="str">
            <v>PLO151001KT9</v>
          </cell>
          <cell r="E158">
            <v>0</v>
          </cell>
          <cell r="F158">
            <v>42768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42768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</row>
        <row r="160">
          <cell r="C160" t="str">
            <v>Autopolanco SA de CV</v>
          </cell>
          <cell r="D160">
            <v>0</v>
          </cell>
          <cell r="E160">
            <v>0</v>
          </cell>
          <cell r="F160">
            <v>42768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42768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</row>
        <row r="162">
          <cell r="C162" t="str">
            <v>AUTOPOLANCO, SA DE CV</v>
          </cell>
          <cell r="D162" t="str">
            <v>AUT980924GQ4</v>
          </cell>
          <cell r="E162">
            <v>0</v>
          </cell>
          <cell r="F162">
            <v>42768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C163" t="str">
            <v>AEROVIAS DE MEXICO SA DE CV</v>
          </cell>
          <cell r="D163" t="str">
            <v>AME880912I89</v>
          </cell>
          <cell r="E163">
            <v>0</v>
          </cell>
          <cell r="F163">
            <v>42768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42768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</row>
        <row r="165">
          <cell r="C165" t="str">
            <v>Administración Notaría 171 DF, S.C.</v>
          </cell>
          <cell r="D165" t="str">
            <v>ANC100713CL2</v>
          </cell>
          <cell r="E165">
            <v>0</v>
          </cell>
          <cell r="F165">
            <v>42768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42801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</row>
        <row r="167">
          <cell r="C167" t="str">
            <v>CAJAS FUERTES STRONGER S.A. DE C.V.</v>
          </cell>
          <cell r="D167" t="str">
            <v>CFS091020LJ6</v>
          </cell>
          <cell r="E167">
            <v>0</v>
          </cell>
          <cell r="F167">
            <v>42768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42768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</row>
        <row r="169">
          <cell r="C169" t="str">
            <v>SWARZ ASOCIADOS, S.A. DE C.V.</v>
          </cell>
          <cell r="D169" t="str">
            <v>SAS8909267DA</v>
          </cell>
          <cell r="E169">
            <v>0</v>
          </cell>
          <cell r="F169">
            <v>42768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42768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</row>
        <row r="171">
          <cell r="C171" t="str">
            <v>VICTOR RAFAEL AGUILAR MOLINA</v>
          </cell>
          <cell r="D171" t="str">
            <v>AUMV540202GV3</v>
          </cell>
          <cell r="E171">
            <v>0</v>
          </cell>
          <cell r="F171">
            <v>42768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42836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</row>
        <row r="173">
          <cell r="C173" t="str">
            <v>LUZ MARIA MONDRAGON FLORES</v>
          </cell>
          <cell r="D173" t="str">
            <v>MOFL721130LG3</v>
          </cell>
          <cell r="E173">
            <v>0</v>
          </cell>
          <cell r="F173">
            <v>42768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42817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C175" t="str">
            <v>Administradora Jurídica Central, S. C.</v>
          </cell>
          <cell r="D175" t="str">
            <v>AJC1304057M6</v>
          </cell>
          <cell r="E175">
            <v>0</v>
          </cell>
          <cell r="F175">
            <v>42768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42800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</row>
        <row r="177">
          <cell r="C177" t="str">
            <v>KRISPY KREME MEXICO S RL DE CV</v>
          </cell>
          <cell r="D177" t="str">
            <v>KKM0304101S1</v>
          </cell>
          <cell r="E177">
            <v>0</v>
          </cell>
          <cell r="F177">
            <v>42769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C178" t="str">
            <v>RESTAURANTES ADMX S. DE R.L. DE C.V.</v>
          </cell>
          <cell r="D178" t="str">
            <v>RAD161031RK1</v>
          </cell>
          <cell r="E178">
            <v>0</v>
          </cell>
          <cell r="F178">
            <v>42769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C179" t="str">
            <v>OPERADORA Y PROCESADORA DE PRODUCTOS DE PANIFICACION S.A. DE C.V.</v>
          </cell>
          <cell r="D179" t="str">
            <v>OPP010927SA5</v>
          </cell>
          <cell r="E179">
            <v>0</v>
          </cell>
          <cell r="F179">
            <v>42769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C180" t="str">
            <v>SERVICIO 2M SA DE CV</v>
          </cell>
          <cell r="D180" t="str">
            <v>SDM960610J78</v>
          </cell>
          <cell r="E180">
            <v>0</v>
          </cell>
          <cell r="F180">
            <v>42773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C181" t="str">
            <v>RAFAEL DELGADO GONZALEZ</v>
          </cell>
          <cell r="D181" t="str">
            <v>DEGR750602L17</v>
          </cell>
          <cell r="E181">
            <v>0</v>
          </cell>
          <cell r="F181">
            <v>42773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C182" t="str">
            <v>7-ELEVEN MÉXICO, SA DE CV</v>
          </cell>
          <cell r="D182" t="str">
            <v>SEM980701STA</v>
          </cell>
          <cell r="E182">
            <v>0</v>
          </cell>
          <cell r="F182">
            <v>42773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C183" t="str">
            <v>EDUARDO GARCIA AQUINO</v>
          </cell>
          <cell r="D183" t="str">
            <v>GAAE770308GAA</v>
          </cell>
          <cell r="E183">
            <v>0</v>
          </cell>
          <cell r="F183">
            <v>42773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C184" t="str">
            <v>Casanova Rent Volks, S.A. de C.V.</v>
          </cell>
          <cell r="D184" t="str">
            <v>CRV821223DY5</v>
          </cell>
          <cell r="E184">
            <v>0</v>
          </cell>
          <cell r="F184">
            <v>42773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C185" t="str">
            <v>HOME DEPOT MEXICO S. DE R.L. DE C.V.</v>
          </cell>
          <cell r="D185" t="str">
            <v>HDM001017AS1</v>
          </cell>
          <cell r="E185">
            <v>0</v>
          </cell>
          <cell r="F185">
            <v>42773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C186" t="str">
            <v>GRUPO SILVER PHERLY, S.A. DE C.V.</v>
          </cell>
          <cell r="D186" t="str">
            <v>GSP130704C82</v>
          </cell>
          <cell r="E186">
            <v>0</v>
          </cell>
          <cell r="F186">
            <v>42773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C187" t="str">
            <v>ANABEL IBARRA USEDA</v>
          </cell>
          <cell r="D187" t="str">
            <v>IAUA8110058Z3</v>
          </cell>
          <cell r="E187">
            <v>0</v>
          </cell>
          <cell r="F187">
            <v>42773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</row>
        <row r="188">
          <cell r="C188" t="str">
            <v>GRUPO CALPIK DURAZNOS, S.A. DE C.V.</v>
          </cell>
          <cell r="D188" t="str">
            <v>GCD070418CJ7</v>
          </cell>
          <cell r="E188">
            <v>0</v>
          </cell>
          <cell r="F188">
            <v>42773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C189" t="str">
            <v>SERVICIO RIO DE LA PLATA, SA DE CV</v>
          </cell>
          <cell r="D189" t="str">
            <v>SRP9803028K7</v>
          </cell>
          <cell r="E189">
            <v>0</v>
          </cell>
          <cell r="F189">
            <v>42773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C190" t="str">
            <v>SERVICIO MOLIERE S.A. de C.V.</v>
          </cell>
          <cell r="D190" t="str">
            <v>SMO971219SNA</v>
          </cell>
          <cell r="E190">
            <v>0</v>
          </cell>
          <cell r="F190">
            <v>42773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C191" t="str">
            <v>Erya Distribucion SA de CV</v>
          </cell>
          <cell r="D191" t="str">
            <v>EDI150306KU3</v>
          </cell>
          <cell r="E191">
            <v>0</v>
          </cell>
          <cell r="F191">
            <v>42800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42800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</row>
        <row r="193">
          <cell r="C193" t="str">
            <v>Pulsar Tecnomedia SA de CV</v>
          </cell>
          <cell r="D193" t="str">
            <v>PTM151124HT9</v>
          </cell>
          <cell r="E193">
            <v>0</v>
          </cell>
          <cell r="F193">
            <v>42800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42800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</row>
        <row r="195">
          <cell r="C195" t="str">
            <v>Promotora Musical SA de CV</v>
          </cell>
          <cell r="D195" t="str">
            <v>PMU940317114</v>
          </cell>
          <cell r="E195">
            <v>0</v>
          </cell>
          <cell r="F195">
            <v>42800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42800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</row>
        <row r="197">
          <cell r="C197" t="str">
            <v>Juan Bosco Carrillo Servien</v>
          </cell>
          <cell r="D197" t="str">
            <v>CASJ900329E31</v>
          </cell>
          <cell r="E197">
            <v>0</v>
          </cell>
          <cell r="F197">
            <v>42800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</row>
        <row r="198"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42800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</row>
        <row r="199">
          <cell r="C199" t="str">
            <v>Bodegas Personales SA de CV</v>
          </cell>
          <cell r="D199" t="str">
            <v>BPE010216CC7</v>
          </cell>
          <cell r="E199">
            <v>0</v>
          </cell>
          <cell r="F199">
            <v>42801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42801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</row>
        <row r="201">
          <cell r="C201" t="str">
            <v>Comercializadora de Memorias SA de CV</v>
          </cell>
          <cell r="D201" t="str">
            <v>CME090507SE2</v>
          </cell>
          <cell r="E201">
            <v>0</v>
          </cell>
          <cell r="F201">
            <v>42801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</row>
        <row r="202"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42801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</row>
        <row r="203">
          <cell r="C203" t="str">
            <v>Jose Gerardo Garcia Padilla</v>
          </cell>
          <cell r="D203" t="str">
            <v>GAPG640319RD5</v>
          </cell>
          <cell r="E203">
            <v>0</v>
          </cell>
          <cell r="F203">
            <v>42801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42801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</row>
        <row r="205">
          <cell r="C205" t="str">
            <v>Soni Insurgentes SA de CV</v>
          </cell>
          <cell r="D205" t="str">
            <v>SIN100826617</v>
          </cell>
          <cell r="E205">
            <v>0</v>
          </cell>
          <cell r="F205">
            <v>42801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42801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</row>
        <row r="207">
          <cell r="C207" t="str">
            <v>SOLUCIONES MODULARES PARA OFICINA, S.A. DE C.V.</v>
          </cell>
          <cell r="D207" t="str">
            <v>SMO0205021J3</v>
          </cell>
          <cell r="E207">
            <v>0</v>
          </cell>
          <cell r="F207">
            <v>42815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42815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</row>
        <row r="209">
          <cell r="C209" t="str">
            <v>DAVID CALLEROS BAUTISTA</v>
          </cell>
          <cell r="D209" t="str">
            <v>CABD790426987</v>
          </cell>
          <cell r="E209">
            <v>0</v>
          </cell>
          <cell r="F209">
            <v>42815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42815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</row>
        <row r="211">
          <cell r="C211" t="str">
            <v>SALLES SAINZ GRANT THORNTON, S.C.</v>
          </cell>
          <cell r="D211" t="str">
            <v>SSG980506U65</v>
          </cell>
          <cell r="E211">
            <v>0</v>
          </cell>
          <cell r="F211">
            <v>42817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42817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</row>
        <row r="213">
          <cell r="C213" t="str">
            <v>AFIANZADORA SOFIMEX, S.A.</v>
          </cell>
          <cell r="D213" t="str">
            <v>ASG950531ID1</v>
          </cell>
          <cell r="E213">
            <v>0</v>
          </cell>
          <cell r="F213">
            <v>42837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42837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</row>
        <row r="215">
          <cell r="C215" t="str">
            <v>OPERADORA HOTEL CENTRO HISTORICO S DE RL DE CV</v>
          </cell>
          <cell r="D215" t="str">
            <v>OHC080924AV5</v>
          </cell>
          <cell r="E215">
            <v>0</v>
          </cell>
          <cell r="F215">
            <v>42843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C216" t="str">
            <v>MAXI COPIAS, S.A DE C.V.</v>
          </cell>
          <cell r="D216" t="str">
            <v>MCO9708299Y8</v>
          </cell>
          <cell r="E216">
            <v>0</v>
          </cell>
          <cell r="F216">
            <v>42843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42846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</row>
        <row r="218">
          <cell r="C218" t="str">
            <v>ESPECIALISTA EN ESTACIONAMIENTO DE VEHICULOS 10 S.A DE C.V.</v>
          </cell>
          <cell r="D218" t="str">
            <v>EEV1604111I2</v>
          </cell>
          <cell r="E218">
            <v>0</v>
          </cell>
          <cell r="F218">
            <v>42843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42879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</row>
        <row r="220">
          <cell r="C220" t="str">
            <v>Teledesic Broadband Networks SA de CV</v>
          </cell>
          <cell r="D220" t="str">
            <v>TBN040609RKA</v>
          </cell>
          <cell r="E220">
            <v>0</v>
          </cell>
          <cell r="F220">
            <v>42843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C221" t="str">
            <v>Teledesic Broadband Networks SA de CV</v>
          </cell>
          <cell r="D221" t="str">
            <v>TBN040609RKA</v>
          </cell>
          <cell r="E221">
            <v>0</v>
          </cell>
          <cell r="F221">
            <v>42843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C222" t="str">
            <v>FRUKTUS INNOVACION, S.A. DE C.V.</v>
          </cell>
          <cell r="D222" t="str">
            <v>FIN131107R90</v>
          </cell>
          <cell r="E222">
            <v>0</v>
          </cell>
          <cell r="F222">
            <v>42843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C223" t="str">
            <v>Sistemas Empresariales Dabo S.A. de C.V.</v>
          </cell>
          <cell r="D223" t="str">
            <v>SED881215J89</v>
          </cell>
          <cell r="E223">
            <v>0</v>
          </cell>
          <cell r="F223">
            <v>42843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C224" t="str">
            <v>KRH CONSULTING, S.A. DE C.V.</v>
          </cell>
          <cell r="D224" t="str">
            <v>KCO100414HE7</v>
          </cell>
          <cell r="E224">
            <v>0</v>
          </cell>
          <cell r="F224">
            <v>42843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C225" t="str">
            <v>CIBANCO, S.A. INSTITUCION DE BANCA MULTIPLE</v>
          </cell>
          <cell r="D225" t="str">
            <v>BNY080206UR9</v>
          </cell>
          <cell r="E225">
            <v>0</v>
          </cell>
          <cell r="F225">
            <v>42843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C226" t="str">
            <v>PEDRO TORRE CASTILLO</v>
          </cell>
          <cell r="D226" t="str">
            <v>TOCP780829J55</v>
          </cell>
          <cell r="E226">
            <v>0</v>
          </cell>
          <cell r="F226">
            <v>42843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C227" t="str">
            <v>HUMBERTO ALEJANDRO VIRGUEZ ACEVEDO</v>
          </cell>
          <cell r="D227" t="str">
            <v>VIAH8508315F8</v>
          </cell>
          <cell r="E227">
            <v>0</v>
          </cell>
          <cell r="F227">
            <v>42843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C228" t="str">
            <v>CESAR ISRAEL TORRES AYALA</v>
          </cell>
          <cell r="D228" t="str">
            <v>TOAC770628VB8</v>
          </cell>
          <cell r="E228">
            <v>0</v>
          </cell>
          <cell r="F228">
            <v>42843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C229" t="str">
            <v>AMERICAN AIRLINES, INC.</v>
          </cell>
          <cell r="D229" t="str">
            <v>AAI580414GA9</v>
          </cell>
          <cell r="E229">
            <v>0</v>
          </cell>
          <cell r="F229">
            <v>42843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C230" t="str">
            <v xml:space="preserve">DELL MEXICO S.A. DE C.V </v>
          </cell>
          <cell r="D230" t="str">
            <v>DME9204099R6</v>
          </cell>
          <cell r="E230">
            <v>0</v>
          </cell>
          <cell r="F230">
            <v>42843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</row>
        <row r="231">
          <cell r="C231" t="str">
            <v>GUILLERMO TURRENT</v>
          </cell>
          <cell r="D231">
            <v>0</v>
          </cell>
          <cell r="E231">
            <v>0</v>
          </cell>
          <cell r="F231">
            <v>42914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</row>
        <row r="232">
          <cell r="C232" t="str">
            <v>GUILLERMO TURRENT</v>
          </cell>
          <cell r="D232">
            <v>0</v>
          </cell>
          <cell r="E232">
            <v>0</v>
          </cell>
          <cell r="F232">
            <v>42914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</row>
        <row r="233">
          <cell r="C233" t="str">
            <v>CFE GENERACION I EPS</v>
          </cell>
          <cell r="D233" t="str">
            <v>CGI160330CW4</v>
          </cell>
          <cell r="E233">
            <v>0</v>
          </cell>
          <cell r="F233">
            <v>42919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</row>
        <row r="234">
          <cell r="C234" t="str">
            <v>CFE GENERACION I EPS</v>
          </cell>
          <cell r="D234" t="str">
            <v>CGI160330CW4</v>
          </cell>
          <cell r="E234">
            <v>0</v>
          </cell>
          <cell r="F234">
            <v>42919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C235" t="str">
            <v>CFE GENERACION II EPS</v>
          </cell>
          <cell r="D235" t="str">
            <v>CGI160330KL4</v>
          </cell>
          <cell r="E235">
            <v>0</v>
          </cell>
          <cell r="F235">
            <v>42919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C236" t="str">
            <v>CFE GENERACION II EPS</v>
          </cell>
          <cell r="D236" t="str">
            <v>CGI160330KL4</v>
          </cell>
          <cell r="E236">
            <v>0</v>
          </cell>
          <cell r="F236">
            <v>42919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C237" t="str">
            <v>CFE GENERACION III EPS</v>
          </cell>
          <cell r="D237" t="str">
            <v>CGI160330TB5</v>
          </cell>
          <cell r="E237">
            <v>0</v>
          </cell>
          <cell r="F237">
            <v>42919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C238" t="str">
            <v>CFE GENERACION III EPS</v>
          </cell>
          <cell r="D238" t="str">
            <v>CGI160330TB5</v>
          </cell>
          <cell r="E238">
            <v>0</v>
          </cell>
          <cell r="F238">
            <v>42919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C239" t="str">
            <v>CFE GENERACION IV EPS</v>
          </cell>
          <cell r="D239" t="str">
            <v>CGI160330R94</v>
          </cell>
          <cell r="E239">
            <v>0</v>
          </cell>
          <cell r="F239">
            <v>42919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</row>
        <row r="240">
          <cell r="C240" t="str">
            <v>CFE GENERACION IV EPS</v>
          </cell>
          <cell r="D240" t="str">
            <v>CGI160330R94</v>
          </cell>
          <cell r="E240">
            <v>0</v>
          </cell>
          <cell r="F240">
            <v>42919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</row>
        <row r="241">
          <cell r="C241" t="str">
            <v>CFE GENERACION VI EPS</v>
          </cell>
          <cell r="D241" t="str">
            <v>CGV160330JS5</v>
          </cell>
          <cell r="E241">
            <v>0</v>
          </cell>
          <cell r="F241">
            <v>42919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</row>
        <row r="242">
          <cell r="C242" t="str">
            <v>CFE GENERACION VI EPS</v>
          </cell>
          <cell r="D242" t="str">
            <v>CGV160330JS5</v>
          </cell>
          <cell r="E242">
            <v>0</v>
          </cell>
          <cell r="F242">
            <v>42919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</row>
        <row r="243">
          <cell r="C243" t="str">
            <v>C&amp;E AGENTES ADUANALES, S.A. DE C.V.</v>
          </cell>
          <cell r="D243" t="str">
            <v>C&amp;A010417QS6</v>
          </cell>
          <cell r="E243">
            <v>0</v>
          </cell>
          <cell r="F243">
            <v>42919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</row>
        <row r="244">
          <cell r="C244" t="str">
            <v>C&amp;E AGENTES ADUANALES, S.A. DE C.V.</v>
          </cell>
          <cell r="D244" t="str">
            <v>C&amp;A010417QS6</v>
          </cell>
          <cell r="E244">
            <v>0</v>
          </cell>
          <cell r="F244">
            <v>42919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</row>
        <row r="245">
          <cell r="C245" t="str">
            <v>GS CORPORACION ADUANAL SC</v>
          </cell>
          <cell r="D245" t="str">
            <v>GCA090226NE4</v>
          </cell>
          <cell r="E245">
            <v>0</v>
          </cell>
          <cell r="F245">
            <v>42919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</row>
        <row r="246">
          <cell r="C246" t="str">
            <v>GS CORPORACION ADUANAL SC</v>
          </cell>
          <cell r="D246" t="str">
            <v>GCA090226NE4</v>
          </cell>
          <cell r="E246">
            <v>0</v>
          </cell>
          <cell r="F246">
            <v>42919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</row>
        <row r="247">
          <cell r="C247" t="str">
            <v>SELLOS SOMEC</v>
          </cell>
          <cell r="D247" t="str">
            <v>JUVR5702233A4</v>
          </cell>
          <cell r="E247">
            <v>0</v>
          </cell>
          <cell r="F247">
            <v>42919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</row>
        <row r="248">
          <cell r="C248" t="str">
            <v>SELLOS SOMEC</v>
          </cell>
          <cell r="D248" t="str">
            <v>JUVR5702233A4</v>
          </cell>
          <cell r="E248">
            <v>0</v>
          </cell>
          <cell r="F248">
            <v>42919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</row>
        <row r="249">
          <cell r="C249" t="str">
            <v>GRUPO COVIA SA DE CV</v>
          </cell>
          <cell r="D249" t="str">
            <v>GCO150216DJA</v>
          </cell>
          <cell r="E249">
            <v>0</v>
          </cell>
          <cell r="F249">
            <v>42919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</row>
        <row r="250">
          <cell r="C250" t="str">
            <v>GRUPO COVIA SA DE CV</v>
          </cell>
          <cell r="D250" t="str">
            <v>GCO150216DJA</v>
          </cell>
          <cell r="E250">
            <v>0</v>
          </cell>
          <cell r="F250">
            <v>42919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</row>
        <row r="251">
          <cell r="C251" t="str">
            <v>GRUPO ADUANERO PENINSULAR SCP</v>
          </cell>
          <cell r="D251" t="str">
            <v>GAP0109179B1</v>
          </cell>
          <cell r="E251">
            <v>0</v>
          </cell>
          <cell r="F251">
            <v>42919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</row>
        <row r="252">
          <cell r="C252" t="str">
            <v>GRUPO ADUANERO PENINSULAR SCP</v>
          </cell>
          <cell r="D252" t="str">
            <v>GAP0109179B1</v>
          </cell>
          <cell r="E252">
            <v>0</v>
          </cell>
          <cell r="F252">
            <v>42919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</row>
        <row r="253">
          <cell r="C253" t="str">
            <v>EDICIONES FISCALES ISEF SA</v>
          </cell>
          <cell r="D253" t="str">
            <v>EFI810313MB2</v>
          </cell>
          <cell r="E253">
            <v>0</v>
          </cell>
          <cell r="F253">
            <v>42919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</row>
        <row r="254">
          <cell r="C254" t="str">
            <v>EDICIONES FISCALES ISEF SA</v>
          </cell>
          <cell r="D254" t="str">
            <v>EFI810313MB2</v>
          </cell>
          <cell r="E254">
            <v>0</v>
          </cell>
          <cell r="F254">
            <v>42919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</row>
        <row r="255">
          <cell r="C255" t="str">
            <v>AGENTES ADUANALES ARJO SA DE CV</v>
          </cell>
          <cell r="D255" t="str">
            <v>AAA950914AC6</v>
          </cell>
          <cell r="E255">
            <v>0</v>
          </cell>
          <cell r="F255">
            <v>42919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</row>
        <row r="256">
          <cell r="C256" t="str">
            <v>AGENTES ADUANALES ARJO SA DE CV</v>
          </cell>
          <cell r="D256" t="str">
            <v>AAA950914AC6</v>
          </cell>
          <cell r="E256">
            <v>0</v>
          </cell>
          <cell r="F256">
            <v>42919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</row>
        <row r="257">
          <cell r="C257" t="str">
            <v>CREDIX GS SA DE CV SOFOM ENR CDX 964 GRINNAV</v>
          </cell>
          <cell r="D257" t="str">
            <v>GRI130315IPA</v>
          </cell>
          <cell r="E257">
            <v>0</v>
          </cell>
          <cell r="F257">
            <v>42919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</row>
        <row r="258">
          <cell r="C258" t="str">
            <v>CREDIX GS SA DE CV SOFOM ENR CDX 964 GRINNAV</v>
          </cell>
          <cell r="D258" t="str">
            <v>GRI130315IPA</v>
          </cell>
          <cell r="E258">
            <v>0</v>
          </cell>
          <cell r="F258">
            <v>42919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C259" t="str">
            <v>JUAN MATEOS CRUZ</v>
          </cell>
          <cell r="D259" t="str">
            <v>MACJ810918HS4</v>
          </cell>
          <cell r="E259">
            <v>0</v>
          </cell>
          <cell r="F259">
            <v>42920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</row>
        <row r="260">
          <cell r="C260" t="str">
            <v>JUAN MATEOS CRUZ</v>
          </cell>
          <cell r="D260" t="str">
            <v>MACJ810918HS4</v>
          </cell>
          <cell r="E260">
            <v>0</v>
          </cell>
          <cell r="F260">
            <v>42920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</row>
        <row r="261">
          <cell r="C261" t="str">
            <v>CHENIERE MARKETING INTERNATIONAL LLP</v>
          </cell>
          <cell r="D261">
            <v>0</v>
          </cell>
          <cell r="E261">
            <v>0</v>
          </cell>
          <cell r="F261">
            <v>42921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</row>
        <row r="262">
          <cell r="C262" t="str">
            <v>CHENIERE MARKETING INTERNATIONAL LLP</v>
          </cell>
          <cell r="D262">
            <v>0</v>
          </cell>
          <cell r="E262">
            <v>0</v>
          </cell>
          <cell r="F262">
            <v>42921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</row>
        <row r="263">
          <cell r="C263" t="str">
            <v>GAS NATURAL FENOSA LNG MKT</v>
          </cell>
          <cell r="D263">
            <v>0</v>
          </cell>
          <cell r="E263">
            <v>0</v>
          </cell>
          <cell r="F263">
            <v>42921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</row>
        <row r="264">
          <cell r="C264" t="str">
            <v>GAS NATURAL FENOSA LNG MKT</v>
          </cell>
          <cell r="D264">
            <v>0</v>
          </cell>
          <cell r="E264">
            <v>0</v>
          </cell>
          <cell r="F264">
            <v>42921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</row>
        <row r="265">
          <cell r="C265" t="str">
            <v>VITOL INC</v>
          </cell>
          <cell r="D265">
            <v>0</v>
          </cell>
          <cell r="E265">
            <v>0</v>
          </cell>
          <cell r="F265">
            <v>42921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</row>
        <row r="266">
          <cell r="C266" t="str">
            <v>VITOL INC</v>
          </cell>
          <cell r="D266">
            <v>0</v>
          </cell>
          <cell r="E266">
            <v>0</v>
          </cell>
          <cell r="F266">
            <v>42921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</row>
        <row r="267">
          <cell r="C267" t="str">
            <v>TRANSPARENCIA MEXICANA AC</v>
          </cell>
          <cell r="D267" t="str">
            <v>TME990513J64</v>
          </cell>
          <cell r="E267">
            <v>0</v>
          </cell>
          <cell r="F267">
            <v>42921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</row>
        <row r="268">
          <cell r="C268" t="str">
            <v>TRANSPARENCIA MEXICANA AC</v>
          </cell>
          <cell r="D268" t="str">
            <v>TME990513J64</v>
          </cell>
          <cell r="E268">
            <v>0</v>
          </cell>
          <cell r="F268">
            <v>42921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C269" t="str">
            <v>JOSE ADAN MELENDEZ AVALOS</v>
          </cell>
          <cell r="D269" t="str">
            <v>MEAA8608125A0</v>
          </cell>
          <cell r="E269">
            <v>0</v>
          </cell>
          <cell r="F269">
            <v>42921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C270" t="str">
            <v>JOSE ADAN MELENDEZ AVALOS</v>
          </cell>
          <cell r="D270" t="str">
            <v>MEAA8608125A0</v>
          </cell>
          <cell r="E270">
            <v>0</v>
          </cell>
          <cell r="F270">
            <v>42921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</row>
        <row r="271">
          <cell r="C271" t="str">
            <v>TRANSPORTE YUCARRO SA DE CV</v>
          </cell>
          <cell r="D271" t="str">
            <v>TYU9304131F1</v>
          </cell>
          <cell r="E271">
            <v>0</v>
          </cell>
          <cell r="F271">
            <v>42921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</row>
        <row r="272">
          <cell r="C272" t="str">
            <v>TRANSPORTE YUCARRO SA DE CV</v>
          </cell>
          <cell r="D272" t="str">
            <v>TYU9304131F1</v>
          </cell>
          <cell r="E272">
            <v>0</v>
          </cell>
          <cell r="F272">
            <v>42921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</row>
        <row r="273">
          <cell r="C273" t="str">
            <v>ASOCIACION DE COMERCIALIZADORA DE ENERGIA AC</v>
          </cell>
          <cell r="D273" t="str">
            <v>ACE170123NC8</v>
          </cell>
          <cell r="E273">
            <v>0</v>
          </cell>
          <cell r="F273">
            <v>42921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</row>
        <row r="274">
          <cell r="C274" t="str">
            <v>ASOCIACION DE COMERCIALIZADORA DE ENERGIA AC</v>
          </cell>
          <cell r="D274" t="str">
            <v>ACE170123NC8</v>
          </cell>
          <cell r="E274">
            <v>0</v>
          </cell>
          <cell r="F274">
            <v>42921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</row>
        <row r="275">
          <cell r="C275" t="str">
            <v xml:space="preserve"> RICARDO ELIZONDO GUAJARDO</v>
          </cell>
          <cell r="D275" t="str">
            <v>EIGR641120K94</v>
          </cell>
          <cell r="E275">
            <v>0</v>
          </cell>
          <cell r="F275">
            <v>42921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</row>
        <row r="276">
          <cell r="C276" t="str">
            <v xml:space="preserve"> RICARDO ELIZONDO GUAJARDO</v>
          </cell>
          <cell r="D276" t="str">
            <v>EIGR641120K94</v>
          </cell>
          <cell r="E276">
            <v>0</v>
          </cell>
          <cell r="F276">
            <v>42921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</row>
        <row r="277">
          <cell r="C277" t="str">
            <v>ENSTREAM DE S DE RL DE CV</v>
          </cell>
          <cell r="D277" t="str">
            <v>ENS160920BV9</v>
          </cell>
          <cell r="E277">
            <v>0</v>
          </cell>
          <cell r="F277">
            <v>42921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</row>
        <row r="278">
          <cell r="C278" t="str">
            <v>ENSTREAM DE S DE RL DE CV</v>
          </cell>
          <cell r="D278" t="str">
            <v>ENS160920BV9</v>
          </cell>
          <cell r="E278">
            <v>0</v>
          </cell>
          <cell r="F278">
            <v>42921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</row>
        <row r="279">
          <cell r="C279" t="str">
            <v>SALAS VILLAGOMEZ Y ASOCIADOS</v>
          </cell>
          <cell r="D279" t="str">
            <v>SVA990403691</v>
          </cell>
          <cell r="E279">
            <v>0</v>
          </cell>
          <cell r="F279">
            <v>42921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</row>
        <row r="280">
          <cell r="C280" t="str">
            <v>SALAS VILLAGOMEZ Y ASOCIADOS</v>
          </cell>
          <cell r="D280" t="str">
            <v>SVA990403691</v>
          </cell>
          <cell r="E280">
            <v>0</v>
          </cell>
          <cell r="F280">
            <v>42921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"/>
      <sheetName val="Bza mes act"/>
      <sheetName val="Nota Ingresos y Costos"/>
      <sheetName val="Bza mes ant"/>
      <sheetName val="Bza mes Nov 16"/>
      <sheetName val="Hoja1"/>
      <sheetName val="Balance"/>
      <sheetName val="Resultados"/>
      <sheetName val="Variaciones"/>
      <sheetName val="Flujos"/>
      <sheetName val="Ingresos terceros-estimaciones"/>
      <sheetName val="Dev, desc 402"/>
      <sheetName val="Operaciones Interco Package"/>
      <sheetName val="Costo de Ventas"/>
      <sheetName val="Ingresos Report Package"/>
      <sheetName val="Compras Jul-Nov"/>
      <sheetName val="Notas 1-3"/>
      <sheetName val="Nota 4-5"/>
      <sheetName val="Nota 6-15"/>
      <sheetName val="Posicion en Moneda Extranjera"/>
      <sheetName val="Notas gráficas"/>
    </sheetNames>
    <sheetDataSet>
      <sheetData sheetId="0"/>
      <sheetData sheetId="1">
        <row r="8">
          <cell r="D8">
            <v>0</v>
          </cell>
          <cell r="O8">
            <v>0</v>
          </cell>
        </row>
        <row r="9">
          <cell r="D9">
            <v>0</v>
          </cell>
          <cell r="O9">
            <v>0</v>
          </cell>
        </row>
        <row r="10">
          <cell r="D10">
            <v>0</v>
          </cell>
          <cell r="O10">
            <v>0</v>
          </cell>
        </row>
        <row r="11">
          <cell r="D11" t="str">
            <v>101-01-000</v>
          </cell>
          <cell r="O11">
            <v>29070.25</v>
          </cell>
        </row>
        <row r="12">
          <cell r="D12">
            <v>0</v>
          </cell>
          <cell r="O12">
            <v>0</v>
          </cell>
        </row>
        <row r="13">
          <cell r="D13">
            <v>0</v>
          </cell>
          <cell r="O13">
            <v>0</v>
          </cell>
        </row>
        <row r="14">
          <cell r="D14" t="str">
            <v>102-01-001</v>
          </cell>
          <cell r="O14">
            <v>4849673.34</v>
          </cell>
        </row>
        <row r="15">
          <cell r="D15" t="str">
            <v>102-01-002</v>
          </cell>
          <cell r="O15">
            <v>352927086.32999998</v>
          </cell>
        </row>
        <row r="16">
          <cell r="D16" t="str">
            <v>102-01-003</v>
          </cell>
          <cell r="O16">
            <v>30363.11</v>
          </cell>
        </row>
        <row r="17">
          <cell r="D17" t="str">
            <v>102-01-004</v>
          </cell>
          <cell r="O17">
            <v>4486664.92</v>
          </cell>
        </row>
        <row r="18">
          <cell r="D18" t="str">
            <v>102-01-005</v>
          </cell>
          <cell r="O18">
            <v>1051.8599999999999</v>
          </cell>
        </row>
        <row r="19">
          <cell r="D19" t="str">
            <v>102-01-006</v>
          </cell>
          <cell r="O19">
            <v>75773.25</v>
          </cell>
        </row>
        <row r="20">
          <cell r="D20" t="str">
            <v>102-01-007</v>
          </cell>
          <cell r="O20">
            <v>38054.239999999998</v>
          </cell>
        </row>
        <row r="21">
          <cell r="D21">
            <v>0</v>
          </cell>
          <cell r="O21">
            <v>0</v>
          </cell>
        </row>
        <row r="22">
          <cell r="D22">
            <v>0</v>
          </cell>
          <cell r="O22">
            <v>0</v>
          </cell>
        </row>
        <row r="23">
          <cell r="D23" t="str">
            <v>103-01-001</v>
          </cell>
          <cell r="O23">
            <v>561000000</v>
          </cell>
        </row>
        <row r="24">
          <cell r="D24">
            <v>0</v>
          </cell>
          <cell r="O24">
            <v>0</v>
          </cell>
        </row>
        <row r="25">
          <cell r="D25">
            <v>0</v>
          </cell>
          <cell r="O25">
            <v>0</v>
          </cell>
        </row>
        <row r="26">
          <cell r="D26" t="str">
            <v>105-01-002</v>
          </cell>
          <cell r="O26">
            <v>52103847.759999998</v>
          </cell>
        </row>
        <row r="27">
          <cell r="D27" t="str">
            <v>105-01-004</v>
          </cell>
          <cell r="O27">
            <v>10915807.74</v>
          </cell>
        </row>
        <row r="28">
          <cell r="D28" t="str">
            <v>105-01-005</v>
          </cell>
          <cell r="O28">
            <v>67322823.769999996</v>
          </cell>
        </row>
        <row r="29">
          <cell r="D29" t="str">
            <v>105-01-007</v>
          </cell>
          <cell r="O29">
            <v>145390536.47999999</v>
          </cell>
        </row>
        <row r="30">
          <cell r="D30" t="str">
            <v>105-01-009</v>
          </cell>
          <cell r="O30">
            <v>9522280.4000000004</v>
          </cell>
        </row>
        <row r="31">
          <cell r="D31" t="str">
            <v>105-01-012</v>
          </cell>
          <cell r="O31">
            <v>5468018.4800000004</v>
          </cell>
        </row>
        <row r="32">
          <cell r="D32" t="str">
            <v>105-01-013</v>
          </cell>
          <cell r="O32">
            <v>14044615.189999999</v>
          </cell>
        </row>
        <row r="33">
          <cell r="D33" t="str">
            <v>105-01-014</v>
          </cell>
          <cell r="O33">
            <v>0</v>
          </cell>
        </row>
        <row r="34">
          <cell r="D34" t="str">
            <v>105-01-016</v>
          </cell>
          <cell r="O34">
            <v>5025720.3899999997</v>
          </cell>
        </row>
        <row r="35">
          <cell r="D35" t="str">
            <v>105-01-019</v>
          </cell>
          <cell r="O35">
            <v>371.7</v>
          </cell>
        </row>
        <row r="36">
          <cell r="D36" t="str">
            <v>105-01-021</v>
          </cell>
          <cell r="O36">
            <v>7255791.0099999998</v>
          </cell>
        </row>
        <row r="37">
          <cell r="D37" t="str">
            <v>105-01-027</v>
          </cell>
          <cell r="O37">
            <v>16544554.710000001</v>
          </cell>
        </row>
        <row r="38">
          <cell r="D38" t="str">
            <v>105-01-029</v>
          </cell>
          <cell r="O38">
            <v>0</v>
          </cell>
        </row>
        <row r="39">
          <cell r="D39" t="str">
            <v>105-01-030</v>
          </cell>
          <cell r="O39">
            <v>0</v>
          </cell>
        </row>
        <row r="40">
          <cell r="D40" t="str">
            <v>105-01-031</v>
          </cell>
          <cell r="O40">
            <v>29531403.859999999</v>
          </cell>
        </row>
        <row r="41">
          <cell r="D41" t="str">
            <v>105-01-032</v>
          </cell>
          <cell r="O41">
            <v>222022128.88</v>
          </cell>
        </row>
        <row r="42">
          <cell r="D42" t="str">
            <v>105-01-033</v>
          </cell>
          <cell r="O42">
            <v>82889.14</v>
          </cell>
        </row>
        <row r="43">
          <cell r="D43" t="str">
            <v>105-01-035</v>
          </cell>
          <cell r="O43">
            <v>317098724.13999999</v>
          </cell>
        </row>
        <row r="44">
          <cell r="D44" t="str">
            <v>105-01-036</v>
          </cell>
          <cell r="O44">
            <v>329160773.10000002</v>
          </cell>
        </row>
        <row r="45">
          <cell r="D45" t="str">
            <v>105-01-037</v>
          </cell>
          <cell r="O45">
            <v>0</v>
          </cell>
        </row>
        <row r="46">
          <cell r="D46">
            <v>0</v>
          </cell>
          <cell r="O46">
            <v>0</v>
          </cell>
        </row>
        <row r="47">
          <cell r="D47" t="str">
            <v>105-02-005</v>
          </cell>
          <cell r="O47">
            <v>349304708.47000003</v>
          </cell>
        </row>
        <row r="48">
          <cell r="D48" t="str">
            <v>105-02-006</v>
          </cell>
          <cell r="O48">
            <v>521782773.69999999</v>
          </cell>
        </row>
        <row r="49">
          <cell r="D49">
            <v>0</v>
          </cell>
          <cell r="O49">
            <v>0</v>
          </cell>
        </row>
        <row r="50">
          <cell r="D50" t="str">
            <v>105-03-001</v>
          </cell>
          <cell r="O50">
            <v>0</v>
          </cell>
        </row>
        <row r="51">
          <cell r="D51" t="str">
            <v>105-03-004</v>
          </cell>
          <cell r="O51">
            <v>385942.75</v>
          </cell>
        </row>
        <row r="52">
          <cell r="D52" t="str">
            <v>105-03-008</v>
          </cell>
          <cell r="O52">
            <v>114454120.84999999</v>
          </cell>
        </row>
        <row r="53">
          <cell r="D53">
            <v>0</v>
          </cell>
          <cell r="O53">
            <v>0</v>
          </cell>
        </row>
        <row r="54">
          <cell r="D54" t="str">
            <v>105-80-001</v>
          </cell>
          <cell r="O54">
            <v>657827765.84000003</v>
          </cell>
        </row>
        <row r="55">
          <cell r="D55" t="str">
            <v>105-80-002</v>
          </cell>
          <cell r="O55">
            <v>89685449.890000001</v>
          </cell>
        </row>
        <row r="56">
          <cell r="D56" t="str">
            <v>105-80-004</v>
          </cell>
          <cell r="O56">
            <v>215898755.59999999</v>
          </cell>
        </row>
        <row r="57">
          <cell r="D57" t="str">
            <v>105-80-005</v>
          </cell>
          <cell r="O57">
            <v>2587204659.1199999</v>
          </cell>
        </row>
        <row r="58">
          <cell r="D58">
            <v>0</v>
          </cell>
          <cell r="O58">
            <v>0</v>
          </cell>
        </row>
        <row r="59">
          <cell r="D59" t="str">
            <v>105-81-001</v>
          </cell>
          <cell r="O59">
            <v>0</v>
          </cell>
        </row>
        <row r="60">
          <cell r="D60" t="str">
            <v>105-81-002</v>
          </cell>
          <cell r="O60">
            <v>0</v>
          </cell>
        </row>
        <row r="61">
          <cell r="D61" t="str">
            <v>105-81-004</v>
          </cell>
          <cell r="O61">
            <v>0</v>
          </cell>
        </row>
        <row r="62">
          <cell r="D62" t="str">
            <v>105-81-005</v>
          </cell>
          <cell r="O62">
            <v>1942592024.3699999</v>
          </cell>
        </row>
        <row r="63">
          <cell r="D63">
            <v>0</v>
          </cell>
          <cell r="O63">
            <v>0</v>
          </cell>
        </row>
        <row r="64">
          <cell r="D64" t="str">
            <v>105-82-001</v>
          </cell>
          <cell r="O64">
            <v>53673719.159999996</v>
          </cell>
        </row>
        <row r="65">
          <cell r="D65" t="str">
            <v>105-82-002</v>
          </cell>
          <cell r="O65">
            <v>320299361.16000003</v>
          </cell>
        </row>
        <row r="66">
          <cell r="D66" t="str">
            <v>105-82-004</v>
          </cell>
          <cell r="O66">
            <v>1168678958.24</v>
          </cell>
        </row>
        <row r="67">
          <cell r="D67" t="str">
            <v>105-82-005</v>
          </cell>
          <cell r="O67">
            <v>2428798245.8600001</v>
          </cell>
        </row>
        <row r="68">
          <cell r="D68">
            <v>0</v>
          </cell>
          <cell r="O68">
            <v>0</v>
          </cell>
        </row>
        <row r="69">
          <cell r="D69" t="str">
            <v>105-83-001</v>
          </cell>
          <cell r="O69">
            <v>0.01</v>
          </cell>
        </row>
        <row r="70">
          <cell r="D70" t="str">
            <v>105-83-002</v>
          </cell>
          <cell r="O70">
            <v>4756647.54</v>
          </cell>
        </row>
        <row r="71">
          <cell r="D71" t="str">
            <v>105-83-003</v>
          </cell>
          <cell r="O71">
            <v>239859389.59</v>
          </cell>
        </row>
        <row r="72">
          <cell r="D72" t="str">
            <v>105-83-004</v>
          </cell>
          <cell r="O72">
            <v>0</v>
          </cell>
        </row>
        <row r="73">
          <cell r="D73" t="str">
            <v>105-83-005</v>
          </cell>
          <cell r="O73">
            <v>1293101895.74</v>
          </cell>
        </row>
        <row r="74">
          <cell r="D74">
            <v>0</v>
          </cell>
          <cell r="O74">
            <v>0</v>
          </cell>
        </row>
        <row r="75">
          <cell r="D75" t="str">
            <v>105-85-001</v>
          </cell>
          <cell r="O75">
            <v>0.01</v>
          </cell>
        </row>
        <row r="76">
          <cell r="D76" t="str">
            <v>105-85-002</v>
          </cell>
          <cell r="O76">
            <v>0</v>
          </cell>
        </row>
        <row r="77">
          <cell r="D77" t="str">
            <v>105-85-004</v>
          </cell>
          <cell r="O77">
            <v>0</v>
          </cell>
        </row>
        <row r="78">
          <cell r="D78" t="str">
            <v>105-85-005</v>
          </cell>
          <cell r="O78">
            <v>1447550084.73</v>
          </cell>
        </row>
        <row r="79">
          <cell r="D79" t="str">
            <v>105-85-006</v>
          </cell>
          <cell r="O79">
            <v>0</v>
          </cell>
        </row>
        <row r="80">
          <cell r="D80" t="str">
            <v>105-85-007</v>
          </cell>
          <cell r="O80">
            <v>0</v>
          </cell>
        </row>
        <row r="81">
          <cell r="D81">
            <v>0</v>
          </cell>
          <cell r="O81">
            <v>0</v>
          </cell>
        </row>
        <row r="82">
          <cell r="D82" t="str">
            <v>105-86-001</v>
          </cell>
          <cell r="O82">
            <v>2974078902.5100002</v>
          </cell>
        </row>
        <row r="83">
          <cell r="D83" t="str">
            <v>105-86-004</v>
          </cell>
          <cell r="O83">
            <v>869022025.30999994</v>
          </cell>
        </row>
        <row r="84">
          <cell r="D84" t="str">
            <v>105-86-005</v>
          </cell>
          <cell r="O84">
            <v>2763561903.79</v>
          </cell>
        </row>
        <row r="85">
          <cell r="D85">
            <v>0</v>
          </cell>
          <cell r="O85">
            <v>0</v>
          </cell>
        </row>
        <row r="86">
          <cell r="D86" t="str">
            <v>105-87-001</v>
          </cell>
          <cell r="O86">
            <v>538383.43999999994</v>
          </cell>
        </row>
        <row r="87">
          <cell r="D87" t="str">
            <v>105-87-002</v>
          </cell>
          <cell r="O87">
            <v>3711622.26</v>
          </cell>
        </row>
        <row r="88">
          <cell r="D88" t="str">
            <v>105-87-003</v>
          </cell>
          <cell r="O88">
            <v>0</v>
          </cell>
        </row>
        <row r="89">
          <cell r="D89">
            <v>0</v>
          </cell>
          <cell r="O89">
            <v>0</v>
          </cell>
        </row>
        <row r="90">
          <cell r="D90" t="str">
            <v>107-03-000</v>
          </cell>
          <cell r="O90">
            <v>0</v>
          </cell>
        </row>
        <row r="91">
          <cell r="D91">
            <v>0</v>
          </cell>
          <cell r="O91">
            <v>0</v>
          </cell>
        </row>
        <row r="92">
          <cell r="D92" t="str">
            <v>107-05-001</v>
          </cell>
          <cell r="O92">
            <v>90</v>
          </cell>
        </row>
        <row r="93">
          <cell r="D93" t="str">
            <v>107-05-002</v>
          </cell>
          <cell r="O93">
            <v>133.91999999999999</v>
          </cell>
        </row>
        <row r="94">
          <cell r="D94" t="str">
            <v>107-05-003</v>
          </cell>
          <cell r="O94">
            <v>55564.79</v>
          </cell>
        </row>
        <row r="95">
          <cell r="D95" t="str">
            <v>107-05-005</v>
          </cell>
          <cell r="O95">
            <v>20716.18</v>
          </cell>
        </row>
        <row r="96">
          <cell r="D96" t="str">
            <v>107-05-006</v>
          </cell>
          <cell r="O96">
            <v>6887.7</v>
          </cell>
        </row>
        <row r="97">
          <cell r="D97">
            <v>0</v>
          </cell>
          <cell r="O97">
            <v>0</v>
          </cell>
        </row>
        <row r="98">
          <cell r="D98" t="str">
            <v>109-01-000</v>
          </cell>
          <cell r="O98">
            <v>28566.52</v>
          </cell>
        </row>
        <row r="99">
          <cell r="D99">
            <v>0</v>
          </cell>
          <cell r="O99">
            <v>0</v>
          </cell>
        </row>
        <row r="100">
          <cell r="D100" t="str">
            <v>113-01-000</v>
          </cell>
          <cell r="O100">
            <v>1936177</v>
          </cell>
        </row>
        <row r="101">
          <cell r="D101">
            <v>0</v>
          </cell>
          <cell r="O101">
            <v>0</v>
          </cell>
        </row>
        <row r="102">
          <cell r="D102" t="str">
            <v>113-08-001</v>
          </cell>
          <cell r="O102">
            <v>-0.39</v>
          </cell>
        </row>
        <row r="103">
          <cell r="D103" t="str">
            <v>113-08-002</v>
          </cell>
          <cell r="O103">
            <v>12574750</v>
          </cell>
        </row>
        <row r="104">
          <cell r="D104">
            <v>0</v>
          </cell>
          <cell r="O104">
            <v>0</v>
          </cell>
        </row>
        <row r="105">
          <cell r="D105" t="str">
            <v>114-01-000</v>
          </cell>
          <cell r="O105">
            <v>-1.93</v>
          </cell>
        </row>
        <row r="106">
          <cell r="D106">
            <v>0</v>
          </cell>
          <cell r="O106">
            <v>0</v>
          </cell>
        </row>
        <row r="107">
          <cell r="D107">
            <v>0</v>
          </cell>
          <cell r="O107">
            <v>0</v>
          </cell>
        </row>
        <row r="108">
          <cell r="D108" t="str">
            <v>115-08-001</v>
          </cell>
          <cell r="O108">
            <v>202956903.15000001</v>
          </cell>
        </row>
        <row r="109">
          <cell r="D109">
            <v>0</v>
          </cell>
          <cell r="O109">
            <v>0</v>
          </cell>
        </row>
        <row r="110">
          <cell r="D110" t="str">
            <v>115-09-001</v>
          </cell>
          <cell r="O110">
            <v>297231152.55000001</v>
          </cell>
        </row>
        <row r="111">
          <cell r="D111">
            <v>0</v>
          </cell>
          <cell r="O111">
            <v>0</v>
          </cell>
        </row>
        <row r="112">
          <cell r="D112" t="str">
            <v>115-11-001</v>
          </cell>
          <cell r="O112">
            <v>584086080.69000006</v>
          </cell>
        </row>
        <row r="113">
          <cell r="D113">
            <v>0</v>
          </cell>
          <cell r="O113">
            <v>0</v>
          </cell>
        </row>
        <row r="114">
          <cell r="D114">
            <v>0</v>
          </cell>
          <cell r="O114">
            <v>0</v>
          </cell>
        </row>
        <row r="115">
          <cell r="D115" t="str">
            <v>118-01-001</v>
          </cell>
          <cell r="O115">
            <v>0</v>
          </cell>
        </row>
        <row r="116">
          <cell r="D116" t="str">
            <v>118-01-002</v>
          </cell>
          <cell r="O116">
            <v>0</v>
          </cell>
        </row>
        <row r="117">
          <cell r="D117" t="str">
            <v>118-01-003</v>
          </cell>
          <cell r="O117">
            <v>2347538.39</v>
          </cell>
        </row>
        <row r="118">
          <cell r="D118" t="str">
            <v>118-02-000</v>
          </cell>
          <cell r="O118">
            <v>0</v>
          </cell>
        </row>
        <row r="119">
          <cell r="D119" t="str">
            <v>118-04-000</v>
          </cell>
          <cell r="O119">
            <v>0</v>
          </cell>
        </row>
        <row r="120">
          <cell r="D120">
            <v>0</v>
          </cell>
          <cell r="O120">
            <v>0</v>
          </cell>
        </row>
        <row r="121">
          <cell r="D121">
            <v>0</v>
          </cell>
          <cell r="O121">
            <v>0</v>
          </cell>
        </row>
        <row r="122">
          <cell r="D122" t="str">
            <v>119-01-001</v>
          </cell>
          <cell r="O122">
            <v>0</v>
          </cell>
        </row>
        <row r="123">
          <cell r="D123" t="str">
            <v>119-01-002</v>
          </cell>
          <cell r="O123">
            <v>0</v>
          </cell>
        </row>
        <row r="124">
          <cell r="D124">
            <v>0</v>
          </cell>
          <cell r="O124">
            <v>0</v>
          </cell>
        </row>
        <row r="125">
          <cell r="D125" t="str">
            <v>120-01-000</v>
          </cell>
          <cell r="O125">
            <v>28490.04</v>
          </cell>
        </row>
        <row r="126">
          <cell r="D126">
            <v>0</v>
          </cell>
          <cell r="O126">
            <v>0</v>
          </cell>
        </row>
        <row r="127">
          <cell r="D127">
            <v>0</v>
          </cell>
          <cell r="O127">
            <v>0</v>
          </cell>
        </row>
        <row r="128">
          <cell r="D128" t="str">
            <v>121-01-001</v>
          </cell>
          <cell r="O128">
            <v>4036350694.4299998</v>
          </cell>
        </row>
        <row r="129">
          <cell r="D129">
            <v>0</v>
          </cell>
          <cell r="O129">
            <v>0</v>
          </cell>
        </row>
        <row r="130">
          <cell r="D130">
            <v>0</v>
          </cell>
          <cell r="O130">
            <v>0</v>
          </cell>
        </row>
        <row r="131">
          <cell r="D131" t="str">
            <v>154-01-000</v>
          </cell>
          <cell r="O131">
            <v>1193010.3400000001</v>
          </cell>
        </row>
        <row r="132">
          <cell r="D132">
            <v>0</v>
          </cell>
          <cell r="O132">
            <v>0</v>
          </cell>
        </row>
        <row r="133">
          <cell r="D133" t="str">
            <v>155-01-000</v>
          </cell>
          <cell r="O133">
            <v>10400</v>
          </cell>
        </row>
        <row r="134">
          <cell r="D134">
            <v>0</v>
          </cell>
          <cell r="O134">
            <v>0</v>
          </cell>
        </row>
        <row r="135">
          <cell r="D135" t="str">
            <v>156-01-000</v>
          </cell>
          <cell r="O135">
            <v>2907477.77</v>
          </cell>
        </row>
        <row r="136">
          <cell r="D136">
            <v>0</v>
          </cell>
          <cell r="O136">
            <v>0</v>
          </cell>
        </row>
        <row r="137">
          <cell r="D137" t="str">
            <v>171-03-000</v>
          </cell>
          <cell r="O137">
            <v>-52153.26</v>
          </cell>
        </row>
        <row r="138">
          <cell r="D138" t="str">
            <v>171-04-000</v>
          </cell>
          <cell r="O138">
            <v>-693.36</v>
          </cell>
        </row>
        <row r="139">
          <cell r="D139" t="str">
            <v>171-05-000</v>
          </cell>
          <cell r="O139">
            <v>-564186.17000000004</v>
          </cell>
        </row>
        <row r="140">
          <cell r="D140">
            <v>0</v>
          </cell>
          <cell r="O140">
            <v>0</v>
          </cell>
        </row>
        <row r="141">
          <cell r="D141">
            <v>0</v>
          </cell>
          <cell r="O141">
            <v>0</v>
          </cell>
        </row>
        <row r="142">
          <cell r="D142" t="str">
            <v>176-01-001</v>
          </cell>
          <cell r="O142">
            <v>13768413.24</v>
          </cell>
        </row>
        <row r="143">
          <cell r="D143" t="str">
            <v>176-01-002</v>
          </cell>
          <cell r="O143">
            <v>39893318.619999997</v>
          </cell>
        </row>
        <row r="144">
          <cell r="D144">
            <v>0</v>
          </cell>
          <cell r="O144">
            <v>0</v>
          </cell>
        </row>
        <row r="145">
          <cell r="D145" t="str">
            <v>183-04-000</v>
          </cell>
          <cell r="O145">
            <v>-1915637.17</v>
          </cell>
        </row>
        <row r="146">
          <cell r="D146">
            <v>0</v>
          </cell>
          <cell r="O146">
            <v>0</v>
          </cell>
        </row>
        <row r="147">
          <cell r="D147" t="str">
            <v>184-02-000</v>
          </cell>
          <cell r="O147">
            <v>1199880.03</v>
          </cell>
        </row>
        <row r="148">
          <cell r="D148">
            <v>0</v>
          </cell>
          <cell r="O148">
            <v>0</v>
          </cell>
        </row>
        <row r="149">
          <cell r="D149" t="str">
            <v>185-01-000</v>
          </cell>
          <cell r="O149">
            <v>1102530.3500000001</v>
          </cell>
        </row>
        <row r="150">
          <cell r="D150">
            <v>0</v>
          </cell>
          <cell r="O150">
            <v>0</v>
          </cell>
        </row>
        <row r="151">
          <cell r="D151">
            <v>0</v>
          </cell>
          <cell r="O151">
            <v>0</v>
          </cell>
        </row>
        <row r="152">
          <cell r="D152" t="str">
            <v>188-01-001</v>
          </cell>
          <cell r="O152">
            <v>20000</v>
          </cell>
        </row>
        <row r="153">
          <cell r="D153" t="str">
            <v>188-01-002</v>
          </cell>
          <cell r="O153">
            <v>100</v>
          </cell>
        </row>
        <row r="154">
          <cell r="D154">
            <v>0</v>
          </cell>
          <cell r="O154">
            <v>0</v>
          </cell>
        </row>
        <row r="155">
          <cell r="D155">
            <v>0</v>
          </cell>
          <cell r="O155">
            <v>0</v>
          </cell>
        </row>
        <row r="156">
          <cell r="D156">
            <v>0</v>
          </cell>
          <cell r="O156">
            <v>0</v>
          </cell>
        </row>
        <row r="157">
          <cell r="D157">
            <v>0</v>
          </cell>
          <cell r="O157">
            <v>0</v>
          </cell>
        </row>
        <row r="158">
          <cell r="D158" t="str">
            <v>201-01-003</v>
          </cell>
          <cell r="O158">
            <v>-115632952.54000001</v>
          </cell>
        </row>
        <row r="159">
          <cell r="D159" t="str">
            <v>201-01-004</v>
          </cell>
          <cell r="O159">
            <v>-4917744598.6599998</v>
          </cell>
        </row>
        <row r="160">
          <cell r="D160">
            <v>0</v>
          </cell>
          <cell r="O160">
            <v>0</v>
          </cell>
        </row>
        <row r="161">
          <cell r="D161" t="str">
            <v>201-03-001</v>
          </cell>
          <cell r="O161">
            <v>-2067736.58</v>
          </cell>
        </row>
        <row r="162">
          <cell r="D162" t="str">
            <v>205-03-004</v>
          </cell>
          <cell r="O162">
            <v>0</v>
          </cell>
        </row>
        <row r="163">
          <cell r="D163">
            <v>0</v>
          </cell>
          <cell r="O163">
            <v>0</v>
          </cell>
        </row>
        <row r="164">
          <cell r="D164" t="str">
            <v>201-05-002</v>
          </cell>
          <cell r="O164">
            <v>-1.49</v>
          </cell>
        </row>
        <row r="165">
          <cell r="D165" t="str">
            <v>201-05-003</v>
          </cell>
          <cell r="O165">
            <v>-24587492.469999999</v>
          </cell>
        </row>
        <row r="166">
          <cell r="D166" t="str">
            <v>201-05-004</v>
          </cell>
          <cell r="O166">
            <v>-811815882.11000001</v>
          </cell>
        </row>
        <row r="167">
          <cell r="D167" t="str">
            <v>201-05-005</v>
          </cell>
          <cell r="O167">
            <v>-503426444.70999998</v>
          </cell>
        </row>
        <row r="168">
          <cell r="D168" t="str">
            <v>201-05-006</v>
          </cell>
          <cell r="O168">
            <v>-82566098.659999996</v>
          </cell>
        </row>
        <row r="169">
          <cell r="D169" t="str">
            <v>201-05-007</v>
          </cell>
          <cell r="O169">
            <v>0</v>
          </cell>
        </row>
        <row r="170">
          <cell r="D170" t="str">
            <v>201-05-008</v>
          </cell>
          <cell r="O170">
            <v>0</v>
          </cell>
        </row>
        <row r="171">
          <cell r="D171">
            <v>0</v>
          </cell>
          <cell r="O171">
            <v>0</v>
          </cell>
        </row>
        <row r="172">
          <cell r="D172" t="str">
            <v>201-06-001</v>
          </cell>
          <cell r="O172">
            <v>0</v>
          </cell>
        </row>
        <row r="173">
          <cell r="D173" t="str">
            <v>201-06-002</v>
          </cell>
          <cell r="O173">
            <v>0</v>
          </cell>
        </row>
        <row r="174">
          <cell r="D174" t="str">
            <v>201-06-003</v>
          </cell>
          <cell r="O174">
            <v>0</v>
          </cell>
        </row>
        <row r="175">
          <cell r="D175" t="str">
            <v>201-06-004</v>
          </cell>
          <cell r="O175">
            <v>0</v>
          </cell>
        </row>
        <row r="176">
          <cell r="D176" t="str">
            <v>201-06-007</v>
          </cell>
          <cell r="O176">
            <v>0</v>
          </cell>
        </row>
        <row r="177">
          <cell r="D177" t="str">
            <v>201-06-008</v>
          </cell>
          <cell r="O177">
            <v>0</v>
          </cell>
        </row>
        <row r="178">
          <cell r="D178" t="str">
            <v>201-06-009</v>
          </cell>
          <cell r="O178">
            <v>-263166957.66999999</v>
          </cell>
        </row>
        <row r="179">
          <cell r="D179" t="str">
            <v>201-06-011</v>
          </cell>
          <cell r="O179">
            <v>-843889945.04999995</v>
          </cell>
        </row>
        <row r="180">
          <cell r="D180" t="str">
            <v>201-06-012</v>
          </cell>
          <cell r="O180">
            <v>0</v>
          </cell>
        </row>
        <row r="181">
          <cell r="D181">
            <v>0</v>
          </cell>
          <cell r="O181">
            <v>0</v>
          </cell>
        </row>
        <row r="182">
          <cell r="D182" t="str">
            <v>201-07-001</v>
          </cell>
          <cell r="O182">
            <v>-237561415.5</v>
          </cell>
        </row>
        <row r="183">
          <cell r="D183">
            <v>0</v>
          </cell>
          <cell r="O183">
            <v>0</v>
          </cell>
        </row>
        <row r="184">
          <cell r="D184" t="str">
            <v>201-08-001</v>
          </cell>
          <cell r="O184">
            <v>-2052606725.72</v>
          </cell>
        </row>
        <row r="185">
          <cell r="D185" t="str">
            <v>201-08-002</v>
          </cell>
          <cell r="O185">
            <v>-434634759.58999997</v>
          </cell>
        </row>
        <row r="186">
          <cell r="D186" t="str">
            <v>201-08-006</v>
          </cell>
          <cell r="O186">
            <v>0</v>
          </cell>
        </row>
        <row r="187">
          <cell r="D187">
            <v>0</v>
          </cell>
          <cell r="O187">
            <v>0</v>
          </cell>
        </row>
        <row r="188">
          <cell r="D188" t="str">
            <v>201-09-001</v>
          </cell>
          <cell r="O188">
            <v>0</v>
          </cell>
        </row>
        <row r="189">
          <cell r="D189" t="str">
            <v>201-09-003</v>
          </cell>
          <cell r="O189">
            <v>-21303.85</v>
          </cell>
        </row>
        <row r="190">
          <cell r="D190" t="str">
            <v>201-09-004</v>
          </cell>
          <cell r="O190">
            <v>-269807.88</v>
          </cell>
        </row>
        <row r="191">
          <cell r="D191" t="str">
            <v>201-09-005</v>
          </cell>
          <cell r="O191">
            <v>-4641.8599999999997</v>
          </cell>
        </row>
        <row r="192">
          <cell r="D192" t="str">
            <v>201-09-006</v>
          </cell>
          <cell r="O192">
            <v>-452323.44</v>
          </cell>
        </row>
        <row r="193">
          <cell r="D193" t="str">
            <v>201-09-007</v>
          </cell>
          <cell r="O193">
            <v>-2454155.42</v>
          </cell>
        </row>
        <row r="194">
          <cell r="D194" t="str">
            <v>201-09-008</v>
          </cell>
          <cell r="O194">
            <v>-41224.69</v>
          </cell>
        </row>
        <row r="195">
          <cell r="D195" t="str">
            <v>201-09-009</v>
          </cell>
          <cell r="O195">
            <v>-90</v>
          </cell>
        </row>
        <row r="196">
          <cell r="D196" t="str">
            <v>201-09-010</v>
          </cell>
          <cell r="O196">
            <v>-1976164.5</v>
          </cell>
        </row>
        <row r="197">
          <cell r="D197" t="str">
            <v>201-09-011</v>
          </cell>
          <cell r="O197">
            <v>-18298263.460000001</v>
          </cell>
        </row>
        <row r="198">
          <cell r="D198" t="str">
            <v>201-09-012</v>
          </cell>
          <cell r="O198">
            <v>-7525113.3399999999</v>
          </cell>
        </row>
        <row r="199">
          <cell r="D199">
            <v>0</v>
          </cell>
          <cell r="O199">
            <v>0</v>
          </cell>
        </row>
        <row r="200">
          <cell r="D200" t="str">
            <v>201-10-001</v>
          </cell>
          <cell r="O200">
            <v>0</v>
          </cell>
        </row>
        <row r="201">
          <cell r="D201" t="str">
            <v>201-10-010</v>
          </cell>
          <cell r="O201">
            <v>-2446423319.4200001</v>
          </cell>
        </row>
        <row r="202">
          <cell r="D202">
            <v>0</v>
          </cell>
          <cell r="O202">
            <v>0</v>
          </cell>
        </row>
        <row r="203">
          <cell r="D203" t="str">
            <v>201-11-001</v>
          </cell>
          <cell r="O203">
            <v>-946577541.51999998</v>
          </cell>
        </row>
        <row r="204">
          <cell r="D204">
            <v>0</v>
          </cell>
          <cell r="O204">
            <v>0</v>
          </cell>
        </row>
        <row r="205">
          <cell r="D205">
            <v>0</v>
          </cell>
          <cell r="O205">
            <v>0</v>
          </cell>
        </row>
        <row r="206">
          <cell r="D206" t="str">
            <v>205-02-001</v>
          </cell>
          <cell r="O206">
            <v>-380513.52</v>
          </cell>
        </row>
        <row r="207">
          <cell r="D207" t="str">
            <v>205-02-002</v>
          </cell>
          <cell r="O207">
            <v>-54944.04</v>
          </cell>
        </row>
        <row r="208">
          <cell r="D208" t="str">
            <v>205-02-003</v>
          </cell>
          <cell r="O208">
            <v>0</v>
          </cell>
        </row>
        <row r="209">
          <cell r="D209" t="str">
            <v>205-02-004</v>
          </cell>
          <cell r="O209">
            <v>0</v>
          </cell>
        </row>
        <row r="210">
          <cell r="D210" t="str">
            <v>205-02-005</v>
          </cell>
          <cell r="O210">
            <v>-10711</v>
          </cell>
        </row>
        <row r="211">
          <cell r="D211" t="str">
            <v>205-02-006</v>
          </cell>
          <cell r="O211">
            <v>0</v>
          </cell>
        </row>
        <row r="212">
          <cell r="D212" t="str">
            <v>205-02-007</v>
          </cell>
          <cell r="O212">
            <v>0</v>
          </cell>
        </row>
        <row r="213">
          <cell r="D213" t="str">
            <v>205-02-008</v>
          </cell>
          <cell r="O213">
            <v>0</v>
          </cell>
        </row>
        <row r="214">
          <cell r="D214" t="str">
            <v>205-02-010</v>
          </cell>
          <cell r="O214">
            <v>0</v>
          </cell>
        </row>
        <row r="215">
          <cell r="D215" t="str">
            <v>205-02-015</v>
          </cell>
          <cell r="O215">
            <v>0</v>
          </cell>
        </row>
        <row r="216">
          <cell r="D216" t="str">
            <v>205-02-020</v>
          </cell>
          <cell r="O216">
            <v>0</v>
          </cell>
        </row>
        <row r="217">
          <cell r="D217" t="str">
            <v>205-02-021</v>
          </cell>
          <cell r="O217">
            <v>0</v>
          </cell>
        </row>
        <row r="218">
          <cell r="D218" t="str">
            <v>205-02-022</v>
          </cell>
          <cell r="O218">
            <v>0</v>
          </cell>
        </row>
        <row r="219">
          <cell r="D219" t="str">
            <v>205-02-024</v>
          </cell>
          <cell r="O219">
            <v>0.19</v>
          </cell>
        </row>
        <row r="220">
          <cell r="D220" t="str">
            <v>205-02-027</v>
          </cell>
          <cell r="O220">
            <v>0</v>
          </cell>
        </row>
        <row r="221">
          <cell r="D221" t="str">
            <v>205-02-029</v>
          </cell>
          <cell r="O221">
            <v>0</v>
          </cell>
        </row>
        <row r="222">
          <cell r="D222" t="str">
            <v>205-02-034</v>
          </cell>
          <cell r="O222">
            <v>-38198.080000000002</v>
          </cell>
        </row>
        <row r="223">
          <cell r="D223" t="str">
            <v>205-02-039</v>
          </cell>
          <cell r="O223">
            <v>-6287.94</v>
          </cell>
        </row>
        <row r="224">
          <cell r="D224" t="str">
            <v>205-02-040</v>
          </cell>
          <cell r="O224">
            <v>0</v>
          </cell>
        </row>
        <row r="225">
          <cell r="D225" t="str">
            <v>205-02-043</v>
          </cell>
          <cell r="O225">
            <v>0</v>
          </cell>
        </row>
        <row r="226">
          <cell r="D226" t="str">
            <v>205-02-046</v>
          </cell>
          <cell r="O226">
            <v>-7981</v>
          </cell>
        </row>
        <row r="227">
          <cell r="D227" t="str">
            <v>205-02-047</v>
          </cell>
          <cell r="O227">
            <v>0</v>
          </cell>
        </row>
        <row r="228">
          <cell r="D228" t="str">
            <v>205-02-060</v>
          </cell>
          <cell r="O228">
            <v>-1395267.16</v>
          </cell>
        </row>
        <row r="229">
          <cell r="D229">
            <v>0</v>
          </cell>
          <cell r="O229">
            <v>0</v>
          </cell>
        </row>
        <row r="230">
          <cell r="D230" t="str">
            <v>205-03-001</v>
          </cell>
          <cell r="O230">
            <v>-3564946.19</v>
          </cell>
        </row>
        <row r="231">
          <cell r="D231" t="str">
            <v>205-03-003</v>
          </cell>
          <cell r="O231">
            <v>0</v>
          </cell>
        </row>
        <row r="232">
          <cell r="D232">
            <v>0</v>
          </cell>
          <cell r="O232">
            <v>0</v>
          </cell>
        </row>
        <row r="233">
          <cell r="D233">
            <v>0</v>
          </cell>
          <cell r="O233">
            <v>0</v>
          </cell>
        </row>
        <row r="234">
          <cell r="D234" t="str">
            <v>206-01-001</v>
          </cell>
          <cell r="O234">
            <v>0</v>
          </cell>
        </row>
        <row r="235">
          <cell r="D235" t="str">
            <v>206-01-002</v>
          </cell>
          <cell r="O235">
            <v>-500000</v>
          </cell>
        </row>
        <row r="236">
          <cell r="D236">
            <v>0</v>
          </cell>
          <cell r="O236">
            <v>0</v>
          </cell>
        </row>
        <row r="237">
          <cell r="D237" t="str">
            <v>206-02-002</v>
          </cell>
          <cell r="O237">
            <v>-2000000</v>
          </cell>
        </row>
        <row r="238">
          <cell r="D238">
            <v>0</v>
          </cell>
          <cell r="O238">
            <v>0</v>
          </cell>
        </row>
        <row r="239">
          <cell r="D239" t="str">
            <v>206-03-002</v>
          </cell>
          <cell r="O239">
            <v>-29974620.690000001</v>
          </cell>
        </row>
        <row r="240">
          <cell r="D240" t="str">
            <v>206-03-007</v>
          </cell>
          <cell r="O240">
            <v>-121812213.12</v>
          </cell>
        </row>
        <row r="241">
          <cell r="D241">
            <v>0</v>
          </cell>
          <cell r="O241">
            <v>0</v>
          </cell>
        </row>
        <row r="242">
          <cell r="D242" t="str">
            <v>208-01-000</v>
          </cell>
          <cell r="O242">
            <v>0</v>
          </cell>
        </row>
        <row r="243">
          <cell r="D243" t="str">
            <v>208-02-000</v>
          </cell>
          <cell r="O243">
            <v>0</v>
          </cell>
        </row>
        <row r="244">
          <cell r="D244">
            <v>0</v>
          </cell>
          <cell r="O244">
            <v>0</v>
          </cell>
        </row>
        <row r="245">
          <cell r="D245">
            <v>0</v>
          </cell>
          <cell r="O245">
            <v>0</v>
          </cell>
        </row>
        <row r="246">
          <cell r="D246" t="str">
            <v>209-01-001</v>
          </cell>
          <cell r="O246">
            <v>-1691320251.8699999</v>
          </cell>
        </row>
        <row r="247">
          <cell r="D247" t="str">
            <v>209-01-002</v>
          </cell>
          <cell r="O247">
            <v>-60180463.420000002</v>
          </cell>
        </row>
        <row r="248">
          <cell r="D248" t="str">
            <v>209-02-000</v>
          </cell>
          <cell r="O248">
            <v>-6800655.2800000003</v>
          </cell>
        </row>
        <row r="249">
          <cell r="D249">
            <v>0</v>
          </cell>
          <cell r="O249">
            <v>0</v>
          </cell>
        </row>
        <row r="250">
          <cell r="D250">
            <v>0</v>
          </cell>
          <cell r="O250">
            <v>0</v>
          </cell>
        </row>
        <row r="251">
          <cell r="D251" t="str">
            <v>210-04-001</v>
          </cell>
          <cell r="O251">
            <v>-4272.84</v>
          </cell>
        </row>
        <row r="252">
          <cell r="D252" t="str">
            <v>210-04-002</v>
          </cell>
          <cell r="O252">
            <v>-4272.84</v>
          </cell>
        </row>
        <row r="253">
          <cell r="D253">
            <v>0</v>
          </cell>
          <cell r="O253">
            <v>0</v>
          </cell>
        </row>
        <row r="254">
          <cell r="D254" t="str">
            <v>213-01-000</v>
          </cell>
          <cell r="O254">
            <v>-180000</v>
          </cell>
        </row>
        <row r="255">
          <cell r="D255">
            <v>0</v>
          </cell>
          <cell r="O255">
            <v>0</v>
          </cell>
        </row>
        <row r="256">
          <cell r="D256" t="str">
            <v>213-03-001</v>
          </cell>
          <cell r="O256">
            <v>-1673487403.9300001</v>
          </cell>
        </row>
        <row r="257">
          <cell r="D257" t="str">
            <v>213-03-002</v>
          </cell>
          <cell r="O257">
            <v>-152007775.06999999</v>
          </cell>
        </row>
        <row r="258">
          <cell r="D258">
            <v>0</v>
          </cell>
          <cell r="O258">
            <v>0</v>
          </cell>
        </row>
        <row r="259">
          <cell r="D259" t="str">
            <v>216-01-000</v>
          </cell>
          <cell r="O259">
            <v>-73477.429999999993</v>
          </cell>
        </row>
        <row r="260">
          <cell r="D260" t="str">
            <v>216-02-000</v>
          </cell>
          <cell r="O260">
            <v>-0.16</v>
          </cell>
        </row>
        <row r="261">
          <cell r="D261" t="str">
            <v>216-04-000</v>
          </cell>
          <cell r="O261">
            <v>-14789.1</v>
          </cell>
        </row>
        <row r="262">
          <cell r="D262" t="str">
            <v>216-10-000</v>
          </cell>
          <cell r="O262">
            <v>-2753154.12</v>
          </cell>
        </row>
        <row r="263">
          <cell r="D263" t="str">
            <v>216-11-000</v>
          </cell>
          <cell r="O263">
            <v>-1542.32</v>
          </cell>
        </row>
        <row r="264">
          <cell r="D264">
            <v>0</v>
          </cell>
          <cell r="O264">
            <v>0</v>
          </cell>
        </row>
        <row r="265">
          <cell r="D265">
            <v>0</v>
          </cell>
          <cell r="O265">
            <v>0</v>
          </cell>
        </row>
        <row r="266">
          <cell r="D266" t="str">
            <v>218-01-001</v>
          </cell>
          <cell r="O266">
            <v>-4036351952.3499999</v>
          </cell>
        </row>
        <row r="267">
          <cell r="D267">
            <v>0</v>
          </cell>
          <cell r="O267">
            <v>0</v>
          </cell>
        </row>
        <row r="268">
          <cell r="D268">
            <v>0</v>
          </cell>
          <cell r="O268">
            <v>0</v>
          </cell>
        </row>
        <row r="269">
          <cell r="D269">
            <v>0</v>
          </cell>
          <cell r="O269">
            <v>0</v>
          </cell>
        </row>
        <row r="270">
          <cell r="D270" t="str">
            <v>301-01-001</v>
          </cell>
          <cell r="O270">
            <v>-990000</v>
          </cell>
        </row>
        <row r="271">
          <cell r="D271" t="str">
            <v>301-01-002</v>
          </cell>
          <cell r="O271">
            <v>-10000</v>
          </cell>
        </row>
        <row r="272">
          <cell r="D272">
            <v>0</v>
          </cell>
          <cell r="O272">
            <v>0</v>
          </cell>
        </row>
        <row r="273">
          <cell r="D273" t="str">
            <v>304-01-000</v>
          </cell>
          <cell r="O273">
            <v>-3233048.65</v>
          </cell>
        </row>
        <row r="274">
          <cell r="D274">
            <v>0</v>
          </cell>
          <cell r="O274">
            <v>0</v>
          </cell>
        </row>
        <row r="275">
          <cell r="D275" t="str">
            <v>305-01-000</v>
          </cell>
          <cell r="O275">
            <v>-88177913.379999995</v>
          </cell>
        </row>
        <row r="276">
          <cell r="D276">
            <v>0</v>
          </cell>
          <cell r="O276">
            <v>0</v>
          </cell>
        </row>
        <row r="277">
          <cell r="D277">
            <v>0</v>
          </cell>
          <cell r="O277">
            <v>0</v>
          </cell>
        </row>
        <row r="278">
          <cell r="D278" t="str">
            <v>402-01-000</v>
          </cell>
          <cell r="O278">
            <v>749874254.38</v>
          </cell>
        </row>
        <row r="279">
          <cell r="D279" t="str">
            <v>402-04-000</v>
          </cell>
          <cell r="O279">
            <v>58838.04</v>
          </cell>
        </row>
        <row r="280">
          <cell r="D280">
            <v>0</v>
          </cell>
          <cell r="O280">
            <v>0</v>
          </cell>
        </row>
        <row r="281">
          <cell r="D281" t="str">
            <v>403-01-000</v>
          </cell>
          <cell r="O281">
            <v>-247154.34</v>
          </cell>
        </row>
        <row r="282">
          <cell r="D282">
            <v>0</v>
          </cell>
          <cell r="O282">
            <v>0</v>
          </cell>
        </row>
        <row r="283">
          <cell r="D283">
            <v>0</v>
          </cell>
          <cell r="O283">
            <v>0</v>
          </cell>
        </row>
        <row r="284">
          <cell r="D284" t="str">
            <v>404-01-001</v>
          </cell>
          <cell r="O284">
            <v>-1214775484.48</v>
          </cell>
        </row>
        <row r="285">
          <cell r="D285" t="str">
            <v>404-01-002</v>
          </cell>
          <cell r="O285">
            <v>-370611195.00999999</v>
          </cell>
        </row>
        <row r="286">
          <cell r="D286" t="str">
            <v>404-01-004</v>
          </cell>
          <cell r="O286">
            <v>-76056878.540000007</v>
          </cell>
        </row>
        <row r="287">
          <cell r="D287" t="str">
            <v>404-01-007</v>
          </cell>
          <cell r="O287">
            <v>-32505695.329999998</v>
          </cell>
        </row>
        <row r="288">
          <cell r="D288" t="str">
            <v>404-01-008</v>
          </cell>
          <cell r="O288">
            <v>-15843317.289999999</v>
          </cell>
        </row>
        <row r="289">
          <cell r="D289" t="str">
            <v>404-01-010</v>
          </cell>
          <cell r="O289">
            <v>-27948.54</v>
          </cell>
        </row>
        <row r="290">
          <cell r="D290" t="str">
            <v>404-01-011</v>
          </cell>
          <cell r="O290">
            <v>-236475.18</v>
          </cell>
        </row>
        <row r="291">
          <cell r="D291" t="str">
            <v>404-01-016</v>
          </cell>
          <cell r="O291">
            <v>-761381349.26999998</v>
          </cell>
        </row>
        <row r="292">
          <cell r="D292" t="str">
            <v>404-01-017</v>
          </cell>
          <cell r="O292">
            <v>-180064402.12</v>
          </cell>
        </row>
        <row r="293">
          <cell r="D293" t="str">
            <v>404-01-018</v>
          </cell>
          <cell r="O293">
            <v>-3256812421.02</v>
          </cell>
        </row>
        <row r="294">
          <cell r="D294" t="str">
            <v>404-01-019</v>
          </cell>
          <cell r="O294">
            <v>-4588960.12</v>
          </cell>
        </row>
        <row r="295">
          <cell r="D295" t="str">
            <v>404-01-020</v>
          </cell>
          <cell r="O295">
            <v>-364794405.41000003</v>
          </cell>
        </row>
        <row r="296">
          <cell r="D296">
            <v>0</v>
          </cell>
          <cell r="O296">
            <v>0</v>
          </cell>
        </row>
        <row r="297">
          <cell r="D297" t="str">
            <v>404-02-001</v>
          </cell>
          <cell r="O297">
            <v>-2018544244.7</v>
          </cell>
        </row>
        <row r="298">
          <cell r="D298" t="str">
            <v>404-02-002</v>
          </cell>
          <cell r="O298">
            <v>-3164832349.5300002</v>
          </cell>
        </row>
        <row r="299">
          <cell r="D299" t="str">
            <v>404-02-003</v>
          </cell>
          <cell r="O299">
            <v>-3183120984.27</v>
          </cell>
        </row>
        <row r="300">
          <cell r="D300" t="str">
            <v>404-02-004</v>
          </cell>
          <cell r="O300">
            <v>-1433597679.5599999</v>
          </cell>
        </row>
        <row r="301">
          <cell r="D301" t="str">
            <v>404-02-006</v>
          </cell>
          <cell r="O301">
            <v>-1608598217.6900001</v>
          </cell>
        </row>
        <row r="302">
          <cell r="D302" t="str">
            <v>404-02-007</v>
          </cell>
          <cell r="O302">
            <v>-8072084602.7200003</v>
          </cell>
        </row>
        <row r="303">
          <cell r="D303">
            <v>0</v>
          </cell>
          <cell r="O303">
            <v>0</v>
          </cell>
        </row>
        <row r="304">
          <cell r="D304">
            <v>0</v>
          </cell>
          <cell r="O304">
            <v>0</v>
          </cell>
        </row>
        <row r="305">
          <cell r="D305" t="str">
            <v>405-02-006</v>
          </cell>
          <cell r="O305">
            <v>-4139319327.1500001</v>
          </cell>
        </row>
        <row r="306">
          <cell r="D306">
            <v>0</v>
          </cell>
          <cell r="O306">
            <v>0</v>
          </cell>
        </row>
        <row r="307">
          <cell r="D307" t="str">
            <v>405-04-001</v>
          </cell>
          <cell r="O307">
            <v>-134153183.89</v>
          </cell>
        </row>
        <row r="308">
          <cell r="D308" t="str">
            <v>405-04-003</v>
          </cell>
          <cell r="O308">
            <v>-480350901.56</v>
          </cell>
        </row>
        <row r="309">
          <cell r="D309" t="str">
            <v>405-04-006</v>
          </cell>
          <cell r="O309">
            <v>-931856589.00999999</v>
          </cell>
        </row>
        <row r="310">
          <cell r="D310">
            <v>0</v>
          </cell>
          <cell r="O310">
            <v>0</v>
          </cell>
        </row>
        <row r="311">
          <cell r="D311">
            <v>0</v>
          </cell>
          <cell r="O311">
            <v>0</v>
          </cell>
        </row>
        <row r="312">
          <cell r="D312" t="str">
            <v>406-01-005</v>
          </cell>
          <cell r="O312">
            <v>-60888510.079999998</v>
          </cell>
        </row>
        <row r="313">
          <cell r="D313" t="str">
            <v>406-01-009</v>
          </cell>
          <cell r="O313">
            <v>-17376276.510000002</v>
          </cell>
        </row>
        <row r="314">
          <cell r="D314" t="str">
            <v>406-01-017</v>
          </cell>
          <cell r="O314">
            <v>-13218533.23</v>
          </cell>
        </row>
        <row r="315">
          <cell r="D315" t="str">
            <v>406-01-018</v>
          </cell>
          <cell r="O315">
            <v>-11046538.810000001</v>
          </cell>
        </row>
        <row r="316">
          <cell r="D316" t="str">
            <v>406-01-019</v>
          </cell>
          <cell r="O316">
            <v>-7977470.7000000002</v>
          </cell>
        </row>
        <row r="317">
          <cell r="D317" t="str">
            <v>406-01-020</v>
          </cell>
          <cell r="O317">
            <v>-1286704.71</v>
          </cell>
        </row>
        <row r="318">
          <cell r="D318" t="str">
            <v>406-01-027</v>
          </cell>
          <cell r="O318">
            <v>-23218619.460000001</v>
          </cell>
        </row>
        <row r="319">
          <cell r="D319">
            <v>0</v>
          </cell>
          <cell r="O319">
            <v>0</v>
          </cell>
        </row>
        <row r="320">
          <cell r="D320">
            <v>0</v>
          </cell>
          <cell r="O320">
            <v>0</v>
          </cell>
        </row>
        <row r="321">
          <cell r="D321" t="str">
            <v>407-02-004</v>
          </cell>
          <cell r="O321">
            <v>-247503184.30000001</v>
          </cell>
        </row>
        <row r="322">
          <cell r="D322">
            <v>0</v>
          </cell>
          <cell r="O322">
            <v>0</v>
          </cell>
        </row>
        <row r="323">
          <cell r="D323">
            <v>0</v>
          </cell>
          <cell r="O323">
            <v>0</v>
          </cell>
        </row>
        <row r="324">
          <cell r="D324" t="str">
            <v>408-01-006</v>
          </cell>
          <cell r="O324">
            <v>-521333383.11000001</v>
          </cell>
        </row>
        <row r="325">
          <cell r="D325">
            <v>0</v>
          </cell>
          <cell r="O325">
            <v>0</v>
          </cell>
        </row>
        <row r="326">
          <cell r="D326" t="str">
            <v>408-02-001</v>
          </cell>
          <cell r="O326">
            <v>-893618892.78999996</v>
          </cell>
        </row>
        <row r="327">
          <cell r="D327" t="str">
            <v>408-02-002</v>
          </cell>
          <cell r="O327">
            <v>-1282155125.28</v>
          </cell>
        </row>
        <row r="328">
          <cell r="D328" t="str">
            <v>408-02-003</v>
          </cell>
          <cell r="O328">
            <v>-7611732348.3999996</v>
          </cell>
        </row>
        <row r="329">
          <cell r="D329" t="str">
            <v>408-02-004</v>
          </cell>
          <cell r="O329">
            <v>-1379504368.3800001</v>
          </cell>
        </row>
        <row r="330">
          <cell r="D330" t="str">
            <v>408-02-006</v>
          </cell>
          <cell r="O330">
            <v>-386004334.38999999</v>
          </cell>
        </row>
        <row r="331">
          <cell r="D331" t="str">
            <v>408-02-007</v>
          </cell>
          <cell r="O331">
            <v>-1738880622.02</v>
          </cell>
        </row>
        <row r="332">
          <cell r="D332">
            <v>0</v>
          </cell>
          <cell r="O332">
            <v>0</v>
          </cell>
        </row>
        <row r="333">
          <cell r="D333">
            <v>0</v>
          </cell>
          <cell r="O333">
            <v>0</v>
          </cell>
        </row>
        <row r="334">
          <cell r="D334" t="str">
            <v>409-01-003</v>
          </cell>
          <cell r="O334">
            <v>-17365332.149999999</v>
          </cell>
        </row>
        <row r="335">
          <cell r="D335" t="str">
            <v>409-01-012</v>
          </cell>
          <cell r="O335">
            <v>-17111838.899999999</v>
          </cell>
        </row>
        <row r="336">
          <cell r="D336" t="str">
            <v>409-01-015</v>
          </cell>
          <cell r="O336">
            <v>-14866628.91</v>
          </cell>
        </row>
        <row r="337">
          <cell r="D337">
            <v>0</v>
          </cell>
          <cell r="O337">
            <v>0</v>
          </cell>
        </row>
        <row r="338">
          <cell r="D338">
            <v>0</v>
          </cell>
          <cell r="O338">
            <v>0</v>
          </cell>
        </row>
        <row r="339">
          <cell r="D339" t="str">
            <v>410-02-001</v>
          </cell>
          <cell r="O339">
            <v>-158267373.72</v>
          </cell>
        </row>
        <row r="340">
          <cell r="D340" t="str">
            <v>410-02-002</v>
          </cell>
          <cell r="O340">
            <v>-146964322.06999999</v>
          </cell>
        </row>
        <row r="341">
          <cell r="D341" t="str">
            <v>410-02-003</v>
          </cell>
          <cell r="O341">
            <v>-61776567.130000003</v>
          </cell>
        </row>
        <row r="342">
          <cell r="D342" t="str">
            <v>410-02-004</v>
          </cell>
          <cell r="O342">
            <v>-19134781.23</v>
          </cell>
        </row>
        <row r="343">
          <cell r="D343" t="str">
            <v>410-02-006</v>
          </cell>
          <cell r="O343">
            <v>-125275757.90000001</v>
          </cell>
        </row>
        <row r="344">
          <cell r="D344">
            <v>0</v>
          </cell>
          <cell r="O344">
            <v>0</v>
          </cell>
        </row>
        <row r="345">
          <cell r="D345">
            <v>0</v>
          </cell>
          <cell r="O345">
            <v>0</v>
          </cell>
        </row>
        <row r="346">
          <cell r="D346" t="str">
            <v>411-01-002</v>
          </cell>
          <cell r="O346">
            <v>-55344604.399999999</v>
          </cell>
        </row>
        <row r="347">
          <cell r="D347" t="str">
            <v>411-01-006</v>
          </cell>
          <cell r="O347">
            <v>-88966267.5</v>
          </cell>
        </row>
        <row r="348">
          <cell r="D348" t="str">
            <v>411-01-007</v>
          </cell>
          <cell r="O348">
            <v>-3889205.42</v>
          </cell>
        </row>
        <row r="349">
          <cell r="D349" t="str">
            <v>411-01-011</v>
          </cell>
          <cell r="O349">
            <v>-166243.48000000001</v>
          </cell>
        </row>
        <row r="350">
          <cell r="D350" t="str">
            <v>411-01-016</v>
          </cell>
          <cell r="O350">
            <v>-41922876.590000004</v>
          </cell>
        </row>
        <row r="351">
          <cell r="D351">
            <v>0</v>
          </cell>
          <cell r="O351">
            <v>0</v>
          </cell>
        </row>
        <row r="352">
          <cell r="D352" t="str">
            <v>411-02-001</v>
          </cell>
          <cell r="O352">
            <v>-503809423.94999999</v>
          </cell>
        </row>
        <row r="353">
          <cell r="D353" t="str">
            <v>411-02-002</v>
          </cell>
          <cell r="O353">
            <v>-395890140.31</v>
          </cell>
        </row>
        <row r="354">
          <cell r="D354" t="str">
            <v>411-02-003</v>
          </cell>
          <cell r="O354">
            <v>-1127179355.76</v>
          </cell>
        </row>
        <row r="355">
          <cell r="D355" t="str">
            <v>411-02-004</v>
          </cell>
          <cell r="O355">
            <v>-105788930.26000001</v>
          </cell>
        </row>
        <row r="356">
          <cell r="D356" t="str">
            <v>411-02-006</v>
          </cell>
          <cell r="O356">
            <v>-135196446.36000001</v>
          </cell>
        </row>
        <row r="357">
          <cell r="D357" t="str">
            <v>411-02-007</v>
          </cell>
          <cell r="O357">
            <v>-361907390.30000001</v>
          </cell>
        </row>
        <row r="358">
          <cell r="D358">
            <v>0</v>
          </cell>
          <cell r="O358">
            <v>0</v>
          </cell>
        </row>
        <row r="359">
          <cell r="D359">
            <v>0</v>
          </cell>
          <cell r="O359">
            <v>0</v>
          </cell>
        </row>
        <row r="360">
          <cell r="D360" t="str">
            <v>412-01-002</v>
          </cell>
          <cell r="O360">
            <v>-45418.74</v>
          </cell>
        </row>
        <row r="361">
          <cell r="D361" t="str">
            <v>412-01-006</v>
          </cell>
          <cell r="O361">
            <v>-2101080.9</v>
          </cell>
        </row>
        <row r="362">
          <cell r="D362" t="str">
            <v>412-01-022</v>
          </cell>
          <cell r="O362">
            <v>-18115400</v>
          </cell>
        </row>
        <row r="363">
          <cell r="D363" t="str">
            <v>412-01-023</v>
          </cell>
          <cell r="O363">
            <v>-500000</v>
          </cell>
        </row>
        <row r="364">
          <cell r="D364" t="str">
            <v>412-01-024</v>
          </cell>
          <cell r="O364">
            <v>-500000</v>
          </cell>
        </row>
        <row r="365">
          <cell r="D365" t="str">
            <v>412-01-025</v>
          </cell>
          <cell r="O365">
            <v>-500000</v>
          </cell>
        </row>
        <row r="366">
          <cell r="D366" t="str">
            <v>412-01-026</v>
          </cell>
          <cell r="O366">
            <v>-500000</v>
          </cell>
        </row>
        <row r="367">
          <cell r="D367" t="str">
            <v>412-01-027</v>
          </cell>
          <cell r="O367">
            <v>-500000</v>
          </cell>
        </row>
        <row r="368">
          <cell r="D368">
            <v>0</v>
          </cell>
          <cell r="O368">
            <v>0</v>
          </cell>
        </row>
        <row r="369">
          <cell r="D369">
            <v>0</v>
          </cell>
          <cell r="O369">
            <v>0</v>
          </cell>
        </row>
        <row r="370">
          <cell r="D370" t="str">
            <v>413-01-002</v>
          </cell>
          <cell r="O370">
            <v>-76888616.640000001</v>
          </cell>
        </row>
        <row r="371">
          <cell r="D371" t="str">
            <v>413-01-004</v>
          </cell>
          <cell r="O371">
            <v>-8208862.4100000001</v>
          </cell>
        </row>
        <row r="372">
          <cell r="D372" t="str">
            <v>413-01-007</v>
          </cell>
          <cell r="O372">
            <v>-4713809.03</v>
          </cell>
        </row>
        <row r="373">
          <cell r="D373" t="str">
            <v>413-01-008</v>
          </cell>
          <cell r="O373">
            <v>-12107426.890000001</v>
          </cell>
        </row>
        <row r="374">
          <cell r="D374" t="str">
            <v>413-01-010</v>
          </cell>
          <cell r="O374">
            <v>0</v>
          </cell>
        </row>
        <row r="375">
          <cell r="D375" t="str">
            <v>413-01-016</v>
          </cell>
          <cell r="O375">
            <v>-521782773.69999999</v>
          </cell>
        </row>
        <row r="376">
          <cell r="D376" t="str">
            <v>413-01-017</v>
          </cell>
          <cell r="O376">
            <v>-190898386.97</v>
          </cell>
        </row>
        <row r="377">
          <cell r="D377" t="str">
            <v>413-01-018</v>
          </cell>
          <cell r="O377">
            <v>-25458106.780000001</v>
          </cell>
        </row>
        <row r="378">
          <cell r="D378" t="str">
            <v>413-01-020</v>
          </cell>
          <cell r="O378">
            <v>-273360969.08999997</v>
          </cell>
        </row>
        <row r="379">
          <cell r="D379">
            <v>0</v>
          </cell>
          <cell r="O379">
            <v>0</v>
          </cell>
        </row>
        <row r="380">
          <cell r="D380" t="str">
            <v>413-02-001</v>
          </cell>
          <cell r="O380">
            <v>-2230348844.0700002</v>
          </cell>
        </row>
        <row r="381">
          <cell r="D381" t="str">
            <v>413-02-002</v>
          </cell>
          <cell r="O381">
            <v>-1674648296.8699999</v>
          </cell>
        </row>
        <row r="382">
          <cell r="D382" t="str">
            <v>413-02-003</v>
          </cell>
          <cell r="O382">
            <v>-2093066176.8900001</v>
          </cell>
        </row>
        <row r="383">
          <cell r="D383" t="str">
            <v>413-02-004</v>
          </cell>
          <cell r="O383">
            <v>-1114743013.5699999</v>
          </cell>
        </row>
        <row r="384">
          <cell r="D384" t="str">
            <v>413-02-006</v>
          </cell>
          <cell r="O384">
            <v>-1247888004.0799999</v>
          </cell>
        </row>
        <row r="385">
          <cell r="D385" t="str">
            <v>413-02-007</v>
          </cell>
          <cell r="O385">
            <v>-2932251123.4899998</v>
          </cell>
        </row>
        <row r="386">
          <cell r="D386" t="str">
            <v>413-02-008</v>
          </cell>
          <cell r="O386">
            <v>0</v>
          </cell>
        </row>
        <row r="387">
          <cell r="D387">
            <v>0</v>
          </cell>
          <cell r="O387">
            <v>0</v>
          </cell>
        </row>
        <row r="388">
          <cell r="D388">
            <v>0</v>
          </cell>
          <cell r="O388">
            <v>0</v>
          </cell>
        </row>
        <row r="389">
          <cell r="D389" t="str">
            <v>430-02-001</v>
          </cell>
          <cell r="O389">
            <v>-1667747.61</v>
          </cell>
        </row>
        <row r="390">
          <cell r="D390" t="str">
            <v>430-02-002</v>
          </cell>
          <cell r="O390">
            <v>-26351441.690000001</v>
          </cell>
        </row>
        <row r="391">
          <cell r="D391">
            <v>0</v>
          </cell>
          <cell r="O391">
            <v>0</v>
          </cell>
        </row>
        <row r="392">
          <cell r="D392">
            <v>0</v>
          </cell>
          <cell r="O392">
            <v>0</v>
          </cell>
        </row>
        <row r="393">
          <cell r="D393" t="str">
            <v>503-01-000</v>
          </cell>
          <cell r="O393">
            <v>-51567805.789999999</v>
          </cell>
        </row>
        <row r="394">
          <cell r="D394">
            <v>0</v>
          </cell>
          <cell r="O394">
            <v>0</v>
          </cell>
        </row>
        <row r="395">
          <cell r="D395">
            <v>0</v>
          </cell>
          <cell r="O395">
            <v>0</v>
          </cell>
        </row>
        <row r="396">
          <cell r="D396" t="str">
            <v>506-01-002</v>
          </cell>
          <cell r="O396">
            <v>-202956903.15000001</v>
          </cell>
        </row>
        <row r="397">
          <cell r="D397" t="str">
            <v>506-01-003</v>
          </cell>
          <cell r="O397">
            <v>14605422347.1</v>
          </cell>
        </row>
        <row r="398">
          <cell r="D398" t="str">
            <v>506-01-005</v>
          </cell>
          <cell r="O398">
            <v>2136</v>
          </cell>
        </row>
        <row r="399">
          <cell r="D399">
            <v>0</v>
          </cell>
          <cell r="O399">
            <v>0</v>
          </cell>
        </row>
        <row r="400">
          <cell r="D400" t="str">
            <v>506-02-003</v>
          </cell>
          <cell r="O400">
            <v>10048191343.370001</v>
          </cell>
        </row>
        <row r="401">
          <cell r="D401" t="str">
            <v>506-02-004</v>
          </cell>
          <cell r="O401">
            <v>3731281.03</v>
          </cell>
        </row>
        <row r="402">
          <cell r="D402" t="str">
            <v>506-02-005</v>
          </cell>
          <cell r="O402">
            <v>8010</v>
          </cell>
        </row>
        <row r="403">
          <cell r="D403" t="str">
            <v>506-02-006</v>
          </cell>
          <cell r="O403">
            <v>2002</v>
          </cell>
        </row>
        <row r="404">
          <cell r="D404">
            <v>0</v>
          </cell>
          <cell r="O404">
            <v>0</v>
          </cell>
        </row>
        <row r="405">
          <cell r="D405">
            <v>0</v>
          </cell>
          <cell r="O405">
            <v>0</v>
          </cell>
        </row>
        <row r="406">
          <cell r="D406" t="str">
            <v>507-01-003</v>
          </cell>
          <cell r="O406">
            <v>3981767710.8899999</v>
          </cell>
        </row>
        <row r="407">
          <cell r="D407" t="str">
            <v>507-01-004</v>
          </cell>
          <cell r="O407">
            <v>765936.02</v>
          </cell>
        </row>
        <row r="408">
          <cell r="D408" t="str">
            <v>507-01-005</v>
          </cell>
          <cell r="O408">
            <v>4539</v>
          </cell>
        </row>
        <row r="409">
          <cell r="D409" t="str">
            <v>507-01-006</v>
          </cell>
          <cell r="O409">
            <v>29139</v>
          </cell>
        </row>
        <row r="410">
          <cell r="D410" t="str">
            <v>507-01-007</v>
          </cell>
          <cell r="O410">
            <v>17854231</v>
          </cell>
        </row>
        <row r="411">
          <cell r="D411" t="str">
            <v>507-01-008</v>
          </cell>
          <cell r="O411">
            <v>16298568.51</v>
          </cell>
        </row>
        <row r="412">
          <cell r="D412">
            <v>0</v>
          </cell>
          <cell r="O412">
            <v>0</v>
          </cell>
        </row>
        <row r="413">
          <cell r="D413" t="str">
            <v>507-03-003</v>
          </cell>
          <cell r="O413">
            <v>1964948324.01</v>
          </cell>
        </row>
        <row r="414">
          <cell r="D414" t="str">
            <v>507-03-004</v>
          </cell>
          <cell r="O414">
            <v>1998996.89</v>
          </cell>
        </row>
        <row r="415">
          <cell r="D415">
            <v>0</v>
          </cell>
          <cell r="O415">
            <v>0</v>
          </cell>
        </row>
        <row r="416">
          <cell r="D416" t="str">
            <v>507-05-003</v>
          </cell>
          <cell r="O416">
            <v>561520258.45000005</v>
          </cell>
        </row>
        <row r="417">
          <cell r="D417">
            <v>0</v>
          </cell>
          <cell r="O417">
            <v>0</v>
          </cell>
        </row>
        <row r="418">
          <cell r="D418">
            <v>0</v>
          </cell>
          <cell r="O418">
            <v>0</v>
          </cell>
        </row>
        <row r="419">
          <cell r="D419" t="str">
            <v>508-01-003</v>
          </cell>
          <cell r="O419">
            <v>70203801.290000007</v>
          </cell>
        </row>
        <row r="420">
          <cell r="D420">
            <v>0</v>
          </cell>
          <cell r="O420">
            <v>0</v>
          </cell>
        </row>
        <row r="421">
          <cell r="D421">
            <v>0</v>
          </cell>
          <cell r="O421">
            <v>0</v>
          </cell>
        </row>
        <row r="422">
          <cell r="D422" t="str">
            <v>509-01-003</v>
          </cell>
          <cell r="O422">
            <v>245048771.88999999</v>
          </cell>
        </row>
        <row r="423">
          <cell r="D423">
            <v>0</v>
          </cell>
          <cell r="O423">
            <v>0</v>
          </cell>
        </row>
        <row r="424">
          <cell r="D424">
            <v>0</v>
          </cell>
          <cell r="O424">
            <v>0</v>
          </cell>
        </row>
        <row r="425">
          <cell r="D425" t="str">
            <v>510-01-001</v>
          </cell>
          <cell r="O425">
            <v>1991481780.26</v>
          </cell>
        </row>
        <row r="426">
          <cell r="D426" t="str">
            <v>510-01-002</v>
          </cell>
          <cell r="O426">
            <v>-2396278282.6799998</v>
          </cell>
        </row>
        <row r="427">
          <cell r="D427" t="str">
            <v>510-01-003</v>
          </cell>
          <cell r="O427">
            <v>11419110641.870001</v>
          </cell>
        </row>
        <row r="428">
          <cell r="D428" t="str">
            <v>510-01-004</v>
          </cell>
          <cell r="O428">
            <v>108446.61</v>
          </cell>
        </row>
        <row r="429">
          <cell r="D429" t="str">
            <v>510-01-005</v>
          </cell>
          <cell r="O429">
            <v>5130</v>
          </cell>
        </row>
        <row r="430">
          <cell r="D430" t="str">
            <v>510-01-006</v>
          </cell>
          <cell r="O430">
            <v>4452</v>
          </cell>
        </row>
        <row r="431">
          <cell r="D431">
            <v>0</v>
          </cell>
          <cell r="O431">
            <v>0</v>
          </cell>
        </row>
        <row r="432">
          <cell r="D432" t="str">
            <v>510-02-003</v>
          </cell>
          <cell r="O432">
            <v>337035158.68000001</v>
          </cell>
        </row>
        <row r="433">
          <cell r="D433" t="str">
            <v>510-02-004</v>
          </cell>
          <cell r="O433">
            <v>18365.39</v>
          </cell>
        </row>
        <row r="434">
          <cell r="D434">
            <v>0</v>
          </cell>
          <cell r="O434">
            <v>0</v>
          </cell>
        </row>
        <row r="435">
          <cell r="D435">
            <v>0</v>
          </cell>
          <cell r="O435">
            <v>0</v>
          </cell>
        </row>
        <row r="436">
          <cell r="D436" t="str">
            <v>512-01-003</v>
          </cell>
          <cell r="O436">
            <v>10058491.92</v>
          </cell>
        </row>
        <row r="437">
          <cell r="D437" t="str">
            <v>512-01-004</v>
          </cell>
          <cell r="O437">
            <v>306713290.79000002</v>
          </cell>
        </row>
        <row r="438">
          <cell r="D438">
            <v>0</v>
          </cell>
          <cell r="O438">
            <v>0</v>
          </cell>
        </row>
        <row r="439">
          <cell r="D439">
            <v>0</v>
          </cell>
          <cell r="O439">
            <v>0</v>
          </cell>
        </row>
        <row r="440">
          <cell r="D440" t="str">
            <v>513-01-003</v>
          </cell>
          <cell r="O440">
            <v>790601399.92999995</v>
          </cell>
        </row>
        <row r="441">
          <cell r="D441">
            <v>0</v>
          </cell>
          <cell r="O441">
            <v>0</v>
          </cell>
        </row>
        <row r="442">
          <cell r="D442" t="str">
            <v>513-02-003</v>
          </cell>
          <cell r="O442">
            <v>1018167623.04</v>
          </cell>
        </row>
        <row r="443">
          <cell r="D443">
            <v>0</v>
          </cell>
          <cell r="O443">
            <v>0</v>
          </cell>
        </row>
        <row r="444">
          <cell r="D444">
            <v>0</v>
          </cell>
          <cell r="O444">
            <v>0</v>
          </cell>
        </row>
        <row r="445">
          <cell r="D445" t="str">
            <v>514-01-003</v>
          </cell>
          <cell r="O445">
            <v>418451.91</v>
          </cell>
        </row>
        <row r="446">
          <cell r="D446">
            <v>0</v>
          </cell>
          <cell r="O446">
            <v>0</v>
          </cell>
        </row>
        <row r="447">
          <cell r="D447">
            <v>0</v>
          </cell>
          <cell r="O447">
            <v>0</v>
          </cell>
        </row>
        <row r="448">
          <cell r="D448" t="str">
            <v>515-01-001</v>
          </cell>
          <cell r="O448">
            <v>1545862511.47</v>
          </cell>
        </row>
        <row r="449">
          <cell r="D449" t="str">
            <v>515-01-002</v>
          </cell>
          <cell r="O449">
            <v>2439386529.0500002</v>
          </cell>
        </row>
        <row r="450">
          <cell r="D450" t="str">
            <v>515-01-005</v>
          </cell>
          <cell r="O450">
            <v>0</v>
          </cell>
        </row>
        <row r="451">
          <cell r="D451" t="str">
            <v>515-01-008</v>
          </cell>
          <cell r="O451">
            <v>227693926.59999999</v>
          </cell>
        </row>
        <row r="452">
          <cell r="D452">
            <v>0</v>
          </cell>
          <cell r="O452">
            <v>0</v>
          </cell>
        </row>
        <row r="453">
          <cell r="D453" t="str">
            <v>515-02-001</v>
          </cell>
          <cell r="O453">
            <v>2220754939.29</v>
          </cell>
        </row>
        <row r="454">
          <cell r="D454" t="str">
            <v>515-02-008</v>
          </cell>
          <cell r="O454">
            <v>225668380.13</v>
          </cell>
        </row>
        <row r="455">
          <cell r="D455">
            <v>0</v>
          </cell>
          <cell r="O455">
            <v>0</v>
          </cell>
        </row>
        <row r="456">
          <cell r="D456">
            <v>0</v>
          </cell>
          <cell r="O456">
            <v>0</v>
          </cell>
        </row>
        <row r="457">
          <cell r="D457" t="str">
            <v>603-01-000</v>
          </cell>
          <cell r="O457">
            <v>349732.82</v>
          </cell>
        </row>
        <row r="458">
          <cell r="D458" t="str">
            <v>603-04-000</v>
          </cell>
          <cell r="O458">
            <v>3341.58</v>
          </cell>
        </row>
        <row r="459">
          <cell r="D459" t="str">
            <v>603-15-000</v>
          </cell>
          <cell r="O459">
            <v>2422</v>
          </cell>
        </row>
        <row r="460">
          <cell r="D460" t="str">
            <v>603-19-000</v>
          </cell>
          <cell r="O460">
            <v>4272.84</v>
          </cell>
        </row>
        <row r="461">
          <cell r="D461" t="str">
            <v>603-26-000</v>
          </cell>
          <cell r="O461">
            <v>3850.18</v>
          </cell>
        </row>
        <row r="462">
          <cell r="D462" t="str">
            <v>603-27-000</v>
          </cell>
          <cell r="O462">
            <v>1509.8</v>
          </cell>
        </row>
        <row r="463">
          <cell r="D463" t="str">
            <v>603-28-000</v>
          </cell>
          <cell r="O463">
            <v>1894.8</v>
          </cell>
        </row>
        <row r="464">
          <cell r="D464" t="str">
            <v>603-31-000</v>
          </cell>
          <cell r="O464">
            <v>817337.6</v>
          </cell>
        </row>
        <row r="465">
          <cell r="D465" t="str">
            <v>603-32-000</v>
          </cell>
          <cell r="O465">
            <v>82164765.299999997</v>
          </cell>
        </row>
        <row r="466">
          <cell r="D466" t="str">
            <v>603-33-000</v>
          </cell>
          <cell r="O466">
            <v>7566855.5099999998</v>
          </cell>
        </row>
        <row r="467">
          <cell r="D467" t="str">
            <v>603-34-000</v>
          </cell>
          <cell r="O467">
            <v>2072389</v>
          </cell>
        </row>
        <row r="468">
          <cell r="D468" t="str">
            <v>603-38-000</v>
          </cell>
          <cell r="O468">
            <v>30172294.07</v>
          </cell>
        </row>
        <row r="469">
          <cell r="D469" t="str">
            <v>603-40-000</v>
          </cell>
          <cell r="O469">
            <v>2970347.05</v>
          </cell>
        </row>
        <row r="470">
          <cell r="D470" t="str">
            <v>603-46-000</v>
          </cell>
          <cell r="O470">
            <v>14124609.67</v>
          </cell>
        </row>
        <row r="471">
          <cell r="D471" t="str">
            <v>603-48-000</v>
          </cell>
          <cell r="O471">
            <v>45273.18</v>
          </cell>
        </row>
        <row r="472">
          <cell r="D472">
            <v>0</v>
          </cell>
          <cell r="O472">
            <v>0</v>
          </cell>
        </row>
        <row r="473">
          <cell r="D473" t="str">
            <v>603-49-001</v>
          </cell>
          <cell r="O473">
            <v>430518.62</v>
          </cell>
        </row>
        <row r="474">
          <cell r="D474" t="str">
            <v>603-49-002</v>
          </cell>
          <cell r="O474">
            <v>45656.3</v>
          </cell>
        </row>
        <row r="475">
          <cell r="D475" t="str">
            <v>603-49-003</v>
          </cell>
          <cell r="O475">
            <v>62645.69</v>
          </cell>
        </row>
        <row r="476">
          <cell r="D476" t="str">
            <v>603-49-004</v>
          </cell>
          <cell r="O476">
            <v>13898.41</v>
          </cell>
        </row>
        <row r="477">
          <cell r="D477" t="str">
            <v>603-50-000</v>
          </cell>
          <cell r="O477">
            <v>57217.75</v>
          </cell>
        </row>
        <row r="478">
          <cell r="D478" t="str">
            <v>603-52-000</v>
          </cell>
          <cell r="O478">
            <v>816015122</v>
          </cell>
        </row>
        <row r="479">
          <cell r="D479" t="str">
            <v>603-55-000</v>
          </cell>
          <cell r="O479">
            <v>839585.56</v>
          </cell>
        </row>
        <row r="480">
          <cell r="D480">
            <v>0</v>
          </cell>
          <cell r="O480">
            <v>0</v>
          </cell>
        </row>
        <row r="481">
          <cell r="D481" t="str">
            <v>603-56-001</v>
          </cell>
          <cell r="O481">
            <v>64351.88</v>
          </cell>
        </row>
        <row r="482">
          <cell r="D482" t="str">
            <v>603-56-002</v>
          </cell>
          <cell r="O482">
            <v>9807</v>
          </cell>
        </row>
        <row r="483">
          <cell r="D483" t="str">
            <v>603-57-000</v>
          </cell>
          <cell r="O483">
            <v>80820.42</v>
          </cell>
        </row>
        <row r="484">
          <cell r="D484" t="str">
            <v>603-58-000</v>
          </cell>
          <cell r="O484">
            <v>172345.87</v>
          </cell>
        </row>
        <row r="485">
          <cell r="D485" t="str">
            <v>603-59-000</v>
          </cell>
          <cell r="O485">
            <v>3483</v>
          </cell>
        </row>
        <row r="486">
          <cell r="D486" t="str">
            <v>603-60-000</v>
          </cell>
          <cell r="O486">
            <v>665650.64</v>
          </cell>
        </row>
        <row r="487">
          <cell r="D487" t="str">
            <v>603-61-000</v>
          </cell>
          <cell r="O487">
            <v>369650.6</v>
          </cell>
        </row>
        <row r="488">
          <cell r="D488" t="str">
            <v>603-62-000</v>
          </cell>
          <cell r="O488">
            <v>398158.18</v>
          </cell>
        </row>
        <row r="489">
          <cell r="D489" t="str">
            <v>603-72-000</v>
          </cell>
          <cell r="O489">
            <v>270020.71000000002</v>
          </cell>
        </row>
        <row r="490">
          <cell r="D490" t="str">
            <v>603-74-000</v>
          </cell>
          <cell r="O490">
            <v>8350.68</v>
          </cell>
        </row>
        <row r="491">
          <cell r="D491" t="str">
            <v>603-81-000</v>
          </cell>
          <cell r="O491">
            <v>1174469.5900000001</v>
          </cell>
        </row>
        <row r="492">
          <cell r="D492" t="str">
            <v>603-82-000</v>
          </cell>
          <cell r="O492">
            <v>8927850.4900000002</v>
          </cell>
        </row>
        <row r="493">
          <cell r="D493">
            <v>0</v>
          </cell>
          <cell r="O493">
            <v>0</v>
          </cell>
        </row>
        <row r="494">
          <cell r="D494">
            <v>0</v>
          </cell>
          <cell r="O494">
            <v>0</v>
          </cell>
        </row>
        <row r="495">
          <cell r="D495" t="str">
            <v>611-01-001</v>
          </cell>
          <cell r="O495">
            <v>2452523282</v>
          </cell>
        </row>
        <row r="496">
          <cell r="D496" t="str">
            <v>611-01-002</v>
          </cell>
          <cell r="O496">
            <v>-928631</v>
          </cell>
        </row>
        <row r="497">
          <cell r="D497">
            <v>0</v>
          </cell>
          <cell r="O497">
            <v>0</v>
          </cell>
        </row>
        <row r="498">
          <cell r="D498" t="str">
            <v>613-03-000</v>
          </cell>
          <cell r="O498">
            <v>52153.26</v>
          </cell>
        </row>
        <row r="499">
          <cell r="D499" t="str">
            <v>613-04-000</v>
          </cell>
          <cell r="O499">
            <v>693.36</v>
          </cell>
        </row>
        <row r="500">
          <cell r="D500" t="str">
            <v>613-05-000</v>
          </cell>
          <cell r="O500">
            <v>468878.41</v>
          </cell>
        </row>
        <row r="501">
          <cell r="D501">
            <v>0</v>
          </cell>
          <cell r="O501">
            <v>0</v>
          </cell>
        </row>
        <row r="502">
          <cell r="D502" t="str">
            <v>614-04-000</v>
          </cell>
          <cell r="O502">
            <v>1889608.17</v>
          </cell>
        </row>
        <row r="503">
          <cell r="D503">
            <v>0</v>
          </cell>
          <cell r="O503">
            <v>0</v>
          </cell>
        </row>
        <row r="504">
          <cell r="D504">
            <v>0</v>
          </cell>
          <cell r="O504">
            <v>0</v>
          </cell>
        </row>
        <row r="505">
          <cell r="D505" t="str">
            <v>701-01-000</v>
          </cell>
          <cell r="O505">
            <v>862211121.22000003</v>
          </cell>
        </row>
        <row r="506">
          <cell r="D506">
            <v>0</v>
          </cell>
          <cell r="O506">
            <v>0</v>
          </cell>
        </row>
        <row r="507">
          <cell r="D507" t="str">
            <v>701-11-001</v>
          </cell>
          <cell r="O507">
            <v>1776286.19</v>
          </cell>
        </row>
        <row r="508">
          <cell r="D508" t="str">
            <v>701-11-002</v>
          </cell>
          <cell r="O508">
            <v>22739054.149999999</v>
          </cell>
        </row>
        <row r="509">
          <cell r="D509">
            <v>0</v>
          </cell>
          <cell r="O509">
            <v>0</v>
          </cell>
        </row>
        <row r="510">
          <cell r="D510" t="str">
            <v>702-01-000</v>
          </cell>
          <cell r="O510">
            <v>-724085035.77999997</v>
          </cell>
        </row>
        <row r="511">
          <cell r="D511" t="str">
            <v>702-04-000</v>
          </cell>
          <cell r="O511">
            <v>-63598156.82</v>
          </cell>
        </row>
        <row r="512">
          <cell r="D512" t="str">
            <v>702-08-000</v>
          </cell>
          <cell r="O512">
            <v>-2659073.88</v>
          </cell>
        </row>
        <row r="513">
          <cell r="D513">
            <v>0</v>
          </cell>
          <cell r="O513">
            <v>0</v>
          </cell>
        </row>
        <row r="514">
          <cell r="D514" t="str">
            <v>703-21-000</v>
          </cell>
          <cell r="O514">
            <v>18.420000000000002</v>
          </cell>
        </row>
        <row r="515">
          <cell r="D515">
            <v>0</v>
          </cell>
          <cell r="O515">
            <v>0</v>
          </cell>
        </row>
        <row r="516">
          <cell r="D516">
            <v>0</v>
          </cell>
          <cell r="O516">
            <v>0</v>
          </cell>
        </row>
        <row r="517">
          <cell r="D517">
            <v>0</v>
          </cell>
          <cell r="O517">
            <v>0</v>
          </cell>
        </row>
        <row r="518">
          <cell r="D518">
            <v>0</v>
          </cell>
          <cell r="O518">
            <v>0</v>
          </cell>
        </row>
        <row r="519">
          <cell r="D519">
            <v>0</v>
          </cell>
          <cell r="O519">
            <v>0</v>
          </cell>
        </row>
        <row r="520">
          <cell r="D520">
            <v>0</v>
          </cell>
          <cell r="O520">
            <v>0</v>
          </cell>
        </row>
        <row r="521">
          <cell r="D521">
            <v>0</v>
          </cell>
          <cell r="O521">
            <v>0</v>
          </cell>
        </row>
        <row r="522">
          <cell r="D522">
            <v>0</v>
          </cell>
          <cell r="O522">
            <v>0</v>
          </cell>
        </row>
        <row r="523">
          <cell r="D523">
            <v>0</v>
          </cell>
          <cell r="O523">
            <v>0</v>
          </cell>
        </row>
        <row r="524">
          <cell r="D524">
            <v>0</v>
          </cell>
          <cell r="O524">
            <v>0</v>
          </cell>
        </row>
        <row r="525">
          <cell r="D525">
            <v>0</v>
          </cell>
          <cell r="O525">
            <v>0</v>
          </cell>
        </row>
        <row r="526">
          <cell r="D526">
            <v>0</v>
          </cell>
          <cell r="O526">
            <v>0</v>
          </cell>
        </row>
        <row r="527">
          <cell r="D527">
            <v>0</v>
          </cell>
          <cell r="O527">
            <v>0</v>
          </cell>
        </row>
        <row r="528">
          <cell r="D528">
            <v>0</v>
          </cell>
          <cell r="O528">
            <v>0</v>
          </cell>
        </row>
        <row r="529">
          <cell r="D529">
            <v>0</v>
          </cell>
          <cell r="O529">
            <v>0</v>
          </cell>
        </row>
        <row r="530">
          <cell r="D530">
            <v>0</v>
          </cell>
          <cell r="O530">
            <v>0</v>
          </cell>
        </row>
        <row r="531">
          <cell r="D531">
            <v>0</v>
          </cell>
          <cell r="O531">
            <v>0</v>
          </cell>
        </row>
        <row r="532">
          <cell r="D532">
            <v>0</v>
          </cell>
          <cell r="O532">
            <v>0</v>
          </cell>
        </row>
        <row r="533">
          <cell r="D533">
            <v>0</v>
          </cell>
          <cell r="O533">
            <v>0</v>
          </cell>
        </row>
        <row r="534">
          <cell r="D534">
            <v>0</v>
          </cell>
          <cell r="O534">
            <v>0</v>
          </cell>
        </row>
        <row r="535">
          <cell r="D535">
            <v>0</v>
          </cell>
          <cell r="O535">
            <v>0</v>
          </cell>
        </row>
        <row r="536">
          <cell r="D536">
            <v>0</v>
          </cell>
          <cell r="O536">
            <v>0</v>
          </cell>
        </row>
        <row r="537">
          <cell r="D537">
            <v>0</v>
          </cell>
          <cell r="O537">
            <v>0</v>
          </cell>
        </row>
        <row r="538">
          <cell r="D538">
            <v>0</v>
          </cell>
          <cell r="O538">
            <v>0</v>
          </cell>
        </row>
        <row r="539">
          <cell r="D539">
            <v>0</v>
          </cell>
          <cell r="O539">
            <v>0</v>
          </cell>
        </row>
        <row r="540">
          <cell r="D540">
            <v>0</v>
          </cell>
          <cell r="O540">
            <v>0</v>
          </cell>
        </row>
        <row r="541">
          <cell r="D541">
            <v>0</v>
          </cell>
          <cell r="O541">
            <v>0</v>
          </cell>
        </row>
        <row r="542">
          <cell r="D542">
            <v>0</v>
          </cell>
          <cell r="O542">
            <v>0</v>
          </cell>
        </row>
        <row r="543">
          <cell r="D543">
            <v>0</v>
          </cell>
          <cell r="O543">
            <v>0</v>
          </cell>
        </row>
        <row r="544">
          <cell r="D544">
            <v>0</v>
          </cell>
          <cell r="O544">
            <v>0</v>
          </cell>
        </row>
        <row r="545">
          <cell r="D545">
            <v>0</v>
          </cell>
          <cell r="O545">
            <v>0</v>
          </cell>
        </row>
        <row r="546">
          <cell r="D546">
            <v>0</v>
          </cell>
          <cell r="O546">
            <v>0</v>
          </cell>
        </row>
        <row r="547">
          <cell r="D547">
            <v>0</v>
          </cell>
          <cell r="O547">
            <v>0</v>
          </cell>
        </row>
        <row r="548">
          <cell r="D548">
            <v>0</v>
          </cell>
          <cell r="O548">
            <v>0</v>
          </cell>
        </row>
        <row r="549">
          <cell r="D549">
            <v>0</v>
          </cell>
          <cell r="O549">
            <v>0</v>
          </cell>
        </row>
        <row r="550">
          <cell r="D550">
            <v>0</v>
          </cell>
          <cell r="O550">
            <v>0</v>
          </cell>
        </row>
        <row r="551">
          <cell r="D551">
            <v>0</v>
          </cell>
          <cell r="O551">
            <v>0</v>
          </cell>
        </row>
        <row r="552">
          <cell r="D552">
            <v>0</v>
          </cell>
          <cell r="O552">
            <v>0</v>
          </cell>
        </row>
        <row r="553">
          <cell r="D553">
            <v>0</v>
          </cell>
          <cell r="O553">
            <v>0</v>
          </cell>
        </row>
        <row r="554">
          <cell r="D554">
            <v>0</v>
          </cell>
          <cell r="O554">
            <v>0</v>
          </cell>
        </row>
        <row r="555">
          <cell r="D555">
            <v>0</v>
          </cell>
          <cell r="O555">
            <v>0</v>
          </cell>
        </row>
        <row r="556">
          <cell r="D556">
            <v>0</v>
          </cell>
          <cell r="O556">
            <v>0</v>
          </cell>
        </row>
        <row r="557">
          <cell r="D557">
            <v>0</v>
          </cell>
          <cell r="O557">
            <v>0</v>
          </cell>
        </row>
        <row r="558">
          <cell r="D558">
            <v>0</v>
          </cell>
          <cell r="O558">
            <v>0</v>
          </cell>
        </row>
        <row r="559">
          <cell r="D559">
            <v>0</v>
          </cell>
          <cell r="O559">
            <v>0</v>
          </cell>
        </row>
        <row r="560">
          <cell r="D560">
            <v>0</v>
          </cell>
          <cell r="O560">
            <v>0</v>
          </cell>
        </row>
        <row r="561">
          <cell r="D561">
            <v>0</v>
          </cell>
          <cell r="O561">
            <v>0</v>
          </cell>
        </row>
        <row r="562">
          <cell r="D562">
            <v>0</v>
          </cell>
          <cell r="O562">
            <v>0</v>
          </cell>
        </row>
        <row r="563">
          <cell r="D563">
            <v>0</v>
          </cell>
          <cell r="O563">
            <v>0</v>
          </cell>
        </row>
        <row r="564">
          <cell r="D564">
            <v>0</v>
          </cell>
          <cell r="O564">
            <v>0</v>
          </cell>
        </row>
        <row r="565">
          <cell r="D565">
            <v>0</v>
          </cell>
          <cell r="O565">
            <v>0</v>
          </cell>
        </row>
        <row r="566">
          <cell r="D566">
            <v>0</v>
          </cell>
          <cell r="O566">
            <v>0</v>
          </cell>
        </row>
        <row r="567">
          <cell r="D567">
            <v>0</v>
          </cell>
          <cell r="O567">
            <v>0</v>
          </cell>
        </row>
        <row r="568">
          <cell r="D568">
            <v>0</v>
          </cell>
          <cell r="O568">
            <v>0</v>
          </cell>
        </row>
        <row r="569">
          <cell r="D569">
            <v>0</v>
          </cell>
          <cell r="O569">
            <v>0</v>
          </cell>
        </row>
        <row r="570">
          <cell r="D570">
            <v>0</v>
          </cell>
          <cell r="O570">
            <v>0</v>
          </cell>
        </row>
        <row r="571">
          <cell r="D571">
            <v>0</v>
          </cell>
          <cell r="O571">
            <v>0</v>
          </cell>
        </row>
        <row r="572">
          <cell r="D572">
            <v>0</v>
          </cell>
          <cell r="O572">
            <v>0</v>
          </cell>
        </row>
        <row r="573">
          <cell r="D573">
            <v>0</v>
          </cell>
          <cell r="O573">
            <v>0</v>
          </cell>
        </row>
        <row r="574">
          <cell r="D574">
            <v>0</v>
          </cell>
          <cell r="O574">
            <v>0</v>
          </cell>
        </row>
        <row r="575">
          <cell r="D575">
            <v>0</v>
          </cell>
          <cell r="O575">
            <v>0</v>
          </cell>
        </row>
        <row r="576">
          <cell r="D576">
            <v>0</v>
          </cell>
          <cell r="O576">
            <v>0</v>
          </cell>
        </row>
        <row r="577">
          <cell r="D577">
            <v>0</v>
          </cell>
          <cell r="O577">
            <v>0</v>
          </cell>
        </row>
        <row r="578">
          <cell r="D578">
            <v>0</v>
          </cell>
          <cell r="O578">
            <v>0</v>
          </cell>
        </row>
        <row r="579">
          <cell r="D579">
            <v>0</v>
          </cell>
          <cell r="O579">
            <v>0</v>
          </cell>
        </row>
        <row r="580">
          <cell r="D580">
            <v>0</v>
          </cell>
          <cell r="O580">
            <v>0</v>
          </cell>
        </row>
        <row r="581">
          <cell r="D581">
            <v>0</v>
          </cell>
          <cell r="O581">
            <v>0</v>
          </cell>
        </row>
        <row r="582">
          <cell r="D582">
            <v>0</v>
          </cell>
          <cell r="O582">
            <v>0</v>
          </cell>
        </row>
        <row r="583">
          <cell r="D583">
            <v>0</v>
          </cell>
          <cell r="O583">
            <v>0</v>
          </cell>
        </row>
        <row r="584">
          <cell r="D584">
            <v>0</v>
          </cell>
          <cell r="O584">
            <v>0</v>
          </cell>
        </row>
        <row r="585">
          <cell r="D585">
            <v>0</v>
          </cell>
          <cell r="O585">
            <v>0</v>
          </cell>
        </row>
        <row r="586">
          <cell r="D586">
            <v>0</v>
          </cell>
          <cell r="O586">
            <v>0</v>
          </cell>
        </row>
        <row r="587">
          <cell r="D587">
            <v>0</v>
          </cell>
          <cell r="O587">
            <v>0</v>
          </cell>
        </row>
        <row r="588">
          <cell r="D588">
            <v>0</v>
          </cell>
          <cell r="O588">
            <v>0</v>
          </cell>
        </row>
        <row r="589">
          <cell r="D589">
            <v>0</v>
          </cell>
          <cell r="O589">
            <v>0</v>
          </cell>
        </row>
        <row r="590">
          <cell r="D590">
            <v>0</v>
          </cell>
          <cell r="O590">
            <v>0</v>
          </cell>
        </row>
        <row r="591">
          <cell r="D591">
            <v>0</v>
          </cell>
          <cell r="O591">
            <v>0</v>
          </cell>
        </row>
        <row r="592">
          <cell r="D592">
            <v>0</v>
          </cell>
          <cell r="O592">
            <v>0</v>
          </cell>
        </row>
        <row r="593">
          <cell r="D593">
            <v>0</v>
          </cell>
          <cell r="O593">
            <v>0</v>
          </cell>
        </row>
        <row r="594">
          <cell r="D594">
            <v>0</v>
          </cell>
          <cell r="O594">
            <v>0</v>
          </cell>
        </row>
        <row r="595">
          <cell r="D595">
            <v>0</v>
          </cell>
          <cell r="O595">
            <v>0</v>
          </cell>
        </row>
        <row r="596">
          <cell r="D596">
            <v>0</v>
          </cell>
          <cell r="O596">
            <v>0</v>
          </cell>
        </row>
        <row r="597">
          <cell r="D597">
            <v>0</v>
          </cell>
          <cell r="O597">
            <v>0</v>
          </cell>
        </row>
        <row r="598">
          <cell r="D598">
            <v>0</v>
          </cell>
          <cell r="O598">
            <v>0</v>
          </cell>
        </row>
        <row r="599">
          <cell r="D599">
            <v>0</v>
          </cell>
          <cell r="O599">
            <v>0</v>
          </cell>
        </row>
        <row r="600">
          <cell r="D600">
            <v>0</v>
          </cell>
          <cell r="O600">
            <v>0</v>
          </cell>
        </row>
        <row r="601">
          <cell r="D601">
            <v>0</v>
          </cell>
          <cell r="O601">
            <v>0</v>
          </cell>
        </row>
        <row r="602">
          <cell r="D602">
            <v>0</v>
          </cell>
          <cell r="O602">
            <v>0</v>
          </cell>
        </row>
        <row r="603">
          <cell r="D603">
            <v>0</v>
          </cell>
          <cell r="O603">
            <v>0</v>
          </cell>
        </row>
        <row r="604">
          <cell r="D604">
            <v>0</v>
          </cell>
          <cell r="O604">
            <v>0</v>
          </cell>
        </row>
        <row r="605">
          <cell r="D605">
            <v>0</v>
          </cell>
          <cell r="O605">
            <v>0</v>
          </cell>
        </row>
        <row r="606">
          <cell r="D606">
            <v>0</v>
          </cell>
          <cell r="O606">
            <v>0</v>
          </cell>
        </row>
        <row r="607">
          <cell r="D607">
            <v>0</v>
          </cell>
          <cell r="O607">
            <v>0</v>
          </cell>
        </row>
        <row r="608">
          <cell r="D608">
            <v>0</v>
          </cell>
          <cell r="O608">
            <v>0</v>
          </cell>
        </row>
        <row r="609">
          <cell r="D609">
            <v>0</v>
          </cell>
          <cell r="O609">
            <v>0</v>
          </cell>
        </row>
        <row r="610">
          <cell r="D610">
            <v>0</v>
          </cell>
          <cell r="O610">
            <v>0</v>
          </cell>
        </row>
        <row r="611">
          <cell r="D611">
            <v>0</v>
          </cell>
          <cell r="O611">
            <v>0</v>
          </cell>
        </row>
        <row r="612">
          <cell r="D612">
            <v>0</v>
          </cell>
          <cell r="O612">
            <v>0</v>
          </cell>
        </row>
        <row r="613">
          <cell r="D613">
            <v>0</v>
          </cell>
          <cell r="O613">
            <v>0</v>
          </cell>
        </row>
        <row r="614">
          <cell r="D614">
            <v>0</v>
          </cell>
          <cell r="O614">
            <v>0</v>
          </cell>
        </row>
        <row r="615">
          <cell r="D615">
            <v>0</v>
          </cell>
          <cell r="O615">
            <v>0</v>
          </cell>
        </row>
        <row r="616">
          <cell r="D616">
            <v>0</v>
          </cell>
          <cell r="O616">
            <v>0</v>
          </cell>
        </row>
        <row r="617">
          <cell r="D617">
            <v>0</v>
          </cell>
          <cell r="O617">
            <v>0</v>
          </cell>
        </row>
        <row r="618">
          <cell r="D618">
            <v>0</v>
          </cell>
          <cell r="O618">
            <v>0</v>
          </cell>
        </row>
        <row r="619">
          <cell r="D619">
            <v>0</v>
          </cell>
          <cell r="O619">
            <v>0</v>
          </cell>
        </row>
        <row r="620">
          <cell r="D620">
            <v>0</v>
          </cell>
          <cell r="O620">
            <v>0</v>
          </cell>
        </row>
        <row r="621">
          <cell r="D621">
            <v>0</v>
          </cell>
          <cell r="O621">
            <v>0</v>
          </cell>
        </row>
        <row r="622">
          <cell r="D622">
            <v>0</v>
          </cell>
          <cell r="O622">
            <v>0</v>
          </cell>
        </row>
        <row r="623">
          <cell r="D623">
            <v>0</v>
          </cell>
          <cell r="O623">
            <v>0</v>
          </cell>
        </row>
        <row r="624">
          <cell r="D624">
            <v>0</v>
          </cell>
          <cell r="O624">
            <v>0</v>
          </cell>
        </row>
        <row r="625">
          <cell r="D625">
            <v>0</v>
          </cell>
          <cell r="O625">
            <v>0</v>
          </cell>
        </row>
        <row r="626">
          <cell r="D626">
            <v>0</v>
          </cell>
          <cell r="O626">
            <v>0</v>
          </cell>
        </row>
        <row r="627">
          <cell r="D627">
            <v>0</v>
          </cell>
          <cell r="O627">
            <v>0</v>
          </cell>
        </row>
        <row r="628">
          <cell r="D628">
            <v>0</v>
          </cell>
          <cell r="O628">
            <v>0</v>
          </cell>
        </row>
        <row r="629">
          <cell r="D629">
            <v>0</v>
          </cell>
          <cell r="O629">
            <v>0</v>
          </cell>
        </row>
        <row r="630">
          <cell r="D630">
            <v>0</v>
          </cell>
          <cell r="O630">
            <v>0</v>
          </cell>
        </row>
        <row r="631">
          <cell r="D631">
            <v>0</v>
          </cell>
          <cell r="O631">
            <v>0</v>
          </cell>
        </row>
        <row r="632">
          <cell r="D632">
            <v>0</v>
          </cell>
          <cell r="O632">
            <v>0</v>
          </cell>
        </row>
        <row r="633">
          <cell r="D633">
            <v>0</v>
          </cell>
          <cell r="O633">
            <v>0</v>
          </cell>
        </row>
        <row r="634">
          <cell r="D634">
            <v>0</v>
          </cell>
          <cell r="O634">
            <v>0</v>
          </cell>
        </row>
        <row r="635">
          <cell r="D635">
            <v>0</v>
          </cell>
          <cell r="O635">
            <v>0</v>
          </cell>
        </row>
        <row r="636">
          <cell r="D636">
            <v>0</v>
          </cell>
          <cell r="O636">
            <v>0</v>
          </cell>
        </row>
        <row r="637">
          <cell r="D637">
            <v>0</v>
          </cell>
          <cell r="O637">
            <v>0</v>
          </cell>
        </row>
        <row r="638">
          <cell r="D638">
            <v>0</v>
          </cell>
          <cell r="O638">
            <v>0</v>
          </cell>
        </row>
        <row r="639">
          <cell r="D639">
            <v>0</v>
          </cell>
          <cell r="O639">
            <v>0</v>
          </cell>
        </row>
        <row r="640">
          <cell r="D640">
            <v>0</v>
          </cell>
          <cell r="O640">
            <v>0</v>
          </cell>
        </row>
        <row r="641">
          <cell r="D641">
            <v>0</v>
          </cell>
          <cell r="O641">
            <v>0</v>
          </cell>
        </row>
        <row r="642">
          <cell r="D642">
            <v>0</v>
          </cell>
          <cell r="O642">
            <v>0</v>
          </cell>
        </row>
        <row r="643">
          <cell r="D643">
            <v>0</v>
          </cell>
          <cell r="O643">
            <v>0</v>
          </cell>
        </row>
        <row r="644">
          <cell r="D644">
            <v>0</v>
          </cell>
          <cell r="O644">
            <v>0</v>
          </cell>
        </row>
        <row r="645">
          <cell r="D645">
            <v>0</v>
          </cell>
          <cell r="O645">
            <v>0</v>
          </cell>
        </row>
        <row r="646">
          <cell r="D646">
            <v>0</v>
          </cell>
          <cell r="O646">
            <v>0</v>
          </cell>
        </row>
        <row r="647">
          <cell r="D647">
            <v>0</v>
          </cell>
          <cell r="O647">
            <v>0</v>
          </cell>
        </row>
        <row r="648">
          <cell r="D648">
            <v>0</v>
          </cell>
          <cell r="O648">
            <v>0</v>
          </cell>
        </row>
        <row r="649">
          <cell r="D649">
            <v>0</v>
          </cell>
          <cell r="O649">
            <v>0</v>
          </cell>
        </row>
        <row r="650">
          <cell r="D650">
            <v>0</v>
          </cell>
          <cell r="O650">
            <v>0</v>
          </cell>
        </row>
        <row r="651">
          <cell r="D651">
            <v>0</v>
          </cell>
          <cell r="O651">
            <v>0</v>
          </cell>
        </row>
        <row r="652">
          <cell r="D652">
            <v>0</v>
          </cell>
          <cell r="O652">
            <v>0</v>
          </cell>
        </row>
        <row r="653">
          <cell r="D653">
            <v>0</v>
          </cell>
          <cell r="O653">
            <v>0</v>
          </cell>
        </row>
        <row r="654">
          <cell r="D654">
            <v>0</v>
          </cell>
          <cell r="O654">
            <v>0</v>
          </cell>
        </row>
        <row r="655">
          <cell r="D655">
            <v>0</v>
          </cell>
          <cell r="O655">
            <v>0</v>
          </cell>
        </row>
        <row r="656">
          <cell r="D656">
            <v>0</v>
          </cell>
          <cell r="O656">
            <v>0</v>
          </cell>
        </row>
        <row r="657">
          <cell r="D657">
            <v>0</v>
          </cell>
          <cell r="O657">
            <v>0</v>
          </cell>
        </row>
        <row r="658">
          <cell r="D658">
            <v>0</v>
          </cell>
          <cell r="O658">
            <v>0</v>
          </cell>
        </row>
        <row r="659">
          <cell r="D659">
            <v>0</v>
          </cell>
          <cell r="O659">
            <v>0</v>
          </cell>
        </row>
        <row r="660">
          <cell r="D660">
            <v>0</v>
          </cell>
          <cell r="O660">
            <v>0</v>
          </cell>
        </row>
        <row r="661">
          <cell r="D661">
            <v>0</v>
          </cell>
          <cell r="O661">
            <v>0</v>
          </cell>
        </row>
        <row r="662">
          <cell r="D662">
            <v>0</v>
          </cell>
          <cell r="O662">
            <v>0</v>
          </cell>
        </row>
        <row r="663">
          <cell r="D663">
            <v>0</v>
          </cell>
          <cell r="O663">
            <v>0</v>
          </cell>
        </row>
        <row r="664">
          <cell r="D664">
            <v>0</v>
          </cell>
          <cell r="O664">
            <v>0</v>
          </cell>
        </row>
        <row r="665">
          <cell r="D665">
            <v>0</v>
          </cell>
          <cell r="O665">
            <v>0</v>
          </cell>
        </row>
        <row r="666">
          <cell r="D666">
            <v>0</v>
          </cell>
          <cell r="O666">
            <v>0</v>
          </cell>
        </row>
        <row r="667">
          <cell r="D667">
            <v>0</v>
          </cell>
          <cell r="O667">
            <v>0</v>
          </cell>
        </row>
        <row r="668">
          <cell r="D668">
            <v>0</v>
          </cell>
          <cell r="O668">
            <v>0</v>
          </cell>
        </row>
        <row r="669">
          <cell r="D669">
            <v>0</v>
          </cell>
          <cell r="O669">
            <v>0</v>
          </cell>
        </row>
        <row r="670">
          <cell r="D670">
            <v>0</v>
          </cell>
          <cell r="O670">
            <v>0</v>
          </cell>
        </row>
        <row r="671">
          <cell r="D671">
            <v>0</v>
          </cell>
          <cell r="O671">
            <v>0</v>
          </cell>
        </row>
        <row r="672">
          <cell r="D672">
            <v>0</v>
          </cell>
          <cell r="O672">
            <v>0</v>
          </cell>
        </row>
        <row r="673">
          <cell r="D673">
            <v>0</v>
          </cell>
          <cell r="O673">
            <v>0</v>
          </cell>
        </row>
        <row r="674">
          <cell r="D674">
            <v>0</v>
          </cell>
          <cell r="O674">
            <v>0</v>
          </cell>
        </row>
        <row r="675">
          <cell r="D675">
            <v>0</v>
          </cell>
          <cell r="O675">
            <v>0</v>
          </cell>
        </row>
        <row r="676">
          <cell r="D676">
            <v>0</v>
          </cell>
          <cell r="O676">
            <v>0</v>
          </cell>
        </row>
        <row r="677">
          <cell r="D677">
            <v>0</v>
          </cell>
          <cell r="O677">
            <v>0</v>
          </cell>
        </row>
        <row r="678">
          <cell r="D678">
            <v>0</v>
          </cell>
          <cell r="O678">
            <v>0</v>
          </cell>
        </row>
        <row r="679">
          <cell r="D679">
            <v>0</v>
          </cell>
          <cell r="O679">
            <v>0</v>
          </cell>
        </row>
        <row r="680">
          <cell r="D680">
            <v>0</v>
          </cell>
          <cell r="O680">
            <v>0</v>
          </cell>
        </row>
        <row r="681">
          <cell r="D681">
            <v>0</v>
          </cell>
          <cell r="O681">
            <v>0</v>
          </cell>
        </row>
        <row r="682">
          <cell r="D682">
            <v>0</v>
          </cell>
          <cell r="O682">
            <v>0</v>
          </cell>
        </row>
        <row r="683">
          <cell r="D683">
            <v>0</v>
          </cell>
          <cell r="O683">
            <v>0</v>
          </cell>
        </row>
        <row r="684">
          <cell r="D684">
            <v>0</v>
          </cell>
          <cell r="O684">
            <v>0</v>
          </cell>
        </row>
        <row r="685">
          <cell r="D685">
            <v>0</v>
          </cell>
          <cell r="O685">
            <v>0</v>
          </cell>
        </row>
        <row r="686">
          <cell r="D686">
            <v>0</v>
          </cell>
          <cell r="O686">
            <v>0</v>
          </cell>
        </row>
        <row r="687">
          <cell r="D687">
            <v>0</v>
          </cell>
          <cell r="O687">
            <v>0</v>
          </cell>
        </row>
        <row r="688">
          <cell r="D688">
            <v>0</v>
          </cell>
          <cell r="O688">
            <v>0</v>
          </cell>
        </row>
        <row r="689">
          <cell r="D689">
            <v>0</v>
          </cell>
          <cell r="O689">
            <v>0</v>
          </cell>
        </row>
        <row r="690">
          <cell r="D690">
            <v>0</v>
          </cell>
          <cell r="O690">
            <v>0</v>
          </cell>
        </row>
        <row r="691">
          <cell r="D691">
            <v>0</v>
          </cell>
          <cell r="O691">
            <v>0</v>
          </cell>
        </row>
        <row r="692">
          <cell r="D692">
            <v>0</v>
          </cell>
          <cell r="O692">
            <v>0</v>
          </cell>
        </row>
        <row r="693">
          <cell r="D693">
            <v>0</v>
          </cell>
          <cell r="O693">
            <v>0</v>
          </cell>
        </row>
        <row r="694">
          <cell r="D694">
            <v>0</v>
          </cell>
          <cell r="O694">
            <v>0</v>
          </cell>
        </row>
        <row r="695">
          <cell r="D695">
            <v>0</v>
          </cell>
          <cell r="O695">
            <v>0</v>
          </cell>
        </row>
        <row r="696">
          <cell r="D696">
            <v>0</v>
          </cell>
          <cell r="O696">
            <v>0</v>
          </cell>
        </row>
        <row r="697">
          <cell r="D697">
            <v>0</v>
          </cell>
          <cell r="O697">
            <v>0</v>
          </cell>
        </row>
        <row r="698">
          <cell r="D698">
            <v>0</v>
          </cell>
          <cell r="O698">
            <v>0</v>
          </cell>
        </row>
        <row r="699">
          <cell r="D699">
            <v>0</v>
          </cell>
          <cell r="O699">
            <v>0</v>
          </cell>
        </row>
        <row r="700">
          <cell r="D700">
            <v>0</v>
          </cell>
          <cell r="O700">
            <v>0</v>
          </cell>
        </row>
        <row r="701">
          <cell r="D701">
            <v>0</v>
          </cell>
          <cell r="O701">
            <v>0</v>
          </cell>
        </row>
        <row r="702">
          <cell r="D702">
            <v>0</v>
          </cell>
          <cell r="O702">
            <v>0</v>
          </cell>
        </row>
        <row r="703">
          <cell r="D703">
            <v>0</v>
          </cell>
          <cell r="O703">
            <v>0</v>
          </cell>
        </row>
        <row r="704">
          <cell r="D704">
            <v>0</v>
          </cell>
          <cell r="O704">
            <v>0</v>
          </cell>
        </row>
        <row r="705">
          <cell r="D705">
            <v>0</v>
          </cell>
          <cell r="O705">
            <v>0</v>
          </cell>
        </row>
        <row r="706">
          <cell r="D706">
            <v>0</v>
          </cell>
          <cell r="O706">
            <v>0</v>
          </cell>
        </row>
        <row r="707">
          <cell r="D707">
            <v>0</v>
          </cell>
          <cell r="O707">
            <v>0</v>
          </cell>
        </row>
        <row r="708">
          <cell r="D708">
            <v>0</v>
          </cell>
          <cell r="O708">
            <v>0</v>
          </cell>
        </row>
        <row r="709">
          <cell r="D709">
            <v>0</v>
          </cell>
          <cell r="O709">
            <v>0</v>
          </cell>
        </row>
        <row r="710">
          <cell r="D710">
            <v>0</v>
          </cell>
          <cell r="O710">
            <v>0</v>
          </cell>
        </row>
        <row r="711">
          <cell r="D711">
            <v>0</v>
          </cell>
          <cell r="O711">
            <v>0</v>
          </cell>
        </row>
        <row r="712">
          <cell r="D712">
            <v>0</v>
          </cell>
          <cell r="O712">
            <v>0</v>
          </cell>
        </row>
        <row r="713">
          <cell r="D713">
            <v>0</v>
          </cell>
          <cell r="O713">
            <v>0</v>
          </cell>
        </row>
        <row r="714">
          <cell r="D714">
            <v>0</v>
          </cell>
          <cell r="O714">
            <v>0</v>
          </cell>
        </row>
        <row r="715">
          <cell r="D715">
            <v>0</v>
          </cell>
          <cell r="O715">
            <v>0</v>
          </cell>
        </row>
        <row r="716">
          <cell r="D716">
            <v>0</v>
          </cell>
          <cell r="O716">
            <v>0</v>
          </cell>
        </row>
        <row r="717">
          <cell r="D717">
            <v>0</v>
          </cell>
          <cell r="O717">
            <v>0</v>
          </cell>
        </row>
        <row r="718">
          <cell r="D718">
            <v>0</v>
          </cell>
          <cell r="O718">
            <v>0</v>
          </cell>
        </row>
        <row r="719">
          <cell r="D719">
            <v>0</v>
          </cell>
          <cell r="O719">
            <v>0</v>
          </cell>
        </row>
        <row r="720">
          <cell r="D720">
            <v>0</v>
          </cell>
          <cell r="O720">
            <v>0</v>
          </cell>
        </row>
        <row r="721">
          <cell r="D721">
            <v>0</v>
          </cell>
          <cell r="O721">
            <v>0</v>
          </cell>
        </row>
        <row r="722">
          <cell r="D722">
            <v>0</v>
          </cell>
          <cell r="O722">
            <v>0</v>
          </cell>
        </row>
        <row r="723">
          <cell r="D723">
            <v>0</v>
          </cell>
          <cell r="O723">
            <v>0</v>
          </cell>
        </row>
        <row r="724">
          <cell r="D724">
            <v>0</v>
          </cell>
          <cell r="O724">
            <v>0</v>
          </cell>
        </row>
        <row r="725">
          <cell r="D725">
            <v>0</v>
          </cell>
          <cell r="O725">
            <v>0</v>
          </cell>
        </row>
        <row r="726">
          <cell r="D726">
            <v>0</v>
          </cell>
          <cell r="O726">
            <v>0</v>
          </cell>
        </row>
        <row r="727">
          <cell r="D727">
            <v>0</v>
          </cell>
          <cell r="O727">
            <v>0</v>
          </cell>
        </row>
        <row r="728">
          <cell r="D728">
            <v>0</v>
          </cell>
          <cell r="O728">
            <v>0</v>
          </cell>
        </row>
        <row r="729">
          <cell r="D729">
            <v>0</v>
          </cell>
          <cell r="O729">
            <v>0</v>
          </cell>
        </row>
        <row r="730">
          <cell r="D730">
            <v>0</v>
          </cell>
          <cell r="O730">
            <v>0</v>
          </cell>
        </row>
        <row r="731">
          <cell r="D731">
            <v>0</v>
          </cell>
          <cell r="O731">
            <v>0</v>
          </cell>
        </row>
        <row r="732">
          <cell r="D732">
            <v>0</v>
          </cell>
          <cell r="O732">
            <v>0</v>
          </cell>
        </row>
        <row r="733">
          <cell r="D733">
            <v>0</v>
          </cell>
          <cell r="O733">
            <v>0</v>
          </cell>
        </row>
        <row r="734">
          <cell r="D734">
            <v>0</v>
          </cell>
          <cell r="O734">
            <v>0</v>
          </cell>
        </row>
        <row r="735">
          <cell r="D735">
            <v>0</v>
          </cell>
          <cell r="O735">
            <v>0</v>
          </cell>
        </row>
        <row r="736">
          <cell r="D736">
            <v>0</v>
          </cell>
          <cell r="O736">
            <v>0</v>
          </cell>
        </row>
        <row r="737">
          <cell r="D737">
            <v>0</v>
          </cell>
          <cell r="O737">
            <v>0</v>
          </cell>
        </row>
        <row r="738">
          <cell r="D738">
            <v>0</v>
          </cell>
          <cell r="O738">
            <v>0</v>
          </cell>
        </row>
        <row r="739">
          <cell r="D739">
            <v>0</v>
          </cell>
          <cell r="O739">
            <v>0</v>
          </cell>
        </row>
        <row r="740">
          <cell r="D740">
            <v>0</v>
          </cell>
          <cell r="O740">
            <v>0</v>
          </cell>
        </row>
        <row r="741">
          <cell r="D741">
            <v>0</v>
          </cell>
          <cell r="O741">
            <v>0</v>
          </cell>
        </row>
        <row r="742">
          <cell r="D742">
            <v>0</v>
          </cell>
          <cell r="O742">
            <v>0</v>
          </cell>
        </row>
        <row r="743">
          <cell r="D743">
            <v>0</v>
          </cell>
          <cell r="O743">
            <v>0</v>
          </cell>
        </row>
        <row r="744">
          <cell r="D744">
            <v>0</v>
          </cell>
          <cell r="O744">
            <v>0</v>
          </cell>
        </row>
        <row r="745">
          <cell r="D745">
            <v>0</v>
          </cell>
          <cell r="O745">
            <v>0</v>
          </cell>
        </row>
        <row r="746">
          <cell r="D746">
            <v>0</v>
          </cell>
          <cell r="O746">
            <v>0</v>
          </cell>
        </row>
        <row r="747">
          <cell r="D747">
            <v>0</v>
          </cell>
          <cell r="O747">
            <v>0</v>
          </cell>
        </row>
        <row r="748">
          <cell r="D748">
            <v>0</v>
          </cell>
          <cell r="O748">
            <v>0</v>
          </cell>
        </row>
        <row r="749">
          <cell r="D749">
            <v>0</v>
          </cell>
          <cell r="O749">
            <v>0</v>
          </cell>
        </row>
        <row r="750">
          <cell r="D750">
            <v>0</v>
          </cell>
          <cell r="O750">
            <v>0</v>
          </cell>
        </row>
        <row r="751">
          <cell r="D751">
            <v>0</v>
          </cell>
          <cell r="O751">
            <v>0</v>
          </cell>
        </row>
        <row r="752">
          <cell r="D752">
            <v>0</v>
          </cell>
          <cell r="O752">
            <v>0</v>
          </cell>
        </row>
        <row r="753">
          <cell r="D753">
            <v>0</v>
          </cell>
          <cell r="O753">
            <v>0</v>
          </cell>
        </row>
        <row r="754">
          <cell r="D754">
            <v>0</v>
          </cell>
          <cell r="O754">
            <v>0</v>
          </cell>
        </row>
        <row r="755">
          <cell r="D755">
            <v>0</v>
          </cell>
          <cell r="O755">
            <v>0</v>
          </cell>
        </row>
        <row r="756">
          <cell r="D756">
            <v>0</v>
          </cell>
          <cell r="O756">
            <v>0</v>
          </cell>
        </row>
        <row r="757">
          <cell r="D757">
            <v>0</v>
          </cell>
          <cell r="O757">
            <v>0</v>
          </cell>
        </row>
        <row r="758">
          <cell r="D758">
            <v>0</v>
          </cell>
          <cell r="O758">
            <v>0</v>
          </cell>
        </row>
        <row r="759">
          <cell r="D759">
            <v>0</v>
          </cell>
          <cell r="O759">
            <v>0</v>
          </cell>
        </row>
        <row r="760">
          <cell r="D760">
            <v>0</v>
          </cell>
          <cell r="O760">
            <v>0</v>
          </cell>
        </row>
        <row r="761">
          <cell r="D761">
            <v>0</v>
          </cell>
          <cell r="O761">
            <v>0</v>
          </cell>
        </row>
        <row r="762">
          <cell r="D762">
            <v>0</v>
          </cell>
          <cell r="O762">
            <v>0</v>
          </cell>
        </row>
        <row r="763">
          <cell r="D763">
            <v>0</v>
          </cell>
          <cell r="O763">
            <v>0</v>
          </cell>
        </row>
        <row r="764">
          <cell r="D764">
            <v>0</v>
          </cell>
          <cell r="O764">
            <v>0</v>
          </cell>
        </row>
        <row r="765">
          <cell r="D765">
            <v>0</v>
          </cell>
          <cell r="O765">
            <v>0</v>
          </cell>
        </row>
        <row r="766">
          <cell r="D766">
            <v>0</v>
          </cell>
          <cell r="O766">
            <v>0</v>
          </cell>
        </row>
        <row r="767">
          <cell r="D767">
            <v>0</v>
          </cell>
          <cell r="O767">
            <v>0</v>
          </cell>
        </row>
        <row r="768">
          <cell r="D768">
            <v>0</v>
          </cell>
          <cell r="O768">
            <v>0</v>
          </cell>
        </row>
        <row r="769">
          <cell r="D769">
            <v>0</v>
          </cell>
          <cell r="O769">
            <v>0</v>
          </cell>
        </row>
        <row r="770">
          <cell r="D770">
            <v>0</v>
          </cell>
          <cell r="O770">
            <v>0</v>
          </cell>
        </row>
        <row r="771">
          <cell r="D771">
            <v>0</v>
          </cell>
          <cell r="O771">
            <v>0</v>
          </cell>
        </row>
        <row r="772">
          <cell r="D772">
            <v>0</v>
          </cell>
          <cell r="O772">
            <v>0</v>
          </cell>
        </row>
        <row r="773">
          <cell r="D773">
            <v>0</v>
          </cell>
          <cell r="O773">
            <v>0</v>
          </cell>
        </row>
        <row r="774">
          <cell r="D774">
            <v>0</v>
          </cell>
          <cell r="O774">
            <v>0</v>
          </cell>
        </row>
        <row r="775">
          <cell r="D775">
            <v>0</v>
          </cell>
          <cell r="O775">
            <v>0</v>
          </cell>
        </row>
        <row r="776">
          <cell r="D776">
            <v>0</v>
          </cell>
          <cell r="O776">
            <v>0</v>
          </cell>
        </row>
        <row r="777">
          <cell r="D777">
            <v>0</v>
          </cell>
          <cell r="O777">
            <v>0</v>
          </cell>
        </row>
        <row r="778">
          <cell r="D778">
            <v>0</v>
          </cell>
          <cell r="O778">
            <v>0</v>
          </cell>
        </row>
        <row r="779">
          <cell r="D779">
            <v>0</v>
          </cell>
          <cell r="O779">
            <v>0</v>
          </cell>
        </row>
        <row r="780">
          <cell r="D780">
            <v>0</v>
          </cell>
          <cell r="O780">
            <v>0</v>
          </cell>
        </row>
        <row r="781">
          <cell r="D781">
            <v>0</v>
          </cell>
          <cell r="O781">
            <v>0</v>
          </cell>
        </row>
        <row r="782">
          <cell r="D782">
            <v>0</v>
          </cell>
          <cell r="O782">
            <v>0</v>
          </cell>
        </row>
        <row r="783">
          <cell r="D783">
            <v>0</v>
          </cell>
          <cell r="O783">
            <v>0</v>
          </cell>
        </row>
        <row r="784">
          <cell r="D784">
            <v>0</v>
          </cell>
          <cell r="O784">
            <v>0</v>
          </cell>
        </row>
        <row r="785">
          <cell r="D785">
            <v>0</v>
          </cell>
          <cell r="O785">
            <v>0</v>
          </cell>
        </row>
        <row r="786">
          <cell r="D786">
            <v>0</v>
          </cell>
          <cell r="O786">
            <v>0</v>
          </cell>
        </row>
        <row r="787">
          <cell r="D787">
            <v>0</v>
          </cell>
          <cell r="O787">
            <v>0</v>
          </cell>
        </row>
        <row r="788">
          <cell r="D788">
            <v>0</v>
          </cell>
          <cell r="O788">
            <v>0</v>
          </cell>
        </row>
        <row r="789">
          <cell r="D789">
            <v>0</v>
          </cell>
          <cell r="O789">
            <v>0</v>
          </cell>
        </row>
        <row r="790">
          <cell r="D790">
            <v>0</v>
          </cell>
          <cell r="O790">
            <v>0</v>
          </cell>
        </row>
        <row r="791">
          <cell r="D791">
            <v>0</v>
          </cell>
          <cell r="O791">
            <v>0</v>
          </cell>
        </row>
        <row r="792">
          <cell r="D792">
            <v>0</v>
          </cell>
          <cell r="O792">
            <v>0</v>
          </cell>
        </row>
        <row r="793">
          <cell r="D793">
            <v>0</v>
          </cell>
          <cell r="O793">
            <v>0</v>
          </cell>
        </row>
        <row r="794">
          <cell r="D794">
            <v>0</v>
          </cell>
          <cell r="O794">
            <v>0</v>
          </cell>
        </row>
        <row r="795">
          <cell r="D795">
            <v>0</v>
          </cell>
          <cell r="O795">
            <v>0</v>
          </cell>
        </row>
        <row r="796">
          <cell r="D796">
            <v>0</v>
          </cell>
          <cell r="O796">
            <v>0</v>
          </cell>
        </row>
        <row r="797">
          <cell r="D797">
            <v>0</v>
          </cell>
          <cell r="O797">
            <v>0</v>
          </cell>
        </row>
        <row r="798">
          <cell r="D798">
            <v>0</v>
          </cell>
          <cell r="O798">
            <v>0</v>
          </cell>
        </row>
        <row r="799">
          <cell r="D799">
            <v>0</v>
          </cell>
          <cell r="O799">
            <v>0</v>
          </cell>
        </row>
        <row r="800">
          <cell r="D800">
            <v>0</v>
          </cell>
          <cell r="O800">
            <v>0</v>
          </cell>
        </row>
        <row r="801">
          <cell r="D801">
            <v>0</v>
          </cell>
          <cell r="O801">
            <v>0</v>
          </cell>
        </row>
        <row r="802">
          <cell r="D802">
            <v>0</v>
          </cell>
          <cell r="O802">
            <v>0</v>
          </cell>
        </row>
        <row r="803">
          <cell r="D803">
            <v>0</v>
          </cell>
          <cell r="O803">
            <v>0</v>
          </cell>
        </row>
        <row r="804">
          <cell r="D804">
            <v>0</v>
          </cell>
          <cell r="O804">
            <v>0</v>
          </cell>
        </row>
        <row r="805">
          <cell r="D805">
            <v>0</v>
          </cell>
          <cell r="O805">
            <v>0</v>
          </cell>
        </row>
        <row r="806">
          <cell r="D806">
            <v>0</v>
          </cell>
          <cell r="O806">
            <v>0</v>
          </cell>
        </row>
        <row r="807">
          <cell r="D807">
            <v>0</v>
          </cell>
          <cell r="O807">
            <v>0</v>
          </cell>
        </row>
        <row r="808">
          <cell r="D808">
            <v>0</v>
          </cell>
          <cell r="O808">
            <v>0</v>
          </cell>
        </row>
        <row r="809">
          <cell r="D809">
            <v>0</v>
          </cell>
          <cell r="O809">
            <v>0</v>
          </cell>
        </row>
        <row r="810">
          <cell r="D810">
            <v>0</v>
          </cell>
          <cell r="O810">
            <v>0</v>
          </cell>
        </row>
        <row r="811">
          <cell r="D811">
            <v>0</v>
          </cell>
          <cell r="O811">
            <v>0</v>
          </cell>
        </row>
        <row r="812">
          <cell r="D812">
            <v>0</v>
          </cell>
          <cell r="O812">
            <v>0</v>
          </cell>
        </row>
        <row r="813">
          <cell r="D813">
            <v>0</v>
          </cell>
          <cell r="O813">
            <v>0</v>
          </cell>
        </row>
        <row r="814">
          <cell r="D814">
            <v>0</v>
          </cell>
          <cell r="O814">
            <v>0</v>
          </cell>
        </row>
        <row r="815">
          <cell r="D815">
            <v>0</v>
          </cell>
          <cell r="O815">
            <v>0</v>
          </cell>
        </row>
        <row r="816">
          <cell r="D816">
            <v>0</v>
          </cell>
          <cell r="O816">
            <v>0</v>
          </cell>
        </row>
        <row r="817">
          <cell r="D817">
            <v>0</v>
          </cell>
          <cell r="O817">
            <v>0</v>
          </cell>
        </row>
        <row r="818">
          <cell r="D818">
            <v>0</v>
          </cell>
          <cell r="O818">
            <v>0</v>
          </cell>
        </row>
        <row r="819">
          <cell r="D819">
            <v>0</v>
          </cell>
          <cell r="O819">
            <v>0</v>
          </cell>
        </row>
        <row r="820">
          <cell r="D820">
            <v>0</v>
          </cell>
          <cell r="O820">
            <v>0</v>
          </cell>
        </row>
        <row r="821">
          <cell r="D821">
            <v>0</v>
          </cell>
          <cell r="O821">
            <v>0</v>
          </cell>
        </row>
        <row r="822">
          <cell r="D822">
            <v>0</v>
          </cell>
          <cell r="O822">
            <v>0</v>
          </cell>
        </row>
        <row r="823">
          <cell r="D823">
            <v>0</v>
          </cell>
          <cell r="O823">
            <v>0</v>
          </cell>
        </row>
        <row r="824">
          <cell r="D824">
            <v>0</v>
          </cell>
          <cell r="O824">
            <v>0</v>
          </cell>
        </row>
        <row r="825">
          <cell r="D825">
            <v>0</v>
          </cell>
          <cell r="O825">
            <v>0</v>
          </cell>
        </row>
        <row r="826">
          <cell r="D826">
            <v>0</v>
          </cell>
          <cell r="O826">
            <v>0</v>
          </cell>
        </row>
        <row r="827">
          <cell r="D827">
            <v>0</v>
          </cell>
          <cell r="O827">
            <v>0</v>
          </cell>
        </row>
        <row r="828">
          <cell r="D828">
            <v>0</v>
          </cell>
          <cell r="O828">
            <v>0</v>
          </cell>
        </row>
        <row r="829">
          <cell r="D829">
            <v>0</v>
          </cell>
          <cell r="O829">
            <v>0</v>
          </cell>
        </row>
        <row r="830">
          <cell r="D830">
            <v>0</v>
          </cell>
          <cell r="O830">
            <v>0</v>
          </cell>
        </row>
        <row r="831">
          <cell r="D831">
            <v>0</v>
          </cell>
          <cell r="O831">
            <v>0</v>
          </cell>
        </row>
        <row r="832">
          <cell r="D832">
            <v>0</v>
          </cell>
          <cell r="O832">
            <v>0</v>
          </cell>
        </row>
        <row r="833">
          <cell r="D833">
            <v>0</v>
          </cell>
          <cell r="O833">
            <v>0</v>
          </cell>
        </row>
        <row r="834">
          <cell r="D834">
            <v>0</v>
          </cell>
          <cell r="O834">
            <v>0</v>
          </cell>
        </row>
        <row r="835">
          <cell r="D835">
            <v>0</v>
          </cell>
          <cell r="O835">
            <v>0</v>
          </cell>
        </row>
        <row r="836">
          <cell r="D836">
            <v>0</v>
          </cell>
          <cell r="O836">
            <v>0</v>
          </cell>
        </row>
        <row r="837">
          <cell r="D837">
            <v>0</v>
          </cell>
          <cell r="O837">
            <v>0</v>
          </cell>
        </row>
        <row r="838">
          <cell r="D838">
            <v>0</v>
          </cell>
          <cell r="O838">
            <v>0</v>
          </cell>
        </row>
        <row r="839">
          <cell r="D839">
            <v>0</v>
          </cell>
          <cell r="O839">
            <v>0</v>
          </cell>
        </row>
        <row r="840">
          <cell r="D840">
            <v>0</v>
          </cell>
          <cell r="O840">
            <v>0</v>
          </cell>
        </row>
        <row r="841">
          <cell r="D841">
            <v>0</v>
          </cell>
          <cell r="O841">
            <v>0</v>
          </cell>
        </row>
        <row r="842">
          <cell r="D842">
            <v>0</v>
          </cell>
          <cell r="O842">
            <v>0</v>
          </cell>
        </row>
        <row r="843">
          <cell r="D843">
            <v>0</v>
          </cell>
          <cell r="O843">
            <v>0</v>
          </cell>
        </row>
        <row r="844">
          <cell r="D844">
            <v>0</v>
          </cell>
          <cell r="O844">
            <v>0</v>
          </cell>
        </row>
        <row r="845">
          <cell r="D845">
            <v>0</v>
          </cell>
          <cell r="O845">
            <v>0</v>
          </cell>
        </row>
        <row r="846">
          <cell r="D846">
            <v>0</v>
          </cell>
          <cell r="O846">
            <v>0</v>
          </cell>
        </row>
        <row r="847">
          <cell r="D847">
            <v>0</v>
          </cell>
          <cell r="O847">
            <v>0</v>
          </cell>
        </row>
        <row r="848">
          <cell r="D848">
            <v>0</v>
          </cell>
          <cell r="O848">
            <v>0</v>
          </cell>
        </row>
        <row r="849">
          <cell r="D849">
            <v>0</v>
          </cell>
          <cell r="O849">
            <v>0</v>
          </cell>
        </row>
        <row r="850">
          <cell r="D850">
            <v>0</v>
          </cell>
          <cell r="O850">
            <v>0</v>
          </cell>
        </row>
        <row r="851">
          <cell r="D851">
            <v>0</v>
          </cell>
          <cell r="O851">
            <v>0</v>
          </cell>
        </row>
        <row r="852">
          <cell r="D852">
            <v>0</v>
          </cell>
          <cell r="O852">
            <v>0</v>
          </cell>
        </row>
        <row r="853">
          <cell r="D853">
            <v>0</v>
          </cell>
          <cell r="O853">
            <v>0</v>
          </cell>
        </row>
        <row r="854">
          <cell r="D854">
            <v>0</v>
          </cell>
          <cell r="O854">
            <v>0</v>
          </cell>
        </row>
        <row r="855">
          <cell r="D855">
            <v>0</v>
          </cell>
          <cell r="O855">
            <v>0</v>
          </cell>
        </row>
        <row r="856">
          <cell r="D856">
            <v>0</v>
          </cell>
          <cell r="O856">
            <v>0</v>
          </cell>
        </row>
        <row r="857">
          <cell r="D857">
            <v>0</v>
          </cell>
          <cell r="O857">
            <v>0</v>
          </cell>
        </row>
        <row r="858">
          <cell r="D858">
            <v>0</v>
          </cell>
          <cell r="O858">
            <v>0</v>
          </cell>
        </row>
        <row r="859">
          <cell r="D859">
            <v>0</v>
          </cell>
          <cell r="O859">
            <v>0</v>
          </cell>
        </row>
        <row r="860">
          <cell r="D860">
            <v>0</v>
          </cell>
          <cell r="O860">
            <v>0</v>
          </cell>
        </row>
        <row r="861">
          <cell r="D861">
            <v>0</v>
          </cell>
          <cell r="O861">
            <v>0</v>
          </cell>
        </row>
        <row r="862">
          <cell r="D862">
            <v>0</v>
          </cell>
          <cell r="O862">
            <v>0</v>
          </cell>
        </row>
        <row r="863">
          <cell r="D863">
            <v>0</v>
          </cell>
          <cell r="O863">
            <v>0</v>
          </cell>
        </row>
        <row r="864">
          <cell r="D864">
            <v>0</v>
          </cell>
          <cell r="O864">
            <v>0</v>
          </cell>
        </row>
        <row r="865">
          <cell r="D865">
            <v>0</v>
          </cell>
          <cell r="O865">
            <v>0</v>
          </cell>
        </row>
        <row r="866">
          <cell r="D866">
            <v>0</v>
          </cell>
          <cell r="O866">
            <v>0</v>
          </cell>
        </row>
        <row r="867">
          <cell r="D867">
            <v>0</v>
          </cell>
          <cell r="O867">
            <v>0</v>
          </cell>
        </row>
        <row r="868">
          <cell r="D868">
            <v>0</v>
          </cell>
          <cell r="O868">
            <v>0</v>
          </cell>
        </row>
        <row r="869">
          <cell r="D869">
            <v>0</v>
          </cell>
          <cell r="O869">
            <v>0</v>
          </cell>
        </row>
        <row r="870">
          <cell r="D870">
            <v>0</v>
          </cell>
          <cell r="O870">
            <v>0</v>
          </cell>
        </row>
        <row r="871">
          <cell r="D871">
            <v>0</v>
          </cell>
          <cell r="O871">
            <v>0</v>
          </cell>
        </row>
        <row r="872">
          <cell r="D872">
            <v>0</v>
          </cell>
          <cell r="O872">
            <v>0</v>
          </cell>
        </row>
        <row r="873">
          <cell r="D873">
            <v>0</v>
          </cell>
          <cell r="O873">
            <v>0</v>
          </cell>
        </row>
        <row r="874">
          <cell r="D874">
            <v>0</v>
          </cell>
          <cell r="O874">
            <v>0</v>
          </cell>
        </row>
        <row r="875">
          <cell r="D875">
            <v>0</v>
          </cell>
          <cell r="O875">
            <v>0</v>
          </cell>
        </row>
        <row r="876">
          <cell r="D876">
            <v>0</v>
          </cell>
          <cell r="O876">
            <v>0</v>
          </cell>
        </row>
        <row r="877">
          <cell r="D877">
            <v>0</v>
          </cell>
          <cell r="O877">
            <v>0</v>
          </cell>
        </row>
        <row r="878">
          <cell r="D878">
            <v>0</v>
          </cell>
          <cell r="O878">
            <v>0</v>
          </cell>
        </row>
        <row r="879">
          <cell r="D879">
            <v>0</v>
          </cell>
          <cell r="O879">
            <v>0</v>
          </cell>
        </row>
        <row r="880">
          <cell r="D880">
            <v>0</v>
          </cell>
          <cell r="O880">
            <v>0</v>
          </cell>
        </row>
        <row r="881">
          <cell r="D881">
            <v>0</v>
          </cell>
          <cell r="O881">
            <v>0</v>
          </cell>
        </row>
        <row r="882">
          <cell r="D882">
            <v>0</v>
          </cell>
          <cell r="O882">
            <v>0</v>
          </cell>
        </row>
        <row r="883">
          <cell r="D883">
            <v>0</v>
          </cell>
          <cell r="O883">
            <v>0</v>
          </cell>
        </row>
        <row r="884">
          <cell r="D884">
            <v>0</v>
          </cell>
          <cell r="O884">
            <v>0</v>
          </cell>
        </row>
        <row r="885">
          <cell r="D885">
            <v>0</v>
          </cell>
          <cell r="O885">
            <v>0</v>
          </cell>
        </row>
        <row r="886">
          <cell r="D886">
            <v>0</v>
          </cell>
          <cell r="O886">
            <v>0</v>
          </cell>
        </row>
        <row r="887">
          <cell r="D887">
            <v>0</v>
          </cell>
          <cell r="O887">
            <v>0</v>
          </cell>
        </row>
        <row r="888">
          <cell r="D888">
            <v>0</v>
          </cell>
          <cell r="O888">
            <v>0</v>
          </cell>
        </row>
        <row r="889">
          <cell r="D889">
            <v>0</v>
          </cell>
          <cell r="O889">
            <v>0</v>
          </cell>
        </row>
        <row r="890">
          <cell r="D890">
            <v>0</v>
          </cell>
          <cell r="O890">
            <v>0</v>
          </cell>
        </row>
        <row r="891">
          <cell r="D891">
            <v>0</v>
          </cell>
          <cell r="O891">
            <v>0</v>
          </cell>
        </row>
        <row r="892">
          <cell r="D892">
            <v>0</v>
          </cell>
          <cell r="O892">
            <v>0</v>
          </cell>
        </row>
        <row r="893">
          <cell r="D893">
            <v>0</v>
          </cell>
          <cell r="O893">
            <v>0</v>
          </cell>
        </row>
        <row r="894">
          <cell r="D894">
            <v>0</v>
          </cell>
          <cell r="O894">
            <v>0</v>
          </cell>
        </row>
        <row r="895">
          <cell r="D895">
            <v>0</v>
          </cell>
          <cell r="O895">
            <v>0</v>
          </cell>
        </row>
        <row r="896">
          <cell r="D896">
            <v>0</v>
          </cell>
          <cell r="O896">
            <v>0</v>
          </cell>
        </row>
        <row r="897">
          <cell r="D897">
            <v>0</v>
          </cell>
          <cell r="O897">
            <v>0</v>
          </cell>
        </row>
        <row r="898">
          <cell r="D898">
            <v>0</v>
          </cell>
          <cell r="O898">
            <v>0</v>
          </cell>
        </row>
        <row r="899">
          <cell r="D899">
            <v>0</v>
          </cell>
          <cell r="O899">
            <v>0</v>
          </cell>
        </row>
        <row r="900">
          <cell r="D900">
            <v>0</v>
          </cell>
          <cell r="O900">
            <v>0</v>
          </cell>
        </row>
        <row r="901">
          <cell r="D901">
            <v>0</v>
          </cell>
          <cell r="O901">
            <v>0</v>
          </cell>
        </row>
        <row r="902">
          <cell r="D902">
            <v>0</v>
          </cell>
          <cell r="O902">
            <v>0</v>
          </cell>
        </row>
        <row r="903">
          <cell r="D903">
            <v>0</v>
          </cell>
          <cell r="O903">
            <v>0</v>
          </cell>
        </row>
        <row r="904">
          <cell r="D904">
            <v>0</v>
          </cell>
          <cell r="O904">
            <v>0</v>
          </cell>
        </row>
        <row r="905">
          <cell r="D905">
            <v>0</v>
          </cell>
          <cell r="O905">
            <v>0</v>
          </cell>
        </row>
        <row r="906">
          <cell r="D906">
            <v>0</v>
          </cell>
          <cell r="O906">
            <v>0</v>
          </cell>
        </row>
        <row r="907">
          <cell r="D907">
            <v>0</v>
          </cell>
          <cell r="O907">
            <v>0</v>
          </cell>
        </row>
        <row r="908">
          <cell r="D908">
            <v>0</v>
          </cell>
          <cell r="O908">
            <v>0</v>
          </cell>
        </row>
        <row r="909">
          <cell r="D909">
            <v>0</v>
          </cell>
          <cell r="O909">
            <v>0</v>
          </cell>
        </row>
        <row r="910">
          <cell r="D910">
            <v>0</v>
          </cell>
          <cell r="O910">
            <v>0</v>
          </cell>
        </row>
        <row r="911">
          <cell r="D911">
            <v>0</v>
          </cell>
          <cell r="O911">
            <v>0</v>
          </cell>
        </row>
        <row r="912">
          <cell r="D912">
            <v>0</v>
          </cell>
          <cell r="O912">
            <v>0</v>
          </cell>
        </row>
        <row r="913">
          <cell r="D913">
            <v>0</v>
          </cell>
          <cell r="O913">
            <v>0</v>
          </cell>
        </row>
        <row r="914">
          <cell r="D914">
            <v>0</v>
          </cell>
          <cell r="O914">
            <v>0</v>
          </cell>
        </row>
        <row r="915">
          <cell r="D915">
            <v>0</v>
          </cell>
          <cell r="O915">
            <v>0</v>
          </cell>
        </row>
        <row r="916">
          <cell r="D916">
            <v>0</v>
          </cell>
          <cell r="O916">
            <v>0</v>
          </cell>
        </row>
        <row r="917">
          <cell r="D917">
            <v>0</v>
          </cell>
          <cell r="O917">
            <v>0</v>
          </cell>
        </row>
        <row r="918">
          <cell r="D918">
            <v>0</v>
          </cell>
          <cell r="O918">
            <v>0</v>
          </cell>
        </row>
        <row r="919">
          <cell r="D919">
            <v>0</v>
          </cell>
          <cell r="O919">
            <v>0</v>
          </cell>
        </row>
        <row r="920">
          <cell r="D920">
            <v>0</v>
          </cell>
          <cell r="O920">
            <v>0</v>
          </cell>
        </row>
        <row r="921">
          <cell r="D921">
            <v>0</v>
          </cell>
          <cell r="O921">
            <v>0</v>
          </cell>
        </row>
        <row r="922">
          <cell r="D922">
            <v>0</v>
          </cell>
          <cell r="O922">
            <v>0</v>
          </cell>
        </row>
        <row r="923">
          <cell r="D923">
            <v>0</v>
          </cell>
          <cell r="O923">
            <v>0</v>
          </cell>
        </row>
        <row r="924">
          <cell r="D924">
            <v>0</v>
          </cell>
          <cell r="O924">
            <v>0</v>
          </cell>
        </row>
        <row r="925">
          <cell r="D925">
            <v>0</v>
          </cell>
          <cell r="O925">
            <v>0</v>
          </cell>
        </row>
        <row r="926">
          <cell r="D926">
            <v>0</v>
          </cell>
          <cell r="O926">
            <v>0</v>
          </cell>
        </row>
        <row r="927">
          <cell r="D927">
            <v>0</v>
          </cell>
          <cell r="O927">
            <v>0</v>
          </cell>
        </row>
        <row r="928">
          <cell r="D928">
            <v>0</v>
          </cell>
          <cell r="O928">
            <v>0</v>
          </cell>
        </row>
        <row r="929">
          <cell r="D929">
            <v>0</v>
          </cell>
          <cell r="O929">
            <v>0</v>
          </cell>
        </row>
        <row r="930">
          <cell r="D930">
            <v>0</v>
          </cell>
          <cell r="O930">
            <v>0</v>
          </cell>
        </row>
        <row r="931">
          <cell r="D931">
            <v>0</v>
          </cell>
          <cell r="O931">
            <v>0</v>
          </cell>
        </row>
        <row r="932">
          <cell r="D932">
            <v>0</v>
          </cell>
          <cell r="O932">
            <v>0</v>
          </cell>
        </row>
        <row r="933">
          <cell r="D933">
            <v>0</v>
          </cell>
          <cell r="O933">
            <v>0</v>
          </cell>
        </row>
        <row r="934">
          <cell r="D934">
            <v>0</v>
          </cell>
          <cell r="O934">
            <v>0</v>
          </cell>
        </row>
        <row r="935">
          <cell r="D935">
            <v>0</v>
          </cell>
          <cell r="O935">
            <v>0</v>
          </cell>
        </row>
        <row r="936">
          <cell r="D936">
            <v>0</v>
          </cell>
          <cell r="O936">
            <v>0</v>
          </cell>
        </row>
        <row r="937">
          <cell r="D937">
            <v>0</v>
          </cell>
          <cell r="O937">
            <v>0</v>
          </cell>
        </row>
        <row r="938">
          <cell r="D938">
            <v>0</v>
          </cell>
          <cell r="O938">
            <v>0</v>
          </cell>
        </row>
        <row r="939">
          <cell r="D939">
            <v>0</v>
          </cell>
          <cell r="O939">
            <v>0</v>
          </cell>
        </row>
        <row r="940">
          <cell r="D940">
            <v>0</v>
          </cell>
          <cell r="O940">
            <v>0</v>
          </cell>
        </row>
        <row r="941">
          <cell r="D941">
            <v>0</v>
          </cell>
          <cell r="O941">
            <v>0</v>
          </cell>
        </row>
        <row r="942">
          <cell r="D942">
            <v>0</v>
          </cell>
          <cell r="O942">
            <v>0</v>
          </cell>
        </row>
        <row r="943">
          <cell r="D943">
            <v>0</v>
          </cell>
          <cell r="O943">
            <v>0</v>
          </cell>
        </row>
        <row r="944">
          <cell r="D944">
            <v>0</v>
          </cell>
          <cell r="O944">
            <v>0</v>
          </cell>
        </row>
        <row r="945">
          <cell r="D945">
            <v>0</v>
          </cell>
          <cell r="O945">
            <v>0</v>
          </cell>
        </row>
        <row r="946">
          <cell r="D946">
            <v>0</v>
          </cell>
          <cell r="O946">
            <v>0</v>
          </cell>
        </row>
        <row r="947">
          <cell r="D947">
            <v>0</v>
          </cell>
          <cell r="O947">
            <v>0</v>
          </cell>
        </row>
        <row r="948">
          <cell r="D948">
            <v>0</v>
          </cell>
          <cell r="O948">
            <v>0</v>
          </cell>
        </row>
        <row r="949">
          <cell r="D949">
            <v>0</v>
          </cell>
          <cell r="O949">
            <v>0</v>
          </cell>
        </row>
        <row r="950">
          <cell r="D950">
            <v>0</v>
          </cell>
          <cell r="O950">
            <v>0</v>
          </cell>
        </row>
        <row r="951">
          <cell r="D951">
            <v>0</v>
          </cell>
          <cell r="O951">
            <v>0</v>
          </cell>
        </row>
        <row r="952">
          <cell r="D952">
            <v>0</v>
          </cell>
          <cell r="O952">
            <v>0</v>
          </cell>
        </row>
        <row r="953">
          <cell r="D953">
            <v>0</v>
          </cell>
          <cell r="O953">
            <v>0</v>
          </cell>
        </row>
        <row r="954">
          <cell r="D954">
            <v>0</v>
          </cell>
          <cell r="O954">
            <v>0</v>
          </cell>
        </row>
        <row r="955">
          <cell r="D955">
            <v>0</v>
          </cell>
          <cell r="O955">
            <v>0</v>
          </cell>
        </row>
        <row r="956">
          <cell r="D956">
            <v>0</v>
          </cell>
          <cell r="O956">
            <v>0</v>
          </cell>
        </row>
        <row r="957">
          <cell r="D957">
            <v>0</v>
          </cell>
          <cell r="O957">
            <v>0</v>
          </cell>
        </row>
        <row r="958">
          <cell r="D958">
            <v>0</v>
          </cell>
          <cell r="O958">
            <v>0</v>
          </cell>
        </row>
        <row r="959">
          <cell r="D959">
            <v>0</v>
          </cell>
          <cell r="O959">
            <v>0</v>
          </cell>
        </row>
        <row r="960">
          <cell r="D960">
            <v>0</v>
          </cell>
          <cell r="O960">
            <v>0</v>
          </cell>
        </row>
        <row r="961">
          <cell r="D961">
            <v>0</v>
          </cell>
          <cell r="O961">
            <v>0</v>
          </cell>
        </row>
        <row r="962">
          <cell r="D962">
            <v>0</v>
          </cell>
          <cell r="O962">
            <v>0</v>
          </cell>
        </row>
        <row r="963">
          <cell r="D963">
            <v>0</v>
          </cell>
          <cell r="O963">
            <v>0</v>
          </cell>
        </row>
        <row r="964">
          <cell r="D964">
            <v>0</v>
          </cell>
          <cell r="O964">
            <v>0</v>
          </cell>
        </row>
        <row r="965">
          <cell r="D965">
            <v>0</v>
          </cell>
          <cell r="O965">
            <v>0</v>
          </cell>
        </row>
        <row r="966">
          <cell r="D966">
            <v>0</v>
          </cell>
          <cell r="O966">
            <v>0</v>
          </cell>
        </row>
        <row r="967">
          <cell r="D967">
            <v>0</v>
          </cell>
          <cell r="O967">
            <v>0</v>
          </cell>
        </row>
        <row r="968">
          <cell r="D968">
            <v>0</v>
          </cell>
          <cell r="O968">
            <v>0</v>
          </cell>
        </row>
        <row r="969">
          <cell r="D969">
            <v>0</v>
          </cell>
          <cell r="O969">
            <v>0</v>
          </cell>
        </row>
        <row r="970">
          <cell r="D970">
            <v>0</v>
          </cell>
          <cell r="O970">
            <v>0</v>
          </cell>
        </row>
        <row r="971">
          <cell r="D971">
            <v>0</v>
          </cell>
          <cell r="O971">
            <v>0</v>
          </cell>
        </row>
        <row r="972">
          <cell r="D972">
            <v>0</v>
          </cell>
          <cell r="O972">
            <v>0</v>
          </cell>
        </row>
        <row r="973">
          <cell r="D973">
            <v>0</v>
          </cell>
          <cell r="O973">
            <v>0</v>
          </cell>
        </row>
        <row r="974">
          <cell r="D974">
            <v>0</v>
          </cell>
          <cell r="O974">
            <v>0</v>
          </cell>
        </row>
        <row r="975">
          <cell r="D975">
            <v>0</v>
          </cell>
          <cell r="O975">
            <v>0</v>
          </cell>
        </row>
        <row r="976">
          <cell r="D976">
            <v>0</v>
          </cell>
          <cell r="O976">
            <v>0</v>
          </cell>
        </row>
        <row r="977">
          <cell r="D977">
            <v>0</v>
          </cell>
          <cell r="O977">
            <v>0</v>
          </cell>
        </row>
        <row r="978">
          <cell r="D978">
            <v>0</v>
          </cell>
          <cell r="O978">
            <v>0</v>
          </cell>
        </row>
        <row r="979">
          <cell r="D979">
            <v>0</v>
          </cell>
          <cell r="O979">
            <v>0</v>
          </cell>
        </row>
        <row r="980">
          <cell r="D980">
            <v>0</v>
          </cell>
          <cell r="O980">
            <v>0</v>
          </cell>
        </row>
        <row r="981">
          <cell r="D981">
            <v>0</v>
          </cell>
          <cell r="O981">
            <v>0</v>
          </cell>
        </row>
        <row r="982">
          <cell r="D982">
            <v>0</v>
          </cell>
          <cell r="O982">
            <v>0</v>
          </cell>
        </row>
        <row r="983">
          <cell r="D983">
            <v>0</v>
          </cell>
          <cell r="O983">
            <v>0</v>
          </cell>
        </row>
        <row r="984">
          <cell r="D984">
            <v>0</v>
          </cell>
          <cell r="O984">
            <v>0</v>
          </cell>
        </row>
        <row r="985">
          <cell r="D985">
            <v>0</v>
          </cell>
          <cell r="O985">
            <v>0</v>
          </cell>
        </row>
        <row r="986">
          <cell r="D986">
            <v>0</v>
          </cell>
          <cell r="O986">
            <v>0</v>
          </cell>
        </row>
        <row r="987">
          <cell r="D987">
            <v>0</v>
          </cell>
          <cell r="O987">
            <v>0</v>
          </cell>
        </row>
        <row r="988">
          <cell r="D988">
            <v>0</v>
          </cell>
          <cell r="O988">
            <v>0</v>
          </cell>
        </row>
        <row r="989">
          <cell r="D989">
            <v>0</v>
          </cell>
          <cell r="O989">
            <v>0</v>
          </cell>
        </row>
        <row r="990">
          <cell r="D990">
            <v>0</v>
          </cell>
          <cell r="O990">
            <v>0</v>
          </cell>
        </row>
        <row r="991">
          <cell r="D991">
            <v>0</v>
          </cell>
          <cell r="O991">
            <v>0</v>
          </cell>
        </row>
        <row r="992">
          <cell r="D992">
            <v>0</v>
          </cell>
          <cell r="O992">
            <v>0</v>
          </cell>
        </row>
        <row r="993">
          <cell r="D993">
            <v>0</v>
          </cell>
          <cell r="O993">
            <v>0</v>
          </cell>
        </row>
        <row r="994">
          <cell r="D994">
            <v>0</v>
          </cell>
          <cell r="O994">
            <v>0</v>
          </cell>
        </row>
        <row r="995">
          <cell r="D995">
            <v>0</v>
          </cell>
          <cell r="O995">
            <v>0</v>
          </cell>
        </row>
        <row r="996">
          <cell r="D996">
            <v>0</v>
          </cell>
          <cell r="O996">
            <v>0</v>
          </cell>
        </row>
        <row r="997">
          <cell r="D997">
            <v>0</v>
          </cell>
          <cell r="O997">
            <v>0</v>
          </cell>
        </row>
        <row r="998">
          <cell r="D998">
            <v>0</v>
          </cell>
          <cell r="O998">
            <v>0</v>
          </cell>
        </row>
        <row r="999">
          <cell r="D999">
            <v>0</v>
          </cell>
          <cell r="O999">
            <v>0</v>
          </cell>
        </row>
        <row r="1000">
          <cell r="D1000">
            <v>0</v>
          </cell>
          <cell r="O1000">
            <v>0</v>
          </cell>
        </row>
        <row r="1001">
          <cell r="D1001">
            <v>0</v>
          </cell>
          <cell r="O1001">
            <v>0</v>
          </cell>
        </row>
        <row r="1002">
          <cell r="D1002">
            <v>0</v>
          </cell>
          <cell r="O1002">
            <v>0</v>
          </cell>
        </row>
        <row r="1003">
          <cell r="D1003">
            <v>0</v>
          </cell>
          <cell r="O1003">
            <v>0</v>
          </cell>
        </row>
        <row r="1004">
          <cell r="D1004">
            <v>0</v>
          </cell>
          <cell r="O1004">
            <v>0</v>
          </cell>
        </row>
        <row r="1005">
          <cell r="D1005">
            <v>0</v>
          </cell>
          <cell r="O1005">
            <v>0</v>
          </cell>
        </row>
        <row r="1006">
          <cell r="D1006">
            <v>0</v>
          </cell>
          <cell r="O1006">
            <v>0</v>
          </cell>
        </row>
        <row r="1007">
          <cell r="D1007">
            <v>0</v>
          </cell>
          <cell r="O1007">
            <v>0</v>
          </cell>
        </row>
        <row r="1008">
          <cell r="D1008">
            <v>0</v>
          </cell>
          <cell r="O1008">
            <v>0</v>
          </cell>
        </row>
        <row r="1009">
          <cell r="D1009">
            <v>0</v>
          </cell>
          <cell r="O1009">
            <v>0</v>
          </cell>
        </row>
        <row r="1010">
          <cell r="D1010">
            <v>0</v>
          </cell>
          <cell r="O1010">
            <v>0</v>
          </cell>
        </row>
        <row r="1011">
          <cell r="D1011">
            <v>0</v>
          </cell>
          <cell r="O1011">
            <v>0</v>
          </cell>
        </row>
        <row r="1012">
          <cell r="D1012">
            <v>0</v>
          </cell>
          <cell r="O1012">
            <v>0</v>
          </cell>
        </row>
        <row r="1013">
          <cell r="D1013">
            <v>0</v>
          </cell>
          <cell r="O1013">
            <v>0</v>
          </cell>
        </row>
        <row r="1014">
          <cell r="D1014">
            <v>0</v>
          </cell>
          <cell r="O1014">
            <v>0</v>
          </cell>
        </row>
        <row r="1015">
          <cell r="D1015">
            <v>0</v>
          </cell>
          <cell r="O1015">
            <v>0</v>
          </cell>
        </row>
        <row r="1016">
          <cell r="D1016">
            <v>0</v>
          </cell>
          <cell r="O1016">
            <v>0</v>
          </cell>
        </row>
        <row r="1017">
          <cell r="D1017">
            <v>0</v>
          </cell>
          <cell r="O1017">
            <v>0</v>
          </cell>
        </row>
        <row r="1018">
          <cell r="D1018">
            <v>0</v>
          </cell>
          <cell r="O1018">
            <v>0</v>
          </cell>
        </row>
        <row r="1019">
          <cell r="D1019">
            <v>0</v>
          </cell>
          <cell r="O1019">
            <v>0</v>
          </cell>
        </row>
        <row r="1020">
          <cell r="D1020">
            <v>0</v>
          </cell>
          <cell r="O1020">
            <v>0</v>
          </cell>
        </row>
        <row r="1021">
          <cell r="D1021">
            <v>0</v>
          </cell>
          <cell r="O1021">
            <v>0</v>
          </cell>
        </row>
        <row r="1022">
          <cell r="D1022">
            <v>0</v>
          </cell>
          <cell r="O1022">
            <v>0</v>
          </cell>
        </row>
        <row r="1023">
          <cell r="D1023">
            <v>0</v>
          </cell>
          <cell r="O1023">
            <v>0</v>
          </cell>
        </row>
        <row r="1024">
          <cell r="D1024">
            <v>0</v>
          </cell>
          <cell r="O1024">
            <v>0</v>
          </cell>
        </row>
        <row r="1025">
          <cell r="D1025">
            <v>0</v>
          </cell>
          <cell r="O1025">
            <v>0</v>
          </cell>
        </row>
        <row r="1026">
          <cell r="D1026">
            <v>0</v>
          </cell>
          <cell r="O1026">
            <v>0</v>
          </cell>
        </row>
        <row r="1027">
          <cell r="D1027">
            <v>0</v>
          </cell>
          <cell r="O1027">
            <v>0</v>
          </cell>
        </row>
        <row r="1028">
          <cell r="D1028">
            <v>0</v>
          </cell>
          <cell r="O1028">
            <v>0</v>
          </cell>
        </row>
        <row r="1029">
          <cell r="D1029">
            <v>0</v>
          </cell>
          <cell r="O1029">
            <v>0</v>
          </cell>
        </row>
        <row r="1030">
          <cell r="D1030">
            <v>0</v>
          </cell>
          <cell r="O1030">
            <v>0</v>
          </cell>
        </row>
        <row r="1031">
          <cell r="D1031">
            <v>0</v>
          </cell>
          <cell r="O1031">
            <v>0</v>
          </cell>
        </row>
        <row r="1032">
          <cell r="D1032">
            <v>0</v>
          </cell>
          <cell r="O1032">
            <v>0</v>
          </cell>
        </row>
        <row r="1033">
          <cell r="D1033">
            <v>0</v>
          </cell>
          <cell r="O1033">
            <v>0</v>
          </cell>
        </row>
        <row r="1034">
          <cell r="D1034">
            <v>0</v>
          </cell>
          <cell r="O1034">
            <v>0</v>
          </cell>
        </row>
        <row r="1035">
          <cell r="D1035">
            <v>0</v>
          </cell>
          <cell r="O1035">
            <v>0</v>
          </cell>
        </row>
        <row r="1036">
          <cell r="D1036">
            <v>0</v>
          </cell>
          <cell r="O1036">
            <v>0</v>
          </cell>
        </row>
        <row r="1037">
          <cell r="D1037">
            <v>0</v>
          </cell>
          <cell r="O1037">
            <v>0</v>
          </cell>
        </row>
        <row r="1038">
          <cell r="D1038">
            <v>0</v>
          </cell>
          <cell r="O1038">
            <v>0</v>
          </cell>
        </row>
        <row r="1039">
          <cell r="D1039">
            <v>0</v>
          </cell>
          <cell r="O1039">
            <v>0</v>
          </cell>
        </row>
        <row r="1040">
          <cell r="D1040">
            <v>0</v>
          </cell>
          <cell r="O1040">
            <v>0</v>
          </cell>
        </row>
        <row r="1041">
          <cell r="D1041">
            <v>0</v>
          </cell>
          <cell r="O1041">
            <v>0</v>
          </cell>
        </row>
        <row r="1042">
          <cell r="D1042">
            <v>0</v>
          </cell>
          <cell r="O1042">
            <v>0</v>
          </cell>
        </row>
        <row r="1043">
          <cell r="D1043">
            <v>0</v>
          </cell>
          <cell r="O1043">
            <v>0</v>
          </cell>
        </row>
        <row r="1044">
          <cell r="D1044">
            <v>0</v>
          </cell>
          <cell r="O1044">
            <v>0</v>
          </cell>
        </row>
        <row r="1045">
          <cell r="D1045">
            <v>0</v>
          </cell>
          <cell r="O1045">
            <v>0</v>
          </cell>
        </row>
        <row r="1046">
          <cell r="D1046">
            <v>0</v>
          </cell>
          <cell r="O1046">
            <v>0</v>
          </cell>
        </row>
        <row r="1047">
          <cell r="D1047">
            <v>0</v>
          </cell>
          <cell r="O1047">
            <v>0</v>
          </cell>
        </row>
        <row r="1048">
          <cell r="D1048">
            <v>0</v>
          </cell>
          <cell r="O1048">
            <v>0</v>
          </cell>
        </row>
        <row r="1049">
          <cell r="D1049">
            <v>0</v>
          </cell>
          <cell r="O1049">
            <v>0</v>
          </cell>
        </row>
        <row r="1050">
          <cell r="D1050">
            <v>0</v>
          </cell>
          <cell r="O1050">
            <v>0</v>
          </cell>
        </row>
        <row r="1051">
          <cell r="D1051">
            <v>0</v>
          </cell>
          <cell r="O1051">
            <v>0</v>
          </cell>
        </row>
        <row r="1052">
          <cell r="D1052">
            <v>0</v>
          </cell>
          <cell r="O1052">
            <v>0</v>
          </cell>
        </row>
        <row r="1053">
          <cell r="D1053">
            <v>0</v>
          </cell>
          <cell r="O1053">
            <v>0</v>
          </cell>
        </row>
        <row r="1054">
          <cell r="D1054">
            <v>0</v>
          </cell>
          <cell r="O1054">
            <v>0</v>
          </cell>
        </row>
        <row r="1055">
          <cell r="D1055">
            <v>0</v>
          </cell>
          <cell r="O1055">
            <v>0</v>
          </cell>
        </row>
        <row r="1056">
          <cell r="D1056">
            <v>0</v>
          </cell>
          <cell r="O1056">
            <v>0</v>
          </cell>
        </row>
        <row r="1057">
          <cell r="D1057">
            <v>0</v>
          </cell>
          <cell r="O1057">
            <v>0</v>
          </cell>
        </row>
        <row r="1058">
          <cell r="D1058">
            <v>0</v>
          </cell>
          <cell r="O1058">
            <v>0</v>
          </cell>
        </row>
        <row r="1059">
          <cell r="D1059">
            <v>0</v>
          </cell>
          <cell r="O1059">
            <v>0</v>
          </cell>
        </row>
        <row r="1060">
          <cell r="D1060">
            <v>0</v>
          </cell>
          <cell r="O1060">
            <v>0</v>
          </cell>
        </row>
        <row r="1061">
          <cell r="D1061">
            <v>0</v>
          </cell>
          <cell r="O1061">
            <v>0</v>
          </cell>
        </row>
        <row r="1062">
          <cell r="D1062">
            <v>0</v>
          </cell>
          <cell r="O1062">
            <v>0</v>
          </cell>
        </row>
        <row r="1063">
          <cell r="D1063">
            <v>0</v>
          </cell>
          <cell r="O1063">
            <v>0</v>
          </cell>
        </row>
        <row r="1064">
          <cell r="D1064">
            <v>0</v>
          </cell>
          <cell r="O1064">
            <v>0</v>
          </cell>
        </row>
        <row r="1065">
          <cell r="D1065">
            <v>0</v>
          </cell>
          <cell r="O1065">
            <v>0</v>
          </cell>
        </row>
        <row r="1066">
          <cell r="D1066">
            <v>0</v>
          </cell>
          <cell r="O1066">
            <v>0</v>
          </cell>
        </row>
        <row r="1067">
          <cell r="D1067">
            <v>0</v>
          </cell>
          <cell r="O1067">
            <v>0</v>
          </cell>
        </row>
        <row r="1068">
          <cell r="D1068">
            <v>0</v>
          </cell>
          <cell r="O1068">
            <v>0</v>
          </cell>
        </row>
        <row r="1069">
          <cell r="D1069">
            <v>0</v>
          </cell>
          <cell r="O1069">
            <v>0</v>
          </cell>
        </row>
        <row r="1070">
          <cell r="D1070">
            <v>0</v>
          </cell>
          <cell r="O1070">
            <v>0</v>
          </cell>
        </row>
        <row r="1071">
          <cell r="D1071">
            <v>0</v>
          </cell>
          <cell r="O1071">
            <v>0</v>
          </cell>
        </row>
        <row r="1072">
          <cell r="D1072">
            <v>0</v>
          </cell>
          <cell r="O1072">
            <v>0</v>
          </cell>
        </row>
        <row r="1073">
          <cell r="D1073">
            <v>0</v>
          </cell>
          <cell r="O1073">
            <v>0</v>
          </cell>
        </row>
        <row r="1074">
          <cell r="D1074">
            <v>0</v>
          </cell>
          <cell r="O1074">
            <v>0</v>
          </cell>
        </row>
        <row r="1075">
          <cell r="D1075">
            <v>0</v>
          </cell>
          <cell r="O1075">
            <v>0</v>
          </cell>
        </row>
        <row r="1076">
          <cell r="D1076">
            <v>0</v>
          </cell>
          <cell r="O1076">
            <v>0</v>
          </cell>
        </row>
        <row r="1077">
          <cell r="D1077">
            <v>0</v>
          </cell>
          <cell r="O1077">
            <v>0</v>
          </cell>
        </row>
        <row r="1078">
          <cell r="D1078">
            <v>0</v>
          </cell>
          <cell r="O1078">
            <v>0</v>
          </cell>
        </row>
        <row r="1079">
          <cell r="D1079">
            <v>0</v>
          </cell>
          <cell r="O1079">
            <v>0</v>
          </cell>
        </row>
        <row r="1080">
          <cell r="D1080">
            <v>0</v>
          </cell>
          <cell r="O1080">
            <v>0</v>
          </cell>
        </row>
        <row r="1081">
          <cell r="D1081">
            <v>0</v>
          </cell>
          <cell r="O1081">
            <v>0</v>
          </cell>
        </row>
        <row r="1082">
          <cell r="D1082">
            <v>0</v>
          </cell>
          <cell r="O1082">
            <v>0</v>
          </cell>
        </row>
        <row r="1083">
          <cell r="D1083">
            <v>0</v>
          </cell>
          <cell r="O1083">
            <v>0</v>
          </cell>
        </row>
        <row r="1084">
          <cell r="D1084">
            <v>0</v>
          </cell>
          <cell r="O1084">
            <v>0</v>
          </cell>
        </row>
        <row r="1085">
          <cell r="D1085">
            <v>0</v>
          </cell>
          <cell r="O1085">
            <v>0</v>
          </cell>
        </row>
        <row r="1086">
          <cell r="D1086">
            <v>0</v>
          </cell>
          <cell r="O1086">
            <v>0</v>
          </cell>
        </row>
        <row r="1087">
          <cell r="D1087">
            <v>0</v>
          </cell>
          <cell r="O1087">
            <v>0</v>
          </cell>
        </row>
        <row r="1088">
          <cell r="D1088">
            <v>0</v>
          </cell>
          <cell r="O1088">
            <v>0</v>
          </cell>
        </row>
        <row r="1089">
          <cell r="D1089">
            <v>0</v>
          </cell>
          <cell r="O1089">
            <v>0</v>
          </cell>
        </row>
        <row r="1090">
          <cell r="D1090">
            <v>0</v>
          </cell>
          <cell r="O1090">
            <v>0</v>
          </cell>
        </row>
        <row r="1091">
          <cell r="D1091">
            <v>0</v>
          </cell>
          <cell r="O1091">
            <v>0</v>
          </cell>
        </row>
        <row r="1092">
          <cell r="D1092">
            <v>0</v>
          </cell>
          <cell r="O1092">
            <v>0</v>
          </cell>
        </row>
        <row r="1093">
          <cell r="D1093">
            <v>0</v>
          </cell>
          <cell r="O1093">
            <v>0</v>
          </cell>
        </row>
        <row r="1094">
          <cell r="D1094">
            <v>0</v>
          </cell>
          <cell r="O1094">
            <v>0</v>
          </cell>
        </row>
        <row r="1095">
          <cell r="D1095">
            <v>0</v>
          </cell>
          <cell r="O1095">
            <v>0</v>
          </cell>
        </row>
        <row r="1096">
          <cell r="D1096">
            <v>0</v>
          </cell>
          <cell r="O1096">
            <v>0</v>
          </cell>
        </row>
        <row r="1097">
          <cell r="D1097">
            <v>0</v>
          </cell>
          <cell r="O1097">
            <v>0</v>
          </cell>
        </row>
        <row r="1098">
          <cell r="D1098">
            <v>0</v>
          </cell>
          <cell r="O1098">
            <v>0</v>
          </cell>
        </row>
        <row r="1099">
          <cell r="D1099">
            <v>0</v>
          </cell>
          <cell r="O1099">
            <v>0</v>
          </cell>
        </row>
        <row r="1100">
          <cell r="D1100">
            <v>0</v>
          </cell>
          <cell r="O1100">
            <v>0</v>
          </cell>
        </row>
        <row r="1101">
          <cell r="D1101">
            <v>0</v>
          </cell>
          <cell r="O1101">
            <v>0</v>
          </cell>
        </row>
        <row r="1102">
          <cell r="D1102">
            <v>0</v>
          </cell>
          <cell r="O1102">
            <v>0</v>
          </cell>
        </row>
        <row r="1103">
          <cell r="D1103">
            <v>0</v>
          </cell>
          <cell r="O1103">
            <v>0</v>
          </cell>
        </row>
        <row r="1104">
          <cell r="D1104">
            <v>0</v>
          </cell>
          <cell r="O1104">
            <v>0</v>
          </cell>
        </row>
        <row r="1105">
          <cell r="D1105">
            <v>0</v>
          </cell>
          <cell r="O1105">
            <v>0</v>
          </cell>
        </row>
        <row r="1106">
          <cell r="D1106">
            <v>0</v>
          </cell>
          <cell r="O1106">
            <v>0</v>
          </cell>
        </row>
        <row r="1107">
          <cell r="D1107">
            <v>0</v>
          </cell>
          <cell r="O1107">
            <v>0</v>
          </cell>
        </row>
        <row r="1108">
          <cell r="D1108">
            <v>0</v>
          </cell>
          <cell r="O1108">
            <v>0</v>
          </cell>
        </row>
        <row r="1109">
          <cell r="D1109">
            <v>0</v>
          </cell>
          <cell r="O1109">
            <v>0</v>
          </cell>
        </row>
        <row r="1110">
          <cell r="D1110">
            <v>0</v>
          </cell>
          <cell r="O1110">
            <v>0</v>
          </cell>
        </row>
        <row r="1111">
          <cell r="D1111">
            <v>0</v>
          </cell>
          <cell r="O1111">
            <v>0</v>
          </cell>
        </row>
        <row r="1112">
          <cell r="D1112">
            <v>0</v>
          </cell>
          <cell r="O1112">
            <v>0</v>
          </cell>
        </row>
        <row r="1113">
          <cell r="D1113">
            <v>0</v>
          </cell>
          <cell r="O1113">
            <v>0</v>
          </cell>
        </row>
        <row r="1114">
          <cell r="D1114">
            <v>0</v>
          </cell>
          <cell r="O1114">
            <v>0</v>
          </cell>
        </row>
        <row r="1115">
          <cell r="D1115">
            <v>0</v>
          </cell>
          <cell r="O1115">
            <v>0</v>
          </cell>
        </row>
        <row r="1116">
          <cell r="D1116">
            <v>0</v>
          </cell>
          <cell r="O1116">
            <v>0</v>
          </cell>
        </row>
        <row r="1117">
          <cell r="D1117">
            <v>0</v>
          </cell>
          <cell r="O1117">
            <v>0</v>
          </cell>
        </row>
        <row r="1118">
          <cell r="D1118">
            <v>0</v>
          </cell>
          <cell r="O1118">
            <v>0</v>
          </cell>
        </row>
        <row r="1119">
          <cell r="D1119">
            <v>0</v>
          </cell>
          <cell r="O1119">
            <v>0</v>
          </cell>
        </row>
        <row r="1120">
          <cell r="D1120">
            <v>0</v>
          </cell>
          <cell r="O1120">
            <v>0</v>
          </cell>
        </row>
        <row r="1121">
          <cell r="D1121">
            <v>0</v>
          </cell>
          <cell r="O1121">
            <v>0</v>
          </cell>
        </row>
        <row r="1122">
          <cell r="D1122">
            <v>0</v>
          </cell>
          <cell r="O1122">
            <v>0</v>
          </cell>
        </row>
        <row r="1123">
          <cell r="D1123">
            <v>0</v>
          </cell>
          <cell r="O1123">
            <v>0</v>
          </cell>
        </row>
        <row r="1124">
          <cell r="D1124">
            <v>0</v>
          </cell>
          <cell r="O1124">
            <v>0</v>
          </cell>
        </row>
        <row r="1125">
          <cell r="D1125">
            <v>0</v>
          </cell>
          <cell r="O1125">
            <v>0</v>
          </cell>
        </row>
        <row r="1126">
          <cell r="D1126">
            <v>0</v>
          </cell>
          <cell r="O1126">
            <v>0</v>
          </cell>
        </row>
        <row r="1127">
          <cell r="D1127">
            <v>0</v>
          </cell>
          <cell r="O1127">
            <v>0</v>
          </cell>
        </row>
        <row r="1128">
          <cell r="D1128">
            <v>0</v>
          </cell>
          <cell r="O1128">
            <v>0</v>
          </cell>
        </row>
        <row r="1129">
          <cell r="D1129">
            <v>0</v>
          </cell>
          <cell r="O1129">
            <v>0</v>
          </cell>
        </row>
        <row r="1130">
          <cell r="D1130">
            <v>0</v>
          </cell>
          <cell r="O1130">
            <v>0</v>
          </cell>
        </row>
        <row r="1131">
          <cell r="D1131">
            <v>0</v>
          </cell>
          <cell r="O1131">
            <v>0</v>
          </cell>
        </row>
        <row r="1132">
          <cell r="D1132">
            <v>0</v>
          </cell>
          <cell r="O1132">
            <v>0</v>
          </cell>
        </row>
        <row r="1133">
          <cell r="D1133">
            <v>0</v>
          </cell>
          <cell r="O1133">
            <v>0</v>
          </cell>
        </row>
        <row r="1134">
          <cell r="D1134">
            <v>0</v>
          </cell>
          <cell r="O1134">
            <v>0</v>
          </cell>
        </row>
        <row r="1135">
          <cell r="D1135">
            <v>0</v>
          </cell>
          <cell r="O1135">
            <v>0</v>
          </cell>
        </row>
        <row r="1136">
          <cell r="D1136">
            <v>0</v>
          </cell>
          <cell r="O1136">
            <v>0</v>
          </cell>
        </row>
        <row r="1137">
          <cell r="D1137">
            <v>0</v>
          </cell>
          <cell r="O1137">
            <v>0</v>
          </cell>
        </row>
        <row r="1138">
          <cell r="D1138">
            <v>0</v>
          </cell>
          <cell r="O1138">
            <v>0</v>
          </cell>
        </row>
        <row r="1139">
          <cell r="D1139">
            <v>0</v>
          </cell>
          <cell r="O1139">
            <v>0</v>
          </cell>
        </row>
        <row r="1140">
          <cell r="D1140">
            <v>0</v>
          </cell>
          <cell r="O1140">
            <v>0</v>
          </cell>
        </row>
        <row r="1141">
          <cell r="D1141">
            <v>0</v>
          </cell>
          <cell r="O1141">
            <v>0</v>
          </cell>
        </row>
        <row r="1142">
          <cell r="D1142">
            <v>0</v>
          </cell>
          <cell r="O1142">
            <v>0</v>
          </cell>
        </row>
        <row r="1143">
          <cell r="D1143">
            <v>0</v>
          </cell>
          <cell r="O1143">
            <v>0</v>
          </cell>
        </row>
        <row r="1144">
          <cell r="D1144">
            <v>0</v>
          </cell>
          <cell r="O1144">
            <v>0</v>
          </cell>
        </row>
        <row r="1145">
          <cell r="D1145">
            <v>0</v>
          </cell>
          <cell r="O1145">
            <v>0</v>
          </cell>
        </row>
        <row r="1146">
          <cell r="D1146">
            <v>0</v>
          </cell>
          <cell r="O1146">
            <v>0</v>
          </cell>
        </row>
        <row r="1147">
          <cell r="D1147">
            <v>0</v>
          </cell>
          <cell r="O1147">
            <v>0</v>
          </cell>
        </row>
        <row r="1148">
          <cell r="D1148">
            <v>0</v>
          </cell>
          <cell r="O1148">
            <v>0</v>
          </cell>
        </row>
        <row r="1149">
          <cell r="D1149">
            <v>0</v>
          </cell>
          <cell r="O1149">
            <v>0</v>
          </cell>
        </row>
        <row r="1150">
          <cell r="D1150">
            <v>0</v>
          </cell>
          <cell r="O1150">
            <v>0</v>
          </cell>
        </row>
        <row r="1151">
          <cell r="D1151">
            <v>0</v>
          </cell>
          <cell r="O1151">
            <v>0</v>
          </cell>
        </row>
        <row r="1152">
          <cell r="D1152">
            <v>0</v>
          </cell>
          <cell r="O1152">
            <v>0</v>
          </cell>
        </row>
        <row r="1153">
          <cell r="D1153">
            <v>0</v>
          </cell>
          <cell r="O1153">
            <v>0</v>
          </cell>
        </row>
        <row r="1154">
          <cell r="D1154">
            <v>0</v>
          </cell>
          <cell r="O1154">
            <v>0</v>
          </cell>
        </row>
        <row r="1155">
          <cell r="D1155">
            <v>0</v>
          </cell>
          <cell r="O1155">
            <v>0</v>
          </cell>
        </row>
        <row r="1156">
          <cell r="D1156">
            <v>0</v>
          </cell>
          <cell r="O1156">
            <v>0</v>
          </cell>
        </row>
        <row r="1157">
          <cell r="D1157">
            <v>0</v>
          </cell>
          <cell r="O1157">
            <v>0</v>
          </cell>
        </row>
        <row r="1158">
          <cell r="D1158">
            <v>0</v>
          </cell>
          <cell r="O1158">
            <v>0</v>
          </cell>
        </row>
        <row r="1159">
          <cell r="D1159">
            <v>0</v>
          </cell>
          <cell r="O1159">
            <v>0</v>
          </cell>
        </row>
        <row r="1160">
          <cell r="D1160">
            <v>0</v>
          </cell>
          <cell r="O1160">
            <v>0</v>
          </cell>
        </row>
        <row r="1161">
          <cell r="D1161">
            <v>0</v>
          </cell>
          <cell r="O1161">
            <v>0</v>
          </cell>
        </row>
        <row r="1162">
          <cell r="D1162">
            <v>0</v>
          </cell>
          <cell r="O1162">
            <v>0</v>
          </cell>
        </row>
        <row r="1163">
          <cell r="D1163">
            <v>0</v>
          </cell>
          <cell r="O1163">
            <v>0</v>
          </cell>
        </row>
        <row r="1164">
          <cell r="D1164">
            <v>0</v>
          </cell>
          <cell r="O1164">
            <v>0</v>
          </cell>
        </row>
        <row r="1165">
          <cell r="D1165">
            <v>0</v>
          </cell>
          <cell r="O1165">
            <v>0</v>
          </cell>
        </row>
        <row r="1166">
          <cell r="D1166">
            <v>0</v>
          </cell>
          <cell r="O1166">
            <v>0</v>
          </cell>
        </row>
        <row r="1167">
          <cell r="D1167">
            <v>0</v>
          </cell>
          <cell r="O1167">
            <v>0</v>
          </cell>
        </row>
        <row r="1168">
          <cell r="D1168">
            <v>0</v>
          </cell>
          <cell r="O1168">
            <v>0</v>
          </cell>
        </row>
        <row r="1169">
          <cell r="D1169">
            <v>0</v>
          </cell>
          <cell r="O1169">
            <v>0</v>
          </cell>
        </row>
        <row r="1170">
          <cell r="D1170">
            <v>0</v>
          </cell>
          <cell r="O1170">
            <v>0</v>
          </cell>
        </row>
        <row r="1171">
          <cell r="D1171">
            <v>0</v>
          </cell>
          <cell r="O1171">
            <v>0</v>
          </cell>
        </row>
        <row r="1172">
          <cell r="D1172">
            <v>0</v>
          </cell>
          <cell r="O1172">
            <v>0</v>
          </cell>
        </row>
        <row r="1173">
          <cell r="D1173">
            <v>0</v>
          </cell>
          <cell r="O1173">
            <v>0</v>
          </cell>
        </row>
        <row r="1174">
          <cell r="D1174">
            <v>0</v>
          </cell>
          <cell r="O1174">
            <v>0</v>
          </cell>
        </row>
        <row r="1175">
          <cell r="D1175">
            <v>0</v>
          </cell>
          <cell r="O1175">
            <v>0</v>
          </cell>
        </row>
        <row r="1176">
          <cell r="D1176">
            <v>0</v>
          </cell>
          <cell r="O1176">
            <v>0</v>
          </cell>
        </row>
        <row r="1177">
          <cell r="D1177">
            <v>0</v>
          </cell>
          <cell r="O1177">
            <v>0</v>
          </cell>
        </row>
        <row r="1178">
          <cell r="D1178">
            <v>0</v>
          </cell>
          <cell r="O1178">
            <v>0</v>
          </cell>
        </row>
        <row r="1179">
          <cell r="D1179">
            <v>0</v>
          </cell>
          <cell r="O1179">
            <v>0</v>
          </cell>
        </row>
        <row r="1180">
          <cell r="D1180">
            <v>0</v>
          </cell>
          <cell r="O1180">
            <v>0</v>
          </cell>
        </row>
        <row r="1181">
          <cell r="D1181">
            <v>0</v>
          </cell>
          <cell r="O1181">
            <v>0</v>
          </cell>
        </row>
        <row r="1182">
          <cell r="D1182">
            <v>0</v>
          </cell>
          <cell r="O1182">
            <v>0</v>
          </cell>
        </row>
        <row r="1183">
          <cell r="D1183">
            <v>0</v>
          </cell>
          <cell r="O1183">
            <v>0</v>
          </cell>
        </row>
        <row r="1184">
          <cell r="D1184">
            <v>0</v>
          </cell>
          <cell r="O1184">
            <v>0</v>
          </cell>
        </row>
        <row r="1185">
          <cell r="D1185">
            <v>0</v>
          </cell>
          <cell r="O1185">
            <v>0</v>
          </cell>
        </row>
        <row r="1186">
          <cell r="D1186">
            <v>0</v>
          </cell>
          <cell r="O1186">
            <v>0</v>
          </cell>
        </row>
        <row r="1187">
          <cell r="D1187">
            <v>0</v>
          </cell>
          <cell r="O1187">
            <v>0</v>
          </cell>
        </row>
        <row r="1188">
          <cell r="D1188">
            <v>0</v>
          </cell>
          <cell r="O1188">
            <v>0</v>
          </cell>
        </row>
        <row r="1189">
          <cell r="D1189">
            <v>0</v>
          </cell>
          <cell r="O1189">
            <v>0</v>
          </cell>
        </row>
        <row r="1190">
          <cell r="D1190">
            <v>0</v>
          </cell>
          <cell r="O1190">
            <v>0</v>
          </cell>
        </row>
        <row r="1191">
          <cell r="D1191">
            <v>0</v>
          </cell>
          <cell r="O1191">
            <v>0</v>
          </cell>
        </row>
        <row r="1192">
          <cell r="D1192">
            <v>0</v>
          </cell>
          <cell r="O1192">
            <v>0</v>
          </cell>
        </row>
        <row r="1193">
          <cell r="D1193">
            <v>0</v>
          </cell>
          <cell r="O1193">
            <v>0</v>
          </cell>
        </row>
        <row r="1194">
          <cell r="D1194">
            <v>0</v>
          </cell>
          <cell r="O1194">
            <v>0</v>
          </cell>
        </row>
        <row r="1195">
          <cell r="D1195">
            <v>0</v>
          </cell>
          <cell r="O1195">
            <v>0</v>
          </cell>
        </row>
        <row r="1196">
          <cell r="D1196">
            <v>0</v>
          </cell>
          <cell r="O1196">
            <v>0</v>
          </cell>
        </row>
        <row r="1197">
          <cell r="D1197">
            <v>0</v>
          </cell>
          <cell r="O1197">
            <v>0</v>
          </cell>
        </row>
        <row r="1198">
          <cell r="D1198">
            <v>0</v>
          </cell>
          <cell r="O1198">
            <v>0</v>
          </cell>
        </row>
        <row r="1199">
          <cell r="D1199">
            <v>0</v>
          </cell>
          <cell r="O1199">
            <v>0</v>
          </cell>
        </row>
        <row r="1200">
          <cell r="D1200">
            <v>0</v>
          </cell>
          <cell r="O1200">
            <v>0</v>
          </cell>
        </row>
        <row r="1201">
          <cell r="D1201">
            <v>0</v>
          </cell>
          <cell r="O1201">
            <v>0</v>
          </cell>
        </row>
        <row r="1202">
          <cell r="D1202">
            <v>0</v>
          </cell>
          <cell r="O1202">
            <v>0</v>
          </cell>
        </row>
        <row r="1203">
          <cell r="D1203">
            <v>0</v>
          </cell>
          <cell r="O1203">
            <v>0</v>
          </cell>
        </row>
        <row r="1204">
          <cell r="D1204">
            <v>0</v>
          </cell>
          <cell r="O1204">
            <v>0</v>
          </cell>
        </row>
        <row r="1205">
          <cell r="D1205">
            <v>0</v>
          </cell>
          <cell r="O1205">
            <v>0</v>
          </cell>
        </row>
        <row r="1206">
          <cell r="D1206">
            <v>0</v>
          </cell>
          <cell r="O1206">
            <v>0</v>
          </cell>
        </row>
        <row r="1207">
          <cell r="D1207">
            <v>0</v>
          </cell>
          <cell r="O1207">
            <v>0</v>
          </cell>
        </row>
        <row r="1208">
          <cell r="D1208">
            <v>0</v>
          </cell>
          <cell r="O1208">
            <v>0</v>
          </cell>
        </row>
        <row r="1209">
          <cell r="D1209">
            <v>0</v>
          </cell>
          <cell r="O1209">
            <v>0</v>
          </cell>
        </row>
        <row r="1210">
          <cell r="D1210">
            <v>0</v>
          </cell>
          <cell r="O1210">
            <v>0</v>
          </cell>
        </row>
        <row r="1211">
          <cell r="D1211">
            <v>0</v>
          </cell>
          <cell r="O1211">
            <v>0</v>
          </cell>
        </row>
        <row r="1212">
          <cell r="D1212">
            <v>0</v>
          </cell>
          <cell r="O1212">
            <v>0</v>
          </cell>
        </row>
        <row r="1213">
          <cell r="D1213">
            <v>0</v>
          </cell>
          <cell r="O1213">
            <v>0</v>
          </cell>
        </row>
        <row r="1214">
          <cell r="D1214">
            <v>0</v>
          </cell>
          <cell r="O1214">
            <v>0</v>
          </cell>
        </row>
        <row r="1215">
          <cell r="D1215">
            <v>0</v>
          </cell>
          <cell r="O1215">
            <v>0</v>
          </cell>
        </row>
        <row r="1216">
          <cell r="D1216">
            <v>0</v>
          </cell>
          <cell r="O1216">
            <v>0</v>
          </cell>
        </row>
        <row r="1217">
          <cell r="D1217">
            <v>0</v>
          </cell>
          <cell r="O1217">
            <v>0</v>
          </cell>
        </row>
        <row r="1218">
          <cell r="D1218">
            <v>0</v>
          </cell>
          <cell r="O1218">
            <v>0</v>
          </cell>
        </row>
        <row r="1219">
          <cell r="D1219">
            <v>0</v>
          </cell>
          <cell r="O1219">
            <v>0</v>
          </cell>
        </row>
        <row r="1220">
          <cell r="D1220">
            <v>0</v>
          </cell>
          <cell r="O1220">
            <v>0</v>
          </cell>
        </row>
        <row r="1221">
          <cell r="D1221">
            <v>0</v>
          </cell>
          <cell r="O1221">
            <v>0</v>
          </cell>
        </row>
        <row r="1222">
          <cell r="D1222">
            <v>0</v>
          </cell>
          <cell r="O1222">
            <v>0</v>
          </cell>
        </row>
        <row r="1223">
          <cell r="D1223">
            <v>0</v>
          </cell>
          <cell r="O1223">
            <v>0</v>
          </cell>
        </row>
        <row r="1224">
          <cell r="D1224">
            <v>0</v>
          </cell>
          <cell r="O1224">
            <v>0</v>
          </cell>
        </row>
        <row r="1225">
          <cell r="D1225">
            <v>0</v>
          </cell>
          <cell r="O1225">
            <v>0</v>
          </cell>
        </row>
        <row r="1226">
          <cell r="D1226">
            <v>0</v>
          </cell>
          <cell r="O1226">
            <v>0</v>
          </cell>
        </row>
        <row r="1227">
          <cell r="D1227">
            <v>0</v>
          </cell>
          <cell r="O1227">
            <v>0</v>
          </cell>
        </row>
        <row r="1228">
          <cell r="D1228">
            <v>0</v>
          </cell>
          <cell r="O1228">
            <v>0</v>
          </cell>
        </row>
        <row r="1229">
          <cell r="D1229">
            <v>0</v>
          </cell>
          <cell r="O1229">
            <v>0</v>
          </cell>
        </row>
        <row r="1230">
          <cell r="D1230">
            <v>0</v>
          </cell>
          <cell r="O1230">
            <v>0</v>
          </cell>
        </row>
        <row r="1231">
          <cell r="D1231">
            <v>0</v>
          </cell>
          <cell r="O1231">
            <v>0</v>
          </cell>
        </row>
        <row r="1232">
          <cell r="D1232">
            <v>0</v>
          </cell>
          <cell r="O1232">
            <v>0</v>
          </cell>
        </row>
        <row r="1233">
          <cell r="D1233">
            <v>0</v>
          </cell>
          <cell r="O1233">
            <v>0</v>
          </cell>
        </row>
        <row r="1234">
          <cell r="D1234">
            <v>0</v>
          </cell>
          <cell r="O1234">
            <v>0</v>
          </cell>
        </row>
        <row r="1235">
          <cell r="D1235">
            <v>0</v>
          </cell>
          <cell r="O1235">
            <v>0</v>
          </cell>
        </row>
        <row r="1236">
          <cell r="D1236">
            <v>0</v>
          </cell>
          <cell r="O1236">
            <v>0</v>
          </cell>
        </row>
        <row r="1237">
          <cell r="D1237">
            <v>0</v>
          </cell>
          <cell r="O1237">
            <v>0</v>
          </cell>
        </row>
        <row r="1238">
          <cell r="D1238">
            <v>0</v>
          </cell>
          <cell r="O1238">
            <v>0</v>
          </cell>
        </row>
        <row r="1239">
          <cell r="D1239">
            <v>0</v>
          </cell>
          <cell r="O1239">
            <v>0</v>
          </cell>
        </row>
        <row r="1240">
          <cell r="D1240">
            <v>0</v>
          </cell>
          <cell r="O1240">
            <v>0</v>
          </cell>
        </row>
        <row r="1241">
          <cell r="D1241">
            <v>0</v>
          </cell>
          <cell r="O1241">
            <v>0</v>
          </cell>
        </row>
        <row r="1242">
          <cell r="D1242">
            <v>0</v>
          </cell>
          <cell r="O1242">
            <v>0</v>
          </cell>
        </row>
        <row r="1243">
          <cell r="D1243">
            <v>0</v>
          </cell>
          <cell r="O1243">
            <v>0</v>
          </cell>
        </row>
        <row r="1244">
          <cell r="D1244">
            <v>0</v>
          </cell>
          <cell r="O1244">
            <v>0</v>
          </cell>
        </row>
        <row r="1245">
          <cell r="D1245">
            <v>0</v>
          </cell>
          <cell r="O1245">
            <v>0</v>
          </cell>
        </row>
        <row r="1246">
          <cell r="D1246">
            <v>0</v>
          </cell>
          <cell r="O1246">
            <v>0</v>
          </cell>
        </row>
        <row r="1247">
          <cell r="D1247">
            <v>0</v>
          </cell>
          <cell r="O1247">
            <v>0</v>
          </cell>
        </row>
        <row r="1248">
          <cell r="D1248">
            <v>0</v>
          </cell>
          <cell r="O1248">
            <v>0</v>
          </cell>
        </row>
        <row r="1249">
          <cell r="D1249">
            <v>0</v>
          </cell>
          <cell r="O1249">
            <v>0</v>
          </cell>
        </row>
        <row r="1250">
          <cell r="D1250">
            <v>0</v>
          </cell>
          <cell r="O1250">
            <v>0</v>
          </cell>
        </row>
        <row r="1251">
          <cell r="D1251">
            <v>0</v>
          </cell>
          <cell r="O1251">
            <v>0</v>
          </cell>
        </row>
        <row r="1252">
          <cell r="D1252">
            <v>0</v>
          </cell>
          <cell r="O1252">
            <v>0</v>
          </cell>
        </row>
        <row r="1253">
          <cell r="D1253">
            <v>0</v>
          </cell>
          <cell r="O1253">
            <v>0</v>
          </cell>
        </row>
        <row r="1254">
          <cell r="D1254">
            <v>0</v>
          </cell>
          <cell r="O1254">
            <v>0</v>
          </cell>
        </row>
        <row r="1255">
          <cell r="D1255">
            <v>0</v>
          </cell>
          <cell r="O1255">
            <v>0</v>
          </cell>
        </row>
        <row r="1256">
          <cell r="D1256">
            <v>0</v>
          </cell>
          <cell r="O1256">
            <v>0</v>
          </cell>
        </row>
        <row r="1257">
          <cell r="D1257">
            <v>0</v>
          </cell>
          <cell r="O1257">
            <v>0</v>
          </cell>
        </row>
        <row r="1258">
          <cell r="D1258">
            <v>0</v>
          </cell>
          <cell r="O1258">
            <v>0</v>
          </cell>
        </row>
        <row r="1259">
          <cell r="D1259">
            <v>0</v>
          </cell>
          <cell r="O1259">
            <v>0</v>
          </cell>
        </row>
        <row r="1260">
          <cell r="D1260">
            <v>0</v>
          </cell>
          <cell r="O1260">
            <v>0</v>
          </cell>
        </row>
        <row r="1261">
          <cell r="D1261">
            <v>0</v>
          </cell>
          <cell r="O1261">
            <v>0</v>
          </cell>
        </row>
        <row r="1262">
          <cell r="D1262">
            <v>0</v>
          </cell>
          <cell r="O1262">
            <v>0</v>
          </cell>
        </row>
        <row r="1263">
          <cell r="D1263">
            <v>0</v>
          </cell>
          <cell r="O1263">
            <v>0</v>
          </cell>
        </row>
        <row r="1264">
          <cell r="D1264">
            <v>0</v>
          </cell>
          <cell r="O1264">
            <v>0</v>
          </cell>
        </row>
        <row r="1265">
          <cell r="D1265">
            <v>0</v>
          </cell>
          <cell r="O1265">
            <v>0</v>
          </cell>
        </row>
        <row r="1266">
          <cell r="D1266">
            <v>0</v>
          </cell>
          <cell r="O1266">
            <v>0</v>
          </cell>
        </row>
        <row r="1267">
          <cell r="D1267">
            <v>0</v>
          </cell>
          <cell r="O1267">
            <v>0</v>
          </cell>
        </row>
        <row r="1268">
          <cell r="D1268">
            <v>0</v>
          </cell>
          <cell r="O1268">
            <v>0</v>
          </cell>
        </row>
        <row r="1269">
          <cell r="D1269">
            <v>0</v>
          </cell>
          <cell r="O1269">
            <v>0</v>
          </cell>
        </row>
        <row r="1270">
          <cell r="D1270">
            <v>0</v>
          </cell>
          <cell r="O1270">
            <v>0</v>
          </cell>
        </row>
        <row r="1271">
          <cell r="D1271">
            <v>0</v>
          </cell>
          <cell r="O1271">
            <v>0</v>
          </cell>
        </row>
        <row r="1272">
          <cell r="D1272">
            <v>0</v>
          </cell>
          <cell r="O1272">
            <v>0</v>
          </cell>
        </row>
        <row r="1273">
          <cell r="D1273">
            <v>0</v>
          </cell>
          <cell r="O1273">
            <v>0</v>
          </cell>
        </row>
        <row r="1274">
          <cell r="D1274">
            <v>0</v>
          </cell>
          <cell r="O1274">
            <v>0</v>
          </cell>
        </row>
        <row r="1275">
          <cell r="D1275">
            <v>0</v>
          </cell>
          <cell r="O1275">
            <v>0</v>
          </cell>
        </row>
        <row r="1276">
          <cell r="D1276">
            <v>0</v>
          </cell>
          <cell r="O1276">
            <v>0</v>
          </cell>
        </row>
        <row r="1277">
          <cell r="D1277">
            <v>0</v>
          </cell>
          <cell r="O1277">
            <v>0</v>
          </cell>
        </row>
        <row r="1278">
          <cell r="D1278">
            <v>0</v>
          </cell>
          <cell r="O1278">
            <v>0</v>
          </cell>
        </row>
        <row r="1279">
          <cell r="D1279">
            <v>0</v>
          </cell>
          <cell r="O1279">
            <v>0</v>
          </cell>
        </row>
        <row r="1280">
          <cell r="D1280">
            <v>0</v>
          </cell>
          <cell r="O1280">
            <v>0</v>
          </cell>
        </row>
        <row r="1281">
          <cell r="D1281">
            <v>0</v>
          </cell>
          <cell r="O1281">
            <v>0</v>
          </cell>
        </row>
        <row r="1282">
          <cell r="D1282">
            <v>0</v>
          </cell>
          <cell r="O1282">
            <v>0</v>
          </cell>
        </row>
        <row r="1283">
          <cell r="D1283">
            <v>0</v>
          </cell>
          <cell r="O1283">
            <v>0</v>
          </cell>
        </row>
        <row r="1284">
          <cell r="D1284">
            <v>0</v>
          </cell>
          <cell r="O1284">
            <v>0</v>
          </cell>
        </row>
        <row r="1285">
          <cell r="D1285">
            <v>0</v>
          </cell>
          <cell r="O1285">
            <v>0</v>
          </cell>
        </row>
        <row r="1286">
          <cell r="D1286">
            <v>0</v>
          </cell>
          <cell r="O1286">
            <v>0</v>
          </cell>
        </row>
        <row r="1287">
          <cell r="D1287">
            <v>0</v>
          </cell>
          <cell r="O1287">
            <v>0</v>
          </cell>
        </row>
        <row r="1288">
          <cell r="D1288">
            <v>0</v>
          </cell>
          <cell r="O1288">
            <v>0</v>
          </cell>
        </row>
        <row r="1289">
          <cell r="D1289">
            <v>0</v>
          </cell>
          <cell r="O1289">
            <v>0</v>
          </cell>
        </row>
        <row r="1290">
          <cell r="D1290">
            <v>0</v>
          </cell>
          <cell r="O1290">
            <v>0</v>
          </cell>
        </row>
        <row r="1291">
          <cell r="D1291">
            <v>0</v>
          </cell>
          <cell r="O1291">
            <v>0</v>
          </cell>
        </row>
        <row r="1292">
          <cell r="D1292">
            <v>0</v>
          </cell>
          <cell r="O1292">
            <v>0</v>
          </cell>
        </row>
        <row r="1293">
          <cell r="D1293">
            <v>0</v>
          </cell>
          <cell r="O1293">
            <v>0</v>
          </cell>
        </row>
        <row r="1294">
          <cell r="D1294">
            <v>0</v>
          </cell>
          <cell r="O1294">
            <v>0</v>
          </cell>
        </row>
        <row r="1295">
          <cell r="D1295">
            <v>0</v>
          </cell>
          <cell r="O1295">
            <v>0</v>
          </cell>
        </row>
        <row r="1296">
          <cell r="D1296">
            <v>0</v>
          </cell>
          <cell r="O1296">
            <v>0</v>
          </cell>
        </row>
        <row r="1297">
          <cell r="D1297">
            <v>0</v>
          </cell>
          <cell r="O1297">
            <v>0</v>
          </cell>
        </row>
        <row r="1298">
          <cell r="D1298">
            <v>0</v>
          </cell>
          <cell r="O1298">
            <v>0</v>
          </cell>
        </row>
        <row r="1299">
          <cell r="D1299">
            <v>0</v>
          </cell>
          <cell r="O1299">
            <v>0</v>
          </cell>
        </row>
        <row r="1300">
          <cell r="D1300">
            <v>0</v>
          </cell>
          <cell r="O1300">
            <v>0</v>
          </cell>
        </row>
        <row r="1301">
          <cell r="D1301">
            <v>0</v>
          </cell>
          <cell r="O1301">
            <v>0</v>
          </cell>
        </row>
        <row r="1302">
          <cell r="D1302">
            <v>0</v>
          </cell>
          <cell r="O1302">
            <v>0</v>
          </cell>
        </row>
        <row r="1303">
          <cell r="D1303">
            <v>0</v>
          </cell>
          <cell r="O1303">
            <v>0</v>
          </cell>
        </row>
        <row r="1304">
          <cell r="D1304">
            <v>0</v>
          </cell>
          <cell r="O1304">
            <v>0</v>
          </cell>
        </row>
        <row r="1305">
          <cell r="D1305">
            <v>0</v>
          </cell>
          <cell r="O1305">
            <v>0</v>
          </cell>
        </row>
        <row r="1306">
          <cell r="D1306">
            <v>0</v>
          </cell>
          <cell r="O1306">
            <v>0</v>
          </cell>
        </row>
        <row r="1307">
          <cell r="D1307">
            <v>0</v>
          </cell>
          <cell r="O1307">
            <v>0</v>
          </cell>
        </row>
        <row r="1308">
          <cell r="D1308">
            <v>0</v>
          </cell>
          <cell r="O1308">
            <v>0</v>
          </cell>
        </row>
        <row r="1309">
          <cell r="D1309">
            <v>0</v>
          </cell>
          <cell r="O1309">
            <v>0</v>
          </cell>
        </row>
        <row r="1310">
          <cell r="D1310">
            <v>0</v>
          </cell>
          <cell r="O1310">
            <v>0</v>
          </cell>
        </row>
        <row r="1311">
          <cell r="D1311">
            <v>0</v>
          </cell>
          <cell r="O1311">
            <v>0</v>
          </cell>
        </row>
        <row r="1312">
          <cell r="D1312">
            <v>0</v>
          </cell>
          <cell r="O1312">
            <v>0</v>
          </cell>
        </row>
        <row r="1313">
          <cell r="D1313">
            <v>0</v>
          </cell>
          <cell r="O1313">
            <v>0</v>
          </cell>
        </row>
        <row r="1314">
          <cell r="D1314">
            <v>0</v>
          </cell>
          <cell r="O1314">
            <v>0</v>
          </cell>
        </row>
        <row r="1315">
          <cell r="D1315">
            <v>0</v>
          </cell>
          <cell r="O1315">
            <v>0</v>
          </cell>
        </row>
        <row r="1316">
          <cell r="D1316">
            <v>0</v>
          </cell>
          <cell r="O1316">
            <v>0</v>
          </cell>
        </row>
        <row r="1317">
          <cell r="D1317">
            <v>0</v>
          </cell>
          <cell r="O1317">
            <v>0</v>
          </cell>
        </row>
        <row r="1318">
          <cell r="D1318">
            <v>0</v>
          </cell>
          <cell r="O1318">
            <v>0</v>
          </cell>
        </row>
        <row r="1319">
          <cell r="D1319">
            <v>0</v>
          </cell>
          <cell r="O1319">
            <v>0</v>
          </cell>
        </row>
        <row r="1320">
          <cell r="D1320">
            <v>0</v>
          </cell>
          <cell r="O1320">
            <v>0</v>
          </cell>
        </row>
        <row r="1321">
          <cell r="D1321">
            <v>0</v>
          </cell>
          <cell r="O1321">
            <v>0</v>
          </cell>
        </row>
        <row r="1322">
          <cell r="D1322">
            <v>0</v>
          </cell>
          <cell r="O1322">
            <v>0</v>
          </cell>
        </row>
        <row r="1323">
          <cell r="D1323">
            <v>0</v>
          </cell>
          <cell r="O1323">
            <v>0</v>
          </cell>
        </row>
        <row r="1324">
          <cell r="D1324">
            <v>0</v>
          </cell>
          <cell r="O1324">
            <v>0</v>
          </cell>
        </row>
        <row r="1325">
          <cell r="D1325">
            <v>0</v>
          </cell>
          <cell r="O1325">
            <v>0</v>
          </cell>
        </row>
        <row r="1326">
          <cell r="D1326">
            <v>0</v>
          </cell>
          <cell r="O1326">
            <v>0</v>
          </cell>
        </row>
        <row r="1327">
          <cell r="D1327">
            <v>0</v>
          </cell>
          <cell r="O1327">
            <v>0</v>
          </cell>
        </row>
        <row r="1328">
          <cell r="D1328">
            <v>0</v>
          </cell>
          <cell r="O1328">
            <v>0</v>
          </cell>
        </row>
        <row r="1329">
          <cell r="D1329">
            <v>0</v>
          </cell>
          <cell r="O1329">
            <v>0</v>
          </cell>
        </row>
        <row r="1330">
          <cell r="D1330">
            <v>0</v>
          </cell>
          <cell r="O1330">
            <v>0</v>
          </cell>
        </row>
        <row r="1331">
          <cell r="D1331">
            <v>0</v>
          </cell>
          <cell r="O1331">
            <v>0</v>
          </cell>
        </row>
        <row r="1332">
          <cell r="D1332">
            <v>0</v>
          </cell>
          <cell r="O1332">
            <v>0</v>
          </cell>
        </row>
        <row r="1333">
          <cell r="D1333">
            <v>0</v>
          </cell>
          <cell r="O1333">
            <v>0</v>
          </cell>
        </row>
        <row r="1334">
          <cell r="D1334">
            <v>0</v>
          </cell>
          <cell r="O1334">
            <v>0</v>
          </cell>
        </row>
        <row r="1335">
          <cell r="D1335">
            <v>0</v>
          </cell>
          <cell r="O1335">
            <v>0</v>
          </cell>
        </row>
        <row r="1336">
          <cell r="D1336">
            <v>0</v>
          </cell>
          <cell r="O1336">
            <v>0</v>
          </cell>
        </row>
        <row r="1337">
          <cell r="D1337">
            <v>0</v>
          </cell>
          <cell r="O1337">
            <v>0</v>
          </cell>
        </row>
        <row r="1338">
          <cell r="D1338">
            <v>0</v>
          </cell>
          <cell r="O1338">
            <v>0</v>
          </cell>
        </row>
        <row r="1339">
          <cell r="D1339">
            <v>0</v>
          </cell>
          <cell r="O1339">
            <v>0</v>
          </cell>
        </row>
        <row r="1340">
          <cell r="D1340">
            <v>0</v>
          </cell>
          <cell r="O1340">
            <v>0</v>
          </cell>
        </row>
        <row r="1341">
          <cell r="D1341">
            <v>0</v>
          </cell>
          <cell r="O1341">
            <v>0</v>
          </cell>
        </row>
        <row r="1342">
          <cell r="D1342">
            <v>0</v>
          </cell>
          <cell r="O1342">
            <v>0</v>
          </cell>
        </row>
        <row r="1343">
          <cell r="D1343">
            <v>0</v>
          </cell>
          <cell r="O1343">
            <v>0</v>
          </cell>
        </row>
        <row r="1344">
          <cell r="D1344">
            <v>0</v>
          </cell>
          <cell r="O1344">
            <v>0</v>
          </cell>
        </row>
        <row r="1345">
          <cell r="D1345">
            <v>0</v>
          </cell>
          <cell r="O1345">
            <v>0</v>
          </cell>
        </row>
        <row r="1346">
          <cell r="D1346">
            <v>0</v>
          </cell>
          <cell r="O1346">
            <v>0</v>
          </cell>
        </row>
        <row r="1347">
          <cell r="D1347">
            <v>0</v>
          </cell>
          <cell r="O1347">
            <v>0</v>
          </cell>
        </row>
        <row r="1348">
          <cell r="D1348">
            <v>0</v>
          </cell>
          <cell r="O1348">
            <v>0</v>
          </cell>
        </row>
        <row r="1349">
          <cell r="D1349">
            <v>0</v>
          </cell>
          <cell r="O1349">
            <v>0</v>
          </cell>
        </row>
        <row r="1350">
          <cell r="D1350">
            <v>0</v>
          </cell>
          <cell r="O1350">
            <v>0</v>
          </cell>
        </row>
        <row r="1351">
          <cell r="D1351">
            <v>0</v>
          </cell>
          <cell r="O1351">
            <v>0</v>
          </cell>
        </row>
        <row r="1352">
          <cell r="D1352">
            <v>0</v>
          </cell>
          <cell r="O1352">
            <v>0</v>
          </cell>
        </row>
        <row r="1353">
          <cell r="D1353">
            <v>0</v>
          </cell>
          <cell r="O1353">
            <v>0</v>
          </cell>
        </row>
        <row r="1354">
          <cell r="D1354">
            <v>0</v>
          </cell>
          <cell r="O1354">
            <v>0</v>
          </cell>
        </row>
        <row r="1355">
          <cell r="D1355">
            <v>0</v>
          </cell>
          <cell r="O1355">
            <v>0</v>
          </cell>
        </row>
        <row r="1356">
          <cell r="D1356">
            <v>0</v>
          </cell>
          <cell r="O1356">
            <v>0</v>
          </cell>
        </row>
        <row r="1357">
          <cell r="D1357">
            <v>0</v>
          </cell>
          <cell r="O1357">
            <v>0</v>
          </cell>
        </row>
        <row r="1358">
          <cell r="D1358">
            <v>0</v>
          </cell>
          <cell r="O1358">
            <v>0</v>
          </cell>
        </row>
        <row r="1359">
          <cell r="D1359">
            <v>0</v>
          </cell>
          <cell r="O1359">
            <v>0</v>
          </cell>
        </row>
        <row r="1360">
          <cell r="D1360">
            <v>0</v>
          </cell>
          <cell r="O1360">
            <v>0</v>
          </cell>
        </row>
        <row r="1361">
          <cell r="D1361">
            <v>0</v>
          </cell>
          <cell r="O1361">
            <v>0</v>
          </cell>
        </row>
        <row r="1362">
          <cell r="D1362">
            <v>0</v>
          </cell>
          <cell r="O1362">
            <v>0</v>
          </cell>
        </row>
        <row r="1363">
          <cell r="D1363">
            <v>0</v>
          </cell>
          <cell r="O1363">
            <v>0</v>
          </cell>
        </row>
        <row r="1364">
          <cell r="D1364">
            <v>0</v>
          </cell>
          <cell r="O1364">
            <v>0</v>
          </cell>
        </row>
        <row r="1365">
          <cell r="D1365">
            <v>0</v>
          </cell>
          <cell r="O1365">
            <v>0</v>
          </cell>
        </row>
        <row r="1366">
          <cell r="D1366">
            <v>0</v>
          </cell>
          <cell r="O1366">
            <v>0</v>
          </cell>
        </row>
        <row r="1367">
          <cell r="D1367">
            <v>0</v>
          </cell>
          <cell r="O1367">
            <v>0</v>
          </cell>
        </row>
        <row r="1368">
          <cell r="D1368">
            <v>0</v>
          </cell>
          <cell r="O1368">
            <v>0</v>
          </cell>
        </row>
        <row r="1369">
          <cell r="D1369">
            <v>0</v>
          </cell>
          <cell r="O1369">
            <v>0</v>
          </cell>
        </row>
        <row r="1370">
          <cell r="D1370">
            <v>0</v>
          </cell>
          <cell r="O1370">
            <v>0</v>
          </cell>
        </row>
        <row r="1371">
          <cell r="D1371">
            <v>0</v>
          </cell>
          <cell r="O1371">
            <v>0</v>
          </cell>
        </row>
        <row r="1372">
          <cell r="D1372">
            <v>0</v>
          </cell>
          <cell r="O1372">
            <v>0</v>
          </cell>
        </row>
        <row r="1373">
          <cell r="D1373">
            <v>0</v>
          </cell>
          <cell r="O1373">
            <v>0</v>
          </cell>
        </row>
        <row r="1374">
          <cell r="D1374">
            <v>0</v>
          </cell>
          <cell r="O1374">
            <v>0</v>
          </cell>
        </row>
        <row r="1375">
          <cell r="D1375">
            <v>0</v>
          </cell>
          <cell r="O1375">
            <v>0</v>
          </cell>
        </row>
        <row r="1376">
          <cell r="D1376">
            <v>0</v>
          </cell>
          <cell r="O1376">
            <v>0</v>
          </cell>
        </row>
        <row r="1377">
          <cell r="D1377">
            <v>0</v>
          </cell>
          <cell r="O1377">
            <v>0</v>
          </cell>
        </row>
        <row r="1378">
          <cell r="D1378">
            <v>0</v>
          </cell>
          <cell r="O1378">
            <v>0</v>
          </cell>
        </row>
        <row r="1379">
          <cell r="D1379">
            <v>0</v>
          </cell>
          <cell r="O1379">
            <v>0</v>
          </cell>
        </row>
        <row r="1380">
          <cell r="D1380">
            <v>0</v>
          </cell>
          <cell r="O1380">
            <v>0</v>
          </cell>
        </row>
        <row r="1381">
          <cell r="D1381">
            <v>0</v>
          </cell>
          <cell r="O1381">
            <v>0</v>
          </cell>
        </row>
        <row r="1382">
          <cell r="D1382">
            <v>0</v>
          </cell>
          <cell r="O1382">
            <v>0</v>
          </cell>
        </row>
        <row r="1383">
          <cell r="D1383">
            <v>0</v>
          </cell>
          <cell r="O1383">
            <v>0</v>
          </cell>
        </row>
        <row r="1384">
          <cell r="D1384">
            <v>0</v>
          </cell>
          <cell r="O1384">
            <v>0</v>
          </cell>
        </row>
        <row r="1385">
          <cell r="D1385">
            <v>0</v>
          </cell>
          <cell r="O1385">
            <v>0</v>
          </cell>
        </row>
        <row r="1386">
          <cell r="D1386">
            <v>0</v>
          </cell>
          <cell r="O1386">
            <v>0</v>
          </cell>
        </row>
        <row r="1387">
          <cell r="D1387">
            <v>0</v>
          </cell>
          <cell r="O1387">
            <v>0</v>
          </cell>
        </row>
        <row r="1388">
          <cell r="D1388">
            <v>0</v>
          </cell>
          <cell r="O1388">
            <v>0</v>
          </cell>
        </row>
        <row r="1389">
          <cell r="D1389">
            <v>0</v>
          </cell>
          <cell r="O1389">
            <v>0</v>
          </cell>
        </row>
        <row r="1390">
          <cell r="D1390">
            <v>0</v>
          </cell>
          <cell r="O1390">
            <v>0</v>
          </cell>
        </row>
        <row r="1391">
          <cell r="D1391">
            <v>0</v>
          </cell>
          <cell r="O1391">
            <v>0</v>
          </cell>
        </row>
        <row r="1392">
          <cell r="D1392">
            <v>0</v>
          </cell>
          <cell r="O1392">
            <v>0</v>
          </cell>
        </row>
        <row r="1393">
          <cell r="D1393">
            <v>0</v>
          </cell>
          <cell r="O1393">
            <v>0</v>
          </cell>
        </row>
        <row r="1394">
          <cell r="D1394">
            <v>0</v>
          </cell>
          <cell r="O1394">
            <v>0</v>
          </cell>
        </row>
        <row r="1395">
          <cell r="D1395">
            <v>0</v>
          </cell>
          <cell r="O1395">
            <v>0</v>
          </cell>
        </row>
        <row r="1396">
          <cell r="D1396">
            <v>0</v>
          </cell>
          <cell r="O1396">
            <v>0</v>
          </cell>
        </row>
        <row r="1397">
          <cell r="D1397">
            <v>0</v>
          </cell>
          <cell r="O1397">
            <v>0</v>
          </cell>
        </row>
        <row r="1398">
          <cell r="D1398">
            <v>0</v>
          </cell>
          <cell r="O1398">
            <v>0</v>
          </cell>
        </row>
        <row r="1399">
          <cell r="D1399">
            <v>0</v>
          </cell>
          <cell r="O1399">
            <v>0</v>
          </cell>
        </row>
        <row r="1400">
          <cell r="D1400">
            <v>0</v>
          </cell>
          <cell r="O1400">
            <v>0</v>
          </cell>
        </row>
        <row r="1401">
          <cell r="D1401">
            <v>0</v>
          </cell>
          <cell r="O1401">
            <v>0</v>
          </cell>
        </row>
        <row r="1402">
          <cell r="D1402">
            <v>0</v>
          </cell>
          <cell r="O1402">
            <v>0</v>
          </cell>
        </row>
        <row r="1403">
          <cell r="D1403">
            <v>0</v>
          </cell>
          <cell r="O1403">
            <v>0</v>
          </cell>
        </row>
        <row r="1404">
          <cell r="D1404">
            <v>0</v>
          </cell>
          <cell r="O1404">
            <v>0</v>
          </cell>
        </row>
        <row r="1405">
          <cell r="D1405">
            <v>0</v>
          </cell>
          <cell r="O1405">
            <v>0</v>
          </cell>
        </row>
        <row r="1406">
          <cell r="D1406">
            <v>0</v>
          </cell>
          <cell r="O1406">
            <v>0</v>
          </cell>
        </row>
        <row r="1407">
          <cell r="D1407">
            <v>0</v>
          </cell>
          <cell r="O1407">
            <v>0</v>
          </cell>
        </row>
        <row r="1408">
          <cell r="D1408">
            <v>0</v>
          </cell>
          <cell r="O1408">
            <v>0</v>
          </cell>
        </row>
        <row r="1409">
          <cell r="D1409">
            <v>0</v>
          </cell>
          <cell r="O1409">
            <v>0</v>
          </cell>
        </row>
        <row r="1410">
          <cell r="D1410">
            <v>0</v>
          </cell>
          <cell r="O1410">
            <v>0</v>
          </cell>
        </row>
        <row r="1411">
          <cell r="D1411">
            <v>0</v>
          </cell>
          <cell r="O1411">
            <v>0</v>
          </cell>
        </row>
        <row r="1412">
          <cell r="D1412">
            <v>0</v>
          </cell>
          <cell r="O1412">
            <v>0</v>
          </cell>
        </row>
        <row r="1413">
          <cell r="D1413">
            <v>0</v>
          </cell>
          <cell r="O1413">
            <v>0</v>
          </cell>
        </row>
        <row r="1414">
          <cell r="D1414">
            <v>0</v>
          </cell>
          <cell r="O1414">
            <v>0</v>
          </cell>
        </row>
        <row r="1415">
          <cell r="D1415">
            <v>0</v>
          </cell>
          <cell r="O1415">
            <v>0</v>
          </cell>
        </row>
        <row r="1416">
          <cell r="D1416">
            <v>0</v>
          </cell>
          <cell r="O1416">
            <v>0</v>
          </cell>
        </row>
        <row r="1417">
          <cell r="D1417">
            <v>0</v>
          </cell>
          <cell r="O1417">
            <v>0</v>
          </cell>
        </row>
        <row r="1418">
          <cell r="D1418">
            <v>0</v>
          </cell>
          <cell r="O1418">
            <v>0</v>
          </cell>
        </row>
        <row r="1419">
          <cell r="D1419">
            <v>0</v>
          </cell>
          <cell r="O1419">
            <v>0</v>
          </cell>
        </row>
        <row r="1420">
          <cell r="D1420">
            <v>0</v>
          </cell>
          <cell r="O1420">
            <v>0</v>
          </cell>
        </row>
        <row r="1421">
          <cell r="D1421">
            <v>0</v>
          </cell>
          <cell r="O1421">
            <v>0</v>
          </cell>
        </row>
        <row r="1422">
          <cell r="D1422">
            <v>0</v>
          </cell>
          <cell r="O1422">
            <v>0</v>
          </cell>
        </row>
        <row r="1423">
          <cell r="D1423">
            <v>0</v>
          </cell>
          <cell r="O1423">
            <v>0</v>
          </cell>
        </row>
        <row r="1424">
          <cell r="D1424">
            <v>0</v>
          </cell>
          <cell r="O1424">
            <v>0</v>
          </cell>
        </row>
        <row r="1425">
          <cell r="D1425">
            <v>0</v>
          </cell>
          <cell r="O1425">
            <v>0</v>
          </cell>
        </row>
        <row r="1426">
          <cell r="D1426">
            <v>0</v>
          </cell>
          <cell r="O1426">
            <v>0</v>
          </cell>
        </row>
        <row r="1427">
          <cell r="D1427">
            <v>0</v>
          </cell>
          <cell r="O1427">
            <v>0</v>
          </cell>
        </row>
        <row r="1428">
          <cell r="D1428">
            <v>0</v>
          </cell>
          <cell r="O1428">
            <v>0</v>
          </cell>
        </row>
        <row r="1429">
          <cell r="D1429">
            <v>0</v>
          </cell>
          <cell r="O1429">
            <v>0</v>
          </cell>
        </row>
        <row r="1430">
          <cell r="D1430">
            <v>0</v>
          </cell>
          <cell r="O1430">
            <v>0</v>
          </cell>
        </row>
        <row r="1431">
          <cell r="D1431">
            <v>0</v>
          </cell>
          <cell r="O1431">
            <v>0</v>
          </cell>
        </row>
        <row r="1432">
          <cell r="D1432">
            <v>0</v>
          </cell>
          <cell r="O1432">
            <v>0</v>
          </cell>
        </row>
        <row r="1433">
          <cell r="D1433">
            <v>0</v>
          </cell>
          <cell r="O1433">
            <v>0</v>
          </cell>
        </row>
        <row r="1434">
          <cell r="D1434">
            <v>0</v>
          </cell>
          <cell r="O1434">
            <v>0</v>
          </cell>
        </row>
        <row r="1435">
          <cell r="D1435">
            <v>0</v>
          </cell>
          <cell r="O1435">
            <v>0</v>
          </cell>
        </row>
        <row r="1436">
          <cell r="D1436">
            <v>0</v>
          </cell>
          <cell r="O1436">
            <v>0</v>
          </cell>
        </row>
        <row r="1437">
          <cell r="D1437">
            <v>0</v>
          </cell>
          <cell r="O1437">
            <v>0</v>
          </cell>
        </row>
        <row r="1438">
          <cell r="D1438">
            <v>0</v>
          </cell>
          <cell r="O1438">
            <v>0</v>
          </cell>
        </row>
        <row r="1439">
          <cell r="D1439">
            <v>0</v>
          </cell>
          <cell r="O1439">
            <v>0</v>
          </cell>
        </row>
        <row r="1440">
          <cell r="D1440">
            <v>0</v>
          </cell>
          <cell r="O1440">
            <v>0</v>
          </cell>
        </row>
        <row r="1441">
          <cell r="D1441">
            <v>0</v>
          </cell>
          <cell r="O1441">
            <v>0</v>
          </cell>
        </row>
        <row r="1442">
          <cell r="D1442">
            <v>0</v>
          </cell>
          <cell r="O1442">
            <v>0</v>
          </cell>
        </row>
        <row r="1443">
          <cell r="D1443">
            <v>0</v>
          </cell>
          <cell r="O1443">
            <v>0</v>
          </cell>
        </row>
        <row r="1444">
          <cell r="D1444">
            <v>0</v>
          </cell>
          <cell r="O1444">
            <v>0</v>
          </cell>
        </row>
        <row r="1445">
          <cell r="D1445">
            <v>0</v>
          </cell>
          <cell r="O1445">
            <v>0</v>
          </cell>
        </row>
        <row r="1446">
          <cell r="D1446">
            <v>0</v>
          </cell>
          <cell r="O1446">
            <v>0</v>
          </cell>
        </row>
        <row r="1447">
          <cell r="D1447">
            <v>0</v>
          </cell>
          <cell r="O1447">
            <v>0</v>
          </cell>
        </row>
        <row r="1448">
          <cell r="D1448">
            <v>0</v>
          </cell>
          <cell r="O1448">
            <v>0</v>
          </cell>
        </row>
        <row r="1449">
          <cell r="D1449">
            <v>0</v>
          </cell>
          <cell r="O1449">
            <v>0</v>
          </cell>
        </row>
        <row r="1450">
          <cell r="D1450">
            <v>0</v>
          </cell>
          <cell r="O1450">
            <v>0</v>
          </cell>
        </row>
        <row r="1451">
          <cell r="D1451">
            <v>0</v>
          </cell>
          <cell r="O1451">
            <v>0</v>
          </cell>
        </row>
        <row r="1452">
          <cell r="D1452">
            <v>0</v>
          </cell>
          <cell r="O1452">
            <v>0</v>
          </cell>
        </row>
        <row r="1453">
          <cell r="D1453">
            <v>0</v>
          </cell>
          <cell r="O1453">
            <v>0</v>
          </cell>
        </row>
        <row r="1454">
          <cell r="D1454">
            <v>0</v>
          </cell>
          <cell r="O1454">
            <v>0</v>
          </cell>
        </row>
        <row r="1455">
          <cell r="D1455">
            <v>0</v>
          </cell>
          <cell r="O1455">
            <v>0</v>
          </cell>
        </row>
        <row r="1456">
          <cell r="D1456">
            <v>0</v>
          </cell>
          <cell r="O1456">
            <v>0</v>
          </cell>
        </row>
        <row r="1457">
          <cell r="D1457">
            <v>0</v>
          </cell>
          <cell r="O1457">
            <v>0</v>
          </cell>
        </row>
        <row r="1458">
          <cell r="D1458">
            <v>0</v>
          </cell>
          <cell r="O1458">
            <v>0</v>
          </cell>
        </row>
        <row r="1459">
          <cell r="D1459">
            <v>0</v>
          </cell>
          <cell r="O1459">
            <v>0</v>
          </cell>
        </row>
        <row r="1460">
          <cell r="D1460">
            <v>0</v>
          </cell>
          <cell r="O1460">
            <v>0</v>
          </cell>
        </row>
        <row r="1461">
          <cell r="D1461">
            <v>0</v>
          </cell>
          <cell r="O1461">
            <v>0</v>
          </cell>
        </row>
        <row r="1462">
          <cell r="D1462">
            <v>0</v>
          </cell>
          <cell r="O1462">
            <v>0</v>
          </cell>
        </row>
        <row r="1463">
          <cell r="D1463">
            <v>0</v>
          </cell>
          <cell r="O1463">
            <v>0</v>
          </cell>
        </row>
        <row r="1464">
          <cell r="D1464">
            <v>0</v>
          </cell>
          <cell r="O1464">
            <v>0</v>
          </cell>
        </row>
        <row r="1465">
          <cell r="D1465">
            <v>0</v>
          </cell>
          <cell r="O1465">
            <v>0</v>
          </cell>
        </row>
        <row r="1466">
          <cell r="D1466">
            <v>0</v>
          </cell>
          <cell r="O1466">
            <v>0</v>
          </cell>
        </row>
        <row r="1467">
          <cell r="D1467">
            <v>0</v>
          </cell>
          <cell r="O1467">
            <v>0</v>
          </cell>
        </row>
        <row r="1468">
          <cell r="D1468">
            <v>0</v>
          </cell>
          <cell r="O1468">
            <v>0</v>
          </cell>
        </row>
        <row r="1469">
          <cell r="D1469">
            <v>0</v>
          </cell>
          <cell r="O1469">
            <v>0</v>
          </cell>
        </row>
        <row r="1470">
          <cell r="D1470">
            <v>0</v>
          </cell>
          <cell r="O1470">
            <v>0</v>
          </cell>
        </row>
        <row r="1471">
          <cell r="D1471">
            <v>0</v>
          </cell>
          <cell r="O1471">
            <v>0</v>
          </cell>
        </row>
        <row r="1472">
          <cell r="D1472">
            <v>0</v>
          </cell>
          <cell r="O1472">
            <v>0</v>
          </cell>
        </row>
        <row r="1473">
          <cell r="D1473">
            <v>0</v>
          </cell>
          <cell r="O1473">
            <v>0</v>
          </cell>
        </row>
        <row r="1474">
          <cell r="D1474">
            <v>0</v>
          </cell>
          <cell r="O1474">
            <v>0</v>
          </cell>
        </row>
        <row r="1475">
          <cell r="D1475">
            <v>0</v>
          </cell>
          <cell r="O1475">
            <v>0</v>
          </cell>
        </row>
        <row r="1476">
          <cell r="D1476">
            <v>0</v>
          </cell>
          <cell r="O1476">
            <v>0</v>
          </cell>
        </row>
        <row r="1477">
          <cell r="D1477">
            <v>0</v>
          </cell>
          <cell r="O1477">
            <v>0</v>
          </cell>
        </row>
        <row r="1478">
          <cell r="D1478">
            <v>0</v>
          </cell>
          <cell r="O1478">
            <v>0</v>
          </cell>
        </row>
        <row r="1479">
          <cell r="D1479">
            <v>0</v>
          </cell>
          <cell r="O1479">
            <v>0</v>
          </cell>
        </row>
        <row r="1480">
          <cell r="D1480">
            <v>0</v>
          </cell>
          <cell r="O1480">
            <v>0</v>
          </cell>
        </row>
        <row r="1481">
          <cell r="D1481">
            <v>0</v>
          </cell>
          <cell r="O1481">
            <v>0</v>
          </cell>
        </row>
        <row r="1482">
          <cell r="D1482">
            <v>0</v>
          </cell>
          <cell r="O1482">
            <v>0</v>
          </cell>
        </row>
        <row r="1483">
          <cell r="D1483">
            <v>0</v>
          </cell>
          <cell r="O1483">
            <v>0</v>
          </cell>
        </row>
        <row r="1484">
          <cell r="D1484">
            <v>0</v>
          </cell>
          <cell r="O1484">
            <v>0</v>
          </cell>
        </row>
        <row r="1485">
          <cell r="D1485">
            <v>0</v>
          </cell>
          <cell r="O1485">
            <v>0</v>
          </cell>
        </row>
        <row r="1486">
          <cell r="D1486">
            <v>0</v>
          </cell>
          <cell r="O1486">
            <v>0</v>
          </cell>
        </row>
        <row r="1487">
          <cell r="D1487">
            <v>0</v>
          </cell>
          <cell r="O1487">
            <v>0</v>
          </cell>
        </row>
        <row r="1488">
          <cell r="D1488">
            <v>0</v>
          </cell>
          <cell r="O1488">
            <v>0</v>
          </cell>
        </row>
        <row r="1489">
          <cell r="D1489">
            <v>0</v>
          </cell>
          <cell r="O1489">
            <v>0</v>
          </cell>
        </row>
        <row r="1490">
          <cell r="D1490">
            <v>0</v>
          </cell>
          <cell r="O1490">
            <v>0</v>
          </cell>
        </row>
        <row r="1491">
          <cell r="D1491">
            <v>0</v>
          </cell>
          <cell r="O1491">
            <v>0</v>
          </cell>
        </row>
        <row r="1492">
          <cell r="D1492">
            <v>0</v>
          </cell>
          <cell r="O1492">
            <v>0</v>
          </cell>
        </row>
        <row r="1493">
          <cell r="D1493">
            <v>0</v>
          </cell>
          <cell r="O1493">
            <v>0</v>
          </cell>
        </row>
        <row r="1494">
          <cell r="D1494">
            <v>0</v>
          </cell>
          <cell r="O1494">
            <v>0</v>
          </cell>
        </row>
        <row r="1495">
          <cell r="D1495">
            <v>0</v>
          </cell>
          <cell r="O1495">
            <v>0</v>
          </cell>
        </row>
        <row r="1496">
          <cell r="D1496">
            <v>0</v>
          </cell>
          <cell r="O1496">
            <v>0</v>
          </cell>
        </row>
        <row r="1497">
          <cell r="D1497">
            <v>0</v>
          </cell>
          <cell r="O1497">
            <v>0</v>
          </cell>
        </row>
        <row r="1498">
          <cell r="D1498">
            <v>0</v>
          </cell>
          <cell r="O1498">
            <v>0</v>
          </cell>
        </row>
        <row r="1499">
          <cell r="D1499">
            <v>0</v>
          </cell>
          <cell r="O1499">
            <v>0</v>
          </cell>
        </row>
        <row r="1500">
          <cell r="D1500">
            <v>0</v>
          </cell>
          <cell r="O1500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TO"/>
      <sheetName val="TC"/>
      <sheetName val="2017"/>
      <sheetName val="Tabla cobranza"/>
      <sheetName val="Tabla vto x día"/>
      <sheetName val="Tabla antigüedad"/>
      <sheetName val="2018"/>
      <sheetName val="anticipos "/>
      <sheetName val="Hoja13"/>
      <sheetName val="Hoja15"/>
      <sheetName val="Hoja17"/>
    </sheetNames>
    <sheetDataSet>
      <sheetData sheetId="0"/>
      <sheetData sheetId="1">
        <row r="1">
          <cell r="A1" t="str">
            <v>Fecha</v>
          </cell>
          <cell r="B1" t="str">
            <v>Determinación</v>
          </cell>
          <cell r="C1" t="str">
            <v>Publicación
DOF</v>
          </cell>
          <cell r="D1" t="str">
            <v>Para solventar
obligaciones</v>
          </cell>
        </row>
        <row r="3">
          <cell r="A3">
            <v>42734</v>
          </cell>
          <cell r="B3">
            <v>20.619399999999999</v>
          </cell>
          <cell r="C3">
            <v>20.664000000000001</v>
          </cell>
          <cell r="D3">
            <v>20.731400000000001</v>
          </cell>
        </row>
        <row r="4">
          <cell r="A4">
            <v>42735</v>
          </cell>
          <cell r="B4">
            <v>20.664000000000001</v>
          </cell>
          <cell r="C4">
            <v>20.664000000000001</v>
          </cell>
          <cell r="D4">
            <v>20.664000000000001</v>
          </cell>
        </row>
        <row r="5">
          <cell r="A5">
            <v>42736</v>
          </cell>
          <cell r="B5">
            <v>20.664000000000001</v>
          </cell>
          <cell r="C5">
            <v>20.664000000000001</v>
          </cell>
          <cell r="D5">
            <v>20.664000000000001</v>
          </cell>
        </row>
        <row r="6">
          <cell r="A6">
            <v>42737</v>
          </cell>
          <cell r="B6">
            <v>20.732299999999999</v>
          </cell>
          <cell r="C6">
            <v>20.619399999999999</v>
          </cell>
          <cell r="D6">
            <v>20.664000000000001</v>
          </cell>
        </row>
        <row r="7">
          <cell r="A7">
            <v>42738</v>
          </cell>
          <cell r="B7">
            <v>20.852</v>
          </cell>
          <cell r="C7">
            <v>20.732299999999999</v>
          </cell>
          <cell r="D7">
            <v>20.619399999999999</v>
          </cell>
        </row>
        <row r="8">
          <cell r="A8">
            <v>42739</v>
          </cell>
          <cell r="B8">
            <v>21.379899999999999</v>
          </cell>
          <cell r="C8">
            <v>20.852</v>
          </cell>
          <cell r="D8">
            <v>20.732299999999999</v>
          </cell>
        </row>
        <row r="9">
          <cell r="A9">
            <v>42740</v>
          </cell>
          <cell r="B9">
            <v>21.366099999999999</v>
          </cell>
          <cell r="C9">
            <v>21.379899999999999</v>
          </cell>
          <cell r="D9">
            <v>20.852</v>
          </cell>
        </row>
        <row r="10">
          <cell r="A10">
            <v>42741</v>
          </cell>
          <cell r="B10">
            <v>21.314399999999999</v>
          </cell>
          <cell r="C10">
            <v>21.366099999999999</v>
          </cell>
          <cell r="D10">
            <v>21.379899999999999</v>
          </cell>
        </row>
        <row r="11">
          <cell r="A11">
            <v>42742</v>
          </cell>
          <cell r="B11">
            <v>21.314399999999999</v>
          </cell>
          <cell r="C11">
            <v>21.366099999999999</v>
          </cell>
          <cell r="D11">
            <v>21.366099999999999</v>
          </cell>
        </row>
        <row r="12">
          <cell r="A12">
            <v>42743</v>
          </cell>
          <cell r="B12">
            <v>21.314399999999999</v>
          </cell>
          <cell r="C12">
            <v>21.366099999999999</v>
          </cell>
          <cell r="D12">
            <v>21.366099999999999</v>
          </cell>
        </row>
        <row r="13">
          <cell r="A13">
            <v>42744</v>
          </cell>
          <cell r="B13">
            <v>21.321899999999999</v>
          </cell>
          <cell r="C13">
            <v>21.314399999999999</v>
          </cell>
          <cell r="D13">
            <v>21.366099999999999</v>
          </cell>
        </row>
        <row r="14">
          <cell r="A14">
            <v>42745</v>
          </cell>
          <cell r="B14">
            <v>21.616800000000001</v>
          </cell>
          <cell r="C14">
            <v>21.321899999999999</v>
          </cell>
          <cell r="D14">
            <v>21.314399999999999</v>
          </cell>
        </row>
        <row r="15">
          <cell r="A15">
            <v>42746</v>
          </cell>
          <cell r="B15">
            <v>21.907599999999999</v>
          </cell>
          <cell r="C15">
            <v>21.616800000000001</v>
          </cell>
          <cell r="D15">
            <v>21.321899999999999</v>
          </cell>
        </row>
        <row r="16">
          <cell r="A16">
            <v>42747</v>
          </cell>
          <cell r="B16">
            <v>21.720400000000001</v>
          </cell>
          <cell r="C16">
            <v>21.907599999999999</v>
          </cell>
          <cell r="D16">
            <v>21.616800000000001</v>
          </cell>
        </row>
        <row r="17">
          <cell r="A17">
            <v>42748</v>
          </cell>
          <cell r="B17">
            <v>21.632999999999999</v>
          </cell>
          <cell r="C17">
            <v>21.720400000000001</v>
          </cell>
          <cell r="D17">
            <v>21.907599999999999</v>
          </cell>
        </row>
        <row r="18">
          <cell r="A18">
            <v>42749</v>
          </cell>
          <cell r="B18">
            <v>21.632999999999999</v>
          </cell>
          <cell r="C18">
            <v>21.720400000000001</v>
          </cell>
          <cell r="D18">
            <v>21.720400000000001</v>
          </cell>
        </row>
        <row r="19">
          <cell r="A19">
            <v>42750</v>
          </cell>
          <cell r="B19">
            <v>21.632999999999999</v>
          </cell>
          <cell r="C19">
            <v>21.720400000000001</v>
          </cell>
          <cell r="D19">
            <v>21.720400000000001</v>
          </cell>
        </row>
        <row r="20">
          <cell r="A20">
            <v>42751</v>
          </cell>
          <cell r="B20">
            <v>21.664300000000001</v>
          </cell>
          <cell r="C20">
            <v>21.632999999999999</v>
          </cell>
          <cell r="D20">
            <v>21.720400000000001</v>
          </cell>
        </row>
        <row r="21">
          <cell r="A21">
            <v>42752</v>
          </cell>
          <cell r="B21">
            <v>21.573799999999999</v>
          </cell>
          <cell r="C21">
            <v>21.664300000000001</v>
          </cell>
          <cell r="D21">
            <v>21.632999999999999</v>
          </cell>
        </row>
        <row r="22">
          <cell r="A22">
            <v>42753</v>
          </cell>
          <cell r="B22">
            <v>21.851400000000002</v>
          </cell>
          <cell r="C22">
            <v>21.573799999999999</v>
          </cell>
          <cell r="D22">
            <v>21.664300000000001</v>
          </cell>
        </row>
        <row r="23">
          <cell r="A23">
            <v>42754</v>
          </cell>
          <cell r="B23">
            <v>21.904399999999999</v>
          </cell>
          <cell r="C23">
            <v>21.851400000000002</v>
          </cell>
          <cell r="D23">
            <v>21.573799999999999</v>
          </cell>
        </row>
        <row r="24">
          <cell r="A24">
            <v>42755</v>
          </cell>
          <cell r="B24">
            <v>21.700199999999999</v>
          </cell>
          <cell r="C24">
            <v>20.904399999999999</v>
          </cell>
          <cell r="D24">
            <v>21.851400000000002</v>
          </cell>
        </row>
        <row r="25">
          <cell r="A25">
            <v>42756</v>
          </cell>
          <cell r="B25">
            <v>21.700199999999999</v>
          </cell>
          <cell r="C25">
            <v>20.904399999999999</v>
          </cell>
          <cell r="D25">
            <v>21.904399999999999</v>
          </cell>
        </row>
        <row r="26">
          <cell r="A26">
            <v>42757</v>
          </cell>
          <cell r="B26">
            <v>21.700199999999999</v>
          </cell>
          <cell r="C26">
            <v>20.904399999999999</v>
          </cell>
          <cell r="D26">
            <v>21.904399999999999</v>
          </cell>
        </row>
        <row r="27">
          <cell r="A27">
            <v>42758</v>
          </cell>
          <cell r="B27">
            <v>21.4512</v>
          </cell>
          <cell r="C27">
            <v>21.700199999999999</v>
          </cell>
          <cell r="D27">
            <v>21.904399999999999</v>
          </cell>
        </row>
        <row r="28">
          <cell r="A28">
            <v>42759</v>
          </cell>
          <cell r="B28">
            <v>21.369199999999999</v>
          </cell>
          <cell r="C28">
            <v>21.4512</v>
          </cell>
          <cell r="D28">
            <v>21.700199999999999</v>
          </cell>
        </row>
        <row r="29">
          <cell r="A29">
            <v>42760</v>
          </cell>
          <cell r="B29">
            <v>21.343900000000001</v>
          </cell>
          <cell r="C29" t="str">
            <v>​21.3692</v>
          </cell>
          <cell r="D29">
            <v>21.4512</v>
          </cell>
        </row>
        <row r="30">
          <cell r="A30">
            <v>42761</v>
          </cell>
          <cell r="B30">
            <v>21.202400000000001</v>
          </cell>
          <cell r="C30">
            <v>21.343900000000001</v>
          </cell>
          <cell r="D30">
            <v>21.369199999999999</v>
          </cell>
        </row>
        <row r="31">
          <cell r="A31">
            <v>42762</v>
          </cell>
          <cell r="B31">
            <v>21.0212</v>
          </cell>
          <cell r="C31">
            <v>21.202400000000001</v>
          </cell>
          <cell r="D31">
            <v>21.343900000000001</v>
          </cell>
        </row>
        <row r="32">
          <cell r="A32">
            <v>42763</v>
          </cell>
          <cell r="B32" t="str">
            <v>N/E</v>
          </cell>
          <cell r="C32" t="str">
            <v>N/E</v>
          </cell>
          <cell r="D32">
            <v>21.202400000000001</v>
          </cell>
        </row>
        <row r="33">
          <cell r="A33">
            <v>42764</v>
          </cell>
          <cell r="B33" t="str">
            <v>N/E</v>
          </cell>
          <cell r="C33" t="str">
            <v>N/E</v>
          </cell>
          <cell r="D33">
            <v>21.202400000000001</v>
          </cell>
        </row>
        <row r="34">
          <cell r="A34">
            <v>42765</v>
          </cell>
          <cell r="B34">
            <v>20.758800000000001</v>
          </cell>
          <cell r="C34">
            <v>21.0212</v>
          </cell>
          <cell r="D34">
            <v>21.202400000000001</v>
          </cell>
        </row>
        <row r="35">
          <cell r="A35">
            <v>42766</v>
          </cell>
          <cell r="B35">
            <v>20.790800000000001</v>
          </cell>
          <cell r="C35">
            <v>20.758800000000001</v>
          </cell>
          <cell r="D35">
            <v>21.0212</v>
          </cell>
        </row>
        <row r="36">
          <cell r="A36">
            <v>42767</v>
          </cell>
          <cell r="B36">
            <v>20.775200000000002</v>
          </cell>
          <cell r="C36">
            <v>20.790800000000001</v>
          </cell>
          <cell r="D36">
            <v>20.758800000000001</v>
          </cell>
        </row>
        <row r="37">
          <cell r="A37">
            <v>42768</v>
          </cell>
          <cell r="B37">
            <v>20.575700000000001</v>
          </cell>
          <cell r="C37">
            <v>20.775200000000002</v>
          </cell>
          <cell r="D37">
            <v>20.790800000000001</v>
          </cell>
        </row>
        <row r="38">
          <cell r="A38">
            <v>42769</v>
          </cell>
          <cell r="B38">
            <v>20.343900000000001</v>
          </cell>
          <cell r="C38">
            <v>20.575700000000001</v>
          </cell>
          <cell r="D38">
            <v>20.775200000000002</v>
          </cell>
        </row>
        <row r="39">
          <cell r="A39">
            <v>42770</v>
          </cell>
          <cell r="B39" t="str">
            <v>N/E</v>
          </cell>
          <cell r="C39" t="str">
            <v>N/E</v>
          </cell>
          <cell r="D39">
            <v>20.575700000000001</v>
          </cell>
        </row>
        <row r="40">
          <cell r="A40">
            <v>42771</v>
          </cell>
          <cell r="B40" t="str">
            <v>N/E</v>
          </cell>
          <cell r="C40" t="str">
            <v>N/E</v>
          </cell>
          <cell r="D40">
            <v>20.575700000000001</v>
          </cell>
        </row>
        <row r="41">
          <cell r="A41">
            <v>42772</v>
          </cell>
          <cell r="B41" t="str">
            <v>N/E</v>
          </cell>
          <cell r="C41" t="str">
            <v>N/E</v>
          </cell>
          <cell r="D41">
            <v>20.575700000000001</v>
          </cell>
        </row>
        <row r="42">
          <cell r="A42">
            <v>42773</v>
          </cell>
          <cell r="B42">
            <v>20.637</v>
          </cell>
          <cell r="C42">
            <v>20.343900000000001</v>
          </cell>
          <cell r="D42">
            <v>20.575700000000001</v>
          </cell>
        </row>
        <row r="43">
          <cell r="A43">
            <v>42774</v>
          </cell>
          <cell r="B43">
            <v>20.499400000000001</v>
          </cell>
          <cell r="C43">
            <v>20.637</v>
          </cell>
          <cell r="D43">
            <v>20.343900000000001</v>
          </cell>
        </row>
        <row r="44">
          <cell r="A44">
            <v>42775</v>
          </cell>
          <cell r="B44">
            <v>20.4163</v>
          </cell>
          <cell r="C44">
            <v>20.499400000000001</v>
          </cell>
          <cell r="D44">
            <v>20.637</v>
          </cell>
        </row>
        <row r="45">
          <cell r="A45">
            <v>42776</v>
          </cell>
          <cell r="B45">
            <v>20.3535</v>
          </cell>
          <cell r="C45">
            <v>20.4163</v>
          </cell>
          <cell r="D45">
            <v>20.499400000000001</v>
          </cell>
        </row>
        <row r="46">
          <cell r="A46">
            <v>42777</v>
          </cell>
          <cell r="B46" t="str">
            <v>N/E</v>
          </cell>
          <cell r="C46" t="str">
            <v>N/E</v>
          </cell>
          <cell r="D46">
            <v>20.4163</v>
          </cell>
        </row>
        <row r="47">
          <cell r="A47">
            <v>42778</v>
          </cell>
          <cell r="B47" t="str">
            <v>N/E</v>
          </cell>
          <cell r="C47" t="str">
            <v>N/E</v>
          </cell>
          <cell r="D47">
            <v>20.4163</v>
          </cell>
        </row>
        <row r="48">
          <cell r="A48">
            <v>42779</v>
          </cell>
          <cell r="B48">
            <v>20.327999999999999</v>
          </cell>
          <cell r="C48">
            <v>20.3535</v>
          </cell>
          <cell r="D48">
            <v>20.4163</v>
          </cell>
        </row>
        <row r="49">
          <cell r="A49">
            <v>42780</v>
          </cell>
          <cell r="B49">
            <v>20.3507</v>
          </cell>
          <cell r="C49">
            <v>20.327999999999999</v>
          </cell>
          <cell r="D49">
            <v>20.3535</v>
          </cell>
        </row>
        <row r="50">
          <cell r="A50">
            <v>42781</v>
          </cell>
          <cell r="B50">
            <v>20.325399999999998</v>
          </cell>
          <cell r="C50">
            <v>20.3507</v>
          </cell>
          <cell r="D50">
            <v>20.327999999999999</v>
          </cell>
        </row>
        <row r="51">
          <cell r="A51">
            <v>42782</v>
          </cell>
          <cell r="B51">
            <v>20.3325</v>
          </cell>
          <cell r="C51">
            <v>20.325399999999998</v>
          </cell>
          <cell r="D51">
            <v>20.3507</v>
          </cell>
        </row>
        <row r="52">
          <cell r="A52">
            <v>42783</v>
          </cell>
          <cell r="B52">
            <v>20.4526</v>
          </cell>
          <cell r="C52">
            <v>20.3325</v>
          </cell>
          <cell r="D52">
            <v>20.325399999999998</v>
          </cell>
        </row>
        <row r="53">
          <cell r="A53">
            <v>42784</v>
          </cell>
          <cell r="B53" t="str">
            <v>N/E</v>
          </cell>
          <cell r="C53" t="str">
            <v>N/E</v>
          </cell>
          <cell r="D53">
            <v>20.3325</v>
          </cell>
        </row>
        <row r="54">
          <cell r="A54">
            <v>42785</v>
          </cell>
          <cell r="B54" t="str">
            <v>N/E</v>
          </cell>
          <cell r="C54" t="str">
            <v>N/E</v>
          </cell>
          <cell r="D54">
            <v>20.3325</v>
          </cell>
        </row>
        <row r="55">
          <cell r="A55">
            <v>42786</v>
          </cell>
          <cell r="B55">
            <v>20.405899999999999</v>
          </cell>
          <cell r="C55">
            <v>20.4526</v>
          </cell>
          <cell r="D55">
            <v>20.3325</v>
          </cell>
        </row>
        <row r="56">
          <cell r="A56">
            <v>42787</v>
          </cell>
          <cell r="B56">
            <v>20.448899999999998</v>
          </cell>
          <cell r="C56">
            <v>20.405899999999999</v>
          </cell>
          <cell r="D56">
            <v>20.4526</v>
          </cell>
        </row>
        <row r="57">
          <cell r="A57">
            <v>42788</v>
          </cell>
          <cell r="B57">
            <v>19.912700000000001</v>
          </cell>
          <cell r="C57">
            <v>20.448899999999998</v>
          </cell>
          <cell r="D57">
            <v>20.405899999999999</v>
          </cell>
        </row>
        <row r="58">
          <cell r="A58">
            <v>42789</v>
          </cell>
          <cell r="B58">
            <v>19.7011</v>
          </cell>
          <cell r="C58">
            <v>19.912700000000001</v>
          </cell>
          <cell r="D58">
            <v>20.448899999999998</v>
          </cell>
        </row>
        <row r="59">
          <cell r="A59">
            <v>42790</v>
          </cell>
          <cell r="B59">
            <v>19.833500000000001</v>
          </cell>
          <cell r="C59">
            <v>19.7011</v>
          </cell>
          <cell r="D59">
            <v>19.912700000000001</v>
          </cell>
        </row>
        <row r="60">
          <cell r="A60">
            <v>42791</v>
          </cell>
          <cell r="B60" t="str">
            <v>N/E</v>
          </cell>
          <cell r="C60" t="str">
            <v>N/E</v>
          </cell>
          <cell r="D60">
            <v>19.7011</v>
          </cell>
        </row>
        <row r="61">
          <cell r="A61">
            <v>42792</v>
          </cell>
          <cell r="B61" t="str">
            <v>N/E</v>
          </cell>
          <cell r="C61" t="str">
            <v>N/E</v>
          </cell>
          <cell r="D61">
            <v>19.7011</v>
          </cell>
        </row>
        <row r="62">
          <cell r="A62">
            <v>42793</v>
          </cell>
          <cell r="B62">
            <v>19.8322</v>
          </cell>
          <cell r="C62">
            <v>19.833500000000001</v>
          </cell>
          <cell r="D62">
            <v>19.7011</v>
          </cell>
        </row>
        <row r="63">
          <cell r="A63">
            <v>42794</v>
          </cell>
          <cell r="B63">
            <v>19.995699999999999</v>
          </cell>
          <cell r="C63">
            <v>19.8322</v>
          </cell>
          <cell r="D63">
            <v>19.833500000000001</v>
          </cell>
        </row>
        <row r="64">
          <cell r="A64">
            <v>42795</v>
          </cell>
          <cell r="B64">
            <v>19.900700000000001</v>
          </cell>
          <cell r="C64">
            <v>19.995699999999999</v>
          </cell>
          <cell r="D64">
            <v>19.8322</v>
          </cell>
        </row>
        <row r="65">
          <cell r="A65">
            <v>42796</v>
          </cell>
          <cell r="B65">
            <v>19.9373</v>
          </cell>
          <cell r="C65">
            <v>19.900700000000001</v>
          </cell>
          <cell r="D65">
            <v>19.995699999999999</v>
          </cell>
        </row>
        <row r="66">
          <cell r="A66">
            <v>42797</v>
          </cell>
          <cell r="B66">
            <v>19.614699999999999</v>
          </cell>
          <cell r="C66">
            <v>19.9373</v>
          </cell>
          <cell r="D66">
            <v>19.900700000000001</v>
          </cell>
        </row>
        <row r="67">
          <cell r="A67">
            <v>42798</v>
          </cell>
          <cell r="B67" t="str">
            <v>N/E</v>
          </cell>
          <cell r="C67" t="str">
            <v>N/E</v>
          </cell>
          <cell r="D67">
            <v>19.9373</v>
          </cell>
        </row>
        <row r="68">
          <cell r="A68">
            <v>42799</v>
          </cell>
          <cell r="B68" t="str">
            <v>N/E</v>
          </cell>
          <cell r="C68" t="str">
            <v>N/E</v>
          </cell>
          <cell r="D68">
            <v>19.9373</v>
          </cell>
        </row>
        <row r="69">
          <cell r="A69">
            <v>42800</v>
          </cell>
          <cell r="B69">
            <v>19.553799999999999</v>
          </cell>
          <cell r="C69">
            <v>19.614699999999999</v>
          </cell>
          <cell r="D69">
            <v>19.9373</v>
          </cell>
        </row>
        <row r="70">
          <cell r="A70">
            <v>42801</v>
          </cell>
          <cell r="B70">
            <v>19.521000000000001</v>
          </cell>
          <cell r="C70">
            <v>19.553799999999999</v>
          </cell>
          <cell r="D70">
            <v>19.614699999999999</v>
          </cell>
        </row>
        <row r="71">
          <cell r="A71">
            <v>42802</v>
          </cell>
          <cell r="B71">
            <v>19.6007</v>
          </cell>
          <cell r="C71">
            <v>19.521000000000001</v>
          </cell>
          <cell r="D71">
            <v>19.553799999999999</v>
          </cell>
        </row>
        <row r="72">
          <cell r="A72">
            <v>42803</v>
          </cell>
          <cell r="B72">
            <v>19.7974</v>
          </cell>
          <cell r="C72">
            <v>19.6007</v>
          </cell>
          <cell r="D72">
            <v>19.521000000000001</v>
          </cell>
        </row>
        <row r="73">
          <cell r="A73">
            <v>42804</v>
          </cell>
          <cell r="B73">
            <v>19.6279</v>
          </cell>
          <cell r="C73">
            <v>19.7974</v>
          </cell>
          <cell r="D73">
            <v>19.6007</v>
          </cell>
        </row>
        <row r="74">
          <cell r="A74">
            <v>42805</v>
          </cell>
          <cell r="B74" t="str">
            <v>N/E</v>
          </cell>
          <cell r="C74" t="str">
            <v>N/E</v>
          </cell>
          <cell r="D74">
            <v>19.7974</v>
          </cell>
        </row>
        <row r="75">
          <cell r="A75">
            <v>42806</v>
          </cell>
          <cell r="B75" t="str">
            <v>N/E</v>
          </cell>
          <cell r="C75" t="str">
            <v>N/E</v>
          </cell>
          <cell r="D75">
            <v>19.7974</v>
          </cell>
        </row>
        <row r="76">
          <cell r="A76">
            <v>42807</v>
          </cell>
          <cell r="B76">
            <v>19.580300000000001</v>
          </cell>
          <cell r="C76">
            <v>19.6279</v>
          </cell>
          <cell r="D76">
            <v>19.7974</v>
          </cell>
        </row>
        <row r="77">
          <cell r="A77">
            <v>42808</v>
          </cell>
          <cell r="B77" t="str">
            <v>N/E</v>
          </cell>
          <cell r="C77">
            <v>19.580300000000001</v>
          </cell>
          <cell r="D77">
            <v>19.6279</v>
          </cell>
        </row>
        <row r="78">
          <cell r="A78">
            <v>42809</v>
          </cell>
          <cell r="B78">
            <v>19.449300000000001</v>
          </cell>
          <cell r="C78">
            <v>19.654299999999999</v>
          </cell>
          <cell r="D78">
            <v>19.580300000000001</v>
          </cell>
        </row>
        <row r="79">
          <cell r="A79">
            <v>42810</v>
          </cell>
          <cell r="B79">
            <v>19.172999999999998</v>
          </cell>
          <cell r="C79">
            <v>19.449300000000001</v>
          </cell>
          <cell r="D79">
            <v>19.654299999999999</v>
          </cell>
        </row>
        <row r="80">
          <cell r="A80">
            <v>42811</v>
          </cell>
          <cell r="B80">
            <v>19.117000000000001</v>
          </cell>
          <cell r="C80">
            <v>19.172999999999998</v>
          </cell>
          <cell r="D80">
            <v>19.449300000000001</v>
          </cell>
        </row>
        <row r="81">
          <cell r="A81">
            <v>42812</v>
          </cell>
          <cell r="B81" t="str">
            <v>N/E</v>
          </cell>
          <cell r="C81" t="str">
            <v>N/E</v>
          </cell>
          <cell r="D81">
            <v>19.172999999999998</v>
          </cell>
        </row>
        <row r="82">
          <cell r="A82">
            <v>42813</v>
          </cell>
          <cell r="B82" t="str">
            <v>N/E</v>
          </cell>
          <cell r="C82" t="str">
            <v>N/E</v>
          </cell>
          <cell r="D82">
            <v>19.172999999999998</v>
          </cell>
        </row>
        <row r="83">
          <cell r="A83">
            <v>42814</v>
          </cell>
          <cell r="B83" t="str">
            <v>N/E</v>
          </cell>
          <cell r="C83" t="str">
            <v>N/E</v>
          </cell>
          <cell r="D83">
            <v>19.172999999999998</v>
          </cell>
        </row>
        <row r="84">
          <cell r="A84">
            <v>42815</v>
          </cell>
          <cell r="B84">
            <v>19.106999999999999</v>
          </cell>
          <cell r="C84">
            <v>19.117000000000001</v>
          </cell>
          <cell r="D84">
            <v>19.172999999999998</v>
          </cell>
        </row>
        <row r="85">
          <cell r="A85">
            <v>42816</v>
          </cell>
          <cell r="B85">
            <v>19.0837</v>
          </cell>
          <cell r="C85">
            <v>19.106999999999999</v>
          </cell>
          <cell r="D85">
            <v>19.117000000000001</v>
          </cell>
        </row>
        <row r="86">
          <cell r="A86">
            <v>42817</v>
          </cell>
          <cell r="B86">
            <v>18.9877</v>
          </cell>
          <cell r="C86">
            <v>19.0837</v>
          </cell>
          <cell r="D86">
            <v>19.106999999999999</v>
          </cell>
        </row>
        <row r="87">
          <cell r="A87">
            <v>42818</v>
          </cell>
          <cell r="B87">
            <v>18.852799999999998</v>
          </cell>
          <cell r="C87">
            <v>18.9877</v>
          </cell>
          <cell r="D87">
            <v>19.0837</v>
          </cell>
        </row>
        <row r="88">
          <cell r="A88">
            <v>42819</v>
          </cell>
          <cell r="B88" t="str">
            <v>N/E</v>
          </cell>
          <cell r="C88" t="str">
            <v>N/E</v>
          </cell>
          <cell r="D88">
            <v>18.9877</v>
          </cell>
        </row>
        <row r="89">
          <cell r="A89">
            <v>42820</v>
          </cell>
          <cell r="B89" t="str">
            <v>N/E</v>
          </cell>
          <cell r="C89" t="str">
            <v>N/E</v>
          </cell>
          <cell r="D89">
            <v>18.9877</v>
          </cell>
        </row>
        <row r="90">
          <cell r="A90">
            <v>42821</v>
          </cell>
          <cell r="B90" t="str">
            <v>N/E</v>
          </cell>
          <cell r="C90">
            <v>18.852799999999998</v>
          </cell>
          <cell r="D90">
            <v>18.9877</v>
          </cell>
        </row>
        <row r="91">
          <cell r="A91">
            <v>42822</v>
          </cell>
          <cell r="B91">
            <v>18.885300000000001</v>
          </cell>
          <cell r="C91">
            <v>18.866099999999999</v>
          </cell>
          <cell r="D91">
            <v>18.852799999999998</v>
          </cell>
        </row>
        <row r="92">
          <cell r="A92">
            <v>42823</v>
          </cell>
          <cell r="B92">
            <v>18.809200000000001</v>
          </cell>
          <cell r="C92">
            <v>18.885300000000001</v>
          </cell>
          <cell r="D92">
            <v>18.866099999999999</v>
          </cell>
        </row>
        <row r="93">
          <cell r="A93">
            <v>42824</v>
          </cell>
          <cell r="B93">
            <v>18.707899999999999</v>
          </cell>
          <cell r="C93">
            <v>18.809200000000001</v>
          </cell>
          <cell r="D93">
            <v>18.885300000000001</v>
          </cell>
        </row>
        <row r="94">
          <cell r="A94">
            <v>42825</v>
          </cell>
          <cell r="B94">
            <v>18.795500000000001</v>
          </cell>
          <cell r="C94">
            <v>18.707899999999999</v>
          </cell>
          <cell r="D94">
            <v>18.809200000000001</v>
          </cell>
        </row>
        <row r="95">
          <cell r="A95">
            <v>42826</v>
          </cell>
          <cell r="B95" t="str">
            <v>N/E</v>
          </cell>
          <cell r="C95" t="str">
            <v>N/E</v>
          </cell>
          <cell r="D95">
            <v>18.707899999999999</v>
          </cell>
        </row>
        <row r="96">
          <cell r="A96">
            <v>42827</v>
          </cell>
          <cell r="B96" t="str">
            <v>N/E</v>
          </cell>
          <cell r="C96" t="str">
            <v>N/E</v>
          </cell>
          <cell r="D96">
            <v>18.707899999999999</v>
          </cell>
        </row>
        <row r="97">
          <cell r="A97">
            <v>42828</v>
          </cell>
          <cell r="B97">
            <v>18.731999999999999</v>
          </cell>
          <cell r="C97">
            <v>18.795500000000001</v>
          </cell>
          <cell r="D97">
            <v>18.707899999999999</v>
          </cell>
        </row>
        <row r="98">
          <cell r="A98">
            <v>42829</v>
          </cell>
          <cell r="B98">
            <v>18.833400000000001</v>
          </cell>
          <cell r="C98">
            <v>18.731999999999999</v>
          </cell>
          <cell r="D98">
            <v>18.795500000000001</v>
          </cell>
        </row>
        <row r="99">
          <cell r="A99">
            <v>42830</v>
          </cell>
          <cell r="B99">
            <v>18.719200000000001</v>
          </cell>
          <cell r="C99">
            <v>18.833400000000001</v>
          </cell>
          <cell r="D99">
            <v>18.731999999999999</v>
          </cell>
        </row>
        <row r="100">
          <cell r="A100">
            <v>42831</v>
          </cell>
          <cell r="B100">
            <v>18.769600000000001</v>
          </cell>
          <cell r="C100">
            <v>18.719200000000001</v>
          </cell>
          <cell r="D100">
            <v>18.833400000000001</v>
          </cell>
        </row>
        <row r="101">
          <cell r="A101">
            <v>42832</v>
          </cell>
          <cell r="B101">
            <v>18.655999999999999</v>
          </cell>
          <cell r="C101">
            <v>18.769600000000001</v>
          </cell>
          <cell r="D101">
            <v>18.719200000000001</v>
          </cell>
        </row>
        <row r="102">
          <cell r="A102">
            <v>42833</v>
          </cell>
          <cell r="B102" t="str">
            <v>N/E</v>
          </cell>
          <cell r="C102" t="str">
            <v>N/E</v>
          </cell>
          <cell r="D102">
            <v>18.769600000000001</v>
          </cell>
        </row>
        <row r="103">
          <cell r="A103">
            <v>42834</v>
          </cell>
          <cell r="B103" t="str">
            <v>N/E</v>
          </cell>
          <cell r="C103" t="str">
            <v>N/E</v>
          </cell>
          <cell r="D103">
            <v>18.769600000000001</v>
          </cell>
        </row>
        <row r="104">
          <cell r="A104">
            <v>42835</v>
          </cell>
          <cell r="B104">
            <v>18.692299999999999</v>
          </cell>
          <cell r="C104">
            <v>18.655999999999999</v>
          </cell>
          <cell r="D104">
            <v>18.769600000000001</v>
          </cell>
        </row>
        <row r="105">
          <cell r="A105">
            <v>42836</v>
          </cell>
          <cell r="B105">
            <v>18.764600000000002</v>
          </cell>
          <cell r="C105">
            <v>18.692299999999999</v>
          </cell>
          <cell r="D105">
            <v>18.655999999999999</v>
          </cell>
        </row>
        <row r="106">
          <cell r="A106">
            <v>42837</v>
          </cell>
          <cell r="B106">
            <v>18.752800000000001</v>
          </cell>
          <cell r="C106">
            <v>18.764600000000002</v>
          </cell>
          <cell r="D106">
            <v>18.692299999999999</v>
          </cell>
        </row>
        <row r="107">
          <cell r="A107">
            <v>42838</v>
          </cell>
          <cell r="B107" t="str">
            <v>N/E</v>
          </cell>
          <cell r="C107" t="str">
            <v>N/E</v>
          </cell>
          <cell r="D107">
            <v>18.764600000000002</v>
          </cell>
        </row>
        <row r="108">
          <cell r="A108">
            <v>42839</v>
          </cell>
          <cell r="B108" t="str">
            <v>N/E</v>
          </cell>
          <cell r="C108" t="str">
            <v>N/E</v>
          </cell>
          <cell r="D108">
            <v>18.764600000000002</v>
          </cell>
        </row>
        <row r="109">
          <cell r="A109">
            <v>42840</v>
          </cell>
          <cell r="B109" t="str">
            <v>N/E</v>
          </cell>
          <cell r="C109" t="str">
            <v>N/E</v>
          </cell>
          <cell r="D109">
            <v>18.764600000000002</v>
          </cell>
        </row>
        <row r="110">
          <cell r="A110">
            <v>42841</v>
          </cell>
          <cell r="B110" t="str">
            <v>N/E</v>
          </cell>
          <cell r="C110" t="str">
            <v>N/E</v>
          </cell>
          <cell r="D110">
            <v>18.764600000000002</v>
          </cell>
        </row>
        <row r="111">
          <cell r="A111">
            <v>42842</v>
          </cell>
          <cell r="B111">
            <v>18.558199999999999</v>
          </cell>
          <cell r="C111">
            <v>18.752800000000001</v>
          </cell>
          <cell r="D111">
            <v>18.764600000000002</v>
          </cell>
        </row>
        <row r="112">
          <cell r="A112">
            <v>42843</v>
          </cell>
          <cell r="B112">
            <v>18.4863</v>
          </cell>
          <cell r="C112">
            <v>18.558199999999999</v>
          </cell>
          <cell r="D112">
            <v>18.752800000000001</v>
          </cell>
        </row>
        <row r="113">
          <cell r="A113">
            <v>42844</v>
          </cell>
          <cell r="B113">
            <v>18.837399999999999</v>
          </cell>
          <cell r="C113">
            <v>18.4863</v>
          </cell>
          <cell r="D113">
            <v>18.558199999999999</v>
          </cell>
        </row>
        <row r="114">
          <cell r="A114">
            <v>42845</v>
          </cell>
          <cell r="B114">
            <v>18.8187</v>
          </cell>
          <cell r="C114">
            <v>18.837399999999999</v>
          </cell>
          <cell r="D114">
            <v>18.4863</v>
          </cell>
        </row>
        <row r="115">
          <cell r="A115">
            <v>42846</v>
          </cell>
          <cell r="B115">
            <v>18.8413</v>
          </cell>
          <cell r="C115">
            <v>18.8187</v>
          </cell>
          <cell r="D115">
            <v>18.837399999999999</v>
          </cell>
        </row>
        <row r="116">
          <cell r="A116">
            <v>42847</v>
          </cell>
          <cell r="B116" t="str">
            <v>N/E</v>
          </cell>
          <cell r="C116" t="str">
            <v>N/E</v>
          </cell>
          <cell r="D116">
            <v>18.8187</v>
          </cell>
        </row>
        <row r="117">
          <cell r="A117">
            <v>42848</v>
          </cell>
          <cell r="B117" t="str">
            <v>N/E</v>
          </cell>
          <cell r="C117" t="str">
            <v>N/E</v>
          </cell>
          <cell r="D117">
            <v>18.8187</v>
          </cell>
        </row>
        <row r="118">
          <cell r="A118">
            <v>42849</v>
          </cell>
          <cell r="B118">
            <v>18.652100000000001</v>
          </cell>
          <cell r="C118">
            <v>18.8413</v>
          </cell>
          <cell r="D118">
            <v>18.8187</v>
          </cell>
        </row>
        <row r="119">
          <cell r="A119">
            <v>42850</v>
          </cell>
          <cell r="B119">
            <v>18.922499999999999</v>
          </cell>
          <cell r="C119">
            <v>18.652100000000001</v>
          </cell>
          <cell r="D119">
            <v>18.8413</v>
          </cell>
        </row>
        <row r="120">
          <cell r="A120">
            <v>42851</v>
          </cell>
          <cell r="B120">
            <v>19.111899999999999</v>
          </cell>
          <cell r="C120">
            <v>18.922499999999999</v>
          </cell>
          <cell r="D120">
            <v>18.652100000000001</v>
          </cell>
        </row>
        <row r="121">
          <cell r="A121">
            <v>42852</v>
          </cell>
          <cell r="B121">
            <v>19.067</v>
          </cell>
          <cell r="C121">
            <v>19.111899999999999</v>
          </cell>
          <cell r="D121">
            <v>18.922499999999999</v>
          </cell>
        </row>
        <row r="122">
          <cell r="A122">
            <v>42853</v>
          </cell>
          <cell r="B122">
            <v>18.959399999999999</v>
          </cell>
          <cell r="C122">
            <v>19.067</v>
          </cell>
          <cell r="D122">
            <v>19.111899999999999</v>
          </cell>
        </row>
        <row r="123">
          <cell r="A123">
            <v>42854</v>
          </cell>
          <cell r="B123" t="str">
            <v>N/E</v>
          </cell>
          <cell r="C123" t="str">
            <v>N/E</v>
          </cell>
          <cell r="D123">
            <v>19.067</v>
          </cell>
        </row>
        <row r="124">
          <cell r="A124">
            <v>42855</v>
          </cell>
          <cell r="B124" t="str">
            <v>N/E</v>
          </cell>
          <cell r="C124" t="str">
            <v>N/E</v>
          </cell>
          <cell r="D124">
            <v>19.067</v>
          </cell>
        </row>
        <row r="125">
          <cell r="A125">
            <v>42856</v>
          </cell>
          <cell r="B125" t="str">
            <v>N/E</v>
          </cell>
          <cell r="C125" t="str">
            <v>N/E</v>
          </cell>
          <cell r="D125">
            <v>19.067</v>
          </cell>
        </row>
        <row r="126">
          <cell r="A126">
            <v>42857</v>
          </cell>
          <cell r="B126">
            <v>18.773099999999999</v>
          </cell>
          <cell r="C126">
            <v>18.959399999999999</v>
          </cell>
          <cell r="D126">
            <v>19.067</v>
          </cell>
        </row>
        <row r="127">
          <cell r="A127">
            <v>42858</v>
          </cell>
          <cell r="B127">
            <v>18.803100000000001</v>
          </cell>
          <cell r="C127">
            <v>18.773099999999999</v>
          </cell>
          <cell r="D127">
            <v>18.959399999999999</v>
          </cell>
        </row>
        <row r="128">
          <cell r="A128">
            <v>42859</v>
          </cell>
          <cell r="B128">
            <v>19.001899999999999</v>
          </cell>
          <cell r="C128">
            <v>18.803100000000001</v>
          </cell>
          <cell r="D128">
            <v>18.773099999999999</v>
          </cell>
        </row>
        <row r="129">
          <cell r="A129">
            <v>42860</v>
          </cell>
          <cell r="B129">
            <v>19.0137</v>
          </cell>
          <cell r="C129">
            <v>19.001899999999999</v>
          </cell>
          <cell r="D129">
            <v>18.803100000000001</v>
          </cell>
        </row>
        <row r="130">
          <cell r="A130">
            <v>42861</v>
          </cell>
          <cell r="B130" t="str">
            <v>N/E</v>
          </cell>
          <cell r="C130" t="str">
            <v>N/E</v>
          </cell>
          <cell r="D130">
            <v>19.001899999999999</v>
          </cell>
        </row>
        <row r="131">
          <cell r="A131">
            <v>42862</v>
          </cell>
          <cell r="B131" t="str">
            <v>N/E</v>
          </cell>
          <cell r="C131" t="str">
            <v>N/E</v>
          </cell>
          <cell r="D131">
            <v>19.001899999999999</v>
          </cell>
        </row>
        <row r="132">
          <cell r="A132">
            <v>42863</v>
          </cell>
          <cell r="B132">
            <v>19.116399999999999</v>
          </cell>
          <cell r="C132">
            <v>19.0137</v>
          </cell>
          <cell r="D132">
            <v>19.001899999999999</v>
          </cell>
        </row>
        <row r="133">
          <cell r="A133">
            <v>42864</v>
          </cell>
          <cell r="B133" t="str">
            <v>N/E</v>
          </cell>
          <cell r="C133">
            <v>19.116399999999999</v>
          </cell>
          <cell r="D133">
            <v>19.0137</v>
          </cell>
        </row>
        <row r="134">
          <cell r="A134">
            <v>42865</v>
          </cell>
          <cell r="B134">
            <v>18.9587</v>
          </cell>
          <cell r="C134">
            <v>19.136399999999998</v>
          </cell>
          <cell r="D134">
            <v>19.116399999999999</v>
          </cell>
        </row>
        <row r="135">
          <cell r="A135">
            <v>42866</v>
          </cell>
          <cell r="B135">
            <v>18.9039</v>
          </cell>
          <cell r="C135">
            <v>18.9587</v>
          </cell>
          <cell r="D135">
            <v>19.136399999999998</v>
          </cell>
        </row>
        <row r="136">
          <cell r="A136">
            <v>42867</v>
          </cell>
          <cell r="B136">
            <v>18.759399999999999</v>
          </cell>
          <cell r="C136">
            <v>18.9039</v>
          </cell>
          <cell r="D136">
            <v>18.9587</v>
          </cell>
        </row>
        <row r="137">
          <cell r="A137">
            <v>42868</v>
          </cell>
          <cell r="B137" t="str">
            <v>N/E</v>
          </cell>
          <cell r="C137" t="str">
            <v>N/E</v>
          </cell>
          <cell r="D137">
            <v>18.9039</v>
          </cell>
        </row>
        <row r="138">
          <cell r="A138">
            <v>42869</v>
          </cell>
          <cell r="B138" t="str">
            <v>N/E</v>
          </cell>
          <cell r="C138" t="str">
            <v>N/E</v>
          </cell>
          <cell r="D138">
            <v>18.9039</v>
          </cell>
        </row>
        <row r="139">
          <cell r="A139">
            <v>42870</v>
          </cell>
          <cell r="B139">
            <v>18.670000000000002</v>
          </cell>
          <cell r="C139">
            <v>18.759399999999999</v>
          </cell>
          <cell r="D139">
            <v>18.9039</v>
          </cell>
        </row>
        <row r="140">
          <cell r="A140">
            <v>42871</v>
          </cell>
          <cell r="B140">
            <v>18.618300000000001</v>
          </cell>
          <cell r="C140">
            <v>18.670000000000002</v>
          </cell>
          <cell r="D140">
            <v>18.759399999999999</v>
          </cell>
        </row>
        <row r="141">
          <cell r="A141">
            <v>42872</v>
          </cell>
          <cell r="B141">
            <v>18.676100000000002</v>
          </cell>
          <cell r="C141">
            <v>18.618300000000001</v>
          </cell>
          <cell r="D141">
            <v>18.670000000000002</v>
          </cell>
        </row>
        <row r="142">
          <cell r="A142">
            <v>42873</v>
          </cell>
          <cell r="B142">
            <v>18.889800000000001</v>
          </cell>
          <cell r="C142">
            <v>18.676100000000002</v>
          </cell>
          <cell r="D142">
            <v>18.618300000000001</v>
          </cell>
        </row>
        <row r="143">
          <cell r="A143">
            <v>42874</v>
          </cell>
          <cell r="B143">
            <v>18.6859</v>
          </cell>
          <cell r="C143">
            <v>18.889800000000001</v>
          </cell>
          <cell r="D143">
            <v>18.676100000000002</v>
          </cell>
        </row>
        <row r="144">
          <cell r="A144">
            <v>42875</v>
          </cell>
          <cell r="B144" t="str">
            <v>N/E</v>
          </cell>
          <cell r="C144" t="str">
            <v>N/E</v>
          </cell>
          <cell r="D144">
            <v>18.889800000000001</v>
          </cell>
        </row>
        <row r="145">
          <cell r="A145">
            <v>42876</v>
          </cell>
          <cell r="B145" t="str">
            <v>N/E</v>
          </cell>
          <cell r="C145" t="str">
            <v>N/E</v>
          </cell>
          <cell r="D145">
            <v>18.889800000000001</v>
          </cell>
        </row>
        <row r="146">
          <cell r="A146">
            <v>42877</v>
          </cell>
          <cell r="B146">
            <v>18.6633</v>
          </cell>
          <cell r="C146">
            <v>18.6859</v>
          </cell>
          <cell r="D146">
            <v>18.889800000000001</v>
          </cell>
        </row>
        <row r="147">
          <cell r="A147">
            <v>42878</v>
          </cell>
          <cell r="B147">
            <v>18.614999999999998</v>
          </cell>
          <cell r="C147">
            <v>18.6633</v>
          </cell>
          <cell r="D147">
            <v>18.6859</v>
          </cell>
        </row>
        <row r="148">
          <cell r="A148">
            <v>42879</v>
          </cell>
          <cell r="B148">
            <v>18.568899999999999</v>
          </cell>
          <cell r="C148">
            <v>18.614999999999998</v>
          </cell>
          <cell r="D148">
            <v>18.6633</v>
          </cell>
        </row>
        <row r="149">
          <cell r="A149">
            <v>42880</v>
          </cell>
          <cell r="B149">
            <v>18.418500000000002</v>
          </cell>
          <cell r="C149">
            <v>18.568899999999999</v>
          </cell>
          <cell r="D149">
            <v>18.614999999999998</v>
          </cell>
        </row>
        <row r="150">
          <cell r="A150">
            <v>42881</v>
          </cell>
          <cell r="B150">
            <v>18.4849</v>
          </cell>
          <cell r="C150">
            <v>18.418500000000002</v>
          </cell>
          <cell r="D150">
            <v>18.568899999999999</v>
          </cell>
        </row>
        <row r="151">
          <cell r="A151">
            <v>42882</v>
          </cell>
          <cell r="B151" t="str">
            <v>N/E</v>
          </cell>
          <cell r="C151" t="str">
            <v>N/E</v>
          </cell>
          <cell r="D151">
            <v>18.418500000000002</v>
          </cell>
        </row>
        <row r="152">
          <cell r="A152">
            <v>42883</v>
          </cell>
          <cell r="B152" t="str">
            <v>N/E</v>
          </cell>
          <cell r="C152" t="str">
            <v>N/E</v>
          </cell>
          <cell r="D152">
            <v>18.418500000000002</v>
          </cell>
        </row>
        <row r="153">
          <cell r="A153">
            <v>42884</v>
          </cell>
          <cell r="B153">
            <v>18.5121</v>
          </cell>
          <cell r="C153">
            <v>18.4849</v>
          </cell>
          <cell r="D153">
            <v>18.418500000000002</v>
          </cell>
        </row>
        <row r="154">
          <cell r="A154">
            <v>42885</v>
          </cell>
          <cell r="B154">
            <v>18.664300000000001</v>
          </cell>
          <cell r="C154">
            <v>18.5121</v>
          </cell>
          <cell r="D154">
            <v>18.4849</v>
          </cell>
        </row>
        <row r="155">
          <cell r="A155">
            <v>42886</v>
          </cell>
          <cell r="B155">
            <v>18.690899999999999</v>
          </cell>
          <cell r="C155">
            <v>18.664300000000001</v>
          </cell>
          <cell r="D155">
            <v>18.5121</v>
          </cell>
        </row>
        <row r="156">
          <cell r="A156">
            <v>42887</v>
          </cell>
          <cell r="B156">
            <v>18.594100000000001</v>
          </cell>
          <cell r="C156">
            <v>18.690899999999999</v>
          </cell>
          <cell r="D156">
            <v>18.664300000000001</v>
          </cell>
        </row>
        <row r="157">
          <cell r="A157">
            <v>42888</v>
          </cell>
          <cell r="B157">
            <v>18.6204</v>
          </cell>
          <cell r="C157">
            <v>18.594100000000001</v>
          </cell>
          <cell r="D157">
            <v>18.690899999999999</v>
          </cell>
        </row>
        <row r="158">
          <cell r="A158">
            <v>42889</v>
          </cell>
          <cell r="B158" t="str">
            <v>N/E</v>
          </cell>
          <cell r="C158" t="str">
            <v>N/E</v>
          </cell>
          <cell r="D158">
            <v>18.594100000000001</v>
          </cell>
        </row>
        <row r="159">
          <cell r="A159">
            <v>42890</v>
          </cell>
          <cell r="B159" t="str">
            <v>N/E</v>
          </cell>
          <cell r="C159" t="str">
            <v>N/E</v>
          </cell>
          <cell r="D159">
            <v>18.594100000000001</v>
          </cell>
        </row>
        <row r="160">
          <cell r="A160">
            <v>42891</v>
          </cell>
          <cell r="B160">
            <v>18.381900000000002</v>
          </cell>
          <cell r="C160">
            <v>18.6204</v>
          </cell>
          <cell r="D160">
            <v>18.594100000000001</v>
          </cell>
        </row>
        <row r="161">
          <cell r="A161">
            <v>42892</v>
          </cell>
          <cell r="B161">
            <v>18.276199999999999</v>
          </cell>
          <cell r="C161">
            <v>18.381900000000002</v>
          </cell>
          <cell r="D161">
            <v>18.6204</v>
          </cell>
        </row>
        <row r="162">
          <cell r="A162">
            <v>42893</v>
          </cell>
          <cell r="B162">
            <v>18.227799999999998</v>
          </cell>
          <cell r="C162">
            <v>18.276199999999999</v>
          </cell>
          <cell r="D162">
            <v>18.381900000000002</v>
          </cell>
        </row>
        <row r="163">
          <cell r="A163">
            <v>42894</v>
          </cell>
          <cell r="B163">
            <v>18.194600000000001</v>
          </cell>
          <cell r="C163">
            <v>18.227799999999998</v>
          </cell>
          <cell r="D163">
            <v>18.276199999999999</v>
          </cell>
        </row>
        <row r="164">
          <cell r="A164">
            <v>42895</v>
          </cell>
          <cell r="B164">
            <v>18.193899999999999</v>
          </cell>
          <cell r="C164">
            <v>18.194600000000001</v>
          </cell>
          <cell r="D164">
            <v>18.227799999999998</v>
          </cell>
        </row>
        <row r="165">
          <cell r="A165">
            <v>42896</v>
          </cell>
          <cell r="B165" t="str">
            <v>N/E</v>
          </cell>
          <cell r="C165" t="str">
            <v>N/E</v>
          </cell>
          <cell r="D165">
            <v>18.194600000000001</v>
          </cell>
        </row>
        <row r="166">
          <cell r="A166">
            <v>42897</v>
          </cell>
          <cell r="B166" t="str">
            <v>N/E</v>
          </cell>
          <cell r="C166" t="str">
            <v>N/E</v>
          </cell>
          <cell r="D166">
            <v>18.194600000000001</v>
          </cell>
        </row>
        <row r="167">
          <cell r="A167">
            <v>42898</v>
          </cell>
          <cell r="B167">
            <v>18.180199999999999</v>
          </cell>
          <cell r="C167">
            <v>18.193899999999999</v>
          </cell>
          <cell r="D167">
            <v>18.194600000000001</v>
          </cell>
        </row>
        <row r="168">
          <cell r="A168">
            <v>42899</v>
          </cell>
          <cell r="B168">
            <v>18.072500000000002</v>
          </cell>
          <cell r="C168">
            <v>18.180199999999999</v>
          </cell>
          <cell r="D168">
            <v>18.193899999999999</v>
          </cell>
        </row>
        <row r="169">
          <cell r="A169">
            <v>42900</v>
          </cell>
          <cell r="B169">
            <v>17.9343</v>
          </cell>
          <cell r="C169">
            <v>18.072500000000002</v>
          </cell>
          <cell r="D169">
            <v>18.180199999999999</v>
          </cell>
        </row>
        <row r="170">
          <cell r="A170">
            <v>42901</v>
          </cell>
          <cell r="B170">
            <v>18.115400000000001</v>
          </cell>
          <cell r="C170">
            <v>17.9343</v>
          </cell>
          <cell r="D170">
            <v>18.072500000000002</v>
          </cell>
        </row>
        <row r="171">
          <cell r="A171">
            <v>42902</v>
          </cell>
          <cell r="B171">
            <v>17.932099999999998</v>
          </cell>
          <cell r="C171">
            <v>18.115400000000001</v>
          </cell>
          <cell r="D171">
            <v>17.9343</v>
          </cell>
        </row>
        <row r="172">
          <cell r="A172">
            <v>42903</v>
          </cell>
          <cell r="B172" t="str">
            <v>N/E</v>
          </cell>
          <cell r="C172" t="str">
            <v>N/E</v>
          </cell>
          <cell r="D172">
            <v>18.115400000000001</v>
          </cell>
        </row>
        <row r="173">
          <cell r="A173">
            <v>42904</v>
          </cell>
          <cell r="B173" t="str">
            <v>N/E</v>
          </cell>
          <cell r="C173" t="str">
            <v>N/E</v>
          </cell>
          <cell r="D173">
            <v>18.115400000000001</v>
          </cell>
        </row>
        <row r="174">
          <cell r="A174">
            <v>42905</v>
          </cell>
          <cell r="B174">
            <v>17.951899999999998</v>
          </cell>
          <cell r="C174">
            <v>17.932099999999998</v>
          </cell>
          <cell r="D174">
            <v>18.115400000000001</v>
          </cell>
        </row>
        <row r="175">
          <cell r="A175">
            <v>42906</v>
          </cell>
          <cell r="B175" t="str">
            <v>N/E</v>
          </cell>
          <cell r="C175">
            <v>17.951899999999998</v>
          </cell>
          <cell r="D175">
            <v>17.932099999999998</v>
          </cell>
        </row>
        <row r="176">
          <cell r="A176">
            <v>42907</v>
          </cell>
          <cell r="B176">
            <v>18.157</v>
          </cell>
          <cell r="C176">
            <v>18.116700000000002</v>
          </cell>
          <cell r="D176">
            <v>17.951899999999998</v>
          </cell>
        </row>
        <row r="177">
          <cell r="A177">
            <v>42908</v>
          </cell>
          <cell r="B177">
            <v>18.126999999999999</v>
          </cell>
          <cell r="C177">
            <v>18.157</v>
          </cell>
          <cell r="D177">
            <v>18.116700000000002</v>
          </cell>
        </row>
        <row r="178">
          <cell r="A178">
            <v>42909</v>
          </cell>
          <cell r="B178">
            <v>17.989999999999998</v>
          </cell>
          <cell r="C178">
            <v>18.126999999999999</v>
          </cell>
          <cell r="D178">
            <v>18.157</v>
          </cell>
        </row>
        <row r="179">
          <cell r="A179">
            <v>42910</v>
          </cell>
          <cell r="B179" t="str">
            <v>N/E</v>
          </cell>
          <cell r="C179" t="str">
            <v>N/E</v>
          </cell>
          <cell r="D179">
            <v>18.126999999999999</v>
          </cell>
        </row>
        <row r="180">
          <cell r="A180">
            <v>42911</v>
          </cell>
          <cell r="B180" t="str">
            <v>N/E</v>
          </cell>
          <cell r="C180" t="str">
            <v>N/E</v>
          </cell>
          <cell r="D180">
            <v>18.126999999999999</v>
          </cell>
        </row>
        <row r="181">
          <cell r="A181">
            <v>42912</v>
          </cell>
          <cell r="B181" t="str">
            <v>N/E</v>
          </cell>
          <cell r="C181">
            <v>17.989999999999998</v>
          </cell>
          <cell r="D181">
            <v>18.126999999999999</v>
          </cell>
        </row>
        <row r="182">
          <cell r="A182">
            <v>42913</v>
          </cell>
          <cell r="B182">
            <v>17.9862</v>
          </cell>
          <cell r="C182">
            <v>17.877500000000001</v>
          </cell>
          <cell r="D182">
            <v>17.989999999999998</v>
          </cell>
        </row>
        <row r="183">
          <cell r="A183">
            <v>42914</v>
          </cell>
          <cell r="B183">
            <v>17.897300000000001</v>
          </cell>
          <cell r="C183">
            <v>17.9862</v>
          </cell>
          <cell r="D183">
            <v>17.877500000000001</v>
          </cell>
        </row>
        <row r="184">
          <cell r="A184">
            <v>42915</v>
          </cell>
          <cell r="B184" t="str">
            <v>N/E</v>
          </cell>
          <cell r="C184">
            <v>17.897300000000001</v>
          </cell>
          <cell r="D184">
            <v>17.9862</v>
          </cell>
        </row>
        <row r="185">
          <cell r="A185">
            <v>42916</v>
          </cell>
          <cell r="B185">
            <v>18.0626</v>
          </cell>
          <cell r="C185">
            <v>18.027899999999999</v>
          </cell>
          <cell r="D185">
            <v>17.897300000000001</v>
          </cell>
        </row>
        <row r="186">
          <cell r="A186">
            <v>42917</v>
          </cell>
          <cell r="B186" t="str">
            <v>N/E</v>
          </cell>
          <cell r="C186" t="str">
            <v>N/E</v>
          </cell>
          <cell r="D186">
            <v>18.027899999999999</v>
          </cell>
        </row>
        <row r="187">
          <cell r="A187">
            <v>42918</v>
          </cell>
          <cell r="B187" t="str">
            <v>N/E</v>
          </cell>
          <cell r="C187" t="str">
            <v>N/E</v>
          </cell>
          <cell r="D187">
            <v>18.027899999999999</v>
          </cell>
        </row>
        <row r="188">
          <cell r="A188">
            <v>42919</v>
          </cell>
          <cell r="B188">
            <v>18.206399999999999</v>
          </cell>
          <cell r="C188">
            <v>18.0626</v>
          </cell>
          <cell r="D188">
            <v>18.027899999999999</v>
          </cell>
        </row>
        <row r="189">
          <cell r="A189">
            <v>42920</v>
          </cell>
          <cell r="B189">
            <v>18.203600000000002</v>
          </cell>
          <cell r="C189">
            <v>18.206399999999999</v>
          </cell>
          <cell r="D189">
            <v>18.0626</v>
          </cell>
        </row>
        <row r="190">
          <cell r="A190">
            <v>42921</v>
          </cell>
          <cell r="B190">
            <v>18.355599999999999</v>
          </cell>
          <cell r="C190">
            <v>18.203600000000002</v>
          </cell>
          <cell r="D190">
            <v>18.206399999999999</v>
          </cell>
        </row>
        <row r="191">
          <cell r="A191">
            <v>42922</v>
          </cell>
          <cell r="B191">
            <v>18.322700000000001</v>
          </cell>
          <cell r="C191">
            <v>18.355599999999999</v>
          </cell>
          <cell r="D191">
            <v>18.203600000000002</v>
          </cell>
        </row>
        <row r="192">
          <cell r="A192">
            <v>42923</v>
          </cell>
          <cell r="B192">
            <v>18.139399999999998</v>
          </cell>
          <cell r="C192">
            <v>18.322700000000001</v>
          </cell>
          <cell r="D192">
            <v>18.355599999999999</v>
          </cell>
        </row>
        <row r="193">
          <cell r="A193">
            <v>42924</v>
          </cell>
          <cell r="B193" t="str">
            <v>N/E</v>
          </cell>
          <cell r="C193" t="str">
            <v>N/E</v>
          </cell>
          <cell r="D193">
            <v>18.322700000000001</v>
          </cell>
        </row>
        <row r="194">
          <cell r="A194">
            <v>42925</v>
          </cell>
          <cell r="B194" t="str">
            <v>N/E</v>
          </cell>
          <cell r="C194" t="str">
            <v>N/E</v>
          </cell>
          <cell r="D194">
            <v>18.322700000000001</v>
          </cell>
        </row>
        <row r="195">
          <cell r="A195">
            <v>42926</v>
          </cell>
          <cell r="B195">
            <v>17.975100000000001</v>
          </cell>
          <cell r="C195">
            <v>18.139399999999998</v>
          </cell>
          <cell r="D195">
            <v>18.322700000000001</v>
          </cell>
        </row>
        <row r="196">
          <cell r="A196">
            <v>42927</v>
          </cell>
          <cell r="B196">
            <v>17.9482</v>
          </cell>
          <cell r="C196">
            <v>17.975100000000001</v>
          </cell>
          <cell r="D196">
            <v>18.139399999999998</v>
          </cell>
        </row>
        <row r="197">
          <cell r="A197">
            <v>42928</v>
          </cell>
          <cell r="B197">
            <v>17.770800000000001</v>
          </cell>
          <cell r="C197">
            <v>17.9482</v>
          </cell>
          <cell r="D197">
            <v>17.975100000000001</v>
          </cell>
        </row>
        <row r="198">
          <cell r="A198">
            <v>42929</v>
          </cell>
          <cell r="B198">
            <v>17.7422</v>
          </cell>
          <cell r="C198">
            <v>17.770800000000001</v>
          </cell>
          <cell r="D198">
            <v>17.9482</v>
          </cell>
        </row>
        <row r="199">
          <cell r="A199">
            <v>42930</v>
          </cell>
          <cell r="B199">
            <v>17.561299999999999</v>
          </cell>
          <cell r="C199">
            <v>17.7422</v>
          </cell>
          <cell r="D199">
            <v>17.770800000000001</v>
          </cell>
        </row>
        <row r="200">
          <cell r="A200">
            <v>42931</v>
          </cell>
          <cell r="B200" t="str">
            <v>N/E</v>
          </cell>
          <cell r="C200" t="str">
            <v>N/E</v>
          </cell>
          <cell r="D200">
            <v>17.7422</v>
          </cell>
        </row>
        <row r="201">
          <cell r="A201">
            <v>42932</v>
          </cell>
          <cell r="B201" t="str">
            <v>N/E</v>
          </cell>
          <cell r="C201" t="str">
            <v>N/E</v>
          </cell>
          <cell r="D201">
            <v>17.7422</v>
          </cell>
        </row>
        <row r="202">
          <cell r="A202">
            <v>42933</v>
          </cell>
          <cell r="B202">
            <v>17.583600000000001</v>
          </cell>
          <cell r="C202">
            <v>17.561299999999999</v>
          </cell>
          <cell r="D202">
            <v>17.7422</v>
          </cell>
        </row>
        <row r="203">
          <cell r="A203">
            <v>42934</v>
          </cell>
          <cell r="B203" t="str">
            <v>N/E</v>
          </cell>
          <cell r="C203">
            <v>17.583600000000001</v>
          </cell>
          <cell r="D203">
            <v>17.561299999999999</v>
          </cell>
        </row>
        <row r="204">
          <cell r="A204">
            <v>42935</v>
          </cell>
          <cell r="B204">
            <v>17.4937</v>
          </cell>
          <cell r="C204">
            <v>17.513400000000001</v>
          </cell>
          <cell r="D204">
            <v>17.583600000000001</v>
          </cell>
        </row>
        <row r="205">
          <cell r="A205">
            <v>42936</v>
          </cell>
          <cell r="B205">
            <v>17.526</v>
          </cell>
          <cell r="C205">
            <v>17.4937</v>
          </cell>
          <cell r="D205">
            <v>17.513400000000001</v>
          </cell>
        </row>
        <row r="206">
          <cell r="A206">
            <v>42937</v>
          </cell>
          <cell r="B206">
            <v>17.561800000000002</v>
          </cell>
          <cell r="C206">
            <v>17.526</v>
          </cell>
          <cell r="D206">
            <v>17.4937</v>
          </cell>
        </row>
        <row r="207">
          <cell r="A207">
            <v>42938</v>
          </cell>
          <cell r="B207" t="str">
            <v>N/E</v>
          </cell>
          <cell r="C207" t="str">
            <v>N/E</v>
          </cell>
          <cell r="D207">
            <v>17.526</v>
          </cell>
        </row>
        <row r="208">
          <cell r="A208">
            <v>42939</v>
          </cell>
          <cell r="B208" t="str">
            <v>N/E</v>
          </cell>
          <cell r="C208" t="str">
            <v>N/E</v>
          </cell>
          <cell r="D208">
            <v>17.526</v>
          </cell>
        </row>
        <row r="209">
          <cell r="A209">
            <v>42940</v>
          </cell>
          <cell r="B209" t="str">
            <v>N/E</v>
          </cell>
          <cell r="C209">
            <v>17.561800000000002</v>
          </cell>
          <cell r="D209">
            <v>17.526</v>
          </cell>
        </row>
        <row r="210">
          <cell r="A210">
            <v>42941</v>
          </cell>
          <cell r="B210">
            <v>17.749199999999998</v>
          </cell>
          <cell r="C210">
            <v>17.689299999999999</v>
          </cell>
          <cell r="D210">
            <v>17.561800000000002</v>
          </cell>
        </row>
        <row r="211">
          <cell r="A211">
            <v>42942</v>
          </cell>
          <cell r="B211">
            <v>17.7561</v>
          </cell>
          <cell r="C211">
            <v>17.749199999999998</v>
          </cell>
          <cell r="D211">
            <v>17.689299999999999</v>
          </cell>
        </row>
        <row r="212">
          <cell r="A212">
            <v>42943</v>
          </cell>
          <cell r="B212">
            <v>17.688600000000001</v>
          </cell>
          <cell r="C212">
            <v>17.7561</v>
          </cell>
          <cell r="D212">
            <v>17.749199999999998</v>
          </cell>
        </row>
        <row r="213">
          <cell r="A213">
            <v>42944</v>
          </cell>
          <cell r="B213" t="str">
            <v>N/E</v>
          </cell>
          <cell r="C213">
            <v>17.688600000000001</v>
          </cell>
          <cell r="D213">
            <v>17.7561</v>
          </cell>
        </row>
        <row r="214">
          <cell r="A214">
            <v>42945</v>
          </cell>
          <cell r="B214" t="str">
            <v>N/E</v>
          </cell>
          <cell r="C214" t="str">
            <v>N/E</v>
          </cell>
          <cell r="D214">
            <v>17.688600000000001</v>
          </cell>
        </row>
        <row r="215">
          <cell r="A215">
            <v>42946</v>
          </cell>
          <cell r="B215" t="str">
            <v>N/E</v>
          </cell>
          <cell r="C215" t="str">
            <v>N/E</v>
          </cell>
          <cell r="D215">
            <v>17.688600000000001</v>
          </cell>
        </row>
        <row r="216">
          <cell r="A216">
            <v>42947</v>
          </cell>
          <cell r="B216">
            <v>17.864599999999999</v>
          </cell>
          <cell r="C216">
            <v>17.743500000000001</v>
          </cell>
          <cell r="D216">
            <v>17.688600000000001</v>
          </cell>
        </row>
        <row r="217">
          <cell r="A217">
            <v>42948</v>
          </cell>
          <cell r="B217">
            <v>17.8108</v>
          </cell>
          <cell r="C217">
            <v>17.864599999999999</v>
          </cell>
          <cell r="D217">
            <v>17.743500000000001</v>
          </cell>
        </row>
        <row r="218">
          <cell r="A218">
            <v>42949</v>
          </cell>
          <cell r="B218" t="str">
            <v>N/E</v>
          </cell>
          <cell r="C218">
            <v>17.8108</v>
          </cell>
          <cell r="D218">
            <v>17.864599999999999</v>
          </cell>
        </row>
        <row r="219">
          <cell r="A219">
            <v>42950</v>
          </cell>
          <cell r="B219" t="str">
            <v>N/E</v>
          </cell>
          <cell r="C219">
            <v>17.869599999999998</v>
          </cell>
          <cell r="D219">
            <v>17.8108</v>
          </cell>
        </row>
        <row r="220">
          <cell r="A220">
            <v>42951</v>
          </cell>
          <cell r="B220">
            <v>17.879799999999999</v>
          </cell>
          <cell r="C220">
            <v>17.8733</v>
          </cell>
          <cell r="D220">
            <v>17.869599999999998</v>
          </cell>
        </row>
        <row r="221">
          <cell r="A221">
            <v>42952</v>
          </cell>
          <cell r="B221" t="str">
            <v>N/E</v>
          </cell>
          <cell r="C221" t="str">
            <v>N/E</v>
          </cell>
          <cell r="D221">
            <v>17.8733</v>
          </cell>
        </row>
        <row r="222">
          <cell r="A222">
            <v>42953</v>
          </cell>
          <cell r="B222" t="str">
            <v>N/E</v>
          </cell>
          <cell r="C222" t="str">
            <v>N/E</v>
          </cell>
          <cell r="D222">
            <v>17.8733</v>
          </cell>
        </row>
        <row r="223">
          <cell r="A223">
            <v>42954</v>
          </cell>
          <cell r="B223" t="str">
            <v>N/E</v>
          </cell>
          <cell r="C223">
            <v>17.879799999999999</v>
          </cell>
          <cell r="D223">
            <v>17.8733</v>
          </cell>
        </row>
        <row r="224">
          <cell r="A224">
            <v>42955</v>
          </cell>
          <cell r="B224">
            <v>17.916</v>
          </cell>
          <cell r="C224">
            <v>17.964099999999998</v>
          </cell>
          <cell r="D224">
            <v>17.879799999999999</v>
          </cell>
        </row>
        <row r="225">
          <cell r="A225">
            <v>42956</v>
          </cell>
          <cell r="B225">
            <v>17.967099999999999</v>
          </cell>
          <cell r="C225">
            <v>17.916</v>
          </cell>
          <cell r="D225">
            <v>17.964099999999998</v>
          </cell>
        </row>
        <row r="226">
          <cell r="A226">
            <v>42957</v>
          </cell>
          <cell r="B226" t="str">
            <v>N/E</v>
          </cell>
          <cell r="C226">
            <v>17.967099999999999</v>
          </cell>
          <cell r="D226">
            <v>17.916</v>
          </cell>
        </row>
        <row r="227">
          <cell r="A227">
            <v>42958</v>
          </cell>
          <cell r="B227">
            <v>17.847000000000001</v>
          </cell>
          <cell r="C227">
            <v>17.907299999999999</v>
          </cell>
          <cell r="D227">
            <v>17.967099999999999</v>
          </cell>
        </row>
        <row r="228">
          <cell r="A228">
            <v>42959</v>
          </cell>
          <cell r="B228" t="str">
            <v>N/E</v>
          </cell>
          <cell r="C228" t="str">
            <v>N/E</v>
          </cell>
          <cell r="D228">
            <v>17.907299999999999</v>
          </cell>
        </row>
        <row r="229">
          <cell r="A229">
            <v>42960</v>
          </cell>
          <cell r="B229" t="str">
            <v>N/E</v>
          </cell>
          <cell r="C229" t="str">
            <v>N/E</v>
          </cell>
          <cell r="D229">
            <v>17.907299999999999</v>
          </cell>
        </row>
        <row r="230">
          <cell r="A230">
            <v>42961</v>
          </cell>
          <cell r="B230" t="str">
            <v>N/E</v>
          </cell>
          <cell r="C230">
            <v>17.847000000000001</v>
          </cell>
          <cell r="D230">
            <v>17.907299999999999</v>
          </cell>
        </row>
        <row r="231">
          <cell r="A231">
            <v>42962</v>
          </cell>
          <cell r="B231" t="str">
            <v>N/E</v>
          </cell>
          <cell r="C231">
            <v>17.775500000000001</v>
          </cell>
          <cell r="D231">
            <v>17.847000000000001</v>
          </cell>
        </row>
        <row r="232">
          <cell r="A232">
            <v>42963</v>
          </cell>
          <cell r="B232">
            <v>17.716000000000001</v>
          </cell>
          <cell r="C232">
            <v>17.848299999999998</v>
          </cell>
          <cell r="D232">
            <v>17.775500000000001</v>
          </cell>
        </row>
        <row r="233">
          <cell r="A233">
            <v>42964</v>
          </cell>
          <cell r="B233">
            <v>17.732399999999998</v>
          </cell>
          <cell r="C233">
            <v>17.716000000000001</v>
          </cell>
          <cell r="D233">
            <v>17.848299999999998</v>
          </cell>
        </row>
        <row r="234">
          <cell r="A234">
            <v>42965</v>
          </cell>
          <cell r="B234">
            <v>17.8584</v>
          </cell>
          <cell r="C234">
            <v>17.732399999999998</v>
          </cell>
          <cell r="D234">
            <v>17.716000000000001</v>
          </cell>
        </row>
        <row r="235">
          <cell r="A235">
            <v>42966</v>
          </cell>
          <cell r="B235" t="str">
            <v>N/E</v>
          </cell>
          <cell r="C235" t="str">
            <v>N/E</v>
          </cell>
          <cell r="D235">
            <v>17.732399999999998</v>
          </cell>
        </row>
        <row r="236">
          <cell r="A236">
            <v>42967</v>
          </cell>
          <cell r="B236" t="str">
            <v>N/E</v>
          </cell>
          <cell r="C236" t="str">
            <v>N/E</v>
          </cell>
          <cell r="D236">
            <v>17.732399999999998</v>
          </cell>
        </row>
        <row r="237">
          <cell r="A237">
            <v>42968</v>
          </cell>
          <cell r="B237" t="str">
            <v>N/E</v>
          </cell>
          <cell r="C237">
            <v>17.8584</v>
          </cell>
          <cell r="D237">
            <v>17.732399999999998</v>
          </cell>
        </row>
        <row r="238">
          <cell r="A238">
            <v>42969</v>
          </cell>
          <cell r="B238">
            <v>17.645800000000001</v>
          </cell>
          <cell r="C238">
            <v>17.650099999999998</v>
          </cell>
          <cell r="D238">
            <v>17.8584</v>
          </cell>
        </row>
        <row r="239">
          <cell r="A239">
            <v>42970</v>
          </cell>
          <cell r="B239" t="str">
            <v>N/E</v>
          </cell>
          <cell r="C239">
            <v>17.645800000000001</v>
          </cell>
          <cell r="D239">
            <v>17.650099999999998</v>
          </cell>
        </row>
        <row r="240">
          <cell r="A240">
            <v>42971</v>
          </cell>
          <cell r="B240">
            <v>17.697700000000001</v>
          </cell>
          <cell r="C240">
            <v>17.711300000000001</v>
          </cell>
          <cell r="D240">
            <v>17.645800000000001</v>
          </cell>
        </row>
        <row r="241">
          <cell r="A241">
            <v>42972</v>
          </cell>
          <cell r="B241" t="str">
            <v>N/E</v>
          </cell>
          <cell r="C241">
            <v>17.697700000000001</v>
          </cell>
          <cell r="D241">
            <v>17.711300000000001</v>
          </cell>
        </row>
        <row r="242">
          <cell r="A242">
            <v>42973</v>
          </cell>
          <cell r="B242" t="str">
            <v>N/E</v>
          </cell>
          <cell r="C242" t="str">
            <v>N/E</v>
          </cell>
          <cell r="D242">
            <v>17.697700000000001</v>
          </cell>
        </row>
        <row r="243">
          <cell r="A243">
            <v>42974</v>
          </cell>
          <cell r="B243" t="str">
            <v>N/E</v>
          </cell>
          <cell r="C243" t="str">
            <v>N/E</v>
          </cell>
          <cell r="D243">
            <v>17.697700000000001</v>
          </cell>
        </row>
        <row r="244">
          <cell r="A244">
            <v>42975</v>
          </cell>
          <cell r="B244">
            <v>17.8049</v>
          </cell>
          <cell r="C244">
            <v>17.6205</v>
          </cell>
          <cell r="D244">
            <v>17.697700000000001</v>
          </cell>
        </row>
        <row r="245">
          <cell r="A245">
            <v>42976</v>
          </cell>
          <cell r="B245">
            <v>17.876000000000001</v>
          </cell>
          <cell r="C245">
            <v>17.8049</v>
          </cell>
          <cell r="D245">
            <v>17.6205</v>
          </cell>
        </row>
        <row r="246">
          <cell r="A246">
            <v>42977</v>
          </cell>
          <cell r="B246" t="str">
            <v>N/E</v>
          </cell>
          <cell r="C246">
            <v>17.876000000000001</v>
          </cell>
          <cell r="D246">
            <v>17.8049</v>
          </cell>
        </row>
        <row r="247">
          <cell r="A247">
            <v>42978</v>
          </cell>
          <cell r="B247">
            <v>17.814499999999999</v>
          </cell>
          <cell r="C247">
            <v>17.775300000000001</v>
          </cell>
          <cell r="D247">
            <v>17.876000000000001</v>
          </cell>
        </row>
        <row r="248">
          <cell r="A248">
            <v>42979</v>
          </cell>
          <cell r="B248">
            <v>17.786100000000001</v>
          </cell>
          <cell r="C248">
            <v>17.814499999999999</v>
          </cell>
          <cell r="D248">
            <v>17.775300000000001</v>
          </cell>
        </row>
        <row r="249">
          <cell r="A249">
            <v>42980</v>
          </cell>
          <cell r="B249" t="str">
            <v>N/E</v>
          </cell>
          <cell r="C249" t="str">
            <v>N/E</v>
          </cell>
          <cell r="D249">
            <v>17.814499999999999</v>
          </cell>
        </row>
        <row r="250">
          <cell r="A250">
            <v>42981</v>
          </cell>
          <cell r="B250" t="str">
            <v>N/E</v>
          </cell>
          <cell r="C250" t="str">
            <v>N/E</v>
          </cell>
          <cell r="D250">
            <v>17.814499999999999</v>
          </cell>
        </row>
        <row r="251">
          <cell r="A251">
            <v>42982</v>
          </cell>
          <cell r="B251" t="str">
            <v>N/E</v>
          </cell>
          <cell r="C251">
            <v>17.786100000000001</v>
          </cell>
          <cell r="D251">
            <v>17.814499999999999</v>
          </cell>
        </row>
        <row r="252">
          <cell r="A252">
            <v>42983</v>
          </cell>
          <cell r="B252">
            <v>17.835999999999999</v>
          </cell>
          <cell r="C252">
            <v>17.868300000000001</v>
          </cell>
          <cell r="D252">
            <v>17.786100000000001</v>
          </cell>
        </row>
        <row r="253">
          <cell r="A253">
            <v>42984</v>
          </cell>
          <cell r="B253">
            <v>17.813600000000001</v>
          </cell>
          <cell r="C253">
            <v>17.835999999999999</v>
          </cell>
          <cell r="D253">
            <v>17.868300000000001</v>
          </cell>
        </row>
        <row r="254">
          <cell r="A254">
            <v>42985</v>
          </cell>
          <cell r="B254">
            <v>17.6965</v>
          </cell>
          <cell r="C254">
            <v>17.813600000000001</v>
          </cell>
          <cell r="D254">
            <v>17.835999999999999</v>
          </cell>
        </row>
        <row r="255">
          <cell r="A255">
            <v>42986</v>
          </cell>
          <cell r="B255">
            <v>17.7331</v>
          </cell>
          <cell r="C255">
            <v>17.6965</v>
          </cell>
          <cell r="D255">
            <v>17.813600000000001</v>
          </cell>
        </row>
        <row r="256">
          <cell r="A256">
            <v>42987</v>
          </cell>
          <cell r="B256" t="str">
            <v>N/E</v>
          </cell>
          <cell r="C256" t="str">
            <v>N/E</v>
          </cell>
          <cell r="D256">
            <v>17.6965</v>
          </cell>
        </row>
        <row r="257">
          <cell r="A257">
            <v>42988</v>
          </cell>
          <cell r="B257" t="str">
            <v>N/E</v>
          </cell>
          <cell r="C257" t="str">
            <v>N/E</v>
          </cell>
          <cell r="D257">
            <v>17.6965</v>
          </cell>
        </row>
        <row r="258">
          <cell r="A258">
            <v>42989</v>
          </cell>
          <cell r="B258" t="str">
            <v>N/E</v>
          </cell>
          <cell r="C258">
            <v>17.7331</v>
          </cell>
          <cell r="D258">
            <v>17.6965</v>
          </cell>
        </row>
        <row r="259">
          <cell r="A259">
            <v>42990</v>
          </cell>
          <cell r="B259">
            <v>17.780999999999999</v>
          </cell>
          <cell r="C259">
            <v>17.644300000000001</v>
          </cell>
          <cell r="D259">
            <v>17.7331</v>
          </cell>
        </row>
        <row r="260">
          <cell r="A260">
            <v>42991</v>
          </cell>
          <cell r="B260" t="str">
            <v>N/E</v>
          </cell>
          <cell r="C260">
            <v>17.780999999999999</v>
          </cell>
          <cell r="D260">
            <v>17.644300000000001</v>
          </cell>
        </row>
        <row r="261">
          <cell r="A261">
            <v>42992</v>
          </cell>
          <cell r="B261">
            <v>17.727799999999998</v>
          </cell>
          <cell r="C261">
            <v>17.7836</v>
          </cell>
          <cell r="D261">
            <v>17.780999999999999</v>
          </cell>
        </row>
        <row r="262">
          <cell r="A262">
            <v>42993</v>
          </cell>
          <cell r="B262">
            <v>17.685700000000001</v>
          </cell>
          <cell r="C262">
            <v>17.727799999999998</v>
          </cell>
          <cell r="D262">
            <v>17.7836</v>
          </cell>
        </row>
        <row r="263">
          <cell r="A263">
            <v>42994</v>
          </cell>
          <cell r="B263" t="str">
            <v>N/E</v>
          </cell>
          <cell r="C263" t="str">
            <v>N/E</v>
          </cell>
          <cell r="D263">
            <v>17.727799999999998</v>
          </cell>
        </row>
        <row r="264">
          <cell r="A264">
            <v>42995</v>
          </cell>
          <cell r="B264" t="str">
            <v>N/E</v>
          </cell>
          <cell r="C264" t="str">
            <v>N/E</v>
          </cell>
          <cell r="D264">
            <v>17.727799999999998</v>
          </cell>
        </row>
        <row r="265">
          <cell r="A265">
            <v>42996</v>
          </cell>
          <cell r="B265" t="str">
            <v>N/E</v>
          </cell>
          <cell r="C265">
            <v>17.685700000000001</v>
          </cell>
          <cell r="D265">
            <v>17.727799999999998</v>
          </cell>
        </row>
        <row r="266">
          <cell r="A266">
            <v>42997</v>
          </cell>
          <cell r="B266">
            <v>17.764299999999999</v>
          </cell>
          <cell r="C266">
            <v>17.760999999999999</v>
          </cell>
          <cell r="D266">
            <v>17.685700000000001</v>
          </cell>
        </row>
        <row r="267">
          <cell r="A267">
            <v>42998</v>
          </cell>
          <cell r="B267">
            <v>17.700900000000001</v>
          </cell>
          <cell r="C267">
            <v>17.764299999999999</v>
          </cell>
          <cell r="D267">
            <v>17.760999999999999</v>
          </cell>
        </row>
        <row r="268">
          <cell r="A268">
            <v>42999</v>
          </cell>
          <cell r="B268" t="str">
            <v>N/E</v>
          </cell>
          <cell r="C268">
            <v>17.700900000000001</v>
          </cell>
          <cell r="D268">
            <v>17.764299999999999</v>
          </cell>
        </row>
        <row r="269">
          <cell r="A269">
            <v>43000</v>
          </cell>
          <cell r="B269">
            <v>17.748699999999999</v>
          </cell>
          <cell r="C269">
            <v>17.854500000000002</v>
          </cell>
          <cell r="D269">
            <v>17.700900000000001</v>
          </cell>
        </row>
        <row r="270">
          <cell r="A270">
            <v>43001</v>
          </cell>
          <cell r="B270" t="str">
            <v>N/E</v>
          </cell>
          <cell r="C270" t="str">
            <v>N/E</v>
          </cell>
          <cell r="D270">
            <v>17.854500000000002</v>
          </cell>
        </row>
        <row r="271">
          <cell r="A271">
            <v>43002</v>
          </cell>
          <cell r="B271" t="str">
            <v>N/E</v>
          </cell>
          <cell r="C271" t="str">
            <v>N/E</v>
          </cell>
          <cell r="D271">
            <v>17.854500000000002</v>
          </cell>
        </row>
        <row r="272">
          <cell r="A272">
            <v>43003</v>
          </cell>
          <cell r="B272" t="str">
            <v>N/E</v>
          </cell>
          <cell r="C272">
            <v>17.748699999999999</v>
          </cell>
          <cell r="D272">
            <v>17.854500000000002</v>
          </cell>
        </row>
        <row r="273">
          <cell r="A273">
            <v>43004</v>
          </cell>
          <cell r="B273" t="str">
            <v>N/E</v>
          </cell>
          <cell r="C273">
            <v>17.883099999999999</v>
          </cell>
          <cell r="D273">
            <v>17.748699999999999</v>
          </cell>
        </row>
        <row r="274">
          <cell r="A274">
            <v>43005</v>
          </cell>
          <cell r="B274" t="str">
            <v>N/E</v>
          </cell>
          <cell r="C274">
            <v>17.993300000000001</v>
          </cell>
          <cell r="D274">
            <v>17.883099999999999</v>
          </cell>
        </row>
        <row r="275">
          <cell r="A275">
            <v>43006</v>
          </cell>
          <cell r="B275" t="str">
            <v>N/E</v>
          </cell>
          <cell r="C275">
            <v>18.13</v>
          </cell>
          <cell r="D275">
            <v>17.993300000000001</v>
          </cell>
        </row>
        <row r="276">
          <cell r="A276">
            <v>43007</v>
          </cell>
          <cell r="B276">
            <v>18.158999999999999</v>
          </cell>
          <cell r="C276">
            <v>18.197900000000001</v>
          </cell>
          <cell r="D276">
            <v>18.13</v>
          </cell>
        </row>
        <row r="277">
          <cell r="A277">
            <v>43008</v>
          </cell>
          <cell r="B277" t="str">
            <v>N/E</v>
          </cell>
          <cell r="C277" t="str">
            <v>N/E</v>
          </cell>
          <cell r="D277">
            <v>18.197900000000001</v>
          </cell>
        </row>
        <row r="278">
          <cell r="A278">
            <v>43009</v>
          </cell>
          <cell r="B278" t="str">
            <v>N/E</v>
          </cell>
          <cell r="C278" t="str">
            <v>N/E</v>
          </cell>
          <cell r="D278">
            <v>18.197900000000001</v>
          </cell>
        </row>
        <row r="279">
          <cell r="A279">
            <v>43010</v>
          </cell>
          <cell r="B279">
            <v>18.233699999999999</v>
          </cell>
          <cell r="C279">
            <v>18.158999999999999</v>
          </cell>
          <cell r="D279">
            <v>18.197900000000001</v>
          </cell>
        </row>
        <row r="280">
          <cell r="A280">
            <v>43011</v>
          </cell>
          <cell r="B280">
            <v>18.211300000000001</v>
          </cell>
          <cell r="C280">
            <v>18.233699999999999</v>
          </cell>
          <cell r="D280">
            <v>18.158999999999999</v>
          </cell>
        </row>
        <row r="281">
          <cell r="A281">
            <v>43012</v>
          </cell>
          <cell r="B281" t="str">
            <v>N/E</v>
          </cell>
          <cell r="C281">
            <v>18.211300000000001</v>
          </cell>
          <cell r="D281">
            <v>18.233699999999999</v>
          </cell>
        </row>
        <row r="282">
          <cell r="A282">
            <v>43013</v>
          </cell>
          <cell r="B282" t="str">
            <v>N/E</v>
          </cell>
          <cell r="C282">
            <v>18.228200000000001</v>
          </cell>
          <cell r="D282">
            <v>18.211300000000001</v>
          </cell>
        </row>
        <row r="283">
          <cell r="A283">
            <v>43014</v>
          </cell>
          <cell r="B283" t="str">
            <v>N/E</v>
          </cell>
          <cell r="C283">
            <v>18.306000000000001</v>
          </cell>
          <cell r="D283">
            <v>18.228200000000001</v>
          </cell>
        </row>
        <row r="284">
          <cell r="A284">
            <v>43015</v>
          </cell>
          <cell r="B284" t="str">
            <v>N/E</v>
          </cell>
          <cell r="C284" t="str">
            <v>N/E</v>
          </cell>
          <cell r="D284">
            <v>18.306000000000001</v>
          </cell>
        </row>
        <row r="285">
          <cell r="A285">
            <v>43016</v>
          </cell>
          <cell r="B285" t="str">
            <v>N/E</v>
          </cell>
          <cell r="C285" t="str">
            <v>N/E</v>
          </cell>
          <cell r="D285">
            <v>18.306000000000001</v>
          </cell>
        </row>
        <row r="286">
          <cell r="A286">
            <v>43017</v>
          </cell>
          <cell r="B286">
            <v>18.6646</v>
          </cell>
          <cell r="C286">
            <v>18.552199999999999</v>
          </cell>
          <cell r="D286">
            <v>18.306000000000001</v>
          </cell>
        </row>
        <row r="287">
          <cell r="A287">
            <v>43018</v>
          </cell>
          <cell r="B287" t="str">
            <v>N/E</v>
          </cell>
          <cell r="C287">
            <v>18.6646</v>
          </cell>
          <cell r="D287">
            <v>18.552199999999999</v>
          </cell>
        </row>
        <row r="288">
          <cell r="A288">
            <v>43019</v>
          </cell>
          <cell r="B288" t="str">
            <v>N/E</v>
          </cell>
          <cell r="C288">
            <v>18.6327</v>
          </cell>
          <cell r="D288">
            <v>18.6646</v>
          </cell>
        </row>
        <row r="289">
          <cell r="A289">
            <v>43020</v>
          </cell>
          <cell r="B289" t="str">
            <v>N/E</v>
          </cell>
          <cell r="C289">
            <v>18.718</v>
          </cell>
          <cell r="D289">
            <v>18.6327</v>
          </cell>
        </row>
        <row r="290">
          <cell r="A290">
            <v>43021</v>
          </cell>
          <cell r="B290" t="str">
            <v>N/E</v>
          </cell>
          <cell r="C290">
            <v>18.763100000000001</v>
          </cell>
          <cell r="D290">
            <v>18.718</v>
          </cell>
        </row>
        <row r="291">
          <cell r="A291">
            <v>43022</v>
          </cell>
          <cell r="B291" t="str">
            <v>N/E</v>
          </cell>
          <cell r="C291" t="str">
            <v>N/E</v>
          </cell>
          <cell r="D291">
            <v>18.763100000000001</v>
          </cell>
        </row>
        <row r="292">
          <cell r="A292">
            <v>43023</v>
          </cell>
          <cell r="B292" t="str">
            <v>N/E</v>
          </cell>
          <cell r="C292" t="str">
            <v>N/E</v>
          </cell>
          <cell r="D292">
            <v>18.763100000000001</v>
          </cell>
        </row>
        <row r="293">
          <cell r="A293">
            <v>43024</v>
          </cell>
          <cell r="B293" t="str">
            <v>N/E</v>
          </cell>
          <cell r="C293">
            <v>18.9008</v>
          </cell>
          <cell r="D293">
            <v>18.763100000000001</v>
          </cell>
        </row>
        <row r="294">
          <cell r="A294">
            <v>43025</v>
          </cell>
          <cell r="B294" t="str">
            <v>N/E</v>
          </cell>
          <cell r="C294">
            <v>19.075299999999999</v>
          </cell>
          <cell r="D294">
            <v>18.9008</v>
          </cell>
        </row>
        <row r="295">
          <cell r="A295">
            <v>43026</v>
          </cell>
          <cell r="B295">
            <v>18.886900000000001</v>
          </cell>
          <cell r="C295">
            <v>19.011700000000001</v>
          </cell>
          <cell r="D295">
            <v>19.075299999999999</v>
          </cell>
        </row>
        <row r="296">
          <cell r="A296">
            <v>43027</v>
          </cell>
          <cell r="B296" t="str">
            <v>N/E</v>
          </cell>
          <cell r="C296">
            <v>18.886900000000001</v>
          </cell>
          <cell r="D296">
            <v>19.011700000000001</v>
          </cell>
        </row>
        <row r="297">
          <cell r="A297">
            <v>43028</v>
          </cell>
          <cell r="B297" t="str">
            <v>N/E</v>
          </cell>
          <cell r="C297">
            <v>18.8248</v>
          </cell>
          <cell r="D297">
            <v>18.886900000000001</v>
          </cell>
        </row>
        <row r="298">
          <cell r="A298">
            <v>43029</v>
          </cell>
          <cell r="B298" t="str">
            <v>N/E</v>
          </cell>
          <cell r="C298" t="str">
            <v>N/E</v>
          </cell>
          <cell r="D298">
            <v>18.8248</v>
          </cell>
        </row>
        <row r="299">
          <cell r="A299">
            <v>43030</v>
          </cell>
          <cell r="B299" t="str">
            <v>N/E</v>
          </cell>
          <cell r="C299" t="str">
            <v>N/E</v>
          </cell>
          <cell r="D299">
            <v>18.8248</v>
          </cell>
        </row>
        <row r="300">
          <cell r="A300">
            <v>43031</v>
          </cell>
          <cell r="B300" t="str">
            <v>N/E</v>
          </cell>
          <cell r="C300">
            <v>19.007999999999999</v>
          </cell>
          <cell r="D300">
            <v>18.8248</v>
          </cell>
        </row>
        <row r="301">
          <cell r="A301">
            <v>43032</v>
          </cell>
          <cell r="B301">
            <v>19.200900000000001</v>
          </cell>
          <cell r="C301">
            <v>19.0489</v>
          </cell>
          <cell r="D301">
            <v>19.007999999999999</v>
          </cell>
        </row>
        <row r="302">
          <cell r="A302">
            <v>43033</v>
          </cell>
          <cell r="B302" t="str">
            <v>N/E</v>
          </cell>
          <cell r="C302">
            <v>19.200900000000001</v>
          </cell>
          <cell r="D302">
            <v>19.0489</v>
          </cell>
        </row>
        <row r="303">
          <cell r="A303">
            <v>43034</v>
          </cell>
          <cell r="B303" t="str">
            <v>N/E</v>
          </cell>
          <cell r="C303">
            <v>19.077000000000002</v>
          </cell>
          <cell r="D303">
            <v>19.200900000000001</v>
          </cell>
        </row>
        <row r="304">
          <cell r="A304">
            <v>43035</v>
          </cell>
          <cell r="B304" t="str">
            <v>N/E</v>
          </cell>
          <cell r="C304">
            <v>19.096</v>
          </cell>
          <cell r="D304">
            <v>19.077000000000002</v>
          </cell>
        </row>
        <row r="305">
          <cell r="A305">
            <v>43036</v>
          </cell>
          <cell r="B305" t="str">
            <v>N/E</v>
          </cell>
          <cell r="C305" t="str">
            <v>N/E</v>
          </cell>
          <cell r="D305">
            <v>19.096</v>
          </cell>
        </row>
        <row r="306">
          <cell r="A306">
            <v>43037</v>
          </cell>
          <cell r="B306" t="str">
            <v>N/E</v>
          </cell>
          <cell r="C306" t="str">
            <v>N/E</v>
          </cell>
          <cell r="D306">
            <v>19.096</v>
          </cell>
        </row>
        <row r="307">
          <cell r="A307">
            <v>43038</v>
          </cell>
          <cell r="B307">
            <v>19.218800000000002</v>
          </cell>
          <cell r="C307">
            <v>19.147400000000001</v>
          </cell>
          <cell r="D307">
            <v>19.096</v>
          </cell>
        </row>
        <row r="308">
          <cell r="A308">
            <v>43039</v>
          </cell>
          <cell r="B308" t="str">
            <v>N/E</v>
          </cell>
          <cell r="C308">
            <v>19.218800000000002</v>
          </cell>
          <cell r="D308">
            <v>19.147400000000001</v>
          </cell>
        </row>
        <row r="309">
          <cell r="A309">
            <v>43040</v>
          </cell>
          <cell r="B309" t="str">
            <v>N/E</v>
          </cell>
          <cell r="C309">
            <v>19.1478</v>
          </cell>
          <cell r="D309">
            <v>19.218800000000002</v>
          </cell>
        </row>
        <row r="310">
          <cell r="A310">
            <v>43041</v>
          </cell>
          <cell r="B310" t="str">
            <v>N/E</v>
          </cell>
          <cell r="C310" t="str">
            <v>N/E</v>
          </cell>
          <cell r="D310">
            <v>19.1478</v>
          </cell>
        </row>
        <row r="311">
          <cell r="A311">
            <v>43042</v>
          </cell>
          <cell r="B311">
            <v>19.184999999999999</v>
          </cell>
          <cell r="C311">
            <v>19.124099999999999</v>
          </cell>
          <cell r="D311">
            <v>19.1478</v>
          </cell>
        </row>
        <row r="312">
          <cell r="A312">
            <v>43043</v>
          </cell>
          <cell r="B312" t="str">
            <v>N/E</v>
          </cell>
          <cell r="C312" t="str">
            <v>N/E</v>
          </cell>
          <cell r="D312">
            <v>19.124099999999999</v>
          </cell>
        </row>
        <row r="313">
          <cell r="A313">
            <v>43044</v>
          </cell>
          <cell r="B313" t="str">
            <v>N/E</v>
          </cell>
          <cell r="C313" t="str">
            <v>N/E</v>
          </cell>
          <cell r="D313">
            <v>19.124099999999999</v>
          </cell>
        </row>
        <row r="314">
          <cell r="A314">
            <v>43045</v>
          </cell>
          <cell r="B314" t="str">
            <v>N/E</v>
          </cell>
          <cell r="C314">
            <v>19.184999999999999</v>
          </cell>
          <cell r="D314">
            <v>19.124099999999999</v>
          </cell>
        </row>
        <row r="315">
          <cell r="A315">
            <v>43046</v>
          </cell>
          <cell r="B315" t="str">
            <v>N/E</v>
          </cell>
          <cell r="C315">
            <v>19.081399999999999</v>
          </cell>
          <cell r="D315">
            <v>19.184999999999999</v>
          </cell>
        </row>
        <row r="316">
          <cell r="A316">
            <v>43047</v>
          </cell>
          <cell r="B316">
            <v>19.0718</v>
          </cell>
          <cell r="C316">
            <v>19.134899999999998</v>
          </cell>
          <cell r="D316">
            <v>19.081399999999999</v>
          </cell>
        </row>
        <row r="317">
          <cell r="A317">
            <v>43048</v>
          </cell>
          <cell r="B317">
            <v>19.09</v>
          </cell>
          <cell r="C317">
            <v>19.0718</v>
          </cell>
          <cell r="D317">
            <v>19.134899999999998</v>
          </cell>
        </row>
        <row r="318">
          <cell r="A318">
            <v>43049</v>
          </cell>
          <cell r="B318">
            <v>19.052600000000002</v>
          </cell>
          <cell r="C318">
            <v>19.09</v>
          </cell>
          <cell r="D318">
            <v>19.0718</v>
          </cell>
        </row>
        <row r="319">
          <cell r="A319">
            <v>43050</v>
          </cell>
          <cell r="B319" t="str">
            <v>N/E</v>
          </cell>
          <cell r="C319" t="str">
            <v>N/E</v>
          </cell>
          <cell r="D319">
            <v>19.09</v>
          </cell>
        </row>
        <row r="320">
          <cell r="A320">
            <v>43051</v>
          </cell>
          <cell r="B320" t="str">
            <v>N/E</v>
          </cell>
          <cell r="C320" t="str">
            <v>N/E</v>
          </cell>
          <cell r="D320">
            <v>19.09</v>
          </cell>
        </row>
        <row r="321">
          <cell r="A321">
            <v>43052</v>
          </cell>
          <cell r="B321" t="str">
            <v>N/E</v>
          </cell>
          <cell r="C321">
            <v>19.052600000000002</v>
          </cell>
          <cell r="D321">
            <v>19.09</v>
          </cell>
        </row>
        <row r="322">
          <cell r="A322">
            <v>43053</v>
          </cell>
          <cell r="B322" t="str">
            <v>N/E</v>
          </cell>
          <cell r="C322">
            <v>19.167999999999999</v>
          </cell>
          <cell r="D322">
            <v>19.052600000000002</v>
          </cell>
        </row>
        <row r="323">
          <cell r="A323">
            <v>43054</v>
          </cell>
          <cell r="B323" t="str">
            <v>N/E</v>
          </cell>
          <cell r="C323">
            <v>19.133400000000002</v>
          </cell>
          <cell r="D323">
            <v>19.167999999999999</v>
          </cell>
        </row>
        <row r="324">
          <cell r="A324">
            <v>43055</v>
          </cell>
          <cell r="B324" t="str">
            <v>N/E</v>
          </cell>
          <cell r="C324">
            <v>19.226800000000001</v>
          </cell>
          <cell r="D324">
            <v>19.133400000000002</v>
          </cell>
        </row>
        <row r="325">
          <cell r="A325">
            <v>43056</v>
          </cell>
          <cell r="B325">
            <v>18.9724</v>
          </cell>
          <cell r="C325">
            <v>19.122399999999999</v>
          </cell>
          <cell r="D325">
            <v>19.226800000000001</v>
          </cell>
        </row>
        <row r="326">
          <cell r="A326">
            <v>43057</v>
          </cell>
          <cell r="B326" t="str">
            <v>N/E</v>
          </cell>
          <cell r="C326" t="str">
            <v>N/E</v>
          </cell>
          <cell r="D326">
            <v>19.122399999999999</v>
          </cell>
        </row>
        <row r="327">
          <cell r="A327">
            <v>43058</v>
          </cell>
          <cell r="B327" t="str">
            <v>N/E</v>
          </cell>
          <cell r="C327" t="str">
            <v>N/E</v>
          </cell>
          <cell r="D327">
            <v>19.122399999999999</v>
          </cell>
        </row>
        <row r="328">
          <cell r="A328">
            <v>43059</v>
          </cell>
          <cell r="B328" t="str">
            <v>N/E</v>
          </cell>
          <cell r="C328" t="str">
            <v>N/E</v>
          </cell>
          <cell r="D328">
            <v>19.122399999999999</v>
          </cell>
        </row>
        <row r="329">
          <cell r="A329">
            <v>43060</v>
          </cell>
          <cell r="B329" t="str">
            <v>N/E</v>
          </cell>
          <cell r="C329">
            <v>18.9724</v>
          </cell>
          <cell r="D329">
            <v>19.122399999999999</v>
          </cell>
        </row>
        <row r="330">
          <cell r="A330">
            <v>43061</v>
          </cell>
          <cell r="B330" t="str">
            <v>N/E</v>
          </cell>
          <cell r="C330">
            <v>18.824200000000001</v>
          </cell>
          <cell r="D330">
            <v>18.9724</v>
          </cell>
        </row>
        <row r="331">
          <cell r="A331">
            <v>43062</v>
          </cell>
          <cell r="B331">
            <v>18.604099999999999</v>
          </cell>
          <cell r="C331">
            <v>18.739999999999998</v>
          </cell>
          <cell r="D331">
            <v>18.824200000000001</v>
          </cell>
        </row>
        <row r="332">
          <cell r="A332">
            <v>43063</v>
          </cell>
          <cell r="B332" t="str">
            <v>N/E</v>
          </cell>
          <cell r="C332">
            <v>18.604099999999999</v>
          </cell>
          <cell r="D332">
            <v>18.739999999999998</v>
          </cell>
        </row>
        <row r="333">
          <cell r="A333">
            <v>43064</v>
          </cell>
          <cell r="B333">
            <v>18.5379</v>
          </cell>
          <cell r="C333">
            <v>18.604099999999999</v>
          </cell>
          <cell r="D333">
            <v>18.739999999999998</v>
          </cell>
        </row>
        <row r="334">
          <cell r="A334">
            <v>43065</v>
          </cell>
          <cell r="B334" t="str">
            <v>N/E</v>
          </cell>
          <cell r="C334" t="str">
            <v>N/E</v>
          </cell>
          <cell r="D334">
            <v>18.604099999999999</v>
          </cell>
        </row>
        <row r="335">
          <cell r="A335">
            <v>43066</v>
          </cell>
          <cell r="B335" t="str">
            <v>N/E</v>
          </cell>
          <cell r="C335" t="str">
            <v>N/E</v>
          </cell>
          <cell r="D335">
            <v>18.604099999999999</v>
          </cell>
        </row>
        <row r="336">
          <cell r="A336">
            <v>43067</v>
          </cell>
          <cell r="B336">
            <v>18.584800000000001</v>
          </cell>
          <cell r="C336">
            <v>18.52</v>
          </cell>
          <cell r="D336">
            <v>18.5379</v>
          </cell>
        </row>
        <row r="337">
          <cell r="A337">
            <v>43068</v>
          </cell>
          <cell r="B337">
            <v>18.518999999999998</v>
          </cell>
          <cell r="C337">
            <v>18.584800000000001</v>
          </cell>
          <cell r="D337">
            <v>18.52</v>
          </cell>
        </row>
        <row r="338">
          <cell r="A338">
            <v>43069</v>
          </cell>
          <cell r="B338">
            <v>18.622900000000001</v>
          </cell>
          <cell r="C338">
            <v>18.518999999999998</v>
          </cell>
          <cell r="D338">
            <v>18.584800000000001</v>
          </cell>
        </row>
        <row r="339">
          <cell r="A339">
            <v>43070</v>
          </cell>
          <cell r="B339">
            <v>18.639900000000001</v>
          </cell>
          <cell r="C339">
            <v>18.622900000000001</v>
          </cell>
          <cell r="D339">
            <v>18.518999999999998</v>
          </cell>
        </row>
        <row r="340">
          <cell r="A340">
            <v>43071</v>
          </cell>
          <cell r="B340" t="str">
            <v>N/E</v>
          </cell>
          <cell r="C340" t="str">
            <v>N/E</v>
          </cell>
          <cell r="D340">
            <v>18.622900000000001</v>
          </cell>
        </row>
        <row r="341">
          <cell r="A341">
            <v>43072</v>
          </cell>
          <cell r="B341" t="str">
            <v>N/E</v>
          </cell>
          <cell r="C341" t="str">
            <v>N/E</v>
          </cell>
          <cell r="D341">
            <v>18.622900000000001</v>
          </cell>
        </row>
        <row r="342">
          <cell r="A342">
            <v>43073</v>
          </cell>
          <cell r="B342" t="str">
            <v>N/E</v>
          </cell>
          <cell r="C342">
            <v>18.639900000000001</v>
          </cell>
          <cell r="D342">
            <v>18.622900000000001</v>
          </cell>
        </row>
        <row r="343">
          <cell r="A343">
            <v>43074</v>
          </cell>
          <cell r="B343" t="str">
            <v>N/E</v>
          </cell>
          <cell r="C343">
            <v>18.641999999999999</v>
          </cell>
          <cell r="D343">
            <v>18.639900000000001</v>
          </cell>
        </row>
        <row r="344">
          <cell r="A344">
            <v>43075</v>
          </cell>
          <cell r="B344">
            <v>18.889700000000001</v>
          </cell>
          <cell r="C344">
            <v>18.695799999999998</v>
          </cell>
          <cell r="D344">
            <v>18.641999999999999</v>
          </cell>
        </row>
        <row r="345">
          <cell r="A345">
            <v>43076</v>
          </cell>
          <cell r="B345">
            <v>18.9315</v>
          </cell>
          <cell r="C345">
            <v>18.889700000000001</v>
          </cell>
          <cell r="D345">
            <v>18.695799999999998</v>
          </cell>
        </row>
        <row r="346">
          <cell r="A346">
            <v>43077</v>
          </cell>
          <cell r="B346">
            <v>18.944500000000001</v>
          </cell>
          <cell r="C346">
            <v>18.9315</v>
          </cell>
          <cell r="D346">
            <v>18.889700000000001</v>
          </cell>
        </row>
        <row r="347">
          <cell r="A347">
            <v>43078</v>
          </cell>
          <cell r="B347" t="str">
            <v>N/E</v>
          </cell>
          <cell r="C347" t="str">
            <v>N/E</v>
          </cell>
          <cell r="D347">
            <v>18.9315</v>
          </cell>
        </row>
        <row r="348">
          <cell r="A348">
            <v>43079</v>
          </cell>
          <cell r="B348" t="str">
            <v>N/E</v>
          </cell>
          <cell r="C348" t="str">
            <v>N/E</v>
          </cell>
          <cell r="D348">
            <v>18.9315</v>
          </cell>
        </row>
        <row r="349">
          <cell r="A349">
            <v>43080</v>
          </cell>
          <cell r="B349" t="str">
            <v>N/E</v>
          </cell>
          <cell r="C349">
            <v>18.944500000000001</v>
          </cell>
          <cell r="D349">
            <v>18.9315</v>
          </cell>
        </row>
        <row r="350">
          <cell r="A350">
            <v>43081</v>
          </cell>
          <cell r="B350" t="str">
            <v>N/E</v>
          </cell>
          <cell r="C350" t="str">
            <v>N/E</v>
          </cell>
          <cell r="D350">
            <v>18.944500000000001</v>
          </cell>
        </row>
        <row r="351">
          <cell r="A351">
            <v>43082</v>
          </cell>
          <cell r="B351" t="str">
            <v>N/E</v>
          </cell>
          <cell r="C351">
            <v>18.974</v>
          </cell>
          <cell r="D351">
            <v>18.944500000000001</v>
          </cell>
        </row>
        <row r="352">
          <cell r="A352">
            <v>43083</v>
          </cell>
          <cell r="B352" t="str">
            <v>N/E</v>
          </cell>
          <cell r="C352">
            <v>19.139099999999999</v>
          </cell>
          <cell r="D352">
            <v>18.974</v>
          </cell>
        </row>
        <row r="353">
          <cell r="A353">
            <v>43084</v>
          </cell>
          <cell r="B353" t="str">
            <v>|</v>
          </cell>
          <cell r="C353">
            <v>19.120200000000001</v>
          </cell>
          <cell r="D353">
            <v>19.139099999999999</v>
          </cell>
        </row>
        <row r="354">
          <cell r="A354">
            <v>43085</v>
          </cell>
          <cell r="B354" t="str">
            <v>N/E</v>
          </cell>
          <cell r="C354" t="str">
            <v>N/E</v>
          </cell>
          <cell r="D354">
            <v>19.120200000000001</v>
          </cell>
        </row>
        <row r="355">
          <cell r="A355">
            <v>43086</v>
          </cell>
          <cell r="B355" t="str">
            <v>N/E</v>
          </cell>
          <cell r="C355" t="str">
            <v>N/E</v>
          </cell>
          <cell r="D355">
            <v>19.120200000000001</v>
          </cell>
        </row>
        <row r="356">
          <cell r="A356">
            <v>43087</v>
          </cell>
          <cell r="B356">
            <v>19.0289</v>
          </cell>
          <cell r="C356">
            <v>19.128900000000002</v>
          </cell>
          <cell r="D356">
            <v>19.120200000000001</v>
          </cell>
        </row>
        <row r="357">
          <cell r="A357">
            <v>43088</v>
          </cell>
          <cell r="B357" t="str">
            <v>N/E</v>
          </cell>
          <cell r="C357">
            <v>19.0289</v>
          </cell>
          <cell r="D357">
            <v>19.128900000000002</v>
          </cell>
        </row>
        <row r="358">
          <cell r="A358">
            <v>43089</v>
          </cell>
          <cell r="B358" t="str">
            <v>N/E</v>
          </cell>
          <cell r="C358">
            <v>19.191299999999998</v>
          </cell>
          <cell r="D358">
            <v>19.0289</v>
          </cell>
        </row>
        <row r="359">
          <cell r="A359">
            <v>43090</v>
          </cell>
          <cell r="B359">
            <v>19.3962</v>
          </cell>
          <cell r="C359">
            <v>19.229099999999999</v>
          </cell>
          <cell r="D359">
            <v>19.191299999999998</v>
          </cell>
        </row>
        <row r="360">
          <cell r="A360">
            <v>43091</v>
          </cell>
          <cell r="B360">
            <v>19.584800000000001</v>
          </cell>
          <cell r="C360">
            <v>19.3962</v>
          </cell>
          <cell r="D360">
            <v>19.229099999999999</v>
          </cell>
        </row>
        <row r="361">
          <cell r="A361">
            <v>43092</v>
          </cell>
          <cell r="B361" t="str">
            <v>N/E</v>
          </cell>
          <cell r="C361" t="str">
            <v>N/E</v>
          </cell>
          <cell r="D361">
            <v>19.3962</v>
          </cell>
        </row>
        <row r="362">
          <cell r="A362">
            <v>43093</v>
          </cell>
          <cell r="B362" t="str">
            <v>N/E</v>
          </cell>
          <cell r="C362" t="str">
            <v>N/E</v>
          </cell>
          <cell r="D362">
            <v>19.3962</v>
          </cell>
        </row>
        <row r="363">
          <cell r="A363">
            <v>43094</v>
          </cell>
          <cell r="B363" t="str">
            <v>N/E</v>
          </cell>
          <cell r="C363" t="str">
            <v>N/E</v>
          </cell>
          <cell r="D363">
            <v>19.3962</v>
          </cell>
        </row>
        <row r="364">
          <cell r="A364">
            <v>43095</v>
          </cell>
          <cell r="B364">
            <v>19.722300000000001</v>
          </cell>
          <cell r="C364">
            <v>19.584800000000001</v>
          </cell>
          <cell r="D364">
            <v>19.3962</v>
          </cell>
        </row>
        <row r="365">
          <cell r="A365">
            <v>43096</v>
          </cell>
          <cell r="B365">
            <v>19.7867</v>
          </cell>
          <cell r="C365">
            <v>19.722300000000001</v>
          </cell>
          <cell r="D365">
            <v>19.584800000000001</v>
          </cell>
        </row>
        <row r="366">
          <cell r="A366">
            <v>43097</v>
          </cell>
          <cell r="B366">
            <v>19.735399999999998</v>
          </cell>
          <cell r="C366">
            <v>19.7867</v>
          </cell>
          <cell r="D366">
            <v>19.722300000000001</v>
          </cell>
        </row>
        <row r="367">
          <cell r="A367">
            <v>43098</v>
          </cell>
          <cell r="B367">
            <v>19.6629</v>
          </cell>
          <cell r="C367">
            <v>19.735399999999998</v>
          </cell>
          <cell r="D367">
            <v>19.7867</v>
          </cell>
        </row>
        <row r="368">
          <cell r="A368">
            <v>43099</v>
          </cell>
          <cell r="B368" t="str">
            <v>N/E</v>
          </cell>
          <cell r="C368" t="str">
            <v>N/E</v>
          </cell>
          <cell r="D368">
            <v>19.735399999999998</v>
          </cell>
        </row>
        <row r="369">
          <cell r="A369">
            <v>43100</v>
          </cell>
          <cell r="B369" t="str">
            <v>N/E</v>
          </cell>
          <cell r="C369" t="str">
            <v>N/E</v>
          </cell>
          <cell r="D369">
            <v>19.735399999999998</v>
          </cell>
        </row>
        <row r="370">
          <cell r="A370">
            <v>43101</v>
          </cell>
          <cell r="B370" t="str">
            <v>N/E</v>
          </cell>
          <cell r="C370" t="str">
            <v>N/E</v>
          </cell>
          <cell r="D370">
            <v>19.735399999999998</v>
          </cell>
        </row>
        <row r="371">
          <cell r="A371">
            <v>43102</v>
          </cell>
          <cell r="B371">
            <v>19.489899999999999</v>
          </cell>
          <cell r="C371">
            <v>19.6629</v>
          </cell>
          <cell r="D371">
            <v>19.735399999999998</v>
          </cell>
        </row>
        <row r="372">
          <cell r="A372">
            <v>43103</v>
          </cell>
          <cell r="B372">
            <v>19.371700000000001</v>
          </cell>
          <cell r="C372">
            <v>19.489899999999999</v>
          </cell>
          <cell r="D372">
            <v>19.6629</v>
          </cell>
        </row>
        <row r="373">
          <cell r="A373">
            <v>43104</v>
          </cell>
          <cell r="B373">
            <v>19.242699999999999</v>
          </cell>
          <cell r="C373">
            <v>19.371700000000001</v>
          </cell>
          <cell r="D373">
            <v>19.489899999999999</v>
          </cell>
        </row>
        <row r="374">
          <cell r="A374">
            <v>43105</v>
          </cell>
          <cell r="B374">
            <v>19.273700000000002</v>
          </cell>
          <cell r="C374">
            <v>19.242699999999999</v>
          </cell>
          <cell r="D374">
            <v>19.371700000000001</v>
          </cell>
        </row>
        <row r="375">
          <cell r="A375">
            <v>43106</v>
          </cell>
          <cell r="B375" t="str">
            <v>N/E</v>
          </cell>
          <cell r="C375" t="str">
            <v>N/E</v>
          </cell>
          <cell r="D375">
            <v>19.242699999999999</v>
          </cell>
        </row>
        <row r="376">
          <cell r="A376">
            <v>43107</v>
          </cell>
          <cell r="B376" t="str">
            <v>N/E</v>
          </cell>
          <cell r="C376" t="str">
            <v>N/E</v>
          </cell>
          <cell r="D376">
            <v>19.242699999999999</v>
          </cell>
        </row>
        <row r="377">
          <cell r="A377">
            <v>43108</v>
          </cell>
          <cell r="B377">
            <v>19.232299999999999</v>
          </cell>
          <cell r="C377">
            <v>19.273700000000002</v>
          </cell>
          <cell r="D377">
            <v>19.242699999999999</v>
          </cell>
        </row>
        <row r="378">
          <cell r="A378">
            <v>43109</v>
          </cell>
          <cell r="B378">
            <v>19.3065</v>
          </cell>
          <cell r="C378">
            <v>19.232299999999999</v>
          </cell>
          <cell r="D378">
            <v>19.273700000000002</v>
          </cell>
        </row>
        <row r="379">
          <cell r="A379">
            <v>43110</v>
          </cell>
          <cell r="B379">
            <v>19.240500000000001</v>
          </cell>
          <cell r="C379">
            <v>19.3065</v>
          </cell>
          <cell r="D379">
            <v>19.232299999999999</v>
          </cell>
        </row>
        <row r="380">
          <cell r="A380">
            <v>43111</v>
          </cell>
          <cell r="B380" t="str">
            <v>N/E</v>
          </cell>
          <cell r="C380">
            <v>19.240500000000001</v>
          </cell>
          <cell r="D380">
            <v>19.3065</v>
          </cell>
        </row>
        <row r="381">
          <cell r="A381">
            <v>43112</v>
          </cell>
          <cell r="B381">
            <v>19.044599999999999</v>
          </cell>
          <cell r="C381">
            <v>19.343299999999999</v>
          </cell>
          <cell r="D381">
            <v>19.240500000000001</v>
          </cell>
        </row>
        <row r="382">
          <cell r="A382">
            <v>43113</v>
          </cell>
          <cell r="B382" t="str">
            <v>N/E</v>
          </cell>
          <cell r="C382" t="str">
            <v>N/E</v>
          </cell>
          <cell r="D382">
            <v>19.343299999999999</v>
          </cell>
        </row>
        <row r="383">
          <cell r="A383">
            <v>43114</v>
          </cell>
          <cell r="B383" t="str">
            <v>N/E</v>
          </cell>
          <cell r="C383" t="str">
            <v>N/E</v>
          </cell>
          <cell r="D383">
            <v>19.343299999999999</v>
          </cell>
        </row>
        <row r="384">
          <cell r="A384">
            <v>43115</v>
          </cell>
          <cell r="B384">
            <v>18.811299999999999</v>
          </cell>
          <cell r="C384">
            <v>19.044599999999999</v>
          </cell>
          <cell r="D384">
            <v>19.343299999999999</v>
          </cell>
        </row>
        <row r="385">
          <cell r="A385">
            <v>43116</v>
          </cell>
          <cell r="B385" t="str">
            <v>N/E</v>
          </cell>
          <cell r="C385">
            <v>18.811299999999999</v>
          </cell>
          <cell r="D385">
            <v>19.044599999999999</v>
          </cell>
        </row>
        <row r="386">
          <cell r="A386">
            <v>43117</v>
          </cell>
          <cell r="B386" t="str">
            <v>N/E</v>
          </cell>
          <cell r="C386">
            <v>18.836200000000002</v>
          </cell>
          <cell r="D386">
            <v>18.811299999999999</v>
          </cell>
        </row>
        <row r="387">
          <cell r="A387">
            <v>43118</v>
          </cell>
          <cell r="B387">
            <v>18.636099999999999</v>
          </cell>
          <cell r="C387">
            <v>18.655000000000001</v>
          </cell>
          <cell r="D387">
            <v>18.836200000000002</v>
          </cell>
        </row>
        <row r="388">
          <cell r="A388">
            <v>43119</v>
          </cell>
          <cell r="B388" t="str">
            <v>N/E</v>
          </cell>
          <cell r="C388">
            <v>18.636099999999999</v>
          </cell>
          <cell r="D388">
            <v>18.655000000000001</v>
          </cell>
        </row>
        <row r="389">
          <cell r="A389">
            <v>43120</v>
          </cell>
          <cell r="B389" t="str">
            <v>N/E</v>
          </cell>
          <cell r="C389" t="str">
            <v>N/E</v>
          </cell>
          <cell r="D389">
            <v>18.636099999999999</v>
          </cell>
        </row>
        <row r="390">
          <cell r="A390">
            <v>43121</v>
          </cell>
          <cell r="B390" t="str">
            <v>N/E</v>
          </cell>
          <cell r="C390" t="str">
            <v>N/E</v>
          </cell>
          <cell r="D390">
            <v>18.636099999999999</v>
          </cell>
        </row>
        <row r="391">
          <cell r="A391">
            <v>43122</v>
          </cell>
          <cell r="B391">
            <v>18.7118</v>
          </cell>
          <cell r="C391">
            <v>18.581299999999999</v>
          </cell>
          <cell r="D391">
            <v>18.636099999999999</v>
          </cell>
        </row>
        <row r="392">
          <cell r="A392">
            <v>43123</v>
          </cell>
          <cell r="B392">
            <v>18.797999999999998</v>
          </cell>
          <cell r="C392">
            <v>18.7118</v>
          </cell>
          <cell r="D392">
            <v>18.581299999999999</v>
          </cell>
        </row>
        <row r="393">
          <cell r="A393">
            <v>43124</v>
          </cell>
          <cell r="B393">
            <v>18.517800000000001</v>
          </cell>
          <cell r="C393">
            <v>18.797999999999998</v>
          </cell>
          <cell r="D393">
            <v>18.7118</v>
          </cell>
        </row>
        <row r="394">
          <cell r="A394">
            <v>43125</v>
          </cell>
          <cell r="B394">
            <v>18.478000000000002</v>
          </cell>
          <cell r="C394">
            <v>18.517800000000001</v>
          </cell>
          <cell r="D394">
            <v>18.797999999999998</v>
          </cell>
        </row>
        <row r="395">
          <cell r="A395">
            <v>43126</v>
          </cell>
          <cell r="B395" t="str">
            <v>N/E</v>
          </cell>
          <cell r="C395">
            <v>18.478000000000002</v>
          </cell>
          <cell r="D395">
            <v>18.517800000000001</v>
          </cell>
        </row>
        <row r="396">
          <cell r="A396">
            <v>43127</v>
          </cell>
          <cell r="B396" t="str">
            <v>N/E</v>
          </cell>
          <cell r="C396" t="str">
            <v>N/E</v>
          </cell>
          <cell r="D396">
            <v>18.478000000000002</v>
          </cell>
        </row>
        <row r="397">
          <cell r="A397">
            <v>43128</v>
          </cell>
          <cell r="B397" t="str">
            <v>N/E</v>
          </cell>
          <cell r="C397" t="str">
            <v>N/E</v>
          </cell>
          <cell r="D397">
            <v>18.478000000000002</v>
          </cell>
        </row>
        <row r="398">
          <cell r="A398">
            <v>43129</v>
          </cell>
          <cell r="B398">
            <v>18.619599999999998</v>
          </cell>
          <cell r="C398">
            <v>18.467199999999998</v>
          </cell>
          <cell r="D398">
            <v>18.478000000000002</v>
          </cell>
        </row>
        <row r="399">
          <cell r="A399">
            <v>43130</v>
          </cell>
          <cell r="B399" t="str">
            <v>N/E</v>
          </cell>
          <cell r="C399">
            <v>18.619599999999998</v>
          </cell>
          <cell r="D399">
            <v>18.467199999999998</v>
          </cell>
        </row>
        <row r="400">
          <cell r="A400">
            <v>43131</v>
          </cell>
          <cell r="B400">
            <v>18.6069</v>
          </cell>
          <cell r="C400">
            <v>18.6982</v>
          </cell>
          <cell r="D400">
            <v>18.619599999999998</v>
          </cell>
        </row>
        <row r="401">
          <cell r="A401">
            <v>43132</v>
          </cell>
          <cell r="B401" t="str">
            <v>N/E</v>
          </cell>
          <cell r="C401">
            <v>18.6069</v>
          </cell>
          <cell r="D401">
            <v>18.6982</v>
          </cell>
        </row>
        <row r="402">
          <cell r="A402">
            <v>43133</v>
          </cell>
          <cell r="B402">
            <v>18.524799999999999</v>
          </cell>
          <cell r="C402">
            <v>18.400400000000001</v>
          </cell>
          <cell r="D402">
            <v>18.6069</v>
          </cell>
        </row>
        <row r="403">
          <cell r="A403">
            <v>43134</v>
          </cell>
          <cell r="B403" t="str">
            <v>N/E</v>
          </cell>
          <cell r="C403" t="str">
            <v>N/E</v>
          </cell>
          <cell r="D403">
            <v>18.400400000000001</v>
          </cell>
        </row>
        <row r="404">
          <cell r="A404">
            <v>43135</v>
          </cell>
          <cell r="B404" t="str">
            <v>N/E</v>
          </cell>
          <cell r="C404" t="str">
            <v>N/E</v>
          </cell>
          <cell r="D404">
            <v>18.400400000000001</v>
          </cell>
        </row>
        <row r="405">
          <cell r="A405">
            <v>43136</v>
          </cell>
          <cell r="B405" t="str">
            <v>N/E</v>
          </cell>
          <cell r="C405" t="str">
            <v>N/E</v>
          </cell>
          <cell r="D405">
            <v>18.400400000000001</v>
          </cell>
        </row>
        <row r="406">
          <cell r="A406">
            <v>43137</v>
          </cell>
          <cell r="B406" t="str">
            <v>N/E</v>
          </cell>
          <cell r="C406">
            <v>18.524799999999999</v>
          </cell>
          <cell r="D406">
            <v>18.400400000000001</v>
          </cell>
        </row>
        <row r="407">
          <cell r="A407">
            <v>43138</v>
          </cell>
          <cell r="B407">
            <v>18.6492</v>
          </cell>
          <cell r="C407">
            <v>18.700900000000001</v>
          </cell>
          <cell r="D407">
            <v>18.524799999999999</v>
          </cell>
        </row>
        <row r="408">
          <cell r="A408">
            <v>43139</v>
          </cell>
          <cell r="B408">
            <v>18.881499999999999</v>
          </cell>
          <cell r="C408">
            <v>18.6492</v>
          </cell>
          <cell r="D408">
            <v>18.700900000000001</v>
          </cell>
        </row>
        <row r="409">
          <cell r="A409">
            <v>43140</v>
          </cell>
          <cell r="B409">
            <v>18.862300000000001</v>
          </cell>
          <cell r="C409">
            <v>18.881499999999999</v>
          </cell>
          <cell r="D409">
            <v>18.6492</v>
          </cell>
        </row>
        <row r="410">
          <cell r="A410">
            <v>43141</v>
          </cell>
          <cell r="B410" t="str">
            <v>N/E</v>
          </cell>
          <cell r="C410" t="str">
            <v>N/E</v>
          </cell>
          <cell r="D410">
            <v>18.881499999999999</v>
          </cell>
        </row>
        <row r="411">
          <cell r="A411">
            <v>43142</v>
          </cell>
          <cell r="B411" t="str">
            <v>N/E</v>
          </cell>
          <cell r="C411" t="str">
            <v>N/E</v>
          </cell>
          <cell r="D411">
            <v>18.881499999999999</v>
          </cell>
        </row>
        <row r="412">
          <cell r="A412">
            <v>43143</v>
          </cell>
          <cell r="B412" t="str">
            <v>N/E</v>
          </cell>
          <cell r="C412">
            <v>18.862300000000001</v>
          </cell>
          <cell r="D412">
            <v>18.881499999999999</v>
          </cell>
        </row>
        <row r="413">
          <cell r="A413">
            <v>43144</v>
          </cell>
          <cell r="B413">
            <v>18.626899999999999</v>
          </cell>
          <cell r="C413">
            <v>18.670300000000001</v>
          </cell>
          <cell r="D413">
            <v>18.862300000000001</v>
          </cell>
        </row>
        <row r="414">
          <cell r="A414">
            <v>43145</v>
          </cell>
          <cell r="B414">
            <v>18.602499999999999</v>
          </cell>
          <cell r="C414">
            <v>18.626899999999999</v>
          </cell>
          <cell r="D414">
            <v>18.670300000000001</v>
          </cell>
        </row>
        <row r="415">
          <cell r="A415">
            <v>43146</v>
          </cell>
          <cell r="B415">
            <v>18.515899999999998</v>
          </cell>
          <cell r="C415">
            <v>18.602499999999999</v>
          </cell>
          <cell r="D415">
            <v>18.626899999999999</v>
          </cell>
        </row>
        <row r="416">
          <cell r="A416">
            <v>43147</v>
          </cell>
          <cell r="B416">
            <v>18.479700000000001</v>
          </cell>
          <cell r="C416">
            <v>18.515899999999998</v>
          </cell>
          <cell r="D416">
            <v>18.602499999999999</v>
          </cell>
        </row>
        <row r="417">
          <cell r="A417">
            <v>43148</v>
          </cell>
          <cell r="B417" t="str">
            <v>N/E</v>
          </cell>
          <cell r="C417" t="str">
            <v>N/E</v>
          </cell>
          <cell r="D417">
            <v>18.515899999999998</v>
          </cell>
        </row>
        <row r="418">
          <cell r="A418">
            <v>43149</v>
          </cell>
          <cell r="B418" t="str">
            <v>N/E</v>
          </cell>
          <cell r="C418" t="str">
            <v>N/E</v>
          </cell>
          <cell r="D418">
            <v>18.515899999999998</v>
          </cell>
        </row>
        <row r="419">
          <cell r="A419">
            <v>43150</v>
          </cell>
          <cell r="B419" t="str">
            <v>N/E</v>
          </cell>
          <cell r="C419">
            <v>18.479700000000001</v>
          </cell>
          <cell r="D419">
            <v>18.515899999999998</v>
          </cell>
        </row>
        <row r="420">
          <cell r="A420">
            <v>43151</v>
          </cell>
          <cell r="B420" t="str">
            <v>N/E</v>
          </cell>
          <cell r="C420">
            <v>18.536000000000001</v>
          </cell>
          <cell r="D420">
            <v>18.479700000000001</v>
          </cell>
        </row>
        <row r="421">
          <cell r="A421">
            <v>43152</v>
          </cell>
          <cell r="B421">
            <v>18.651800000000001</v>
          </cell>
          <cell r="C421">
            <v>18.659400000000002</v>
          </cell>
          <cell r="D421">
            <v>18.536000000000001</v>
          </cell>
        </row>
        <row r="422">
          <cell r="A422">
            <v>43153</v>
          </cell>
          <cell r="B422" t="str">
            <v>N/E</v>
          </cell>
          <cell r="C422">
            <v>18.651800000000001</v>
          </cell>
          <cell r="D422">
            <v>18.659400000000002</v>
          </cell>
        </row>
        <row r="423">
          <cell r="A423">
            <v>43154</v>
          </cell>
          <cell r="B423">
            <v>18.565899999999999</v>
          </cell>
          <cell r="C423">
            <v>18.657399999999999</v>
          </cell>
          <cell r="D423">
            <v>18.651800000000001</v>
          </cell>
        </row>
        <row r="424">
          <cell r="A424">
            <v>43155</v>
          </cell>
          <cell r="B424" t="str">
            <v>N/E</v>
          </cell>
          <cell r="C424" t="str">
            <v>N/E</v>
          </cell>
          <cell r="D424">
            <v>18.657399999999999</v>
          </cell>
        </row>
        <row r="425">
          <cell r="A425">
            <v>43156</v>
          </cell>
          <cell r="B425" t="str">
            <v>N/E</v>
          </cell>
          <cell r="C425" t="str">
            <v>N/E</v>
          </cell>
          <cell r="D425">
            <v>18.657399999999999</v>
          </cell>
        </row>
        <row r="426">
          <cell r="A426">
            <v>43157</v>
          </cell>
          <cell r="B426" t="str">
            <v>N/E</v>
          </cell>
          <cell r="C426">
            <v>18.565899999999999</v>
          </cell>
          <cell r="D426">
            <v>18.657399999999999</v>
          </cell>
        </row>
        <row r="427">
          <cell r="A427">
            <v>43158</v>
          </cell>
          <cell r="B427">
            <v>18.790199999999999</v>
          </cell>
          <cell r="C427">
            <v>18.645600000000002</v>
          </cell>
          <cell r="D427">
            <v>18.565899999999999</v>
          </cell>
        </row>
        <row r="428">
          <cell r="A428">
            <v>43159</v>
          </cell>
          <cell r="B428">
            <v>18.833100000000002</v>
          </cell>
          <cell r="C428">
            <v>18.790199999999999</v>
          </cell>
          <cell r="D428">
            <v>18.645600000000002</v>
          </cell>
        </row>
        <row r="429">
          <cell r="A429">
            <v>43160</v>
          </cell>
          <cell r="B429" t="str">
            <v>N/E</v>
          </cell>
          <cell r="C429">
            <v>18.833100000000002</v>
          </cell>
          <cell r="D429">
            <v>18.790199999999999</v>
          </cell>
        </row>
        <row r="430">
          <cell r="A430">
            <v>43161</v>
          </cell>
          <cell r="B430" t="str">
            <v>N/E</v>
          </cell>
          <cell r="C430">
            <v>18.861000000000001</v>
          </cell>
          <cell r="D430">
            <v>18.833100000000002</v>
          </cell>
        </row>
        <row r="431">
          <cell r="A431">
            <v>43162</v>
          </cell>
          <cell r="B431" t="str">
            <v>N/E</v>
          </cell>
          <cell r="C431" t="str">
            <v>N/E</v>
          </cell>
          <cell r="D431">
            <v>18.861000000000001</v>
          </cell>
        </row>
        <row r="432">
          <cell r="A432">
            <v>43163</v>
          </cell>
          <cell r="B432" t="str">
            <v>N/E</v>
          </cell>
          <cell r="C432" t="str">
            <v>N/E</v>
          </cell>
          <cell r="D432">
            <v>18.861000000000001</v>
          </cell>
        </row>
        <row r="433">
          <cell r="A433">
            <v>43164</v>
          </cell>
          <cell r="B433">
            <v>18.883800000000001</v>
          </cell>
          <cell r="C433">
            <v>18.890899999999998</v>
          </cell>
          <cell r="D433">
            <v>18.861000000000001</v>
          </cell>
        </row>
        <row r="434">
          <cell r="A434">
            <v>43165</v>
          </cell>
          <cell r="B434">
            <v>18.724599999999999</v>
          </cell>
          <cell r="C434">
            <v>18.883800000000001</v>
          </cell>
          <cell r="D434">
            <v>18.890899999999998</v>
          </cell>
        </row>
        <row r="435">
          <cell r="A435">
            <v>43166</v>
          </cell>
          <cell r="B435">
            <v>18.792200000000001</v>
          </cell>
          <cell r="C435">
            <v>18.724599999999999</v>
          </cell>
          <cell r="D435">
            <v>18.883800000000001</v>
          </cell>
        </row>
        <row r="436">
          <cell r="A436">
            <v>43167</v>
          </cell>
          <cell r="B436">
            <v>18.7148</v>
          </cell>
          <cell r="C436">
            <v>18.792200000000001</v>
          </cell>
          <cell r="D436">
            <v>18.724599999999999</v>
          </cell>
        </row>
        <row r="437">
          <cell r="A437">
            <v>43168</v>
          </cell>
          <cell r="B437" t="str">
            <v>N/E</v>
          </cell>
          <cell r="C437">
            <v>18.7148</v>
          </cell>
          <cell r="D437">
            <v>18.792200000000001</v>
          </cell>
        </row>
        <row r="438">
          <cell r="A438">
            <v>43169</v>
          </cell>
          <cell r="B438" t="str">
            <v>N/E</v>
          </cell>
          <cell r="C438" t="str">
            <v>N/E</v>
          </cell>
          <cell r="D438">
            <v>18.7148</v>
          </cell>
        </row>
        <row r="439">
          <cell r="A439">
            <v>43170</v>
          </cell>
          <cell r="B439" t="str">
            <v>N/E</v>
          </cell>
          <cell r="C439" t="str">
            <v>N/E</v>
          </cell>
          <cell r="D439">
            <v>18.7148</v>
          </cell>
        </row>
        <row r="440">
          <cell r="A440">
            <v>43171</v>
          </cell>
          <cell r="B440" t="str">
            <v>N/E</v>
          </cell>
          <cell r="C440">
            <v>18.581199999999999</v>
          </cell>
          <cell r="D440">
            <v>18.7148</v>
          </cell>
        </row>
        <row r="441">
          <cell r="A441">
            <v>43172</v>
          </cell>
          <cell r="B441">
            <v>18.560400000000001</v>
          </cell>
          <cell r="C441">
            <v>18.619900000000001</v>
          </cell>
          <cell r="D441">
            <v>18.581199999999999</v>
          </cell>
        </row>
        <row r="442">
          <cell r="A442">
            <v>43173</v>
          </cell>
          <cell r="B442">
            <v>18.5854</v>
          </cell>
          <cell r="C442">
            <v>18.560400000000001</v>
          </cell>
          <cell r="D442">
            <v>18.619900000000001</v>
          </cell>
        </row>
        <row r="443">
          <cell r="A443">
            <v>43174</v>
          </cell>
          <cell r="B443" t="str">
            <v>N/E</v>
          </cell>
          <cell r="C443">
            <v>18.5854</v>
          </cell>
          <cell r="D443">
            <v>18.560400000000001</v>
          </cell>
        </row>
        <row r="444">
          <cell r="A444">
            <v>43175</v>
          </cell>
          <cell r="B444">
            <v>18.721599999999999</v>
          </cell>
          <cell r="C444">
            <v>18.702300000000001</v>
          </cell>
          <cell r="D444">
            <v>18.5854</v>
          </cell>
        </row>
        <row r="445">
          <cell r="A445">
            <v>43176</v>
          </cell>
          <cell r="B445" t="str">
            <v>N/E</v>
          </cell>
          <cell r="C445" t="str">
            <v>N/E</v>
          </cell>
          <cell r="D445">
            <v>18.702300000000001</v>
          </cell>
        </row>
        <row r="446">
          <cell r="A446">
            <v>43177</v>
          </cell>
          <cell r="B446" t="str">
            <v>N/E</v>
          </cell>
          <cell r="C446" t="str">
            <v>N/E</v>
          </cell>
          <cell r="D446">
            <v>18.702300000000001</v>
          </cell>
        </row>
        <row r="447">
          <cell r="A447">
            <v>43178</v>
          </cell>
          <cell r="B447" t="str">
            <v>N/E</v>
          </cell>
          <cell r="C447" t="str">
            <v>N/E</v>
          </cell>
          <cell r="D447">
            <v>18.702300000000001</v>
          </cell>
        </row>
        <row r="448">
          <cell r="A448">
            <v>43179</v>
          </cell>
          <cell r="B448">
            <v>18.761399999999998</v>
          </cell>
          <cell r="C448">
            <v>18.721599999999999</v>
          </cell>
          <cell r="D448">
            <v>18.702300000000001</v>
          </cell>
        </row>
        <row r="449">
          <cell r="A449">
            <v>43180</v>
          </cell>
          <cell r="B449">
            <v>18.600100000000001</v>
          </cell>
          <cell r="C449">
            <v>18.761399999999998</v>
          </cell>
          <cell r="D449">
            <v>18.721599999999999</v>
          </cell>
        </row>
        <row r="450">
          <cell r="A450">
            <v>43181</v>
          </cell>
          <cell r="B450">
            <v>18.5078</v>
          </cell>
          <cell r="C450">
            <v>18.600100000000001</v>
          </cell>
          <cell r="D450">
            <v>18.761399999999998</v>
          </cell>
        </row>
        <row r="451">
          <cell r="A451">
            <v>43182</v>
          </cell>
          <cell r="B451">
            <v>18.5364</v>
          </cell>
          <cell r="C451">
            <v>18.5078</v>
          </cell>
          <cell r="D451">
            <v>18.600100000000001</v>
          </cell>
        </row>
        <row r="452">
          <cell r="A452">
            <v>43183</v>
          </cell>
          <cell r="B452" t="str">
            <v>N/E</v>
          </cell>
          <cell r="C452" t="str">
            <v>N/E</v>
          </cell>
          <cell r="D452">
            <v>18.5078</v>
          </cell>
        </row>
        <row r="453">
          <cell r="A453">
            <v>43184</v>
          </cell>
          <cell r="B453" t="str">
            <v>N/E</v>
          </cell>
          <cell r="C453" t="str">
            <v>N/E</v>
          </cell>
          <cell r="D453">
            <v>18.5078</v>
          </cell>
        </row>
        <row r="454">
          <cell r="A454">
            <v>43185</v>
          </cell>
          <cell r="B454" t="str">
            <v>N/E</v>
          </cell>
          <cell r="C454">
            <v>18.5364</v>
          </cell>
          <cell r="D454">
            <v>18.5078</v>
          </cell>
        </row>
        <row r="455">
          <cell r="A455">
            <v>43186</v>
          </cell>
          <cell r="B455">
            <v>18.3445</v>
          </cell>
          <cell r="C455">
            <v>18.326799999999999</v>
          </cell>
          <cell r="D455">
            <v>18.5364</v>
          </cell>
        </row>
        <row r="456">
          <cell r="A456">
            <v>43187</v>
          </cell>
          <cell r="B456">
            <v>18.270900000000001</v>
          </cell>
          <cell r="C456">
            <v>18.3445</v>
          </cell>
          <cell r="D456">
            <v>18.326799999999999</v>
          </cell>
        </row>
        <row r="457">
          <cell r="A457">
            <v>43188</v>
          </cell>
          <cell r="B457" t="str">
            <v>N/E</v>
          </cell>
          <cell r="C457" t="str">
            <v>N/E</v>
          </cell>
          <cell r="D457">
            <v>18.3445</v>
          </cell>
        </row>
        <row r="458">
          <cell r="A458">
            <v>43189</v>
          </cell>
          <cell r="B458" t="str">
            <v>N/E</v>
          </cell>
          <cell r="C458" t="str">
            <v>N/E</v>
          </cell>
          <cell r="D458">
            <v>18.3445</v>
          </cell>
        </row>
        <row r="459">
          <cell r="A459">
            <v>43190</v>
          </cell>
          <cell r="B459" t="str">
            <v>N/E</v>
          </cell>
          <cell r="C459" t="str">
            <v>N/E</v>
          </cell>
          <cell r="D459">
            <v>18.3445</v>
          </cell>
        </row>
        <row r="460">
          <cell r="A460">
            <v>43191</v>
          </cell>
          <cell r="B460" t="str">
            <v>N/E</v>
          </cell>
          <cell r="C460" t="str">
            <v>N/E</v>
          </cell>
          <cell r="D460">
            <v>18.3445</v>
          </cell>
        </row>
        <row r="461">
          <cell r="A461">
            <v>43192</v>
          </cell>
          <cell r="B461">
            <v>18.296700000000001</v>
          </cell>
          <cell r="C461">
            <v>18.270900000000001</v>
          </cell>
          <cell r="D461">
            <v>18.3445</v>
          </cell>
        </row>
        <row r="462">
          <cell r="A462">
            <v>43193</v>
          </cell>
          <cell r="B462">
            <v>18.2044</v>
          </cell>
          <cell r="C462">
            <v>18.296700000000001</v>
          </cell>
          <cell r="D462">
            <v>18.270900000000001</v>
          </cell>
        </row>
        <row r="463">
          <cell r="A463">
            <v>43194</v>
          </cell>
          <cell r="B463">
            <v>18.224399999999999</v>
          </cell>
          <cell r="C463">
            <v>18.2044</v>
          </cell>
          <cell r="D463">
            <v>18.296700000000001</v>
          </cell>
        </row>
        <row r="464">
          <cell r="A464">
            <v>43195</v>
          </cell>
          <cell r="B464" t="str">
            <v>N/E</v>
          </cell>
          <cell r="C464">
            <v>18.224399999999999</v>
          </cell>
          <cell r="D464">
            <v>18.2044</v>
          </cell>
        </row>
        <row r="465">
          <cell r="A465">
            <v>43196</v>
          </cell>
          <cell r="B465">
            <v>18.288799999999998</v>
          </cell>
          <cell r="C465">
            <v>18.1081</v>
          </cell>
          <cell r="D465">
            <v>18.224399999999999</v>
          </cell>
        </row>
        <row r="466">
          <cell r="A466">
            <v>43197</v>
          </cell>
          <cell r="B466" t="str">
            <v>N/E</v>
          </cell>
          <cell r="C466" t="str">
            <v>N/E</v>
          </cell>
          <cell r="D466">
            <v>18.1081</v>
          </cell>
        </row>
        <row r="467">
          <cell r="A467">
            <v>43198</v>
          </cell>
          <cell r="B467" t="str">
            <v>N/E</v>
          </cell>
          <cell r="C467" t="str">
            <v>N/E</v>
          </cell>
          <cell r="D467">
            <v>18.1081</v>
          </cell>
        </row>
        <row r="468">
          <cell r="A468">
            <v>43199</v>
          </cell>
          <cell r="B468">
            <v>18.275300000000001</v>
          </cell>
          <cell r="C468">
            <v>18.288799999999998</v>
          </cell>
          <cell r="D468">
            <v>18.1081</v>
          </cell>
        </row>
        <row r="469">
          <cell r="A469">
            <v>43200</v>
          </cell>
          <cell r="B469">
            <v>18.2882</v>
          </cell>
          <cell r="C469">
            <v>18.275300000000001</v>
          </cell>
          <cell r="D469">
            <v>18.288799999999998</v>
          </cell>
        </row>
        <row r="470">
          <cell r="A470">
            <v>43201</v>
          </cell>
          <cell r="B470">
            <v>18.201799999999999</v>
          </cell>
          <cell r="C470">
            <v>18.2882</v>
          </cell>
          <cell r="D470">
            <v>18.275300000000001</v>
          </cell>
        </row>
        <row r="471">
          <cell r="A471">
            <v>43202</v>
          </cell>
          <cell r="B471">
            <v>18.135300000000001</v>
          </cell>
          <cell r="C471">
            <v>18.201799999999999</v>
          </cell>
          <cell r="D471">
            <v>18.2882</v>
          </cell>
        </row>
        <row r="472">
          <cell r="A472">
            <v>43203</v>
          </cell>
          <cell r="B472">
            <v>18.087</v>
          </cell>
          <cell r="C472">
            <v>18.135300000000001</v>
          </cell>
          <cell r="D472">
            <v>18.201799999999999</v>
          </cell>
        </row>
        <row r="473">
          <cell r="A473">
            <v>43204</v>
          </cell>
          <cell r="B473" t="str">
            <v>N/E</v>
          </cell>
          <cell r="C473" t="str">
            <v>N/E</v>
          </cell>
          <cell r="D473">
            <v>18.135300000000001</v>
          </cell>
        </row>
        <row r="474">
          <cell r="A474">
            <v>43205</v>
          </cell>
          <cell r="B474" t="str">
            <v>N/E</v>
          </cell>
          <cell r="C474" t="str">
            <v>N/E</v>
          </cell>
          <cell r="D474">
            <v>18.135300000000001</v>
          </cell>
        </row>
        <row r="475">
          <cell r="A475">
            <v>43206</v>
          </cell>
          <cell r="B475">
            <v>18.039400000000001</v>
          </cell>
          <cell r="C475">
            <v>18.087</v>
          </cell>
          <cell r="D475">
            <v>18.135300000000001</v>
          </cell>
        </row>
        <row r="476">
          <cell r="A476">
            <v>43207</v>
          </cell>
          <cell r="B476" t="str">
            <v>N/E</v>
          </cell>
          <cell r="C476">
            <v>18.039400000000001</v>
          </cell>
          <cell r="D476">
            <v>18.087</v>
          </cell>
        </row>
        <row r="477">
          <cell r="A477">
            <v>43208</v>
          </cell>
          <cell r="B477">
            <v>18.033300000000001</v>
          </cell>
          <cell r="C477">
            <v>17.9787</v>
          </cell>
          <cell r="D477">
            <v>18.039400000000001</v>
          </cell>
        </row>
        <row r="478">
          <cell r="A478">
            <v>43209</v>
          </cell>
          <cell r="B478" t="str">
            <v>N/E</v>
          </cell>
          <cell r="C478">
            <v>18.033300000000001</v>
          </cell>
          <cell r="D478">
            <v>17.9787</v>
          </cell>
        </row>
        <row r="479">
          <cell r="A479">
            <v>43210</v>
          </cell>
          <cell r="B479">
            <v>18.620999999999999</v>
          </cell>
          <cell r="C479">
            <v>18.2819</v>
          </cell>
          <cell r="D479">
            <v>18.033300000000001</v>
          </cell>
        </row>
        <row r="480">
          <cell r="A480">
            <v>43211</v>
          </cell>
          <cell r="B480" t="str">
            <v>N/E</v>
          </cell>
          <cell r="C480" t="str">
            <v>N/E</v>
          </cell>
          <cell r="D480">
            <v>18.2819</v>
          </cell>
        </row>
        <row r="481">
          <cell r="A481">
            <v>43212</v>
          </cell>
          <cell r="B481" t="str">
            <v>N/E</v>
          </cell>
          <cell r="C481" t="str">
            <v>N/E</v>
          </cell>
          <cell r="D481">
            <v>18.2819</v>
          </cell>
        </row>
        <row r="482">
          <cell r="A482">
            <v>43213</v>
          </cell>
          <cell r="B482" t="str">
            <v>N/E</v>
          </cell>
          <cell r="C482">
            <v>18.620999999999999</v>
          </cell>
          <cell r="D482">
            <v>18.2819</v>
          </cell>
        </row>
        <row r="483">
          <cell r="A483">
            <v>43214</v>
          </cell>
          <cell r="B483" t="str">
            <v>N/E</v>
          </cell>
          <cell r="C483">
            <v>18.8628</v>
          </cell>
          <cell r="D483">
            <v>18.620999999999999</v>
          </cell>
        </row>
        <row r="484">
          <cell r="A484">
            <v>43215</v>
          </cell>
          <cell r="B484" t="str">
            <v>N/E</v>
          </cell>
          <cell r="C484">
            <v>18.8139</v>
          </cell>
          <cell r="D484">
            <v>18.8628</v>
          </cell>
        </row>
        <row r="485">
          <cell r="A485">
            <v>43216</v>
          </cell>
          <cell r="B485">
            <v>18.8644</v>
          </cell>
          <cell r="C485">
            <v>19.053000000000001</v>
          </cell>
          <cell r="D485">
            <v>18.8139</v>
          </cell>
        </row>
        <row r="486">
          <cell r="A486">
            <v>43217</v>
          </cell>
          <cell r="B486" t="str">
            <v>N/E</v>
          </cell>
          <cell r="C486">
            <v>18.8644</v>
          </cell>
          <cell r="D486">
            <v>19.053000000000001</v>
          </cell>
        </row>
        <row r="487">
          <cell r="A487">
            <v>43218</v>
          </cell>
          <cell r="B487" t="str">
            <v>N/E</v>
          </cell>
          <cell r="C487" t="str">
            <v>N/E</v>
          </cell>
          <cell r="D487">
            <v>18.8644</v>
          </cell>
        </row>
        <row r="488">
          <cell r="A488">
            <v>43219</v>
          </cell>
          <cell r="B488" t="str">
            <v>N/E</v>
          </cell>
          <cell r="C488" t="str">
            <v>N/E</v>
          </cell>
          <cell r="D488">
            <v>18.8644</v>
          </cell>
        </row>
        <row r="489">
          <cell r="A489">
            <v>43220</v>
          </cell>
          <cell r="B489">
            <v>18.787800000000001</v>
          </cell>
          <cell r="C489">
            <v>18.684699999999999</v>
          </cell>
          <cell r="D489">
            <v>18.8644</v>
          </cell>
        </row>
        <row r="490">
          <cell r="A490">
            <v>43221</v>
          </cell>
          <cell r="B490" t="str">
            <v>N/E</v>
          </cell>
          <cell r="C490" t="str">
            <v>N/E</v>
          </cell>
          <cell r="D490">
            <v>18.684699999999999</v>
          </cell>
        </row>
        <row r="491">
          <cell r="A491">
            <v>43222</v>
          </cell>
          <cell r="B491">
            <v>19.0943</v>
          </cell>
          <cell r="C491">
            <v>18.787800000000001</v>
          </cell>
          <cell r="D491">
            <v>18.684699999999999</v>
          </cell>
        </row>
        <row r="492">
          <cell r="A492">
            <v>43223</v>
          </cell>
          <cell r="B492">
            <v>19.122299999999999</v>
          </cell>
          <cell r="C492">
            <v>19.0943</v>
          </cell>
          <cell r="D492">
            <v>18.787800000000001</v>
          </cell>
        </row>
        <row r="493">
          <cell r="A493">
            <v>43224</v>
          </cell>
          <cell r="B493">
            <v>19.201699999999999</v>
          </cell>
          <cell r="C493">
            <v>19.122299999999999</v>
          </cell>
          <cell r="D493">
            <v>19.0943</v>
          </cell>
        </row>
        <row r="494">
          <cell r="A494">
            <v>43225</v>
          </cell>
          <cell r="B494" t="str">
            <v>N/E</v>
          </cell>
          <cell r="C494" t="str">
            <v>N/E</v>
          </cell>
          <cell r="D494">
            <v>19.122299999999999</v>
          </cell>
        </row>
        <row r="495">
          <cell r="A495">
            <v>43226</v>
          </cell>
          <cell r="B495" t="str">
            <v>N/E</v>
          </cell>
          <cell r="C495" t="str">
            <v>N/E</v>
          </cell>
          <cell r="D495">
            <v>19.122299999999999</v>
          </cell>
        </row>
        <row r="496">
          <cell r="A496">
            <v>43227</v>
          </cell>
          <cell r="B496">
            <v>19.423200000000001</v>
          </cell>
          <cell r="C496">
            <v>19.201699999999999</v>
          </cell>
          <cell r="D496">
            <v>19.122299999999999</v>
          </cell>
        </row>
        <row r="497">
          <cell r="A497">
            <v>43228</v>
          </cell>
          <cell r="B497">
            <v>19.578099999999999</v>
          </cell>
          <cell r="C497">
            <v>19.423200000000001</v>
          </cell>
          <cell r="D497">
            <v>19.201699999999999</v>
          </cell>
        </row>
        <row r="498">
          <cell r="A498">
            <v>43229</v>
          </cell>
          <cell r="B498">
            <v>19.538699999999999</v>
          </cell>
          <cell r="C498">
            <v>19.578099999999999</v>
          </cell>
          <cell r="D498">
            <v>19.423200000000001</v>
          </cell>
        </row>
        <row r="499">
          <cell r="A499">
            <v>43230</v>
          </cell>
          <cell r="B499" t="str">
            <v>N/E</v>
          </cell>
          <cell r="C499">
            <v>19.538699999999999</v>
          </cell>
          <cell r="D499">
            <v>19.578099999999999</v>
          </cell>
        </row>
        <row r="500">
          <cell r="A500">
            <v>43231</v>
          </cell>
          <cell r="B500">
            <v>19.353899999999999</v>
          </cell>
          <cell r="C500">
            <v>19.2989</v>
          </cell>
          <cell r="D500">
            <v>19.538699999999999</v>
          </cell>
        </row>
        <row r="501">
          <cell r="A501">
            <v>43232</v>
          </cell>
          <cell r="B501" t="str">
            <v>N/E</v>
          </cell>
          <cell r="C501" t="str">
            <v>N/E</v>
          </cell>
          <cell r="D501">
            <v>19.2989</v>
          </cell>
        </row>
        <row r="502">
          <cell r="A502">
            <v>43233</v>
          </cell>
          <cell r="B502" t="str">
            <v>N/E</v>
          </cell>
          <cell r="C502" t="str">
            <v>N/E</v>
          </cell>
          <cell r="D502">
            <v>19.2989</v>
          </cell>
        </row>
        <row r="503">
          <cell r="A503">
            <v>43234</v>
          </cell>
          <cell r="B503">
            <v>19.5214</v>
          </cell>
          <cell r="C503">
            <v>19.353899999999999</v>
          </cell>
          <cell r="D503">
            <v>19.2989</v>
          </cell>
        </row>
        <row r="504">
          <cell r="A504">
            <v>43235</v>
          </cell>
          <cell r="B504">
            <v>19.785399999999999</v>
          </cell>
          <cell r="C504">
            <v>19.5214</v>
          </cell>
          <cell r="D504">
            <v>19.353899999999999</v>
          </cell>
        </row>
        <row r="505">
          <cell r="A505">
            <v>43236</v>
          </cell>
          <cell r="B505">
            <v>19.709399999999999</v>
          </cell>
          <cell r="C505">
            <v>19.785399999999999</v>
          </cell>
          <cell r="D505">
            <v>19.5214</v>
          </cell>
        </row>
        <row r="506">
          <cell r="A506">
            <v>43237</v>
          </cell>
          <cell r="B506">
            <v>19.703299999999999</v>
          </cell>
          <cell r="C506">
            <v>19.709399999999999</v>
          </cell>
          <cell r="D506">
            <v>19.785399999999999</v>
          </cell>
        </row>
        <row r="507">
          <cell r="A507">
            <v>43238</v>
          </cell>
          <cell r="B507">
            <v>19.931899999999999</v>
          </cell>
          <cell r="C507">
            <v>19.703299999999999</v>
          </cell>
          <cell r="D507">
            <v>19.709399999999999</v>
          </cell>
        </row>
        <row r="508">
          <cell r="A508">
            <v>43239</v>
          </cell>
          <cell r="B508" t="str">
            <v>N/E</v>
          </cell>
          <cell r="C508" t="str">
            <v>N/E</v>
          </cell>
          <cell r="D508">
            <v>19.703299999999999</v>
          </cell>
        </row>
        <row r="509">
          <cell r="A509">
            <v>43240</v>
          </cell>
          <cell r="B509" t="str">
            <v>N/E</v>
          </cell>
          <cell r="C509" t="str">
            <v>N/E</v>
          </cell>
          <cell r="D509">
            <v>19.703299999999999</v>
          </cell>
        </row>
        <row r="510">
          <cell r="A510">
            <v>43241</v>
          </cell>
          <cell r="B510" t="str">
            <v>N/E</v>
          </cell>
          <cell r="C510">
            <v>19.931899999999999</v>
          </cell>
          <cell r="D510">
            <v>19.703299999999999</v>
          </cell>
        </row>
        <row r="511">
          <cell r="A511">
            <v>43242</v>
          </cell>
          <cell r="B511">
            <v>19.752800000000001</v>
          </cell>
          <cell r="C511">
            <v>19.9054</v>
          </cell>
          <cell r="D511">
            <v>19.931899999999999</v>
          </cell>
        </row>
        <row r="512">
          <cell r="A512">
            <v>43243</v>
          </cell>
          <cell r="B512">
            <v>19.766100000000002</v>
          </cell>
          <cell r="C512">
            <v>19.752800000000001</v>
          </cell>
          <cell r="D512">
            <v>19.9054</v>
          </cell>
        </row>
        <row r="513">
          <cell r="A513">
            <v>43244</v>
          </cell>
          <cell r="B513">
            <v>19.704799999999999</v>
          </cell>
          <cell r="C513">
            <v>19.766100000000002</v>
          </cell>
          <cell r="D513">
            <v>19.752800000000001</v>
          </cell>
        </row>
        <row r="514">
          <cell r="A514">
            <v>43245</v>
          </cell>
          <cell r="B514" t="str">
            <v>N/E</v>
          </cell>
          <cell r="C514">
            <v>19.704799999999999</v>
          </cell>
          <cell r="D514">
            <v>19.766100000000002</v>
          </cell>
        </row>
        <row r="515">
          <cell r="A515">
            <v>43246</v>
          </cell>
          <cell r="B515" t="str">
            <v>N/E</v>
          </cell>
          <cell r="C515" t="str">
            <v>N/E</v>
          </cell>
          <cell r="D515">
            <v>19.704799999999999</v>
          </cell>
        </row>
        <row r="516">
          <cell r="A516">
            <v>43247</v>
          </cell>
          <cell r="B516" t="str">
            <v>N/E</v>
          </cell>
          <cell r="C516" t="str">
            <v>N/E</v>
          </cell>
          <cell r="D516">
            <v>19.704799999999999</v>
          </cell>
        </row>
        <row r="517">
          <cell r="A517">
            <v>43248</v>
          </cell>
          <cell r="B517">
            <v>19.5915</v>
          </cell>
          <cell r="C517">
            <v>19.5608</v>
          </cell>
          <cell r="D517">
            <v>19.704799999999999</v>
          </cell>
        </row>
        <row r="518">
          <cell r="A518">
            <v>43249</v>
          </cell>
          <cell r="B518">
            <v>19.7499</v>
          </cell>
          <cell r="C518">
            <v>19.5915</v>
          </cell>
          <cell r="D518">
            <v>19.5608</v>
          </cell>
        </row>
        <row r="519">
          <cell r="A519">
            <v>43250</v>
          </cell>
          <cell r="B519">
            <v>19.732199999999999</v>
          </cell>
          <cell r="C519">
            <v>19.7499</v>
          </cell>
          <cell r="D519">
            <v>19.5915</v>
          </cell>
        </row>
        <row r="520">
          <cell r="A520">
            <v>43251</v>
          </cell>
          <cell r="B520" t="str">
            <v>N/E</v>
          </cell>
          <cell r="C520">
            <v>19.732199999999999</v>
          </cell>
          <cell r="D520">
            <v>19.7499</v>
          </cell>
        </row>
        <row r="521">
          <cell r="A521">
            <v>43252</v>
          </cell>
          <cell r="B521" t="str">
            <v>N/E</v>
          </cell>
          <cell r="C521">
            <v>19.975899999999999</v>
          </cell>
          <cell r="D521">
            <v>19.732199999999999</v>
          </cell>
        </row>
        <row r="522">
          <cell r="A522">
            <v>43253</v>
          </cell>
          <cell r="B522" t="str">
            <v>N/E</v>
          </cell>
          <cell r="C522" t="str">
            <v>N/E</v>
          </cell>
          <cell r="D522">
            <v>19.975899999999999</v>
          </cell>
        </row>
        <row r="523">
          <cell r="A523">
            <v>43254</v>
          </cell>
          <cell r="B523" t="str">
            <v>N/E</v>
          </cell>
          <cell r="C523" t="str">
            <v>N/E</v>
          </cell>
          <cell r="D523">
            <v>19.975899999999999</v>
          </cell>
        </row>
        <row r="524">
          <cell r="A524">
            <v>43255</v>
          </cell>
          <cell r="B524">
            <v>19.993400000000001</v>
          </cell>
          <cell r="C524">
            <v>19.866199999999999</v>
          </cell>
          <cell r="D524">
            <v>19.975899999999999</v>
          </cell>
        </row>
        <row r="525">
          <cell r="A525">
            <v>43256</v>
          </cell>
          <cell r="B525" t="str">
            <v>N/E</v>
          </cell>
          <cell r="C525">
            <v>19.993400000000001</v>
          </cell>
          <cell r="D525">
            <v>19.866199999999999</v>
          </cell>
        </row>
        <row r="526">
          <cell r="A526">
            <v>43257</v>
          </cell>
          <cell r="B526">
            <v>20.312899999999999</v>
          </cell>
          <cell r="C526">
            <v>20.386299999999999</v>
          </cell>
          <cell r="D526">
            <v>19.993400000000001</v>
          </cell>
        </row>
        <row r="527">
          <cell r="A527">
            <v>43258</v>
          </cell>
          <cell r="B527">
            <v>20.46</v>
          </cell>
          <cell r="C527">
            <v>20.312899999999999</v>
          </cell>
          <cell r="D527">
            <v>20.386299999999999</v>
          </cell>
        </row>
        <row r="528">
          <cell r="A528">
            <v>43259</v>
          </cell>
          <cell r="B528">
            <v>20.528099999999998</v>
          </cell>
          <cell r="C528">
            <v>20.46</v>
          </cell>
          <cell r="D528">
            <v>20.312899999999999</v>
          </cell>
        </row>
        <row r="529">
          <cell r="A529">
            <v>43260</v>
          </cell>
          <cell r="B529" t="str">
            <v>N/E</v>
          </cell>
          <cell r="C529" t="str">
            <v>N/E</v>
          </cell>
          <cell r="D529">
            <v>20.46</v>
          </cell>
        </row>
        <row r="530">
          <cell r="A530">
            <v>43261</v>
          </cell>
          <cell r="B530" t="str">
            <v>N/E</v>
          </cell>
          <cell r="C530" t="str">
            <v>N/E</v>
          </cell>
          <cell r="D530">
            <v>20.46</v>
          </cell>
        </row>
        <row r="531">
          <cell r="A531">
            <v>43262</v>
          </cell>
          <cell r="B531" t="str">
            <v>N/E</v>
          </cell>
          <cell r="C531">
            <v>20.528099999999998</v>
          </cell>
          <cell r="D531">
            <v>20.46</v>
          </cell>
        </row>
        <row r="532">
          <cell r="A532">
            <v>43263</v>
          </cell>
          <cell r="B532">
            <v>20.596</v>
          </cell>
          <cell r="C532">
            <v>20.472200000000001</v>
          </cell>
          <cell r="D532">
            <v>20.528099999999998</v>
          </cell>
        </row>
        <row r="533">
          <cell r="A533">
            <v>43264</v>
          </cell>
          <cell r="B533" t="str">
            <v>N/E</v>
          </cell>
          <cell r="C533">
            <v>20.596</v>
          </cell>
          <cell r="D533">
            <v>20.472200000000001</v>
          </cell>
        </row>
        <row r="534">
          <cell r="A534">
            <v>43265</v>
          </cell>
          <cell r="B534">
            <v>20.6953</v>
          </cell>
          <cell r="C534">
            <v>20.625900000000001</v>
          </cell>
          <cell r="D534">
            <v>20.596</v>
          </cell>
        </row>
        <row r="535">
          <cell r="A535">
            <v>43266</v>
          </cell>
          <cell r="B535">
            <v>20.716000000000001</v>
          </cell>
          <cell r="C535">
            <v>20.6953</v>
          </cell>
          <cell r="D535">
            <v>20.625900000000001</v>
          </cell>
        </row>
        <row r="536">
          <cell r="A536">
            <v>43267</v>
          </cell>
          <cell r="B536" t="str">
            <v>N/E</v>
          </cell>
          <cell r="C536" t="str">
            <v>N/E</v>
          </cell>
          <cell r="D536">
            <v>20.6953</v>
          </cell>
        </row>
        <row r="537">
          <cell r="A537">
            <v>43268</v>
          </cell>
          <cell r="B537" t="str">
            <v>N/E</v>
          </cell>
          <cell r="C537" t="str">
            <v>N/E</v>
          </cell>
          <cell r="D537">
            <v>20.6953</v>
          </cell>
        </row>
        <row r="538">
          <cell r="A538">
            <v>43269</v>
          </cell>
          <cell r="B538" t="str">
            <v>N/E</v>
          </cell>
          <cell r="C538">
            <v>20.716000000000001</v>
          </cell>
          <cell r="D538">
            <v>20.6953</v>
          </cell>
        </row>
        <row r="539">
          <cell r="A539">
            <v>43270</v>
          </cell>
          <cell r="B539">
            <v>20.553100000000001</v>
          </cell>
          <cell r="C539">
            <v>20.6968</v>
          </cell>
          <cell r="D539">
            <v>20.716000000000001</v>
          </cell>
        </row>
        <row r="540">
          <cell r="A540">
            <v>43271</v>
          </cell>
          <cell r="B540" t="str">
            <v>N/E</v>
          </cell>
          <cell r="C540">
            <v>20.553100000000001</v>
          </cell>
          <cell r="D540">
            <v>20.6968</v>
          </cell>
        </row>
        <row r="541">
          <cell r="A541">
            <v>43272</v>
          </cell>
          <cell r="B541">
            <v>20.3689</v>
          </cell>
          <cell r="C541">
            <v>20.393699999999999</v>
          </cell>
          <cell r="D541">
            <v>20.553100000000001</v>
          </cell>
        </row>
        <row r="542">
          <cell r="A542">
            <v>43273</v>
          </cell>
          <cell r="B542">
            <v>20.1264</v>
          </cell>
          <cell r="C542">
            <v>20.3689</v>
          </cell>
          <cell r="D542">
            <v>20.393699999999999</v>
          </cell>
        </row>
        <row r="543">
          <cell r="A543">
            <v>43274</v>
          </cell>
          <cell r="B543" t="str">
            <v>N/E</v>
          </cell>
          <cell r="C543" t="str">
            <v>N/E</v>
          </cell>
          <cell r="D543">
            <v>20.3689</v>
          </cell>
        </row>
        <row r="544">
          <cell r="A544">
            <v>43275</v>
          </cell>
          <cell r="B544" t="str">
            <v>N/E</v>
          </cell>
          <cell r="C544" t="str">
            <v>N/E</v>
          </cell>
          <cell r="D544">
            <v>20.3689</v>
          </cell>
        </row>
        <row r="545">
          <cell r="A545">
            <v>43276</v>
          </cell>
          <cell r="B545" t="str">
            <v>N/E</v>
          </cell>
          <cell r="C545">
            <v>20.1264</v>
          </cell>
          <cell r="D545">
            <v>20.3689</v>
          </cell>
        </row>
        <row r="546">
          <cell r="A546">
            <v>43277</v>
          </cell>
          <cell r="B546">
            <v>19.875399999999999</v>
          </cell>
          <cell r="C546">
            <v>20.090800000000002</v>
          </cell>
          <cell r="D546">
            <v>20.1264</v>
          </cell>
        </row>
        <row r="547">
          <cell r="A547">
            <v>43278</v>
          </cell>
          <cell r="B547">
            <v>20.055299999999999</v>
          </cell>
          <cell r="C547">
            <v>19.875399999999999</v>
          </cell>
          <cell r="D547">
            <v>20.090800000000002</v>
          </cell>
        </row>
        <row r="548">
          <cell r="A548">
            <v>43279</v>
          </cell>
          <cell r="B548" t="str">
            <v>N/E</v>
          </cell>
          <cell r="C548">
            <v>20.055299999999999</v>
          </cell>
          <cell r="D548">
            <v>19.875399999999999</v>
          </cell>
        </row>
        <row r="549">
          <cell r="A549">
            <v>43280</v>
          </cell>
          <cell r="B549">
            <v>19.691199999999998</v>
          </cell>
          <cell r="C549">
            <v>19.863299999999999</v>
          </cell>
          <cell r="D549">
            <v>20.055299999999999</v>
          </cell>
        </row>
        <row r="550">
          <cell r="A550">
            <v>43281</v>
          </cell>
          <cell r="B550" t="str">
            <v>N/E</v>
          </cell>
          <cell r="C550" t="str">
            <v>N/E</v>
          </cell>
          <cell r="D550">
            <v>19.863299999999999</v>
          </cell>
        </row>
        <row r="551">
          <cell r="A551">
            <v>43282</v>
          </cell>
          <cell r="B551" t="str">
            <v>N/E</v>
          </cell>
          <cell r="C551" t="str">
            <v>N/E</v>
          </cell>
          <cell r="D551">
            <v>19.863299999999999</v>
          </cell>
        </row>
        <row r="552">
          <cell r="A552">
            <v>43283</v>
          </cell>
          <cell r="B552">
            <v>20.145299999999999</v>
          </cell>
          <cell r="C552">
            <v>19.691199999999998</v>
          </cell>
          <cell r="D552">
            <v>19.863299999999999</v>
          </cell>
        </row>
        <row r="553">
          <cell r="A553">
            <v>43284</v>
          </cell>
          <cell r="B553">
            <v>19.5974</v>
          </cell>
          <cell r="C553">
            <v>20.145299999999999</v>
          </cell>
          <cell r="D553">
            <v>19.691199999999998</v>
          </cell>
        </row>
        <row r="554">
          <cell r="A554">
            <v>43285</v>
          </cell>
          <cell r="B554" t="str">
            <v>N/E</v>
          </cell>
          <cell r="C554">
            <v>19.5974</v>
          </cell>
          <cell r="D554">
            <v>20.145299999999999</v>
          </cell>
        </row>
        <row r="555">
          <cell r="A555">
            <v>43286</v>
          </cell>
          <cell r="B555">
            <v>19.251300000000001</v>
          </cell>
          <cell r="C555">
            <v>19.4284</v>
          </cell>
          <cell r="D555">
            <v>19.5974</v>
          </cell>
        </row>
        <row r="556">
          <cell r="A556">
            <v>43287</v>
          </cell>
          <cell r="B556">
            <v>19.071899999999999</v>
          </cell>
          <cell r="C556">
            <v>19.251300000000001</v>
          </cell>
          <cell r="D556">
            <v>19.4284</v>
          </cell>
        </row>
        <row r="557">
          <cell r="A557">
            <v>43288</v>
          </cell>
          <cell r="B557" t="str">
            <v>N/E</v>
          </cell>
          <cell r="C557" t="str">
            <v>N/E</v>
          </cell>
          <cell r="D557">
            <v>19.251300000000001</v>
          </cell>
        </row>
        <row r="558">
          <cell r="A558">
            <v>43289</v>
          </cell>
          <cell r="B558" t="str">
            <v>N/E</v>
          </cell>
          <cell r="C558" t="str">
            <v>N/E</v>
          </cell>
          <cell r="D558">
            <v>19.251300000000001</v>
          </cell>
        </row>
        <row r="559">
          <cell r="A559">
            <v>43290</v>
          </cell>
          <cell r="B559">
            <v>19.156300000000002</v>
          </cell>
          <cell r="C559">
            <v>19.071899999999999</v>
          </cell>
          <cell r="D559">
            <v>19.251300000000001</v>
          </cell>
        </row>
        <row r="560">
          <cell r="A560">
            <v>43291</v>
          </cell>
          <cell r="B560">
            <v>19.055900000000001</v>
          </cell>
          <cell r="C560">
            <v>19.156300000000002</v>
          </cell>
          <cell r="D560">
            <v>19.071899999999999</v>
          </cell>
        </row>
        <row r="561">
          <cell r="A561">
            <v>43292</v>
          </cell>
          <cell r="B561" t="str">
            <v>N/E</v>
          </cell>
          <cell r="C561">
            <v>19.055900000000001</v>
          </cell>
          <cell r="D561">
            <v>19.156300000000002</v>
          </cell>
        </row>
        <row r="562">
          <cell r="A562">
            <v>43293</v>
          </cell>
          <cell r="B562" t="str">
            <v>N/E</v>
          </cell>
          <cell r="C562">
            <v>18.963200000000001</v>
          </cell>
          <cell r="D562">
            <v>19.055900000000001</v>
          </cell>
        </row>
        <row r="563">
          <cell r="A563">
            <v>43294</v>
          </cell>
          <cell r="B563">
            <v>18.885400000000001</v>
          </cell>
          <cell r="C563">
            <v>18.824100000000001</v>
          </cell>
          <cell r="D563">
            <v>18.963200000000001</v>
          </cell>
        </row>
        <row r="564">
          <cell r="A564">
            <v>43295</v>
          </cell>
          <cell r="B564" t="str">
            <v>N/E</v>
          </cell>
          <cell r="C564" t="str">
            <v>N/E</v>
          </cell>
          <cell r="D564">
            <v>18.824100000000001</v>
          </cell>
        </row>
        <row r="565">
          <cell r="A565">
            <v>43296</v>
          </cell>
          <cell r="B565" t="str">
            <v>N/E</v>
          </cell>
          <cell r="C565" t="str">
            <v>N/E</v>
          </cell>
          <cell r="D565">
            <v>18.824100000000001</v>
          </cell>
        </row>
        <row r="566">
          <cell r="A566">
            <v>43297</v>
          </cell>
          <cell r="B566" t="str">
            <v>N/E</v>
          </cell>
          <cell r="C566">
            <v>18.885400000000001</v>
          </cell>
          <cell r="D566">
            <v>18.824100000000001</v>
          </cell>
        </row>
        <row r="567">
          <cell r="A567">
            <v>43298</v>
          </cell>
          <cell r="B567">
            <v>18.876300000000001</v>
          </cell>
          <cell r="C567">
            <v>18.835999999999999</v>
          </cell>
          <cell r="D567">
            <v>18.885400000000001</v>
          </cell>
        </row>
        <row r="568">
          <cell r="A568">
            <v>43299</v>
          </cell>
          <cell r="B568" t="str">
            <v>N/E</v>
          </cell>
          <cell r="C568">
            <v>18.876300000000001</v>
          </cell>
          <cell r="D568">
            <v>18.835999999999999</v>
          </cell>
        </row>
        <row r="569">
          <cell r="A569">
            <v>43300</v>
          </cell>
          <cell r="B569">
            <v>19.079000000000001</v>
          </cell>
          <cell r="C569">
            <v>18.91</v>
          </cell>
          <cell r="D569">
            <v>18.876300000000001</v>
          </cell>
        </row>
        <row r="570">
          <cell r="A570">
            <v>43301</v>
          </cell>
          <cell r="B570" t="str">
            <v>N/E</v>
          </cell>
          <cell r="C570">
            <v>19.079000000000001</v>
          </cell>
          <cell r="D570">
            <v>18.91</v>
          </cell>
        </row>
        <row r="571">
          <cell r="A571">
            <v>43302</v>
          </cell>
          <cell r="B571" t="str">
            <v>N/E</v>
          </cell>
          <cell r="C571" t="str">
            <v>N/E</v>
          </cell>
          <cell r="D571">
            <v>19.079000000000001</v>
          </cell>
        </row>
        <row r="572">
          <cell r="A572">
            <v>43303</v>
          </cell>
          <cell r="B572" t="str">
            <v>N/E</v>
          </cell>
          <cell r="C572" t="str">
            <v>N/E</v>
          </cell>
          <cell r="D572">
            <v>19.079000000000001</v>
          </cell>
        </row>
        <row r="573">
          <cell r="A573">
            <v>43304</v>
          </cell>
          <cell r="B573">
            <v>19.0761</v>
          </cell>
          <cell r="C573">
            <v>19.069400000000002</v>
          </cell>
          <cell r="D573">
            <v>19.079000000000001</v>
          </cell>
        </row>
        <row r="574">
          <cell r="A574">
            <v>43305</v>
          </cell>
          <cell r="B574">
            <v>18.8506</v>
          </cell>
          <cell r="C574">
            <v>19.0761</v>
          </cell>
          <cell r="D574">
            <v>19.069400000000002</v>
          </cell>
        </row>
        <row r="575">
          <cell r="A575">
            <v>43306</v>
          </cell>
          <cell r="B575">
            <v>18.770900000000001</v>
          </cell>
          <cell r="C575">
            <v>18.8506</v>
          </cell>
          <cell r="D575">
            <v>19.0761</v>
          </cell>
        </row>
        <row r="576">
          <cell r="A576">
            <v>43307</v>
          </cell>
          <cell r="B576">
            <v>18.6234</v>
          </cell>
          <cell r="C576">
            <v>18.770900000000001</v>
          </cell>
          <cell r="D576">
            <v>18.8506</v>
          </cell>
        </row>
        <row r="577">
          <cell r="A577">
            <v>43308</v>
          </cell>
          <cell r="B577" t="str">
            <v>N/E</v>
          </cell>
          <cell r="C577">
            <v>18.6234</v>
          </cell>
          <cell r="D577">
            <v>18.770900000000001</v>
          </cell>
        </row>
        <row r="578">
          <cell r="A578">
            <v>43309</v>
          </cell>
          <cell r="B578" t="str">
            <v>N/E</v>
          </cell>
          <cell r="C578" t="str">
            <v>N/E</v>
          </cell>
          <cell r="D578">
            <v>18.6234</v>
          </cell>
        </row>
        <row r="579">
          <cell r="A579">
            <v>43310</v>
          </cell>
          <cell r="B579" t="str">
            <v>N/E</v>
          </cell>
          <cell r="C579" t="str">
            <v>N/E</v>
          </cell>
          <cell r="D579">
            <v>18.6234</v>
          </cell>
        </row>
        <row r="580">
          <cell r="A580">
            <v>43311</v>
          </cell>
          <cell r="B580" t="str">
            <v>N/E</v>
          </cell>
          <cell r="C580">
            <v>18.551500000000001</v>
          </cell>
          <cell r="D580">
            <v>18.6234</v>
          </cell>
        </row>
        <row r="581">
          <cell r="A581">
            <v>43312</v>
          </cell>
          <cell r="B581">
            <v>18.645700000000001</v>
          </cell>
          <cell r="C581">
            <v>18.5413</v>
          </cell>
          <cell r="D581">
            <v>18.551500000000001</v>
          </cell>
        </row>
        <row r="582">
          <cell r="A582">
            <v>43313</v>
          </cell>
          <cell r="B582">
            <v>18.5899</v>
          </cell>
          <cell r="C582">
            <v>18.645700000000001</v>
          </cell>
          <cell r="D582">
            <v>18.5413</v>
          </cell>
        </row>
        <row r="583">
          <cell r="A583">
            <v>43314</v>
          </cell>
          <cell r="B583">
            <v>18.634899999999998</v>
          </cell>
          <cell r="C583">
            <v>18.5899</v>
          </cell>
          <cell r="D583">
            <v>18.645700000000001</v>
          </cell>
        </row>
        <row r="584">
          <cell r="A584">
            <v>43315</v>
          </cell>
          <cell r="B584">
            <v>18.572500000000002</v>
          </cell>
          <cell r="C584">
            <v>18.634899999999998</v>
          </cell>
          <cell r="D584">
            <v>18.5899</v>
          </cell>
        </row>
        <row r="585">
          <cell r="A585">
            <v>43316</v>
          </cell>
          <cell r="B585" t="str">
            <v>N/E</v>
          </cell>
          <cell r="C585" t="str">
            <v>N/E</v>
          </cell>
          <cell r="D585">
            <v>18.634899999999998</v>
          </cell>
        </row>
        <row r="586">
          <cell r="A586">
            <v>43317</v>
          </cell>
          <cell r="B586" t="str">
            <v>N/E</v>
          </cell>
          <cell r="C586" t="str">
            <v>N/E</v>
          </cell>
          <cell r="D586">
            <v>18.634899999999998</v>
          </cell>
        </row>
        <row r="587">
          <cell r="A587">
            <v>43318</v>
          </cell>
          <cell r="B587">
            <v>18.543299999999999</v>
          </cell>
          <cell r="C587">
            <v>18.572500000000002</v>
          </cell>
          <cell r="D587">
            <v>18.634899999999998</v>
          </cell>
        </row>
        <row r="588">
          <cell r="A588">
            <v>43319</v>
          </cell>
          <cell r="B588" t="str">
            <v>N/E</v>
          </cell>
          <cell r="C588">
            <v>18.543299999999999</v>
          </cell>
          <cell r="D588">
            <v>18.572500000000002</v>
          </cell>
        </row>
        <row r="589">
          <cell r="A589">
            <v>43320</v>
          </cell>
          <cell r="B589">
            <v>18.4542</v>
          </cell>
          <cell r="C589">
            <v>18.463100000000001</v>
          </cell>
          <cell r="D589">
            <v>18.543299999999999</v>
          </cell>
        </row>
        <row r="590">
          <cell r="A590">
            <v>43321</v>
          </cell>
          <cell r="B590">
            <v>18.6511</v>
          </cell>
          <cell r="C590">
            <v>18.4542</v>
          </cell>
          <cell r="D590">
            <v>18.463100000000001</v>
          </cell>
        </row>
        <row r="591">
          <cell r="A591">
            <v>43322</v>
          </cell>
          <cell r="B591">
            <v>18.927299999999999</v>
          </cell>
          <cell r="C591">
            <v>18.6511</v>
          </cell>
          <cell r="D591">
            <v>18.4542</v>
          </cell>
        </row>
        <row r="592">
          <cell r="A592">
            <v>43323</v>
          </cell>
          <cell r="B592" t="str">
            <v>N/E</v>
          </cell>
          <cell r="C592" t="str">
            <v>N/E</v>
          </cell>
          <cell r="D592">
            <v>18.6511</v>
          </cell>
        </row>
        <row r="593">
          <cell r="A593">
            <v>43324</v>
          </cell>
          <cell r="B593" t="str">
            <v>N/E</v>
          </cell>
          <cell r="C593" t="str">
            <v>N/E</v>
          </cell>
          <cell r="D593">
            <v>18.6511</v>
          </cell>
        </row>
        <row r="594">
          <cell r="A594">
            <v>43325</v>
          </cell>
          <cell r="B594" t="str">
            <v>N/E</v>
          </cell>
          <cell r="C594">
            <v>18.927299999999999</v>
          </cell>
          <cell r="D594">
            <v>18.6511</v>
          </cell>
        </row>
        <row r="595">
          <cell r="A595">
            <v>43326</v>
          </cell>
          <cell r="B595" t="str">
            <v>N/E</v>
          </cell>
          <cell r="C595">
            <v>19.180099999999999</v>
          </cell>
          <cell r="D595">
            <v>18.927299999999999</v>
          </cell>
        </row>
        <row r="596">
          <cell r="A596">
            <v>43327</v>
          </cell>
          <cell r="B596" t="str">
            <v>N/E</v>
          </cell>
          <cell r="C596">
            <v>18.997299999999999</v>
          </cell>
          <cell r="D596">
            <v>19.180099999999999</v>
          </cell>
        </row>
        <row r="597">
          <cell r="A597">
            <v>43328</v>
          </cell>
          <cell r="B597">
            <v>19.010000000000002</v>
          </cell>
          <cell r="C597">
            <v>19.233899999999998</v>
          </cell>
          <cell r="D597">
            <v>18.997299999999999</v>
          </cell>
        </row>
        <row r="598">
          <cell r="A598">
            <v>43329</v>
          </cell>
          <cell r="B598">
            <v>19.061499999999999</v>
          </cell>
          <cell r="C598">
            <v>19.010000000000002</v>
          </cell>
          <cell r="D598">
            <v>19.233899999999998</v>
          </cell>
        </row>
        <row r="599">
          <cell r="A599">
            <v>43330</v>
          </cell>
          <cell r="B599" t="str">
            <v>N/E</v>
          </cell>
          <cell r="C599" t="str">
            <v>N/E</v>
          </cell>
          <cell r="D599">
            <v>19.010000000000002</v>
          </cell>
        </row>
        <row r="600">
          <cell r="A600">
            <v>43331</v>
          </cell>
          <cell r="B600" t="str">
            <v>N/E</v>
          </cell>
          <cell r="C600" t="str">
            <v>N/E</v>
          </cell>
          <cell r="D600">
            <v>19.010000000000002</v>
          </cell>
        </row>
        <row r="601">
          <cell r="A601">
            <v>43332</v>
          </cell>
          <cell r="B601" t="str">
            <v>N/E</v>
          </cell>
          <cell r="C601">
            <v>19.061499999999999</v>
          </cell>
          <cell r="D601">
            <v>19.010000000000002</v>
          </cell>
        </row>
        <row r="602">
          <cell r="A602">
            <v>43333</v>
          </cell>
          <cell r="D602">
            <v>19.061499999999999</v>
          </cell>
        </row>
        <row r="603">
          <cell r="A603">
            <v>43334</v>
          </cell>
          <cell r="D603">
            <v>19.0305</v>
          </cell>
        </row>
        <row r="604">
          <cell r="A604">
            <v>43335</v>
          </cell>
          <cell r="D604">
            <v>18.878399999999999</v>
          </cell>
        </row>
        <row r="605">
          <cell r="A605">
            <v>43336</v>
          </cell>
          <cell r="D605">
            <v>18.817599999999999</v>
          </cell>
        </row>
        <row r="606">
          <cell r="A606">
            <v>43337</v>
          </cell>
          <cell r="D606">
            <v>18.8672</v>
          </cell>
        </row>
        <row r="607">
          <cell r="A607">
            <v>43338</v>
          </cell>
          <cell r="D607">
            <v>18.8672</v>
          </cell>
        </row>
        <row r="608">
          <cell r="A608">
            <v>43339</v>
          </cell>
          <cell r="D608">
            <v>18.8672</v>
          </cell>
        </row>
        <row r="609">
          <cell r="A609">
            <v>43340</v>
          </cell>
          <cell r="D609">
            <v>18.8339</v>
          </cell>
        </row>
        <row r="610">
          <cell r="A610">
            <v>43341</v>
          </cell>
          <cell r="D610">
            <v>18.669699999999999</v>
          </cell>
        </row>
        <row r="611">
          <cell r="A611">
            <v>43342</v>
          </cell>
          <cell r="D611">
            <v>18.935400000000001</v>
          </cell>
        </row>
        <row r="612">
          <cell r="A612">
            <v>43343</v>
          </cell>
          <cell r="D612">
            <v>19.065899999999999</v>
          </cell>
        </row>
        <row r="613">
          <cell r="A613">
            <v>43344</v>
          </cell>
          <cell r="D613">
            <v>19.125800000000002</v>
          </cell>
        </row>
        <row r="614">
          <cell r="A614">
            <v>43345</v>
          </cell>
          <cell r="D614">
            <v>19.125800000000002</v>
          </cell>
        </row>
        <row r="615">
          <cell r="A615">
            <v>43346</v>
          </cell>
          <cell r="D615">
            <v>19.125800000000002</v>
          </cell>
        </row>
        <row r="616">
          <cell r="A616">
            <v>43347</v>
          </cell>
        </row>
        <row r="617">
          <cell r="A617">
            <v>43348</v>
          </cell>
        </row>
        <row r="618">
          <cell r="A618">
            <v>43349</v>
          </cell>
        </row>
        <row r="619">
          <cell r="A619">
            <v>43350</v>
          </cell>
        </row>
        <row r="620">
          <cell r="A620">
            <v>43351</v>
          </cell>
        </row>
        <row r="621">
          <cell r="A621">
            <v>43352</v>
          </cell>
        </row>
        <row r="622">
          <cell r="A622">
            <v>43353</v>
          </cell>
        </row>
        <row r="623">
          <cell r="A623">
            <v>43354</v>
          </cell>
        </row>
        <row r="624">
          <cell r="A624">
            <v>43355</v>
          </cell>
        </row>
        <row r="625">
          <cell r="A625">
            <v>43356</v>
          </cell>
        </row>
        <row r="626">
          <cell r="A626">
            <v>43357</v>
          </cell>
        </row>
        <row r="627">
          <cell r="A627">
            <v>43358</v>
          </cell>
        </row>
        <row r="628">
          <cell r="A628">
            <v>43359</v>
          </cell>
        </row>
        <row r="629">
          <cell r="A629">
            <v>43360</v>
          </cell>
        </row>
        <row r="630">
          <cell r="A630">
            <v>43361</v>
          </cell>
        </row>
        <row r="631">
          <cell r="A631">
            <v>43362</v>
          </cell>
        </row>
        <row r="632">
          <cell r="A632">
            <v>43363</v>
          </cell>
        </row>
        <row r="633">
          <cell r="A633">
            <v>43364</v>
          </cell>
        </row>
        <row r="634">
          <cell r="A634">
            <v>43365</v>
          </cell>
        </row>
        <row r="635">
          <cell r="A635">
            <v>43366</v>
          </cell>
        </row>
        <row r="636">
          <cell r="A636">
            <v>43367</v>
          </cell>
        </row>
        <row r="637">
          <cell r="A637">
            <v>43368</v>
          </cell>
        </row>
        <row r="638">
          <cell r="A638">
            <v>43369</v>
          </cell>
        </row>
        <row r="639">
          <cell r="A639">
            <v>43370</v>
          </cell>
        </row>
        <row r="640">
          <cell r="A640">
            <v>43371</v>
          </cell>
        </row>
        <row r="641">
          <cell r="A641">
            <v>43372</v>
          </cell>
        </row>
        <row r="642">
          <cell r="A642">
            <v>43373</v>
          </cell>
        </row>
        <row r="643">
          <cell r="A643">
            <v>43374</v>
          </cell>
        </row>
        <row r="644">
          <cell r="A644">
            <v>43375</v>
          </cell>
        </row>
        <row r="645">
          <cell r="A645">
            <v>43376</v>
          </cell>
        </row>
        <row r="646">
          <cell r="A646">
            <v>43377</v>
          </cell>
        </row>
        <row r="647">
          <cell r="A647">
            <v>43378</v>
          </cell>
        </row>
        <row r="648">
          <cell r="A648">
            <v>43379</v>
          </cell>
        </row>
        <row r="649">
          <cell r="A649">
            <v>43380</v>
          </cell>
        </row>
        <row r="650">
          <cell r="A650">
            <v>43381</v>
          </cell>
        </row>
        <row r="651">
          <cell r="A651">
            <v>43382</v>
          </cell>
        </row>
        <row r="652">
          <cell r="A652">
            <v>43383</v>
          </cell>
        </row>
        <row r="653">
          <cell r="A653">
            <v>43384</v>
          </cell>
        </row>
        <row r="654">
          <cell r="A654">
            <v>43385</v>
          </cell>
        </row>
        <row r="655">
          <cell r="A655">
            <v>43386</v>
          </cell>
        </row>
        <row r="656">
          <cell r="A656">
            <v>43387</v>
          </cell>
        </row>
        <row r="657">
          <cell r="A657">
            <v>43388</v>
          </cell>
        </row>
        <row r="658">
          <cell r="A658">
            <v>43389</v>
          </cell>
        </row>
        <row r="659">
          <cell r="A659">
            <v>43390</v>
          </cell>
        </row>
        <row r="660">
          <cell r="A660">
            <v>43391</v>
          </cell>
        </row>
        <row r="661">
          <cell r="A661">
            <v>43392</v>
          </cell>
        </row>
        <row r="662">
          <cell r="A662">
            <v>43393</v>
          </cell>
        </row>
        <row r="663">
          <cell r="A663">
            <v>43394</v>
          </cell>
        </row>
        <row r="664">
          <cell r="A664">
            <v>43395</v>
          </cell>
        </row>
        <row r="665">
          <cell r="A665">
            <v>43396</v>
          </cell>
        </row>
        <row r="666">
          <cell r="A666">
            <v>43397</v>
          </cell>
        </row>
        <row r="667">
          <cell r="A667">
            <v>43398</v>
          </cell>
        </row>
        <row r="668">
          <cell r="A668">
            <v>43399</v>
          </cell>
        </row>
        <row r="669">
          <cell r="A669">
            <v>43400</v>
          </cell>
        </row>
        <row r="670">
          <cell r="A670">
            <v>43401</v>
          </cell>
        </row>
        <row r="671">
          <cell r="A671">
            <v>43402</v>
          </cell>
        </row>
        <row r="672">
          <cell r="A672">
            <v>43403</v>
          </cell>
        </row>
        <row r="673">
          <cell r="A673">
            <v>43404</v>
          </cell>
        </row>
        <row r="674">
          <cell r="A674">
            <v>43405</v>
          </cell>
        </row>
        <row r="675">
          <cell r="A675">
            <v>43406</v>
          </cell>
        </row>
        <row r="676">
          <cell r="A676">
            <v>43407</v>
          </cell>
        </row>
        <row r="677">
          <cell r="A677">
            <v>43408</v>
          </cell>
        </row>
        <row r="678">
          <cell r="A678">
            <v>43409</v>
          </cell>
        </row>
        <row r="679">
          <cell r="A679">
            <v>43410</v>
          </cell>
        </row>
        <row r="680">
          <cell r="A680">
            <v>43411</v>
          </cell>
        </row>
        <row r="681">
          <cell r="A681">
            <v>43412</v>
          </cell>
        </row>
        <row r="682">
          <cell r="A682">
            <v>43413</v>
          </cell>
        </row>
        <row r="683">
          <cell r="A683">
            <v>43414</v>
          </cell>
        </row>
        <row r="684">
          <cell r="A684">
            <v>43415</v>
          </cell>
        </row>
        <row r="685">
          <cell r="A685">
            <v>43416</v>
          </cell>
        </row>
        <row r="686">
          <cell r="A686">
            <v>43417</v>
          </cell>
        </row>
        <row r="687">
          <cell r="A687">
            <v>43418</v>
          </cell>
        </row>
        <row r="688">
          <cell r="A688">
            <v>43419</v>
          </cell>
        </row>
        <row r="689">
          <cell r="A689">
            <v>43420</v>
          </cell>
        </row>
        <row r="690">
          <cell r="A690">
            <v>43421</v>
          </cell>
        </row>
        <row r="691">
          <cell r="A691">
            <v>43422</v>
          </cell>
        </row>
        <row r="692">
          <cell r="A692">
            <v>43423</v>
          </cell>
        </row>
        <row r="693">
          <cell r="A693">
            <v>43424</v>
          </cell>
        </row>
        <row r="694">
          <cell r="A694">
            <v>43425</v>
          </cell>
        </row>
        <row r="695">
          <cell r="A695">
            <v>43426</v>
          </cell>
        </row>
        <row r="696">
          <cell r="A696">
            <v>43427</v>
          </cell>
        </row>
        <row r="697">
          <cell r="A697">
            <v>43428</v>
          </cell>
        </row>
        <row r="698">
          <cell r="A698">
            <v>43429</v>
          </cell>
        </row>
        <row r="699">
          <cell r="A699">
            <v>43430</v>
          </cell>
        </row>
        <row r="700">
          <cell r="A700">
            <v>43431</v>
          </cell>
        </row>
        <row r="701">
          <cell r="A701">
            <v>43432</v>
          </cell>
        </row>
        <row r="702">
          <cell r="A702">
            <v>43433</v>
          </cell>
        </row>
        <row r="703">
          <cell r="A703">
            <v>43434</v>
          </cell>
        </row>
        <row r="704">
          <cell r="A704">
            <v>43435</v>
          </cell>
        </row>
        <row r="705">
          <cell r="A705">
            <v>43436</v>
          </cell>
        </row>
        <row r="706">
          <cell r="A706">
            <v>43437</v>
          </cell>
        </row>
        <row r="707">
          <cell r="A707">
            <v>43438</v>
          </cell>
        </row>
        <row r="708">
          <cell r="A708">
            <v>43439</v>
          </cell>
        </row>
        <row r="709">
          <cell r="A709">
            <v>43440</v>
          </cell>
        </row>
        <row r="710">
          <cell r="A710">
            <v>43441</v>
          </cell>
        </row>
        <row r="711">
          <cell r="A711">
            <v>43442</v>
          </cell>
        </row>
        <row r="712">
          <cell r="A712">
            <v>43443</v>
          </cell>
        </row>
        <row r="713">
          <cell r="A713">
            <v>43444</v>
          </cell>
        </row>
        <row r="714">
          <cell r="A714">
            <v>43445</v>
          </cell>
        </row>
        <row r="715">
          <cell r="A715">
            <v>43446</v>
          </cell>
        </row>
        <row r="716">
          <cell r="A716">
            <v>43447</v>
          </cell>
        </row>
        <row r="717">
          <cell r="A717">
            <v>43448</v>
          </cell>
        </row>
        <row r="718">
          <cell r="A718">
            <v>43449</v>
          </cell>
        </row>
        <row r="719">
          <cell r="A719">
            <v>43450</v>
          </cell>
        </row>
        <row r="720">
          <cell r="A720">
            <v>43451</v>
          </cell>
        </row>
        <row r="721">
          <cell r="A721">
            <v>43452</v>
          </cell>
        </row>
        <row r="722">
          <cell r="A722">
            <v>43453</v>
          </cell>
        </row>
        <row r="723">
          <cell r="A723">
            <v>43454</v>
          </cell>
        </row>
        <row r="724">
          <cell r="A724">
            <v>43455</v>
          </cell>
        </row>
        <row r="725">
          <cell r="A725">
            <v>43456</v>
          </cell>
        </row>
        <row r="726">
          <cell r="A726">
            <v>43457</v>
          </cell>
        </row>
        <row r="727">
          <cell r="A727">
            <v>43458</v>
          </cell>
        </row>
        <row r="728">
          <cell r="A728">
            <v>43459</v>
          </cell>
        </row>
        <row r="729">
          <cell r="A729">
            <v>43460</v>
          </cell>
        </row>
        <row r="730">
          <cell r="A730">
            <v>43461</v>
          </cell>
        </row>
        <row r="731">
          <cell r="A731">
            <v>43462</v>
          </cell>
        </row>
        <row r="732">
          <cell r="A732">
            <v>43463</v>
          </cell>
        </row>
        <row r="733">
          <cell r="A733">
            <v>43464</v>
          </cell>
        </row>
        <row r="734">
          <cell r="A734">
            <v>43465</v>
          </cell>
        </row>
        <row r="735">
          <cell r="A735">
            <v>43466</v>
          </cell>
        </row>
        <row r="736">
          <cell r="A736">
            <v>43467</v>
          </cell>
        </row>
        <row r="737">
          <cell r="A737">
            <v>43468</v>
          </cell>
        </row>
        <row r="738">
          <cell r="A738">
            <v>43469</v>
          </cell>
        </row>
        <row r="739">
          <cell r="A739">
            <v>43470</v>
          </cell>
        </row>
        <row r="740">
          <cell r="A740">
            <v>43471</v>
          </cell>
        </row>
        <row r="741">
          <cell r="A741">
            <v>43472</v>
          </cell>
        </row>
        <row r="742">
          <cell r="A742">
            <v>43473</v>
          </cell>
        </row>
        <row r="743">
          <cell r="A743">
            <v>43474</v>
          </cell>
        </row>
        <row r="744">
          <cell r="A744">
            <v>43475</v>
          </cell>
        </row>
        <row r="745">
          <cell r="A745">
            <v>43476</v>
          </cell>
        </row>
        <row r="746">
          <cell r="A746">
            <v>43477</v>
          </cell>
        </row>
        <row r="747">
          <cell r="A747">
            <v>43478</v>
          </cell>
        </row>
        <row r="748">
          <cell r="A748">
            <v>43479</v>
          </cell>
        </row>
        <row r="749">
          <cell r="A749">
            <v>43480</v>
          </cell>
        </row>
        <row r="750">
          <cell r="A750">
            <v>43481</v>
          </cell>
        </row>
        <row r="751">
          <cell r="A751">
            <v>43482</v>
          </cell>
        </row>
        <row r="752">
          <cell r="A752">
            <v>43483</v>
          </cell>
        </row>
        <row r="753">
          <cell r="A753">
            <v>43484</v>
          </cell>
        </row>
        <row r="754">
          <cell r="A754">
            <v>43485</v>
          </cell>
        </row>
        <row r="755">
          <cell r="A755">
            <v>43486</v>
          </cell>
        </row>
        <row r="756">
          <cell r="A756">
            <v>43487</v>
          </cell>
        </row>
        <row r="757">
          <cell r="A757">
            <v>43488</v>
          </cell>
        </row>
        <row r="758">
          <cell r="A758">
            <v>43489</v>
          </cell>
        </row>
        <row r="759">
          <cell r="A759">
            <v>43490</v>
          </cell>
        </row>
        <row r="760">
          <cell r="A760">
            <v>43491</v>
          </cell>
        </row>
        <row r="761">
          <cell r="A761">
            <v>43492</v>
          </cell>
        </row>
        <row r="762">
          <cell r="A762">
            <v>43493</v>
          </cell>
        </row>
        <row r="763">
          <cell r="A763">
            <v>43494</v>
          </cell>
        </row>
        <row r="764">
          <cell r="A764">
            <v>43495</v>
          </cell>
        </row>
        <row r="765">
          <cell r="A765">
            <v>43496</v>
          </cell>
        </row>
        <row r="766">
          <cell r="A766">
            <v>43497</v>
          </cell>
        </row>
        <row r="767">
          <cell r="A767">
            <v>43498</v>
          </cell>
        </row>
        <row r="768">
          <cell r="A768">
            <v>43499</v>
          </cell>
        </row>
        <row r="769">
          <cell r="A769">
            <v>43500</v>
          </cell>
        </row>
        <row r="770">
          <cell r="A770">
            <v>43501</v>
          </cell>
        </row>
        <row r="771">
          <cell r="A771">
            <v>43502</v>
          </cell>
        </row>
        <row r="772">
          <cell r="A772">
            <v>43503</v>
          </cell>
        </row>
        <row r="773">
          <cell r="A773">
            <v>43504</v>
          </cell>
        </row>
        <row r="774">
          <cell r="A774">
            <v>43505</v>
          </cell>
        </row>
        <row r="775">
          <cell r="A775">
            <v>43506</v>
          </cell>
        </row>
        <row r="776">
          <cell r="A776">
            <v>43507</v>
          </cell>
        </row>
        <row r="777">
          <cell r="A777">
            <v>43508</v>
          </cell>
        </row>
        <row r="778">
          <cell r="A778">
            <v>43509</v>
          </cell>
        </row>
        <row r="779">
          <cell r="A779">
            <v>43510</v>
          </cell>
        </row>
        <row r="780">
          <cell r="A780">
            <v>43511</v>
          </cell>
        </row>
        <row r="781">
          <cell r="A781">
            <v>43512</v>
          </cell>
        </row>
        <row r="782">
          <cell r="A782">
            <v>43513</v>
          </cell>
        </row>
        <row r="783">
          <cell r="A783">
            <v>43514</v>
          </cell>
        </row>
        <row r="784">
          <cell r="A784">
            <v>43515</v>
          </cell>
        </row>
        <row r="785">
          <cell r="A785">
            <v>43516</v>
          </cell>
        </row>
        <row r="786">
          <cell r="A786">
            <v>43517</v>
          </cell>
        </row>
        <row r="787">
          <cell r="A787">
            <v>43518</v>
          </cell>
        </row>
        <row r="788">
          <cell r="A788">
            <v>43519</v>
          </cell>
        </row>
        <row r="789">
          <cell r="A789">
            <v>43520</v>
          </cell>
        </row>
        <row r="790">
          <cell r="A790">
            <v>43521</v>
          </cell>
        </row>
        <row r="791">
          <cell r="A791">
            <v>43522</v>
          </cell>
        </row>
        <row r="792">
          <cell r="A792">
            <v>43523</v>
          </cell>
        </row>
        <row r="793">
          <cell r="A793">
            <v>43524</v>
          </cell>
        </row>
        <row r="794">
          <cell r="A794">
            <v>43525</v>
          </cell>
        </row>
        <row r="795">
          <cell r="A795">
            <v>43526</v>
          </cell>
        </row>
        <row r="796">
          <cell r="A796">
            <v>43527</v>
          </cell>
        </row>
        <row r="797">
          <cell r="A797">
            <v>43528</v>
          </cell>
        </row>
        <row r="798">
          <cell r="A798">
            <v>43529</v>
          </cell>
        </row>
        <row r="799">
          <cell r="A799">
            <v>43530</v>
          </cell>
        </row>
        <row r="800">
          <cell r="A800">
            <v>43531</v>
          </cell>
        </row>
        <row r="801">
          <cell r="A801">
            <v>43532</v>
          </cell>
        </row>
        <row r="802">
          <cell r="A802">
            <v>43533</v>
          </cell>
        </row>
        <row r="803">
          <cell r="A803">
            <v>43534</v>
          </cell>
        </row>
        <row r="804">
          <cell r="A804">
            <v>43535</v>
          </cell>
        </row>
        <row r="805">
          <cell r="A805">
            <v>43536</v>
          </cell>
        </row>
        <row r="806">
          <cell r="A806">
            <v>43537</v>
          </cell>
        </row>
        <row r="807">
          <cell r="A807">
            <v>43538</v>
          </cell>
        </row>
        <row r="808">
          <cell r="A808">
            <v>43539</v>
          </cell>
        </row>
        <row r="809">
          <cell r="A809">
            <v>43540</v>
          </cell>
        </row>
        <row r="810">
          <cell r="A810">
            <v>43541</v>
          </cell>
        </row>
        <row r="811">
          <cell r="A811">
            <v>43542</v>
          </cell>
        </row>
        <row r="812">
          <cell r="A812">
            <v>43543</v>
          </cell>
        </row>
        <row r="813">
          <cell r="A813">
            <v>43544</v>
          </cell>
        </row>
        <row r="814">
          <cell r="A814">
            <v>43545</v>
          </cell>
        </row>
        <row r="815">
          <cell r="A815">
            <v>43546</v>
          </cell>
        </row>
        <row r="816">
          <cell r="A816">
            <v>43547</v>
          </cell>
        </row>
        <row r="817">
          <cell r="A817">
            <v>43548</v>
          </cell>
        </row>
        <row r="818">
          <cell r="A818">
            <v>43549</v>
          </cell>
        </row>
        <row r="819">
          <cell r="A819">
            <v>43550</v>
          </cell>
        </row>
        <row r="820">
          <cell r="A820">
            <v>43551</v>
          </cell>
        </row>
        <row r="821">
          <cell r="A821">
            <v>43552</v>
          </cell>
        </row>
        <row r="822">
          <cell r="A822">
            <v>43553</v>
          </cell>
        </row>
        <row r="823">
          <cell r="A823">
            <v>43554</v>
          </cell>
        </row>
        <row r="824">
          <cell r="A824">
            <v>43555</v>
          </cell>
        </row>
        <row r="825">
          <cell r="A825">
            <v>43556</v>
          </cell>
        </row>
        <row r="826">
          <cell r="A826">
            <v>43557</v>
          </cell>
        </row>
        <row r="827">
          <cell r="A827">
            <v>43558</v>
          </cell>
        </row>
        <row r="828">
          <cell r="A828">
            <v>43559</v>
          </cell>
        </row>
        <row r="829">
          <cell r="A829">
            <v>43560</v>
          </cell>
        </row>
        <row r="830">
          <cell r="A830">
            <v>43561</v>
          </cell>
        </row>
        <row r="831">
          <cell r="A831">
            <v>43562</v>
          </cell>
        </row>
        <row r="832">
          <cell r="A832">
            <v>43563</v>
          </cell>
        </row>
        <row r="833">
          <cell r="A833">
            <v>43564</v>
          </cell>
        </row>
        <row r="834">
          <cell r="A834">
            <v>43565</v>
          </cell>
        </row>
        <row r="835">
          <cell r="A835">
            <v>43566</v>
          </cell>
        </row>
        <row r="836">
          <cell r="A836">
            <v>43567</v>
          </cell>
        </row>
        <row r="837">
          <cell r="A837">
            <v>43568</v>
          </cell>
        </row>
        <row r="838">
          <cell r="A838">
            <v>43569</v>
          </cell>
        </row>
        <row r="839">
          <cell r="A839">
            <v>43570</v>
          </cell>
        </row>
        <row r="840">
          <cell r="A840">
            <v>43571</v>
          </cell>
        </row>
        <row r="841">
          <cell r="A841">
            <v>43572</v>
          </cell>
        </row>
        <row r="842">
          <cell r="A842">
            <v>43573</v>
          </cell>
        </row>
        <row r="843">
          <cell r="A843">
            <v>43574</v>
          </cell>
        </row>
        <row r="844">
          <cell r="A844">
            <v>43575</v>
          </cell>
        </row>
        <row r="845">
          <cell r="A845">
            <v>43576</v>
          </cell>
        </row>
        <row r="846">
          <cell r="A846">
            <v>43577</v>
          </cell>
        </row>
        <row r="847">
          <cell r="A847">
            <v>43578</v>
          </cell>
        </row>
        <row r="848">
          <cell r="A848">
            <v>43579</v>
          </cell>
        </row>
        <row r="849">
          <cell r="A849">
            <v>43580</v>
          </cell>
        </row>
        <row r="850">
          <cell r="A850">
            <v>43581</v>
          </cell>
        </row>
        <row r="851">
          <cell r="A851">
            <v>43582</v>
          </cell>
        </row>
        <row r="852">
          <cell r="A852">
            <v>43583</v>
          </cell>
        </row>
        <row r="853">
          <cell r="A853">
            <v>43584</v>
          </cell>
        </row>
        <row r="854">
          <cell r="A854">
            <v>43585</v>
          </cell>
        </row>
        <row r="855">
          <cell r="A855">
            <v>43586</v>
          </cell>
        </row>
        <row r="856">
          <cell r="A856">
            <v>43587</v>
          </cell>
        </row>
        <row r="857">
          <cell r="A857">
            <v>43588</v>
          </cell>
        </row>
        <row r="858">
          <cell r="A858">
            <v>43589</v>
          </cell>
        </row>
        <row r="859">
          <cell r="A859">
            <v>43590</v>
          </cell>
        </row>
        <row r="860">
          <cell r="A860">
            <v>43591</v>
          </cell>
        </row>
        <row r="861">
          <cell r="A861">
            <v>43592</v>
          </cell>
        </row>
        <row r="862">
          <cell r="A862">
            <v>43593</v>
          </cell>
        </row>
        <row r="863">
          <cell r="A863">
            <v>43594</v>
          </cell>
        </row>
        <row r="864">
          <cell r="A864">
            <v>43595</v>
          </cell>
        </row>
        <row r="865">
          <cell r="A865">
            <v>43596</v>
          </cell>
        </row>
        <row r="866">
          <cell r="A866">
            <v>43597</v>
          </cell>
        </row>
        <row r="867">
          <cell r="A867">
            <v>43598</v>
          </cell>
        </row>
        <row r="868">
          <cell r="A868">
            <v>43599</v>
          </cell>
        </row>
        <row r="869">
          <cell r="A869">
            <v>43600</v>
          </cell>
        </row>
        <row r="870">
          <cell r="A870">
            <v>43601</v>
          </cell>
        </row>
        <row r="871">
          <cell r="A871">
            <v>43602</v>
          </cell>
        </row>
        <row r="872">
          <cell r="A872">
            <v>43603</v>
          </cell>
        </row>
        <row r="873">
          <cell r="A873">
            <v>43604</v>
          </cell>
        </row>
        <row r="874">
          <cell r="A874">
            <v>43605</v>
          </cell>
        </row>
        <row r="875">
          <cell r="A875">
            <v>43606</v>
          </cell>
        </row>
        <row r="876">
          <cell r="A876">
            <v>43607</v>
          </cell>
        </row>
        <row r="877">
          <cell r="A877">
            <v>43608</v>
          </cell>
        </row>
        <row r="878">
          <cell r="A878">
            <v>43609</v>
          </cell>
        </row>
        <row r="879">
          <cell r="A879">
            <v>43610</v>
          </cell>
        </row>
        <row r="880">
          <cell r="A880">
            <v>43611</v>
          </cell>
        </row>
        <row r="881">
          <cell r="A881">
            <v>43612</v>
          </cell>
        </row>
        <row r="882">
          <cell r="A882">
            <v>43613</v>
          </cell>
        </row>
        <row r="883">
          <cell r="A883">
            <v>43614</v>
          </cell>
        </row>
        <row r="884">
          <cell r="A884">
            <v>43615</v>
          </cell>
        </row>
        <row r="885">
          <cell r="A885">
            <v>43616</v>
          </cell>
        </row>
        <row r="886">
          <cell r="A886">
            <v>43617</v>
          </cell>
        </row>
        <row r="887">
          <cell r="A887">
            <v>43618</v>
          </cell>
        </row>
        <row r="888">
          <cell r="A888">
            <v>43619</v>
          </cell>
        </row>
        <row r="889">
          <cell r="A889">
            <v>43620</v>
          </cell>
        </row>
        <row r="890">
          <cell r="A890">
            <v>43621</v>
          </cell>
        </row>
        <row r="891">
          <cell r="A891">
            <v>43622</v>
          </cell>
        </row>
        <row r="892">
          <cell r="A892">
            <v>43623</v>
          </cell>
        </row>
        <row r="893">
          <cell r="A893">
            <v>43624</v>
          </cell>
        </row>
        <row r="894">
          <cell r="A894">
            <v>43625</v>
          </cell>
        </row>
        <row r="895">
          <cell r="A895">
            <v>43626</v>
          </cell>
        </row>
        <row r="896">
          <cell r="A896">
            <v>43627</v>
          </cell>
        </row>
        <row r="897">
          <cell r="A897">
            <v>43628</v>
          </cell>
        </row>
        <row r="898">
          <cell r="A898">
            <v>43629</v>
          </cell>
        </row>
        <row r="899">
          <cell r="A899">
            <v>43630</v>
          </cell>
        </row>
        <row r="900">
          <cell r="A900">
            <v>43631</v>
          </cell>
        </row>
        <row r="901">
          <cell r="A901">
            <v>43632</v>
          </cell>
        </row>
        <row r="902">
          <cell r="A902">
            <v>43633</v>
          </cell>
        </row>
        <row r="903">
          <cell r="A903">
            <v>43634</v>
          </cell>
        </row>
        <row r="904">
          <cell r="A904">
            <v>43635</v>
          </cell>
        </row>
        <row r="905">
          <cell r="A905">
            <v>43636</v>
          </cell>
        </row>
        <row r="906">
          <cell r="A906">
            <v>43637</v>
          </cell>
        </row>
        <row r="907">
          <cell r="A907">
            <v>43638</v>
          </cell>
        </row>
        <row r="908">
          <cell r="A908">
            <v>43639</v>
          </cell>
        </row>
        <row r="909">
          <cell r="A909">
            <v>43640</v>
          </cell>
        </row>
        <row r="910">
          <cell r="A910">
            <v>43641</v>
          </cell>
        </row>
        <row r="911">
          <cell r="A911">
            <v>43642</v>
          </cell>
        </row>
        <row r="912">
          <cell r="A912">
            <v>43643</v>
          </cell>
        </row>
        <row r="913">
          <cell r="A913">
            <v>43644</v>
          </cell>
        </row>
        <row r="914">
          <cell r="A914">
            <v>43645</v>
          </cell>
        </row>
        <row r="915">
          <cell r="A915">
            <v>43646</v>
          </cell>
        </row>
        <row r="916">
          <cell r="A916">
            <v>43647</v>
          </cell>
        </row>
        <row r="917">
          <cell r="A917">
            <v>43648</v>
          </cell>
        </row>
        <row r="918">
          <cell r="A918">
            <v>43649</v>
          </cell>
        </row>
        <row r="919">
          <cell r="A919">
            <v>43650</v>
          </cell>
        </row>
        <row r="920">
          <cell r="A920">
            <v>43651</v>
          </cell>
        </row>
        <row r="921">
          <cell r="A921">
            <v>43652</v>
          </cell>
        </row>
        <row r="922">
          <cell r="A922">
            <v>43653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gelio Gaytan Berriel" refreshedDate="43565.593981712962" createdVersion="6" refreshedVersion="5" minRefreshableVersion="3" recordCount="1963">
  <cacheSource type="worksheet">
    <worksheetSource name="Tabla1"/>
  </cacheSource>
  <cacheFields count="12">
    <cacheField name="Año" numFmtId="0">
      <sharedItems containsSemiMixedTypes="0" containsString="0" containsNumber="1" containsInteger="1" minValue="2013" maxValue="2018" count="6">
        <n v="2013"/>
        <n v="2014"/>
        <n v="2015"/>
        <n v="2016"/>
        <n v="2017"/>
        <n v="2018"/>
      </sharedItems>
    </cacheField>
    <cacheField name="Mes" numFmtId="0">
      <sharedItems containsSemiMixedTypes="0" containsString="0" containsNumber="1" containsInteger="1" minValue="1" maxValue="12" count="12">
        <n v="7"/>
        <n v="8"/>
        <n v="9"/>
        <n v="10"/>
        <n v="11"/>
        <n v="12"/>
        <n v="1"/>
        <n v="2"/>
        <n v="3"/>
        <n v="4"/>
        <n v="5"/>
        <n v="6"/>
      </sharedItems>
    </cacheField>
    <cacheField name="Periodo" numFmtId="199">
      <sharedItems containsSemiMixedTypes="0" containsNonDate="0" containsDate="1" containsString="0" minDate="2013-07-15T00:00:00" maxDate="2018-11-29T00:00:00"/>
    </cacheField>
    <cacheField name="Fecha" numFmtId="198">
      <sharedItems containsSemiMixedTypes="0" containsNonDate="0" containsDate="1" containsString="0" minDate="2013-07-15T00:00:00" maxDate="2018-11-29T00:00:00"/>
    </cacheField>
    <cacheField name="Diferencial" numFmtId="3">
      <sharedItems containsString="0" containsBlank="1" containsNumber="1" containsInteger="1" minValue="-37499" maxValue="84202"/>
    </cacheField>
    <cacheField name="Compras" numFmtId="3">
      <sharedItems containsString="0" containsBlank="1" containsNumber="1" containsInteger="1" minValue="0" maxValue="107614"/>
    </cacheField>
    <cacheField name="Inyeccion_x000a_Cactus Hill" numFmtId="3">
      <sharedItems containsString="0" containsBlank="1" containsNumber="1" containsInteger="1" minValue="0" maxValue="107614"/>
    </cacheField>
    <cacheField name="EXTRACIONES TOTALES" numFmtId="3">
      <sharedItems containsSemiMixedTypes="0" containsString="0" containsNumber="1" minValue="0" maxValue="78825.667130963993"/>
    </cacheField>
    <cacheField name="Extraccion_x000a_Norte II" numFmtId="3">
      <sharedItems containsString="0" containsBlank="1" containsNumber="1" minValue="0" maxValue="78825.667130963993"/>
    </cacheField>
    <cacheField name="Extraccion_x000a_ENO" numFmtId="3">
      <sharedItems containsNonDate="0" containsString="0" containsBlank="1"/>
    </cacheField>
    <cacheField name="Desbalance_x000a_TPL" numFmtId="3">
      <sharedItems containsSemiMixedTypes="0" containsString="0" containsNumber="1" minValue="-72069.188715693002" maxValue="62996.864468339998"/>
    </cacheField>
    <cacheField name="Acumulado" numFmtId="3">
      <sharedItems containsSemiMixedTypes="0" containsString="0" containsNumber="1" minValue="-750938.90687183151" maxValue="264175.797228685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OnLoad="1" refreshedBy="Rogelio Gaytan Berriel" refreshedDate="43591.426513078703" createdVersion="6" refreshedVersion="5" minRefreshableVersion="3" recordCount="178">
  <cacheSource type="worksheet">
    <worksheetSource name="Diario_Documentos_TPL"/>
  </cacheSource>
  <cacheFields count="44">
    <cacheField name="Nombre_x000a_Proveedor" numFmtId="0">
      <sharedItems count="5">
        <s v="TARAHUMARA PIPELINE S DE RL DE CV"/>
        <s v="TENNESSEE GAS PIPELINE COMPANY L.L.C." u="1"/>
        <s v="TENASKA MARKETING VENTURES" u="1"/>
        <s v="TRANS-PECOS PIPELINE, LLC" u="1"/>
        <s v="TRAFIGURA TRADING, LLC" u="1"/>
      </sharedItems>
    </cacheField>
    <cacheField name="Nuemero  Acreedor_x000a_SAP" numFmtId="0">
      <sharedItems containsSemiMixedTypes="0" containsString="0" containsNumber="1" containsInteger="1" minValue="4326976" maxValue="4326979"/>
    </cacheField>
    <cacheField name="Numero de Contrato_x000a_SAP" numFmtId="0">
      <sharedItems containsMixedTypes="1" containsNumber="1" containsInteger="1" minValue="800642440" maxValue="800874989"/>
    </cacheField>
    <cacheField name="Plurianual" numFmtId="0">
      <sharedItems containsNonDate="0" containsString="0" containsBlank="1"/>
    </cacheField>
    <cacheField name="Lugar de Servicio" numFmtId="0">
      <sharedItems/>
    </cacheField>
    <cacheField name="Contrato" numFmtId="0">
      <sharedItems count="5">
        <s v="GASODUCTO CORREDOR CHIHUAHUA"/>
        <s v="GASODUCTO CORREDOR CHIHUAHUA - INTERCONEXION ENO"/>
        <s v="GASODUCTO WAHA - PRESIDIO" u="1"/>
        <s v="SISTEMA DE TRANSPORTE DE TENNESSEE GAS PIPELINE COMPANY" u="1"/>
        <s v="NAESB" u="1"/>
      </sharedItems>
    </cacheField>
    <cacheField name="Servicio" numFmtId="0">
      <sharedItems count="2">
        <s v="TRANSPORTE DE GAS NATURAL"/>
        <s v="COMPRA-VENTA GAS NATURAL" u="1"/>
      </sharedItems>
    </cacheField>
    <cacheField name="Nombre del Centro Gestor" numFmtId="0">
      <sharedItems/>
    </cacheField>
    <cacheField name="Sociedad" numFmtId="0">
      <sharedItems containsMixedTypes="1" containsNumber="1" containsInteger="1" minValue="2502" maxValue="2502"/>
    </cacheField>
    <cacheField name="Año del Pago" numFmtId="1">
      <sharedItems containsMixedTypes="1" containsNumber="1" containsInteger="1" minValue="2014" maxValue="2019" count="7">
        <n v="2014"/>
        <n v="2015"/>
        <n v="2016"/>
        <n v="2017"/>
        <n v="2018"/>
        <n v="2019"/>
        <s v="SIN PAGO"/>
      </sharedItems>
    </cacheField>
    <cacheField name="Año del Servicio" numFmtId="0">
      <sharedItems containsSemiMixedTypes="0" containsString="0" containsNumber="1" containsInteger="1" minValue="2014" maxValue="2019" count="6">
        <n v="2014"/>
        <n v="2015"/>
        <n v="2016"/>
        <n v="2017"/>
        <n v="2018"/>
        <n v="2019"/>
      </sharedItems>
    </cacheField>
    <cacheField name="Periodo de Pago" numFmtId="0">
      <sharedItems containsSemiMixedTypes="0" containsString="0" containsNumber="1" containsInteger="1" minValue="1" maxValue="12"/>
    </cacheField>
    <cacheField name="Periodo del Servicio" numFmtId="0">
      <sharedItems containsSemiMixedTypes="0" containsString="0" containsNumber="1" containsInteger="1" minValue="1" maxValue="12" count="12">
        <n v="3"/>
        <n v="5"/>
        <n v="11"/>
        <n v="10"/>
        <n v="9"/>
        <n v="12"/>
        <n v="4"/>
        <n v="8"/>
        <n v="1"/>
        <n v="2"/>
        <n v="7"/>
        <n v="6"/>
      </sharedItems>
    </cacheField>
    <cacheField name="Mes" numFmtId="0">
      <sharedItems containsMixedTypes="1" containsNumber="1" containsInteger="1" minValue="12" maxValue="12" count="13">
        <s v="MARZO"/>
        <s v="MAYO"/>
        <s v="NOVIEMBRE"/>
        <s v="OCTUBRE"/>
        <s v="SEPTIEMBRE"/>
        <s v="DICIEMBRE"/>
        <s v="ABRIL"/>
        <s v="AGOSTO"/>
        <s v="ENERO"/>
        <s v="FEBRERO"/>
        <s v="JULIO"/>
        <s v="JUNIO"/>
        <n v="12" u="1"/>
      </sharedItems>
    </cacheField>
    <cacheField name="Numero de Factura" numFmtId="0">
      <sharedItems containsBlank="1" count="106">
        <s v="13"/>
        <s v="15"/>
        <s v="FE-04"/>
        <s v="22"/>
        <s v="21"/>
        <s v="FE-05"/>
        <s v="FE13"/>
        <s v="FE 25"/>
        <s v="FE-06"/>
        <s v="FE-11"/>
        <s v="FE24"/>
        <s v="FE23"/>
        <s v="FE12"/>
        <s v="FE14"/>
        <s v="FE 47"/>
        <s v="FE 40"/>
        <s v="FE 32"/>
        <s v="FE-54"/>
        <s v="FE 86"/>
        <s v="FE 112"/>
        <s v="FE 60"/>
        <s v="FE-66"/>
        <s v="FE 105"/>
        <s v="FE 99"/>
        <s v="FE 79"/>
        <s v="FE 92"/>
        <s v="FE 133"/>
        <s v="FE 123"/>
        <s v="FE 118"/>
        <s v="FE 139"/>
        <s v="FE-165"/>
        <s v="FE-218"/>
        <s v="FE-250"/>
        <s v="FE-145"/>
        <s v="FE-152"/>
        <s v="FE-207"/>
        <s v="FE-169"/>
        <s v="FE-159"/>
        <s v="FE-168"/>
        <s v="FE-241"/>
        <s v="FE-233"/>
        <s v="FE-224"/>
        <s v="FE-277"/>
        <s v="314 FE"/>
        <s v="314 FE, 316 FE"/>
        <s v="329 FE"/>
        <s v="315 FE"/>
        <s v="358 FE"/>
        <s v="360 FE"/>
        <s v="359 FE"/>
        <s v="FE-257"/>
        <s v="FE-264"/>
        <s v="304 FE"/>
        <s v="308 FE"/>
        <s v="328 FE"/>
        <s v="307 FE"/>
        <s v="293 FE"/>
        <s v="296 FE"/>
        <s v="327 FE"/>
        <s v="294 FE"/>
        <s v="FE-271"/>
        <s v="286 FE"/>
        <s v=" 286 FE"/>
        <s v="295 FE"/>
        <s v="326 FE"/>
        <s v="292 FE"/>
        <s v="348 FE"/>
        <s v="349 FE"/>
        <s v="336 FE"/>
        <s v="338 FE"/>
        <s v="340 FE"/>
        <s v="337 FE"/>
        <s v="322 FE"/>
        <s v="RECLASIFICACION"/>
        <s v="FE 324,325 y 329"/>
        <s v="323 FE"/>
        <s v="366 FE"/>
        <s v="367 FE"/>
        <s v="368 FE"/>
        <s v="370 FE"/>
        <s v="377FE"/>
        <s v="378 FE"/>
        <s v="379 FE"/>
        <s v="380 FE"/>
        <s v="390 FE"/>
        <s v="387 FE"/>
        <s v="388 FE"/>
        <s v="391 FE"/>
        <m u="1"/>
        <s v="T052017186" u="1"/>
        <s v="0072460217D00" u="1"/>
        <s v="324 FE- 329 FE" u="1"/>
        <s v="0072460517D00" u="1"/>
        <s v="T0220176" u="1"/>
        <s v="ESTIMADA" u="1"/>
        <s v="T042017104" u="1"/>
        <s v="0072460317D00" u="1"/>
        <s v="0072460617D00" u="1"/>
        <s v="324 FE- 339FE" u="1"/>
        <s v="FE 324-329" u="1"/>
        <s v="T0120171" u="1"/>
        <s v="327FE" u="1"/>
        <s v="0072460417D00" u="1"/>
        <s v="T03201755" u="1"/>
        <s v="T062017217" u="1"/>
        <s v="FE 324-FE 329" u="1"/>
      </sharedItems>
    </cacheField>
    <cacheField name="Clave" numFmtId="0">
      <sharedItems containsBlank="1" count="5">
        <s v="CFV"/>
        <s v="CFT"/>
        <s v="CVT"/>
        <m u="1"/>
        <s v="CEU" u="1"/>
      </sharedItems>
    </cacheField>
    <cacheField name="Moneda" numFmtId="0">
      <sharedItems/>
    </cacheField>
    <cacheField name="Pos Pre" numFmtId="0">
      <sharedItems containsMixedTypes="1" containsNumber="1" containsInteger="1" minValue="2233" maxValue="7256" count="12">
        <n v="2233"/>
        <n v="7241"/>
        <n v="7256"/>
        <s v="7A13"/>
        <s v="7A14"/>
        <n v="7249"/>
        <n v="7237"/>
        <n v="2280"/>
        <n v="2281"/>
        <s v="7A24"/>
        <n v="2238" u="1"/>
        <n v="7252" u="1"/>
      </sharedItems>
    </cacheField>
    <cacheField name="Cuenta Contable" numFmtId="0">
      <sharedItems containsSemiMixedTypes="0" containsString="0" containsNumber="1" containsInteger="1" minValue="453659" maxValue="468084" count="10">
        <n v="453882"/>
        <n v="453857"/>
        <n v="453858"/>
        <n v="468084"/>
        <n v="468079"/>
        <n v="468074"/>
        <n v="453851"/>
        <n v="453659"/>
        <n v="453888"/>
        <n v="453892" u="1"/>
      </sharedItems>
    </cacheField>
    <cacheField name="Fondo" numFmtId="0">
      <sharedItems/>
    </cacheField>
    <cacheField name="Centro Gestor" numFmtId="0">
      <sharedItems containsMixedTypes="1" containsNumber="1" containsInteger="1" minValue="2044" maxValue="2304" count="12">
        <n v="2277"/>
        <n v="2044"/>
        <s v="N306"/>
        <s v="N331"/>
        <n v="2048" u="1"/>
        <n v="2201" u="1"/>
        <n v="2210" u="1"/>
        <n v="2304" u="1"/>
        <n v="2059" u="1"/>
        <n v="2230" u="1"/>
        <n v="2181" u="1"/>
        <n v="2047" u="1"/>
      </sharedItems>
    </cacheField>
    <cacheField name="Numero Documento" numFmtId="0">
      <sharedItems containsString="0" containsBlank="1" containsNumber="1" containsInteger="1" minValue="180000006" maxValue="210002083"/>
    </cacheField>
    <cacheField name="Fecha_x000a_Pasivo" numFmtId="204">
      <sharedItems containsDate="1" containsBlank="1" containsMixedTypes="1" minDate="2014-04-04T00:00:00" maxDate="2104-11-05T00:00:00"/>
    </cacheField>
    <cacheField name="Importe Pasivo_x000a_(USD)" numFmtId="0">
      <sharedItems containsSemiMixedTypes="0" containsString="0" containsNumber="1" minValue="0" maxValue="4753878.6379310349"/>
    </cacheField>
    <cacheField name="IVA Pasivo_x000a_(USD)" numFmtId="0">
      <sharedItems containsSemiMixedTypes="0" containsString="0" containsNumber="1" minValue="0" maxValue="760620.58206896565"/>
    </cacheField>
    <cacheField name="Total Pasivo_x000a_(USD)" numFmtId="0">
      <sharedItems containsSemiMixedTypes="0" containsString="0" containsNumber="1" minValue="0" maxValue="5514499.2199999997"/>
    </cacheField>
    <cacheField name="Importe Pasivo_x000a_(MX)" numFmtId="0">
      <sharedItems containsBlank="1" containsMixedTypes="1" containsNumber="1" minValue="-86365805.549999997" maxValue="92807595.706896558"/>
    </cacheField>
    <cacheField name="IVA Pasivo_x000a_(MX)" numFmtId="0">
      <sharedItems containsMixedTypes="1" containsNumber="1" minValue="-13818528.888" maxValue="14849215.31310345"/>
    </cacheField>
    <cacheField name="Total Pasivo_x000a_(MX)" numFmtId="0">
      <sharedItems containsMixedTypes="1" containsNumber="1" minValue="-100184334.43799999" maxValue="107656811.02"/>
    </cacheField>
    <cacheField name="T.C. Pasivo" numFmtId="0">
      <sharedItems containsSemiMixedTypes="0" containsString="0" containsNumber="1" minValue="0" maxValue="21.314400000070414"/>
    </cacheField>
    <cacheField name="Numero _x000a_Documento" numFmtId="0">
      <sharedItems containsSemiMixedTypes="0" containsString="0" containsNumber="1" containsInteger="1" minValue="0" maxValue="210002083"/>
    </cacheField>
    <cacheField name="Fecha de Pago" numFmtId="204">
      <sharedItems containsSemiMixedTypes="0" containsNonDate="0" containsDate="1" containsString="0" minDate="1899-12-30T00:00:00" maxDate="2019-04-26T00:00:00"/>
    </cacheField>
    <cacheField name="Importe de Pago_x000a_(USD)" numFmtId="203">
      <sharedItems containsSemiMixedTypes="0" containsString="0" containsNumber="1" minValue="0" maxValue="4753878.6379310349"/>
    </cacheField>
    <cacheField name="IVA de Pago_x000a_(USD)" numFmtId="203">
      <sharedItems containsSemiMixedTypes="0" containsString="0" containsNumber="1" minValue="0" maxValue="760620.58206896565"/>
    </cacheField>
    <cacheField name="Total de Pago_x000a_(USD)" numFmtId="0">
      <sharedItems containsSemiMixedTypes="0" containsString="0" containsNumber="1" minValue="0" maxValue="5514499.2199999997"/>
    </cacheField>
    <cacheField name="Importe de Pago_x000a_(MX)" numFmtId="0">
      <sharedItems containsSemiMixedTypes="0" containsString="0" containsNumber="1" minValue="-86365805.549999997" maxValue="91388932.961549997"/>
    </cacheField>
    <cacheField name="IVA de Pago_x000a_(MX)" numFmtId="0">
      <sharedItems containsSemiMixedTypes="0" containsString="0" containsNumber="1" minValue="-13818528.888" maxValue="14622229.273847999"/>
    </cacheField>
    <cacheField name="Total de Pago_x000a_(MX)" numFmtId="0">
      <sharedItems containsSemiMixedTypes="0" containsString="0" containsNumber="1" minValue="-100184334.43799999" maxValue="106011162.23539799"/>
    </cacheField>
    <cacheField name="T.C Pago" numFmtId="191">
      <sharedItems containsString="0" containsBlank="1" containsNumber="1" minValue="13.005599999999999" maxValue="21.700199999999999"/>
    </cacheField>
    <cacheField name="Pos Pre_Paridad" numFmtId="174">
      <sharedItems containsNonDate="0" containsString="0" containsBlank="1"/>
    </cacheField>
    <cacheField name="Cuenta_Paridad" numFmtId="174">
      <sharedItems containsNonDate="0" containsString="0" containsBlank="1"/>
    </cacheField>
    <cacheField name="Subtotal_Paridad" numFmtId="174">
      <sharedItems containsMixedTypes="1" containsNumber="1" minValue="-3231011.2089930922" maxValue="15416208.547194481"/>
    </cacheField>
    <cacheField name="IVA_Paridad" numFmtId="174">
      <sharedItems containsMixedTypes="1" containsNumber="1" minValue="-516961.79343889654" maxValue="2466593.3675511032"/>
    </cacheField>
    <cacheField name="Total_Paridad" numFmtId="203">
      <sharedItems containsMixedTypes="1" containsNumber="1" minValue="-3747973.0024319887" maxValue="17882801.914745584"/>
    </cacheField>
  </cacheFields>
  <extLst>
    <ext xmlns:x14="http://schemas.microsoft.com/office/spreadsheetml/2009/9/main" uri="{725AE2AE-9491-48be-B2B4-4EB974FC3084}">
      <x14:pivotCacheDefinition pivotCacheId="209938807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63">
  <r>
    <x v="0"/>
    <x v="0"/>
    <d v="2013-07-15T00:00:00"/>
    <d v="2013-07-15T00:00:00"/>
    <n v="0"/>
    <m/>
    <n v="0"/>
    <n v="0"/>
    <n v="0"/>
    <m/>
    <n v="0"/>
    <n v="0"/>
  </r>
  <r>
    <x v="0"/>
    <x v="0"/>
    <d v="2013-07-16T00:00:00"/>
    <d v="2013-07-16T00:00:00"/>
    <n v="0"/>
    <m/>
    <n v="0"/>
    <n v="0"/>
    <n v="0"/>
    <m/>
    <n v="0"/>
    <n v="0"/>
  </r>
  <r>
    <x v="0"/>
    <x v="0"/>
    <d v="2013-07-17T00:00:00"/>
    <d v="2013-07-17T00:00:00"/>
    <n v="0"/>
    <m/>
    <n v="0"/>
    <n v="0"/>
    <n v="0"/>
    <m/>
    <n v="0"/>
    <n v="0"/>
  </r>
  <r>
    <x v="0"/>
    <x v="0"/>
    <d v="2013-07-18T00:00:00"/>
    <d v="2013-07-18T00:00:00"/>
    <n v="0"/>
    <m/>
    <n v="0"/>
    <n v="0"/>
    <n v="0"/>
    <m/>
    <n v="0"/>
    <n v="0"/>
  </r>
  <r>
    <x v="0"/>
    <x v="0"/>
    <d v="2013-07-19T00:00:00"/>
    <d v="2013-07-19T00:00:00"/>
    <n v="0"/>
    <m/>
    <n v="0"/>
    <n v="0"/>
    <n v="0"/>
    <m/>
    <n v="0"/>
    <n v="0"/>
  </r>
  <r>
    <x v="0"/>
    <x v="0"/>
    <d v="2013-07-20T00:00:00"/>
    <d v="2013-07-20T00:00:00"/>
    <n v="0"/>
    <m/>
    <n v="0"/>
    <n v="0"/>
    <n v="0"/>
    <m/>
    <n v="0"/>
    <n v="0"/>
  </r>
  <r>
    <x v="0"/>
    <x v="0"/>
    <d v="2013-07-21T00:00:00"/>
    <d v="2013-07-21T00:00:00"/>
    <n v="0"/>
    <m/>
    <n v="0"/>
    <n v="0"/>
    <n v="0"/>
    <m/>
    <n v="0"/>
    <n v="0"/>
  </r>
  <r>
    <x v="0"/>
    <x v="0"/>
    <d v="2013-07-22T00:00:00"/>
    <d v="2013-07-22T00:00:00"/>
    <n v="14670"/>
    <n v="14670"/>
    <n v="0"/>
    <n v="0"/>
    <n v="0"/>
    <m/>
    <n v="0"/>
    <n v="0"/>
  </r>
  <r>
    <x v="0"/>
    <x v="0"/>
    <d v="2013-07-23T00:00:00"/>
    <d v="2013-07-23T00:00:00"/>
    <n v="19560"/>
    <n v="19560"/>
    <n v="0"/>
    <n v="0"/>
    <n v="0"/>
    <m/>
    <n v="0"/>
    <n v="0"/>
  </r>
  <r>
    <x v="0"/>
    <x v="0"/>
    <d v="2013-07-24T00:00:00"/>
    <d v="2013-07-24T00:00:00"/>
    <n v="14670"/>
    <n v="14670"/>
    <n v="0"/>
    <n v="0"/>
    <n v="0"/>
    <m/>
    <n v="0"/>
    <n v="0"/>
  </r>
  <r>
    <x v="0"/>
    <x v="0"/>
    <d v="2013-07-25T00:00:00"/>
    <d v="2013-07-25T00:00:00"/>
    <n v="14666"/>
    <n v="14666"/>
    <n v="0"/>
    <n v="0"/>
    <n v="0"/>
    <m/>
    <n v="0"/>
    <n v="0"/>
  </r>
  <r>
    <x v="0"/>
    <x v="0"/>
    <d v="2013-07-26T00:00:00"/>
    <d v="2013-07-26T00:00:00"/>
    <n v="10000"/>
    <n v="10000"/>
    <n v="0"/>
    <n v="0"/>
    <n v="0"/>
    <m/>
    <n v="0"/>
    <n v="0"/>
  </r>
  <r>
    <x v="0"/>
    <x v="0"/>
    <d v="2013-07-27T00:00:00"/>
    <d v="2013-07-27T00:00:00"/>
    <n v="5000"/>
    <n v="5000"/>
    <n v="0"/>
    <n v="0"/>
    <n v="0"/>
    <m/>
    <n v="0"/>
    <n v="0"/>
  </r>
  <r>
    <x v="0"/>
    <x v="0"/>
    <d v="2013-07-28T00:00:00"/>
    <d v="2013-07-28T00:00:00"/>
    <n v="18329"/>
    <n v="18329"/>
    <n v="0"/>
    <n v="0"/>
    <n v="0"/>
    <m/>
    <n v="0"/>
    <n v="0"/>
  </r>
  <r>
    <x v="0"/>
    <x v="0"/>
    <d v="2013-07-29T00:00:00"/>
    <d v="2013-07-29T00:00:00"/>
    <n v="19548"/>
    <n v="19548"/>
    <n v="0"/>
    <n v="0"/>
    <n v="0"/>
    <m/>
    <n v="0"/>
    <n v="0"/>
  </r>
  <r>
    <x v="0"/>
    <x v="0"/>
    <d v="2013-07-30T00:00:00"/>
    <d v="2013-07-30T00:00:00"/>
    <n v="0"/>
    <m/>
    <n v="0"/>
    <n v="0"/>
    <n v="0"/>
    <m/>
    <n v="0"/>
    <n v="0"/>
  </r>
  <r>
    <x v="0"/>
    <x v="0"/>
    <d v="2013-07-31T00:00:00"/>
    <d v="2013-07-31T00:00:00"/>
    <n v="0"/>
    <m/>
    <n v="0"/>
    <n v="0"/>
    <n v="0"/>
    <m/>
    <n v="0"/>
    <n v="0"/>
  </r>
  <r>
    <x v="0"/>
    <x v="1"/>
    <d v="2013-08-01T00:00:00"/>
    <d v="2013-08-01T00:00:00"/>
    <n v="0"/>
    <n v="0"/>
    <n v="0"/>
    <n v="0"/>
    <n v="0"/>
    <m/>
    <n v="0"/>
    <n v="0"/>
  </r>
  <r>
    <x v="0"/>
    <x v="1"/>
    <d v="2013-08-02T00:00:00"/>
    <d v="2013-08-02T00:00:00"/>
    <n v="0"/>
    <n v="0"/>
    <n v="0"/>
    <n v="0"/>
    <n v="0"/>
    <m/>
    <n v="0"/>
    <n v="0"/>
  </r>
  <r>
    <x v="0"/>
    <x v="1"/>
    <d v="2013-08-03T00:00:00"/>
    <d v="2013-08-03T00:00:00"/>
    <n v="0"/>
    <n v="0"/>
    <n v="0"/>
    <n v="0"/>
    <n v="0"/>
    <m/>
    <n v="0"/>
    <n v="0"/>
  </r>
  <r>
    <x v="0"/>
    <x v="1"/>
    <d v="2013-08-04T00:00:00"/>
    <d v="2013-08-04T00:00:00"/>
    <n v="0"/>
    <n v="19560"/>
    <n v="19560"/>
    <n v="15433.360862022089"/>
    <n v="15433.360862022089"/>
    <m/>
    <n v="4126.6391379779107"/>
    <n v="4126.6391379779107"/>
  </r>
  <r>
    <x v="0"/>
    <x v="1"/>
    <d v="2013-08-05T00:00:00"/>
    <d v="2013-08-05T00:00:00"/>
    <n v="0"/>
    <n v="19560"/>
    <n v="19560"/>
    <n v="27074.710028913301"/>
    <n v="27074.710028913301"/>
    <m/>
    <n v="-7514.7100289133014"/>
    <n v="-3388.0708909353907"/>
  </r>
  <r>
    <x v="0"/>
    <x v="1"/>
    <d v="2013-08-06T00:00:00"/>
    <d v="2013-08-06T00:00:00"/>
    <n v="-120"/>
    <n v="19440"/>
    <n v="19560"/>
    <n v="12817.058971034674"/>
    <n v="12817.058971034674"/>
    <m/>
    <n v="6742.941028965326"/>
    <n v="3354.8701380299353"/>
  </r>
  <r>
    <x v="0"/>
    <x v="1"/>
    <d v="2013-08-07T00:00:00"/>
    <d v="2013-08-07T00:00:00"/>
    <n v="0"/>
    <n v="24450"/>
    <n v="24450"/>
    <n v="2867.5911924760244"/>
    <n v="2867.5911924760244"/>
    <m/>
    <n v="21582.408807523974"/>
    <n v="24937.27894555391"/>
  </r>
  <r>
    <x v="0"/>
    <x v="1"/>
    <d v="2013-08-08T00:00:00"/>
    <d v="2013-08-08T00:00:00"/>
    <n v="4890"/>
    <n v="4890"/>
    <n v="0"/>
    <n v="1.1648633960397916"/>
    <n v="1.1648633960397916"/>
    <m/>
    <n v="-1.1648633960397916"/>
    <n v="24936.11408215787"/>
  </r>
  <r>
    <x v="0"/>
    <x v="1"/>
    <d v="2013-08-09T00:00:00"/>
    <d v="2013-08-09T00:00:00"/>
    <n v="0"/>
    <n v="0"/>
    <n v="0"/>
    <n v="0"/>
    <n v="0"/>
    <m/>
    <n v="0"/>
    <n v="24936.11408215787"/>
  </r>
  <r>
    <x v="0"/>
    <x v="1"/>
    <d v="2013-08-10T00:00:00"/>
    <d v="2013-08-10T00:00:00"/>
    <n v="0"/>
    <n v="0"/>
    <n v="0"/>
    <n v="0"/>
    <n v="0"/>
    <m/>
    <n v="0"/>
    <n v="24936.11408215787"/>
  </r>
  <r>
    <x v="0"/>
    <x v="1"/>
    <d v="2013-08-11T00:00:00"/>
    <d v="2013-08-11T00:00:00"/>
    <n v="0"/>
    <n v="0"/>
    <n v="0"/>
    <n v="0"/>
    <n v="0"/>
    <m/>
    <n v="0"/>
    <n v="24936.11408215787"/>
  </r>
  <r>
    <x v="0"/>
    <x v="1"/>
    <d v="2013-08-12T00:00:00"/>
    <d v="2013-08-12T00:00:00"/>
    <n v="0"/>
    <n v="0"/>
    <n v="0"/>
    <n v="0"/>
    <n v="0"/>
    <m/>
    <n v="0"/>
    <n v="24936.11408215787"/>
  </r>
  <r>
    <x v="0"/>
    <x v="1"/>
    <d v="2013-08-13T00:00:00"/>
    <d v="2013-08-13T00:00:00"/>
    <n v="0"/>
    <n v="0"/>
    <n v="0"/>
    <n v="0"/>
    <n v="0"/>
    <m/>
    <n v="0"/>
    <n v="24936.11408215787"/>
  </r>
  <r>
    <x v="0"/>
    <x v="1"/>
    <d v="2013-08-14T00:00:00"/>
    <d v="2013-08-14T00:00:00"/>
    <n v="0"/>
    <n v="0"/>
    <n v="0"/>
    <n v="0"/>
    <n v="0"/>
    <m/>
    <n v="0"/>
    <n v="24936.11408215787"/>
  </r>
  <r>
    <x v="0"/>
    <x v="1"/>
    <d v="2013-08-15T00:00:00"/>
    <d v="2013-08-15T00:00:00"/>
    <n v="0"/>
    <n v="0"/>
    <n v="0"/>
    <n v="23296.689596961627"/>
    <n v="23296.689596961627"/>
    <m/>
    <n v="-23296.689596961627"/>
    <n v="1639.424485196243"/>
  </r>
  <r>
    <x v="0"/>
    <x v="1"/>
    <d v="2013-08-16T00:00:00"/>
    <d v="2013-08-16T00:00:00"/>
    <n v="-1"/>
    <n v="29339"/>
    <n v="29340"/>
    <n v="17154.423554188481"/>
    <n v="17154.423554188481"/>
    <m/>
    <n v="12185.576445811519"/>
    <n v="13825.000931007762"/>
  </r>
  <r>
    <x v="0"/>
    <x v="1"/>
    <d v="2013-08-17T00:00:00"/>
    <d v="2013-08-17T00:00:00"/>
    <n v="0"/>
    <n v="24450"/>
    <n v="24450"/>
    <n v="10368.070355536523"/>
    <n v="10368.070355536523"/>
    <m/>
    <n v="14081.929644463477"/>
    <n v="27906.93057547124"/>
  </r>
  <r>
    <x v="0"/>
    <x v="1"/>
    <d v="2013-08-18T00:00:00"/>
    <d v="2013-08-18T00:00:00"/>
    <n v="0"/>
    <n v="0"/>
    <n v="0"/>
    <n v="28922.704230937259"/>
    <n v="28922.704230937259"/>
    <m/>
    <n v="-28922.704230937259"/>
    <n v="-1015.7736554660187"/>
  </r>
  <r>
    <x v="0"/>
    <x v="1"/>
    <d v="2013-08-19T00:00:00"/>
    <d v="2013-08-19T00:00:00"/>
    <n v="-598"/>
    <n v="28742"/>
    <n v="29340"/>
    <n v="24913.885426025023"/>
    <n v="24913.885426025023"/>
    <m/>
    <n v="4426.1145739749772"/>
    <n v="3410.3409185089586"/>
  </r>
  <r>
    <x v="0"/>
    <x v="1"/>
    <d v="2013-08-20T00:00:00"/>
    <d v="2013-08-20T00:00:00"/>
    <n v="0"/>
    <n v="19560"/>
    <n v="19560"/>
    <n v="36625.294704111759"/>
    <n v="36625.294704111759"/>
    <m/>
    <n v="-17065.294704111759"/>
    <n v="-13654.9537856028"/>
  </r>
  <r>
    <x v="0"/>
    <x v="1"/>
    <d v="2013-08-21T00:00:00"/>
    <d v="2013-08-21T00:00:00"/>
    <n v="-104"/>
    <n v="43906"/>
    <n v="44010"/>
    <n v="45225.32427177958"/>
    <n v="45225.32427177958"/>
    <m/>
    <n v="-1215.3242717795802"/>
    <n v="-14870.27805738238"/>
  </r>
  <r>
    <x v="0"/>
    <x v="1"/>
    <d v="2013-08-22T00:00:00"/>
    <d v="2013-08-22T00:00:00"/>
    <n v="0"/>
    <n v="24450"/>
    <n v="24450"/>
    <n v="0"/>
    <n v="0"/>
    <m/>
    <n v="24450"/>
    <n v="9579.7219426176198"/>
  </r>
  <r>
    <x v="0"/>
    <x v="1"/>
    <d v="2013-08-23T00:00:00"/>
    <d v="2013-08-23T00:00:00"/>
    <n v="29340"/>
    <n v="29340"/>
    <m/>
    <n v="0"/>
    <n v="0"/>
    <m/>
    <n v="0"/>
    <n v="9579.7219426176198"/>
  </r>
  <r>
    <x v="0"/>
    <x v="1"/>
    <d v="2013-08-24T00:00:00"/>
    <d v="2013-08-24T00:00:00"/>
    <n v="83126"/>
    <n v="83126"/>
    <m/>
    <n v="0"/>
    <n v="0"/>
    <m/>
    <n v="0"/>
    <n v="9579.7219426176198"/>
  </r>
  <r>
    <x v="0"/>
    <x v="1"/>
    <d v="2013-08-25T00:00:00"/>
    <d v="2013-08-25T00:00:00"/>
    <n v="84202"/>
    <n v="84202"/>
    <m/>
    <n v="0"/>
    <n v="0"/>
    <m/>
    <n v="0"/>
    <n v="9579.7219426176198"/>
  </r>
  <r>
    <x v="0"/>
    <x v="1"/>
    <d v="2013-08-26T00:00:00"/>
    <d v="2013-08-26T00:00:00"/>
    <n v="14670"/>
    <n v="14670"/>
    <m/>
    <n v="0"/>
    <n v="0"/>
    <m/>
    <n v="0"/>
    <n v="9579.7219426176198"/>
  </r>
  <r>
    <x v="0"/>
    <x v="1"/>
    <d v="2013-08-27T00:00:00"/>
    <d v="2013-08-27T00:00:00"/>
    <n v="10880"/>
    <n v="10880"/>
    <m/>
    <n v="0"/>
    <n v="0"/>
    <m/>
    <n v="0"/>
    <n v="9579.7219426176198"/>
  </r>
  <r>
    <x v="0"/>
    <x v="1"/>
    <d v="2013-08-28T00:00:00"/>
    <d v="2013-08-28T00:00:00"/>
    <n v="0"/>
    <n v="0"/>
    <m/>
    <n v="0"/>
    <n v="0"/>
    <m/>
    <n v="0"/>
    <n v="9579.7219426176198"/>
  </r>
  <r>
    <x v="0"/>
    <x v="1"/>
    <d v="2013-08-29T00:00:00"/>
    <d v="2013-08-29T00:00:00"/>
    <n v="24450"/>
    <n v="24450"/>
    <m/>
    <n v="0"/>
    <n v="0"/>
    <m/>
    <n v="0"/>
    <n v="9579.7219426176198"/>
  </r>
  <r>
    <x v="0"/>
    <x v="1"/>
    <d v="2013-08-30T00:00:00"/>
    <d v="2013-08-30T00:00:00"/>
    <n v="53790"/>
    <n v="53790"/>
    <m/>
    <n v="0"/>
    <n v="0"/>
    <m/>
    <n v="0"/>
    <n v="9579.7219426176198"/>
  </r>
  <r>
    <x v="0"/>
    <x v="1"/>
    <d v="2013-08-31T00:00:00"/>
    <d v="2013-08-31T00:00:00"/>
    <n v="50570"/>
    <n v="50570"/>
    <m/>
    <n v="0"/>
    <n v="0"/>
    <m/>
    <n v="0"/>
    <n v="9579.7219426176198"/>
  </r>
  <r>
    <x v="0"/>
    <x v="2"/>
    <d v="2013-09-01T00:00:00"/>
    <d v="2013-09-01T00:00:00"/>
    <n v="0"/>
    <n v="53790"/>
    <n v="53790"/>
    <n v="63446.699205176388"/>
    <n v="63446.699205176388"/>
    <m/>
    <n v="-9656.6992051763882"/>
    <n v="-76.977262558768416"/>
  </r>
  <r>
    <x v="0"/>
    <x v="2"/>
    <d v="2013-09-02T00:00:00"/>
    <d v="2013-09-02T00:00:00"/>
    <n v="0"/>
    <n v="53790"/>
    <n v="53790"/>
    <n v="47973.847893802515"/>
    <n v="47973.847893802515"/>
    <m/>
    <n v="5816.1521061974854"/>
    <n v="5739.174843638717"/>
  </r>
  <r>
    <x v="0"/>
    <x v="2"/>
    <d v="2013-09-03T00:00:00"/>
    <d v="2013-09-03T00:00:00"/>
    <n v="0"/>
    <n v="14670"/>
    <n v="14670"/>
    <n v="17121.35487628332"/>
    <n v="17121.35487628332"/>
    <m/>
    <n v="-2451.3548762833198"/>
    <n v="3287.8199673553972"/>
  </r>
  <r>
    <x v="0"/>
    <x v="2"/>
    <d v="2013-09-04T00:00:00"/>
    <d v="2013-09-04T00:00:00"/>
    <n v="0"/>
    <n v="15000"/>
    <n v="15000"/>
    <n v="42490.821230981717"/>
    <n v="42490.821230981717"/>
    <m/>
    <n v="-27490.821230981717"/>
    <n v="-24203.00126362632"/>
  </r>
  <r>
    <x v="0"/>
    <x v="2"/>
    <d v="2013-09-05T00:00:00"/>
    <d v="2013-09-05T00:00:00"/>
    <n v="0"/>
    <n v="49230"/>
    <n v="49230"/>
    <n v="10247.336869197872"/>
    <n v="10247.336869197872"/>
    <m/>
    <n v="38982.663130802131"/>
    <n v="14779.661867175811"/>
  </r>
  <r>
    <x v="0"/>
    <x v="2"/>
    <d v="2013-09-06T00:00:00"/>
    <d v="2013-09-06T00:00:00"/>
    <n v="0"/>
    <n v="7665"/>
    <n v="7665"/>
    <n v="0"/>
    <n v="0"/>
    <m/>
    <n v="7665"/>
    <n v="22444.661867175811"/>
  </r>
  <r>
    <x v="0"/>
    <x v="2"/>
    <d v="2013-09-07T00:00:00"/>
    <d v="2013-09-07T00:00:00"/>
    <n v="0"/>
    <n v="0"/>
    <n v="0"/>
    <n v="0"/>
    <n v="0"/>
    <m/>
    <n v="0"/>
    <n v="22444.661867175811"/>
  </r>
  <r>
    <x v="0"/>
    <x v="2"/>
    <d v="2013-09-08T00:00:00"/>
    <d v="2013-09-08T00:00:00"/>
    <n v="0"/>
    <n v="0"/>
    <n v="0"/>
    <n v="0"/>
    <n v="0"/>
    <m/>
    <n v="0"/>
    <n v="22444.661867175811"/>
  </r>
  <r>
    <x v="0"/>
    <x v="2"/>
    <d v="2013-09-09T00:00:00"/>
    <d v="2013-09-09T00:00:00"/>
    <n v="0"/>
    <n v="0"/>
    <n v="0"/>
    <n v="11171.759745744001"/>
    <n v="11171.759745744001"/>
    <m/>
    <n v="-11171.759745744001"/>
    <n v="11272.902121431811"/>
  </r>
  <r>
    <x v="0"/>
    <x v="2"/>
    <d v="2013-09-10T00:00:00"/>
    <d v="2013-09-10T00:00:00"/>
    <n v="0"/>
    <n v="15000"/>
    <n v="15000"/>
    <n v="5180.0113848859746"/>
    <n v="5180.0113848859746"/>
    <m/>
    <n v="9819.9886151140254"/>
    <n v="21092.890736545836"/>
  </r>
  <r>
    <x v="0"/>
    <x v="2"/>
    <d v="2013-09-11T00:00:00"/>
    <d v="2013-09-11T00:00:00"/>
    <n v="0"/>
    <n v="0"/>
    <n v="0"/>
    <n v="26206.827270389997"/>
    <n v="26206.827270389997"/>
    <m/>
    <n v="-26206.827270389997"/>
    <n v="-5113.9365338441603"/>
  </r>
  <r>
    <x v="0"/>
    <x v="2"/>
    <d v="2013-09-12T00:00:00"/>
    <d v="2013-09-12T00:00:00"/>
    <n v="0"/>
    <n v="24939"/>
    <n v="24939"/>
    <n v="44626.970316660489"/>
    <n v="44626.970316660489"/>
    <m/>
    <n v="-19687.970316660489"/>
    <n v="-24801.906850504649"/>
  </r>
  <r>
    <x v="0"/>
    <x v="2"/>
    <d v="2013-09-13T00:00:00"/>
    <d v="2013-09-13T00:00:00"/>
    <n v="0"/>
    <n v="38891"/>
    <n v="38891"/>
    <n v="21889.552355044336"/>
    <n v="21889.552355044336"/>
    <m/>
    <n v="17001.447644955664"/>
    <n v="-7800.4592055489848"/>
  </r>
  <r>
    <x v="0"/>
    <x v="2"/>
    <d v="2013-09-14T00:00:00"/>
    <d v="2013-09-14T00:00:00"/>
    <n v="0"/>
    <n v="42124"/>
    <n v="42124"/>
    <n v="41129.241383733053"/>
    <n v="41129.241383733053"/>
    <m/>
    <n v="994.75861626694677"/>
    <n v="-6805.700589282038"/>
  </r>
  <r>
    <x v="0"/>
    <x v="2"/>
    <d v="2013-09-15T00:00:00"/>
    <d v="2013-09-15T00:00:00"/>
    <n v="0"/>
    <n v="9780"/>
    <n v="9780"/>
    <n v="2711.8068306183272"/>
    <n v="2711.8068306183272"/>
    <m/>
    <n v="7068.1931693816732"/>
    <n v="262.49258009963523"/>
  </r>
  <r>
    <x v="0"/>
    <x v="2"/>
    <d v="2013-09-16T00:00:00"/>
    <d v="2013-09-16T00:00:00"/>
    <n v="0"/>
    <n v="9772"/>
    <n v="9772"/>
    <n v="0"/>
    <n v="0"/>
    <m/>
    <n v="9772"/>
    <n v="10034.492580099635"/>
  </r>
  <r>
    <x v="0"/>
    <x v="2"/>
    <d v="2013-09-17T00:00:00"/>
    <d v="2013-09-17T00:00:00"/>
    <n v="0"/>
    <n v="0"/>
    <n v="0"/>
    <n v="27071.307479621344"/>
    <n v="27071.307479621344"/>
    <m/>
    <n v="-27071.307479621344"/>
    <n v="-17036.814899521709"/>
  </r>
  <r>
    <x v="0"/>
    <x v="2"/>
    <d v="2013-09-18T00:00:00"/>
    <d v="2013-09-18T00:00:00"/>
    <n v="0"/>
    <n v="34230"/>
    <n v="34230"/>
    <n v="7728.8524722711909"/>
    <n v="7728.8524722711909"/>
    <m/>
    <n v="26501.147527728808"/>
    <n v="9464.3326282070993"/>
  </r>
  <r>
    <x v="0"/>
    <x v="2"/>
    <d v="2013-09-19T00:00:00"/>
    <d v="2013-09-19T00:00:00"/>
    <n v="0"/>
    <n v="0"/>
    <n v="0"/>
    <n v="0"/>
    <n v="0"/>
    <m/>
    <n v="0"/>
    <n v="9464.3326282070993"/>
  </r>
  <r>
    <x v="0"/>
    <x v="2"/>
    <d v="2013-09-20T00:00:00"/>
    <d v="2013-09-20T00:00:00"/>
    <n v="0"/>
    <n v="0"/>
    <n v="0"/>
    <n v="0"/>
    <n v="0"/>
    <m/>
    <n v="0"/>
    <n v="9464.3326282070993"/>
  </r>
  <r>
    <x v="0"/>
    <x v="2"/>
    <d v="2013-09-21T00:00:00"/>
    <d v="2013-09-21T00:00:00"/>
    <n v="0"/>
    <n v="0"/>
    <n v="0"/>
    <n v="0"/>
    <n v="0"/>
    <m/>
    <n v="0"/>
    <n v="9464.3326282070993"/>
  </r>
  <r>
    <x v="0"/>
    <x v="2"/>
    <d v="2013-09-22T00:00:00"/>
    <d v="2013-09-22T00:00:00"/>
    <n v="0"/>
    <n v="0"/>
    <n v="0"/>
    <n v="5723.6469694560001"/>
    <n v="5723.6469694560001"/>
    <m/>
    <n v="-5723.6469694560001"/>
    <n v="3740.6856587510993"/>
  </r>
  <r>
    <x v="0"/>
    <x v="2"/>
    <d v="2013-09-23T00:00:00"/>
    <d v="2013-09-23T00:00:00"/>
    <n v="0"/>
    <n v="44010"/>
    <n v="44010"/>
    <n v="43848.877775157001"/>
    <n v="43848.877775157001"/>
    <m/>
    <n v="161.12222484299855"/>
    <n v="3901.8078835940978"/>
  </r>
  <r>
    <x v="0"/>
    <x v="2"/>
    <d v="2013-09-24T00:00:00"/>
    <d v="2013-09-24T00:00:00"/>
    <n v="0"/>
    <n v="48900"/>
    <n v="48900"/>
    <n v="40214.044533221684"/>
    <n v="40214.044533221684"/>
    <m/>
    <n v="8685.9554667783159"/>
    <n v="12587.763350372414"/>
  </r>
  <r>
    <x v="0"/>
    <x v="2"/>
    <d v="2013-09-25T00:00:00"/>
    <d v="2013-09-25T00:00:00"/>
    <n v="0"/>
    <n v="39120"/>
    <n v="39120"/>
    <n v="53070.374180150371"/>
    <n v="53070.374180150371"/>
    <m/>
    <n v="-13950.374180150371"/>
    <n v="-1362.6108297779574"/>
  </r>
  <r>
    <x v="0"/>
    <x v="2"/>
    <d v="2013-09-26T00:00:00"/>
    <d v="2013-09-26T00:00:00"/>
    <n v="0"/>
    <n v="39095"/>
    <n v="39095"/>
    <n v="30141.674517303647"/>
    <n v="30141.674517303647"/>
    <m/>
    <n v="8953.325482696353"/>
    <n v="7590.7146529183956"/>
  </r>
  <r>
    <x v="0"/>
    <x v="2"/>
    <d v="2013-09-27T00:00:00"/>
    <d v="2013-09-27T00:00:00"/>
    <n v="0"/>
    <n v="29210"/>
    <n v="29210"/>
    <n v="43075.721112001585"/>
    <n v="43075.721112001585"/>
    <m/>
    <n v="-13865.721112001585"/>
    <n v="-6275.0064590831898"/>
  </r>
  <r>
    <x v="0"/>
    <x v="2"/>
    <d v="2013-09-28T00:00:00"/>
    <d v="2013-09-28T00:00:00"/>
    <n v="0"/>
    <n v="48109"/>
    <n v="48109"/>
    <n v="9381.1835146334779"/>
    <n v="9381.1835146334779"/>
    <m/>
    <n v="38727.816485366522"/>
    <n v="32452.810026283332"/>
  </r>
  <r>
    <x v="0"/>
    <x v="2"/>
    <d v="2013-09-29T00:00:00"/>
    <d v="2013-09-29T00:00:00"/>
    <n v="0"/>
    <n v="0"/>
    <n v="0"/>
    <n v="52113.1644321575"/>
    <n v="52113.1644321575"/>
    <m/>
    <n v="-52113.1644321575"/>
    <n v="-19660.354405874168"/>
  </r>
  <r>
    <x v="0"/>
    <x v="2"/>
    <d v="2013-09-30T00:00:00"/>
    <d v="2013-09-30T00:00:00"/>
    <n v="0"/>
    <n v="68203"/>
    <n v="68203"/>
    <n v="72758.582858065682"/>
    <n v="72758.582858065682"/>
    <m/>
    <n v="-4555.5828580656816"/>
    <n v="-24215.93726393985"/>
  </r>
  <r>
    <x v="0"/>
    <x v="3"/>
    <d v="2013-10-01T00:00:00"/>
    <d v="2013-10-01T00:00:00"/>
    <n v="0"/>
    <n v="80196"/>
    <n v="80196"/>
    <n v="36884.235614264304"/>
    <n v="36884.235614264304"/>
    <m/>
    <n v="43311.764385735696"/>
    <n v="19095.827121795846"/>
  </r>
  <r>
    <x v="0"/>
    <x v="3"/>
    <d v="2013-10-02T00:00:00"/>
    <d v="2013-10-02T00:00:00"/>
    <n v="0"/>
    <n v="0"/>
    <n v="0"/>
    <n v="23010.706818962928"/>
    <n v="23010.706818962928"/>
    <m/>
    <n v="-23010.706818962928"/>
    <n v="-3914.8796971670818"/>
  </r>
  <r>
    <x v="0"/>
    <x v="3"/>
    <d v="2013-10-03T00:00:00"/>
    <d v="2013-10-03T00:00:00"/>
    <n v="0"/>
    <n v="34230"/>
    <n v="34230"/>
    <n v="26510.585884233045"/>
    <n v="26510.585884233045"/>
    <m/>
    <n v="7719.4141157669546"/>
    <n v="3804.5344185998729"/>
  </r>
  <r>
    <x v="0"/>
    <x v="3"/>
    <d v="2013-10-04T00:00:00"/>
    <d v="2013-10-04T00:00:00"/>
    <n v="0"/>
    <n v="34230"/>
    <n v="34230"/>
    <n v="23320.234338037179"/>
    <n v="23320.234338037179"/>
    <m/>
    <n v="10909.765661962821"/>
    <n v="14714.300080562694"/>
  </r>
  <r>
    <x v="0"/>
    <x v="3"/>
    <d v="2013-10-05T00:00:00"/>
    <d v="2013-10-05T00:00:00"/>
    <n v="0"/>
    <n v="0"/>
    <n v="0"/>
    <n v="0"/>
    <n v="0"/>
    <m/>
    <n v="0"/>
    <n v="14714.300080562694"/>
  </r>
  <r>
    <x v="0"/>
    <x v="3"/>
    <d v="2013-10-06T00:00:00"/>
    <d v="2013-10-06T00:00:00"/>
    <n v="0"/>
    <n v="0"/>
    <n v="0"/>
    <n v="0"/>
    <n v="0"/>
    <m/>
    <n v="0"/>
    <n v="14714.300080562694"/>
  </r>
  <r>
    <x v="0"/>
    <x v="3"/>
    <d v="2013-10-07T00:00:00"/>
    <d v="2013-10-07T00:00:00"/>
    <n v="0"/>
    <n v="0"/>
    <n v="0"/>
    <n v="0"/>
    <n v="0"/>
    <m/>
    <n v="0"/>
    <n v="14714.300080562694"/>
  </r>
  <r>
    <x v="0"/>
    <x v="3"/>
    <d v="2013-10-08T00:00:00"/>
    <d v="2013-10-08T00:00:00"/>
    <n v="0"/>
    <n v="0"/>
    <n v="0"/>
    <n v="0"/>
    <n v="0"/>
    <m/>
    <n v="0"/>
    <n v="14714.300080562694"/>
  </r>
  <r>
    <x v="0"/>
    <x v="3"/>
    <d v="2013-10-09T00:00:00"/>
    <d v="2013-10-09T00:00:00"/>
    <n v="0"/>
    <n v="0"/>
    <n v="0"/>
    <n v="0"/>
    <n v="0"/>
    <m/>
    <n v="0"/>
    <n v="14714.300080562694"/>
  </r>
  <r>
    <x v="0"/>
    <x v="3"/>
    <d v="2013-10-10T00:00:00"/>
    <d v="2013-10-10T00:00:00"/>
    <n v="0"/>
    <n v="0"/>
    <n v="0"/>
    <n v="0"/>
    <n v="0"/>
    <m/>
    <n v="0"/>
    <n v="14714.300080562694"/>
  </r>
  <r>
    <x v="0"/>
    <x v="3"/>
    <d v="2013-10-11T00:00:00"/>
    <d v="2013-10-11T00:00:00"/>
    <n v="0"/>
    <n v="0"/>
    <n v="0"/>
    <n v="25710.985618694649"/>
    <n v="25710.985618694649"/>
    <m/>
    <n v="-25710.985618694649"/>
    <n v="-10996.685538131955"/>
  </r>
  <r>
    <x v="0"/>
    <x v="3"/>
    <d v="2013-10-12T00:00:00"/>
    <d v="2013-10-12T00:00:00"/>
    <n v="0"/>
    <n v="44010"/>
    <n v="44010"/>
    <n v="10252.766038903597"/>
    <n v="10252.766038903597"/>
    <m/>
    <n v="33757.233961096405"/>
    <n v="22760.54842296445"/>
  </r>
  <r>
    <x v="0"/>
    <x v="3"/>
    <d v="2013-10-13T00:00:00"/>
    <d v="2013-10-13T00:00:00"/>
    <n v="0"/>
    <n v="19560"/>
    <n v="19560"/>
    <n v="23440.636240514297"/>
    <n v="23440.636240514297"/>
    <m/>
    <n v="-3880.6362405142972"/>
    <n v="18879.912182450153"/>
  </r>
  <r>
    <x v="0"/>
    <x v="3"/>
    <d v="2013-10-14T00:00:00"/>
    <d v="2013-10-14T00:00:00"/>
    <n v="0"/>
    <n v="0"/>
    <n v="0"/>
    <n v="15.037116705000001"/>
    <n v="15.037116705000001"/>
    <m/>
    <n v="-15.037116705000001"/>
    <n v="18864.875065745153"/>
  </r>
  <r>
    <x v="0"/>
    <x v="3"/>
    <d v="2013-10-15T00:00:00"/>
    <d v="2013-10-15T00:00:00"/>
    <n v="0"/>
    <n v="0"/>
    <n v="0"/>
    <n v="8195.5718172910547"/>
    <n v="8195.5718172910547"/>
    <m/>
    <n v="-8195.5718172910547"/>
    <n v="10669.303248454098"/>
  </r>
  <r>
    <x v="0"/>
    <x v="3"/>
    <d v="2013-10-16T00:00:00"/>
    <d v="2013-10-16T00:00:00"/>
    <n v="0"/>
    <n v="0"/>
    <n v="0"/>
    <n v="11228.904625038398"/>
    <n v="11228.904625038398"/>
    <m/>
    <n v="-11228.904625038398"/>
    <n v="-559.60137658429994"/>
  </r>
  <r>
    <x v="0"/>
    <x v="3"/>
    <d v="2013-10-17T00:00:00"/>
    <d v="2013-10-17T00:00:00"/>
    <n v="0"/>
    <n v="0"/>
    <n v="0"/>
    <n v="0"/>
    <n v="0"/>
    <m/>
    <n v="0"/>
    <n v="-559.60137658429994"/>
  </r>
  <r>
    <x v="0"/>
    <x v="3"/>
    <d v="2013-10-18T00:00:00"/>
    <d v="2013-10-18T00:00:00"/>
    <n v="0"/>
    <n v="0"/>
    <n v="0"/>
    <n v="0"/>
    <n v="0"/>
    <m/>
    <n v="0"/>
    <n v="-559.60137658429994"/>
  </r>
  <r>
    <x v="0"/>
    <x v="3"/>
    <d v="2013-10-19T00:00:00"/>
    <d v="2013-10-19T00:00:00"/>
    <n v="0"/>
    <n v="0"/>
    <n v="0"/>
    <n v="0"/>
    <n v="0"/>
    <m/>
    <n v="0"/>
    <n v="-559.60137658429994"/>
  </r>
  <r>
    <x v="0"/>
    <x v="3"/>
    <d v="2013-10-20T00:00:00"/>
    <d v="2013-10-20T00:00:00"/>
    <n v="0"/>
    <n v="0"/>
    <n v="0"/>
    <n v="11617.38349083"/>
    <n v="11617.38349083"/>
    <m/>
    <n v="-11617.38349083"/>
    <n v="-12176.9848674143"/>
  </r>
  <r>
    <x v="0"/>
    <x v="3"/>
    <d v="2013-10-21T00:00:00"/>
    <d v="2013-10-21T00:00:00"/>
    <n v="0"/>
    <n v="0"/>
    <n v="0"/>
    <n v="56880.522809476242"/>
    <n v="56880.522809476242"/>
    <m/>
    <n v="-56880.522809476242"/>
    <n v="-69057.507676890542"/>
  </r>
  <r>
    <x v="0"/>
    <x v="3"/>
    <d v="2013-10-22T00:00:00"/>
    <d v="2013-10-22T00:00:00"/>
    <n v="0"/>
    <n v="88020"/>
    <n v="88020"/>
    <n v="72615.711371696991"/>
    <n v="72615.711371696991"/>
    <m/>
    <n v="15404.288628303009"/>
    <n v="-53653.219048587533"/>
  </r>
  <r>
    <x v="0"/>
    <x v="3"/>
    <d v="2013-10-23T00:00:00"/>
    <d v="2013-10-23T00:00:00"/>
    <n v="0"/>
    <n v="87333"/>
    <n v="87333"/>
    <n v="72523.864400317543"/>
    <n v="72523.864400317543"/>
    <m/>
    <n v="14809.135599682457"/>
    <n v="-38844.083448905076"/>
  </r>
  <r>
    <x v="0"/>
    <x v="3"/>
    <d v="2013-10-24T00:00:00"/>
    <d v="2013-10-24T00:00:00"/>
    <n v="0"/>
    <n v="86607"/>
    <n v="86607"/>
    <n v="72670.361552100003"/>
    <n v="72670.361552100003"/>
    <m/>
    <n v="13936.638447899997"/>
    <n v="-24907.445001005079"/>
  </r>
  <r>
    <x v="0"/>
    <x v="3"/>
    <d v="2013-10-25T00:00:00"/>
    <d v="2013-10-25T00:00:00"/>
    <n v="0"/>
    <n v="81174"/>
    <n v="81174"/>
    <n v="72597.99822164778"/>
    <n v="72597.99822164778"/>
    <m/>
    <n v="8576.0017783522198"/>
    <n v="-16331.443222652859"/>
  </r>
  <r>
    <x v="0"/>
    <x v="3"/>
    <d v="2013-10-26T00:00:00"/>
    <d v="2013-10-26T00:00:00"/>
    <n v="0"/>
    <n v="71394"/>
    <n v="71394"/>
    <n v="72565.58963818301"/>
    <n v="72565.58963818301"/>
    <m/>
    <n v="-1171.5896381830098"/>
    <n v="-17503.032860835869"/>
  </r>
  <r>
    <x v="0"/>
    <x v="3"/>
    <d v="2013-10-27T00:00:00"/>
    <d v="2013-10-27T00:00:00"/>
    <n v="0"/>
    <n v="0"/>
    <n v="0"/>
    <n v="10512.017439291811"/>
    <n v="10512.017439291811"/>
    <m/>
    <n v="-10512.017439291811"/>
    <n v="-28015.050300127681"/>
  </r>
  <r>
    <x v="0"/>
    <x v="3"/>
    <d v="2013-10-28T00:00:00"/>
    <d v="2013-10-28T00:00:00"/>
    <n v="0"/>
    <n v="34230"/>
    <n v="34230"/>
    <n v="271.90404742328099"/>
    <n v="271.90404742328099"/>
    <m/>
    <n v="33958.095952576718"/>
    <n v="5943.0456524490364"/>
  </r>
  <r>
    <x v="0"/>
    <x v="3"/>
    <d v="2013-10-29T00:00:00"/>
    <d v="2013-10-29T00:00:00"/>
    <n v="0"/>
    <n v="14670"/>
    <n v="14670"/>
    <n v="56859.154607895012"/>
    <n v="56859.154607895012"/>
    <m/>
    <n v="-42189.154607895012"/>
    <n v="-36246.108955445976"/>
  </r>
  <r>
    <x v="0"/>
    <x v="3"/>
    <d v="2013-10-30T00:00:00"/>
    <d v="2013-10-30T00:00:00"/>
    <n v="0"/>
    <n v="36186"/>
    <n v="36186"/>
    <n v="16901.918884305349"/>
    <n v="16901.918884305349"/>
    <m/>
    <n v="19284.081115694651"/>
    <n v="-16962.027839751325"/>
  </r>
  <r>
    <x v="0"/>
    <x v="3"/>
    <d v="2013-10-31T00:00:00"/>
    <d v="2013-10-31T00:00:00"/>
    <n v="0"/>
    <n v="0"/>
    <n v="0"/>
    <n v="0"/>
    <n v="0"/>
    <m/>
    <n v="0"/>
    <n v="-16962.027839751325"/>
  </r>
  <r>
    <x v="0"/>
    <x v="4"/>
    <d v="2013-11-01T00:00:00"/>
    <d v="2013-11-01T00:00:00"/>
    <n v="0"/>
    <n v="19560"/>
    <n v="19560"/>
    <n v="0"/>
    <n v="0"/>
    <m/>
    <n v="19560"/>
    <n v="2597.9721602486752"/>
  </r>
  <r>
    <x v="0"/>
    <x v="4"/>
    <d v="2013-11-02T00:00:00"/>
    <d v="2013-11-02T00:00:00"/>
    <n v="0"/>
    <n v="0"/>
    <n v="0"/>
    <n v="0"/>
    <n v="0"/>
    <m/>
    <n v="0"/>
    <n v="2597.9721602486752"/>
  </r>
  <r>
    <x v="0"/>
    <x v="4"/>
    <d v="2013-11-03T00:00:00"/>
    <d v="2013-11-03T00:00:00"/>
    <n v="0"/>
    <n v="0"/>
    <n v="0"/>
    <n v="0"/>
    <n v="0"/>
    <m/>
    <n v="0"/>
    <n v="2597.9721602486752"/>
  </r>
  <r>
    <x v="0"/>
    <x v="4"/>
    <d v="2013-11-04T00:00:00"/>
    <d v="2013-11-04T00:00:00"/>
    <n v="0"/>
    <n v="0"/>
    <n v="0"/>
    <n v="0"/>
    <n v="0"/>
    <m/>
    <n v="0"/>
    <n v="2597.9721602486752"/>
  </r>
  <r>
    <x v="0"/>
    <x v="4"/>
    <d v="2013-11-05T00:00:00"/>
    <d v="2013-11-05T00:00:00"/>
    <n v="0"/>
    <n v="19560"/>
    <n v="19560"/>
    <n v="3754.023530985"/>
    <n v="3754.023530985"/>
    <m/>
    <n v="15805.976469015"/>
    <n v="18403.948629263676"/>
  </r>
  <r>
    <x v="0"/>
    <x v="4"/>
    <d v="2013-11-06T00:00:00"/>
    <d v="2013-11-06T00:00:00"/>
    <n v="0"/>
    <n v="0"/>
    <n v="0"/>
    <n v="0"/>
    <n v="0"/>
    <m/>
    <n v="0"/>
    <n v="18403.948629263676"/>
  </r>
  <r>
    <x v="0"/>
    <x v="4"/>
    <d v="2013-11-07T00:00:00"/>
    <d v="2013-11-07T00:00:00"/>
    <n v="0"/>
    <n v="0"/>
    <n v="0"/>
    <n v="0"/>
    <n v="0"/>
    <m/>
    <n v="0"/>
    <n v="18403.948629263676"/>
  </r>
  <r>
    <x v="0"/>
    <x v="4"/>
    <d v="2013-11-08T00:00:00"/>
    <d v="2013-11-08T00:00:00"/>
    <n v="0"/>
    <n v="0"/>
    <n v="0"/>
    <n v="0"/>
    <n v="0"/>
    <m/>
    <n v="0"/>
    <n v="18403.948629263676"/>
  </r>
  <r>
    <x v="0"/>
    <x v="4"/>
    <d v="2013-11-09T00:00:00"/>
    <d v="2013-11-09T00:00:00"/>
    <n v="0"/>
    <n v="0"/>
    <n v="0"/>
    <n v="0"/>
    <n v="0"/>
    <m/>
    <n v="0"/>
    <n v="18403.948629263676"/>
  </r>
  <r>
    <x v="0"/>
    <x v="4"/>
    <d v="2013-11-10T00:00:00"/>
    <d v="2013-11-10T00:00:00"/>
    <n v="0"/>
    <n v="0"/>
    <n v="0"/>
    <n v="0"/>
    <n v="0"/>
    <m/>
    <n v="0"/>
    <n v="18403.948629263676"/>
  </r>
  <r>
    <x v="0"/>
    <x v="4"/>
    <d v="2013-11-11T00:00:00"/>
    <d v="2013-11-11T00:00:00"/>
    <n v="0"/>
    <n v="5379"/>
    <n v="5379"/>
    <n v="3967.0965838530001"/>
    <n v="3967.0965838530001"/>
    <m/>
    <n v="1411.9034161469999"/>
    <n v="19815.852045410677"/>
  </r>
  <r>
    <x v="0"/>
    <x v="4"/>
    <d v="2013-11-12T00:00:00"/>
    <d v="2013-11-12T00:00:00"/>
    <n v="0"/>
    <n v="0"/>
    <n v="0"/>
    <n v="0"/>
    <n v="0"/>
    <m/>
    <n v="0"/>
    <n v="19815.852045410677"/>
  </r>
  <r>
    <x v="0"/>
    <x v="4"/>
    <d v="2013-11-13T00:00:00"/>
    <d v="2013-11-13T00:00:00"/>
    <n v="0"/>
    <n v="0"/>
    <n v="0"/>
    <n v="0"/>
    <n v="0"/>
    <m/>
    <n v="0"/>
    <n v="19815.852045410677"/>
  </r>
  <r>
    <x v="0"/>
    <x v="4"/>
    <d v="2013-11-14T00:00:00"/>
    <d v="2013-11-14T00:00:00"/>
    <n v="0"/>
    <n v="0"/>
    <n v="0"/>
    <n v="0"/>
    <n v="0"/>
    <m/>
    <n v="0"/>
    <n v="19815.852045410677"/>
  </r>
  <r>
    <x v="0"/>
    <x v="4"/>
    <d v="2013-11-15T00:00:00"/>
    <d v="2013-11-15T00:00:00"/>
    <n v="0"/>
    <n v="0"/>
    <n v="0"/>
    <n v="5.5447294500000002"/>
    <n v="5.5447294500000002"/>
    <m/>
    <n v="-5.5447294500000002"/>
    <n v="19810.307315960676"/>
  </r>
  <r>
    <x v="0"/>
    <x v="4"/>
    <d v="2013-11-16T00:00:00"/>
    <d v="2013-11-16T00:00:00"/>
    <n v="0"/>
    <n v="0"/>
    <n v="0"/>
    <n v="0"/>
    <n v="0"/>
    <m/>
    <n v="0"/>
    <n v="19810.307315960676"/>
  </r>
  <r>
    <x v="0"/>
    <x v="4"/>
    <d v="2013-11-17T00:00:00"/>
    <d v="2013-11-17T00:00:00"/>
    <n v="0"/>
    <n v="0"/>
    <n v="0"/>
    <n v="0"/>
    <n v="0"/>
    <m/>
    <n v="0"/>
    <n v="19810.307315960676"/>
  </r>
  <r>
    <x v="0"/>
    <x v="4"/>
    <d v="2013-11-18T00:00:00"/>
    <d v="2013-11-18T00:00:00"/>
    <n v="0"/>
    <n v="0"/>
    <n v="0"/>
    <n v="0"/>
    <n v="0"/>
    <m/>
    <n v="0"/>
    <n v="19810.307315960676"/>
  </r>
  <r>
    <x v="0"/>
    <x v="4"/>
    <d v="2013-11-19T00:00:00"/>
    <d v="2013-11-19T00:00:00"/>
    <n v="0"/>
    <n v="0"/>
    <n v="0"/>
    <n v="0"/>
    <n v="0"/>
    <m/>
    <n v="0"/>
    <n v="19810.307315960676"/>
  </r>
  <r>
    <x v="0"/>
    <x v="4"/>
    <d v="2013-11-20T00:00:00"/>
    <d v="2013-11-20T00:00:00"/>
    <n v="0"/>
    <n v="0"/>
    <n v="0"/>
    <n v="15.056073045"/>
    <n v="15.056073045"/>
    <m/>
    <n v="-15.056073045"/>
    <n v="19795.251242915674"/>
  </r>
  <r>
    <x v="0"/>
    <x v="4"/>
    <d v="2013-11-21T00:00:00"/>
    <d v="2013-11-21T00:00:00"/>
    <n v="0"/>
    <n v="0"/>
    <n v="0"/>
    <n v="2.0652932429999997"/>
    <n v="2.0652932429999997"/>
    <m/>
    <n v="-2.0652932429999997"/>
    <n v="19793.185949672676"/>
  </r>
  <r>
    <x v="0"/>
    <x v="4"/>
    <d v="2013-11-22T00:00:00"/>
    <d v="2013-11-22T00:00:00"/>
    <n v="0"/>
    <n v="0"/>
    <n v="0"/>
    <n v="0"/>
    <n v="0"/>
    <m/>
    <n v="0"/>
    <n v="19793.185949672676"/>
  </r>
  <r>
    <x v="0"/>
    <x v="4"/>
    <d v="2013-11-23T00:00:00"/>
    <d v="2013-11-23T00:00:00"/>
    <n v="0"/>
    <n v="0"/>
    <n v="0"/>
    <n v="0"/>
    <n v="0"/>
    <m/>
    <n v="0"/>
    <n v="19793.185949672676"/>
  </r>
  <r>
    <x v="0"/>
    <x v="4"/>
    <d v="2013-11-24T00:00:00"/>
    <d v="2013-11-24T00:00:00"/>
    <n v="0"/>
    <n v="0"/>
    <n v="0"/>
    <n v="18125.49309597"/>
    <n v="18125.49309597"/>
    <m/>
    <n v="-18125.49309597"/>
    <n v="1667.6928537026761"/>
  </r>
  <r>
    <x v="0"/>
    <x v="4"/>
    <d v="2013-11-25T00:00:00"/>
    <d v="2013-11-25T00:00:00"/>
    <n v="0"/>
    <n v="69971"/>
    <n v="69971"/>
    <n v="66840.073816244141"/>
    <n v="66840.073816244141"/>
    <m/>
    <n v="3130.9261837558588"/>
    <n v="4798.6190374585349"/>
  </r>
  <r>
    <x v="0"/>
    <x v="4"/>
    <d v="2013-11-26T00:00:00"/>
    <d v="2013-11-26T00:00:00"/>
    <n v="0"/>
    <n v="38142"/>
    <n v="38142"/>
    <n v="26550.905693364002"/>
    <n v="26550.905693364002"/>
    <m/>
    <n v="11591.094306635998"/>
    <n v="16389.713344094533"/>
  </r>
  <r>
    <x v="0"/>
    <x v="4"/>
    <d v="2013-11-27T00:00:00"/>
    <d v="2013-11-27T00:00:00"/>
    <n v="0"/>
    <n v="53790"/>
    <n v="53790"/>
    <n v="27915.196326615001"/>
    <n v="27915.196326615001"/>
    <m/>
    <n v="25874.803673384999"/>
    <n v="42264.517017479535"/>
  </r>
  <r>
    <x v="0"/>
    <x v="4"/>
    <d v="2013-11-28T00:00:00"/>
    <d v="2013-11-28T00:00:00"/>
    <n v="0"/>
    <n v="0"/>
    <n v="0"/>
    <n v="54640.779006176999"/>
    <n v="54640.779006176999"/>
    <m/>
    <n v="-54640.779006176999"/>
    <n v="-12376.261988697464"/>
  </r>
  <r>
    <x v="0"/>
    <x v="4"/>
    <d v="2013-11-29T00:00:00"/>
    <d v="2013-11-29T00:00:00"/>
    <n v="0"/>
    <n v="22212"/>
    <n v="22212"/>
    <n v="37222.033238792996"/>
    <n v="37222.033238792996"/>
    <m/>
    <n v="-15010.033238792996"/>
    <n v="-27386.29522749046"/>
  </r>
  <r>
    <x v="0"/>
    <x v="4"/>
    <d v="2013-11-30T00:00:00"/>
    <d v="2013-11-30T00:00:00"/>
    <n v="0"/>
    <n v="88020"/>
    <n v="88020"/>
    <n v="65505.770197335005"/>
    <n v="65505.770197335005"/>
    <m/>
    <n v="22514.229802664995"/>
    <n v="-4872.065424825465"/>
  </r>
  <r>
    <x v="0"/>
    <x v="5"/>
    <d v="2013-12-01T00:00:00"/>
    <d v="2013-12-01T00:00:00"/>
    <n v="0"/>
    <n v="83129"/>
    <n v="83129"/>
    <n v="64329.331206582006"/>
    <n v="64329.331206582006"/>
    <m/>
    <n v="18799.668793417994"/>
    <n v="13927.603368592529"/>
  </r>
  <r>
    <x v="0"/>
    <x v="5"/>
    <d v="2013-12-02T00:00:00"/>
    <d v="2013-12-02T00:00:00"/>
    <n v="0"/>
    <n v="73398"/>
    <n v="73398"/>
    <n v="70042.843168856998"/>
    <n v="70042.843168856998"/>
    <m/>
    <n v="3355.1568311430019"/>
    <n v="17282.76019973553"/>
  </r>
  <r>
    <x v="0"/>
    <x v="5"/>
    <d v="2013-12-03T00:00:00"/>
    <d v="2013-12-03T00:00:00"/>
    <n v="0"/>
    <n v="77642"/>
    <n v="77642"/>
    <n v="72130.896374651609"/>
    <n v="72130.896374651609"/>
    <m/>
    <n v="5511.1036253483908"/>
    <n v="22793.863825083921"/>
  </r>
  <r>
    <x v="0"/>
    <x v="5"/>
    <d v="2013-12-04T00:00:00"/>
    <d v="2013-12-04T00:00:00"/>
    <n v="0"/>
    <n v="73350"/>
    <n v="73350"/>
    <n v="73625.737680811348"/>
    <n v="73625.737680811348"/>
    <m/>
    <n v="-275.73768081134767"/>
    <n v="22518.126144272574"/>
  </r>
  <r>
    <x v="0"/>
    <x v="5"/>
    <d v="2013-12-05T00:00:00"/>
    <d v="2013-12-05T00:00:00"/>
    <n v="0"/>
    <n v="67678"/>
    <n v="67678"/>
    <n v="76287.64526097168"/>
    <n v="76287.64526097168"/>
    <m/>
    <n v="-8609.6452609716798"/>
    <n v="13908.480883300894"/>
  </r>
  <r>
    <x v="0"/>
    <x v="5"/>
    <d v="2013-12-06T00:00:00"/>
    <d v="2013-12-06T00:00:00"/>
    <n v="0"/>
    <n v="62074"/>
    <n v="62074"/>
    <n v="53237.879047431008"/>
    <n v="53237.879047431008"/>
    <m/>
    <n v="8836.1209525689919"/>
    <n v="22744.601835869886"/>
  </r>
  <r>
    <x v="0"/>
    <x v="5"/>
    <d v="2013-12-07T00:00:00"/>
    <d v="2013-12-07T00:00:00"/>
    <n v="0"/>
    <n v="0"/>
    <n v="0"/>
    <n v="72069.188715693002"/>
    <n v="72069.188715693002"/>
    <m/>
    <n v="-72069.188715693002"/>
    <n v="-49324.586879823117"/>
  </r>
  <r>
    <x v="0"/>
    <x v="5"/>
    <d v="2013-12-08T00:00:00"/>
    <d v="2013-12-08T00:00:00"/>
    <n v="0"/>
    <n v="73350"/>
    <n v="73350"/>
    <n v="74342.892699738004"/>
    <n v="74342.892699738004"/>
    <m/>
    <n v="-992.89269973800401"/>
    <n v="-50317.479579561121"/>
  </r>
  <r>
    <x v="0"/>
    <x v="5"/>
    <d v="2013-12-09T00:00:00"/>
    <d v="2013-12-09T00:00:00"/>
    <n v="0"/>
    <n v="83967"/>
    <n v="83967"/>
    <n v="73303.402975983656"/>
    <n v="73303.402975983656"/>
    <m/>
    <n v="10663.597024016344"/>
    <n v="-39653.882555544777"/>
  </r>
  <r>
    <x v="0"/>
    <x v="5"/>
    <d v="2013-12-10T00:00:00"/>
    <d v="2013-12-10T00:00:00"/>
    <n v="0"/>
    <n v="85022"/>
    <n v="85022"/>
    <n v="72525.373037793004"/>
    <n v="72525.373037793004"/>
    <m/>
    <n v="12496.626962206996"/>
    <n v="-27157.255593337781"/>
  </r>
  <r>
    <x v="0"/>
    <x v="5"/>
    <d v="2013-12-11T00:00:00"/>
    <d v="2013-12-11T00:00:00"/>
    <n v="0"/>
    <n v="107614"/>
    <n v="107614"/>
    <n v="72386.858113596012"/>
    <n v="72386.858113596012"/>
    <m/>
    <n v="35227.141886403988"/>
    <n v="8069.8862930662071"/>
  </r>
  <r>
    <x v="0"/>
    <x v="5"/>
    <d v="2013-12-12T00:00:00"/>
    <d v="2013-12-12T00:00:00"/>
    <n v="0"/>
    <n v="91846"/>
    <n v="91846"/>
    <n v="72356.145999344997"/>
    <n v="72356.145999344997"/>
    <m/>
    <n v="19489.854000655003"/>
    <n v="27559.74029372121"/>
  </r>
  <r>
    <x v="0"/>
    <x v="5"/>
    <d v="2013-12-13T00:00:00"/>
    <d v="2013-12-13T00:00:00"/>
    <n v="0"/>
    <n v="80000"/>
    <n v="80000"/>
    <n v="72042.426154880988"/>
    <n v="72042.426154880988"/>
    <m/>
    <n v="7957.5738451190118"/>
    <n v="35517.314138840222"/>
  </r>
  <r>
    <x v="0"/>
    <x v="5"/>
    <d v="2013-12-14T00:00:00"/>
    <d v="2013-12-14T00:00:00"/>
    <n v="0"/>
    <n v="60036"/>
    <n v="60036"/>
    <n v="60755.421340107016"/>
    <n v="60755.421340107016"/>
    <m/>
    <n v="-719.42134010701557"/>
    <n v="34797.892798733206"/>
  </r>
  <r>
    <x v="0"/>
    <x v="5"/>
    <d v="2013-12-15T00:00:00"/>
    <d v="2013-12-15T00:00:00"/>
    <n v="0"/>
    <n v="60036"/>
    <n v="60036"/>
    <n v="34814.256748829997"/>
    <n v="34814.256748829997"/>
    <m/>
    <n v="25221.743251170003"/>
    <n v="60019.636049903209"/>
  </r>
  <r>
    <x v="0"/>
    <x v="5"/>
    <d v="2013-12-16T00:00:00"/>
    <d v="2013-12-16T00:00:00"/>
    <n v="0"/>
    <n v="60036"/>
    <n v="60036"/>
    <n v="21559.848469718949"/>
    <n v="21559.848469718949"/>
    <m/>
    <n v="38476.151530281051"/>
    <n v="98495.78758018426"/>
  </r>
  <r>
    <x v="0"/>
    <x v="5"/>
    <d v="2013-12-17T00:00:00"/>
    <d v="2013-12-17T00:00:00"/>
    <n v="0"/>
    <n v="65000"/>
    <n v="65000"/>
    <n v="53425.010349009004"/>
    <n v="53425.010349009004"/>
    <m/>
    <n v="11574.989650990996"/>
    <n v="110070.77723117525"/>
  </r>
  <r>
    <x v="0"/>
    <x v="5"/>
    <d v="2013-12-18T00:00:00"/>
    <d v="2013-12-18T00:00:00"/>
    <n v="0"/>
    <n v="64928"/>
    <n v="64928"/>
    <n v="52104.143003796002"/>
    <n v="52104.143003796002"/>
    <m/>
    <n v="12823.856996203998"/>
    <n v="122894.63422737925"/>
  </r>
  <r>
    <x v="0"/>
    <x v="5"/>
    <d v="2013-12-19T00:00:00"/>
    <d v="2013-12-19T00:00:00"/>
    <n v="0"/>
    <n v="60000"/>
    <n v="60000"/>
    <n v="53089.756102305"/>
    <n v="53089.756102305"/>
    <m/>
    <n v="6910.2438976949998"/>
    <n v="129804.87812507426"/>
  </r>
  <r>
    <x v="0"/>
    <x v="5"/>
    <d v="2013-12-20T00:00:00"/>
    <d v="2013-12-20T00:00:00"/>
    <n v="0"/>
    <n v="68895"/>
    <n v="68895"/>
    <n v="53231.557108041015"/>
    <n v="53231.557108041015"/>
    <m/>
    <n v="15663.442891958985"/>
    <n v="145468.32101703325"/>
  </r>
  <r>
    <x v="0"/>
    <x v="5"/>
    <d v="2013-12-21T00:00:00"/>
    <d v="2013-12-21T00:00:00"/>
    <n v="0"/>
    <n v="54230"/>
    <n v="54230"/>
    <n v="50126.221427490003"/>
    <n v="50126.221427490003"/>
    <m/>
    <n v="4103.7785725099966"/>
    <n v="149572.09958954324"/>
  </r>
  <r>
    <x v="0"/>
    <x v="5"/>
    <d v="2013-12-22T00:00:00"/>
    <d v="2013-12-22T00:00:00"/>
    <n v="0"/>
    <n v="49340"/>
    <n v="49340"/>
    <n v="72301.510984013992"/>
    <n v="72301.510984013992"/>
    <m/>
    <n v="-22961.510984013992"/>
    <n v="126610.58860552925"/>
  </r>
  <r>
    <x v="0"/>
    <x v="5"/>
    <d v="2013-12-23T00:00:00"/>
    <d v="2013-12-23T00:00:00"/>
    <n v="0"/>
    <n v="68900"/>
    <n v="68900"/>
    <n v="72605.815214400005"/>
    <n v="72605.815214400005"/>
    <m/>
    <n v="-3705.8152144000051"/>
    <n v="122904.77339112925"/>
  </r>
  <r>
    <x v="0"/>
    <x v="5"/>
    <d v="2013-12-24T00:00:00"/>
    <d v="2013-12-24T00:00:00"/>
    <n v="0"/>
    <n v="64340"/>
    <n v="64340"/>
    <n v="68199.177027149999"/>
    <n v="68199.177027149999"/>
    <m/>
    <n v="-3859.177027149999"/>
    <n v="119045.59636397925"/>
  </r>
  <r>
    <x v="0"/>
    <x v="5"/>
    <d v="2013-12-25T00:00:00"/>
    <d v="2013-12-25T00:00:00"/>
    <n v="0"/>
    <n v="59560"/>
    <n v="59560"/>
    <n v="67843.889720334002"/>
    <n v="67843.889720334002"/>
    <m/>
    <n v="-8283.889720334002"/>
    <n v="110761.70664364524"/>
  </r>
  <r>
    <x v="0"/>
    <x v="5"/>
    <d v="2013-12-26T00:00:00"/>
    <d v="2013-12-26T00:00:00"/>
    <n v="0"/>
    <n v="59440"/>
    <n v="59440"/>
    <n v="63740.532121110002"/>
    <n v="63740.532121110002"/>
    <m/>
    <n v="-4300.5321211100018"/>
    <n v="106461.17452253524"/>
  </r>
  <r>
    <x v="0"/>
    <x v="5"/>
    <d v="2013-12-27T00:00:00"/>
    <d v="2013-12-27T00:00:00"/>
    <n v="0"/>
    <n v="60000"/>
    <n v="60000"/>
    <n v="62404.081716600005"/>
    <n v="62404.081716600005"/>
    <m/>
    <n v="-2404.0817166000052"/>
    <n v="104057.09280593523"/>
  </r>
  <r>
    <x v="0"/>
    <x v="5"/>
    <d v="2013-12-28T00:00:00"/>
    <d v="2013-12-28T00:00:00"/>
    <n v="0"/>
    <n v="60000"/>
    <n v="60000"/>
    <n v="54331.941367079999"/>
    <n v="54331.941367079999"/>
    <m/>
    <n v="5668.0586329200014"/>
    <n v="109725.15143885523"/>
  </r>
  <r>
    <x v="0"/>
    <x v="5"/>
    <d v="2013-12-29T00:00:00"/>
    <d v="2013-12-29T00:00:00"/>
    <n v="0"/>
    <n v="60000"/>
    <n v="60000"/>
    <n v="44354.545727192999"/>
    <n v="44354.545727192999"/>
    <m/>
    <n v="15645.454272807001"/>
    <n v="125370.60571166224"/>
  </r>
  <r>
    <x v="0"/>
    <x v="5"/>
    <d v="2013-12-30T00:00:00"/>
    <d v="2013-12-30T00:00:00"/>
    <n v="2"/>
    <n v="47484"/>
    <n v="47482"/>
    <n v="57680.690700816151"/>
    <n v="57680.690700816151"/>
    <m/>
    <n v="-10198.690700816151"/>
    <n v="115171.91501084609"/>
  </r>
  <r>
    <x v="0"/>
    <x v="5"/>
    <d v="2013-12-31T00:00:00"/>
    <d v="2013-12-31T00:00:00"/>
    <n v="0"/>
    <n v="39999"/>
    <n v="39999"/>
    <n v="42789.17463119371"/>
    <n v="42789.17463119371"/>
    <m/>
    <n v="-2790.1746311937095"/>
    <n v="112381.74037965239"/>
  </r>
  <r>
    <x v="1"/>
    <x v="6"/>
    <d v="2014-01-01T00:00:00"/>
    <d v="2014-01-01T00:00:00"/>
    <n v="0"/>
    <n v="39999"/>
    <n v="39999"/>
    <n v="46928.013904828716"/>
    <n v="46928.013904828716"/>
    <m/>
    <n v="-6929.0139048287165"/>
    <n v="105452.72647482366"/>
  </r>
  <r>
    <x v="1"/>
    <x v="6"/>
    <d v="2014-01-02T00:00:00"/>
    <d v="2014-01-02T00:00:00"/>
    <n v="0"/>
    <n v="32657"/>
    <n v="32657"/>
    <n v="66275.71512003"/>
    <n v="66275.71512003"/>
    <m/>
    <n v="-33618.71512003"/>
    <n v="71834.011354793663"/>
  </r>
  <r>
    <x v="1"/>
    <x v="6"/>
    <d v="2014-01-03T00:00:00"/>
    <d v="2014-01-03T00:00:00"/>
    <n v="0"/>
    <n v="40000"/>
    <n v="40000"/>
    <n v="70617.438802387973"/>
    <n v="70617.438802387973"/>
    <m/>
    <n v="-30617.438802387973"/>
    <n v="41216.572552405691"/>
  </r>
  <r>
    <x v="1"/>
    <x v="6"/>
    <d v="2014-01-04T00:00:00"/>
    <d v="2014-01-04T00:00:00"/>
    <n v="0"/>
    <n v="35000"/>
    <n v="35000"/>
    <n v="65399.077590084344"/>
    <n v="65399.077590084344"/>
    <m/>
    <n v="-30399.077590084344"/>
    <n v="10817.494962321347"/>
  </r>
  <r>
    <x v="1"/>
    <x v="6"/>
    <d v="2014-01-05T00:00:00"/>
    <d v="2014-01-05T00:00:00"/>
    <n v="0"/>
    <n v="35000"/>
    <n v="35000"/>
    <n v="59101.812708671539"/>
    <n v="59101.812708671539"/>
    <m/>
    <n v="-24101.812708671539"/>
    <n v="-13284.317746350192"/>
  </r>
  <r>
    <x v="1"/>
    <x v="6"/>
    <d v="2014-01-06T00:00:00"/>
    <d v="2014-01-06T00:00:00"/>
    <n v="0"/>
    <n v="40216"/>
    <n v="40216"/>
    <n v="76119.61529351896"/>
    <n v="76119.61529351896"/>
    <m/>
    <n v="-35903.61529351896"/>
    <n v="-49187.933039869153"/>
  </r>
  <r>
    <x v="1"/>
    <x v="6"/>
    <d v="2014-01-07T00:00:00"/>
    <d v="2014-01-07T00:00:00"/>
    <n v="0"/>
    <n v="69351"/>
    <n v="69351"/>
    <n v="76872.813947555886"/>
    <n v="76872.813947555886"/>
    <m/>
    <n v="-7521.8139475558855"/>
    <n v="-56709.746987425038"/>
  </r>
  <r>
    <x v="1"/>
    <x v="6"/>
    <d v="2014-01-08T00:00:00"/>
    <d v="2014-01-08T00:00:00"/>
    <n v="0"/>
    <n v="69999"/>
    <n v="69999"/>
    <n v="72552.264436317622"/>
    <n v="72552.264436317622"/>
    <m/>
    <n v="-2553.2644363176223"/>
    <n v="-59263.011423742661"/>
  </r>
  <r>
    <x v="1"/>
    <x v="6"/>
    <d v="2014-01-09T00:00:00"/>
    <d v="2014-01-09T00:00:00"/>
    <n v="0"/>
    <n v="70000"/>
    <n v="70000"/>
    <n v="71872.561749308807"/>
    <n v="71872.561749308807"/>
    <m/>
    <n v="-1872.5617493088066"/>
    <n v="-61135.573173051467"/>
  </r>
  <r>
    <x v="1"/>
    <x v="6"/>
    <d v="2014-01-10T00:00:00"/>
    <d v="2014-01-10T00:00:00"/>
    <n v="0"/>
    <n v="80000"/>
    <n v="80000"/>
    <n v="76219.023153705944"/>
    <n v="76219.023153705944"/>
    <m/>
    <n v="3780.9768462940556"/>
    <n v="-57354.596326757412"/>
  </r>
  <r>
    <x v="1"/>
    <x v="6"/>
    <d v="2014-01-11T00:00:00"/>
    <d v="2014-01-11T00:00:00"/>
    <n v="0"/>
    <n v="65000"/>
    <n v="65000"/>
    <n v="65803.568876273945"/>
    <n v="65803.568876273945"/>
    <m/>
    <n v="-803.56887627394462"/>
    <n v="-58158.165203031356"/>
  </r>
  <r>
    <x v="1"/>
    <x v="6"/>
    <d v="2014-01-12T00:00:00"/>
    <d v="2014-01-12T00:00:00"/>
    <n v="0"/>
    <n v="65000"/>
    <n v="65000"/>
    <n v="50643.805266607167"/>
    <n v="50643.805266607167"/>
    <m/>
    <n v="14356.194733392833"/>
    <n v="-43801.970469638523"/>
  </r>
  <r>
    <x v="1"/>
    <x v="6"/>
    <d v="2014-01-13T00:00:00"/>
    <d v="2014-01-13T00:00:00"/>
    <n v="0"/>
    <n v="65000"/>
    <n v="65000"/>
    <n v="73011.554661840564"/>
    <n v="73011.554661840564"/>
    <m/>
    <n v="-8011.5546618405642"/>
    <n v="-51813.525131479088"/>
  </r>
  <r>
    <x v="1"/>
    <x v="6"/>
    <d v="2014-01-14T00:00:00"/>
    <d v="2014-01-14T00:00:00"/>
    <n v="0"/>
    <n v="80000"/>
    <n v="80000"/>
    <n v="70057.940762921324"/>
    <n v="70057.940762921324"/>
    <m/>
    <n v="9942.0592370786762"/>
    <n v="-41871.465894400411"/>
  </r>
  <r>
    <x v="1"/>
    <x v="6"/>
    <d v="2014-01-15T00:00:00"/>
    <d v="2014-01-15T00:00:00"/>
    <n v="0"/>
    <n v="51750"/>
    <n v="51750"/>
    <n v="74122.841818115994"/>
    <n v="74122.841818115994"/>
    <m/>
    <n v="-22372.841818115994"/>
    <n v="-64244.307712516405"/>
  </r>
  <r>
    <x v="1"/>
    <x v="6"/>
    <d v="2014-01-16T00:00:00"/>
    <d v="2014-01-16T00:00:00"/>
    <n v="0"/>
    <n v="51747"/>
    <n v="51747"/>
    <n v="78825.667130963993"/>
    <n v="78825.667130963993"/>
    <m/>
    <n v="-27078.667130963993"/>
    <n v="-91322.974843480391"/>
  </r>
  <r>
    <x v="1"/>
    <x v="6"/>
    <d v="2014-01-17T00:00:00"/>
    <d v="2014-01-17T00:00:00"/>
    <n v="0"/>
    <n v="50001"/>
    <n v="50001"/>
    <n v="69176.765906937013"/>
    <n v="69176.765906937013"/>
    <m/>
    <n v="-19175.765906937013"/>
    <n v="-110498.7407504174"/>
  </r>
  <r>
    <x v="1"/>
    <x v="6"/>
    <d v="2014-01-18T00:00:00"/>
    <d v="2014-01-18T00:00:00"/>
    <n v="0"/>
    <n v="59437"/>
    <n v="59437"/>
    <n v="63470.565405000001"/>
    <n v="63470.565405000001"/>
    <m/>
    <n v="-4033.5654050000012"/>
    <n v="-114532.30615541741"/>
  </r>
  <r>
    <x v="1"/>
    <x v="6"/>
    <d v="2014-01-19T00:00:00"/>
    <d v="2014-01-19T00:00:00"/>
    <n v="0"/>
    <n v="59437"/>
    <n v="59437"/>
    <n v="56728.096672806001"/>
    <n v="56728.096672806001"/>
    <m/>
    <n v="2708.9033271939988"/>
    <n v="-111823.40282822341"/>
  </r>
  <r>
    <x v="1"/>
    <x v="6"/>
    <d v="2014-01-20T00:00:00"/>
    <d v="2014-01-20T00:00:00"/>
    <n v="0"/>
    <n v="54577"/>
    <n v="54577"/>
    <n v="72146.722989743997"/>
    <n v="72146.722989743997"/>
    <m/>
    <n v="-17569.722989743997"/>
    <n v="-129393.1258179674"/>
  </r>
  <r>
    <x v="1"/>
    <x v="6"/>
    <d v="2014-01-21T00:00:00"/>
    <d v="2014-01-21T00:00:00"/>
    <n v="0"/>
    <n v="59680"/>
    <n v="59680"/>
    <n v="73287.014135751"/>
    <n v="73287.014135751"/>
    <m/>
    <n v="-13607.014135751"/>
    <n v="-143000.1399537184"/>
  </r>
  <r>
    <x v="1"/>
    <x v="6"/>
    <d v="2014-01-22T00:00:00"/>
    <d v="2014-01-22T00:00:00"/>
    <n v="0"/>
    <n v="58000"/>
    <n v="58000"/>
    <n v="75564.107513388008"/>
    <n v="75564.107513388008"/>
    <m/>
    <n v="-17564.107513388008"/>
    <n v="-160564.24746710641"/>
  </r>
  <r>
    <x v="1"/>
    <x v="6"/>
    <d v="2014-01-23T00:00:00"/>
    <d v="2014-01-23T00:00:00"/>
    <n v="0"/>
    <n v="71722"/>
    <n v="71722"/>
    <n v="72929.219852969996"/>
    <n v="72929.219852969996"/>
    <m/>
    <n v="-1207.2198529699963"/>
    <n v="-161771.46732007642"/>
  </r>
  <r>
    <x v="1"/>
    <x v="6"/>
    <d v="2014-01-24T00:00:00"/>
    <d v="2014-01-24T00:00:00"/>
    <n v="0"/>
    <n v="70000"/>
    <n v="70000"/>
    <n v="73832.888484927011"/>
    <n v="73832.888484927011"/>
    <m/>
    <n v="-3832.8884849270107"/>
    <n v="-165604.35580500343"/>
  </r>
  <r>
    <x v="1"/>
    <x v="6"/>
    <d v="2014-01-25T00:00:00"/>
    <d v="2014-01-25T00:00:00"/>
    <n v="0"/>
    <n v="64999"/>
    <n v="64999"/>
    <n v="65692.489198518015"/>
    <n v="65692.489198518015"/>
    <m/>
    <n v="-693.48919851801475"/>
    <n v="-166297.84500352145"/>
  </r>
  <r>
    <x v="1"/>
    <x v="6"/>
    <d v="2014-01-26T00:00:00"/>
    <d v="2014-01-26T00:00:00"/>
    <n v="0"/>
    <n v="64999"/>
    <n v="64999"/>
    <n v="62004.064082103003"/>
    <n v="62004.064082103003"/>
    <m/>
    <n v="2994.9359178969971"/>
    <n v="-163302.90908562444"/>
  </r>
  <r>
    <x v="1"/>
    <x v="6"/>
    <d v="2014-01-27T00:00:00"/>
    <d v="2014-01-27T00:00:00"/>
    <n v="0"/>
    <n v="74718"/>
    <n v="74718"/>
    <n v="69010.148208690007"/>
    <n v="69010.148208690007"/>
    <m/>
    <n v="5707.8517913099931"/>
    <n v="-157595.05729431444"/>
  </r>
  <r>
    <x v="1"/>
    <x v="6"/>
    <d v="2014-01-28T00:00:00"/>
    <d v="2014-01-28T00:00:00"/>
    <n v="-12011"/>
    <n v="62988"/>
    <n v="74999"/>
    <n v="65233.152437076002"/>
    <n v="65233.152437076002"/>
    <m/>
    <n v="9765.8475629239983"/>
    <n v="-147829.20973139044"/>
  </r>
  <r>
    <x v="1"/>
    <x v="6"/>
    <d v="2014-01-29T00:00:00"/>
    <d v="2014-01-29T00:00:00"/>
    <n v="0"/>
    <n v="64999"/>
    <n v="64999"/>
    <n v="76072.561099587008"/>
    <n v="76072.561099587008"/>
    <m/>
    <n v="-11073.561099587008"/>
    <n v="-158902.77083097745"/>
  </r>
  <r>
    <x v="1"/>
    <x v="6"/>
    <d v="2014-01-30T00:00:00"/>
    <d v="2014-01-30T00:00:00"/>
    <n v="0"/>
    <n v="75000"/>
    <n v="75000"/>
    <n v="74917.255584483006"/>
    <n v="74917.255584483006"/>
    <m/>
    <n v="82.744415516994195"/>
    <n v="-158820.02641546045"/>
  </r>
  <r>
    <x v="1"/>
    <x v="6"/>
    <d v="2014-01-31T00:00:00"/>
    <d v="2014-01-31T00:00:00"/>
    <n v="0"/>
    <n v="74718"/>
    <n v="74718"/>
    <n v="69524.242253855991"/>
    <n v="69524.242253855991"/>
    <m/>
    <n v="5193.7577461440087"/>
    <n v="-153626.26866931643"/>
  </r>
  <r>
    <x v="1"/>
    <x v="7"/>
    <d v="2014-02-01T00:00:00"/>
    <d v="2014-02-01T00:00:00"/>
    <n v="0"/>
    <n v="69739"/>
    <n v="69739"/>
    <n v="55257.256243683005"/>
    <n v="55257.256243683005"/>
    <m/>
    <n v="14481.743756316995"/>
    <n v="-139144.52491299942"/>
  </r>
  <r>
    <x v="1"/>
    <x v="7"/>
    <d v="2014-02-02T00:00:00"/>
    <d v="2014-02-02T00:00:00"/>
    <n v="0"/>
    <n v="60020"/>
    <n v="60020"/>
    <n v="55878.865910244"/>
    <n v="55878.865910244"/>
    <m/>
    <n v="4141.1340897560003"/>
    <n v="-135003.39082324342"/>
  </r>
  <r>
    <x v="1"/>
    <x v="7"/>
    <d v="2014-02-03T00:00:00"/>
    <d v="2014-02-03T00:00:00"/>
    <n v="0"/>
    <n v="60020"/>
    <n v="60020"/>
    <n v="61610.154180353995"/>
    <n v="61610.154180353995"/>
    <m/>
    <n v="-1590.1541803539949"/>
    <n v="-136593.54500359742"/>
  </r>
  <r>
    <x v="1"/>
    <x v="7"/>
    <d v="2014-02-04T00:00:00"/>
    <d v="2014-02-04T00:00:00"/>
    <n v="0"/>
    <n v="58662"/>
    <n v="58662"/>
    <n v="73902.33503651699"/>
    <n v="73902.33503651699"/>
    <m/>
    <n v="-15240.33503651699"/>
    <n v="-151833.8800401144"/>
  </r>
  <r>
    <x v="1"/>
    <x v="7"/>
    <d v="2014-02-05T00:00:00"/>
    <d v="2014-02-05T00:00:00"/>
    <n v="0"/>
    <n v="65000"/>
    <n v="65000"/>
    <n v="60489.596584287006"/>
    <n v="60489.596584287006"/>
    <m/>
    <n v="4510.4034157129936"/>
    <n v="-147323.4766244014"/>
  </r>
  <r>
    <x v="1"/>
    <x v="7"/>
    <d v="2014-02-06T00:00:00"/>
    <d v="2014-02-06T00:00:00"/>
    <n v="0"/>
    <n v="64969"/>
    <n v="64969"/>
    <n v="70781.769832409991"/>
    <n v="70781.769832409991"/>
    <m/>
    <n v="-5812.7698324099911"/>
    <n v="-153136.24645681138"/>
  </r>
  <r>
    <x v="1"/>
    <x v="7"/>
    <d v="2014-02-07T00:00:00"/>
    <d v="2014-02-07T00:00:00"/>
    <n v="0"/>
    <n v="57226"/>
    <n v="57226"/>
    <n v="70445.278684521021"/>
    <n v="70445.278684521021"/>
    <m/>
    <n v="-13219.278684521021"/>
    <n v="-166355.52514133241"/>
  </r>
  <r>
    <x v="1"/>
    <x v="7"/>
    <d v="2014-02-08T00:00:00"/>
    <d v="2014-02-08T00:00:00"/>
    <n v="0"/>
    <n v="79976"/>
    <n v="79976"/>
    <n v="69442.475976899994"/>
    <n v="69442.475976899994"/>
    <m/>
    <n v="10533.524023100006"/>
    <n v="-155822.00111823241"/>
  </r>
  <r>
    <x v="1"/>
    <x v="7"/>
    <d v="2014-02-09T00:00:00"/>
    <d v="2014-02-09T00:00:00"/>
    <n v="0"/>
    <n v="79976"/>
    <n v="79976"/>
    <n v="64494.948957894005"/>
    <n v="64494.948957894005"/>
    <m/>
    <n v="15481.051042105995"/>
    <n v="-140340.95007612641"/>
  </r>
  <r>
    <x v="1"/>
    <x v="7"/>
    <d v="2014-02-10T00:00:00"/>
    <d v="2014-02-10T00:00:00"/>
    <n v="0"/>
    <n v="79976"/>
    <n v="79976"/>
    <n v="73945.269250983009"/>
    <n v="73945.269250983009"/>
    <m/>
    <n v="6030.7307490169915"/>
    <n v="-134310.2193271094"/>
  </r>
  <r>
    <x v="1"/>
    <x v="7"/>
    <d v="2014-02-11T00:00:00"/>
    <d v="2014-02-11T00:00:00"/>
    <n v="0"/>
    <n v="82000"/>
    <n v="82000"/>
    <n v="74130.175760673243"/>
    <n v="74130.175760673243"/>
    <m/>
    <n v="7869.8242393267574"/>
    <n v="-126440.39508778264"/>
  </r>
  <r>
    <x v="1"/>
    <x v="7"/>
    <d v="2014-02-12T00:00:00"/>
    <d v="2014-02-12T00:00:00"/>
    <n v="0"/>
    <n v="82055"/>
    <n v="82055"/>
    <n v="66427.094489501062"/>
    <n v="66427.094489501062"/>
    <m/>
    <n v="15627.905510498938"/>
    <n v="-110812.4895772837"/>
  </r>
  <r>
    <x v="1"/>
    <x v="7"/>
    <d v="2014-02-13T00:00:00"/>
    <d v="2014-02-13T00:00:00"/>
    <n v="0"/>
    <n v="89912"/>
    <n v="89912"/>
    <n v="63755.753151277866"/>
    <n v="63755.753151277866"/>
    <m/>
    <n v="26156.246848722134"/>
    <n v="-84656.24272856157"/>
  </r>
  <r>
    <x v="1"/>
    <x v="7"/>
    <d v="2014-02-14T00:00:00"/>
    <d v="2014-02-14T00:00:00"/>
    <n v="0"/>
    <n v="84982"/>
    <n v="84982"/>
    <n v="66485.800831903602"/>
    <n v="66485.800831903602"/>
    <m/>
    <n v="18496.199168096398"/>
    <n v="-66160.043560465172"/>
  </r>
  <r>
    <x v="1"/>
    <x v="7"/>
    <d v="2014-02-15T00:00:00"/>
    <d v="2014-02-15T00:00:00"/>
    <n v="0"/>
    <n v="75020"/>
    <n v="75020"/>
    <n v="58501.157082732003"/>
    <n v="58501.157082732003"/>
    <m/>
    <n v="16518.842917267997"/>
    <n v="-49641.200643197175"/>
  </r>
  <r>
    <x v="1"/>
    <x v="7"/>
    <d v="2014-02-16T00:00:00"/>
    <d v="2014-02-16T00:00:00"/>
    <n v="0"/>
    <n v="75020"/>
    <n v="75020"/>
    <n v="54925.777152089999"/>
    <n v="54925.777152089999"/>
    <m/>
    <n v="20094.222847910001"/>
    <n v="-29546.977795287174"/>
  </r>
  <r>
    <x v="1"/>
    <x v="7"/>
    <d v="2014-02-17T00:00:00"/>
    <d v="2014-02-17T00:00:00"/>
    <n v="0"/>
    <n v="75020"/>
    <n v="75020"/>
    <n v="66705.208915409996"/>
    <n v="66705.208915409996"/>
    <m/>
    <n v="8314.7910845900042"/>
    <n v="-21232.186710697169"/>
  </r>
  <r>
    <x v="1"/>
    <x v="7"/>
    <d v="2014-02-18T00:00:00"/>
    <d v="2014-02-18T00:00:00"/>
    <n v="0"/>
    <n v="75020"/>
    <n v="75020"/>
    <n v="68765.328973223994"/>
    <n v="68765.328973223994"/>
    <m/>
    <n v="6254.6710267760063"/>
    <n v="-14977.515683921163"/>
  </r>
  <r>
    <x v="1"/>
    <x v="7"/>
    <d v="2014-02-19T00:00:00"/>
    <d v="2014-02-19T00:00:00"/>
    <n v="0"/>
    <n v="52000"/>
    <n v="52000"/>
    <n v="72229.588734420002"/>
    <n v="72229.588734420002"/>
    <m/>
    <n v="-20229.588734420002"/>
    <n v="-35207.104418341165"/>
  </r>
  <r>
    <x v="1"/>
    <x v="7"/>
    <d v="2014-02-20T00:00:00"/>
    <d v="2014-02-20T00:00:00"/>
    <n v="0"/>
    <n v="58010"/>
    <n v="58010"/>
    <n v="72085.83333003"/>
    <n v="72085.83333003"/>
    <m/>
    <n v="-14075.83333003"/>
    <n v="-49282.937748371165"/>
  </r>
  <r>
    <x v="1"/>
    <x v="7"/>
    <d v="2014-02-21T00:00:00"/>
    <d v="2014-02-21T00:00:00"/>
    <n v="0"/>
    <n v="65000"/>
    <n v="65000"/>
    <n v="68981.69474235001"/>
    <n v="68981.69474235001"/>
    <m/>
    <n v="-3981.6947423500096"/>
    <n v="-53264.632490721175"/>
  </r>
  <r>
    <x v="1"/>
    <x v="7"/>
    <d v="2014-02-22T00:00:00"/>
    <d v="2014-02-22T00:00:00"/>
    <n v="0"/>
    <n v="59518"/>
    <n v="59518"/>
    <n v="67061.891408850002"/>
    <n v="67061.891408850002"/>
    <m/>
    <n v="-7543.8914088500023"/>
    <n v="-60808.523899571177"/>
  </r>
  <r>
    <x v="1"/>
    <x v="7"/>
    <d v="2014-02-23T00:00:00"/>
    <d v="2014-02-23T00:00:00"/>
    <n v="0"/>
    <n v="65000"/>
    <n v="65000"/>
    <n v="67644.315477179989"/>
    <n v="67644.315477179989"/>
    <m/>
    <n v="-2644.3154771799891"/>
    <n v="-63452.839376751166"/>
  </r>
  <r>
    <x v="1"/>
    <x v="7"/>
    <d v="2014-02-24T00:00:00"/>
    <d v="2014-02-24T00:00:00"/>
    <n v="0"/>
    <n v="65000"/>
    <n v="65000"/>
    <n v="74105.539418781002"/>
    <n v="74105.539418781002"/>
    <m/>
    <n v="-9105.5394187810016"/>
    <n v="-72558.37879553216"/>
  </r>
  <r>
    <x v="1"/>
    <x v="7"/>
    <d v="2014-02-25T00:00:00"/>
    <d v="2014-02-25T00:00:00"/>
    <n v="0"/>
    <n v="64999"/>
    <n v="64999"/>
    <n v="73779.509327120977"/>
    <n v="73779.509327120977"/>
    <m/>
    <n v="-8780.5093271209771"/>
    <n v="-81338.888122653138"/>
  </r>
  <r>
    <x v="1"/>
    <x v="7"/>
    <d v="2014-02-26T00:00:00"/>
    <d v="2014-02-26T00:00:00"/>
    <n v="0"/>
    <n v="72000"/>
    <n v="72000"/>
    <n v="73105.759299572994"/>
    <n v="73105.759299572994"/>
    <m/>
    <n v="-1105.7592995729938"/>
    <n v="-82444.647422226131"/>
  </r>
  <r>
    <x v="1"/>
    <x v="7"/>
    <d v="2014-02-27T00:00:00"/>
    <d v="2014-02-27T00:00:00"/>
    <n v="0"/>
    <n v="62717"/>
    <n v="62717"/>
    <n v="71580.717955305008"/>
    <n v="71580.717955305008"/>
    <m/>
    <n v="-8863.7179553050082"/>
    <n v="-91308.36537753114"/>
  </r>
  <r>
    <x v="1"/>
    <x v="7"/>
    <d v="2014-02-28T00:00:00"/>
    <d v="2014-02-28T00:00:00"/>
    <n v="1"/>
    <n v="73002"/>
    <n v="73001"/>
    <n v="69882.939169304969"/>
    <n v="69882.939169304969"/>
    <m/>
    <n v="3118.0608306950307"/>
    <n v="-88190.304546836109"/>
  </r>
  <r>
    <x v="1"/>
    <x v="8"/>
    <d v="2014-03-01T00:00:00"/>
    <d v="2014-03-01T00:00:00"/>
    <n v="0"/>
    <n v="68001"/>
    <n v="68001"/>
    <n v="66348.678072690003"/>
    <n v="66348.678072690003"/>
    <m/>
    <n v="1652.3219273099967"/>
    <n v="-86537.982619526112"/>
  </r>
  <r>
    <x v="1"/>
    <x v="8"/>
    <d v="2014-03-02T00:00:00"/>
    <d v="2014-03-02T00:00:00"/>
    <n v="0"/>
    <n v="68001"/>
    <n v="68001"/>
    <n v="68850.677998440005"/>
    <n v="68850.677998440005"/>
    <m/>
    <n v="-849.67799844000547"/>
    <n v="-87387.660617966118"/>
  </r>
  <r>
    <x v="1"/>
    <x v="8"/>
    <d v="2014-03-03T00:00:00"/>
    <d v="2014-03-03T00:00:00"/>
    <n v="0"/>
    <n v="68001"/>
    <n v="68001"/>
    <n v="67697.848181339999"/>
    <n v="67697.848181339999"/>
    <m/>
    <n v="303.15181866000057"/>
    <n v="-87084.508799306117"/>
  </r>
  <r>
    <x v="1"/>
    <x v="8"/>
    <d v="2014-03-04T00:00:00"/>
    <d v="2014-03-04T00:00:00"/>
    <n v="0"/>
    <n v="74881"/>
    <n v="74881"/>
    <n v="69812.037407736017"/>
    <n v="69812.037407736017"/>
    <m/>
    <n v="5068.9625922639825"/>
    <n v="-82015.546207042134"/>
  </r>
  <r>
    <x v="1"/>
    <x v="8"/>
    <d v="2014-03-05T00:00:00"/>
    <d v="2014-03-05T00:00:00"/>
    <n v="0"/>
    <n v="74830"/>
    <n v="74830"/>
    <n v="69668.909458200011"/>
    <n v="69668.909458200011"/>
    <m/>
    <n v="5161.0905417999893"/>
    <n v="-76854.455665242145"/>
  </r>
  <r>
    <x v="1"/>
    <x v="8"/>
    <d v="2014-03-06T00:00:00"/>
    <d v="2014-03-06T00:00:00"/>
    <n v="0"/>
    <n v="75001"/>
    <n v="75001"/>
    <n v="67886.823934799992"/>
    <n v="67886.823934799992"/>
    <m/>
    <n v="7114.1760652000085"/>
    <n v="-69740.279600042137"/>
  </r>
  <r>
    <x v="1"/>
    <x v="8"/>
    <d v="2014-03-07T00:00:00"/>
    <d v="2014-03-07T00:00:00"/>
    <n v="0"/>
    <n v="74999"/>
    <n v="74999"/>
    <n v="73558.181735999999"/>
    <n v="73558.181735999999"/>
    <m/>
    <n v="1440.8182640000014"/>
    <n v="-68299.461336042135"/>
  </r>
  <r>
    <x v="1"/>
    <x v="8"/>
    <d v="2014-03-08T00:00:00"/>
    <d v="2014-03-08T00:00:00"/>
    <n v="0"/>
    <n v="68001"/>
    <n v="68001"/>
    <n v="73292.698194299999"/>
    <n v="73292.698194299999"/>
    <m/>
    <n v="-5291.6981942999992"/>
    <n v="-73591.159530342135"/>
  </r>
  <r>
    <x v="1"/>
    <x v="8"/>
    <d v="2014-03-09T00:00:00"/>
    <d v="2014-03-09T00:00:00"/>
    <n v="0"/>
    <n v="68001"/>
    <n v="68001"/>
    <n v="70773.211044900003"/>
    <n v="70773.211044900003"/>
    <m/>
    <n v="-2772.2110449000029"/>
    <n v="-76363.370575242137"/>
  </r>
  <r>
    <x v="1"/>
    <x v="8"/>
    <d v="2014-03-10T00:00:00"/>
    <d v="2014-03-10T00:00:00"/>
    <n v="-3992"/>
    <n v="68001"/>
    <n v="71993"/>
    <n v="70956.613634399997"/>
    <n v="70956.613634399997"/>
    <m/>
    <n v="1036.386365600003"/>
    <n v="-75326.984209642134"/>
  </r>
  <r>
    <x v="1"/>
    <x v="8"/>
    <d v="2014-03-11T00:00:00"/>
    <d v="2014-03-11T00:00:00"/>
    <n v="0"/>
    <n v="72192"/>
    <n v="72192"/>
    <n v="73462.641782399995"/>
    <n v="73462.641782399995"/>
    <m/>
    <n v="-1270.6417823999946"/>
    <n v="-76597.625992042129"/>
  </r>
  <r>
    <x v="1"/>
    <x v="8"/>
    <d v="2014-03-12T00:00:00"/>
    <d v="2014-03-12T00:00:00"/>
    <n v="0"/>
    <n v="77001"/>
    <n v="77001"/>
    <n v="72272.183630400003"/>
    <n v="72272.183630400003"/>
    <m/>
    <n v="4728.8163695999974"/>
    <n v="-71868.809622442132"/>
  </r>
  <r>
    <x v="1"/>
    <x v="8"/>
    <d v="2014-03-13T00:00:00"/>
    <d v="2014-03-13T00:00:00"/>
    <n v="0"/>
    <n v="79000"/>
    <n v="79000"/>
    <n v="69053.112753299996"/>
    <n v="69053.112753299996"/>
    <m/>
    <n v="9946.8872467000037"/>
    <n v="-61921.922375742128"/>
  </r>
  <r>
    <x v="1"/>
    <x v="8"/>
    <d v="2014-03-14T00:00:00"/>
    <d v="2014-03-14T00:00:00"/>
    <n v="0"/>
    <n v="78828"/>
    <n v="78828"/>
    <n v="73547.755749000004"/>
    <n v="73547.755749000004"/>
    <m/>
    <n v="5280.2442509999964"/>
    <n v="-56641.678124742131"/>
  </r>
  <r>
    <x v="1"/>
    <x v="8"/>
    <d v="2014-03-15T00:00:00"/>
    <d v="2014-03-15T00:00:00"/>
    <n v="0"/>
    <n v="68001"/>
    <n v="68001"/>
    <n v="73386.626858999996"/>
    <n v="73386.626858999996"/>
    <m/>
    <n v="-5385.6268589999963"/>
    <n v="-62027.304983742128"/>
  </r>
  <r>
    <x v="1"/>
    <x v="8"/>
    <d v="2014-03-16T00:00:00"/>
    <d v="2014-03-16T00:00:00"/>
    <n v="0"/>
    <n v="67995"/>
    <n v="67995"/>
    <n v="68039.232908399994"/>
    <n v="68039.232908399994"/>
    <m/>
    <n v="-44.232908399993903"/>
    <n v="-62071.537892142122"/>
  </r>
  <r>
    <x v="1"/>
    <x v="8"/>
    <d v="2014-03-17T00:00:00"/>
    <d v="2014-03-17T00:00:00"/>
    <n v="-1"/>
    <n v="68001"/>
    <n v="68002"/>
    <n v="60052.642521300004"/>
    <n v="60052.642521300004"/>
    <m/>
    <n v="7949.3574786999961"/>
    <n v="-54122.180413442125"/>
  </r>
  <r>
    <x v="1"/>
    <x v="8"/>
    <d v="2014-03-18T00:00:00"/>
    <d v="2014-03-18T00:00:00"/>
    <n v="-1"/>
    <n v="79000"/>
    <n v="79001"/>
    <n v="71374.885276500005"/>
    <n v="71374.885276500005"/>
    <m/>
    <n v="7626.1147234999953"/>
    <n v="-46496.06568994213"/>
  </r>
  <r>
    <x v="1"/>
    <x v="8"/>
    <d v="2014-03-19T00:00:00"/>
    <d v="2014-03-19T00:00:00"/>
    <n v="1"/>
    <n v="79001"/>
    <n v="79000"/>
    <n v="73335.539522700012"/>
    <n v="73335.539522700012"/>
    <m/>
    <n v="5664.4604772999883"/>
    <n v="-40831.605212642142"/>
  </r>
  <r>
    <x v="1"/>
    <x v="8"/>
    <d v="2014-03-20T00:00:00"/>
    <d v="2014-03-20T00:00:00"/>
    <n v="0"/>
    <n v="79000"/>
    <n v="79000"/>
    <n v="72363.458407500002"/>
    <n v="72363.458407500002"/>
    <m/>
    <n v="6636.5415924999979"/>
    <n v="-34195.063620142144"/>
  </r>
  <r>
    <x v="1"/>
    <x v="8"/>
    <d v="2014-03-21T00:00:00"/>
    <d v="2014-03-21T00:00:00"/>
    <n v="9077"/>
    <n v="79078"/>
    <n v="70001"/>
    <n v="73309.379773499997"/>
    <n v="73309.379773499997"/>
    <m/>
    <n v="-3308.3797734999971"/>
    <n v="-37503.443393642141"/>
  </r>
  <r>
    <x v="1"/>
    <x v="8"/>
    <d v="2014-03-22T00:00:00"/>
    <d v="2014-03-22T00:00:00"/>
    <n v="0"/>
    <n v="70001"/>
    <n v="70001"/>
    <n v="73017.6417009"/>
    <n v="73017.6417009"/>
    <m/>
    <n v="-3016.6417008999997"/>
    <n v="-40520.085094542141"/>
  </r>
  <r>
    <x v="1"/>
    <x v="8"/>
    <d v="2014-03-23T00:00:00"/>
    <d v="2014-03-23T00:00:00"/>
    <n v="0"/>
    <n v="70001"/>
    <n v="70001"/>
    <n v="73579.507618500007"/>
    <n v="73579.507618500007"/>
    <m/>
    <n v="-3578.5076185000071"/>
    <n v="-44098.592713042148"/>
  </r>
  <r>
    <x v="1"/>
    <x v="8"/>
    <d v="2014-03-24T00:00:00"/>
    <d v="2014-03-24T00:00:00"/>
    <n v="0"/>
    <n v="70001"/>
    <n v="70001"/>
    <n v="74309.042363400004"/>
    <n v="74309.042363400004"/>
    <m/>
    <n v="-4308.0423634000035"/>
    <n v="-48406.635076442151"/>
  </r>
  <r>
    <x v="1"/>
    <x v="8"/>
    <d v="2014-03-25T00:00:00"/>
    <d v="2014-03-25T00:00:00"/>
    <n v="0"/>
    <n v="80000"/>
    <n v="80000"/>
    <n v="72402.129341100008"/>
    <n v="72402.129341100008"/>
    <m/>
    <n v="7597.8706588999921"/>
    <n v="-40808.764417542159"/>
  </r>
  <r>
    <x v="1"/>
    <x v="8"/>
    <d v="2014-03-26T00:00:00"/>
    <d v="2014-03-26T00:00:00"/>
    <n v="0"/>
    <n v="80004"/>
    <n v="80004"/>
    <n v="72525.914241299994"/>
    <n v="72525.914241299994"/>
    <m/>
    <n v="7478.0857587000064"/>
    <n v="-33330.678658842153"/>
  </r>
  <r>
    <x v="1"/>
    <x v="8"/>
    <d v="2014-03-27T00:00:00"/>
    <d v="2014-03-27T00:00:00"/>
    <n v="0"/>
    <n v="80007"/>
    <n v="80007"/>
    <n v="73613.61422559846"/>
    <n v="73613.61422559846"/>
    <m/>
    <n v="6393.3857744015404"/>
    <n v="-26937.292884440612"/>
  </r>
  <r>
    <x v="1"/>
    <x v="8"/>
    <d v="2014-03-28T00:00:00"/>
    <d v="2014-03-28T00:00:00"/>
    <n v="0"/>
    <n v="81001"/>
    <n v="81001"/>
    <n v="72476.167175107024"/>
    <n v="72476.167175107024"/>
    <m/>
    <n v="8524.8328248929756"/>
    <n v="-18412.460059547637"/>
  </r>
  <r>
    <x v="1"/>
    <x v="8"/>
    <d v="2014-03-29T00:00:00"/>
    <d v="2014-03-29T00:00:00"/>
    <n v="0"/>
    <n v="77991"/>
    <n v="77991"/>
    <n v="66333.024581111735"/>
    <n v="66333.024581111735"/>
    <m/>
    <n v="11657.975418888265"/>
    <n v="-6754.4846406593715"/>
  </r>
  <r>
    <x v="1"/>
    <x v="8"/>
    <d v="2014-03-30T00:00:00"/>
    <d v="2014-03-30T00:00:00"/>
    <n v="0"/>
    <n v="77991"/>
    <n v="77991"/>
    <n v="58746.415925200774"/>
    <n v="58746.415925200774"/>
    <m/>
    <n v="19244.584074799226"/>
    <n v="12490.099434139855"/>
  </r>
  <r>
    <x v="1"/>
    <x v="8"/>
    <d v="2014-03-31T00:00:00"/>
    <d v="2014-03-31T00:00:00"/>
    <n v="0"/>
    <n v="77991"/>
    <n v="77991"/>
    <n v="73821.84517523674"/>
    <n v="73821.84517523674"/>
    <m/>
    <n v="4169.15482476326"/>
    <n v="16659.254258903115"/>
  </r>
  <r>
    <x v="1"/>
    <x v="9"/>
    <d v="2014-04-01T00:00:00"/>
    <d v="2014-04-01T00:00:00"/>
    <n v="-140"/>
    <n v="79860"/>
    <n v="80000"/>
    <n v="73859.113633500005"/>
    <n v="73859.113633500005"/>
    <m/>
    <n v="6140.8863664999953"/>
    <n v="22800.14062540311"/>
  </r>
  <r>
    <x v="1"/>
    <x v="9"/>
    <d v="2014-04-02T00:00:00"/>
    <d v="2014-04-02T00:00:00"/>
    <n v="0"/>
    <n v="79975"/>
    <n v="79975"/>
    <n v="73456.00262098173"/>
    <n v="73456.00262098173"/>
    <m/>
    <n v="6518.9973790182703"/>
    <n v="29319.13800442138"/>
  </r>
  <r>
    <x v="1"/>
    <x v="9"/>
    <d v="2014-04-03T00:00:00"/>
    <d v="2014-04-03T00:00:00"/>
    <n v="0"/>
    <n v="81001"/>
    <n v="81001"/>
    <n v="73784.287924716104"/>
    <n v="73784.287924716104"/>
    <m/>
    <n v="7216.7120752838964"/>
    <n v="36535.850079705277"/>
  </r>
  <r>
    <x v="1"/>
    <x v="9"/>
    <d v="2014-04-04T00:00:00"/>
    <d v="2014-04-04T00:00:00"/>
    <n v="0"/>
    <n v="80989"/>
    <n v="80989"/>
    <n v="73542.817622429997"/>
    <n v="73542.817622429997"/>
    <m/>
    <n v="7446.1823775700032"/>
    <n v="43982.03245727528"/>
  </r>
  <r>
    <x v="1"/>
    <x v="9"/>
    <d v="2014-04-05T00:00:00"/>
    <d v="2014-04-05T00:00:00"/>
    <n v="0"/>
    <n v="77000"/>
    <n v="77000"/>
    <n v="59535.835823879999"/>
    <n v="59535.835823879999"/>
    <m/>
    <n v="17464.164176120001"/>
    <n v="61446.196633395281"/>
  </r>
  <r>
    <x v="1"/>
    <x v="9"/>
    <d v="2014-04-06T00:00:00"/>
    <d v="2014-04-06T00:00:00"/>
    <n v="0"/>
    <n v="77000"/>
    <n v="77000"/>
    <n v="56972.711179800004"/>
    <n v="56972.711179800004"/>
    <m/>
    <n v="20027.288820199996"/>
    <n v="81473.485453595276"/>
  </r>
  <r>
    <x v="1"/>
    <x v="9"/>
    <d v="2014-04-07T00:00:00"/>
    <d v="2014-04-07T00:00:00"/>
    <n v="0"/>
    <n v="77000"/>
    <n v="77000"/>
    <n v="68001.784658730001"/>
    <n v="68001.784658730001"/>
    <m/>
    <n v="8998.215341269999"/>
    <n v="90471.700794865275"/>
  </r>
  <r>
    <x v="1"/>
    <x v="9"/>
    <d v="2014-04-08T00:00:00"/>
    <d v="2014-04-08T00:00:00"/>
    <n v="0"/>
    <n v="80000"/>
    <n v="80000"/>
    <n v="71898.762688739997"/>
    <n v="71898.762688739997"/>
    <m/>
    <n v="8101.2373112600035"/>
    <n v="98572.938106125279"/>
  </r>
  <r>
    <x v="1"/>
    <x v="9"/>
    <d v="2014-04-09T00:00:00"/>
    <d v="2014-04-09T00:00:00"/>
    <n v="0"/>
    <n v="82001"/>
    <n v="82001"/>
    <n v="68481.408495240001"/>
    <n v="68481.408495240001"/>
    <m/>
    <n v="13519.591504759999"/>
    <n v="112092.52961088528"/>
  </r>
  <r>
    <x v="1"/>
    <x v="9"/>
    <d v="2014-04-10T00:00:00"/>
    <d v="2014-04-10T00:00:00"/>
    <n v="0"/>
    <n v="81596"/>
    <n v="81596"/>
    <n v="73509.539767559996"/>
    <n v="73509.539767559996"/>
    <m/>
    <n v="8086.4602324400039"/>
    <n v="120178.98984332528"/>
  </r>
  <r>
    <x v="1"/>
    <x v="9"/>
    <d v="2014-04-11T00:00:00"/>
    <d v="2014-04-11T00:00:00"/>
    <n v="0"/>
    <n v="80001"/>
    <n v="80001"/>
    <n v="72239.303858669999"/>
    <n v="72239.303858669999"/>
    <m/>
    <n v="7761.6961413300014"/>
    <n v="127940.68598465528"/>
  </r>
  <r>
    <x v="1"/>
    <x v="9"/>
    <d v="2014-04-12T00:00:00"/>
    <d v="2014-04-12T00:00:00"/>
    <n v="0"/>
    <n v="68001"/>
    <n v="68001"/>
    <n v="61421.297851836003"/>
    <n v="61421.297851836003"/>
    <m/>
    <n v="6579.7021481639968"/>
    <n v="134520.38813281927"/>
  </r>
  <r>
    <x v="1"/>
    <x v="9"/>
    <d v="2014-04-13T00:00:00"/>
    <d v="2014-04-13T00:00:00"/>
    <n v="0"/>
    <n v="68001"/>
    <n v="68001"/>
    <n v="50955.163219350005"/>
    <n v="50955.163219350005"/>
    <m/>
    <n v="17045.836780649995"/>
    <n v="151566.22491346925"/>
  </r>
  <r>
    <x v="1"/>
    <x v="9"/>
    <d v="2014-04-14T00:00:00"/>
    <d v="2014-04-14T00:00:00"/>
    <n v="0"/>
    <n v="68001"/>
    <n v="68001"/>
    <n v="68390.749799190002"/>
    <n v="68390.749799190002"/>
    <m/>
    <n v="-389.7497991900018"/>
    <n v="151176.47511427925"/>
  </r>
  <r>
    <x v="1"/>
    <x v="9"/>
    <d v="2014-04-15T00:00:00"/>
    <d v="2014-04-15T00:00:00"/>
    <n v="0"/>
    <n v="68981"/>
    <n v="68981"/>
    <n v="73074.491764559993"/>
    <n v="73074.491764559993"/>
    <m/>
    <n v="-4093.4917645599926"/>
    <n v="147082.98334971926"/>
  </r>
  <r>
    <x v="1"/>
    <x v="9"/>
    <d v="2014-04-16T00:00:00"/>
    <d v="2014-04-16T00:00:00"/>
    <n v="0"/>
    <n v="70001"/>
    <n v="70001"/>
    <n v="70215.753424166993"/>
    <n v="70215.753424166993"/>
    <m/>
    <n v="-214.75342416699277"/>
    <n v="146868.22992555227"/>
  </r>
  <r>
    <x v="1"/>
    <x v="9"/>
    <d v="2014-04-17T00:00:00"/>
    <d v="2014-04-17T00:00:00"/>
    <n v="0"/>
    <n v="70002"/>
    <n v="70002"/>
    <n v="62790.468794820008"/>
    <n v="62790.468794820008"/>
    <m/>
    <n v="7211.531205179992"/>
    <n v="154079.76113073225"/>
  </r>
  <r>
    <x v="1"/>
    <x v="9"/>
    <d v="2014-04-18T00:00:00"/>
    <d v="2014-04-18T00:00:00"/>
    <n v="0"/>
    <n v="50001"/>
    <n v="50001"/>
    <n v="48001.774925519996"/>
    <n v="48001.774925519996"/>
    <m/>
    <n v="1999.225074480004"/>
    <n v="156078.98620521225"/>
  </r>
  <r>
    <x v="1"/>
    <x v="9"/>
    <d v="2014-04-19T00:00:00"/>
    <d v="2014-04-19T00:00:00"/>
    <n v="0"/>
    <n v="50001"/>
    <n v="50001"/>
    <n v="54142.12205649"/>
    <n v="54142.12205649"/>
    <m/>
    <n v="-4141.1220564899995"/>
    <n v="151937.86414872226"/>
  </r>
  <r>
    <x v="1"/>
    <x v="9"/>
    <d v="2014-04-20T00:00:00"/>
    <d v="2014-04-20T00:00:00"/>
    <n v="0"/>
    <n v="50001"/>
    <n v="50001"/>
    <n v="59451.442198199999"/>
    <n v="59451.442198199999"/>
    <m/>
    <n v="-9450.4421981999985"/>
    <n v="142487.42195052226"/>
  </r>
  <r>
    <x v="1"/>
    <x v="9"/>
    <d v="2014-04-21T00:00:00"/>
    <d v="2014-04-21T00:00:00"/>
    <n v="0"/>
    <n v="50001"/>
    <n v="50001"/>
    <n v="71111.316325139996"/>
    <n v="71111.316325139996"/>
    <m/>
    <n v="-21110.316325139996"/>
    <n v="121377.10562538226"/>
  </r>
  <r>
    <x v="1"/>
    <x v="9"/>
    <d v="2014-04-22T00:00:00"/>
    <d v="2014-04-22T00:00:00"/>
    <n v="0"/>
    <n v="60000"/>
    <n v="60000"/>
    <n v="72984.553409429995"/>
    <n v="72984.553409429995"/>
    <m/>
    <n v="-12984.553409429995"/>
    <n v="108392.55221595227"/>
  </r>
  <r>
    <x v="1"/>
    <x v="9"/>
    <d v="2014-04-23T00:00:00"/>
    <d v="2014-04-23T00:00:00"/>
    <n v="0"/>
    <n v="49995"/>
    <n v="49995"/>
    <n v="73556.001756900005"/>
    <n v="73556.001756900005"/>
    <m/>
    <n v="-23561.001756900005"/>
    <n v="84831.550459052261"/>
  </r>
  <r>
    <x v="1"/>
    <x v="9"/>
    <d v="2014-04-24T00:00:00"/>
    <d v="2014-04-24T00:00:00"/>
    <n v="0"/>
    <n v="50001"/>
    <n v="50001"/>
    <n v="73836.969784929024"/>
    <n v="73836.969784929024"/>
    <m/>
    <n v="-23835.969784929024"/>
    <n v="60995.580674123237"/>
  </r>
  <r>
    <x v="1"/>
    <x v="9"/>
    <d v="2014-04-25T00:00:00"/>
    <d v="2014-04-25T00:00:00"/>
    <n v="5000"/>
    <n v="55001"/>
    <n v="50001"/>
    <n v="71864.641276740003"/>
    <n v="71864.641276740003"/>
    <m/>
    <n v="-21863.641276740003"/>
    <n v="39131.939397383234"/>
  </r>
  <r>
    <x v="1"/>
    <x v="9"/>
    <d v="2014-04-26T00:00:00"/>
    <d v="2014-04-26T00:00:00"/>
    <n v="0"/>
    <n v="54995"/>
    <n v="54995"/>
    <n v="70877.177091630001"/>
    <n v="70877.177091630001"/>
    <m/>
    <n v="-15882.177091630001"/>
    <n v="23249.762305753233"/>
  </r>
  <r>
    <x v="1"/>
    <x v="9"/>
    <d v="2014-04-27T00:00:00"/>
    <d v="2014-04-27T00:00:00"/>
    <n v="0"/>
    <n v="54986"/>
    <n v="54986"/>
    <n v="68950.729560960011"/>
    <n v="68950.729560960011"/>
    <m/>
    <n v="-13964.729560960011"/>
    <n v="9285.0327447932214"/>
  </r>
  <r>
    <x v="1"/>
    <x v="9"/>
    <d v="2014-04-28T00:00:00"/>
    <d v="2014-04-28T00:00:00"/>
    <n v="0"/>
    <n v="55001"/>
    <n v="55001"/>
    <n v="71457.80030766"/>
    <n v="71457.80030766"/>
    <m/>
    <n v="-16456.80030766"/>
    <n v="-7171.7675628667785"/>
  </r>
  <r>
    <x v="1"/>
    <x v="9"/>
    <d v="2014-04-29T00:00:00"/>
    <d v="2014-04-29T00:00:00"/>
    <n v="0"/>
    <n v="55001"/>
    <n v="55001"/>
    <n v="73897.661350890005"/>
    <n v="73897.661350890005"/>
    <m/>
    <n v="-18896.661350890005"/>
    <n v="-26068.428913756783"/>
  </r>
  <r>
    <x v="1"/>
    <x v="9"/>
    <d v="2014-04-30T00:00:00"/>
    <d v="2014-04-30T00:00:00"/>
    <n v="0"/>
    <n v="60001"/>
    <n v="60001"/>
    <n v="72670.50372465"/>
    <n v="72670.50372465"/>
    <m/>
    <n v="-12669.50372465"/>
    <n v="-38737.932638406783"/>
  </r>
  <r>
    <x v="1"/>
    <x v="10"/>
    <d v="2014-05-01T00:00:00"/>
    <d v="2014-05-01T00:00:00"/>
    <n v="-10"/>
    <n v="59990"/>
    <n v="60000"/>
    <n v="70995.825117513261"/>
    <n v="70995.825117513261"/>
    <m/>
    <n v="-10995.825117513261"/>
    <n v="-49733.757755920044"/>
  </r>
  <r>
    <x v="1"/>
    <x v="10"/>
    <d v="2014-05-02T00:00:00"/>
    <d v="2014-05-02T00:00:00"/>
    <n v="0"/>
    <n v="57999"/>
    <n v="57999"/>
    <n v="73903.66843495077"/>
    <n v="73903.66843495077"/>
    <m/>
    <n v="-15904.66843495077"/>
    <n v="-65638.426190870814"/>
  </r>
  <r>
    <x v="1"/>
    <x v="10"/>
    <d v="2014-05-03T00:00:00"/>
    <d v="2014-05-03T00:00:00"/>
    <n v="0"/>
    <n v="58000"/>
    <n v="58000"/>
    <n v="70995.714052317213"/>
    <n v="70995.714052317213"/>
    <m/>
    <n v="-12995.714052317213"/>
    <n v="-78634.140243188027"/>
  </r>
  <r>
    <x v="1"/>
    <x v="10"/>
    <d v="2014-05-04T00:00:00"/>
    <d v="2014-05-04T00:00:00"/>
    <n v="0"/>
    <n v="58000"/>
    <n v="58000"/>
    <n v="72450.250304013272"/>
    <n v="72450.250304013272"/>
    <m/>
    <n v="-14450.250304013272"/>
    <n v="-93084.390547201299"/>
  </r>
  <r>
    <x v="1"/>
    <x v="10"/>
    <d v="2014-05-05T00:00:00"/>
    <d v="2014-05-05T00:00:00"/>
    <n v="0"/>
    <n v="58000"/>
    <n v="58000"/>
    <n v="73207.15623145549"/>
    <n v="73207.15623145549"/>
    <m/>
    <n v="-15207.15623145549"/>
    <n v="-108291.54677865679"/>
  </r>
  <r>
    <x v="1"/>
    <x v="10"/>
    <d v="2014-05-06T00:00:00"/>
    <d v="2014-05-06T00:00:00"/>
    <n v="0"/>
    <n v="58000"/>
    <n v="58000"/>
    <n v="72549.356419075761"/>
    <n v="72549.356419075761"/>
    <m/>
    <n v="-14549.356419075761"/>
    <n v="-122840.90319773255"/>
  </r>
  <r>
    <x v="1"/>
    <x v="10"/>
    <d v="2014-05-07T00:00:00"/>
    <d v="2014-05-07T00:00:00"/>
    <n v="0"/>
    <n v="65001"/>
    <n v="65001"/>
    <n v="72924.699363004707"/>
    <n v="72924.699363004707"/>
    <m/>
    <n v="-7923.6993630047073"/>
    <n v="-130764.60256073726"/>
  </r>
  <r>
    <x v="1"/>
    <x v="10"/>
    <d v="2014-05-08T00:00:00"/>
    <d v="2014-05-08T00:00:00"/>
    <n v="0"/>
    <n v="60000"/>
    <n v="60000"/>
    <n v="73430.256060281245"/>
    <n v="73430.256060281245"/>
    <m/>
    <n v="-13430.256060281245"/>
    <n v="-144194.8586210185"/>
  </r>
  <r>
    <x v="1"/>
    <x v="10"/>
    <d v="2014-05-09T00:00:00"/>
    <d v="2014-05-09T00:00:00"/>
    <n v="0"/>
    <n v="60001"/>
    <n v="60001"/>
    <n v="73765.820300013263"/>
    <n v="73765.820300013263"/>
    <m/>
    <n v="-13764.820300013263"/>
    <n v="-157959.67892103177"/>
  </r>
  <r>
    <x v="1"/>
    <x v="10"/>
    <d v="2014-05-10T00:00:00"/>
    <d v="2014-05-10T00:00:00"/>
    <n v="0"/>
    <n v="60001"/>
    <n v="60001"/>
    <n v="68380.435180687506"/>
    <n v="68380.435180687506"/>
    <m/>
    <n v="-8379.4351806875056"/>
    <n v="-166339.11410171929"/>
  </r>
  <r>
    <x v="1"/>
    <x v="10"/>
    <d v="2014-05-11T00:00:00"/>
    <d v="2014-05-11T00:00:00"/>
    <n v="0"/>
    <n v="60001"/>
    <n v="60001"/>
    <n v="69419.064897000004"/>
    <n v="69419.064897000004"/>
    <m/>
    <n v="-9418.0648970000038"/>
    <n v="-175757.17899871929"/>
  </r>
  <r>
    <x v="1"/>
    <x v="10"/>
    <d v="2014-05-12T00:00:00"/>
    <d v="2014-05-12T00:00:00"/>
    <n v="0"/>
    <n v="60001"/>
    <n v="60001"/>
    <n v="73630.08994842424"/>
    <n v="73630.08994842424"/>
    <m/>
    <n v="-13629.08994842424"/>
    <n v="-189386.26894714352"/>
  </r>
  <r>
    <x v="1"/>
    <x v="10"/>
    <d v="2014-05-13T00:00:00"/>
    <d v="2014-05-13T00:00:00"/>
    <n v="0"/>
    <n v="59998"/>
    <n v="59998"/>
    <n v="73903.281905700002"/>
    <n v="73903.281905700002"/>
    <m/>
    <n v="-13905.281905700002"/>
    <n v="-203291.5508528435"/>
  </r>
  <r>
    <x v="1"/>
    <x v="10"/>
    <d v="2014-05-14T00:00:00"/>
    <d v="2014-05-14T00:00:00"/>
    <n v="0"/>
    <n v="65000"/>
    <n v="65000"/>
    <n v="74005.4565783"/>
    <n v="74005.4565783"/>
    <m/>
    <n v="-9005.4565782999998"/>
    <n v="-212297.00743114349"/>
  </r>
  <r>
    <x v="1"/>
    <x v="10"/>
    <d v="2014-05-15T00:00:00"/>
    <d v="2014-05-15T00:00:00"/>
    <n v="0"/>
    <n v="65000"/>
    <n v="65000"/>
    <n v="74447.234081999995"/>
    <n v="74447.234081999995"/>
    <m/>
    <n v="-9447.2340819999954"/>
    <n v="-221744.24151314347"/>
  </r>
  <r>
    <x v="1"/>
    <x v="10"/>
    <d v="2014-05-16T00:00:00"/>
    <d v="2014-05-16T00:00:00"/>
    <n v="0"/>
    <n v="65002"/>
    <n v="65002"/>
    <n v="73925.366041799993"/>
    <n v="73925.366041799993"/>
    <m/>
    <n v="-8923.3660417999927"/>
    <n v="-230667.60755494348"/>
  </r>
  <r>
    <x v="1"/>
    <x v="10"/>
    <d v="2014-05-17T00:00:00"/>
    <d v="2014-05-17T00:00:00"/>
    <n v="0"/>
    <n v="64942"/>
    <n v="64942"/>
    <n v="72582.878043000004"/>
    <n v="72582.878043000004"/>
    <m/>
    <n v="-7640.8780430000043"/>
    <n v="-238308.48559794348"/>
  </r>
  <r>
    <x v="1"/>
    <x v="10"/>
    <d v="2014-05-18T00:00:00"/>
    <d v="2014-05-18T00:00:00"/>
    <n v="0"/>
    <n v="63990"/>
    <n v="63990"/>
    <n v="66783.11917898673"/>
    <n v="66783.11917898673"/>
    <m/>
    <n v="-2793.1191789867298"/>
    <n v="-241101.60477693021"/>
  </r>
  <r>
    <x v="1"/>
    <x v="10"/>
    <d v="2014-05-19T00:00:00"/>
    <d v="2014-05-19T00:00:00"/>
    <n v="0"/>
    <n v="64370"/>
    <n v="64370"/>
    <n v="72994.815604174233"/>
    <n v="72994.815604174233"/>
    <m/>
    <n v="-8624.8156041742332"/>
    <n v="-249726.42038110446"/>
  </r>
  <r>
    <x v="1"/>
    <x v="10"/>
    <d v="2014-05-20T00:00:00"/>
    <d v="2014-05-20T00:00:00"/>
    <n v="-113"/>
    <n v="64880"/>
    <n v="64993"/>
    <n v="73009.166141200767"/>
    <n v="73009.166141200767"/>
    <m/>
    <n v="-8016.166141200767"/>
    <n v="-257742.58652230521"/>
  </r>
  <r>
    <x v="1"/>
    <x v="10"/>
    <d v="2014-05-21T00:00:00"/>
    <d v="2014-05-21T00:00:00"/>
    <n v="0"/>
    <n v="65000"/>
    <n v="65000"/>
    <n v="73214.642507160956"/>
    <n v="73214.642507160956"/>
    <m/>
    <n v="-8214.6425071609556"/>
    <n v="-265957.22902946617"/>
  </r>
  <r>
    <x v="1"/>
    <x v="10"/>
    <d v="2014-05-22T00:00:00"/>
    <d v="2014-05-22T00:00:00"/>
    <n v="0"/>
    <n v="65000"/>
    <n v="65000"/>
    <n v="72892.72534415625"/>
    <n v="72892.72534415625"/>
    <m/>
    <n v="-7892.7253441562498"/>
    <n v="-273849.95437362243"/>
  </r>
  <r>
    <x v="1"/>
    <x v="10"/>
    <d v="2014-05-23T00:00:00"/>
    <d v="2014-05-23T00:00:00"/>
    <n v="0"/>
    <n v="65000"/>
    <n v="65000"/>
    <n v="72898.960207598459"/>
    <n v="72898.960207598459"/>
    <m/>
    <n v="-7898.9602075984585"/>
    <n v="-281748.91458122089"/>
  </r>
  <r>
    <x v="1"/>
    <x v="10"/>
    <d v="2014-05-24T00:00:00"/>
    <d v="2014-05-24T00:00:00"/>
    <n v="0"/>
    <n v="70001"/>
    <n v="70001"/>
    <n v="71960.739854723462"/>
    <n v="71960.739854723462"/>
    <m/>
    <n v="-1959.7398547234625"/>
    <n v="-283708.65443594434"/>
  </r>
  <r>
    <x v="1"/>
    <x v="10"/>
    <d v="2014-05-25T00:00:00"/>
    <d v="2014-05-25T00:00:00"/>
    <n v="0"/>
    <n v="70001"/>
    <n v="70001"/>
    <n v="68462.317688442199"/>
    <n v="68462.317688442199"/>
    <m/>
    <n v="1538.6823115578009"/>
    <n v="-282169.97212438652"/>
  </r>
  <r>
    <x v="1"/>
    <x v="10"/>
    <d v="2014-05-26T00:00:00"/>
    <d v="2014-05-26T00:00:00"/>
    <n v="0"/>
    <n v="70001"/>
    <n v="70001"/>
    <n v="73626.394940718747"/>
    <n v="73626.394940718747"/>
    <m/>
    <n v="-3625.3949407187465"/>
    <n v="-285795.36706510524"/>
  </r>
  <r>
    <x v="1"/>
    <x v="10"/>
    <d v="2014-05-27T00:00:00"/>
    <d v="2014-05-27T00:00:00"/>
    <n v="-4720"/>
    <n v="69833"/>
    <n v="74553"/>
    <n v="73107.88720560701"/>
    <n v="73107.88720560701"/>
    <m/>
    <n v="1445.1127943929896"/>
    <n v="-284350.25427071226"/>
  </r>
  <r>
    <x v="1"/>
    <x v="10"/>
    <d v="2014-05-28T00:00:00"/>
    <d v="2014-05-28T00:00:00"/>
    <n v="0"/>
    <n v="73602"/>
    <n v="73602"/>
    <n v="72862.380395254702"/>
    <n v="72862.380395254702"/>
    <m/>
    <n v="739.61960474529769"/>
    <n v="-283610.63466596697"/>
  </r>
  <r>
    <x v="1"/>
    <x v="10"/>
    <d v="2014-05-29T00:00:00"/>
    <d v="2014-05-29T00:00:00"/>
    <n v="0"/>
    <n v="74765"/>
    <n v="74765"/>
    <n v="71906.894958599994"/>
    <n v="71906.894958599994"/>
    <m/>
    <n v="2858.1050414000056"/>
    <n v="-280752.52962456696"/>
  </r>
  <r>
    <x v="1"/>
    <x v="10"/>
    <d v="2014-05-30T00:00:00"/>
    <d v="2014-05-30T00:00:00"/>
    <n v="0"/>
    <n v="53976"/>
    <n v="53976"/>
    <n v="72340.966473135762"/>
    <n v="72340.966473135762"/>
    <m/>
    <n v="-18364.966473135762"/>
    <n v="-299117.49609770271"/>
  </r>
  <r>
    <x v="1"/>
    <x v="10"/>
    <d v="2014-05-31T00:00:00"/>
    <d v="2014-05-31T00:00:00"/>
    <n v="0"/>
    <n v="55001"/>
    <n v="55001"/>
    <n v="49808.368333174229"/>
    <n v="49808.368333174229"/>
    <m/>
    <n v="5192.6316668257714"/>
    <n v="-293924.86443087691"/>
  </r>
  <r>
    <x v="1"/>
    <x v="11"/>
    <d v="2014-06-01T00:00:00"/>
    <d v="2014-06-01T00:00:00"/>
    <n v="19438"/>
    <n v="74438"/>
    <n v="55000"/>
    <n v="48935.279888819998"/>
    <n v="48935.279888819998"/>
    <m/>
    <n v="6064.7201111800023"/>
    <n v="-287860.14431969693"/>
  </r>
  <r>
    <x v="1"/>
    <x v="11"/>
    <d v="2014-06-02T00:00:00"/>
    <d v="2014-06-02T00:00:00"/>
    <n v="0"/>
    <n v="55000"/>
    <n v="55000"/>
    <n v="50591.751225209999"/>
    <n v="50591.751225209999"/>
    <m/>
    <n v="4408.2487747900013"/>
    <n v="-283451.89554490696"/>
  </r>
  <r>
    <x v="1"/>
    <x v="11"/>
    <d v="2014-06-03T00:00:00"/>
    <d v="2014-06-03T00:00:00"/>
    <n v="0"/>
    <n v="74995"/>
    <n v="74995"/>
    <n v="16705.25566866"/>
    <n v="16705.25566866"/>
    <m/>
    <n v="58289.74433134"/>
    <n v="-225162.15121356695"/>
  </r>
  <r>
    <x v="1"/>
    <x v="11"/>
    <d v="2014-06-04T00:00:00"/>
    <d v="2014-06-04T00:00:00"/>
    <n v="0"/>
    <n v="55000"/>
    <n v="55000"/>
    <n v="13853.534965335"/>
    <n v="13853.534965335"/>
    <m/>
    <n v="41146.465034665001"/>
    <n v="-184015.68617890193"/>
  </r>
  <r>
    <x v="1"/>
    <x v="11"/>
    <d v="2014-06-05T00:00:00"/>
    <d v="2014-06-05T00:00:00"/>
    <n v="0"/>
    <n v="55000"/>
    <n v="55000"/>
    <n v="71355.65406957001"/>
    <n v="71355.65406957001"/>
    <m/>
    <n v="-16355.65406957001"/>
    <n v="-200371.34024847194"/>
  </r>
  <r>
    <x v="1"/>
    <x v="11"/>
    <d v="2014-06-06T00:00:00"/>
    <d v="2014-06-06T00:00:00"/>
    <n v="-1"/>
    <n v="55000"/>
    <n v="55001"/>
    <n v="71558.24047515"/>
    <n v="71558.24047515"/>
    <m/>
    <n v="-16557.24047515"/>
    <n v="-216928.58072362194"/>
  </r>
  <r>
    <x v="1"/>
    <x v="11"/>
    <d v="2014-06-07T00:00:00"/>
    <d v="2014-06-07T00:00:00"/>
    <n v="0"/>
    <n v="55001"/>
    <n v="55001"/>
    <n v="65649.198604860008"/>
    <n v="65649.198604860008"/>
    <m/>
    <n v="-10648.198604860008"/>
    <n v="-227576.77932848193"/>
  </r>
  <r>
    <x v="1"/>
    <x v="11"/>
    <d v="2014-06-08T00:00:00"/>
    <d v="2014-06-08T00:00:00"/>
    <n v="0"/>
    <n v="55001"/>
    <n v="55001"/>
    <n v="71823.619756979999"/>
    <n v="71823.619756979999"/>
    <m/>
    <n v="-16822.619756979999"/>
    <n v="-244399.39908546192"/>
  </r>
  <r>
    <x v="1"/>
    <x v="11"/>
    <d v="2014-06-09T00:00:00"/>
    <d v="2014-06-09T00:00:00"/>
    <n v="0"/>
    <n v="55001"/>
    <n v="55001"/>
    <n v="72177.022803600004"/>
    <n v="72177.022803600004"/>
    <m/>
    <n v="-17176.022803600004"/>
    <n v="-261575.42188906192"/>
  </r>
  <r>
    <x v="1"/>
    <x v="11"/>
    <d v="2014-06-10T00:00:00"/>
    <d v="2014-06-10T00:00:00"/>
    <n v="0"/>
    <n v="65000"/>
    <n v="65000"/>
    <n v="72053.389554120004"/>
    <n v="72053.389554120004"/>
    <m/>
    <n v="-7053.3895541200036"/>
    <n v="-268628.81144318194"/>
  </r>
  <r>
    <x v="1"/>
    <x v="11"/>
    <d v="2014-06-11T00:00:00"/>
    <d v="2014-06-11T00:00:00"/>
    <n v="0"/>
    <n v="65000"/>
    <n v="65000"/>
    <n v="71977.535759610008"/>
    <n v="71977.535759610008"/>
    <m/>
    <n v="-6977.5357596100075"/>
    <n v="-275606.34720279195"/>
  </r>
  <r>
    <x v="1"/>
    <x v="11"/>
    <d v="2014-06-12T00:00:00"/>
    <d v="2014-06-12T00:00:00"/>
    <n v="0"/>
    <n v="65000"/>
    <n v="65000"/>
    <n v="72491.769133875001"/>
    <n v="72491.769133875001"/>
    <m/>
    <n v="-7491.769133875001"/>
    <n v="-283098.11633666698"/>
  </r>
  <r>
    <x v="1"/>
    <x v="11"/>
    <d v="2014-06-13T00:00:00"/>
    <d v="2014-06-13T00:00:00"/>
    <n v="0"/>
    <n v="65000"/>
    <n v="65000"/>
    <n v="71948.699659547099"/>
    <n v="71948.699659547099"/>
    <m/>
    <n v="-6948.6996595470991"/>
    <n v="-290046.81599621405"/>
  </r>
  <r>
    <x v="1"/>
    <x v="11"/>
    <d v="2014-06-14T00:00:00"/>
    <d v="2014-06-14T00:00:00"/>
    <n v="-4"/>
    <n v="64996"/>
    <n v="65000"/>
    <n v="71675.387718117301"/>
    <n v="71675.387718117301"/>
    <m/>
    <n v="-6675.3877181173011"/>
    <n v="-296722.20371433138"/>
  </r>
  <r>
    <x v="1"/>
    <x v="11"/>
    <d v="2014-06-15T00:00:00"/>
    <d v="2014-06-15T00:00:00"/>
    <n v="0"/>
    <n v="65000"/>
    <n v="65000"/>
    <n v="71588.873920590006"/>
    <n v="71588.873920590006"/>
    <m/>
    <n v="-6588.8739205900056"/>
    <n v="-303311.07763492141"/>
  </r>
  <r>
    <x v="1"/>
    <x v="11"/>
    <d v="2014-06-16T00:00:00"/>
    <d v="2014-06-16T00:00:00"/>
    <n v="-105"/>
    <n v="64895"/>
    <n v="65000"/>
    <n v="71893.255871970003"/>
    <n v="71893.255871970003"/>
    <m/>
    <n v="-6893.2558719700028"/>
    <n v="-310204.33350689139"/>
  </r>
  <r>
    <x v="1"/>
    <x v="11"/>
    <d v="2014-06-17T00:00:00"/>
    <d v="2014-06-17T00:00:00"/>
    <n v="0"/>
    <n v="65000"/>
    <n v="65000"/>
    <n v="71614.104809130004"/>
    <n v="71614.104809130004"/>
    <m/>
    <n v="-6614.1048091300036"/>
    <n v="-316818.43831602141"/>
  </r>
  <r>
    <x v="1"/>
    <x v="11"/>
    <d v="2014-06-18T00:00:00"/>
    <d v="2014-06-18T00:00:00"/>
    <n v="0"/>
    <n v="65000"/>
    <n v="65000"/>
    <n v="71629.971265710003"/>
    <n v="71629.971265710003"/>
    <m/>
    <n v="-6629.9712657100026"/>
    <n v="-323448.40958173142"/>
  </r>
  <r>
    <x v="1"/>
    <x v="11"/>
    <d v="2014-06-19T00:00:00"/>
    <d v="2014-06-19T00:00:00"/>
    <n v="0"/>
    <n v="65000"/>
    <n v="65000"/>
    <n v="71561.652616350009"/>
    <n v="71561.652616350009"/>
    <m/>
    <n v="-6561.6526163500093"/>
    <n v="-330010.0621980814"/>
  </r>
  <r>
    <x v="1"/>
    <x v="11"/>
    <d v="2014-06-20T00:00:00"/>
    <d v="2014-06-20T00:00:00"/>
    <n v="0"/>
    <n v="65000"/>
    <n v="65000"/>
    <n v="71751.832097399994"/>
    <n v="71751.832097399994"/>
    <m/>
    <n v="-6751.8320973999944"/>
    <n v="-336761.89429548138"/>
  </r>
  <r>
    <x v="1"/>
    <x v="11"/>
    <d v="2014-06-21T00:00:00"/>
    <d v="2014-06-21T00:00:00"/>
    <n v="0"/>
    <n v="65000"/>
    <n v="65000"/>
    <n v="68080.99372541999"/>
    <n v="68080.99372541999"/>
    <m/>
    <n v="-3080.9937254199904"/>
    <n v="-339842.88802090136"/>
  </r>
  <r>
    <x v="1"/>
    <x v="11"/>
    <d v="2014-06-22T00:00:00"/>
    <d v="2014-06-22T00:00:00"/>
    <n v="0"/>
    <n v="65000"/>
    <n v="65000"/>
    <n v="66309.858331821"/>
    <n v="66309.858331821"/>
    <m/>
    <n v="-1309.8583318210003"/>
    <n v="-341152.74635272234"/>
  </r>
  <r>
    <x v="1"/>
    <x v="11"/>
    <d v="2014-06-23T00:00:00"/>
    <d v="2014-06-23T00:00:00"/>
    <n v="0"/>
    <n v="65000"/>
    <n v="65000"/>
    <n v="72087.292968210008"/>
    <n v="72087.292968210008"/>
    <m/>
    <n v="-7087.2929682100075"/>
    <n v="-348240.03932093235"/>
  </r>
  <r>
    <x v="1"/>
    <x v="11"/>
    <d v="2014-06-24T00:00:00"/>
    <d v="2014-06-24T00:00:00"/>
    <n v="0"/>
    <n v="65000"/>
    <n v="65000"/>
    <n v="71939.632557780002"/>
    <n v="71939.632557780002"/>
    <m/>
    <n v="-6939.6325577800017"/>
    <n v="-355179.67187871237"/>
  </r>
  <r>
    <x v="1"/>
    <x v="11"/>
    <d v="2014-06-25T00:00:00"/>
    <d v="2014-06-25T00:00:00"/>
    <n v="0"/>
    <n v="65000"/>
    <n v="65000"/>
    <n v="70289.966547450007"/>
    <n v="70289.966547450007"/>
    <m/>
    <n v="-5289.9665474500071"/>
    <n v="-360469.63842616236"/>
  </r>
  <r>
    <x v="1"/>
    <x v="11"/>
    <d v="2014-06-26T00:00:00"/>
    <d v="2014-06-26T00:00:00"/>
    <n v="0"/>
    <n v="65000"/>
    <n v="65000"/>
    <n v="71812.416560040001"/>
    <n v="71812.416560040001"/>
    <m/>
    <n v="-6812.4165600400011"/>
    <n v="-367282.05498620239"/>
  </r>
  <r>
    <x v="1"/>
    <x v="11"/>
    <d v="2014-06-27T00:00:00"/>
    <d v="2014-06-27T00:00:00"/>
    <n v="0"/>
    <n v="65000"/>
    <n v="65000"/>
    <n v="71557.690741290004"/>
    <n v="71557.690741290004"/>
    <m/>
    <n v="-6557.6907412900036"/>
    <n v="-373839.74572749238"/>
  </r>
  <r>
    <x v="1"/>
    <x v="11"/>
    <d v="2014-06-28T00:00:00"/>
    <d v="2014-06-28T00:00:00"/>
    <n v="0"/>
    <n v="64987"/>
    <n v="64987"/>
    <n v="68486.226249051004"/>
    <n v="68486.226249051004"/>
    <m/>
    <n v="-3499.2262490510038"/>
    <n v="-377338.97197654337"/>
  </r>
  <r>
    <x v="1"/>
    <x v="11"/>
    <d v="2014-06-29T00:00:00"/>
    <d v="2014-06-29T00:00:00"/>
    <n v="0"/>
    <n v="65000"/>
    <n v="65000"/>
    <n v="64244.344247460009"/>
    <n v="64244.344247460009"/>
    <m/>
    <n v="755.65575253999123"/>
    <n v="-376583.31622400339"/>
  </r>
  <r>
    <x v="1"/>
    <x v="11"/>
    <d v="2014-06-30T00:00:00"/>
    <d v="2014-06-30T00:00:00"/>
    <n v="-24651"/>
    <n v="45349"/>
    <n v="70000"/>
    <n v="71370.430536600004"/>
    <n v="71370.430536600004"/>
    <m/>
    <n v="-1370.4305366000044"/>
    <n v="-377953.74676060339"/>
  </r>
  <r>
    <x v="1"/>
    <x v="0"/>
    <d v="2014-07-01T00:00:00"/>
    <d v="2014-07-01T00:00:00"/>
    <n v="0"/>
    <n v="70000"/>
    <n v="70000"/>
    <n v="71762.504516820001"/>
    <n v="71762.504516820001"/>
    <m/>
    <n v="-1762.5045168200013"/>
    <n v="-379716.25127742341"/>
  </r>
  <r>
    <x v="1"/>
    <x v="0"/>
    <d v="2014-07-02T00:00:00"/>
    <d v="2014-07-02T00:00:00"/>
    <n v="1"/>
    <n v="70001"/>
    <n v="70000"/>
    <n v="71008.980523649996"/>
    <n v="71008.980523649996"/>
    <m/>
    <n v="-1008.980523649996"/>
    <n v="-380725.23180107342"/>
  </r>
  <r>
    <x v="1"/>
    <x v="0"/>
    <d v="2014-07-03T00:00:00"/>
    <d v="2014-07-03T00:00:00"/>
    <n v="0"/>
    <n v="70000"/>
    <n v="70000"/>
    <n v="69824.76848567999"/>
    <n v="69824.76848567999"/>
    <m/>
    <n v="175.23151432001032"/>
    <n v="-380550.00028675341"/>
  </r>
  <r>
    <x v="1"/>
    <x v="0"/>
    <d v="2014-07-04T00:00:00"/>
    <d v="2014-07-04T00:00:00"/>
    <n v="0"/>
    <n v="70001"/>
    <n v="70001"/>
    <n v="68095.883930490003"/>
    <n v="68095.883930490003"/>
    <m/>
    <n v="1905.116069509997"/>
    <n v="-378644.88421724341"/>
  </r>
  <r>
    <x v="1"/>
    <x v="0"/>
    <d v="2014-07-05T00:00:00"/>
    <d v="2014-07-05T00:00:00"/>
    <n v="0"/>
    <n v="70001"/>
    <n v="70001"/>
    <n v="59555.436679439998"/>
    <n v="59555.436679439998"/>
    <m/>
    <n v="10445.563320560002"/>
    <n v="-368199.32089668338"/>
  </r>
  <r>
    <x v="1"/>
    <x v="0"/>
    <d v="2014-07-06T00:00:00"/>
    <d v="2014-07-06T00:00:00"/>
    <n v="0"/>
    <n v="70001"/>
    <n v="70001"/>
    <n v="58093.154090010001"/>
    <n v="58093.154090010001"/>
    <m/>
    <n v="11907.845909989999"/>
    <n v="-356291.47498669336"/>
  </r>
  <r>
    <x v="1"/>
    <x v="0"/>
    <d v="2014-07-07T00:00:00"/>
    <d v="2014-07-07T00:00:00"/>
    <n v="0"/>
    <n v="70001"/>
    <n v="70001"/>
    <n v="70796.915948070004"/>
    <n v="70796.915948070004"/>
    <m/>
    <n v="-795.91594807000365"/>
    <n v="-357087.39093476336"/>
  </r>
  <r>
    <x v="1"/>
    <x v="0"/>
    <d v="2014-07-08T00:00:00"/>
    <d v="2014-07-08T00:00:00"/>
    <n v="0"/>
    <n v="70001"/>
    <n v="70001"/>
    <n v="68632.196701769994"/>
    <n v="68632.196701769994"/>
    <m/>
    <n v="1368.8032982300065"/>
    <n v="-355718.58763653337"/>
  </r>
  <r>
    <x v="1"/>
    <x v="0"/>
    <d v="2014-07-09T00:00:00"/>
    <d v="2014-07-09T00:00:00"/>
    <n v="0"/>
    <n v="70001"/>
    <n v="70001"/>
    <n v="71692.925270849999"/>
    <n v="71692.925270849999"/>
    <m/>
    <n v="-1691.9252708499989"/>
    <n v="-357410.51290738338"/>
  </r>
  <r>
    <x v="1"/>
    <x v="0"/>
    <d v="2014-07-10T00:00:00"/>
    <d v="2014-07-10T00:00:00"/>
    <n v="0"/>
    <n v="70001"/>
    <n v="70001"/>
    <n v="70850.012656409992"/>
    <n v="70850.012656409992"/>
    <m/>
    <n v="-849.01265640999191"/>
    <n v="-358259.52556379337"/>
  </r>
  <r>
    <x v="1"/>
    <x v="0"/>
    <d v="2014-07-11T00:00:00"/>
    <d v="2014-07-11T00:00:00"/>
    <n v="0"/>
    <n v="70001"/>
    <n v="70001"/>
    <n v="70124.183875980001"/>
    <n v="70124.183875980001"/>
    <m/>
    <n v="-123.18387598000118"/>
    <n v="-358382.70943977335"/>
  </r>
  <r>
    <x v="1"/>
    <x v="0"/>
    <d v="2014-07-12T00:00:00"/>
    <d v="2014-07-12T00:00:00"/>
    <n v="0"/>
    <n v="70001"/>
    <n v="70001"/>
    <n v="65598.83160948001"/>
    <n v="65598.83160948001"/>
    <m/>
    <n v="4402.1683905199898"/>
    <n v="-353980.54104925337"/>
  </r>
  <r>
    <x v="1"/>
    <x v="0"/>
    <d v="2014-07-13T00:00:00"/>
    <d v="2014-07-13T00:00:00"/>
    <n v="0"/>
    <n v="70001"/>
    <n v="70001"/>
    <n v="55347.432500880001"/>
    <n v="55347.432500880001"/>
    <m/>
    <n v="14653.567499119999"/>
    <n v="-339326.97355013335"/>
  </r>
  <r>
    <x v="1"/>
    <x v="0"/>
    <d v="2014-07-14T00:00:00"/>
    <d v="2014-07-14T00:00:00"/>
    <n v="0"/>
    <n v="70001"/>
    <n v="70001"/>
    <n v="71791.943712840002"/>
    <n v="71791.943712840002"/>
    <m/>
    <n v="-1790.9437128400023"/>
    <n v="-341117.91726297338"/>
  </r>
  <r>
    <x v="1"/>
    <x v="0"/>
    <d v="2014-07-15T00:00:00"/>
    <d v="2014-07-15T00:00:00"/>
    <n v="0"/>
    <n v="70001"/>
    <n v="70001"/>
    <n v="71865.769178970004"/>
    <n v="71865.769178970004"/>
    <m/>
    <n v="-1864.7691789700038"/>
    <n v="-342982.6864419434"/>
  </r>
  <r>
    <x v="1"/>
    <x v="0"/>
    <d v="2014-07-16T00:00:00"/>
    <d v="2014-07-16T00:00:00"/>
    <n v="0"/>
    <n v="70001"/>
    <n v="70001"/>
    <n v="71690.517815669999"/>
    <n v="71690.517815669999"/>
    <m/>
    <n v="-1689.5178156699985"/>
    <n v="-344672.2042576134"/>
  </r>
  <r>
    <x v="1"/>
    <x v="0"/>
    <d v="2014-07-17T00:00:00"/>
    <d v="2014-07-17T00:00:00"/>
    <n v="0"/>
    <n v="69982"/>
    <n v="69982"/>
    <n v="71600.541547860004"/>
    <n v="71600.541547860004"/>
    <m/>
    <n v="-1618.5415478600044"/>
    <n v="-346290.74580547342"/>
  </r>
  <r>
    <x v="1"/>
    <x v="0"/>
    <d v="2014-07-18T00:00:00"/>
    <d v="2014-07-18T00:00:00"/>
    <n v="0"/>
    <n v="70000"/>
    <n v="70000"/>
    <n v="71502.385619339999"/>
    <n v="71502.385619339999"/>
    <m/>
    <n v="-1502.3856193399988"/>
    <n v="-347793.13142481341"/>
  </r>
  <r>
    <x v="1"/>
    <x v="0"/>
    <d v="2014-07-19T00:00:00"/>
    <d v="2014-07-19T00:00:00"/>
    <n v="0"/>
    <n v="64999"/>
    <n v="64999"/>
    <n v="70775.988148710006"/>
    <n v="70775.988148710006"/>
    <m/>
    <n v="-5776.9881487100065"/>
    <n v="-353570.11957352341"/>
  </r>
  <r>
    <x v="1"/>
    <x v="0"/>
    <d v="2014-07-20T00:00:00"/>
    <d v="2014-07-20T00:00:00"/>
    <n v="0"/>
    <n v="64999"/>
    <n v="64999"/>
    <n v="68989.789099529997"/>
    <n v="68989.789099529997"/>
    <m/>
    <n v="-3990.7890995299967"/>
    <n v="-357560.90867305337"/>
  </r>
  <r>
    <x v="1"/>
    <x v="0"/>
    <d v="2014-07-21T00:00:00"/>
    <d v="2014-07-21T00:00:00"/>
    <n v="0"/>
    <n v="64999"/>
    <n v="64999"/>
    <n v="70973.456342489997"/>
    <n v="70973.456342489997"/>
    <m/>
    <n v="-5974.456342489997"/>
    <n v="-363535.36501554336"/>
  </r>
  <r>
    <x v="1"/>
    <x v="0"/>
    <d v="2014-07-22T00:00:00"/>
    <d v="2014-07-22T00:00:00"/>
    <n v="0"/>
    <n v="70000"/>
    <n v="70000"/>
    <n v="71694.583950600005"/>
    <n v="71694.583950600005"/>
    <m/>
    <n v="-1694.5839506000048"/>
    <n v="-365229.94896614336"/>
  </r>
  <r>
    <x v="1"/>
    <x v="0"/>
    <d v="2014-07-23T00:00:00"/>
    <d v="2014-07-23T00:00:00"/>
    <n v="-7884"/>
    <n v="71835"/>
    <n v="79719"/>
    <n v="71669.172976830014"/>
    <n v="71669.172976830014"/>
    <m/>
    <n v="8049.8270231699862"/>
    <n v="-357180.12194297335"/>
  </r>
  <r>
    <x v="1"/>
    <x v="0"/>
    <d v="2014-07-24T00:00:00"/>
    <d v="2014-07-24T00:00:00"/>
    <n v="-5000"/>
    <n v="69999"/>
    <n v="74999"/>
    <n v="72193.37264685001"/>
    <n v="72193.37264685001"/>
    <m/>
    <n v="2805.6273531499901"/>
    <n v="-354374.49458982336"/>
  </r>
  <r>
    <x v="1"/>
    <x v="0"/>
    <d v="2014-07-25T00:00:00"/>
    <d v="2014-07-25T00:00:00"/>
    <n v="0"/>
    <n v="74999"/>
    <n v="74999"/>
    <n v="72399.172152059997"/>
    <n v="72399.172152059997"/>
    <m/>
    <n v="2599.8278479400033"/>
    <n v="-351774.66674188338"/>
  </r>
  <r>
    <x v="1"/>
    <x v="0"/>
    <d v="2014-07-26T00:00:00"/>
    <d v="2014-07-26T00:00:00"/>
    <n v="0"/>
    <n v="69999"/>
    <n v="69999"/>
    <n v="70479.510991110001"/>
    <n v="70479.510991110001"/>
    <m/>
    <n v="-480.51099111000076"/>
    <n v="-352255.17773299338"/>
  </r>
  <r>
    <x v="1"/>
    <x v="0"/>
    <d v="2014-07-27T00:00:00"/>
    <d v="2014-07-27T00:00:00"/>
    <n v="0"/>
    <n v="69999"/>
    <n v="69999"/>
    <n v="67397.048978220002"/>
    <n v="67397.048978220002"/>
    <m/>
    <n v="2601.951021779998"/>
    <n v="-349653.22671121336"/>
  </r>
  <r>
    <x v="1"/>
    <x v="0"/>
    <d v="2014-07-28T00:00:00"/>
    <d v="2014-07-28T00:00:00"/>
    <n v="0"/>
    <n v="69999"/>
    <n v="69999"/>
    <n v="72223.911310590003"/>
    <n v="72223.911310590003"/>
    <m/>
    <n v="-2224.9113105900033"/>
    <n v="-351878.13802180334"/>
  </r>
  <r>
    <x v="1"/>
    <x v="0"/>
    <d v="2014-07-29T00:00:00"/>
    <d v="2014-07-29T00:00:00"/>
    <n v="-1"/>
    <n v="74999"/>
    <n v="75000"/>
    <n v="72145.735364430002"/>
    <n v="72145.735364430002"/>
    <m/>
    <n v="2854.2646355699981"/>
    <n v="-349023.87338623335"/>
  </r>
  <r>
    <x v="1"/>
    <x v="0"/>
    <d v="2014-07-30T00:00:00"/>
    <d v="2014-07-30T00:00:00"/>
    <n v="0"/>
    <n v="75000"/>
    <n v="75000"/>
    <n v="72077.302977030005"/>
    <n v="72077.302977030005"/>
    <m/>
    <n v="2922.6970229699946"/>
    <n v="-346101.17636326334"/>
  </r>
  <r>
    <x v="1"/>
    <x v="0"/>
    <d v="2014-07-31T00:00:00"/>
    <d v="2014-07-31T00:00:00"/>
    <n v="0"/>
    <n v="75000"/>
    <n v="75000"/>
    <n v="71619.886492830003"/>
    <n v="71619.886492830003"/>
    <m/>
    <n v="3380.1135071699973"/>
    <n v="-342721.06285609334"/>
  </r>
  <r>
    <x v="1"/>
    <x v="1"/>
    <d v="2014-08-01T00:00:00"/>
    <d v="2014-08-01T00:00:00"/>
    <n v="4999"/>
    <n v="75000"/>
    <n v="70001"/>
    <n v="71605.011452831997"/>
    <n v="71605.011452831997"/>
    <m/>
    <n v="-1604.0114528319973"/>
    <n v="-344325.07430892531"/>
  </r>
  <r>
    <x v="1"/>
    <x v="1"/>
    <d v="2014-08-02T00:00:00"/>
    <d v="2014-08-02T00:00:00"/>
    <n v="0"/>
    <n v="70001"/>
    <n v="70001"/>
    <n v="61705.367137089001"/>
    <n v="61705.367137089001"/>
    <m/>
    <n v="8295.6328629109994"/>
    <n v="-336029.44144601433"/>
  </r>
  <r>
    <x v="1"/>
    <x v="1"/>
    <d v="2014-08-03T00:00:00"/>
    <d v="2014-08-03T00:00:00"/>
    <n v="0"/>
    <n v="70001"/>
    <n v="70001"/>
    <n v="59567.565893589002"/>
    <n v="59567.565893589002"/>
    <m/>
    <n v="10433.434106410998"/>
    <n v="-325596.00733960333"/>
  </r>
  <r>
    <x v="1"/>
    <x v="1"/>
    <d v="2014-08-04T00:00:00"/>
    <d v="2014-08-04T00:00:00"/>
    <n v="0"/>
    <n v="70001"/>
    <n v="70001"/>
    <n v="69925.865490350989"/>
    <n v="69925.865490350989"/>
    <m/>
    <n v="75.134509649011306"/>
    <n v="-325520.87282995431"/>
  </r>
  <r>
    <x v="1"/>
    <x v="1"/>
    <d v="2014-08-05T00:00:00"/>
    <d v="2014-08-05T00:00:00"/>
    <n v="0"/>
    <n v="75001"/>
    <n v="75001"/>
    <n v="71177.087242404014"/>
    <n v="71177.087242404014"/>
    <m/>
    <n v="3823.9127575959865"/>
    <n v="-321696.96007235831"/>
  </r>
  <r>
    <x v="1"/>
    <x v="1"/>
    <d v="2014-08-06T00:00:00"/>
    <d v="2014-08-06T00:00:00"/>
    <n v="0"/>
    <n v="75001"/>
    <n v="75001"/>
    <n v="71336.513502379705"/>
    <n v="71336.513502379705"/>
    <m/>
    <n v="3664.4864976202953"/>
    <n v="-318032.47357473802"/>
  </r>
  <r>
    <x v="1"/>
    <x v="1"/>
    <d v="2014-08-07T00:00:00"/>
    <d v="2014-08-07T00:00:00"/>
    <n v="0"/>
    <n v="75001"/>
    <n v="75001"/>
    <n v="71255.270771100011"/>
    <n v="71255.270771100011"/>
    <m/>
    <n v="3745.7292288999888"/>
    <n v="-314286.74434583803"/>
  </r>
  <r>
    <x v="1"/>
    <x v="1"/>
    <d v="2014-08-08T00:00:00"/>
    <d v="2014-08-08T00:00:00"/>
    <n v="2000"/>
    <n v="72001"/>
    <n v="70001"/>
    <n v="71300.765987100007"/>
    <n v="71300.765987100007"/>
    <m/>
    <n v="-1299.7659871000069"/>
    <n v="-315586.51033293805"/>
  </r>
  <r>
    <x v="1"/>
    <x v="1"/>
    <d v="2014-08-09T00:00:00"/>
    <d v="2014-08-09T00:00:00"/>
    <n v="0"/>
    <n v="70001"/>
    <n v="70001"/>
    <n v="71284.937443200004"/>
    <n v="71284.937443200004"/>
    <m/>
    <n v="-1283.9374432000041"/>
    <n v="-316870.44777613808"/>
  </r>
  <r>
    <x v="1"/>
    <x v="1"/>
    <d v="2014-08-10T00:00:00"/>
    <d v="2014-08-10T00:00:00"/>
    <n v="0"/>
    <n v="70001"/>
    <n v="70001"/>
    <n v="65846.757438379704"/>
    <n v="65846.757438379704"/>
    <m/>
    <n v="4154.2425616202963"/>
    <n v="-312716.20521451777"/>
  </r>
  <r>
    <x v="1"/>
    <x v="1"/>
    <d v="2014-08-11T00:00:00"/>
    <d v="2014-08-11T00:00:00"/>
    <n v="0"/>
    <n v="70001"/>
    <n v="70001"/>
    <n v="70948.145486629699"/>
    <n v="70948.145486629699"/>
    <m/>
    <n v="-947.14548662969901"/>
    <n v="-313663.35070114746"/>
  </r>
  <r>
    <x v="1"/>
    <x v="1"/>
    <d v="2014-08-12T00:00:00"/>
    <d v="2014-08-12T00:00:00"/>
    <n v="0"/>
    <n v="65136"/>
    <n v="65136"/>
    <n v="71491.155769785953"/>
    <n v="71491.155769785953"/>
    <m/>
    <n v="-6355.1557697859535"/>
    <n v="-320018.50647093344"/>
  </r>
  <r>
    <x v="1"/>
    <x v="1"/>
    <d v="2014-08-13T00:00:00"/>
    <d v="2014-08-13T00:00:00"/>
    <n v="0"/>
    <n v="75001"/>
    <n v="75001"/>
    <n v="71467.29003154923"/>
    <n v="71467.29003154923"/>
    <m/>
    <n v="3533.7099684507702"/>
    <n v="-316484.79650248267"/>
  </r>
  <r>
    <x v="1"/>
    <x v="1"/>
    <d v="2014-08-14T00:00:00"/>
    <d v="2014-08-14T00:00:00"/>
    <n v="0"/>
    <n v="75001"/>
    <n v="75001"/>
    <n v="71590.395166875009"/>
    <n v="71590.395166875009"/>
    <m/>
    <n v="3410.6048331249913"/>
    <n v="-313074.19166935771"/>
  </r>
  <r>
    <x v="1"/>
    <x v="1"/>
    <d v="2014-08-15T00:00:00"/>
    <d v="2014-08-15T00:00:00"/>
    <n v="0"/>
    <n v="74941"/>
    <n v="74941"/>
    <n v="71791.102819075764"/>
    <n v="71791.102819075764"/>
    <m/>
    <n v="3149.8971809242357"/>
    <n v="-309924.29448843346"/>
  </r>
  <r>
    <x v="1"/>
    <x v="1"/>
    <d v="2014-08-16T00:00:00"/>
    <d v="2014-08-16T00:00:00"/>
    <n v="0"/>
    <n v="69984"/>
    <n v="69984"/>
    <n v="70718.166572625007"/>
    <n v="70718.166572625007"/>
    <m/>
    <n v="-734.16657262500667"/>
    <n v="-310658.46106105845"/>
  </r>
  <r>
    <x v="1"/>
    <x v="1"/>
    <d v="2014-08-17T00:00:00"/>
    <d v="2014-08-17T00:00:00"/>
    <n v="0"/>
    <n v="69984"/>
    <n v="69984"/>
    <n v="70848.816511355995"/>
    <n v="70848.816511355995"/>
    <m/>
    <n v="-864.81651135599532"/>
    <n v="-311523.27757241443"/>
  </r>
  <r>
    <x v="1"/>
    <x v="1"/>
    <d v="2014-08-18T00:00:00"/>
    <d v="2014-08-18T00:00:00"/>
    <n v="0"/>
    <n v="69984"/>
    <n v="69984"/>
    <n v="71119.396758888266"/>
    <n v="71119.396758888266"/>
    <m/>
    <n v="-1135.396758888266"/>
    <n v="-312658.6743313027"/>
  </r>
  <r>
    <x v="1"/>
    <x v="1"/>
    <d v="2014-08-19T00:00:00"/>
    <d v="2014-08-19T00:00:00"/>
    <n v="0"/>
    <n v="74949"/>
    <n v="74949"/>
    <n v="71079.010873642983"/>
    <n v="71079.010873642983"/>
    <m/>
    <n v="3869.9891263570171"/>
    <n v="-308788.68520494568"/>
  </r>
  <r>
    <x v="1"/>
    <x v="1"/>
    <d v="2014-08-20T00:00:00"/>
    <d v="2014-08-20T00:00:00"/>
    <n v="0"/>
    <n v="74770"/>
    <n v="74770"/>
    <n v="70979.556492702002"/>
    <n v="70979.556492702002"/>
    <m/>
    <n v="3790.4435072979977"/>
    <n v="-304998.24169764767"/>
  </r>
  <r>
    <x v="1"/>
    <x v="1"/>
    <d v="2014-08-21T00:00:00"/>
    <d v="2014-08-21T00:00:00"/>
    <n v="0"/>
    <n v="41092"/>
    <n v="41092"/>
    <n v="71425.60830037971"/>
    <n v="71425.60830037971"/>
    <m/>
    <n v="-30333.60830037971"/>
    <n v="-335331.84999802738"/>
  </r>
  <r>
    <x v="1"/>
    <x v="1"/>
    <d v="2014-08-22T00:00:00"/>
    <d v="2014-08-22T00:00:00"/>
    <n v="0"/>
    <n v="62686"/>
    <n v="62686"/>
    <n v="71458.641201424238"/>
    <n v="71458.641201424238"/>
    <m/>
    <n v="-8772.6412014242378"/>
    <n v="-344104.49119945162"/>
  </r>
  <r>
    <x v="1"/>
    <x v="1"/>
    <d v="2014-08-23T00:00:00"/>
    <d v="2014-08-23T00:00:00"/>
    <n v="0"/>
    <n v="69994"/>
    <n v="69994"/>
    <n v="66463.904782504702"/>
    <n v="66463.904782504702"/>
    <m/>
    <n v="3530.0952174952981"/>
    <n v="-340574.39598195633"/>
  </r>
  <r>
    <x v="1"/>
    <x v="1"/>
    <d v="2014-08-24T00:00:00"/>
    <d v="2014-08-24T00:00:00"/>
    <n v="0"/>
    <n v="69999"/>
    <n v="69999"/>
    <n v="69854.302463400003"/>
    <n v="69854.302463400003"/>
    <m/>
    <n v="144.69753659999697"/>
    <n v="-340429.69844535633"/>
  </r>
  <r>
    <x v="1"/>
    <x v="1"/>
    <d v="2014-08-25T00:00:00"/>
    <d v="2014-08-25T00:00:00"/>
    <n v="0"/>
    <n v="70001"/>
    <n v="70001"/>
    <n v="71686.243161000006"/>
    <n v="71686.243161000006"/>
    <m/>
    <n v="-1685.2431610000058"/>
    <n v="-342114.94160635635"/>
  </r>
  <r>
    <x v="1"/>
    <x v="1"/>
    <d v="2014-08-26T00:00:00"/>
    <d v="2014-08-26T00:00:00"/>
    <n v="0"/>
    <n v="78001"/>
    <n v="78001"/>
    <n v="71932.741928190007"/>
    <n v="71932.741928190007"/>
    <m/>
    <n v="6068.2580718099925"/>
    <n v="-336046.68353454635"/>
  </r>
  <r>
    <x v="1"/>
    <x v="1"/>
    <d v="2014-08-27T00:00:00"/>
    <d v="2014-08-27T00:00:00"/>
    <n v="0"/>
    <n v="78000"/>
    <n v="78000"/>
    <n v="71878.353345279"/>
    <n v="71878.353345279"/>
    <m/>
    <n v="6121.6466547210002"/>
    <n v="-329925.03687982535"/>
  </r>
  <r>
    <x v="1"/>
    <x v="1"/>
    <d v="2014-08-28T00:00:00"/>
    <d v="2014-08-28T00:00:00"/>
    <n v="0"/>
    <n v="77982"/>
    <n v="77982"/>
    <n v="71879.66447001326"/>
    <n v="71879.66447001326"/>
    <m/>
    <n v="6102.3355299867399"/>
    <n v="-323822.70134983864"/>
  </r>
  <r>
    <x v="1"/>
    <x v="1"/>
    <d v="2014-08-29T00:00:00"/>
    <d v="2014-08-29T00:00:00"/>
    <n v="0"/>
    <n v="75000"/>
    <n v="75000"/>
    <n v="72355.609297968753"/>
    <n v="72355.609297968753"/>
    <m/>
    <n v="2644.3907020312472"/>
    <n v="-321178.31064780738"/>
  </r>
  <r>
    <x v="1"/>
    <x v="1"/>
    <d v="2014-08-30T00:00:00"/>
    <d v="2014-08-30T00:00:00"/>
    <n v="0"/>
    <n v="75000"/>
    <n v="75000"/>
    <n v="66837.203986549241"/>
    <n v="66837.203986549241"/>
    <m/>
    <n v="8162.7960134507593"/>
    <n v="-313015.5146343566"/>
  </r>
  <r>
    <x v="1"/>
    <x v="1"/>
    <d v="2014-08-31T00:00:00"/>
    <d v="2014-08-31T00:00:00"/>
    <n v="0"/>
    <n v="74999"/>
    <n v="74999"/>
    <n v="69337.552635"/>
    <n v="69337.552635"/>
    <m/>
    <n v="5661.447365"/>
    <n v="-307354.06726935657"/>
  </r>
  <r>
    <x v="1"/>
    <x v="2"/>
    <d v="2014-09-01T00:00:00"/>
    <d v="2014-09-01T00:00:00"/>
    <n v="0"/>
    <n v="78001"/>
    <n v="78001"/>
    <n v="72052.801907580011"/>
    <n v="72052.801907580011"/>
    <m/>
    <n v="5948.1980924199888"/>
    <n v="-301405.86917693657"/>
  </r>
  <r>
    <x v="1"/>
    <x v="2"/>
    <d v="2014-09-02T00:00:00"/>
    <d v="2014-09-02T00:00:00"/>
    <n v="0"/>
    <n v="78001"/>
    <n v="78001"/>
    <n v="70712.645538600002"/>
    <n v="70712.645538600002"/>
    <m/>
    <n v="7288.3544613999984"/>
    <n v="-294117.51471553656"/>
  </r>
  <r>
    <x v="1"/>
    <x v="2"/>
    <d v="2014-09-03T00:00:00"/>
    <d v="2014-09-03T00:00:00"/>
    <n v="0"/>
    <n v="78001"/>
    <n v="78001"/>
    <n v="71461.838008080013"/>
    <n v="71461.838008080013"/>
    <m/>
    <n v="6539.1619919199875"/>
    <n v="-287578.35272361658"/>
  </r>
  <r>
    <x v="1"/>
    <x v="2"/>
    <d v="2014-09-04T00:00:00"/>
    <d v="2014-09-04T00:00:00"/>
    <n v="0"/>
    <n v="78001"/>
    <n v="78001"/>
    <n v="68405.630526090012"/>
    <n v="68405.630526090012"/>
    <m/>
    <n v="9595.3694739099883"/>
    <n v="-277982.98324970657"/>
  </r>
  <r>
    <x v="1"/>
    <x v="2"/>
    <d v="2014-09-05T00:00:00"/>
    <d v="2014-09-05T00:00:00"/>
    <n v="0"/>
    <n v="81964"/>
    <n v="81964"/>
    <n v="64438.323586575476"/>
    <n v="64438.323586575476"/>
    <m/>
    <n v="17525.676413424524"/>
    <n v="-260457.30683628205"/>
  </r>
  <r>
    <x v="1"/>
    <x v="2"/>
    <d v="2014-09-06T00:00:00"/>
    <d v="2014-09-06T00:00:00"/>
    <n v="0"/>
    <n v="74999"/>
    <n v="74999"/>
    <n v="60176.738423953124"/>
    <n v="60176.738423953124"/>
    <m/>
    <n v="14822.261576046876"/>
    <n v="-245635.04526023517"/>
  </r>
  <r>
    <x v="1"/>
    <x v="2"/>
    <d v="2014-09-07T00:00:00"/>
    <d v="2014-09-07T00:00:00"/>
    <n v="0"/>
    <n v="74999"/>
    <n v="74999"/>
    <n v="61709.758373249999"/>
    <n v="61709.758373249999"/>
    <m/>
    <n v="13289.241626750001"/>
    <n v="-232345.80363348516"/>
  </r>
  <r>
    <x v="1"/>
    <x v="2"/>
    <d v="2014-09-08T00:00:00"/>
    <d v="2014-09-08T00:00:00"/>
    <n v="0"/>
    <n v="73789"/>
    <n v="73789"/>
    <n v="66752.751416130006"/>
    <n v="66752.751416130006"/>
    <m/>
    <n v="7036.248583869994"/>
    <n v="-225309.55504961516"/>
  </r>
  <r>
    <x v="1"/>
    <x v="2"/>
    <d v="2014-09-09T00:00:00"/>
    <d v="2014-09-09T00:00:00"/>
    <n v="0"/>
    <n v="82999"/>
    <n v="82999"/>
    <n v="68434.586335440006"/>
    <n v="68434.586335440006"/>
    <m/>
    <n v="14564.413664559994"/>
    <n v="-210745.14138505515"/>
  </r>
  <r>
    <x v="1"/>
    <x v="2"/>
    <d v="2014-09-10T00:00:00"/>
    <d v="2014-09-10T00:00:00"/>
    <n v="0"/>
    <n v="83000"/>
    <n v="83000"/>
    <n v="70122.563108909992"/>
    <n v="70122.563108909992"/>
    <m/>
    <n v="12877.436891090008"/>
    <n v="-197867.70449396514"/>
  </r>
  <r>
    <x v="1"/>
    <x v="2"/>
    <d v="2014-09-11T00:00:00"/>
    <d v="2014-09-11T00:00:00"/>
    <n v="0"/>
    <n v="83000"/>
    <n v="83000"/>
    <n v="69331.894167510007"/>
    <n v="69331.894167510007"/>
    <m/>
    <n v="13668.105832489993"/>
    <n v="-184199.59866147515"/>
  </r>
  <r>
    <x v="1"/>
    <x v="2"/>
    <d v="2014-09-12T00:00:00"/>
    <d v="2014-09-12T00:00:00"/>
    <n v="0"/>
    <n v="83883"/>
    <n v="83883"/>
    <n v="68294.565330030004"/>
    <n v="68294.565330030004"/>
    <m/>
    <n v="15588.434669969996"/>
    <n v="-168611.16399150516"/>
  </r>
  <r>
    <x v="1"/>
    <x v="2"/>
    <d v="2014-09-13T00:00:00"/>
    <d v="2014-09-13T00:00:00"/>
    <n v="-3"/>
    <n v="74975"/>
    <n v="74978"/>
    <n v="65406.159369720008"/>
    <n v="65406.159369720008"/>
    <m/>
    <n v="9571.8406302799922"/>
    <n v="-159039.32336122516"/>
  </r>
  <r>
    <x v="1"/>
    <x v="2"/>
    <d v="2014-09-14T00:00:00"/>
    <d v="2014-09-14T00:00:00"/>
    <n v="0"/>
    <n v="71945"/>
    <n v="71945"/>
    <n v="56790.028931220004"/>
    <n v="56790.028931220004"/>
    <m/>
    <n v="15154.971068779996"/>
    <n v="-143884.35229244517"/>
  </r>
  <r>
    <x v="1"/>
    <x v="2"/>
    <d v="2014-09-15T00:00:00"/>
    <d v="2014-09-15T00:00:00"/>
    <n v="0"/>
    <n v="73713"/>
    <n v="73713"/>
    <n v="51789.109484970002"/>
    <n v="51789.109484970002"/>
    <m/>
    <n v="21923.890515029998"/>
    <n v="-121960.46177741517"/>
  </r>
  <r>
    <x v="1"/>
    <x v="2"/>
    <d v="2014-09-16T00:00:00"/>
    <d v="2014-09-16T00:00:00"/>
    <n v="0"/>
    <n v="70001"/>
    <n v="70001"/>
    <n v="62616.155770350008"/>
    <n v="62616.155770350008"/>
    <m/>
    <n v="7384.8442296499925"/>
    <n v="-114575.61754776517"/>
  </r>
  <r>
    <x v="1"/>
    <x v="2"/>
    <d v="2014-09-17T00:00:00"/>
    <d v="2014-09-17T00:00:00"/>
    <n v="0"/>
    <n v="84001"/>
    <n v="84001"/>
    <n v="70011.535825529994"/>
    <n v="70011.535825529994"/>
    <m/>
    <n v="13989.464174470006"/>
    <n v="-100586.15337329516"/>
  </r>
  <r>
    <x v="1"/>
    <x v="2"/>
    <d v="2014-09-18T00:00:00"/>
    <d v="2014-09-18T00:00:00"/>
    <n v="0"/>
    <n v="84001"/>
    <n v="84001"/>
    <n v="71072.910780299993"/>
    <n v="71072.910780299993"/>
    <m/>
    <n v="12928.089219700007"/>
    <n v="-87658.064153595158"/>
  </r>
  <r>
    <x v="1"/>
    <x v="2"/>
    <d v="2014-09-19T00:00:00"/>
    <d v="2014-09-19T00:00:00"/>
    <n v="0"/>
    <n v="88001"/>
    <n v="88001"/>
    <n v="70942.320554039994"/>
    <n v="70942.320554039994"/>
    <m/>
    <n v="17058.679445960006"/>
    <n v="-70599.384707635152"/>
  </r>
  <r>
    <x v="1"/>
    <x v="2"/>
    <d v="2014-09-20T00:00:00"/>
    <d v="2014-09-20T00:00:00"/>
    <n v="0"/>
    <n v="64637"/>
    <n v="64637"/>
    <n v="71083.554765210007"/>
    <n v="71083.554765210007"/>
    <m/>
    <n v="-6446.5547652100067"/>
    <n v="-77045.939472845159"/>
  </r>
  <r>
    <x v="1"/>
    <x v="2"/>
    <d v="2014-09-21T00:00:00"/>
    <d v="2014-09-21T00:00:00"/>
    <n v="-100"/>
    <n v="64670"/>
    <n v="64770"/>
    <n v="71212.476833549998"/>
    <n v="71212.476833549998"/>
    <m/>
    <n v="-6442.4768335499975"/>
    <n v="-83488.416306395156"/>
  </r>
  <r>
    <x v="1"/>
    <x v="2"/>
    <d v="2014-09-22T00:00:00"/>
    <d v="2014-09-22T00:00:00"/>
    <n v="0"/>
    <n v="75001"/>
    <n v="75001"/>
    <n v="70413.078497580005"/>
    <n v="70413.078497580005"/>
    <m/>
    <n v="4587.9215024199948"/>
    <n v="-78900.494803975162"/>
  </r>
  <r>
    <x v="1"/>
    <x v="2"/>
    <d v="2014-09-23T00:00:00"/>
    <d v="2014-09-23T00:00:00"/>
    <n v="0"/>
    <n v="84996"/>
    <n v="84996"/>
    <n v="69799.329077400005"/>
    <n v="69799.329077400005"/>
    <m/>
    <n v="15196.670922599995"/>
    <n v="-63703.823881375167"/>
  </r>
  <r>
    <x v="1"/>
    <x v="2"/>
    <d v="2014-09-24T00:00:00"/>
    <d v="2014-09-24T00:00:00"/>
    <n v="0"/>
    <n v="70423"/>
    <n v="70423"/>
    <n v="68058.919067490002"/>
    <n v="68058.919067490002"/>
    <m/>
    <n v="2364.0809325099981"/>
    <n v="-61339.742948865169"/>
  </r>
  <r>
    <x v="1"/>
    <x v="2"/>
    <d v="2014-09-25T00:00:00"/>
    <d v="2014-09-25T00:00:00"/>
    <n v="0"/>
    <n v="70001"/>
    <n v="70001"/>
    <n v="69414.866067690004"/>
    <n v="69414.866067690004"/>
    <m/>
    <n v="586.13393230999645"/>
    <n v="-60753.609016555172"/>
  </r>
  <r>
    <x v="1"/>
    <x v="2"/>
    <d v="2014-09-26T00:00:00"/>
    <d v="2014-09-26T00:00:00"/>
    <n v="0"/>
    <n v="70001"/>
    <n v="70001"/>
    <n v="69946.098539850005"/>
    <n v="69946.098539850005"/>
    <m/>
    <n v="54.901460149994818"/>
    <n v="-60698.707556405177"/>
  </r>
  <r>
    <x v="1"/>
    <x v="2"/>
    <d v="2014-09-27T00:00:00"/>
    <d v="2014-09-27T00:00:00"/>
    <n v="0"/>
    <n v="70001"/>
    <n v="70001"/>
    <n v="70914.57795045001"/>
    <n v="70914.57795045001"/>
    <m/>
    <n v="-913.57795045000967"/>
    <n v="-61612.285506855187"/>
  </r>
  <r>
    <x v="1"/>
    <x v="2"/>
    <d v="2014-09-28T00:00:00"/>
    <d v="2014-09-28T00:00:00"/>
    <n v="0"/>
    <n v="70001"/>
    <n v="70001"/>
    <n v="68786.321224140003"/>
    <n v="68786.321224140003"/>
    <m/>
    <n v="1214.6787758599967"/>
    <n v="-60397.60673099519"/>
  </r>
  <r>
    <x v="1"/>
    <x v="2"/>
    <d v="2014-09-29T00:00:00"/>
    <d v="2014-09-29T00:00:00"/>
    <n v="0"/>
    <n v="70001"/>
    <n v="70001"/>
    <n v="70446.090963690003"/>
    <n v="70446.090963690003"/>
    <m/>
    <n v="-445.09096369000326"/>
    <n v="-60842.697694685194"/>
  </r>
  <r>
    <x v="1"/>
    <x v="2"/>
    <d v="2014-09-30T00:00:00"/>
    <d v="2014-09-30T00:00:00"/>
    <n v="0"/>
    <n v="75001"/>
    <n v="75001"/>
    <n v="69308.255611529996"/>
    <n v="69308.255611529996"/>
    <m/>
    <n v="5692.7443884700042"/>
    <n v="-55149.95330621519"/>
  </r>
  <r>
    <x v="1"/>
    <x v="3"/>
    <d v="2014-10-01T00:00:00"/>
    <d v="2014-10-01T00:00:00"/>
    <n v="0"/>
    <n v="74230"/>
    <n v="74230"/>
    <n v="69932.829101850002"/>
    <n v="69932.829101850002"/>
    <m/>
    <n v="4297.1708981499978"/>
    <n v="-50852.782408065192"/>
  </r>
  <r>
    <x v="1"/>
    <x v="3"/>
    <d v="2014-10-02T00:00:00"/>
    <d v="2014-10-02T00:00:00"/>
    <n v="0"/>
    <n v="75000"/>
    <n v="75000"/>
    <n v="72311.290559820001"/>
    <n v="72311.290559820001"/>
    <m/>
    <n v="2688.7094401799986"/>
    <n v="-48164.072967885193"/>
  </r>
  <r>
    <x v="1"/>
    <x v="3"/>
    <d v="2014-10-03T00:00:00"/>
    <d v="2014-10-03T00:00:00"/>
    <n v="0"/>
    <n v="75000"/>
    <n v="75000"/>
    <n v="68279.239129139998"/>
    <n v="68279.239129139998"/>
    <m/>
    <n v="6720.7608708600019"/>
    <n v="-41443.312097025191"/>
  </r>
  <r>
    <x v="1"/>
    <x v="3"/>
    <d v="2014-10-04T00:00:00"/>
    <d v="2014-10-04T00:00:00"/>
    <n v="0"/>
    <n v="67983"/>
    <n v="67983"/>
    <n v="61727.890112460002"/>
    <n v="61727.890112460002"/>
    <m/>
    <n v="6255.1098875399985"/>
    <n v="-35188.202209485193"/>
  </r>
  <r>
    <x v="1"/>
    <x v="3"/>
    <d v="2014-10-05T00:00:00"/>
    <d v="2014-10-05T00:00:00"/>
    <n v="0"/>
    <n v="67983"/>
    <n v="67983"/>
    <n v="61933.368307706995"/>
    <n v="61933.368307706995"/>
    <m/>
    <n v="6049.6316922930055"/>
    <n v="-29138.570517192187"/>
  </r>
  <r>
    <x v="1"/>
    <x v="3"/>
    <d v="2014-10-06T00:00:00"/>
    <d v="2014-10-06T00:00:00"/>
    <n v="0"/>
    <n v="67723"/>
    <n v="67723"/>
    <n v="65706.920660160002"/>
    <n v="65706.920660160002"/>
    <m/>
    <n v="2016.0793398399983"/>
    <n v="-27122.491177352189"/>
  </r>
  <r>
    <x v="1"/>
    <x v="3"/>
    <d v="2014-10-07T00:00:00"/>
    <d v="2014-10-07T00:00:00"/>
    <n v="0"/>
    <n v="75000"/>
    <n v="75000"/>
    <n v="65975.162349329999"/>
    <n v="65975.162349329999"/>
    <m/>
    <n v="9024.8376506700006"/>
    <n v="-18097.653526682188"/>
  </r>
  <r>
    <x v="1"/>
    <x v="3"/>
    <d v="2014-10-08T00:00:00"/>
    <d v="2014-10-08T00:00:00"/>
    <n v="0"/>
    <n v="75000"/>
    <n v="75000"/>
    <n v="60732.758087820002"/>
    <n v="60732.758087820002"/>
    <m/>
    <n v="14267.241912179998"/>
    <n v="-3830.4116145021908"/>
  </r>
  <r>
    <x v="1"/>
    <x v="3"/>
    <d v="2014-10-09T00:00:00"/>
    <d v="2014-10-09T00:00:00"/>
    <n v="0"/>
    <n v="75000"/>
    <n v="75000"/>
    <n v="68890.533703289999"/>
    <n v="68890.533703289999"/>
    <m/>
    <n v="6109.4662967100012"/>
    <n v="2279.0546822078104"/>
  </r>
  <r>
    <x v="1"/>
    <x v="3"/>
    <d v="2014-10-10T00:00:00"/>
    <d v="2014-10-10T00:00:00"/>
    <n v="0"/>
    <n v="70000"/>
    <n v="70000"/>
    <n v="70175.574513719999"/>
    <n v="70175.574513719999"/>
    <m/>
    <n v="-175.57451371999923"/>
    <n v="2103.4801684878112"/>
  </r>
  <r>
    <x v="1"/>
    <x v="3"/>
    <d v="2014-10-11T00:00:00"/>
    <d v="2014-10-11T00:00:00"/>
    <n v="0"/>
    <n v="68000"/>
    <n v="68000"/>
    <n v="68160.942089370001"/>
    <n v="68160.942089370001"/>
    <m/>
    <n v="-160.94208937000076"/>
    <n v="1942.5380791178104"/>
  </r>
  <r>
    <x v="1"/>
    <x v="3"/>
    <d v="2014-10-12T00:00:00"/>
    <d v="2014-10-12T00:00:00"/>
    <n v="0"/>
    <n v="68000"/>
    <n v="68000"/>
    <n v="61582.390724790006"/>
    <n v="61582.390724790006"/>
    <m/>
    <n v="6417.6092752099939"/>
    <n v="8360.1473543278044"/>
  </r>
  <r>
    <x v="1"/>
    <x v="3"/>
    <d v="2014-10-13T00:00:00"/>
    <d v="2014-10-13T00:00:00"/>
    <n v="0"/>
    <n v="67098"/>
    <n v="67098"/>
    <n v="70212.160249919994"/>
    <n v="70212.160249919994"/>
    <m/>
    <n v="-3114.1602499199944"/>
    <n v="5245.98710440781"/>
  </r>
  <r>
    <x v="1"/>
    <x v="3"/>
    <d v="2014-10-14T00:00:00"/>
    <d v="2014-10-14T00:00:00"/>
    <n v="0"/>
    <n v="75000"/>
    <n v="75000"/>
    <n v="63952.075397340006"/>
    <n v="63952.075397340006"/>
    <m/>
    <n v="11047.924602659994"/>
    <n v="16293.911707067804"/>
  </r>
  <r>
    <x v="1"/>
    <x v="3"/>
    <d v="2014-10-15T00:00:00"/>
    <d v="2014-10-15T00:00:00"/>
    <n v="0"/>
    <n v="75000"/>
    <n v="75000"/>
    <n v="69056.979846660004"/>
    <n v="69056.979846660004"/>
    <m/>
    <n v="5943.0201533399959"/>
    <n v="22236.9318604078"/>
  </r>
  <r>
    <x v="1"/>
    <x v="3"/>
    <d v="2014-10-16T00:00:00"/>
    <d v="2014-10-16T00:00:00"/>
    <n v="0"/>
    <n v="75000"/>
    <n v="75000"/>
    <n v="68799.135709980008"/>
    <n v="68799.135709980008"/>
    <m/>
    <n v="6200.864290019992"/>
    <n v="28437.796150427792"/>
  </r>
  <r>
    <x v="1"/>
    <x v="3"/>
    <d v="2014-10-17T00:00:00"/>
    <d v="2014-10-17T00:00:00"/>
    <n v="0"/>
    <n v="55000"/>
    <n v="55000"/>
    <n v="71943.408660707995"/>
    <n v="71943.408660707995"/>
    <m/>
    <n v="-16943.408660707995"/>
    <n v="11494.387489719797"/>
  </r>
  <r>
    <x v="1"/>
    <x v="3"/>
    <d v="2014-10-18T00:00:00"/>
    <d v="2014-10-18T00:00:00"/>
    <n v="0"/>
    <n v="60000"/>
    <n v="60000"/>
    <n v="66628.33147854"/>
    <n v="66628.33147854"/>
    <m/>
    <n v="-6628.3314785399998"/>
    <n v="4866.0560111797968"/>
  </r>
  <r>
    <x v="1"/>
    <x v="3"/>
    <d v="2014-10-19T00:00:00"/>
    <d v="2014-10-19T00:00:00"/>
    <n v="0"/>
    <n v="60000"/>
    <n v="60000"/>
    <n v="61650.282856500002"/>
    <n v="61650.282856500002"/>
    <m/>
    <n v="-1650.2828565000018"/>
    <n v="3215.773154679795"/>
  </r>
  <r>
    <x v="1"/>
    <x v="3"/>
    <d v="2014-10-20T00:00:00"/>
    <d v="2014-10-20T00:00:00"/>
    <n v="0"/>
    <n v="60000"/>
    <n v="60000"/>
    <n v="68687.606083589999"/>
    <n v="68687.606083589999"/>
    <m/>
    <n v="-8687.6060835899989"/>
    <n v="-5471.8329289102039"/>
  </r>
  <r>
    <x v="1"/>
    <x v="3"/>
    <d v="2014-10-21T00:00:00"/>
    <d v="2014-10-21T00:00:00"/>
    <n v="0"/>
    <n v="70000"/>
    <n v="70000"/>
    <n v="65956.822090379996"/>
    <n v="65956.822090379996"/>
    <m/>
    <n v="4043.1779096200044"/>
    <n v="-1428.6550192901996"/>
  </r>
  <r>
    <x v="1"/>
    <x v="3"/>
    <d v="2014-10-22T00:00:00"/>
    <d v="2014-10-22T00:00:00"/>
    <n v="0"/>
    <n v="75000"/>
    <n v="75000"/>
    <n v="68220.42708429"/>
    <n v="68220.42708429"/>
    <m/>
    <n v="6779.5729157099995"/>
    <n v="5350.9178964197999"/>
  </r>
  <r>
    <x v="1"/>
    <x v="3"/>
    <d v="2014-10-23T00:00:00"/>
    <d v="2014-10-23T00:00:00"/>
    <n v="0"/>
    <n v="74973"/>
    <n v="74973"/>
    <n v="69201.048030659993"/>
    <n v="69201.048030659993"/>
    <m/>
    <n v="5771.9519693400071"/>
    <n v="11122.869865759807"/>
  </r>
  <r>
    <x v="1"/>
    <x v="3"/>
    <d v="2014-10-24T00:00:00"/>
    <d v="2014-10-24T00:00:00"/>
    <n v="0"/>
    <n v="70000"/>
    <n v="70000"/>
    <n v="69362.214833340011"/>
    <n v="69362.214833340011"/>
    <m/>
    <n v="637.78516665998905"/>
    <n v="11760.655032419796"/>
  </r>
  <r>
    <x v="1"/>
    <x v="3"/>
    <d v="2014-10-25T00:00:00"/>
    <d v="2014-10-25T00:00:00"/>
    <n v="0"/>
    <n v="64998"/>
    <n v="64998"/>
    <n v="62699.885924130002"/>
    <n v="62699.885924130002"/>
    <m/>
    <n v="2298.1140758699985"/>
    <n v="14058.769108289795"/>
  </r>
  <r>
    <x v="1"/>
    <x v="3"/>
    <d v="2014-10-26T00:00:00"/>
    <d v="2014-10-26T00:00:00"/>
    <n v="0"/>
    <n v="64994"/>
    <n v="64994"/>
    <n v="52964.468912160002"/>
    <n v="52964.468912160002"/>
    <m/>
    <n v="12029.531087839998"/>
    <n v="26088.300196129792"/>
  </r>
  <r>
    <x v="1"/>
    <x v="3"/>
    <d v="2014-10-27T00:00:00"/>
    <d v="2014-10-27T00:00:00"/>
    <n v="0"/>
    <n v="64982"/>
    <n v="64982"/>
    <n v="65908.527970778989"/>
    <n v="65908.527970778989"/>
    <m/>
    <n v="-926.52797077898867"/>
    <n v="25161.772225350804"/>
  </r>
  <r>
    <x v="1"/>
    <x v="3"/>
    <d v="2014-10-28T00:00:00"/>
    <d v="2014-10-28T00:00:00"/>
    <n v="0"/>
    <n v="70000"/>
    <n v="70000"/>
    <n v="65888.875933101008"/>
    <n v="65888.875933101008"/>
    <m/>
    <n v="4111.1240668989922"/>
    <n v="29272.896292249796"/>
  </r>
  <r>
    <x v="1"/>
    <x v="3"/>
    <d v="2014-10-29T00:00:00"/>
    <d v="2014-10-29T00:00:00"/>
    <n v="0"/>
    <n v="69800"/>
    <n v="69800"/>
    <n v="67416.697224629999"/>
    <n v="67416.697224629999"/>
    <m/>
    <n v="2383.3027753700007"/>
    <n v="31656.199067619797"/>
  </r>
  <r>
    <x v="1"/>
    <x v="3"/>
    <d v="2014-10-30T00:00:00"/>
    <d v="2014-10-30T00:00:00"/>
    <n v="0"/>
    <n v="65732"/>
    <n v="65732"/>
    <n v="66907.311934320009"/>
    <n v="66907.311934320009"/>
    <m/>
    <n v="-1175.3119343200087"/>
    <n v="30480.887133299788"/>
  </r>
  <r>
    <x v="1"/>
    <x v="3"/>
    <d v="2014-10-31T00:00:00"/>
    <d v="2014-10-31T00:00:00"/>
    <n v="0"/>
    <n v="70000"/>
    <n v="70000"/>
    <n v="62156.883638653599"/>
    <n v="62156.883638653599"/>
    <m/>
    <n v="7843.1163613464014"/>
    <n v="38324.003494646189"/>
  </r>
  <r>
    <x v="1"/>
    <x v="4"/>
    <d v="2014-11-01T00:00:00"/>
    <d v="2014-11-01T00:00:00"/>
    <n v="0"/>
    <n v="70000"/>
    <n v="70000"/>
    <n v="53275.409757180001"/>
    <n v="53275.409757180001"/>
    <m/>
    <n v="16724.590242819999"/>
    <n v="55048.593737466188"/>
  </r>
  <r>
    <x v="1"/>
    <x v="4"/>
    <d v="2014-11-02T00:00:00"/>
    <d v="2014-11-02T00:00:00"/>
    <n v="0"/>
    <n v="70000"/>
    <n v="70000"/>
    <n v="45722.199215160006"/>
    <n v="45722.199215160006"/>
    <m/>
    <n v="24277.800784839994"/>
    <n v="79326.394522306189"/>
  </r>
  <r>
    <x v="1"/>
    <x v="4"/>
    <d v="2014-11-03T00:00:00"/>
    <d v="2014-11-03T00:00:00"/>
    <n v="0"/>
    <n v="70000"/>
    <n v="70000"/>
    <n v="62900.718868260003"/>
    <n v="62900.718868260003"/>
    <m/>
    <n v="7099.2811317399974"/>
    <n v="86425.675654046179"/>
  </r>
  <r>
    <x v="1"/>
    <x v="4"/>
    <d v="2014-11-04T00:00:00"/>
    <d v="2014-11-04T00:00:00"/>
    <n v="0"/>
    <n v="74976"/>
    <n v="74976"/>
    <n v="64990.664831429996"/>
    <n v="64990.664831429996"/>
    <m/>
    <n v="9985.3351685700036"/>
    <n v="96411.010822616183"/>
  </r>
  <r>
    <x v="1"/>
    <x v="4"/>
    <d v="2014-11-05T00:00:00"/>
    <d v="2014-11-05T00:00:00"/>
    <n v="0"/>
    <n v="75000"/>
    <n v="75000"/>
    <n v="63165.422356569004"/>
    <n v="63165.422356569004"/>
    <m/>
    <n v="11834.577643430996"/>
    <n v="108245.58846604718"/>
  </r>
  <r>
    <x v="1"/>
    <x v="4"/>
    <d v="2014-11-06T00:00:00"/>
    <d v="2014-11-06T00:00:00"/>
    <n v="0"/>
    <n v="75000"/>
    <n v="75000"/>
    <n v="67591.11450897"/>
    <n v="67591.11450897"/>
    <m/>
    <n v="7408.8854910299997"/>
    <n v="115654.47395707718"/>
  </r>
  <r>
    <x v="1"/>
    <x v="4"/>
    <d v="2014-11-07T00:00:00"/>
    <d v="2014-11-07T00:00:00"/>
    <n v="0"/>
    <n v="70000"/>
    <n v="70000"/>
    <n v="70030.425818340009"/>
    <n v="70030.425818340009"/>
    <m/>
    <n v="-30.425818340008846"/>
    <n v="115624.04813873717"/>
  </r>
  <r>
    <x v="1"/>
    <x v="4"/>
    <d v="2014-11-08T00:00:00"/>
    <d v="2014-11-08T00:00:00"/>
    <n v="0"/>
    <n v="68000"/>
    <n v="68000"/>
    <n v="63110.309641470005"/>
    <n v="63110.309641470005"/>
    <m/>
    <n v="4889.6903585299951"/>
    <n v="120513.73849726716"/>
  </r>
  <r>
    <x v="1"/>
    <x v="4"/>
    <d v="2014-11-09T00:00:00"/>
    <d v="2014-11-09T00:00:00"/>
    <n v="0"/>
    <n v="68000"/>
    <n v="68000"/>
    <n v="56921.870275920002"/>
    <n v="56921.870275920002"/>
    <m/>
    <n v="11078.129724079998"/>
    <n v="131591.86822134716"/>
  </r>
  <r>
    <x v="1"/>
    <x v="4"/>
    <d v="2014-11-10T00:00:00"/>
    <d v="2014-11-10T00:00:00"/>
    <n v="-7000"/>
    <n v="68000"/>
    <n v="75000"/>
    <n v="30716.41734018"/>
    <n v="30716.41734018"/>
    <m/>
    <n v="44283.58265982"/>
    <n v="175875.45088116717"/>
  </r>
  <r>
    <x v="1"/>
    <x v="4"/>
    <d v="2014-11-11T00:00:00"/>
    <d v="2014-11-11T00:00:00"/>
    <n v="-37499"/>
    <n v="37501"/>
    <n v="75000"/>
    <n v="12003.13553166"/>
    <n v="12003.13553166"/>
    <m/>
    <n v="62996.864468339998"/>
    <n v="238872.31534950717"/>
  </r>
  <r>
    <x v="1"/>
    <x v="4"/>
    <d v="2014-11-12T00:00:00"/>
    <d v="2014-11-12T00:00:00"/>
    <n v="0"/>
    <n v="75000"/>
    <n v="75000"/>
    <n v="58603.591457189999"/>
    <n v="58603.591457189999"/>
    <m/>
    <n v="16396.408542810001"/>
    <n v="255268.72389231718"/>
  </r>
  <r>
    <x v="1"/>
    <x v="4"/>
    <d v="2014-11-13T00:00:00"/>
    <d v="2014-11-13T00:00:00"/>
    <n v="0"/>
    <n v="68000"/>
    <n v="68000"/>
    <n v="71915.539049640007"/>
    <n v="71915.539049640007"/>
    <m/>
    <n v="-3915.5390496400069"/>
    <n v="251353.18484267718"/>
  </r>
  <r>
    <x v="1"/>
    <x v="4"/>
    <d v="2014-11-14T00:00:00"/>
    <d v="2014-11-14T00:00:00"/>
    <n v="0"/>
    <n v="68000"/>
    <n v="68000"/>
    <n v="71787.678536340012"/>
    <n v="71787.678536340012"/>
    <m/>
    <n v="-3787.6785363400122"/>
    <n v="247565.50630633716"/>
  </r>
  <r>
    <x v="1"/>
    <x v="4"/>
    <d v="2014-11-15T00:00:00"/>
    <d v="2014-11-15T00:00:00"/>
    <n v="0"/>
    <n v="68000"/>
    <n v="68000"/>
    <n v="68886.960433200002"/>
    <n v="68886.960433200002"/>
    <m/>
    <n v="-886.96043320000172"/>
    <n v="246678.54587313716"/>
  </r>
  <r>
    <x v="1"/>
    <x v="4"/>
    <d v="2014-11-16T00:00:00"/>
    <d v="2014-11-16T00:00:00"/>
    <n v="0"/>
    <n v="68000"/>
    <n v="68000"/>
    <n v="68557.385505960003"/>
    <n v="68557.385505960003"/>
    <m/>
    <n v="-557.38550596000277"/>
    <n v="246121.16036717716"/>
  </r>
  <r>
    <x v="1"/>
    <x v="4"/>
    <d v="2014-11-17T00:00:00"/>
    <d v="2014-11-17T00:00:00"/>
    <n v="-20000"/>
    <n v="48000"/>
    <n v="68000"/>
    <n v="68421.392722799996"/>
    <n v="68421.392722799996"/>
    <m/>
    <n v="-421.39272279999568"/>
    <n v="245699.76764437716"/>
  </r>
  <r>
    <x v="1"/>
    <x v="4"/>
    <d v="2014-11-18T00:00:00"/>
    <d v="2014-11-18T00:00:00"/>
    <n v="0"/>
    <n v="68000"/>
    <n v="68000"/>
    <n v="70605.523261259994"/>
    <n v="70605.523261259994"/>
    <m/>
    <n v="-2605.5232612599939"/>
    <n v="243094.24438311718"/>
  </r>
  <r>
    <x v="1"/>
    <x v="4"/>
    <d v="2014-11-19T00:00:00"/>
    <d v="2014-11-19T00:00:00"/>
    <n v="0"/>
    <n v="72000"/>
    <n v="72000"/>
    <n v="69206.308415010004"/>
    <n v="69206.308415010004"/>
    <m/>
    <n v="2793.691584989996"/>
    <n v="245887.93596810719"/>
  </r>
  <r>
    <x v="1"/>
    <x v="4"/>
    <d v="2014-11-20T00:00:00"/>
    <d v="2014-11-20T00:00:00"/>
    <n v="-10"/>
    <n v="71880"/>
    <n v="71890"/>
    <n v="69011.702628570012"/>
    <n v="69011.702628570012"/>
    <m/>
    <n v="2878.2973714299878"/>
    <n v="248766.23333953717"/>
  </r>
  <r>
    <x v="1"/>
    <x v="4"/>
    <d v="2014-11-21T00:00:00"/>
    <d v="2014-11-21T00:00:00"/>
    <n v="-3000"/>
    <n v="72000"/>
    <n v="75000"/>
    <n v="71604.038992590009"/>
    <n v="71604.038992590009"/>
    <m/>
    <n v="3395.961007409991"/>
    <n v="252162.19434694716"/>
  </r>
  <r>
    <x v="1"/>
    <x v="4"/>
    <d v="2014-11-22T00:00:00"/>
    <d v="2014-11-22T00:00:00"/>
    <n v="0"/>
    <n v="68000"/>
    <n v="68000"/>
    <n v="66929.462417610004"/>
    <n v="66929.462417610004"/>
    <m/>
    <n v="1070.5375823899958"/>
    <n v="253232.73192933714"/>
  </r>
  <r>
    <x v="1"/>
    <x v="4"/>
    <d v="2014-11-23T00:00:00"/>
    <d v="2014-11-23T00:00:00"/>
    <n v="0"/>
    <n v="68000"/>
    <n v="68000"/>
    <n v="66750.874738470011"/>
    <n v="66750.874738470011"/>
    <m/>
    <n v="1249.1252615299891"/>
    <n v="254481.85719086713"/>
  </r>
  <r>
    <x v="1"/>
    <x v="4"/>
    <d v="2014-11-24T00:00:00"/>
    <d v="2014-11-24T00:00:00"/>
    <n v="0"/>
    <n v="68000"/>
    <n v="68000"/>
    <n v="73034.408583630007"/>
    <n v="73034.408583630007"/>
    <m/>
    <n v="-5034.4085836300073"/>
    <n v="249447.44860723714"/>
  </r>
  <r>
    <x v="1"/>
    <x v="4"/>
    <d v="2014-11-25T00:00:00"/>
    <d v="2014-11-25T00:00:00"/>
    <n v="0"/>
    <n v="72000"/>
    <n v="72000"/>
    <n v="74385.555838542001"/>
    <n v="74385.555838542001"/>
    <m/>
    <n v="-2385.5558385420009"/>
    <n v="247061.89276869514"/>
  </r>
  <r>
    <x v="1"/>
    <x v="4"/>
    <d v="2014-11-26T00:00:00"/>
    <d v="2014-11-26T00:00:00"/>
    <n v="0"/>
    <n v="70000"/>
    <n v="70000"/>
    <n v="72321.489070740005"/>
    <n v="72321.489070740005"/>
    <m/>
    <n v="-2321.4890707400045"/>
    <n v="244740.40369795513"/>
  </r>
  <r>
    <x v="1"/>
    <x v="4"/>
    <d v="2014-11-27T00:00:00"/>
    <d v="2014-11-27T00:00:00"/>
    <n v="0"/>
    <n v="70000"/>
    <n v="70000"/>
    <n v="70939.733013630001"/>
    <n v="70939.733013630001"/>
    <m/>
    <n v="-939.73301363000064"/>
    <n v="243800.67068432513"/>
  </r>
  <r>
    <x v="1"/>
    <x v="4"/>
    <d v="2014-11-28T00:00:00"/>
    <d v="2014-11-28T00:00:00"/>
    <n v="0"/>
    <n v="70000"/>
    <n v="70000"/>
    <n v="69905.399277870005"/>
    <n v="69905.399277870005"/>
    <m/>
    <n v="94.60072212999512"/>
    <n v="243895.27140645514"/>
  </r>
  <r>
    <x v="1"/>
    <x v="4"/>
    <d v="2014-11-29T00:00:00"/>
    <d v="2014-11-29T00:00:00"/>
    <n v="0"/>
    <n v="70000"/>
    <n v="70000"/>
    <n v="60744.899623589998"/>
    <n v="60744.899623589998"/>
    <m/>
    <n v="9255.1003764100024"/>
    <n v="253150.37178286514"/>
  </r>
  <r>
    <x v="1"/>
    <x v="4"/>
    <d v="2014-11-30T00:00:00"/>
    <d v="2014-11-30T00:00:00"/>
    <n v="0"/>
    <n v="70000"/>
    <n v="70000"/>
    <n v="61803.696516119999"/>
    <n v="61803.696516119999"/>
    <m/>
    <n v="8196.3034838800013"/>
    <n v="261346.67526674515"/>
  </r>
  <r>
    <x v="1"/>
    <x v="5"/>
    <d v="2014-12-01T00:00:00"/>
    <d v="2014-12-01T00:00:00"/>
    <n v="0"/>
    <n v="72000"/>
    <n v="72000"/>
    <n v="70434.262207530002"/>
    <n v="70434.262207530002"/>
    <m/>
    <n v="1565.7377924699977"/>
    <n v="262912.41305921518"/>
  </r>
  <r>
    <x v="1"/>
    <x v="5"/>
    <d v="2014-12-02T00:00:00"/>
    <d v="2014-12-02T00:00:00"/>
    <n v="0"/>
    <n v="72000"/>
    <n v="72000"/>
    <n v="70736.615830530005"/>
    <n v="70736.615830530005"/>
    <m/>
    <n v="1263.384169469995"/>
    <n v="264175.79722868517"/>
  </r>
  <r>
    <x v="1"/>
    <x v="5"/>
    <d v="2014-12-03T00:00:00"/>
    <d v="2014-12-03T00:00:00"/>
    <n v="0"/>
    <n v="70000"/>
    <n v="70000"/>
    <n v="71155.721551590002"/>
    <n v="71155.721551590002"/>
    <m/>
    <n v="-1155.7215515900025"/>
    <n v="263020.07567709516"/>
  </r>
  <r>
    <x v="1"/>
    <x v="5"/>
    <d v="2014-12-04T00:00:00"/>
    <d v="2014-12-04T00:00:00"/>
    <n v="0"/>
    <n v="56000"/>
    <n v="56000"/>
    <n v="72649.276415118002"/>
    <n v="72649.276415118002"/>
    <m/>
    <n v="-16649.276415118002"/>
    <n v="246370.79926197714"/>
  </r>
  <r>
    <x v="1"/>
    <x v="5"/>
    <d v="2014-12-05T00:00:00"/>
    <d v="2014-12-05T00:00:00"/>
    <n v="0"/>
    <n v="56000"/>
    <n v="56000"/>
    <n v="71464.196176775993"/>
    <n v="71464.196176775993"/>
    <m/>
    <n v="-15464.196176775993"/>
    <n v="230906.60308520115"/>
  </r>
  <r>
    <x v="1"/>
    <x v="5"/>
    <d v="2014-12-06T00:00:00"/>
    <d v="2014-12-06T00:00:00"/>
    <n v="0"/>
    <n v="55000"/>
    <n v="55000"/>
    <n v="69317.44943642999"/>
    <n v="69317.44943642999"/>
    <m/>
    <n v="-14317.44943642999"/>
    <n v="216589.15364877117"/>
  </r>
  <r>
    <x v="1"/>
    <x v="5"/>
    <d v="2014-12-07T00:00:00"/>
    <d v="2014-12-07T00:00:00"/>
    <n v="0"/>
    <n v="55000"/>
    <n v="55000"/>
    <n v="67659.281507610009"/>
    <n v="67659.281507610009"/>
    <m/>
    <n v="-12659.281507610009"/>
    <n v="203929.87214116118"/>
  </r>
  <r>
    <x v="1"/>
    <x v="5"/>
    <d v="2014-12-08T00:00:00"/>
    <d v="2014-12-08T00:00:00"/>
    <n v="0"/>
    <n v="55000"/>
    <n v="55000"/>
    <n v="71138.528151210005"/>
    <n v="71138.528151210005"/>
    <m/>
    <n v="-16138.528151210005"/>
    <n v="187791.34398995119"/>
  </r>
  <r>
    <x v="1"/>
    <x v="5"/>
    <d v="2014-12-09T00:00:00"/>
    <d v="2014-12-09T00:00:00"/>
    <n v="0"/>
    <n v="62000"/>
    <n v="62000"/>
    <n v="69684.605307720005"/>
    <n v="69684.605307720005"/>
    <m/>
    <n v="-7684.6053077200049"/>
    <n v="180106.73868223117"/>
  </r>
  <r>
    <x v="1"/>
    <x v="5"/>
    <d v="2014-12-10T00:00:00"/>
    <d v="2014-12-10T00:00:00"/>
    <n v="0"/>
    <n v="62000"/>
    <n v="62000"/>
    <n v="66661.315510140004"/>
    <n v="66661.315510140004"/>
    <m/>
    <n v="-4661.3155101400043"/>
    <n v="175445.42317209116"/>
  </r>
  <r>
    <x v="1"/>
    <x v="5"/>
    <d v="2014-12-11T00:00:00"/>
    <d v="2014-12-11T00:00:00"/>
    <n v="0"/>
    <n v="62000"/>
    <n v="62000"/>
    <n v="68935.801443210003"/>
    <n v="68935.801443210003"/>
    <m/>
    <n v="-6935.8014432100026"/>
    <n v="168509.62172888115"/>
  </r>
  <r>
    <x v="1"/>
    <x v="5"/>
    <d v="2014-12-12T00:00:00"/>
    <d v="2014-12-12T00:00:00"/>
    <n v="0"/>
    <n v="61500"/>
    <n v="61500"/>
    <n v="62445.452033016008"/>
    <n v="62445.452033016008"/>
    <m/>
    <n v="-945.4520330160085"/>
    <n v="167564.16969586513"/>
  </r>
  <r>
    <x v="1"/>
    <x v="5"/>
    <d v="2014-12-13T00:00:00"/>
    <d v="2014-12-13T00:00:00"/>
    <n v="0"/>
    <n v="59000"/>
    <n v="59000"/>
    <n v="68474.991774149996"/>
    <n v="68474.991774149996"/>
    <m/>
    <n v="-9474.9917741499958"/>
    <n v="158089.17792171513"/>
  </r>
  <r>
    <x v="1"/>
    <x v="5"/>
    <d v="2014-12-14T00:00:00"/>
    <d v="2014-12-14T00:00:00"/>
    <n v="0"/>
    <n v="59000"/>
    <n v="59000"/>
    <n v="68265.268306559999"/>
    <n v="68265.268306559999"/>
    <m/>
    <n v="-9265.2683065599995"/>
    <n v="148823.90961515513"/>
  </r>
  <r>
    <x v="1"/>
    <x v="5"/>
    <d v="2014-12-15T00:00:00"/>
    <d v="2014-12-15T00:00:00"/>
    <n v="0"/>
    <n v="59000"/>
    <n v="59000"/>
    <n v="72646.666127100005"/>
    <n v="72646.666127100005"/>
    <m/>
    <n v="-13646.666127100005"/>
    <n v="135177.24348805513"/>
  </r>
  <r>
    <x v="1"/>
    <x v="5"/>
    <d v="2014-12-16T00:00:00"/>
    <d v="2014-12-16T00:00:00"/>
    <n v="0"/>
    <n v="65000"/>
    <n v="65000"/>
    <n v="71033.794372710006"/>
    <n v="71033.794372710006"/>
    <m/>
    <n v="-6033.7943727100064"/>
    <n v="129143.44911534512"/>
  </r>
  <r>
    <x v="1"/>
    <x v="5"/>
    <d v="2014-12-17T00:00:00"/>
    <d v="2014-12-17T00:00:00"/>
    <n v="0"/>
    <n v="65500"/>
    <n v="65500"/>
    <n v="73397.109715019993"/>
    <n v="73397.109715019993"/>
    <m/>
    <n v="-7897.109715019993"/>
    <n v="121246.33940032513"/>
  </r>
  <r>
    <x v="1"/>
    <x v="5"/>
    <d v="2014-12-18T00:00:00"/>
    <d v="2014-12-18T00:00:00"/>
    <n v="0"/>
    <n v="65500"/>
    <n v="65500"/>
    <n v="71248.7308338"/>
    <n v="71248.7308338"/>
    <m/>
    <n v="-5748.7308338000003"/>
    <n v="115497.60856652513"/>
  </r>
  <r>
    <x v="1"/>
    <x v="5"/>
    <d v="2014-12-19T00:00:00"/>
    <d v="2014-12-19T00:00:00"/>
    <n v="0"/>
    <n v="64500"/>
    <n v="64500"/>
    <n v="68992.604116019997"/>
    <n v="68992.604116019997"/>
    <m/>
    <n v="-4492.6041160199966"/>
    <n v="111005.00445050513"/>
  </r>
  <r>
    <x v="1"/>
    <x v="5"/>
    <d v="2014-12-20T00:00:00"/>
    <d v="2014-12-20T00:00:00"/>
    <n v="0"/>
    <n v="60000"/>
    <n v="60000"/>
    <n v="64379.417648130002"/>
    <n v="64379.417648130002"/>
    <m/>
    <n v="-4379.4176481300019"/>
    <n v="106625.58680237512"/>
  </r>
  <r>
    <x v="1"/>
    <x v="5"/>
    <d v="2014-12-21T00:00:00"/>
    <d v="2014-12-21T00:00:00"/>
    <n v="0"/>
    <n v="60000"/>
    <n v="60000"/>
    <n v="64807.688759580007"/>
    <n v="64807.688759580007"/>
    <m/>
    <n v="-4807.6887595800072"/>
    <n v="101817.89804279512"/>
  </r>
  <r>
    <x v="1"/>
    <x v="5"/>
    <d v="2014-12-22T00:00:00"/>
    <d v="2014-12-22T00:00:00"/>
    <n v="0"/>
    <n v="60000"/>
    <n v="60000"/>
    <n v="71364.203378909995"/>
    <n v="71364.203378909995"/>
    <m/>
    <n v="-11364.203378909995"/>
    <n v="90453.694663885122"/>
  </r>
  <r>
    <x v="1"/>
    <x v="5"/>
    <d v="2014-12-23T00:00:00"/>
    <d v="2014-12-23T00:00:00"/>
    <n v="0"/>
    <n v="67000"/>
    <n v="67000"/>
    <n v="68340.259587599998"/>
    <n v="68340.259587599998"/>
    <m/>
    <n v="-1340.2595875999978"/>
    <n v="89113.435076285125"/>
  </r>
  <r>
    <x v="1"/>
    <x v="5"/>
    <d v="2014-12-24T00:00:00"/>
    <d v="2014-12-24T00:00:00"/>
    <n v="0"/>
    <n v="64000"/>
    <n v="64000"/>
    <n v="53763.222732570001"/>
    <n v="53763.222732570001"/>
    <m/>
    <n v="10236.777267429999"/>
    <n v="99350.212343715131"/>
  </r>
  <r>
    <x v="1"/>
    <x v="5"/>
    <d v="2014-12-25T00:00:00"/>
    <d v="2014-12-25T00:00:00"/>
    <n v="0"/>
    <n v="60000"/>
    <n v="60000"/>
    <n v="42486.655278600003"/>
    <n v="42486.655278600003"/>
    <m/>
    <n v="17513.344721399997"/>
    <n v="116863.55706511514"/>
  </r>
  <r>
    <x v="1"/>
    <x v="5"/>
    <d v="2014-12-26T00:00:00"/>
    <d v="2014-12-26T00:00:00"/>
    <n v="0"/>
    <n v="60000"/>
    <n v="60000"/>
    <n v="62389.466378460005"/>
    <n v="62389.466378460005"/>
    <m/>
    <n v="-2389.4663784600052"/>
    <n v="114474.09068665514"/>
  </r>
  <r>
    <x v="1"/>
    <x v="5"/>
    <d v="2014-12-27T00:00:00"/>
    <d v="2014-12-27T00:00:00"/>
    <n v="0"/>
    <n v="60000"/>
    <n v="60000"/>
    <n v="64954.486656539993"/>
    <n v="64954.486656539993"/>
    <m/>
    <n v="-4954.4866565399934"/>
    <n v="109519.60403011515"/>
  </r>
  <r>
    <x v="1"/>
    <x v="5"/>
    <d v="2014-12-28T00:00:00"/>
    <d v="2014-12-28T00:00:00"/>
    <n v="0"/>
    <n v="60000"/>
    <n v="60000"/>
    <n v="55316.145061709998"/>
    <n v="55316.145061709998"/>
    <m/>
    <n v="4683.8549382900019"/>
    <n v="114203.45896840515"/>
  </r>
  <r>
    <x v="1"/>
    <x v="5"/>
    <d v="2014-12-29T00:00:00"/>
    <d v="2014-12-29T00:00:00"/>
    <n v="0"/>
    <n v="60000"/>
    <n v="60000"/>
    <n v="59062.211668980002"/>
    <n v="59062.211668980002"/>
    <m/>
    <n v="937.78833101999771"/>
    <n v="115141.24729942514"/>
  </r>
  <r>
    <x v="1"/>
    <x v="5"/>
    <d v="2014-12-30T00:00:00"/>
    <d v="2014-12-30T00:00:00"/>
    <n v="0"/>
    <n v="60000"/>
    <n v="60000"/>
    <n v="58572.578884950002"/>
    <n v="58572.578884950002"/>
    <m/>
    <n v="1427.4211150499978"/>
    <n v="116568.66841447513"/>
  </r>
  <r>
    <x v="1"/>
    <x v="5"/>
    <d v="2014-12-31T00:00:00"/>
    <d v="2014-12-31T00:00:00"/>
    <n v="0"/>
    <n v="60000"/>
    <n v="60000"/>
    <n v="52372.396066770001"/>
    <n v="52372.396066770001"/>
    <m/>
    <n v="7627.6039332299988"/>
    <n v="124196.27234770513"/>
  </r>
  <r>
    <x v="2"/>
    <x v="6"/>
    <d v="2015-01-01T00:00:00"/>
    <d v="2015-01-01T00:00:00"/>
    <n v="0"/>
    <n v="54945"/>
    <n v="54945"/>
    <n v="48180.58060257"/>
    <n v="48180.58060257"/>
    <m/>
    <n v="6764.4193974299997"/>
    <n v="130960.69174513513"/>
  </r>
  <r>
    <x v="2"/>
    <x v="6"/>
    <d v="2015-01-02T00:00:00"/>
    <d v="2015-01-02T00:00:00"/>
    <n v="0"/>
    <n v="60000"/>
    <n v="60000"/>
    <n v="55705.536719820004"/>
    <n v="55705.536719820004"/>
    <m/>
    <n v="4294.4632801799962"/>
    <n v="135255.15502531512"/>
  </r>
  <r>
    <x v="2"/>
    <x v="6"/>
    <d v="2015-01-03T00:00:00"/>
    <d v="2015-01-03T00:00:00"/>
    <n v="0"/>
    <n v="59602"/>
    <n v="59602"/>
    <n v="66232.788488100006"/>
    <n v="66232.788488100006"/>
    <m/>
    <n v="-6630.7884881000064"/>
    <n v="128624.36653721512"/>
  </r>
  <r>
    <x v="2"/>
    <x v="6"/>
    <d v="2015-01-04T00:00:00"/>
    <d v="2015-01-04T00:00:00"/>
    <n v="0"/>
    <n v="59867"/>
    <n v="59867"/>
    <n v="59876.86038048"/>
    <n v="59876.86038048"/>
    <m/>
    <n v="-9.8603804800004582"/>
    <n v="128614.50615673512"/>
  </r>
  <r>
    <x v="2"/>
    <x v="6"/>
    <d v="2015-01-05T00:00:00"/>
    <d v="2015-01-05T00:00:00"/>
    <n v="0"/>
    <n v="60000"/>
    <n v="60000"/>
    <n v="66950.494476840002"/>
    <n v="66950.494476840002"/>
    <m/>
    <n v="-6950.4944768400019"/>
    <n v="121664.01167989512"/>
  </r>
  <r>
    <x v="2"/>
    <x v="6"/>
    <d v="2015-01-06T00:00:00"/>
    <d v="2015-01-06T00:00:00"/>
    <n v="0"/>
    <n v="60000"/>
    <n v="60000"/>
    <n v="65828.099063610003"/>
    <n v="65828.099063610003"/>
    <m/>
    <n v="-5828.0990636100032"/>
    <n v="115835.91261628512"/>
  </r>
  <r>
    <x v="2"/>
    <x v="6"/>
    <d v="2015-01-07T00:00:00"/>
    <d v="2015-01-07T00:00:00"/>
    <n v="0"/>
    <n v="60000"/>
    <n v="60000"/>
    <n v="67752.632003940002"/>
    <n v="67752.632003940002"/>
    <m/>
    <n v="-7752.6320039400016"/>
    <n v="108083.28061234512"/>
  </r>
  <r>
    <x v="2"/>
    <x v="6"/>
    <d v="2015-01-08T00:00:00"/>
    <d v="2015-01-08T00:00:00"/>
    <n v="0"/>
    <n v="63540"/>
    <n v="63540"/>
    <n v="67357.307011409997"/>
    <n v="67357.307011409997"/>
    <m/>
    <n v="-3817.3070114099974"/>
    <n v="104265.97360093512"/>
  </r>
  <r>
    <x v="2"/>
    <x v="6"/>
    <d v="2015-01-09T00:00:00"/>
    <d v="2015-01-09T00:00:00"/>
    <n v="0"/>
    <n v="65000"/>
    <n v="65000"/>
    <n v="67437.606067650006"/>
    <n v="67437.606067650006"/>
    <m/>
    <n v="-2437.6060676500056"/>
    <n v="101828.36753328511"/>
  </r>
  <r>
    <x v="2"/>
    <x v="6"/>
    <d v="2015-01-10T00:00:00"/>
    <d v="2015-01-10T00:00:00"/>
    <n v="0"/>
    <n v="65000"/>
    <n v="65000"/>
    <n v="61982.909754480002"/>
    <n v="61982.909754480002"/>
    <m/>
    <n v="3017.0902455199976"/>
    <n v="104845.45777880511"/>
  </r>
  <r>
    <x v="2"/>
    <x v="6"/>
    <d v="2015-01-11T00:00:00"/>
    <d v="2015-01-11T00:00:00"/>
    <n v="0"/>
    <n v="65000"/>
    <n v="65000"/>
    <n v="58616.965155060003"/>
    <n v="58616.965155060003"/>
    <m/>
    <n v="6383.0348449399971"/>
    <n v="111228.49262374511"/>
  </r>
  <r>
    <x v="2"/>
    <x v="6"/>
    <d v="2015-01-12T00:00:00"/>
    <d v="2015-01-12T00:00:00"/>
    <n v="0"/>
    <n v="65000"/>
    <n v="65000"/>
    <n v="65237.618550779996"/>
    <n v="65237.618550779996"/>
    <m/>
    <n v="-237.61855077999644"/>
    <n v="110990.87407296512"/>
  </r>
  <r>
    <x v="2"/>
    <x v="6"/>
    <d v="2015-01-13T00:00:00"/>
    <d v="2015-01-13T00:00:00"/>
    <n v="0"/>
    <n v="65000"/>
    <n v="65000"/>
    <n v="63290.717129249999"/>
    <n v="63290.717129249999"/>
    <m/>
    <n v="1709.2828707500012"/>
    <n v="112700.15694371512"/>
  </r>
  <r>
    <x v="2"/>
    <x v="6"/>
    <d v="2015-01-14T00:00:00"/>
    <d v="2015-01-14T00:00:00"/>
    <n v="0"/>
    <n v="68000"/>
    <n v="68000"/>
    <n v="67684.171182029997"/>
    <n v="67684.171182029997"/>
    <m/>
    <n v="315.828817970003"/>
    <n v="113015.98576168512"/>
  </r>
  <r>
    <x v="2"/>
    <x v="6"/>
    <d v="2015-01-15T00:00:00"/>
    <d v="2015-01-15T00:00:00"/>
    <n v="0"/>
    <n v="51747"/>
    <n v="51747"/>
    <n v="70088.915605410002"/>
    <n v="70088.915605410002"/>
    <m/>
    <n v="-18341.915605410002"/>
    <n v="94674.07015627512"/>
  </r>
  <r>
    <x v="2"/>
    <x v="6"/>
    <d v="2015-01-16T00:00:00"/>
    <d v="2015-01-16T00:00:00"/>
    <n v="0"/>
    <n v="50000"/>
    <n v="50000"/>
    <n v="65313.358607250004"/>
    <n v="65313.358607250004"/>
    <m/>
    <n v="-15313.358607250004"/>
    <n v="79360.711549025116"/>
  </r>
  <r>
    <x v="2"/>
    <x v="6"/>
    <d v="2015-01-17T00:00:00"/>
    <d v="2015-01-17T00:00:00"/>
    <n v="0"/>
    <n v="50000"/>
    <n v="50000"/>
    <n v="57455.756635680002"/>
    <n v="57455.756635680002"/>
    <m/>
    <n v="-7455.7566356800016"/>
    <n v="71904.954913345107"/>
  </r>
  <r>
    <x v="2"/>
    <x v="6"/>
    <d v="2015-01-18T00:00:00"/>
    <d v="2015-01-18T00:00:00"/>
    <n v="0"/>
    <n v="50000"/>
    <n v="50000"/>
    <n v="56309.078150910005"/>
    <n v="56309.078150910005"/>
    <m/>
    <n v="-6309.0781509100052"/>
    <n v="65595.876762435102"/>
  </r>
  <r>
    <x v="2"/>
    <x v="6"/>
    <d v="2015-01-19T00:00:00"/>
    <d v="2015-01-19T00:00:00"/>
    <n v="0"/>
    <n v="50000"/>
    <n v="50000"/>
    <n v="67946.280495210012"/>
    <n v="67946.280495210012"/>
    <m/>
    <n v="-17946.280495210012"/>
    <n v="47649.59626722509"/>
  </r>
  <r>
    <x v="2"/>
    <x v="6"/>
    <d v="2015-01-20T00:00:00"/>
    <d v="2015-01-20T00:00:00"/>
    <n v="0"/>
    <n v="50000"/>
    <n v="50000"/>
    <n v="69069.775376160003"/>
    <n v="69069.775376160003"/>
    <m/>
    <n v="-19069.775376160003"/>
    <n v="28579.820891065086"/>
  </r>
  <r>
    <x v="2"/>
    <x v="6"/>
    <d v="2015-01-21T00:00:00"/>
    <d v="2015-01-21T00:00:00"/>
    <n v="0"/>
    <n v="60000"/>
    <n v="60000"/>
    <n v="70995.61630395001"/>
    <n v="70995.61630395001"/>
    <m/>
    <n v="-10995.61630395001"/>
    <n v="17584.204587115077"/>
  </r>
  <r>
    <x v="2"/>
    <x v="6"/>
    <d v="2015-01-22T00:00:00"/>
    <d v="2015-01-22T00:00:00"/>
    <n v="0"/>
    <n v="60000"/>
    <n v="60000"/>
    <n v="72691.03344087"/>
    <n v="72691.03344087"/>
    <m/>
    <n v="-12691.03344087"/>
    <n v="4893.1711462450767"/>
  </r>
  <r>
    <x v="2"/>
    <x v="6"/>
    <d v="2015-01-23T00:00:00"/>
    <d v="2015-01-23T00:00:00"/>
    <n v="0"/>
    <n v="60000"/>
    <n v="60000"/>
    <n v="69220.648886220006"/>
    <n v="69220.648886220006"/>
    <m/>
    <n v="-9220.6488862200058"/>
    <n v="-4327.4777399749291"/>
  </r>
  <r>
    <x v="2"/>
    <x v="6"/>
    <d v="2015-01-24T00:00:00"/>
    <d v="2015-01-24T00:00:00"/>
    <n v="0"/>
    <n v="60000"/>
    <n v="60000"/>
    <n v="61337.683331730004"/>
    <n v="61337.683331730004"/>
    <m/>
    <n v="-1337.6833317300043"/>
    <n v="-5665.1610717049334"/>
  </r>
  <r>
    <x v="2"/>
    <x v="6"/>
    <d v="2015-01-25T00:00:00"/>
    <d v="2015-01-25T00:00:00"/>
    <n v="0"/>
    <n v="60000"/>
    <n v="60000"/>
    <n v="50624.820560339998"/>
    <n v="50624.820560339998"/>
    <m/>
    <n v="9375.1794396600017"/>
    <n v="3710.0183679550682"/>
  </r>
  <r>
    <x v="2"/>
    <x v="6"/>
    <d v="2015-01-26T00:00:00"/>
    <d v="2015-01-26T00:00:00"/>
    <n v="0"/>
    <n v="60000"/>
    <n v="60000"/>
    <n v="64646.171264610006"/>
    <n v="64646.171264610006"/>
    <m/>
    <n v="-4646.1712646100059"/>
    <n v="-936.15289665493765"/>
  </r>
  <r>
    <x v="2"/>
    <x v="6"/>
    <d v="2015-01-27T00:00:00"/>
    <d v="2015-01-27T00:00:00"/>
    <n v="0"/>
    <n v="64000"/>
    <n v="64000"/>
    <n v="62130.807119159996"/>
    <n v="62130.807119159996"/>
    <m/>
    <n v="1869.1928808400044"/>
    <n v="933.03998418506671"/>
  </r>
  <r>
    <x v="2"/>
    <x v="6"/>
    <d v="2015-01-28T00:00:00"/>
    <d v="2015-01-28T00:00:00"/>
    <n v="0"/>
    <n v="64000"/>
    <n v="64000"/>
    <n v="62796.411607409995"/>
    <n v="62796.411607409995"/>
    <m/>
    <n v="1203.5883925900052"/>
    <n v="2136.628376775072"/>
  </r>
  <r>
    <x v="2"/>
    <x v="6"/>
    <d v="2015-01-29T00:00:00"/>
    <d v="2015-01-29T00:00:00"/>
    <n v="0"/>
    <n v="64000"/>
    <n v="64000"/>
    <n v="63031.837206778604"/>
    <n v="63031.837206778604"/>
    <m/>
    <n v="968.16279322139599"/>
    <n v="3104.7911699964679"/>
  </r>
  <r>
    <x v="2"/>
    <x v="6"/>
    <d v="2015-01-30T00:00:00"/>
    <d v="2015-01-30T00:00:00"/>
    <n v="0"/>
    <n v="65000"/>
    <n v="65000"/>
    <n v="61385.542018514301"/>
    <n v="61385.542018514301"/>
    <m/>
    <n v="3614.4579814856988"/>
    <n v="6719.2491514821668"/>
  </r>
  <r>
    <x v="2"/>
    <x v="6"/>
    <d v="2015-01-31T00:00:00"/>
    <d v="2015-01-31T00:00:00"/>
    <n v="0"/>
    <n v="65000"/>
    <n v="65000"/>
    <n v="63615.988671591098"/>
    <n v="63615.988671591098"/>
    <m/>
    <n v="1384.011328408902"/>
    <n v="8103.2604798910688"/>
  </r>
  <r>
    <x v="2"/>
    <x v="7"/>
    <d v="2015-02-01T00:00:00"/>
    <d v="2015-02-01T00:00:00"/>
    <n v="0"/>
    <n v="65000"/>
    <n v="65000"/>
    <n v="56385.178377839999"/>
    <n v="56385.178377839999"/>
    <m/>
    <n v="8614.8216221600014"/>
    <n v="16718.08210205107"/>
  </r>
  <r>
    <x v="2"/>
    <x v="7"/>
    <d v="2015-02-02T00:00:00"/>
    <d v="2015-02-02T00:00:00"/>
    <n v="0"/>
    <n v="65000"/>
    <n v="65000"/>
    <n v="62996.1829965"/>
    <n v="62996.1829965"/>
    <m/>
    <n v="2003.8170035000003"/>
    <n v="18721.899105551071"/>
  </r>
  <r>
    <x v="2"/>
    <x v="7"/>
    <d v="2015-02-03T00:00:00"/>
    <d v="2015-02-03T00:00:00"/>
    <n v="0"/>
    <n v="80000"/>
    <n v="80000"/>
    <n v="64566.004902749999"/>
    <n v="64566.004902749999"/>
    <m/>
    <n v="15433.995097250001"/>
    <n v="34155.894202801072"/>
  </r>
  <r>
    <x v="2"/>
    <x v="7"/>
    <d v="2015-02-04T00:00:00"/>
    <d v="2015-02-04T00:00:00"/>
    <n v="0"/>
    <n v="75000"/>
    <n v="75000"/>
    <n v="60614.205137459998"/>
    <n v="60614.205137459998"/>
    <m/>
    <n v="14385.794862540002"/>
    <n v="48541.689065341074"/>
  </r>
  <r>
    <x v="2"/>
    <x v="7"/>
    <d v="2015-02-05T00:00:00"/>
    <d v="2015-02-05T00:00:00"/>
    <n v="0"/>
    <n v="75000"/>
    <n v="75000"/>
    <n v="63466.139099610002"/>
    <n v="63466.139099610002"/>
    <m/>
    <n v="11533.860900389998"/>
    <n v="60075.549965731072"/>
  </r>
  <r>
    <x v="2"/>
    <x v="7"/>
    <d v="2015-02-06T00:00:00"/>
    <d v="2015-02-06T00:00:00"/>
    <n v="0"/>
    <n v="75000"/>
    <n v="75000"/>
    <n v="65297.027720340004"/>
    <n v="65297.027720340004"/>
    <m/>
    <n v="9702.9722796599963"/>
    <n v="69778.522245391068"/>
  </r>
  <r>
    <x v="2"/>
    <x v="7"/>
    <d v="2015-02-07T00:00:00"/>
    <d v="2015-02-07T00:00:00"/>
    <n v="0"/>
    <n v="55000"/>
    <n v="55000"/>
    <n v="67786.66811241"/>
    <n v="67786.66811241"/>
    <m/>
    <n v="-12786.66811241"/>
    <n v="56991.854132981069"/>
  </r>
  <r>
    <x v="2"/>
    <x v="7"/>
    <d v="2015-02-08T00:00:00"/>
    <d v="2015-02-08T00:00:00"/>
    <n v="0"/>
    <n v="55000"/>
    <n v="55000"/>
    <n v="68708.066609168993"/>
    <n v="68708.066609168993"/>
    <m/>
    <n v="-13708.066609168993"/>
    <n v="43283.787523812076"/>
  </r>
  <r>
    <x v="2"/>
    <x v="7"/>
    <d v="2015-02-09T00:00:00"/>
    <d v="2015-02-09T00:00:00"/>
    <n v="0"/>
    <n v="55000"/>
    <n v="55000"/>
    <n v="68084.936644140005"/>
    <n v="68084.936644140005"/>
    <m/>
    <n v="-13084.936644140005"/>
    <n v="30198.850879672071"/>
  </r>
  <r>
    <x v="2"/>
    <x v="7"/>
    <d v="2015-02-10T00:00:00"/>
    <d v="2015-02-10T00:00:00"/>
    <n v="0"/>
    <n v="55000"/>
    <n v="55000"/>
    <n v="71207.184223422009"/>
    <n v="71207.184223422009"/>
    <m/>
    <n v="-16207.184223422009"/>
    <n v="13991.666656250061"/>
  </r>
  <r>
    <x v="2"/>
    <x v="7"/>
    <d v="2015-02-11T00:00:00"/>
    <d v="2015-02-11T00:00:00"/>
    <n v="0"/>
    <n v="55000"/>
    <n v="55000"/>
    <n v="70714.279575108012"/>
    <n v="70714.279575108012"/>
    <m/>
    <n v="-15714.279575108012"/>
    <n v="-1722.6129188579507"/>
  </r>
  <r>
    <x v="2"/>
    <x v="7"/>
    <d v="2015-02-12T00:00:00"/>
    <d v="2015-02-12T00:00:00"/>
    <n v="0"/>
    <n v="55000"/>
    <n v="55000"/>
    <n v="66683.532340620004"/>
    <n v="66683.532340620004"/>
    <m/>
    <n v="-11683.532340620004"/>
    <n v="-13406.145259477955"/>
  </r>
  <r>
    <x v="2"/>
    <x v="7"/>
    <d v="2015-02-13T00:00:00"/>
    <d v="2015-02-13T00:00:00"/>
    <n v="0"/>
    <n v="55000"/>
    <n v="55000"/>
    <n v="66136.048953609381"/>
    <n v="66136.048953609381"/>
    <m/>
    <n v="-11136.048953609381"/>
    <n v="-24542.194213087336"/>
  </r>
  <r>
    <x v="2"/>
    <x v="7"/>
    <d v="2015-02-14T00:00:00"/>
    <d v="2015-02-14T00:00:00"/>
    <n v="0"/>
    <n v="55000"/>
    <n v="55000"/>
    <n v="65414.656549125"/>
    <n v="65414.656549125"/>
    <m/>
    <n v="-10414.656549125"/>
    <n v="-34956.850762212336"/>
  </r>
  <r>
    <x v="2"/>
    <x v="7"/>
    <d v="2015-02-15T00:00:00"/>
    <d v="2015-02-15T00:00:00"/>
    <n v="0"/>
    <n v="55000"/>
    <n v="55000"/>
    <n v="60398.586248129999"/>
    <n v="60398.586248129999"/>
    <m/>
    <n v="-5398.5862481299991"/>
    <n v="-40355.437010342335"/>
  </r>
  <r>
    <x v="2"/>
    <x v="7"/>
    <d v="2015-02-16T00:00:00"/>
    <d v="2015-02-16T00:00:00"/>
    <n v="0"/>
    <n v="55000"/>
    <n v="55000"/>
    <n v="68958.251436671999"/>
    <n v="68958.251436671999"/>
    <m/>
    <n v="-13958.251436671999"/>
    <n v="-54313.688447014334"/>
  </r>
  <r>
    <x v="2"/>
    <x v="7"/>
    <d v="2015-02-17T00:00:00"/>
    <d v="2015-02-17T00:00:00"/>
    <n v="0"/>
    <n v="55000"/>
    <n v="55000"/>
    <n v="67784.943085470004"/>
    <n v="67784.943085470004"/>
    <m/>
    <n v="-12784.943085470004"/>
    <n v="-67098.631532484345"/>
  </r>
  <r>
    <x v="2"/>
    <x v="7"/>
    <d v="2015-02-18T00:00:00"/>
    <d v="2015-02-18T00:00:00"/>
    <n v="0"/>
    <n v="65000"/>
    <n v="65000"/>
    <n v="67505.801500799993"/>
    <n v="67505.801500799993"/>
    <m/>
    <n v="-2505.8015007999929"/>
    <n v="-69604.433033284338"/>
  </r>
  <r>
    <x v="2"/>
    <x v="7"/>
    <d v="2015-02-19T00:00:00"/>
    <d v="2015-02-19T00:00:00"/>
    <n v="0"/>
    <n v="60000"/>
    <n v="60000"/>
    <n v="65061.921713490003"/>
    <n v="65061.921713490003"/>
    <m/>
    <n v="-5061.9217134900027"/>
    <n v="-74666.354746774334"/>
  </r>
  <r>
    <x v="2"/>
    <x v="7"/>
    <d v="2015-02-20T00:00:00"/>
    <d v="2015-02-20T00:00:00"/>
    <n v="0"/>
    <n v="60000"/>
    <n v="60000"/>
    <n v="62240.9624109"/>
    <n v="62240.9624109"/>
    <m/>
    <n v="-2240.9624108999997"/>
    <n v="-76907.317157674333"/>
  </r>
  <r>
    <x v="2"/>
    <x v="7"/>
    <d v="2015-02-21T00:00:00"/>
    <d v="2015-02-21T00:00:00"/>
    <n v="0"/>
    <n v="65000"/>
    <n v="65000"/>
    <n v="63641.125074149997"/>
    <n v="63641.125074149997"/>
    <m/>
    <n v="1358.8749258500029"/>
    <n v="-75548.442231824331"/>
  </r>
  <r>
    <x v="2"/>
    <x v="7"/>
    <d v="2015-02-22T00:00:00"/>
    <d v="2015-02-22T00:00:00"/>
    <n v="0"/>
    <n v="65000"/>
    <n v="65000"/>
    <n v="61616.254330565993"/>
    <n v="61616.254330565993"/>
    <m/>
    <n v="3383.7456694340071"/>
    <n v="-72164.696562390323"/>
  </r>
  <r>
    <x v="2"/>
    <x v="7"/>
    <d v="2015-02-23T00:00:00"/>
    <d v="2015-02-23T00:00:00"/>
    <n v="0"/>
    <n v="55221"/>
    <n v="55221"/>
    <n v="60936.561490428008"/>
    <n v="60936.561490428008"/>
    <m/>
    <n v="-5715.5614904280083"/>
    <n v="-77880.258052818332"/>
  </r>
  <r>
    <x v="2"/>
    <x v="7"/>
    <d v="2015-02-24T00:00:00"/>
    <d v="2015-02-24T00:00:00"/>
    <n v="0"/>
    <n v="64488"/>
    <n v="64488"/>
    <n v="68154.364239389994"/>
    <n v="68154.364239389994"/>
    <m/>
    <n v="-3666.3642393899936"/>
    <n v="-81546.622292208325"/>
  </r>
  <r>
    <x v="2"/>
    <x v="7"/>
    <d v="2015-02-25T00:00:00"/>
    <d v="2015-02-25T00:00:00"/>
    <n v="0"/>
    <n v="59780"/>
    <n v="59780"/>
    <n v="72119.09886327901"/>
    <n v="72119.09886327901"/>
    <m/>
    <n v="-12339.09886327901"/>
    <n v="-93885.721155487336"/>
  </r>
  <r>
    <x v="2"/>
    <x v="7"/>
    <d v="2015-02-26T00:00:00"/>
    <d v="2015-02-26T00:00:00"/>
    <n v="0"/>
    <n v="60000"/>
    <n v="60000"/>
    <n v="64869.457993470001"/>
    <n v="64869.457993470001"/>
    <m/>
    <n v="-4869.4579934700014"/>
    <n v="-98755.179148957337"/>
  </r>
  <r>
    <x v="2"/>
    <x v="7"/>
    <d v="2015-02-27T00:00:00"/>
    <d v="2015-02-27T00:00:00"/>
    <n v="0"/>
    <n v="64912"/>
    <n v="64912"/>
    <n v="68529.301688250009"/>
    <n v="68529.301688250009"/>
    <m/>
    <n v="-3617.3016882500087"/>
    <n v="-102372.48083720735"/>
  </r>
  <r>
    <x v="2"/>
    <x v="7"/>
    <d v="2015-02-28T00:00:00"/>
    <d v="2015-02-28T00:00:00"/>
    <n v="0"/>
    <n v="62544"/>
    <n v="62544"/>
    <n v="59856.501271319998"/>
    <n v="59856.501271319998"/>
    <m/>
    <n v="2687.4987286800024"/>
    <n v="-99684.982108527343"/>
  </r>
  <r>
    <x v="2"/>
    <x v="8"/>
    <d v="2015-03-01T00:00:00"/>
    <d v="2015-03-01T00:00:00"/>
    <n v="0"/>
    <n v="63336"/>
    <n v="63336"/>
    <n v="37535.18344524"/>
    <n v="37535.18344524"/>
    <m/>
    <n v="25800.81655476"/>
    <n v="-73884.165553767351"/>
  </r>
  <r>
    <x v="2"/>
    <x v="8"/>
    <d v="2015-03-02T00:00:00"/>
    <d v="2015-03-02T00:00:00"/>
    <n v="0"/>
    <n v="60803"/>
    <n v="60803"/>
    <n v="37815.775189920001"/>
    <n v="37815.775189920001"/>
    <m/>
    <n v="22987.224810079999"/>
    <n v="-50896.940743687352"/>
  </r>
  <r>
    <x v="2"/>
    <x v="8"/>
    <d v="2015-03-03T00:00:00"/>
    <d v="2015-03-03T00:00:00"/>
    <n v="0"/>
    <n v="60000"/>
    <n v="60000"/>
    <n v="37430.411754059998"/>
    <n v="37430.411754059998"/>
    <m/>
    <n v="22569.588245940002"/>
    <n v="-28327.35249774735"/>
  </r>
  <r>
    <x v="2"/>
    <x v="8"/>
    <d v="2015-03-04T00:00:00"/>
    <d v="2015-03-04T00:00:00"/>
    <n v="0"/>
    <n v="65000"/>
    <n v="65000"/>
    <n v="37591.720729290006"/>
    <n v="37591.720729290006"/>
    <m/>
    <n v="27408.279270709994"/>
    <n v="-919.07322703735554"/>
  </r>
  <r>
    <x v="2"/>
    <x v="8"/>
    <d v="2015-03-05T00:00:00"/>
    <d v="2015-03-05T00:00:00"/>
    <n v="0"/>
    <n v="65000"/>
    <n v="65000"/>
    <n v="37577.456083440004"/>
    <n v="37577.456083440004"/>
    <m/>
    <n v="27422.543916559996"/>
    <n v="26503.470689522641"/>
  </r>
  <r>
    <x v="2"/>
    <x v="8"/>
    <d v="2015-03-06T00:00:00"/>
    <d v="2015-03-06T00:00:00"/>
    <n v="0"/>
    <n v="65000"/>
    <n v="65000"/>
    <n v="37347.032292570002"/>
    <n v="37347.032292570002"/>
    <m/>
    <n v="27652.967707429998"/>
    <n v="54156.438396952639"/>
  </r>
  <r>
    <x v="2"/>
    <x v="8"/>
    <d v="2015-03-07T00:00:00"/>
    <d v="2015-03-07T00:00:00"/>
    <n v="0"/>
    <n v="40000"/>
    <n v="40000"/>
    <n v="37209.054780612001"/>
    <n v="37209.054780612001"/>
    <m/>
    <n v="2790.9452193879988"/>
    <n v="56947.383616340638"/>
  </r>
  <r>
    <x v="2"/>
    <x v="8"/>
    <d v="2015-03-08T00:00:00"/>
    <d v="2015-03-08T00:00:00"/>
    <n v="0"/>
    <n v="40000"/>
    <n v="40000"/>
    <n v="36807.004078649996"/>
    <n v="36807.004078649996"/>
    <m/>
    <n v="3192.9959213500042"/>
    <n v="60140.379537690642"/>
  </r>
  <r>
    <x v="2"/>
    <x v="8"/>
    <d v="2015-03-09T00:00:00"/>
    <d v="2015-03-09T00:00:00"/>
    <n v="0"/>
    <n v="40000"/>
    <n v="40000"/>
    <n v="37203.205801904995"/>
    <n v="37203.205801904995"/>
    <m/>
    <n v="2796.7941980950054"/>
    <n v="62937.173735785647"/>
  </r>
  <r>
    <x v="2"/>
    <x v="8"/>
    <d v="2015-03-10T00:00:00"/>
    <d v="2015-03-10T00:00:00"/>
    <n v="0"/>
    <n v="40000"/>
    <n v="40000"/>
    <n v="37228.033868220002"/>
    <n v="37228.033868220002"/>
    <m/>
    <n v="2771.9661317799982"/>
    <n v="65709.139867565653"/>
  </r>
  <r>
    <x v="2"/>
    <x v="8"/>
    <d v="2015-03-11T00:00:00"/>
    <d v="2015-03-11T00:00:00"/>
    <n v="0"/>
    <n v="50000"/>
    <n v="50000"/>
    <n v="34864.746960420001"/>
    <n v="34864.746960420001"/>
    <m/>
    <n v="15135.253039579999"/>
    <n v="80844.392907145651"/>
  </r>
  <r>
    <x v="2"/>
    <x v="8"/>
    <d v="2015-03-12T00:00:00"/>
    <d v="2015-03-12T00:00:00"/>
    <n v="0"/>
    <n v="40000"/>
    <n v="40000"/>
    <n v="51643.402525377001"/>
    <n v="51643.402525377001"/>
    <m/>
    <n v="-11643.402525377001"/>
    <n v="69200.990381768643"/>
  </r>
  <r>
    <x v="2"/>
    <x v="8"/>
    <d v="2015-03-13T00:00:00"/>
    <d v="2015-03-13T00:00:00"/>
    <n v="0"/>
    <n v="35000"/>
    <n v="35000"/>
    <n v="37229.730460649997"/>
    <n v="37229.730460649997"/>
    <m/>
    <n v="-2229.7304606499965"/>
    <n v="66971.259921118646"/>
  </r>
  <r>
    <x v="2"/>
    <x v="8"/>
    <d v="2015-03-14T00:00:00"/>
    <d v="2015-03-14T00:00:00"/>
    <n v="0"/>
    <n v="40000"/>
    <n v="40000"/>
    <n v="36630.321511679998"/>
    <n v="36630.321511679998"/>
    <m/>
    <n v="3369.6784883200016"/>
    <n v="70340.938409438648"/>
  </r>
  <r>
    <x v="2"/>
    <x v="8"/>
    <d v="2015-03-15T00:00:00"/>
    <d v="2015-03-15T00:00:00"/>
    <n v="0"/>
    <n v="40000"/>
    <n v="40000"/>
    <n v="12946.583095290001"/>
    <n v="12946.583095290001"/>
    <m/>
    <n v="27053.41690471"/>
    <n v="97394.355314148648"/>
  </r>
  <r>
    <x v="2"/>
    <x v="8"/>
    <d v="2015-03-16T00:00:00"/>
    <d v="2015-03-16T00:00:00"/>
    <n v="0"/>
    <n v="39990"/>
    <n v="39990"/>
    <n v="37138.891679370005"/>
    <n v="37138.891679370005"/>
    <m/>
    <n v="2851.1083206299954"/>
    <n v="100245.46363477864"/>
  </r>
  <r>
    <x v="2"/>
    <x v="8"/>
    <d v="2015-03-17T00:00:00"/>
    <d v="2015-03-17T00:00:00"/>
    <n v="0"/>
    <n v="40000"/>
    <n v="40000"/>
    <n v="37001.486648880003"/>
    <n v="37001.486648880003"/>
    <m/>
    <n v="2998.5133511199965"/>
    <n v="103243.97698589864"/>
  </r>
  <r>
    <x v="2"/>
    <x v="8"/>
    <d v="2015-03-18T00:00:00"/>
    <d v="2015-03-18T00:00:00"/>
    <n v="0"/>
    <n v="40000"/>
    <n v="40000"/>
    <n v="35748.463096709995"/>
    <n v="35748.463096709995"/>
    <m/>
    <n v="4251.5369032900053"/>
    <n v="107495.51388918865"/>
  </r>
  <r>
    <x v="2"/>
    <x v="8"/>
    <d v="2015-03-19T00:00:00"/>
    <d v="2015-03-19T00:00:00"/>
    <n v="0"/>
    <n v="40000"/>
    <n v="40000"/>
    <n v="61555.870805129998"/>
    <n v="61555.870805129998"/>
    <m/>
    <n v="-21555.870805129998"/>
    <n v="85939.643084058654"/>
  </r>
  <r>
    <x v="2"/>
    <x v="8"/>
    <d v="2015-03-20T00:00:00"/>
    <d v="2015-03-20T00:00:00"/>
    <n v="0"/>
    <n v="40000"/>
    <n v="40000"/>
    <n v="67361.543753399994"/>
    <n v="67361.543753399994"/>
    <m/>
    <n v="-27361.543753399994"/>
    <n v="58578.099330658661"/>
  </r>
  <r>
    <x v="2"/>
    <x v="8"/>
    <d v="2015-03-21T00:00:00"/>
    <d v="2015-03-21T00:00:00"/>
    <n v="0"/>
    <n v="40000"/>
    <n v="40000"/>
    <n v="59887.784919222002"/>
    <n v="59887.784919222002"/>
    <m/>
    <n v="-19887.784919222002"/>
    <n v="38690.314411436659"/>
  </r>
  <r>
    <x v="2"/>
    <x v="8"/>
    <d v="2015-03-22T00:00:00"/>
    <d v="2015-03-22T00:00:00"/>
    <n v="0"/>
    <n v="40000"/>
    <n v="40000"/>
    <n v="73195.764949710006"/>
    <n v="73195.764949710006"/>
    <m/>
    <n v="-33195.764949710006"/>
    <n v="5494.5494617266522"/>
  </r>
  <r>
    <x v="2"/>
    <x v="8"/>
    <d v="2015-03-23T00:00:00"/>
    <d v="2015-03-23T00:00:00"/>
    <n v="0"/>
    <n v="39999"/>
    <n v="39999"/>
    <n v="72968.250957030003"/>
    <n v="72968.250957030003"/>
    <m/>
    <n v="-32969.250957030003"/>
    <n v="-27474.70149530335"/>
  </r>
  <r>
    <x v="2"/>
    <x v="8"/>
    <d v="2015-03-24T00:00:00"/>
    <d v="2015-03-24T00:00:00"/>
    <n v="0"/>
    <n v="40000"/>
    <n v="40000"/>
    <n v="73206.23832756"/>
    <n v="73206.23832756"/>
    <m/>
    <n v="-33206.23832756"/>
    <n v="-60680.939822863351"/>
  </r>
  <r>
    <x v="2"/>
    <x v="8"/>
    <d v="2015-03-25T00:00:00"/>
    <d v="2015-03-25T00:00:00"/>
    <n v="0"/>
    <n v="40000"/>
    <n v="40000"/>
    <n v="73710.429580709999"/>
    <n v="73710.429580709999"/>
    <m/>
    <n v="-33710.429580709999"/>
    <n v="-94391.36940357335"/>
  </r>
  <r>
    <x v="2"/>
    <x v="8"/>
    <d v="2015-03-26T00:00:00"/>
    <d v="2015-03-26T00:00:00"/>
    <n v="0"/>
    <n v="40000"/>
    <n v="40000"/>
    <n v="73052.712825534007"/>
    <n v="73052.712825534007"/>
    <m/>
    <n v="-33052.712825534007"/>
    <n v="-127444.08222910736"/>
  </r>
  <r>
    <x v="2"/>
    <x v="8"/>
    <d v="2015-03-27T00:00:00"/>
    <d v="2015-03-27T00:00:00"/>
    <n v="0"/>
    <n v="40000"/>
    <n v="40000"/>
    <n v="73460.50919415"/>
    <n v="73460.50919415"/>
    <m/>
    <n v="-33460.50919415"/>
    <n v="-160904.59142325737"/>
  </r>
  <r>
    <x v="2"/>
    <x v="8"/>
    <d v="2015-03-28T00:00:00"/>
    <d v="2015-03-28T00:00:00"/>
    <n v="0"/>
    <n v="40000"/>
    <n v="40000"/>
    <n v="69569.843625360008"/>
    <n v="69569.843625360008"/>
    <m/>
    <n v="-29569.843625360008"/>
    <n v="-190474.43504861736"/>
  </r>
  <r>
    <x v="2"/>
    <x v="8"/>
    <d v="2015-03-29T00:00:00"/>
    <d v="2015-03-29T00:00:00"/>
    <n v="0"/>
    <n v="40000"/>
    <n v="40000"/>
    <n v="68273.893441260007"/>
    <n v="68273.893441260007"/>
    <m/>
    <n v="-28273.893441260007"/>
    <n v="-218748.32848987737"/>
  </r>
  <r>
    <x v="2"/>
    <x v="8"/>
    <d v="2015-03-30T00:00:00"/>
    <d v="2015-03-30T00:00:00"/>
    <n v="0"/>
    <n v="40000"/>
    <n v="40000"/>
    <n v="73388.835272609998"/>
    <n v="73388.835272609998"/>
    <m/>
    <n v="-33388.835272609998"/>
    <n v="-252137.16376248735"/>
  </r>
  <r>
    <x v="2"/>
    <x v="8"/>
    <d v="2015-03-31T00:00:00"/>
    <d v="2015-03-31T00:00:00"/>
    <n v="0"/>
    <n v="40000"/>
    <n v="40000"/>
    <n v="72288.831088188002"/>
    <n v="72288.831088188002"/>
    <m/>
    <n v="-32288.831088188002"/>
    <n v="-284425.99485067534"/>
  </r>
  <r>
    <x v="2"/>
    <x v="9"/>
    <d v="2015-04-01T00:00:00"/>
    <d v="2015-04-01T00:00:00"/>
    <n v="0"/>
    <n v="60000"/>
    <n v="60000"/>
    <n v="72803.747838509997"/>
    <n v="72803.747838509997"/>
    <m/>
    <n v="-12803.747838509997"/>
    <n v="-297229.74268918531"/>
  </r>
  <r>
    <x v="2"/>
    <x v="9"/>
    <d v="2015-04-02T00:00:00"/>
    <d v="2015-04-02T00:00:00"/>
    <n v="0"/>
    <n v="60000"/>
    <n v="60000"/>
    <n v="69869.173712129996"/>
    <n v="69869.173712129996"/>
    <m/>
    <n v="-9869.1737121299957"/>
    <n v="-307098.91640131531"/>
  </r>
  <r>
    <x v="2"/>
    <x v="9"/>
    <d v="2015-04-03T00:00:00"/>
    <d v="2015-04-03T00:00:00"/>
    <n v="0"/>
    <n v="60000"/>
    <n v="60000"/>
    <n v="69155.988810480005"/>
    <n v="69155.988810480005"/>
    <m/>
    <n v="-9155.9888104800048"/>
    <n v="-316254.9052117953"/>
  </r>
  <r>
    <x v="2"/>
    <x v="9"/>
    <d v="2015-04-04T00:00:00"/>
    <d v="2015-04-04T00:00:00"/>
    <n v="0"/>
    <n v="60000"/>
    <n v="60000"/>
    <n v="65517.044480549994"/>
    <n v="65517.044480549994"/>
    <m/>
    <n v="-5517.0444805499938"/>
    <n v="-321771.94969234528"/>
  </r>
  <r>
    <x v="2"/>
    <x v="9"/>
    <d v="2015-04-05T00:00:00"/>
    <d v="2015-04-05T00:00:00"/>
    <n v="0"/>
    <n v="60000"/>
    <n v="60000"/>
    <n v="63693.832229702995"/>
    <n v="63693.832229702995"/>
    <m/>
    <n v="-3693.8322297029954"/>
    <n v="-325465.78192204831"/>
  </r>
  <r>
    <x v="2"/>
    <x v="9"/>
    <d v="2015-04-06T00:00:00"/>
    <d v="2015-04-06T00:00:00"/>
    <n v="0"/>
    <n v="60000"/>
    <n v="60000"/>
    <n v="73274.594889600005"/>
    <n v="73274.594889600005"/>
    <m/>
    <n v="-13274.594889600005"/>
    <n v="-338740.37681164831"/>
  </r>
  <r>
    <x v="2"/>
    <x v="9"/>
    <d v="2015-04-07T00:00:00"/>
    <d v="2015-04-07T00:00:00"/>
    <n v="0"/>
    <n v="75000"/>
    <n v="75000"/>
    <n v="73290.034828529999"/>
    <n v="73290.034828529999"/>
    <m/>
    <n v="1709.9651714700012"/>
    <n v="-337030.4116401783"/>
  </r>
  <r>
    <x v="2"/>
    <x v="9"/>
    <d v="2015-04-08T00:00:00"/>
    <d v="2015-04-08T00:00:00"/>
    <n v="0"/>
    <n v="80000"/>
    <n v="80000"/>
    <n v="70014.777359669999"/>
    <n v="70014.777359669999"/>
    <m/>
    <n v="9985.222640330001"/>
    <n v="-327045.18899984832"/>
  </r>
  <r>
    <x v="2"/>
    <x v="9"/>
    <d v="2015-04-09T00:00:00"/>
    <d v="2015-04-09T00:00:00"/>
    <n v="0"/>
    <n v="75000"/>
    <n v="75000"/>
    <n v="68867.046798030002"/>
    <n v="68867.046798030002"/>
    <m/>
    <n v="6132.9532019699982"/>
    <n v="-320912.23579787835"/>
  </r>
  <r>
    <x v="2"/>
    <x v="9"/>
    <d v="2015-04-10T00:00:00"/>
    <d v="2015-04-10T00:00:00"/>
    <n v="0"/>
    <n v="68286"/>
    <n v="68286"/>
    <n v="67874.028405299992"/>
    <n v="67874.028405299992"/>
    <m/>
    <n v="411.9715947000077"/>
    <n v="-320500.26420317835"/>
  </r>
  <r>
    <x v="2"/>
    <x v="9"/>
    <d v="2015-04-11T00:00:00"/>
    <d v="2015-04-11T00:00:00"/>
    <n v="0"/>
    <n v="68000"/>
    <n v="68000"/>
    <n v="62641.51935327"/>
    <n v="62641.51935327"/>
    <m/>
    <n v="5358.4806467300004"/>
    <n v="-315141.78355644835"/>
  </r>
  <r>
    <x v="2"/>
    <x v="9"/>
    <d v="2015-04-12T00:00:00"/>
    <d v="2015-04-12T00:00:00"/>
    <n v="0"/>
    <n v="68000"/>
    <n v="68000"/>
    <n v="45823.738850369999"/>
    <n v="45823.738850369999"/>
    <m/>
    <n v="22176.261149630001"/>
    <n v="-292965.52240681835"/>
  </r>
  <r>
    <x v="2"/>
    <x v="9"/>
    <d v="2015-04-13T00:00:00"/>
    <d v="2015-04-13T00:00:00"/>
    <n v="0"/>
    <n v="68000"/>
    <n v="68000"/>
    <n v="69964.344017100011"/>
    <n v="69964.344017100011"/>
    <m/>
    <n v="-1964.3440171000111"/>
    <n v="-294929.86642391834"/>
  </r>
  <r>
    <x v="2"/>
    <x v="9"/>
    <d v="2015-04-14T00:00:00"/>
    <d v="2015-04-14T00:00:00"/>
    <n v="0"/>
    <n v="70000"/>
    <n v="70000"/>
    <n v="72191.761357950003"/>
    <n v="72191.761357950003"/>
    <m/>
    <n v="-2191.761357950003"/>
    <n v="-297121.62778186833"/>
  </r>
  <r>
    <x v="2"/>
    <x v="9"/>
    <d v="2015-04-15T00:00:00"/>
    <d v="2015-04-15T00:00:00"/>
    <n v="0"/>
    <n v="77000"/>
    <n v="77000"/>
    <n v="73007.689622399994"/>
    <n v="73007.689622399994"/>
    <m/>
    <n v="3992.3103776000062"/>
    <n v="-293129.31740426831"/>
  </r>
  <r>
    <x v="2"/>
    <x v="9"/>
    <d v="2015-04-16T00:00:00"/>
    <d v="2015-04-16T00:00:00"/>
    <n v="0"/>
    <n v="77000"/>
    <n v="77000"/>
    <n v="73055.251079460009"/>
    <n v="73055.251079460009"/>
    <m/>
    <n v="3944.7489205399906"/>
    <n v="-289184.56848372833"/>
  </r>
  <r>
    <x v="2"/>
    <x v="9"/>
    <d v="2015-04-17T00:00:00"/>
    <d v="2015-04-17T00:00:00"/>
    <n v="0"/>
    <n v="74922"/>
    <n v="74922"/>
    <n v="73297.181368710008"/>
    <n v="73297.181368710008"/>
    <m/>
    <n v="1624.8186312899925"/>
    <n v="-287559.74985243834"/>
  </r>
  <r>
    <x v="2"/>
    <x v="9"/>
    <d v="2015-04-18T00:00:00"/>
    <d v="2015-04-18T00:00:00"/>
    <n v="0"/>
    <n v="72000"/>
    <n v="72000"/>
    <n v="73875.264435179997"/>
    <n v="73875.264435179997"/>
    <m/>
    <n v="-1875.2644351799972"/>
    <n v="-289435.01428761834"/>
  </r>
  <r>
    <x v="2"/>
    <x v="9"/>
    <d v="2015-04-19T00:00:00"/>
    <d v="2015-04-19T00:00:00"/>
    <n v="0"/>
    <n v="72000"/>
    <n v="72000"/>
    <n v="73862.791163460002"/>
    <n v="73862.791163460002"/>
    <m/>
    <n v="-1862.7911634600023"/>
    <n v="-291297.80545107834"/>
  </r>
  <r>
    <x v="2"/>
    <x v="9"/>
    <d v="2015-04-20T00:00:00"/>
    <d v="2015-04-20T00:00:00"/>
    <n v="0"/>
    <n v="72000"/>
    <n v="72000"/>
    <n v="73701.501144570007"/>
    <n v="73701.501144570007"/>
    <m/>
    <n v="-1701.5011445700075"/>
    <n v="-292999.30659564835"/>
  </r>
  <r>
    <x v="2"/>
    <x v="9"/>
    <d v="2015-04-21T00:00:00"/>
    <d v="2015-04-21T00:00:00"/>
    <n v="0"/>
    <n v="69000"/>
    <n v="69000"/>
    <n v="73702.524786929993"/>
    <n v="73702.524786929993"/>
    <m/>
    <n v="-4702.5247869299928"/>
    <n v="-297701.83138257836"/>
  </r>
  <r>
    <x v="2"/>
    <x v="9"/>
    <d v="2015-04-22T00:00:00"/>
    <d v="2015-04-22T00:00:00"/>
    <n v="0"/>
    <n v="80000"/>
    <n v="80000"/>
    <n v="73295.65538334001"/>
    <n v="73295.65538334001"/>
    <m/>
    <n v="6704.3446166599897"/>
    <n v="-290997.48676591838"/>
  </r>
  <r>
    <x v="2"/>
    <x v="9"/>
    <d v="2015-04-23T00:00:00"/>
    <d v="2015-04-23T00:00:00"/>
    <n v="0"/>
    <n v="80000"/>
    <n v="80000"/>
    <n v="71090.616001860006"/>
    <n v="71090.616001860006"/>
    <m/>
    <n v="8909.3839981399942"/>
    <n v="-282088.10276777839"/>
  </r>
  <r>
    <x v="2"/>
    <x v="9"/>
    <d v="2015-04-24T00:00:00"/>
    <d v="2015-04-24T00:00:00"/>
    <n v="0"/>
    <n v="78000"/>
    <n v="78000"/>
    <n v="73167.122867786995"/>
    <n v="73167.122867786995"/>
    <m/>
    <n v="4832.8771322130051"/>
    <n v="-277255.22563556535"/>
  </r>
  <r>
    <x v="2"/>
    <x v="9"/>
    <d v="2015-04-25T00:00:00"/>
    <d v="2015-04-25T00:00:00"/>
    <n v="0"/>
    <n v="77000"/>
    <n v="77000"/>
    <n v="72888.179376870001"/>
    <n v="72888.179376870001"/>
    <m/>
    <n v="4111.8206231299991"/>
    <n v="-273143.40501243534"/>
  </r>
  <r>
    <x v="2"/>
    <x v="9"/>
    <d v="2015-04-26T00:00:00"/>
    <d v="2015-04-26T00:00:00"/>
    <n v="0"/>
    <n v="77000"/>
    <n v="77000"/>
    <n v="72923.987903130008"/>
    <n v="72923.987903130008"/>
    <m/>
    <n v="4076.0120968699921"/>
    <n v="-269067.39291556535"/>
  </r>
  <r>
    <x v="2"/>
    <x v="9"/>
    <d v="2015-04-27T00:00:00"/>
    <d v="2015-04-27T00:00:00"/>
    <n v="0"/>
    <n v="77000"/>
    <n v="77000"/>
    <n v="73056.442219092423"/>
    <n v="73056.442219092423"/>
    <m/>
    <n v="3943.5577809075767"/>
    <n v="-265123.8351346578"/>
  </r>
  <r>
    <x v="2"/>
    <x v="9"/>
    <d v="2015-04-28T00:00:00"/>
    <d v="2015-04-28T00:00:00"/>
    <n v="0"/>
    <n v="80000"/>
    <n v="80000"/>
    <n v="73322.641807153603"/>
    <n v="73322.641807153603"/>
    <m/>
    <n v="6677.3581928463973"/>
    <n v="-258446.47694181139"/>
  </r>
  <r>
    <x v="2"/>
    <x v="9"/>
    <d v="2015-04-29T00:00:00"/>
    <d v="2015-04-29T00:00:00"/>
    <n v="0"/>
    <n v="80000"/>
    <n v="80000"/>
    <n v="73575.790398703131"/>
    <n v="73575.790398703131"/>
    <m/>
    <n v="6424.2096012968686"/>
    <n v="-252022.26734051452"/>
  </r>
  <r>
    <x v="2"/>
    <x v="9"/>
    <d v="2015-04-30T00:00:00"/>
    <d v="2015-04-30T00:00:00"/>
    <n v="0"/>
    <n v="70000"/>
    <n v="70000"/>
    <n v="74266.134392091102"/>
    <n v="74266.134392091102"/>
    <m/>
    <n v="-4266.1343920911022"/>
    <n v="-256288.40173260562"/>
  </r>
  <r>
    <x v="2"/>
    <x v="10"/>
    <d v="2015-05-01T00:00:00"/>
    <d v="2015-05-01T00:00:00"/>
    <n v="0"/>
    <n v="70000"/>
    <n v="70000"/>
    <n v="70059.028091948989"/>
    <n v="70059.028091948989"/>
    <m/>
    <n v="-59.028091948988731"/>
    <n v="-256347.42982455459"/>
  </r>
  <r>
    <x v="2"/>
    <x v="10"/>
    <d v="2015-05-02T00:00:00"/>
    <d v="2015-05-02T00:00:00"/>
    <n v="0"/>
    <n v="70000"/>
    <n v="70000"/>
    <n v="72152.114172840011"/>
    <n v="72152.114172840011"/>
    <m/>
    <n v="-2152.1141728400107"/>
    <n v="-258499.54399739462"/>
  </r>
  <r>
    <x v="2"/>
    <x v="10"/>
    <d v="2015-05-03T00:00:00"/>
    <d v="2015-05-03T00:00:00"/>
    <n v="0"/>
    <n v="70000"/>
    <n v="70000"/>
    <n v="73129.094554113006"/>
    <n v="73129.094554113006"/>
    <m/>
    <n v="-3129.0945541130059"/>
    <n v="-261628.63855150761"/>
  </r>
  <r>
    <x v="2"/>
    <x v="10"/>
    <d v="2015-05-04T00:00:00"/>
    <d v="2015-05-04T00:00:00"/>
    <n v="0"/>
    <n v="70000"/>
    <n v="70000"/>
    <n v="73244.27422377"/>
    <n v="73244.27422377"/>
    <m/>
    <n v="-3244.2742237700004"/>
    <n v="-264872.91277527763"/>
  </r>
  <r>
    <x v="2"/>
    <x v="10"/>
    <d v="2015-05-05T00:00:00"/>
    <d v="2015-05-05T00:00:00"/>
    <n v="0"/>
    <n v="75000"/>
    <n v="75000"/>
    <n v="73775.08965645"/>
    <n v="73775.08965645"/>
    <m/>
    <n v="1224.9103435500001"/>
    <n v="-263648.0024317276"/>
  </r>
  <r>
    <x v="2"/>
    <x v="10"/>
    <d v="2015-05-06T00:00:00"/>
    <d v="2015-05-06T00:00:00"/>
    <n v="0"/>
    <n v="75000"/>
    <n v="75000"/>
    <n v="69327.771163559999"/>
    <n v="69327.771163559999"/>
    <m/>
    <n v="5672.228836440001"/>
    <n v="-257975.77359528758"/>
  </r>
  <r>
    <x v="2"/>
    <x v="10"/>
    <d v="2015-05-07T00:00:00"/>
    <d v="2015-05-07T00:00:00"/>
    <n v="0"/>
    <n v="75000"/>
    <n v="75000"/>
    <n v="73458.281824200007"/>
    <n v="73458.281824200007"/>
    <m/>
    <n v="1541.7181757999933"/>
    <n v="-256434.05541948759"/>
  </r>
  <r>
    <x v="2"/>
    <x v="10"/>
    <d v="2015-05-08T00:00:00"/>
    <d v="2015-05-08T00:00:00"/>
    <n v="0"/>
    <n v="75000"/>
    <n v="75000"/>
    <n v="74036.459672370009"/>
    <n v="74036.459672370009"/>
    <m/>
    <n v="963.54032762999122"/>
    <n v="-255470.51509185758"/>
  </r>
  <r>
    <x v="2"/>
    <x v="10"/>
    <d v="2015-05-09T00:00:00"/>
    <d v="2015-05-09T00:00:00"/>
    <n v="0"/>
    <n v="69000"/>
    <n v="69000"/>
    <n v="74523.789261090002"/>
    <n v="74523.789261090002"/>
    <m/>
    <n v="-5523.7892610900017"/>
    <n v="-260994.30435294757"/>
  </r>
  <r>
    <x v="2"/>
    <x v="10"/>
    <d v="2015-05-10T00:00:00"/>
    <d v="2015-05-10T00:00:00"/>
    <n v="0"/>
    <n v="69000"/>
    <n v="69000"/>
    <n v="74535.472053432008"/>
    <n v="74535.472053432008"/>
    <m/>
    <n v="-5535.4720534320077"/>
    <n v="-266529.77640637959"/>
  </r>
  <r>
    <x v="2"/>
    <x v="10"/>
    <d v="2015-05-11T00:00:00"/>
    <d v="2015-05-11T00:00:00"/>
    <n v="0"/>
    <n v="69000"/>
    <n v="69000"/>
    <n v="74124.710913240007"/>
    <n v="74124.710913240007"/>
    <m/>
    <n v="-5124.7109132400074"/>
    <n v="-271654.48731961963"/>
  </r>
  <r>
    <x v="2"/>
    <x v="10"/>
    <d v="2015-05-12T00:00:00"/>
    <d v="2015-05-12T00:00:00"/>
    <n v="0"/>
    <n v="69000"/>
    <n v="69000"/>
    <n v="65883.46768929901"/>
    <n v="65883.46768929901"/>
    <m/>
    <n v="3116.5323107009899"/>
    <n v="-268537.95500891865"/>
  </r>
  <r>
    <x v="2"/>
    <x v="10"/>
    <d v="2015-05-13T00:00:00"/>
    <d v="2015-05-13T00:00:00"/>
    <n v="0"/>
    <n v="72000"/>
    <n v="72000"/>
    <n v="73826.565597720008"/>
    <n v="73826.565597720008"/>
    <m/>
    <n v="-1826.5655977200076"/>
    <n v="-270364.52060663863"/>
  </r>
  <r>
    <x v="2"/>
    <x v="10"/>
    <d v="2015-05-14T00:00:00"/>
    <d v="2015-05-14T00:00:00"/>
    <n v="0"/>
    <n v="74000"/>
    <n v="74000"/>
    <n v="72618.061010039994"/>
    <n v="72618.061010039994"/>
    <m/>
    <n v="1381.9389899600064"/>
    <n v="-268982.58161667862"/>
  </r>
  <r>
    <x v="2"/>
    <x v="10"/>
    <d v="2015-05-15T00:00:00"/>
    <d v="2015-05-15T00:00:00"/>
    <n v="0"/>
    <n v="74000"/>
    <n v="74000"/>
    <n v="72949.398876899999"/>
    <n v="72949.398876899999"/>
    <m/>
    <n v="1050.6011231000011"/>
    <n v="-267931.98049357859"/>
  </r>
  <r>
    <x v="2"/>
    <x v="10"/>
    <d v="2015-05-16T00:00:00"/>
    <d v="2015-05-16T00:00:00"/>
    <n v="0"/>
    <n v="70000"/>
    <n v="70000"/>
    <n v="73604.131904159993"/>
    <n v="73604.131904159993"/>
    <m/>
    <n v="-3604.1319041599927"/>
    <n v="-271536.11239773862"/>
  </r>
  <r>
    <x v="2"/>
    <x v="10"/>
    <d v="2015-05-17T00:00:00"/>
    <d v="2015-05-17T00:00:00"/>
    <n v="0"/>
    <n v="70000"/>
    <n v="70000"/>
    <n v="72627.406485660002"/>
    <n v="72627.406485660002"/>
    <m/>
    <n v="-2627.4064856600016"/>
    <n v="-274163.51888339862"/>
  </r>
  <r>
    <x v="2"/>
    <x v="10"/>
    <d v="2015-05-18T00:00:00"/>
    <d v="2015-05-18T00:00:00"/>
    <n v="0"/>
    <n v="70000"/>
    <n v="70000"/>
    <n v="73301.147035037997"/>
    <n v="73301.147035037997"/>
    <m/>
    <n v="-3301.1470350379968"/>
    <n v="-277464.6659184366"/>
  </r>
  <r>
    <x v="2"/>
    <x v="10"/>
    <d v="2015-05-19T00:00:00"/>
    <d v="2015-05-19T00:00:00"/>
    <n v="0"/>
    <n v="72000"/>
    <n v="72000"/>
    <n v="73980.538469370003"/>
    <n v="73980.538469370003"/>
    <m/>
    <n v="-1980.5384693700034"/>
    <n v="-279445.20438780659"/>
  </r>
  <r>
    <x v="2"/>
    <x v="10"/>
    <d v="2015-05-20T00:00:00"/>
    <d v="2015-05-20T00:00:00"/>
    <n v="0"/>
    <n v="72000"/>
    <n v="72000"/>
    <n v="73898.097346710012"/>
    <n v="73898.097346710012"/>
    <m/>
    <n v="-1898.0973467100121"/>
    <n v="-281343.30173451663"/>
  </r>
  <r>
    <x v="2"/>
    <x v="10"/>
    <d v="2015-05-21T00:00:00"/>
    <d v="2015-05-21T00:00:00"/>
    <n v="0"/>
    <n v="72000"/>
    <n v="72000"/>
    <n v="73487.095461000004"/>
    <n v="73487.095461000004"/>
    <m/>
    <n v="-1487.0954610000044"/>
    <n v="-282830.39719551662"/>
  </r>
  <r>
    <x v="2"/>
    <x v="10"/>
    <d v="2015-05-22T00:00:00"/>
    <d v="2015-05-22T00:00:00"/>
    <n v="0"/>
    <n v="77000"/>
    <n v="77000"/>
    <n v="73588.928919480008"/>
    <n v="73588.928919480008"/>
    <m/>
    <n v="3411.0710805199924"/>
    <n v="-279419.32611499663"/>
  </r>
  <r>
    <x v="2"/>
    <x v="10"/>
    <d v="2015-05-23T00:00:00"/>
    <d v="2015-05-23T00:00:00"/>
    <n v="0"/>
    <n v="75000"/>
    <n v="75000"/>
    <n v="73137.976547220009"/>
    <n v="73137.976547220009"/>
    <m/>
    <n v="1862.0234527799912"/>
    <n v="-277557.30266221665"/>
  </r>
  <r>
    <x v="2"/>
    <x v="10"/>
    <d v="2015-05-24T00:00:00"/>
    <d v="2015-05-24T00:00:00"/>
    <n v="0"/>
    <n v="75000"/>
    <n v="75000"/>
    <n v="74087.167881870002"/>
    <n v="74087.167881870002"/>
    <m/>
    <n v="912.83211812999798"/>
    <n v="-276644.47054408665"/>
  </r>
  <r>
    <x v="2"/>
    <x v="10"/>
    <d v="2015-05-25T00:00:00"/>
    <d v="2015-05-25T00:00:00"/>
    <n v="0"/>
    <n v="75000"/>
    <n v="75000"/>
    <n v="74603.458019024998"/>
    <n v="74603.458019024998"/>
    <m/>
    <n v="396.54198097500193"/>
    <n v="-276247.92856311164"/>
  </r>
  <r>
    <x v="2"/>
    <x v="10"/>
    <d v="2015-05-26T00:00:00"/>
    <d v="2015-05-26T00:00:00"/>
    <n v="0"/>
    <n v="75000"/>
    <n v="75000"/>
    <n v="74476.076153310001"/>
    <n v="74476.076153310001"/>
    <m/>
    <n v="523.92384668999875"/>
    <n v="-275724.00471642165"/>
  </r>
  <r>
    <x v="2"/>
    <x v="10"/>
    <d v="2015-05-27T00:00:00"/>
    <d v="2015-05-27T00:00:00"/>
    <n v="0"/>
    <n v="74000"/>
    <n v="74000"/>
    <n v="74386.971877139993"/>
    <n v="74386.971877139993"/>
    <m/>
    <n v="-386.97187713999301"/>
    <n v="-276110.97659356165"/>
  </r>
  <r>
    <x v="2"/>
    <x v="10"/>
    <d v="2015-05-28T00:00:00"/>
    <d v="2015-05-28T00:00:00"/>
    <n v="0"/>
    <n v="74000"/>
    <n v="74000"/>
    <n v="73870.779365136012"/>
    <n v="73870.779365136012"/>
    <m/>
    <n v="129.22063486398838"/>
    <n v="-275981.75595869764"/>
  </r>
  <r>
    <x v="2"/>
    <x v="10"/>
    <d v="2015-05-29T00:00:00"/>
    <d v="2015-05-29T00:00:00"/>
    <n v="0"/>
    <n v="68000"/>
    <n v="68000"/>
    <n v="73648.556086950004"/>
    <n v="73648.556086950004"/>
    <m/>
    <n v="-5648.5560869500041"/>
    <n v="-281630.31204564765"/>
  </r>
  <r>
    <x v="2"/>
    <x v="10"/>
    <d v="2015-05-30T00:00:00"/>
    <d v="2015-05-30T00:00:00"/>
    <n v="0"/>
    <n v="68000"/>
    <n v="68000"/>
    <n v="72601.27517097001"/>
    <n v="72601.27517097001"/>
    <m/>
    <n v="-4601.2751709700096"/>
    <n v="-286231.58721661766"/>
  </r>
  <r>
    <x v="2"/>
    <x v="10"/>
    <d v="2015-05-31T00:00:00"/>
    <d v="2015-05-31T00:00:00"/>
    <n v="0"/>
    <n v="68000"/>
    <n v="68000"/>
    <n v="70882.260234200992"/>
    <n v="70882.260234200992"/>
    <m/>
    <n v="-2882.2602342009923"/>
    <n v="-289113.84745081863"/>
  </r>
  <r>
    <x v="2"/>
    <x v="11"/>
    <d v="2015-06-01T00:00:00"/>
    <d v="2015-06-01T00:00:00"/>
    <n v="0"/>
    <n v="68000"/>
    <n v="68000"/>
    <n v="73192.864629690011"/>
    <n v="73192.864629690011"/>
    <m/>
    <n v="-5192.8646296900115"/>
    <n v="-294306.71208050865"/>
  </r>
  <r>
    <x v="2"/>
    <x v="11"/>
    <d v="2015-06-02T00:00:00"/>
    <d v="2015-06-02T00:00:00"/>
    <n v="0"/>
    <n v="68000"/>
    <n v="68000"/>
    <n v="73046.533058693996"/>
    <n v="73046.533058693996"/>
    <m/>
    <n v="-5046.5330586939963"/>
    <n v="-299353.24513920263"/>
  </r>
  <r>
    <x v="2"/>
    <x v="11"/>
    <d v="2015-06-03T00:00:00"/>
    <d v="2015-06-03T00:00:00"/>
    <n v="0"/>
    <n v="68000"/>
    <n v="68000"/>
    <n v="73598.505662447991"/>
    <n v="73598.505662447991"/>
    <m/>
    <n v="-5598.5056624479912"/>
    <n v="-304951.75080165063"/>
  </r>
  <r>
    <x v="2"/>
    <x v="11"/>
    <d v="2015-06-04T00:00:00"/>
    <d v="2015-06-04T00:00:00"/>
    <n v="0"/>
    <n v="68000"/>
    <n v="68000"/>
    <n v="73202.361756030004"/>
    <n v="73202.361756030004"/>
    <m/>
    <n v="-5202.3617560300045"/>
    <n v="-310154.11255768064"/>
  </r>
  <r>
    <x v="2"/>
    <x v="11"/>
    <d v="2015-06-05T00:00:00"/>
    <d v="2015-06-05T00:00:00"/>
    <n v="0"/>
    <n v="68000"/>
    <n v="68000"/>
    <n v="72705.961558620009"/>
    <n v="72705.961558620009"/>
    <m/>
    <n v="-4705.9615586200089"/>
    <n v="-314860.07411630068"/>
  </r>
  <r>
    <x v="2"/>
    <x v="11"/>
    <d v="2015-06-06T00:00:00"/>
    <d v="2015-06-06T00:00:00"/>
    <n v="0"/>
    <n v="65000"/>
    <n v="65000"/>
    <n v="72109.367626139996"/>
    <n v="72109.367626139996"/>
    <m/>
    <n v="-7109.367626139996"/>
    <n v="-321969.44174244069"/>
  </r>
  <r>
    <x v="2"/>
    <x v="11"/>
    <d v="2015-06-07T00:00:00"/>
    <d v="2015-06-07T00:00:00"/>
    <n v="0"/>
    <n v="65000"/>
    <n v="65000"/>
    <n v="71580.485740139993"/>
    <n v="71580.485740139993"/>
    <m/>
    <n v="-6580.4857401399931"/>
    <n v="-328549.92748258065"/>
  </r>
  <r>
    <x v="2"/>
    <x v="11"/>
    <d v="2015-06-08T00:00:00"/>
    <d v="2015-06-08T00:00:00"/>
    <n v="0"/>
    <n v="65000"/>
    <n v="65000"/>
    <n v="71478.112025970011"/>
    <n v="71478.112025970011"/>
    <m/>
    <n v="-6478.112025970011"/>
    <n v="-335028.03950855066"/>
  </r>
  <r>
    <x v="2"/>
    <x v="11"/>
    <d v="2015-06-09T00:00:00"/>
    <d v="2015-06-09T00:00:00"/>
    <n v="0"/>
    <n v="63000"/>
    <n v="63000"/>
    <n v="71744.126345190001"/>
    <n v="71744.126345190001"/>
    <m/>
    <n v="-8744.1263451900013"/>
    <n v="-343772.16585374065"/>
  </r>
  <r>
    <x v="2"/>
    <x v="11"/>
    <d v="2015-06-10T00:00:00"/>
    <d v="2015-06-10T00:00:00"/>
    <n v="0"/>
    <n v="48613"/>
    <n v="48613"/>
    <n v="71367.018395399995"/>
    <n v="71367.018395399995"/>
    <m/>
    <n v="-22754.018395399995"/>
    <n v="-366526.18424914067"/>
  </r>
  <r>
    <x v="2"/>
    <x v="11"/>
    <d v="2015-06-11T00:00:00"/>
    <d v="2015-06-11T00:00:00"/>
    <n v="0"/>
    <n v="63000"/>
    <n v="63000"/>
    <n v="72429.375288581999"/>
    <n v="72429.375288581999"/>
    <m/>
    <n v="-9429.3752885819995"/>
    <n v="-375955.55953772267"/>
  </r>
  <r>
    <x v="2"/>
    <x v="11"/>
    <d v="2015-06-12T00:00:00"/>
    <d v="2015-06-12T00:00:00"/>
    <n v="0"/>
    <n v="63000"/>
    <n v="63000"/>
    <n v="73128.318291989999"/>
    <n v="73128.318291989999"/>
    <m/>
    <n v="-10128.318291989999"/>
    <n v="-386083.8778297127"/>
  </r>
  <r>
    <x v="2"/>
    <x v="11"/>
    <d v="2015-06-13T00:00:00"/>
    <d v="2015-06-13T00:00:00"/>
    <n v="0"/>
    <n v="63000"/>
    <n v="63000"/>
    <n v="73349.263912859999"/>
    <n v="73349.263912859999"/>
    <m/>
    <n v="-10349.263912859999"/>
    <n v="-396433.14174257271"/>
  </r>
  <r>
    <x v="2"/>
    <x v="11"/>
    <d v="2015-06-14T00:00:00"/>
    <d v="2015-06-14T00:00:00"/>
    <n v="0"/>
    <n v="63000"/>
    <n v="63000"/>
    <n v="72918.255505914"/>
    <n v="72918.255505914"/>
    <m/>
    <n v="-9918.2555059139995"/>
    <n v="-406351.3972484867"/>
  </r>
  <r>
    <x v="2"/>
    <x v="11"/>
    <d v="2015-06-15T00:00:00"/>
    <d v="2015-06-15T00:00:00"/>
    <n v="-1"/>
    <n v="62999"/>
    <n v="63000"/>
    <n v="72745.532918370009"/>
    <n v="72745.532918370009"/>
    <m/>
    <n v="-9745.5329183700087"/>
    <n v="-416096.93016685674"/>
  </r>
  <r>
    <x v="2"/>
    <x v="11"/>
    <d v="2015-06-16T00:00:00"/>
    <d v="2015-06-16T00:00:00"/>
    <n v="0"/>
    <n v="61999"/>
    <n v="61999"/>
    <n v="68014.208643965991"/>
    <n v="68014.208643965991"/>
    <m/>
    <n v="-6015.2086439659906"/>
    <n v="-422112.13881082274"/>
  </r>
  <r>
    <x v="2"/>
    <x v="11"/>
    <d v="2015-06-17T00:00:00"/>
    <d v="2015-06-17T00:00:00"/>
    <n v="0"/>
    <n v="72000"/>
    <n v="72000"/>
    <n v="72806.562854999996"/>
    <n v="72806.562854999996"/>
    <m/>
    <n v="-806.56285499999649"/>
    <n v="-422918.70166582277"/>
  </r>
  <r>
    <x v="2"/>
    <x v="11"/>
    <d v="2015-06-18T00:00:00"/>
    <d v="2015-06-18T00:00:00"/>
    <n v="0"/>
    <n v="70000"/>
    <n v="70000"/>
    <n v="72846.617601420003"/>
    <n v="72846.617601420003"/>
    <m/>
    <n v="-2846.6176014200028"/>
    <n v="-425765.3192672428"/>
  </r>
  <r>
    <x v="2"/>
    <x v="11"/>
    <d v="2015-06-19T00:00:00"/>
    <d v="2015-06-19T00:00:00"/>
    <n v="0"/>
    <n v="70000"/>
    <n v="70000"/>
    <n v="72372.95553384001"/>
    <n v="72372.95553384001"/>
    <m/>
    <n v="-2372.9555338400096"/>
    <n v="-428138.27480108279"/>
  </r>
  <r>
    <x v="2"/>
    <x v="11"/>
    <d v="2015-06-20T00:00:00"/>
    <d v="2015-06-20T00:00:00"/>
    <n v="0"/>
    <n v="70000"/>
    <n v="70000"/>
    <n v="72433.058505444002"/>
    <n v="72433.058505444002"/>
    <m/>
    <n v="-2433.0585054440016"/>
    <n v="-430571.33330652677"/>
  </r>
  <r>
    <x v="2"/>
    <x v="11"/>
    <d v="2015-06-21T00:00:00"/>
    <d v="2015-06-21T00:00:00"/>
    <n v="0"/>
    <n v="70000"/>
    <n v="70000"/>
    <n v="72675.98210691"/>
    <n v="72675.98210691"/>
    <m/>
    <n v="-2675.9821069099999"/>
    <n v="-433247.31541343674"/>
  </r>
  <r>
    <x v="2"/>
    <x v="11"/>
    <d v="2015-06-22T00:00:00"/>
    <d v="2015-06-22T00:00:00"/>
    <n v="0"/>
    <n v="70000"/>
    <n v="70000"/>
    <n v="72549.751838850003"/>
    <n v="72549.751838850003"/>
    <m/>
    <n v="-2549.751838850003"/>
    <n v="-435797.06725228671"/>
  </r>
  <r>
    <x v="2"/>
    <x v="11"/>
    <d v="2015-06-23T00:00:00"/>
    <d v="2015-06-23T00:00:00"/>
    <n v="0"/>
    <n v="73000"/>
    <n v="73000"/>
    <n v="71739.254565809999"/>
    <n v="71739.254565809999"/>
    <m/>
    <n v="1260.7454341900011"/>
    <n v="-434536.32181809668"/>
  </r>
  <r>
    <x v="2"/>
    <x v="11"/>
    <d v="2015-06-24T00:00:00"/>
    <d v="2015-06-24T00:00:00"/>
    <n v="0"/>
    <n v="73000"/>
    <n v="73000"/>
    <n v="71783.935607006992"/>
    <n v="71783.935607006992"/>
    <m/>
    <n v="1216.0643929930084"/>
    <n v="-433320.25742510369"/>
  </r>
  <r>
    <x v="2"/>
    <x v="11"/>
    <d v="2015-06-25T00:00:00"/>
    <d v="2015-06-25T00:00:00"/>
    <n v="0"/>
    <n v="73000"/>
    <n v="73000"/>
    <n v="71494.518738240004"/>
    <n v="71494.518738240004"/>
    <m/>
    <n v="1505.4812617599964"/>
    <n v="-431814.77616334369"/>
  </r>
  <r>
    <x v="2"/>
    <x v="11"/>
    <d v="2015-06-26T00:00:00"/>
    <d v="2015-06-26T00:00:00"/>
    <n v="0"/>
    <n v="73000"/>
    <n v="73000"/>
    <n v="72146.796919469998"/>
    <n v="72146.796919469998"/>
    <m/>
    <n v="853.2030805300019"/>
    <n v="-430961.5730828137"/>
  </r>
  <r>
    <x v="2"/>
    <x v="11"/>
    <d v="2015-06-27T00:00:00"/>
    <d v="2015-06-27T00:00:00"/>
    <n v="0"/>
    <n v="70000"/>
    <n v="70000"/>
    <n v="71937.300927960008"/>
    <n v="71937.300927960008"/>
    <m/>
    <n v="-1937.3009279600083"/>
    <n v="-432898.87401077372"/>
  </r>
  <r>
    <x v="2"/>
    <x v="11"/>
    <d v="2015-06-28T00:00:00"/>
    <d v="2015-06-28T00:00:00"/>
    <n v="0"/>
    <n v="70000"/>
    <n v="70000"/>
    <n v="72379.154257019996"/>
    <n v="72379.154257019996"/>
    <m/>
    <n v="-2379.1542570199963"/>
    <n v="-435278.02826779371"/>
  </r>
  <r>
    <x v="2"/>
    <x v="11"/>
    <d v="2015-06-29T00:00:00"/>
    <d v="2015-06-29T00:00:00"/>
    <n v="0"/>
    <n v="70000"/>
    <n v="70000"/>
    <n v="72204.917057910003"/>
    <n v="72204.917057910003"/>
    <m/>
    <n v="-2204.9170579100028"/>
    <n v="-437482.94532570371"/>
  </r>
  <r>
    <x v="2"/>
    <x v="11"/>
    <d v="2015-06-30T00:00:00"/>
    <d v="2015-06-30T00:00:00"/>
    <n v="0"/>
    <n v="70000"/>
    <n v="70000"/>
    <n v="72174.139544286008"/>
    <n v="72174.139544286008"/>
    <m/>
    <n v="-2174.1395442860085"/>
    <n v="-439657.08486998972"/>
  </r>
  <r>
    <x v="2"/>
    <x v="0"/>
    <d v="2015-07-01T00:00:00"/>
    <d v="2015-07-01T00:00:00"/>
    <n v="2001"/>
    <n v="72000"/>
    <n v="69999"/>
    <n v="72355.609534923002"/>
    <n v="72355.609534923002"/>
    <m/>
    <n v="-2356.6095349230018"/>
    <n v="-442013.69440491271"/>
  </r>
  <r>
    <x v="2"/>
    <x v="0"/>
    <d v="2015-07-02T00:00:00"/>
    <d v="2015-07-02T00:00:00"/>
    <n v="3000"/>
    <n v="73000"/>
    <n v="70000"/>
    <n v="72135.394680960002"/>
    <n v="72135.394680960002"/>
    <m/>
    <n v="-2135.394680960002"/>
    <n v="-444149.08908587269"/>
  </r>
  <r>
    <x v="2"/>
    <x v="0"/>
    <d v="2015-07-03T00:00:00"/>
    <d v="2015-07-03T00:00:00"/>
    <n v="3000"/>
    <n v="73000"/>
    <n v="70000"/>
    <n v="72075.217779629995"/>
    <n v="72075.217779629995"/>
    <m/>
    <n v="-2075.2177796299948"/>
    <n v="-446224.30686550267"/>
  </r>
  <r>
    <x v="2"/>
    <x v="0"/>
    <d v="2015-07-04T00:00:00"/>
    <d v="2015-07-04T00:00:00"/>
    <n v="1000"/>
    <n v="73000"/>
    <n v="72000"/>
    <n v="71822.245422330001"/>
    <n v="71822.245422330001"/>
    <m/>
    <n v="177.75457766999898"/>
    <n v="-446046.55228783266"/>
  </r>
  <r>
    <x v="2"/>
    <x v="0"/>
    <d v="2015-07-05T00:00:00"/>
    <d v="2015-07-05T00:00:00"/>
    <n v="1000"/>
    <n v="73000"/>
    <n v="72000"/>
    <n v="72748.287274572009"/>
    <n v="72748.287274572009"/>
    <m/>
    <n v="-748.28727457200876"/>
    <n v="-446794.83956240467"/>
  </r>
  <r>
    <x v="2"/>
    <x v="0"/>
    <d v="2015-07-06T00:00:00"/>
    <d v="2015-07-06T00:00:00"/>
    <n v="1000"/>
    <n v="73000"/>
    <n v="72000"/>
    <n v="69635.688472349997"/>
    <n v="69635.688472349997"/>
    <m/>
    <n v="2364.311527650003"/>
    <n v="-444430.52803475468"/>
  </r>
  <r>
    <x v="2"/>
    <x v="0"/>
    <d v="2015-07-07T00:00:00"/>
    <d v="2015-07-07T00:00:00"/>
    <n v="1000"/>
    <n v="73000"/>
    <n v="72000"/>
    <n v="65684.185373781002"/>
    <n v="65684.185373781002"/>
    <m/>
    <n v="6315.8146262189985"/>
    <n v="-438114.7134085357"/>
  </r>
  <r>
    <x v="2"/>
    <x v="0"/>
    <d v="2015-07-08T00:00:00"/>
    <d v="2015-07-08T00:00:00"/>
    <n v="2000"/>
    <n v="73000"/>
    <n v="71000"/>
    <n v="70449.398845019998"/>
    <n v="70449.398845019998"/>
    <m/>
    <n v="550.60115498000232"/>
    <n v="-437564.11225355568"/>
  </r>
  <r>
    <x v="2"/>
    <x v="0"/>
    <d v="2015-07-09T00:00:00"/>
    <d v="2015-07-09T00:00:00"/>
    <n v="2000"/>
    <n v="73000"/>
    <n v="71000"/>
    <n v="70071.106123980004"/>
    <n v="70071.106123980004"/>
    <m/>
    <n v="928.89387601999624"/>
    <n v="-436635.2183775357"/>
  </r>
  <r>
    <x v="2"/>
    <x v="0"/>
    <d v="2015-07-10T00:00:00"/>
    <d v="2015-07-10T00:00:00"/>
    <n v="2000"/>
    <n v="73000"/>
    <n v="71000"/>
    <n v="72032.243756850003"/>
    <n v="72032.243756850003"/>
    <m/>
    <n v="-1032.2437568500027"/>
    <n v="-437667.46213438571"/>
  </r>
  <r>
    <x v="2"/>
    <x v="0"/>
    <d v="2015-07-11T00:00:00"/>
    <d v="2015-07-11T00:00:00"/>
    <n v="0"/>
    <n v="72000"/>
    <n v="72000"/>
    <n v="72316.295033580012"/>
    <n v="72316.295033580012"/>
    <m/>
    <n v="-316.29503358001239"/>
    <n v="-437983.75716796576"/>
  </r>
  <r>
    <x v="2"/>
    <x v="0"/>
    <d v="2015-07-12T00:00:00"/>
    <d v="2015-07-12T00:00:00"/>
    <n v="15000"/>
    <n v="72000"/>
    <n v="57000"/>
    <n v="70227.808708590004"/>
    <n v="70227.808708590004"/>
    <m/>
    <n v="-13227.808708590004"/>
    <n v="-451211.56587655575"/>
  </r>
  <r>
    <x v="2"/>
    <x v="0"/>
    <d v="2015-07-13T00:00:00"/>
    <d v="2015-07-13T00:00:00"/>
    <n v="15000"/>
    <n v="72000"/>
    <n v="57000"/>
    <n v="72912.064365269995"/>
    <n v="72912.064365269995"/>
    <m/>
    <n v="-15912.064365269995"/>
    <n v="-467123.63024182571"/>
  </r>
  <r>
    <x v="2"/>
    <x v="0"/>
    <d v="2015-07-14T00:00:00"/>
    <d v="2015-07-14T00:00:00"/>
    <n v="15000"/>
    <n v="72000"/>
    <n v="57000"/>
    <n v="72872.331876630007"/>
    <n v="72872.331876630007"/>
    <m/>
    <n v="-15872.331876630007"/>
    <n v="-482995.96211845573"/>
  </r>
  <r>
    <x v="2"/>
    <x v="0"/>
    <d v="2015-07-15T00:00:00"/>
    <d v="2015-07-15T00:00:00"/>
    <n v="13000"/>
    <n v="73000"/>
    <n v="60000"/>
    <n v="72978.92337645001"/>
    <n v="72978.92337645001"/>
    <m/>
    <n v="-12978.92337645001"/>
    <n v="-495974.88549490576"/>
  </r>
  <r>
    <x v="2"/>
    <x v="0"/>
    <d v="2015-07-16T00:00:00"/>
    <d v="2015-07-16T00:00:00"/>
    <n v="1000"/>
    <n v="73000"/>
    <n v="72000"/>
    <n v="72503.081329769993"/>
    <n v="72503.081329769993"/>
    <m/>
    <n v="-503.08132976999332"/>
    <n v="-496477.96682467574"/>
  </r>
  <r>
    <x v="2"/>
    <x v="0"/>
    <d v="2015-07-17T00:00:00"/>
    <d v="2015-07-17T00:00:00"/>
    <n v="13000"/>
    <n v="73000"/>
    <n v="60000"/>
    <n v="72762.293166381001"/>
    <n v="72762.293166381001"/>
    <m/>
    <n v="-12762.293166381001"/>
    <n v="-509240.25999105675"/>
  </r>
  <r>
    <x v="2"/>
    <x v="0"/>
    <d v="2015-07-18T00:00:00"/>
    <d v="2015-07-18T00:00:00"/>
    <n v="-1000"/>
    <n v="71000"/>
    <n v="72000"/>
    <n v="71978.63522733"/>
    <n v="71978.63522733"/>
    <m/>
    <n v="21.364772670000093"/>
    <n v="-509218.89521838678"/>
  </r>
  <r>
    <x v="2"/>
    <x v="0"/>
    <d v="2015-07-19T00:00:00"/>
    <d v="2015-07-19T00:00:00"/>
    <n v="-1000"/>
    <n v="71000"/>
    <n v="72000"/>
    <n v="72450.989307450014"/>
    <n v="72450.989307450014"/>
    <m/>
    <n v="-450.98930745001417"/>
    <n v="-509669.88452583679"/>
  </r>
  <r>
    <x v="2"/>
    <x v="0"/>
    <d v="2015-07-20T00:00:00"/>
    <d v="2015-07-20T00:00:00"/>
    <n v="-1000"/>
    <n v="71000"/>
    <n v="72000"/>
    <n v="72724.857238331999"/>
    <n v="72724.857238331999"/>
    <m/>
    <n v="-724.85723833199881"/>
    <n v="-510394.74176416878"/>
  </r>
  <r>
    <x v="2"/>
    <x v="0"/>
    <d v="2015-07-21T00:00:00"/>
    <d v="2015-07-21T00:00:00"/>
    <n v="-1000"/>
    <n v="71000"/>
    <n v="72000"/>
    <n v="72258.468718410004"/>
    <n v="72258.468718410004"/>
    <m/>
    <n v="-258.46871841000393"/>
    <n v="-510653.21048257878"/>
  </r>
  <r>
    <x v="2"/>
    <x v="0"/>
    <d v="2015-07-22T00:00:00"/>
    <d v="2015-07-22T00:00:00"/>
    <n v="3000"/>
    <n v="73000"/>
    <n v="70000"/>
    <n v="72350.226882179995"/>
    <n v="72350.226882179995"/>
    <m/>
    <n v="-2350.2268821799953"/>
    <n v="-513003.43736475881"/>
  </r>
  <r>
    <x v="2"/>
    <x v="0"/>
    <d v="2015-07-23T00:00:00"/>
    <d v="2015-07-23T00:00:00"/>
    <n v="3000"/>
    <n v="73000"/>
    <n v="70000"/>
    <n v="72346.865923098012"/>
    <n v="72346.865923098012"/>
    <m/>
    <n v="-2346.865923098012"/>
    <n v="-515350.3032878568"/>
  </r>
  <r>
    <x v="2"/>
    <x v="0"/>
    <d v="2015-07-24T00:00:00"/>
    <d v="2015-07-24T00:00:00"/>
    <n v="2000"/>
    <n v="72000"/>
    <n v="70000"/>
    <n v="72361.496426309997"/>
    <n v="72361.496426309997"/>
    <m/>
    <n v="-2361.4964263099973"/>
    <n v="-517711.79971416679"/>
  </r>
  <r>
    <x v="2"/>
    <x v="0"/>
    <d v="2015-07-25T00:00:00"/>
    <d v="2015-07-25T00:00:00"/>
    <n v="-2000"/>
    <n v="70000"/>
    <n v="72000"/>
    <n v="72810.970204049998"/>
    <n v="72810.970204049998"/>
    <m/>
    <n v="-810.97020404999785"/>
    <n v="-518522.7699182168"/>
  </r>
  <r>
    <x v="2"/>
    <x v="0"/>
    <d v="2015-07-26T00:00:00"/>
    <d v="2015-07-26T00:00:00"/>
    <n v="-3000"/>
    <n v="70000"/>
    <n v="73000"/>
    <n v="72928.933612235996"/>
    <n v="72928.933612235996"/>
    <m/>
    <n v="71.066387764003593"/>
    <n v="-518451.7035304528"/>
  </r>
  <r>
    <x v="2"/>
    <x v="0"/>
    <d v="2015-07-27T00:00:00"/>
    <d v="2015-07-27T00:00:00"/>
    <n v="-3000"/>
    <n v="70000"/>
    <n v="73000"/>
    <n v="73172.12639373001"/>
    <n v="73172.12639373001"/>
    <m/>
    <n v="-172.12639373001002"/>
    <n v="-518623.82992418279"/>
  </r>
  <r>
    <x v="2"/>
    <x v="0"/>
    <d v="2015-07-28T00:00:00"/>
    <d v="2015-07-28T00:00:00"/>
    <n v="0"/>
    <n v="73000"/>
    <n v="73000"/>
    <n v="73260.766239570003"/>
    <n v="73260.766239570003"/>
    <m/>
    <n v="-260.76623957000265"/>
    <n v="-518884.59616375278"/>
  </r>
  <r>
    <x v="2"/>
    <x v="0"/>
    <d v="2015-07-29T00:00:00"/>
    <d v="2015-07-29T00:00:00"/>
    <n v="2000"/>
    <n v="73000"/>
    <n v="71000"/>
    <n v="71903.646789741004"/>
    <n v="71903.646789741004"/>
    <m/>
    <n v="-903.64678974100389"/>
    <n v="-519788.24295349378"/>
  </r>
  <r>
    <x v="2"/>
    <x v="0"/>
    <d v="2015-07-30T00:00:00"/>
    <d v="2015-07-30T00:00:00"/>
    <n v="0"/>
    <n v="71000"/>
    <n v="71000"/>
    <n v="71725.62495735001"/>
    <n v="71725.62495735001"/>
    <m/>
    <n v="-725.62495735000994"/>
    <n v="-520513.86791084381"/>
  </r>
  <r>
    <x v="2"/>
    <x v="0"/>
    <d v="2015-07-31T00:00:00"/>
    <d v="2015-07-31T00:00:00"/>
    <n v="0"/>
    <n v="71000"/>
    <n v="71000"/>
    <n v="73490.799529836004"/>
    <n v="73490.799529836004"/>
    <m/>
    <n v="-2490.7995298360038"/>
    <n v="-523004.6674406798"/>
  </r>
  <r>
    <x v="2"/>
    <x v="1"/>
    <d v="2015-08-01T00:00:00"/>
    <d v="2015-08-01T00:00:00"/>
    <n v="0"/>
    <n v="69999"/>
    <n v="69999"/>
    <n v="72355.609534923002"/>
    <n v="72355.609534923002"/>
    <m/>
    <n v="-2356.6095349230018"/>
    <n v="-525361.27697560284"/>
  </r>
  <r>
    <x v="2"/>
    <x v="1"/>
    <d v="2015-08-02T00:00:00"/>
    <d v="2015-08-02T00:00:00"/>
    <n v="0"/>
    <n v="70000"/>
    <n v="70000"/>
    <n v="72135.394680960002"/>
    <n v="72135.394680960002"/>
    <m/>
    <n v="-2135.394680960002"/>
    <n v="-527496.67165656283"/>
  </r>
  <r>
    <x v="2"/>
    <x v="1"/>
    <d v="2015-08-03T00:00:00"/>
    <d v="2015-08-03T00:00:00"/>
    <n v="0"/>
    <n v="70000"/>
    <n v="70000"/>
    <n v="72075.217779629995"/>
    <n v="72075.217779629995"/>
    <m/>
    <n v="-2075.2177796299948"/>
    <n v="-529571.88943619281"/>
  </r>
  <r>
    <x v="2"/>
    <x v="1"/>
    <d v="2015-08-04T00:00:00"/>
    <d v="2015-08-04T00:00:00"/>
    <n v="0"/>
    <n v="72000"/>
    <n v="72000"/>
    <n v="71822.245422330001"/>
    <n v="71822.245422330001"/>
    <m/>
    <n v="177.75457766999898"/>
    <n v="-529394.1348585228"/>
  </r>
  <r>
    <x v="2"/>
    <x v="1"/>
    <d v="2015-08-05T00:00:00"/>
    <d v="2015-08-05T00:00:00"/>
    <n v="0"/>
    <n v="72000"/>
    <n v="72000"/>
    <n v="72748.287274572009"/>
    <n v="72748.287274572009"/>
    <m/>
    <n v="-748.28727457200876"/>
    <n v="-530142.42213309486"/>
  </r>
  <r>
    <x v="2"/>
    <x v="1"/>
    <d v="2015-08-06T00:00:00"/>
    <d v="2015-08-06T00:00:00"/>
    <n v="0"/>
    <n v="72000"/>
    <n v="72000"/>
    <n v="69635.688472349997"/>
    <n v="69635.688472349997"/>
    <m/>
    <n v="2364.311527650003"/>
    <n v="-527778.11060544488"/>
  </r>
  <r>
    <x v="2"/>
    <x v="1"/>
    <d v="2015-08-07T00:00:00"/>
    <d v="2015-08-07T00:00:00"/>
    <n v="0"/>
    <n v="72000"/>
    <n v="72000"/>
    <n v="65684.185373781002"/>
    <n v="65684.185373781002"/>
    <m/>
    <n v="6315.8146262189985"/>
    <n v="-521462.29597922589"/>
  </r>
  <r>
    <x v="2"/>
    <x v="1"/>
    <d v="2015-08-08T00:00:00"/>
    <d v="2015-08-08T00:00:00"/>
    <n v="0"/>
    <n v="71000"/>
    <n v="71000"/>
    <n v="70449.398845019998"/>
    <n v="70449.398845019998"/>
    <m/>
    <n v="550.60115498000232"/>
    <n v="-520911.69482424587"/>
  </r>
  <r>
    <x v="2"/>
    <x v="1"/>
    <d v="2015-08-09T00:00:00"/>
    <d v="2015-08-09T00:00:00"/>
    <n v="0"/>
    <n v="71000"/>
    <n v="71000"/>
    <n v="70071.106123980004"/>
    <n v="70071.106123980004"/>
    <m/>
    <n v="928.89387601999624"/>
    <n v="-519982.80094822589"/>
  </r>
  <r>
    <x v="2"/>
    <x v="1"/>
    <d v="2015-08-10T00:00:00"/>
    <d v="2015-08-10T00:00:00"/>
    <n v="0"/>
    <n v="71000"/>
    <n v="71000"/>
    <n v="72032.243756850003"/>
    <n v="72032.243756850003"/>
    <m/>
    <n v="-1032.2437568500027"/>
    <n v="-521015.04470507591"/>
  </r>
  <r>
    <x v="2"/>
    <x v="1"/>
    <d v="2015-08-11T00:00:00"/>
    <d v="2015-08-11T00:00:00"/>
    <n v="0"/>
    <n v="72000"/>
    <n v="72000"/>
    <n v="72316.295033580012"/>
    <n v="72316.295033580012"/>
    <m/>
    <n v="-316.29503358001239"/>
    <n v="-521331.33973865595"/>
  </r>
  <r>
    <x v="2"/>
    <x v="1"/>
    <d v="2015-08-12T00:00:00"/>
    <d v="2015-08-12T00:00:00"/>
    <n v="0"/>
    <n v="57000"/>
    <n v="57000"/>
    <n v="70227.808708590004"/>
    <n v="70227.808708590004"/>
    <m/>
    <n v="-13227.808708590004"/>
    <n v="-534559.14844724594"/>
  </r>
  <r>
    <x v="2"/>
    <x v="1"/>
    <d v="2015-08-13T00:00:00"/>
    <d v="2015-08-13T00:00:00"/>
    <n v="0"/>
    <n v="57000"/>
    <n v="57000"/>
    <n v="72912.064365269995"/>
    <n v="72912.064365269995"/>
    <m/>
    <n v="-15912.064365269995"/>
    <n v="-550471.21281251591"/>
  </r>
  <r>
    <x v="2"/>
    <x v="1"/>
    <d v="2015-08-14T00:00:00"/>
    <d v="2015-08-14T00:00:00"/>
    <n v="0"/>
    <n v="57000"/>
    <n v="57000"/>
    <n v="72872.331876630007"/>
    <n v="72872.331876630007"/>
    <m/>
    <n v="-15872.331876630007"/>
    <n v="-566343.54468914587"/>
  </r>
  <r>
    <x v="2"/>
    <x v="1"/>
    <d v="2015-08-15T00:00:00"/>
    <d v="2015-08-15T00:00:00"/>
    <n v="0"/>
    <n v="60000"/>
    <n v="60000"/>
    <n v="72978.92337645001"/>
    <n v="72978.92337645001"/>
    <m/>
    <n v="-12978.92337645001"/>
    <n v="-579322.46806559584"/>
  </r>
  <r>
    <x v="2"/>
    <x v="1"/>
    <d v="2015-08-16T00:00:00"/>
    <d v="2015-08-16T00:00:00"/>
    <n v="0"/>
    <n v="72000"/>
    <n v="72000"/>
    <n v="72503.081329769993"/>
    <n v="72503.081329769993"/>
    <m/>
    <n v="-503.08132976999332"/>
    <n v="-579825.54939536587"/>
  </r>
  <r>
    <x v="2"/>
    <x v="1"/>
    <d v="2015-08-17T00:00:00"/>
    <d v="2015-08-17T00:00:00"/>
    <n v="0"/>
    <n v="60000"/>
    <n v="60000"/>
    <n v="72762.293166381001"/>
    <n v="72762.293166381001"/>
    <m/>
    <n v="-12762.293166381001"/>
    <n v="-592587.84256174683"/>
  </r>
  <r>
    <x v="2"/>
    <x v="1"/>
    <d v="2015-08-18T00:00:00"/>
    <d v="2015-08-18T00:00:00"/>
    <n v="0"/>
    <n v="72000"/>
    <n v="72000"/>
    <n v="71978.63522733"/>
    <n v="71978.63522733"/>
    <m/>
    <n v="21.364772670000093"/>
    <n v="-592566.47778907686"/>
  </r>
  <r>
    <x v="2"/>
    <x v="1"/>
    <d v="2015-08-19T00:00:00"/>
    <d v="2015-08-19T00:00:00"/>
    <n v="0"/>
    <n v="72000"/>
    <n v="72000"/>
    <n v="72450.989307450014"/>
    <n v="72450.989307450014"/>
    <m/>
    <n v="-450.98930745001417"/>
    <n v="-593017.46709652687"/>
  </r>
  <r>
    <x v="2"/>
    <x v="1"/>
    <d v="2015-08-20T00:00:00"/>
    <d v="2015-08-20T00:00:00"/>
    <n v="0"/>
    <n v="72000"/>
    <n v="72000"/>
    <n v="72724.857238331999"/>
    <n v="72724.857238331999"/>
    <m/>
    <n v="-724.85723833199881"/>
    <n v="-593742.32433485892"/>
  </r>
  <r>
    <x v="2"/>
    <x v="1"/>
    <d v="2015-08-21T00:00:00"/>
    <d v="2015-08-21T00:00:00"/>
    <n v="0"/>
    <n v="72000"/>
    <n v="72000"/>
    <n v="72258.468718410004"/>
    <n v="72258.468718410004"/>
    <m/>
    <n v="-258.46871841000393"/>
    <n v="-594000.79305326892"/>
  </r>
  <r>
    <x v="2"/>
    <x v="1"/>
    <d v="2015-08-22T00:00:00"/>
    <d v="2015-08-22T00:00:00"/>
    <n v="0"/>
    <n v="70000"/>
    <n v="70000"/>
    <n v="72350.226882179995"/>
    <n v="72350.226882179995"/>
    <m/>
    <n v="-2350.2268821799953"/>
    <n v="-596351.01993544889"/>
  </r>
  <r>
    <x v="2"/>
    <x v="1"/>
    <d v="2015-08-23T00:00:00"/>
    <d v="2015-08-23T00:00:00"/>
    <n v="0"/>
    <n v="70000"/>
    <n v="70000"/>
    <n v="72346.865923098012"/>
    <n v="72346.865923098012"/>
    <m/>
    <n v="-2346.865923098012"/>
    <n v="-598697.88585854694"/>
  </r>
  <r>
    <x v="2"/>
    <x v="1"/>
    <d v="2015-08-24T00:00:00"/>
    <d v="2015-08-24T00:00:00"/>
    <n v="0"/>
    <n v="70000"/>
    <n v="70000"/>
    <n v="72361.496426309997"/>
    <n v="72361.496426309997"/>
    <m/>
    <n v="-2361.4964263099973"/>
    <n v="-601059.38228485698"/>
  </r>
  <r>
    <x v="2"/>
    <x v="1"/>
    <d v="2015-08-25T00:00:00"/>
    <d v="2015-08-25T00:00:00"/>
    <n v="0"/>
    <n v="72000"/>
    <n v="72000"/>
    <n v="72810.970204049998"/>
    <n v="72810.970204049998"/>
    <m/>
    <n v="-810.97020404999785"/>
    <n v="-601870.35248890694"/>
  </r>
  <r>
    <x v="2"/>
    <x v="1"/>
    <d v="2015-08-26T00:00:00"/>
    <d v="2015-08-26T00:00:00"/>
    <n v="0"/>
    <n v="73000"/>
    <n v="73000"/>
    <n v="72928.933612235996"/>
    <n v="72928.933612235996"/>
    <m/>
    <n v="71.066387764003593"/>
    <n v="-601799.28610114288"/>
  </r>
  <r>
    <x v="2"/>
    <x v="1"/>
    <d v="2015-08-27T00:00:00"/>
    <d v="2015-08-27T00:00:00"/>
    <n v="0"/>
    <n v="73000"/>
    <n v="73000"/>
    <n v="73172.12639373001"/>
    <n v="73172.12639373001"/>
    <m/>
    <n v="-172.12639373001002"/>
    <n v="-601971.41249487293"/>
  </r>
  <r>
    <x v="2"/>
    <x v="1"/>
    <d v="2015-08-28T00:00:00"/>
    <d v="2015-08-28T00:00:00"/>
    <n v="0"/>
    <n v="73000"/>
    <n v="73000"/>
    <n v="73260.766239570003"/>
    <n v="73260.766239570003"/>
    <m/>
    <n v="-260.76623957000265"/>
    <n v="-602232.17873444292"/>
  </r>
  <r>
    <x v="2"/>
    <x v="1"/>
    <d v="2015-08-29T00:00:00"/>
    <d v="2015-08-29T00:00:00"/>
    <n v="0"/>
    <n v="71000"/>
    <n v="71000"/>
    <n v="71903.646789741004"/>
    <n v="71903.646789741004"/>
    <m/>
    <n v="-903.64678974100389"/>
    <n v="-603135.82552418392"/>
  </r>
  <r>
    <x v="2"/>
    <x v="1"/>
    <d v="2015-08-30T00:00:00"/>
    <d v="2015-08-30T00:00:00"/>
    <n v="0"/>
    <n v="71000"/>
    <n v="71000"/>
    <n v="71725.62495735001"/>
    <n v="71725.62495735001"/>
    <m/>
    <n v="-725.62495735000994"/>
    <n v="-603861.45048153389"/>
  </r>
  <r>
    <x v="2"/>
    <x v="1"/>
    <d v="2015-08-31T00:00:00"/>
    <d v="2015-08-31T00:00:00"/>
    <n v="0"/>
    <n v="71000"/>
    <n v="71000"/>
    <n v="73490.799529836004"/>
    <n v="73490.799529836004"/>
    <m/>
    <n v="-2490.7995298360038"/>
    <n v="-606352.25001136994"/>
  </r>
  <r>
    <x v="2"/>
    <x v="2"/>
    <d v="2015-09-01T00:00:00"/>
    <d v="2015-09-01T00:00:00"/>
    <n v="0"/>
    <n v="73000"/>
    <n v="73000"/>
    <n v="73526.012827019993"/>
    <n v="73526.012827019993"/>
    <m/>
    <n v="-526.01282701999298"/>
    <n v="-606878.26283838996"/>
  </r>
  <r>
    <x v="2"/>
    <x v="2"/>
    <d v="2015-09-02T00:00:00"/>
    <d v="2015-09-02T00:00:00"/>
    <n v="0"/>
    <n v="73000"/>
    <n v="73000"/>
    <n v="73698.976160082006"/>
    <n v="73698.976160082006"/>
    <m/>
    <n v="-698.97616008200566"/>
    <n v="-607577.23899847199"/>
  </r>
  <r>
    <x v="2"/>
    <x v="2"/>
    <d v="2015-09-03T00:00:00"/>
    <d v="2015-09-03T00:00:00"/>
    <n v="0"/>
    <n v="73000"/>
    <n v="73000"/>
    <n v="73294.807087124995"/>
    <n v="73294.807087124995"/>
    <m/>
    <n v="-294.80708712499472"/>
    <n v="-607872.04608559702"/>
  </r>
  <r>
    <x v="2"/>
    <x v="2"/>
    <d v="2015-09-04T00:00:00"/>
    <d v="2015-09-04T00:00:00"/>
    <n v="0"/>
    <n v="73000"/>
    <n v="73000"/>
    <n v="73052.473975650006"/>
    <n v="73052.473975650006"/>
    <m/>
    <n v="-52.473975650005741"/>
    <n v="-607924.52006124705"/>
  </r>
  <r>
    <x v="2"/>
    <x v="2"/>
    <d v="2015-09-05T00:00:00"/>
    <d v="2015-09-05T00:00:00"/>
    <n v="0"/>
    <n v="72000"/>
    <n v="72000"/>
    <n v="73037.773333980003"/>
    <n v="73037.773333980003"/>
    <m/>
    <n v="-1037.7733339800034"/>
    <n v="-608962.29339522705"/>
  </r>
  <r>
    <x v="2"/>
    <x v="2"/>
    <d v="2015-09-06T00:00:00"/>
    <d v="2015-09-06T00:00:00"/>
    <n v="0"/>
    <n v="72000"/>
    <n v="72000"/>
    <n v="72518.123185559991"/>
    <n v="72518.123185559991"/>
    <m/>
    <n v="-518.12318555999082"/>
    <n v="-609480.41658078704"/>
  </r>
  <r>
    <x v="2"/>
    <x v="2"/>
    <d v="2015-09-07T00:00:00"/>
    <d v="2015-09-07T00:00:00"/>
    <n v="0"/>
    <n v="72000"/>
    <n v="72000"/>
    <n v="72639.007765739996"/>
    <n v="72639.007765739996"/>
    <m/>
    <n v="-639.0077657399961"/>
    <n v="-610119.42434652708"/>
  </r>
  <r>
    <x v="2"/>
    <x v="2"/>
    <d v="2015-09-08T00:00:00"/>
    <d v="2015-09-08T00:00:00"/>
    <n v="0"/>
    <n v="72000"/>
    <n v="72000"/>
    <n v="72321.659677799995"/>
    <n v="72321.659677799995"/>
    <m/>
    <n v="-321.65967779999482"/>
    <n v="-610441.08402432711"/>
  </r>
  <r>
    <x v="2"/>
    <x v="2"/>
    <d v="2015-09-09T00:00:00"/>
    <d v="2015-09-09T00:00:00"/>
    <n v="0"/>
    <n v="73000"/>
    <n v="73000"/>
    <n v="71690.375643120002"/>
    <n v="71690.375643120002"/>
    <m/>
    <n v="1309.6243568799982"/>
    <n v="-609131.45966744714"/>
  </r>
  <r>
    <x v="2"/>
    <x v="2"/>
    <d v="2015-09-10T00:00:00"/>
    <d v="2015-09-10T00:00:00"/>
    <n v="0"/>
    <n v="73000"/>
    <n v="73000"/>
    <n v="71347.445974350005"/>
    <n v="71347.445974350005"/>
    <m/>
    <n v="1652.5540256499953"/>
    <n v="-607478.90564179712"/>
  </r>
  <r>
    <x v="2"/>
    <x v="2"/>
    <d v="2015-09-11T00:00:00"/>
    <d v="2015-09-11T00:00:00"/>
    <n v="0"/>
    <n v="72999"/>
    <n v="72999"/>
    <n v="72073.928748510007"/>
    <n v="72073.928748510007"/>
    <m/>
    <n v="925.0712514899933"/>
    <n v="-606553.83439030708"/>
  </r>
  <r>
    <x v="2"/>
    <x v="2"/>
    <d v="2015-09-12T00:00:00"/>
    <d v="2015-09-12T00:00:00"/>
    <n v="0"/>
    <n v="73000"/>
    <n v="73000"/>
    <n v="69634.07054873099"/>
    <n v="69634.07054873099"/>
    <m/>
    <n v="3365.9294512690103"/>
    <n v="-603187.9049390381"/>
  </r>
  <r>
    <x v="2"/>
    <x v="2"/>
    <d v="2015-09-13T00:00:00"/>
    <d v="2015-09-13T00:00:00"/>
    <n v="0"/>
    <n v="73000"/>
    <n v="73000"/>
    <n v="67234.128714090009"/>
    <n v="67234.128714090009"/>
    <m/>
    <n v="5765.8712859099905"/>
    <n v="-597422.03365312808"/>
  </r>
  <r>
    <x v="2"/>
    <x v="2"/>
    <d v="2015-09-14T00:00:00"/>
    <d v="2015-09-14T00:00:00"/>
    <n v="0"/>
    <n v="73000"/>
    <n v="73000"/>
    <n v="72407.674070549998"/>
    <n v="72407.674070549998"/>
    <m/>
    <n v="592.32592945000215"/>
    <n v="-596829.70772367809"/>
  </r>
  <r>
    <x v="2"/>
    <x v="2"/>
    <d v="2015-09-15T00:00:00"/>
    <d v="2015-09-15T00:00:00"/>
    <n v="0"/>
    <n v="74000"/>
    <n v="74000"/>
    <n v="72383.290530408005"/>
    <n v="72383.290530408005"/>
    <m/>
    <n v="1616.709469591995"/>
    <n v="-595212.99825408612"/>
  </r>
  <r>
    <x v="2"/>
    <x v="2"/>
    <d v="2015-09-16T00:00:00"/>
    <d v="2015-09-16T00:00:00"/>
    <n v="0"/>
    <n v="73000"/>
    <n v="73000"/>
    <n v="71804.037857760006"/>
    <n v="71804.037857760006"/>
    <m/>
    <n v="1195.9621422399941"/>
    <n v="-594017.0361118461"/>
  </r>
  <r>
    <x v="2"/>
    <x v="2"/>
    <d v="2015-09-17T00:00:00"/>
    <d v="2015-09-17T00:00:00"/>
    <n v="0"/>
    <n v="73000"/>
    <n v="73000"/>
    <n v="70012.79831777401"/>
    <n v="70012.79831777401"/>
    <m/>
    <n v="2987.2016822259902"/>
    <n v="-591029.83442962007"/>
  </r>
  <r>
    <x v="2"/>
    <x v="2"/>
    <d v="2015-09-18T00:00:00"/>
    <d v="2015-09-18T00:00:00"/>
    <n v="0"/>
    <n v="58000"/>
    <n v="58000"/>
    <n v="70017.080554979999"/>
    <n v="70017.080554979999"/>
    <m/>
    <n v="-12017.080554979999"/>
    <n v="-603046.91498460004"/>
  </r>
  <r>
    <x v="2"/>
    <x v="2"/>
    <d v="2015-09-19T00:00:00"/>
    <d v="2015-09-19T00:00:00"/>
    <n v="0"/>
    <n v="72000"/>
    <n v="72000"/>
    <n v="68837.607602010001"/>
    <n v="68837.607602010001"/>
    <m/>
    <n v="3162.3923979899992"/>
    <n v="-599884.52258661005"/>
  </r>
  <r>
    <x v="2"/>
    <x v="2"/>
    <d v="2015-09-20T00:00:00"/>
    <d v="2015-09-20T00:00:00"/>
    <n v="0"/>
    <n v="72000"/>
    <n v="72000"/>
    <n v="68678.706081960001"/>
    <n v="68678.706081960001"/>
    <m/>
    <n v="3321.293918039999"/>
    <n v="-596563.22866857005"/>
  </r>
  <r>
    <x v="2"/>
    <x v="2"/>
    <d v="2015-09-21T00:00:00"/>
    <d v="2015-09-21T00:00:00"/>
    <n v="0"/>
    <n v="72000"/>
    <n v="72000"/>
    <n v="69294.521743200006"/>
    <n v="69294.521743200006"/>
    <m/>
    <n v="2705.4782567999937"/>
    <n v="-593857.75041177007"/>
  </r>
  <r>
    <x v="2"/>
    <x v="2"/>
    <d v="2015-09-22T00:00:00"/>
    <d v="2015-09-22T00:00:00"/>
    <n v="0"/>
    <n v="73000"/>
    <n v="73000"/>
    <n v="70093.569386880001"/>
    <n v="70093.569386880001"/>
    <m/>
    <n v="2906.4306131199992"/>
    <n v="-590951.3197986501"/>
  </r>
  <r>
    <x v="2"/>
    <x v="2"/>
    <d v="2015-09-23T00:00:00"/>
    <d v="2015-09-23T00:00:00"/>
    <n v="0"/>
    <n v="70000"/>
    <n v="70000"/>
    <n v="71180.497487970002"/>
    <n v="71180.497487970002"/>
    <m/>
    <n v="-1180.4974879700021"/>
    <n v="-592131.81728662015"/>
  </r>
  <r>
    <x v="2"/>
    <x v="2"/>
    <d v="2015-09-24T00:00:00"/>
    <d v="2015-09-24T00:00:00"/>
    <n v="0"/>
    <n v="70000"/>
    <n v="70000"/>
    <n v="70425.257946030004"/>
    <n v="70425.257946030004"/>
    <m/>
    <n v="-425.25794603000395"/>
    <n v="-592557.07523265015"/>
  </r>
  <r>
    <x v="2"/>
    <x v="2"/>
    <d v="2015-09-25T00:00:00"/>
    <d v="2015-09-25T00:00:00"/>
    <n v="0"/>
    <n v="72000"/>
    <n v="72000"/>
    <n v="68559.480181530002"/>
    <n v="68559.480181530002"/>
    <m/>
    <n v="3440.5198184699984"/>
    <n v="-589116.55541418015"/>
  </r>
  <r>
    <x v="2"/>
    <x v="2"/>
    <d v="2015-09-26T00:00:00"/>
    <d v="2015-09-26T00:00:00"/>
    <n v="0"/>
    <n v="70000"/>
    <n v="70000"/>
    <n v="69653.393693909995"/>
    <n v="69653.393693909995"/>
    <m/>
    <n v="346.60630609000509"/>
    <n v="-588769.94910809014"/>
  </r>
  <r>
    <x v="2"/>
    <x v="2"/>
    <d v="2015-09-27T00:00:00"/>
    <d v="2015-09-27T00:00:00"/>
    <n v="0"/>
    <n v="70000"/>
    <n v="70000"/>
    <n v="71740.192904640004"/>
    <n v="71740.192904640004"/>
    <m/>
    <n v="-1740.1929046400037"/>
    <n v="-590510.14201273012"/>
  </r>
  <r>
    <x v="2"/>
    <x v="2"/>
    <d v="2015-09-28T00:00:00"/>
    <d v="2015-09-28T00:00:00"/>
    <n v="0"/>
    <n v="70000"/>
    <n v="70000"/>
    <n v="73436.453598690001"/>
    <n v="73436.453598690001"/>
    <m/>
    <n v="-3436.4535986900009"/>
    <n v="-593946.59561142011"/>
  </r>
  <r>
    <x v="2"/>
    <x v="2"/>
    <d v="2015-09-29T00:00:00"/>
    <d v="2015-09-29T00:00:00"/>
    <n v="0"/>
    <n v="73000"/>
    <n v="73000"/>
    <n v="73448.490874590003"/>
    <n v="73448.490874590003"/>
    <m/>
    <n v="-448.49087459000293"/>
    <n v="-594395.08648601011"/>
  </r>
  <r>
    <x v="2"/>
    <x v="2"/>
    <d v="2015-09-30T00:00:00"/>
    <d v="2015-09-30T00:00:00"/>
    <n v="0"/>
    <n v="73000"/>
    <n v="73000"/>
    <n v="71931.552417854997"/>
    <n v="71931.552417854997"/>
    <m/>
    <n v="1068.4475821450033"/>
    <n v="-593326.63890386513"/>
  </r>
  <r>
    <x v="2"/>
    <x v="3"/>
    <d v="2015-10-01T00:00:00"/>
    <d v="2015-10-01T00:00:00"/>
    <n v="0"/>
    <n v="73500"/>
    <n v="73500"/>
    <n v="73064.168141796006"/>
    <n v="73064.168141796006"/>
    <m/>
    <n v="435.83185820399376"/>
    <n v="-592890.80704566115"/>
  </r>
  <r>
    <x v="2"/>
    <x v="3"/>
    <d v="2015-10-02T00:00:00"/>
    <d v="2015-10-02T00:00:00"/>
    <n v="0"/>
    <n v="73500"/>
    <n v="73500"/>
    <n v="72946.53646956"/>
    <n v="72946.53646956"/>
    <m/>
    <n v="553.46353043999989"/>
    <n v="-592337.34351522115"/>
  </r>
  <r>
    <x v="2"/>
    <x v="3"/>
    <d v="2015-10-03T00:00:00"/>
    <d v="2015-10-03T00:00:00"/>
    <n v="0"/>
    <n v="72000"/>
    <n v="72000"/>
    <n v="71383.51988937"/>
    <n v="71383.51988937"/>
    <m/>
    <n v="616.48011063000013"/>
    <n v="-591720.8634045911"/>
  </r>
  <r>
    <x v="2"/>
    <x v="3"/>
    <d v="2015-10-04T00:00:00"/>
    <d v="2015-10-04T00:00:00"/>
    <n v="0"/>
    <n v="72000"/>
    <n v="72000"/>
    <n v="69518.26342422"/>
    <n v="69518.26342422"/>
    <m/>
    <n v="2481.7365757799998"/>
    <n v="-589239.12682881113"/>
  </r>
  <r>
    <x v="2"/>
    <x v="3"/>
    <d v="2015-10-05T00:00:00"/>
    <d v="2015-10-05T00:00:00"/>
    <n v="0"/>
    <n v="72000"/>
    <n v="72000"/>
    <n v="70424.925262263001"/>
    <n v="70424.925262263001"/>
    <m/>
    <n v="1575.0747377369989"/>
    <n v="-587664.05209107418"/>
  </r>
  <r>
    <x v="2"/>
    <x v="3"/>
    <d v="2015-10-06T00:00:00"/>
    <d v="2015-10-06T00:00:00"/>
    <n v="0"/>
    <n v="73000"/>
    <n v="73000"/>
    <n v="71714.090024460005"/>
    <n v="71714.090024460005"/>
    <m/>
    <n v="1285.9099755399948"/>
    <n v="-586378.14211553417"/>
  </r>
  <r>
    <x v="2"/>
    <x v="3"/>
    <d v="2015-10-07T00:00:00"/>
    <d v="2015-10-07T00:00:00"/>
    <n v="0"/>
    <n v="73000"/>
    <n v="73000"/>
    <n v="69593.418677601003"/>
    <n v="69593.418677601003"/>
    <m/>
    <n v="3406.5813223989971"/>
    <n v="-582971.5607931352"/>
  </r>
  <r>
    <x v="2"/>
    <x v="3"/>
    <d v="2015-10-08T00:00:00"/>
    <d v="2015-10-08T00:00:00"/>
    <n v="0"/>
    <n v="72000"/>
    <n v="72000"/>
    <n v="69166.320015780002"/>
    <n v="69166.320015780002"/>
    <m/>
    <n v="2833.679984219998"/>
    <n v="-580137.88080891524"/>
  </r>
  <r>
    <x v="2"/>
    <x v="3"/>
    <d v="2015-10-09T00:00:00"/>
    <d v="2015-10-09T00:00:00"/>
    <n v="0"/>
    <n v="72000"/>
    <n v="72000"/>
    <n v="71112.747528809996"/>
    <n v="71112.747528809996"/>
    <m/>
    <n v="887.25247119000414"/>
    <n v="-579250.6283377253"/>
  </r>
  <r>
    <x v="2"/>
    <x v="3"/>
    <d v="2015-10-10T00:00:00"/>
    <d v="2015-10-10T00:00:00"/>
    <n v="0"/>
    <n v="72000"/>
    <n v="72000"/>
    <n v="68898.163630139999"/>
    <n v="68898.163630139999"/>
    <m/>
    <n v="3101.8363698600006"/>
    <n v="-576148.79196786531"/>
  </r>
  <r>
    <x v="2"/>
    <x v="3"/>
    <d v="2015-10-11T00:00:00"/>
    <d v="2015-10-11T00:00:00"/>
    <n v="0"/>
    <n v="72000"/>
    <n v="72000"/>
    <n v="69269.384688542996"/>
    <n v="69269.384688542996"/>
    <m/>
    <n v="2730.6153114570043"/>
    <n v="-573418.17665640835"/>
  </r>
  <r>
    <x v="2"/>
    <x v="3"/>
    <d v="2015-10-12T00:00:00"/>
    <d v="2015-10-12T00:00:00"/>
    <n v="0"/>
    <n v="72000"/>
    <n v="72000"/>
    <n v="72694.966881419998"/>
    <n v="72694.966881419998"/>
    <m/>
    <n v="-694.96688141999766"/>
    <n v="-574113.14353782835"/>
  </r>
  <r>
    <x v="2"/>
    <x v="3"/>
    <d v="2015-10-13T00:00:00"/>
    <d v="2015-10-13T00:00:00"/>
    <n v="0"/>
    <n v="72000"/>
    <n v="72000"/>
    <n v="71557.501177889993"/>
    <n v="71557.501177889993"/>
    <m/>
    <n v="442.49882211000659"/>
    <n v="-573670.64471571834"/>
  </r>
  <r>
    <x v="2"/>
    <x v="3"/>
    <d v="2015-10-14T00:00:00"/>
    <d v="2015-10-14T00:00:00"/>
    <n v="0"/>
    <n v="71000"/>
    <n v="71000"/>
    <n v="70988.346547559995"/>
    <n v="70988.346547559995"/>
    <m/>
    <n v="11.653452440004912"/>
    <n v="-573658.99126327829"/>
  </r>
  <r>
    <x v="2"/>
    <x v="3"/>
    <d v="2015-10-15T00:00:00"/>
    <d v="2015-10-15T00:00:00"/>
    <n v="0"/>
    <n v="71000"/>
    <n v="71000"/>
    <n v="68767.687141920003"/>
    <n v="68767.687141920003"/>
    <m/>
    <n v="2232.3128580799967"/>
    <n v="-571426.67840519827"/>
  </r>
  <r>
    <x v="2"/>
    <x v="3"/>
    <d v="2015-10-16T00:00:00"/>
    <d v="2015-10-16T00:00:00"/>
    <n v="0"/>
    <n v="72000"/>
    <n v="72000"/>
    <n v="69355.67489604"/>
    <n v="69355.67489604"/>
    <m/>
    <n v="2644.32510396"/>
    <n v="-568782.35330123827"/>
  </r>
  <r>
    <x v="2"/>
    <x v="3"/>
    <d v="2015-10-17T00:00:00"/>
    <d v="2015-10-17T00:00:00"/>
    <n v="0"/>
    <n v="71000"/>
    <n v="71000"/>
    <n v="61180.824357315003"/>
    <n v="61180.824357315003"/>
    <m/>
    <n v="9819.175642684997"/>
    <n v="-558963.17765855324"/>
  </r>
  <r>
    <x v="2"/>
    <x v="3"/>
    <d v="2015-10-18T00:00:00"/>
    <d v="2015-10-18T00:00:00"/>
    <n v="0"/>
    <n v="71000"/>
    <n v="71000"/>
    <n v="61614.066768930003"/>
    <n v="61614.066768930003"/>
    <m/>
    <n v="9385.9332310699974"/>
    <n v="-549577.2444274833"/>
  </r>
  <r>
    <x v="2"/>
    <x v="3"/>
    <d v="2015-10-19T00:00:00"/>
    <d v="2015-10-19T00:00:00"/>
    <n v="0"/>
    <n v="71000"/>
    <n v="71000"/>
    <n v="64443.766839894008"/>
    <n v="64443.766839894008"/>
    <m/>
    <n v="6556.2331601059923"/>
    <n v="-543021.0112673773"/>
  </r>
  <r>
    <x v="2"/>
    <x v="3"/>
    <d v="2015-10-20T00:00:00"/>
    <d v="2015-10-20T00:00:00"/>
    <n v="0"/>
    <n v="35001"/>
    <n v="35001"/>
    <n v="72528.340652820014"/>
    <n v="72528.340652820014"/>
    <m/>
    <n v="-37527.340652820014"/>
    <n v="-580548.35192019725"/>
  </r>
  <r>
    <x v="2"/>
    <x v="3"/>
    <d v="2015-10-21T00:00:00"/>
    <d v="2015-10-21T00:00:00"/>
    <n v="0"/>
    <n v="65000"/>
    <n v="65000"/>
    <n v="68718.476483279999"/>
    <n v="68718.476483279999"/>
    <m/>
    <n v="-3718.4764832799992"/>
    <n v="-584266.82840347721"/>
  </r>
  <r>
    <x v="2"/>
    <x v="3"/>
    <d v="2015-10-22T00:00:00"/>
    <d v="2015-10-22T00:00:00"/>
    <n v="0"/>
    <n v="60000"/>
    <n v="60000"/>
    <n v="72596.185393679989"/>
    <n v="72596.185393679989"/>
    <m/>
    <n v="-12596.185393679989"/>
    <n v="-596863.01379715721"/>
  </r>
  <r>
    <x v="2"/>
    <x v="3"/>
    <d v="2015-10-23T00:00:00"/>
    <d v="2015-10-23T00:00:00"/>
    <n v="0"/>
    <n v="72000"/>
    <n v="72000"/>
    <n v="72034.98294798001"/>
    <n v="72034.98294798001"/>
    <m/>
    <n v="-34.982947980010067"/>
    <n v="-596897.99674513726"/>
  </r>
  <r>
    <x v="2"/>
    <x v="3"/>
    <d v="2015-10-24T00:00:00"/>
    <d v="2015-10-24T00:00:00"/>
    <n v="0"/>
    <n v="65000"/>
    <n v="65000"/>
    <n v="67515.933664529992"/>
    <n v="67515.933664529992"/>
    <m/>
    <n v="-2515.9336645299918"/>
    <n v="-599413.93040966731"/>
  </r>
  <r>
    <x v="2"/>
    <x v="3"/>
    <d v="2015-10-25T00:00:00"/>
    <d v="2015-10-25T00:00:00"/>
    <n v="0"/>
    <n v="65000"/>
    <n v="65000"/>
    <n v="64323.742877549994"/>
    <n v="64323.742877549994"/>
    <m/>
    <n v="676.25712245000614"/>
    <n v="-598737.67328721727"/>
  </r>
  <r>
    <x v="2"/>
    <x v="3"/>
    <d v="2015-10-26T00:00:00"/>
    <d v="2015-10-26T00:00:00"/>
    <n v="0"/>
    <n v="65000"/>
    <n v="65000"/>
    <n v="70767.625559319"/>
    <n v="70767.625559319"/>
    <m/>
    <n v="-5767.6255593189999"/>
    <n v="-604505.29884653632"/>
  </r>
  <r>
    <x v="2"/>
    <x v="3"/>
    <d v="2015-10-27T00:00:00"/>
    <d v="2015-10-27T00:00:00"/>
    <n v="0"/>
    <n v="72000"/>
    <n v="72000"/>
    <n v="68529.927247470012"/>
    <n v="68529.927247470012"/>
    <m/>
    <n v="3470.0727525299881"/>
    <n v="-601035.22609400633"/>
  </r>
  <r>
    <x v="2"/>
    <x v="3"/>
    <d v="2015-10-28T00:00:00"/>
    <d v="2015-10-28T00:00:00"/>
    <n v="0"/>
    <n v="70000"/>
    <n v="70000"/>
    <n v="71624.07584397"/>
    <n v="71624.07584397"/>
    <m/>
    <n v="-1624.0758439700003"/>
    <n v="-602659.30193797639"/>
  </r>
  <r>
    <x v="2"/>
    <x v="3"/>
    <d v="2015-10-29T00:00:00"/>
    <d v="2015-10-29T00:00:00"/>
    <n v="0"/>
    <n v="73000"/>
    <n v="73000"/>
    <n v="70463.578187340012"/>
    <n v="70463.578187340012"/>
    <m/>
    <n v="2536.4218126599881"/>
    <n v="-600122.88012531644"/>
  </r>
  <r>
    <x v="2"/>
    <x v="3"/>
    <d v="2015-10-30T00:00:00"/>
    <d v="2015-10-30T00:00:00"/>
    <n v="0"/>
    <n v="70000"/>
    <n v="70000"/>
    <n v="71615.725576200013"/>
    <n v="71615.725576200013"/>
    <m/>
    <n v="-1615.7255762000132"/>
    <n v="-601738.6057015165"/>
  </r>
  <r>
    <x v="2"/>
    <x v="3"/>
    <d v="2015-10-31T00:00:00"/>
    <d v="2015-10-31T00:00:00"/>
    <n v="0"/>
    <n v="70000"/>
    <n v="70000"/>
    <n v="68173.791644438999"/>
    <n v="68173.791644438999"/>
    <m/>
    <n v="1826.2083555610006"/>
    <n v="-599912.39734595548"/>
  </r>
  <r>
    <x v="2"/>
    <x v="4"/>
    <d v="2015-11-01T00:00:00"/>
    <d v="2015-11-01T00:00:00"/>
    <n v="0"/>
    <n v="72000"/>
    <n v="72000"/>
    <n v="66798.493064549999"/>
    <n v="66798.493064549999"/>
    <m/>
    <n v="5201.506935450001"/>
    <n v="-594710.89041050547"/>
  </r>
  <r>
    <x v="2"/>
    <x v="4"/>
    <d v="2015-11-02T00:00:00"/>
    <d v="2015-11-02T00:00:00"/>
    <n v="0"/>
    <n v="72000"/>
    <n v="72000"/>
    <n v="67546.230634934996"/>
    <n v="67546.230634934996"/>
    <m/>
    <n v="4453.7693650650035"/>
    <n v="-590257.12104544044"/>
  </r>
  <r>
    <x v="2"/>
    <x v="4"/>
    <d v="2015-11-03T00:00:00"/>
    <d v="2015-11-03T00:00:00"/>
    <n v="0"/>
    <n v="71000"/>
    <n v="71000"/>
    <n v="70924.634288820002"/>
    <n v="70924.634288820002"/>
    <m/>
    <n v="75.36571117999847"/>
    <n v="-590181.75533426041"/>
  </r>
  <r>
    <x v="2"/>
    <x v="4"/>
    <d v="2015-11-04T00:00:00"/>
    <d v="2015-11-04T00:00:00"/>
    <n v="0"/>
    <n v="70000"/>
    <n v="70000"/>
    <n v="71672.919697431003"/>
    <n v="71672.919697431003"/>
    <m/>
    <n v="-1672.9196974310034"/>
    <n v="-591854.67503169144"/>
  </r>
  <r>
    <x v="2"/>
    <x v="4"/>
    <d v="2015-11-05T00:00:00"/>
    <d v="2015-11-05T00:00:00"/>
    <n v="0"/>
    <n v="70000"/>
    <n v="70000"/>
    <n v="73476.555735960006"/>
    <n v="73476.555735960006"/>
    <m/>
    <n v="-3476.5557359600061"/>
    <n v="-595331.23076765146"/>
  </r>
  <r>
    <x v="2"/>
    <x v="4"/>
    <d v="2015-11-06T00:00:00"/>
    <d v="2015-11-06T00:00:00"/>
    <n v="0"/>
    <n v="70000"/>
    <n v="70000"/>
    <n v="73030.527273015003"/>
    <n v="73030.527273015003"/>
    <m/>
    <n v="-3030.5272730150027"/>
    <n v="-598361.75804066646"/>
  </r>
  <r>
    <x v="2"/>
    <x v="4"/>
    <d v="2015-11-07T00:00:00"/>
    <d v="2015-11-07T00:00:00"/>
    <n v="0"/>
    <n v="63000"/>
    <n v="63000"/>
    <n v="67460.287328460006"/>
    <n v="67460.287328460006"/>
    <m/>
    <n v="-4460.2873284600064"/>
    <n v="-602822.04536912648"/>
  </r>
  <r>
    <x v="2"/>
    <x v="4"/>
    <d v="2015-11-08T00:00:00"/>
    <d v="2015-11-08T00:00:00"/>
    <n v="0"/>
    <n v="63000"/>
    <n v="63000"/>
    <n v="63143.521149150001"/>
    <n v="63143.521149150001"/>
    <m/>
    <n v="-143.52114915000129"/>
    <n v="-602965.56651827646"/>
  </r>
  <r>
    <x v="2"/>
    <x v="4"/>
    <d v="2015-11-09T00:00:00"/>
    <d v="2015-11-09T00:00:00"/>
    <n v="0"/>
    <n v="63000"/>
    <n v="63000"/>
    <n v="68488.04321424001"/>
    <n v="68488.04321424001"/>
    <m/>
    <n v="-5488.0432142400095"/>
    <n v="-608453.60973251646"/>
  </r>
  <r>
    <x v="2"/>
    <x v="4"/>
    <d v="2015-11-10T00:00:00"/>
    <d v="2015-11-10T00:00:00"/>
    <n v="0"/>
    <n v="70000"/>
    <n v="70000"/>
    <n v="69069.827506095011"/>
    <n v="69069.827506095011"/>
    <m/>
    <n v="930.1724939049891"/>
    <n v="-607523.43723861151"/>
  </r>
  <r>
    <x v="2"/>
    <x v="4"/>
    <d v="2015-11-11T00:00:00"/>
    <d v="2015-11-11T00:00:00"/>
    <n v="0"/>
    <n v="72000"/>
    <n v="72000"/>
    <n v="71447.108931900002"/>
    <n v="71447.108931900002"/>
    <m/>
    <n v="552.89106809999794"/>
    <n v="-606970.54617051152"/>
  </r>
  <r>
    <x v="2"/>
    <x v="4"/>
    <d v="2015-11-12T00:00:00"/>
    <d v="2015-11-12T00:00:00"/>
    <n v="0"/>
    <n v="62368"/>
    <n v="62368"/>
    <n v="66741.244917749995"/>
    <n v="66741.244917749995"/>
    <m/>
    <n v="-4373.2449177499948"/>
    <n v="-611343.79108826153"/>
  </r>
  <r>
    <x v="2"/>
    <x v="4"/>
    <d v="2015-11-13T00:00:00"/>
    <d v="2015-11-13T00:00:00"/>
    <n v="0"/>
    <n v="70000"/>
    <n v="70000"/>
    <n v="62349.155721450006"/>
    <n v="62349.155721450006"/>
    <m/>
    <n v="7650.8442785499938"/>
    <n v="-603692.94680971152"/>
  </r>
  <r>
    <x v="2"/>
    <x v="4"/>
    <d v="2015-11-14T00:00:00"/>
    <d v="2015-11-14T00:00:00"/>
    <n v="0"/>
    <n v="70000"/>
    <n v="70000"/>
    <n v="64568.327054399997"/>
    <n v="64568.327054399997"/>
    <m/>
    <n v="5431.672945600003"/>
    <n v="-598261.27386411151"/>
  </r>
  <r>
    <x v="2"/>
    <x v="4"/>
    <d v="2015-11-15T00:00:00"/>
    <d v="2015-11-15T00:00:00"/>
    <n v="0"/>
    <n v="70000"/>
    <n v="70000"/>
    <n v="63660.618826389007"/>
    <n v="63660.618826389007"/>
    <m/>
    <n v="6339.3811736109928"/>
    <n v="-591921.89269050048"/>
  </r>
  <r>
    <x v="2"/>
    <x v="4"/>
    <d v="2015-11-16T00:00:00"/>
    <d v="2015-11-16T00:00:00"/>
    <n v="0"/>
    <n v="70000"/>
    <n v="70000"/>
    <n v="68658.906184830004"/>
    <n v="68658.906184830004"/>
    <m/>
    <n v="1341.0938151699957"/>
    <n v="-590580.79887533048"/>
  </r>
  <r>
    <x v="2"/>
    <x v="4"/>
    <d v="2015-11-17T00:00:00"/>
    <d v="2015-11-17T00:00:00"/>
    <n v="0"/>
    <n v="70000"/>
    <n v="70000"/>
    <n v="68457.210727230005"/>
    <n v="68457.210727230005"/>
    <m/>
    <n v="1542.7892727699946"/>
    <n v="-589038.00960256043"/>
  </r>
  <r>
    <x v="2"/>
    <x v="4"/>
    <d v="2015-11-18T00:00:00"/>
    <d v="2015-11-18T00:00:00"/>
    <n v="0"/>
    <n v="70000"/>
    <n v="70000"/>
    <n v="68683.985422650003"/>
    <n v="68683.985422650003"/>
    <m/>
    <n v="1316.0145773499971"/>
    <n v="-587721.99502521043"/>
  </r>
  <r>
    <x v="2"/>
    <x v="4"/>
    <d v="2015-11-19T00:00:00"/>
    <d v="2015-11-19T00:00:00"/>
    <n v="0"/>
    <n v="64860"/>
    <n v="64860"/>
    <n v="60948.803494800006"/>
    <n v="60948.803494800006"/>
    <m/>
    <n v="3911.1965051999941"/>
    <n v="-583810.79852001043"/>
  </r>
  <r>
    <x v="2"/>
    <x v="4"/>
    <d v="2015-11-20T00:00:00"/>
    <d v="2015-11-20T00:00:00"/>
    <n v="0"/>
    <n v="65000"/>
    <n v="65000"/>
    <n v="67850.469465948001"/>
    <n v="67850.469465948001"/>
    <m/>
    <n v="-2850.469465948001"/>
    <n v="-586661.26798595837"/>
  </r>
  <r>
    <x v="2"/>
    <x v="4"/>
    <d v="2015-11-21T00:00:00"/>
    <d v="2015-11-21T00:00:00"/>
    <n v="0"/>
    <n v="65000"/>
    <n v="65000"/>
    <n v="66987.648903239999"/>
    <n v="66987.648903239999"/>
    <m/>
    <n v="-1987.6489032399986"/>
    <n v="-588648.91688919836"/>
  </r>
  <r>
    <x v="2"/>
    <x v="4"/>
    <d v="2015-11-22T00:00:00"/>
    <d v="2015-11-22T00:00:00"/>
    <n v="0"/>
    <n v="65000"/>
    <n v="65000"/>
    <n v="63031.621874130004"/>
    <n v="63031.621874130004"/>
    <m/>
    <n v="1968.3781258699964"/>
    <n v="-586680.53876332834"/>
  </r>
  <r>
    <x v="2"/>
    <x v="4"/>
    <d v="2015-11-23T00:00:00"/>
    <d v="2015-11-23T00:00:00"/>
    <n v="0"/>
    <n v="65000"/>
    <n v="65000"/>
    <n v="69641.555459580006"/>
    <n v="69641.555459580006"/>
    <m/>
    <n v="-4641.5554595800058"/>
    <n v="-591322.09422290837"/>
  </r>
  <r>
    <x v="2"/>
    <x v="4"/>
    <d v="2015-11-24T00:00:00"/>
    <d v="2015-11-24T00:00:00"/>
    <n v="0"/>
    <n v="60000"/>
    <n v="60000"/>
    <n v="71119.003121009999"/>
    <n v="71119.003121009999"/>
    <m/>
    <n v="-11119.003121009999"/>
    <n v="-602441.0973439184"/>
  </r>
  <r>
    <x v="2"/>
    <x v="4"/>
    <d v="2015-11-25T00:00:00"/>
    <d v="2015-11-25T00:00:00"/>
    <n v="6000"/>
    <n v="66000"/>
    <n v="60000"/>
    <n v="71846.33893047001"/>
    <n v="71846.33893047001"/>
    <m/>
    <n v="-11846.33893047001"/>
    <n v="-614287.43627438846"/>
  </r>
  <r>
    <x v="2"/>
    <x v="4"/>
    <d v="2015-11-26T00:00:00"/>
    <d v="2015-11-26T00:00:00"/>
    <n v="0"/>
    <n v="68000"/>
    <n v="68000"/>
    <n v="68900.675345190015"/>
    <n v="68900.675345190015"/>
    <m/>
    <n v="-900.67534519001492"/>
    <n v="-615188.11161957844"/>
  </r>
  <r>
    <x v="2"/>
    <x v="4"/>
    <d v="2015-11-27T00:00:00"/>
    <d v="2015-11-27T00:00:00"/>
    <n v="0"/>
    <n v="68000"/>
    <n v="68000"/>
    <n v="69693.808610790002"/>
    <n v="69693.808610790002"/>
    <m/>
    <n v="-1693.8086107900017"/>
    <n v="-616881.92023036839"/>
  </r>
  <r>
    <x v="2"/>
    <x v="4"/>
    <d v="2015-11-28T00:00:00"/>
    <d v="2015-11-28T00:00:00"/>
    <n v="0"/>
    <n v="68000"/>
    <n v="68000"/>
    <n v="61058.901917520001"/>
    <n v="61058.901917520001"/>
    <m/>
    <n v="6941.098082479999"/>
    <n v="-609940.82214788836"/>
  </r>
  <r>
    <x v="2"/>
    <x v="4"/>
    <d v="2015-11-29T00:00:00"/>
    <d v="2015-11-29T00:00:00"/>
    <n v="0"/>
    <n v="68000"/>
    <n v="68000"/>
    <n v="63812.935861739999"/>
    <n v="63812.935861739999"/>
    <m/>
    <n v="4187.0641382600006"/>
    <n v="-605753.75800962839"/>
  </r>
  <r>
    <x v="2"/>
    <x v="4"/>
    <d v="2015-11-30T00:00:00"/>
    <d v="2015-11-30T00:00:00"/>
    <n v="0"/>
    <n v="68000"/>
    <n v="68000"/>
    <n v="66741.747260760007"/>
    <n v="66741.747260760007"/>
    <m/>
    <n v="1258.2527392399934"/>
    <n v="-604495.50527038844"/>
  </r>
  <r>
    <x v="2"/>
    <x v="5"/>
    <d v="2015-12-01T00:00:00"/>
    <d v="2015-12-01T00:00:00"/>
    <n v="0"/>
    <n v="70000"/>
    <n v="70000"/>
    <n v="71370.345233070009"/>
    <n v="71370.345233070009"/>
    <m/>
    <n v="-1370.3452330700093"/>
    <n v="-605865.85050345841"/>
  </r>
  <r>
    <x v="2"/>
    <x v="5"/>
    <d v="2015-12-02T00:00:00"/>
    <d v="2015-12-02T00:00:00"/>
    <n v="0"/>
    <n v="65000"/>
    <n v="65000"/>
    <n v="72521.659490786988"/>
    <n v="72521.659490786988"/>
    <m/>
    <n v="-7521.6594907869876"/>
    <n v="-613387.50999424537"/>
  </r>
  <r>
    <x v="2"/>
    <x v="5"/>
    <d v="2015-12-03T00:00:00"/>
    <d v="2015-12-03T00:00:00"/>
    <n v="0"/>
    <n v="67000"/>
    <n v="67000"/>
    <n v="70222.463020710013"/>
    <n v="70222.463020710013"/>
    <m/>
    <n v="-3222.4630207100126"/>
    <n v="-616609.97301495541"/>
  </r>
  <r>
    <x v="2"/>
    <x v="5"/>
    <d v="2015-12-04T00:00:00"/>
    <d v="2015-12-04T00:00:00"/>
    <n v="0"/>
    <n v="67000"/>
    <n v="67000"/>
    <n v="73059.677384850002"/>
    <n v="73059.677384850002"/>
    <m/>
    <n v="-6059.6773848500015"/>
    <n v="-622669.6503998054"/>
  </r>
  <r>
    <x v="2"/>
    <x v="5"/>
    <d v="2015-12-05T00:00:00"/>
    <d v="2015-12-05T00:00:00"/>
    <n v="0"/>
    <n v="67000"/>
    <n v="67000"/>
    <n v="72158.995324260002"/>
    <n v="72158.995324260002"/>
    <m/>
    <n v="-5158.9953242600022"/>
    <n v="-627828.64572406537"/>
  </r>
  <r>
    <x v="2"/>
    <x v="5"/>
    <d v="2015-12-06T00:00:00"/>
    <d v="2015-12-06T00:00:00"/>
    <n v="0"/>
    <n v="67000"/>
    <n v="67000"/>
    <n v="69703.391040660004"/>
    <n v="69703.391040660004"/>
    <m/>
    <n v="-2703.3910406600044"/>
    <n v="-630532.03676472534"/>
  </r>
  <r>
    <x v="2"/>
    <x v="5"/>
    <d v="2015-12-07T00:00:00"/>
    <d v="2015-12-07T00:00:00"/>
    <n v="0"/>
    <n v="67000"/>
    <n v="67000"/>
    <n v="69377.136316371005"/>
    <n v="69377.136316371005"/>
    <m/>
    <n v="-2377.1363163710048"/>
    <n v="-632909.17308109638"/>
  </r>
  <r>
    <x v="2"/>
    <x v="5"/>
    <d v="2015-12-08T00:00:00"/>
    <d v="2015-12-08T00:00:00"/>
    <n v="0"/>
    <n v="70000"/>
    <n v="70000"/>
    <n v="70879.313471148009"/>
    <n v="70879.313471148009"/>
    <m/>
    <n v="-879.31347114800883"/>
    <n v="-633788.4865522444"/>
  </r>
  <r>
    <x v="2"/>
    <x v="5"/>
    <d v="2015-12-09T00:00:00"/>
    <d v="2015-12-09T00:00:00"/>
    <n v="0"/>
    <n v="65003"/>
    <n v="65003"/>
    <n v="68695.018012529996"/>
    <n v="68695.018012529996"/>
    <m/>
    <n v="-3692.0180125299958"/>
    <n v="-637480.50456477446"/>
  </r>
  <r>
    <x v="2"/>
    <x v="5"/>
    <d v="2015-12-10T00:00:00"/>
    <d v="2015-12-10T00:00:00"/>
    <n v="0"/>
    <n v="70000"/>
    <n v="70000"/>
    <n v="69155.554710294004"/>
    <n v="69155.554710294004"/>
    <m/>
    <n v="844.4452897059964"/>
    <n v="-636636.05927506846"/>
  </r>
  <r>
    <x v="2"/>
    <x v="5"/>
    <d v="2015-12-11T00:00:00"/>
    <d v="2015-12-11T00:00:00"/>
    <n v="0"/>
    <n v="71000"/>
    <n v="71000"/>
    <n v="72853.337623950007"/>
    <n v="72853.337623950007"/>
    <m/>
    <n v="-1853.3376239500067"/>
    <n v="-638489.39689901844"/>
  </r>
  <r>
    <x v="2"/>
    <x v="5"/>
    <d v="2015-12-12T00:00:00"/>
    <d v="2015-12-12T00:00:00"/>
    <n v="0"/>
    <n v="70000"/>
    <n v="70000"/>
    <n v="71202.837534659993"/>
    <n v="71202.837534659993"/>
    <m/>
    <n v="-1202.8375346599933"/>
    <n v="-639692.23443367844"/>
  </r>
  <r>
    <x v="2"/>
    <x v="5"/>
    <d v="2015-12-13T00:00:00"/>
    <d v="2015-12-13T00:00:00"/>
    <n v="0"/>
    <n v="69648"/>
    <n v="69648"/>
    <n v="68981.533613460007"/>
    <n v="68981.533613460007"/>
    <m/>
    <n v="666.46638653999253"/>
    <n v="-639025.76804713847"/>
  </r>
  <r>
    <x v="2"/>
    <x v="5"/>
    <d v="2015-12-14T00:00:00"/>
    <d v="2015-12-14T00:00:00"/>
    <n v="0"/>
    <n v="69981"/>
    <n v="69981"/>
    <n v="66854.490092909997"/>
    <n v="66854.490092909997"/>
    <m/>
    <n v="3126.5099070900033"/>
    <n v="-635899.25814004848"/>
  </r>
  <r>
    <x v="2"/>
    <x v="5"/>
    <d v="2015-12-15T00:00:00"/>
    <d v="2015-12-15T00:00:00"/>
    <n v="0"/>
    <n v="71000"/>
    <n v="71000"/>
    <n v="73523.16937602"/>
    <n v="73523.16937602"/>
    <m/>
    <n v="-2523.1693760199996"/>
    <n v="-638422.42751606845"/>
  </r>
  <r>
    <x v="2"/>
    <x v="5"/>
    <d v="2015-12-16T00:00:00"/>
    <d v="2015-12-16T00:00:00"/>
    <n v="0"/>
    <n v="70757"/>
    <n v="70757"/>
    <n v="73931.28041988"/>
    <n v="73931.28041988"/>
    <m/>
    <n v="-3174.2804198800004"/>
    <n v="-641596.70793594839"/>
  </r>
  <r>
    <x v="2"/>
    <x v="5"/>
    <d v="2015-12-17T00:00:00"/>
    <d v="2015-12-17T00:00:00"/>
    <n v="0"/>
    <n v="70000"/>
    <n v="70000"/>
    <n v="72689.659106220002"/>
    <n v="72689.659106220002"/>
    <m/>
    <n v="-2689.6591062200023"/>
    <n v="-644286.36704216839"/>
  </r>
  <r>
    <x v="2"/>
    <x v="5"/>
    <d v="2015-12-18T00:00:00"/>
    <d v="2015-12-18T00:00:00"/>
    <n v="0"/>
    <n v="71000"/>
    <n v="71000"/>
    <n v="69245.292128220011"/>
    <n v="69245.292128220011"/>
    <m/>
    <n v="1754.7078717799886"/>
    <n v="-642531.65917038836"/>
  </r>
  <r>
    <x v="2"/>
    <x v="5"/>
    <d v="2015-12-19T00:00:00"/>
    <d v="2015-12-19T00:00:00"/>
    <n v="0"/>
    <n v="70001"/>
    <n v="70001"/>
    <n v="69743.456213067009"/>
    <n v="69743.456213067009"/>
    <m/>
    <n v="257.54378693299077"/>
    <n v="-642274.11538345541"/>
  </r>
  <r>
    <x v="2"/>
    <x v="5"/>
    <d v="2015-12-20T00:00:00"/>
    <d v="2015-12-20T00:00:00"/>
    <n v="0"/>
    <n v="70000"/>
    <n v="70000"/>
    <n v="66089.37429783"/>
    <n v="66089.37429783"/>
    <m/>
    <n v="3910.6257021700003"/>
    <n v="-638363.48968128546"/>
  </r>
  <r>
    <x v="2"/>
    <x v="5"/>
    <d v="2015-12-21T00:00:00"/>
    <d v="2015-12-21T00:00:00"/>
    <n v="0"/>
    <n v="70000"/>
    <n v="70000"/>
    <n v="68045.877105570005"/>
    <n v="68045.877105570005"/>
    <m/>
    <n v="1954.1228944299946"/>
    <n v="-636409.36678685551"/>
  </r>
  <r>
    <x v="2"/>
    <x v="5"/>
    <d v="2015-12-22T00:00:00"/>
    <d v="2015-12-22T00:00:00"/>
    <n v="0"/>
    <n v="70000"/>
    <n v="70000"/>
    <n v="69855.107160033003"/>
    <n v="69855.107160033003"/>
    <m/>
    <n v="144.89283996699669"/>
    <n v="-636264.47394688847"/>
  </r>
  <r>
    <x v="2"/>
    <x v="5"/>
    <d v="2015-12-23T00:00:00"/>
    <d v="2015-12-23T00:00:00"/>
    <n v="0"/>
    <n v="70000"/>
    <n v="70000"/>
    <n v="69655.933843470004"/>
    <n v="69655.933843470004"/>
    <m/>
    <n v="344.06615652999608"/>
    <n v="-635920.40779035841"/>
  </r>
  <r>
    <x v="2"/>
    <x v="5"/>
    <d v="2015-12-24T00:00:00"/>
    <d v="2015-12-24T00:00:00"/>
    <n v="0"/>
    <n v="70000"/>
    <n v="70000"/>
    <n v="68294.157768720004"/>
    <n v="68294.157768720004"/>
    <m/>
    <n v="1705.8422312799958"/>
    <n v="-634214.56555907847"/>
  </r>
  <r>
    <x v="2"/>
    <x v="5"/>
    <d v="2015-12-25T00:00:00"/>
    <d v="2015-12-25T00:00:00"/>
    <n v="0"/>
    <n v="68000"/>
    <n v="68000"/>
    <n v="60881.186230020008"/>
    <n v="60881.186230020008"/>
    <m/>
    <n v="7118.8137699799918"/>
    <n v="-627095.75178909849"/>
  </r>
  <r>
    <x v="2"/>
    <x v="5"/>
    <d v="2015-12-26T00:00:00"/>
    <d v="2015-12-26T00:00:00"/>
    <n v="0"/>
    <n v="67999"/>
    <n v="67999"/>
    <n v="70354.68349221001"/>
    <n v="70354.68349221001"/>
    <m/>
    <n v="-2355.6834922100097"/>
    <n v="-629451.43528130848"/>
  </r>
  <r>
    <x v="2"/>
    <x v="5"/>
    <d v="2015-12-27T00:00:00"/>
    <d v="2015-12-27T00:00:00"/>
    <n v="0"/>
    <n v="63651"/>
    <n v="63651"/>
    <n v="70365.071566529994"/>
    <n v="70365.071566529994"/>
    <m/>
    <n v="-6714.071566529994"/>
    <n v="-636165.50684783852"/>
  </r>
  <r>
    <x v="2"/>
    <x v="5"/>
    <d v="2015-12-28T00:00:00"/>
    <d v="2015-12-28T00:00:00"/>
    <n v="0"/>
    <n v="48679"/>
    <n v="48679"/>
    <n v="68189.528250090007"/>
    <n v="68189.528250090007"/>
    <m/>
    <n v="-19510.528250090007"/>
    <n v="-655676.03509792848"/>
  </r>
  <r>
    <x v="2"/>
    <x v="5"/>
    <d v="2015-12-29T00:00:00"/>
    <d v="2015-12-29T00:00:00"/>
    <n v="0"/>
    <n v="68000"/>
    <n v="68000"/>
    <n v="70150.79857734"/>
    <n v="70150.79857734"/>
    <m/>
    <n v="-2150.7985773399996"/>
    <n v="-657826.83367526846"/>
  </r>
  <r>
    <x v="2"/>
    <x v="5"/>
    <d v="2015-12-30T00:00:00"/>
    <d v="2015-12-30T00:00:00"/>
    <n v="0"/>
    <n v="68000"/>
    <n v="68000"/>
    <n v="68582.948130450008"/>
    <n v="68582.948130450008"/>
    <m/>
    <n v="-582.94813045000774"/>
    <n v="-658409.78180571843"/>
  </r>
  <r>
    <x v="2"/>
    <x v="5"/>
    <d v="2015-12-31T00:00:00"/>
    <d v="2015-12-31T00:00:00"/>
    <n v="0"/>
    <n v="68000"/>
    <n v="68000"/>
    <n v="60423.700288842425"/>
    <n v="60423.700288842425"/>
    <m/>
    <n v="7576.2997111575751"/>
    <n v="-650833.48209456087"/>
  </r>
  <r>
    <x v="3"/>
    <x v="6"/>
    <d v="2016-01-01T00:00:00"/>
    <d v="2016-01-01T00:00:00"/>
    <n v="0"/>
    <n v="64993"/>
    <n v="64993"/>
    <n v="55517.129656559999"/>
    <n v="55517.129656559999"/>
    <m/>
    <n v="9475.8703434400013"/>
    <n v="-641357.61175112089"/>
  </r>
  <r>
    <x v="3"/>
    <x v="6"/>
    <d v="2016-01-02T00:00:00"/>
    <d v="2016-01-02T00:00:00"/>
    <n v="0"/>
    <n v="64993"/>
    <n v="64993"/>
    <n v="66550.98013317"/>
    <n v="66550.98013317"/>
    <m/>
    <n v="-1557.98013317"/>
    <n v="-642915.59188429092"/>
  </r>
  <r>
    <x v="3"/>
    <x v="6"/>
    <d v="2016-01-03T00:00:00"/>
    <d v="2016-01-03T00:00:00"/>
    <n v="0"/>
    <n v="64993"/>
    <n v="64993"/>
    <n v="66878.948510595001"/>
    <n v="66878.948510595001"/>
    <m/>
    <n v="-1885.9485105950007"/>
    <n v="-644801.54039488593"/>
  </r>
  <r>
    <x v="3"/>
    <x v="6"/>
    <d v="2016-01-04T00:00:00"/>
    <d v="2016-01-04T00:00:00"/>
    <n v="0"/>
    <n v="64993"/>
    <n v="64993"/>
    <n v="64496.984868809996"/>
    <n v="64496.984868809996"/>
    <m/>
    <n v="496.01513119000447"/>
    <n v="-644305.52526369598"/>
  </r>
  <r>
    <x v="3"/>
    <x v="6"/>
    <d v="2016-01-05T00:00:00"/>
    <d v="2016-01-05T00:00:00"/>
    <n v="0"/>
    <n v="69984"/>
    <n v="69984"/>
    <n v="67587.247415610007"/>
    <n v="67587.247415610007"/>
    <m/>
    <n v="2396.752584389993"/>
    <n v="-641908.77267930598"/>
  </r>
  <r>
    <x v="3"/>
    <x v="6"/>
    <d v="2016-01-06T00:00:00"/>
    <d v="2016-01-06T00:00:00"/>
    <n v="0"/>
    <n v="70000"/>
    <n v="70000"/>
    <n v="70601.624889939005"/>
    <n v="70601.624889939005"/>
    <m/>
    <n v="-601.62488993900479"/>
    <n v="-642510.39756924496"/>
  </r>
  <r>
    <x v="3"/>
    <x v="6"/>
    <d v="2016-01-07T00:00:00"/>
    <d v="2016-01-07T00:00:00"/>
    <n v="0"/>
    <n v="70000"/>
    <n v="70000"/>
    <n v="72509.441181840011"/>
    <n v="72509.441181840011"/>
    <m/>
    <n v="-2509.4411818400113"/>
    <n v="-645019.83875108499"/>
  </r>
  <r>
    <x v="3"/>
    <x v="6"/>
    <d v="2016-01-08T00:00:00"/>
    <d v="2016-01-08T00:00:00"/>
    <n v="0"/>
    <n v="68000"/>
    <n v="68000"/>
    <n v="71748.581085090002"/>
    <n v="71748.581085090002"/>
    <m/>
    <n v="-3748.5810850900016"/>
    <n v="-648768.41983617493"/>
  </r>
  <r>
    <x v="3"/>
    <x v="6"/>
    <d v="2016-01-09T00:00:00"/>
    <d v="2016-01-09T00:00:00"/>
    <n v="0"/>
    <n v="68000"/>
    <n v="68000"/>
    <n v="65760.965185499997"/>
    <n v="65760.965185499997"/>
    <m/>
    <n v="2239.0348145000025"/>
    <n v="-646529.38502167491"/>
  </r>
  <r>
    <x v="3"/>
    <x v="6"/>
    <d v="2016-01-10T00:00:00"/>
    <d v="2016-01-10T00:00:00"/>
    <n v="0"/>
    <n v="68000"/>
    <n v="68000"/>
    <n v="64542.499041149997"/>
    <n v="64542.499041149997"/>
    <m/>
    <n v="3457.5009588500034"/>
    <n v="-643071.88406282489"/>
  </r>
  <r>
    <x v="3"/>
    <x v="6"/>
    <d v="2016-01-11T00:00:00"/>
    <d v="2016-01-11T00:00:00"/>
    <n v="0"/>
    <n v="68000"/>
    <n v="68000"/>
    <n v="67510.559542140007"/>
    <n v="67510.559542140007"/>
    <m/>
    <n v="489.44045785999333"/>
    <n v="-642582.44360496488"/>
  </r>
  <r>
    <x v="3"/>
    <x v="6"/>
    <d v="2016-01-12T00:00:00"/>
    <d v="2016-01-12T00:00:00"/>
    <n v="0"/>
    <n v="70000"/>
    <n v="70000"/>
    <n v="68699.671793999994"/>
    <n v="68699.671793999994"/>
    <m/>
    <n v="1300.3282060000056"/>
    <n v="-641282.11539896484"/>
  </r>
  <r>
    <x v="3"/>
    <x v="6"/>
    <d v="2016-01-13T00:00:00"/>
    <d v="2016-01-13T00:00:00"/>
    <n v="0"/>
    <n v="72000"/>
    <n v="72000"/>
    <n v="70357.972417200013"/>
    <n v="70357.972417200013"/>
    <m/>
    <n v="1642.0275827999867"/>
    <n v="-639640.08781616483"/>
  </r>
  <r>
    <x v="3"/>
    <x v="6"/>
    <d v="2016-01-14T00:00:00"/>
    <d v="2016-01-14T00:00:00"/>
    <n v="0"/>
    <n v="70000"/>
    <n v="70000"/>
    <n v="69454.827928044004"/>
    <n v="69454.827928044004"/>
    <m/>
    <n v="545.17207195599622"/>
    <n v="-639094.91574420885"/>
  </r>
  <r>
    <x v="3"/>
    <x v="6"/>
    <d v="2016-01-15T00:00:00"/>
    <d v="2016-01-15T00:00:00"/>
    <n v="0"/>
    <n v="70000"/>
    <n v="70000"/>
    <n v="70094.242336950003"/>
    <n v="70094.242336950003"/>
    <m/>
    <n v="-94.242336950002937"/>
    <n v="-639189.15808115888"/>
  </r>
  <r>
    <x v="3"/>
    <x v="6"/>
    <d v="2016-01-16T00:00:00"/>
    <d v="2016-01-16T00:00:00"/>
    <n v="0"/>
    <n v="70000"/>
    <n v="70000"/>
    <n v="69570.120387924006"/>
    <n v="69570.120387924006"/>
    <m/>
    <n v="429.87961207599437"/>
    <n v="-638759.2784690829"/>
  </r>
  <r>
    <x v="3"/>
    <x v="6"/>
    <d v="2016-01-17T00:00:00"/>
    <d v="2016-01-17T00:00:00"/>
    <n v="0"/>
    <n v="70000"/>
    <n v="70000"/>
    <n v="68591.364745409999"/>
    <n v="68591.364745409999"/>
    <m/>
    <n v="1408.6352545900008"/>
    <n v="-637350.64321449294"/>
  </r>
  <r>
    <x v="3"/>
    <x v="6"/>
    <d v="2016-01-18T00:00:00"/>
    <d v="2016-01-18T00:00:00"/>
    <n v="0"/>
    <n v="70000"/>
    <n v="70000"/>
    <n v="67700.246158349997"/>
    <n v="67700.246158349997"/>
    <m/>
    <n v="2299.7538416500029"/>
    <n v="-635050.88937284297"/>
  </r>
  <r>
    <x v="3"/>
    <x v="6"/>
    <d v="2016-01-19T00:00:00"/>
    <d v="2016-01-19T00:00:00"/>
    <n v="0"/>
    <n v="70000"/>
    <n v="70000"/>
    <n v="67311.148323510002"/>
    <n v="67311.148323510002"/>
    <m/>
    <n v="2688.8516764899978"/>
    <n v="-632362.03769635293"/>
  </r>
  <r>
    <x v="3"/>
    <x v="6"/>
    <d v="2016-01-20T00:00:00"/>
    <d v="2016-01-20T00:00:00"/>
    <n v="0"/>
    <n v="70000"/>
    <n v="70000"/>
    <n v="66039.613905329999"/>
    <n v="66039.613905329999"/>
    <m/>
    <n v="3960.3860946700006"/>
    <n v="-628401.65160168288"/>
  </r>
  <r>
    <x v="3"/>
    <x v="6"/>
    <d v="2016-01-21T00:00:00"/>
    <d v="2016-01-21T00:00:00"/>
    <n v="0"/>
    <n v="70000"/>
    <n v="70000"/>
    <n v="69947.188529399995"/>
    <n v="69947.188529399995"/>
    <m/>
    <n v="52.811470600005123"/>
    <n v="-628348.84013108292"/>
  </r>
  <r>
    <x v="3"/>
    <x v="6"/>
    <d v="2016-01-22T00:00:00"/>
    <d v="2016-01-22T00:00:00"/>
    <n v="0"/>
    <n v="60000"/>
    <n v="60000"/>
    <n v="70151.879088720001"/>
    <n v="70151.879088720001"/>
    <m/>
    <n v="-10151.879088720001"/>
    <n v="-638500.71921980288"/>
  </r>
  <r>
    <x v="3"/>
    <x v="6"/>
    <d v="2016-01-23T00:00:00"/>
    <d v="2016-01-23T00:00:00"/>
    <n v="0"/>
    <n v="60000"/>
    <n v="60000"/>
    <n v="68216.910683220005"/>
    <n v="68216.910683220005"/>
    <m/>
    <n v="-8216.910683220005"/>
    <n v="-646717.6299030229"/>
  </r>
  <r>
    <x v="3"/>
    <x v="6"/>
    <d v="2016-01-24T00:00:00"/>
    <d v="2016-01-24T00:00:00"/>
    <n v="0"/>
    <n v="60000"/>
    <n v="60000"/>
    <n v="69159.088172070013"/>
    <n v="69159.088172070013"/>
    <m/>
    <n v="-9159.0881720700127"/>
    <n v="-655876.71807509288"/>
  </r>
  <r>
    <x v="3"/>
    <x v="6"/>
    <d v="2016-01-25T00:00:00"/>
    <d v="2016-01-25T00:00:00"/>
    <n v="0"/>
    <n v="60000"/>
    <n v="60000"/>
    <n v="70206.904604654992"/>
    <n v="70206.904604654992"/>
    <m/>
    <n v="-10206.904604654992"/>
    <n v="-666083.62267974787"/>
  </r>
  <r>
    <x v="3"/>
    <x v="6"/>
    <d v="2016-01-26T00:00:00"/>
    <d v="2016-01-26T00:00:00"/>
    <n v="0"/>
    <n v="60000"/>
    <n v="60000"/>
    <n v="70541.583526440008"/>
    <n v="70541.583526440008"/>
    <m/>
    <n v="-10541.583526440008"/>
    <n v="-676625.20620618784"/>
  </r>
  <r>
    <x v="3"/>
    <x v="6"/>
    <d v="2016-01-27T00:00:00"/>
    <d v="2016-01-27T00:00:00"/>
    <n v="0"/>
    <n v="60000"/>
    <n v="60000"/>
    <n v="70536.863397780005"/>
    <n v="70536.863397780005"/>
    <m/>
    <n v="-10536.863397780005"/>
    <n v="-687162.06960396783"/>
  </r>
  <r>
    <x v="3"/>
    <x v="6"/>
    <d v="2016-01-28T00:00:00"/>
    <d v="2016-01-28T00:00:00"/>
    <n v="0"/>
    <n v="70000"/>
    <n v="70000"/>
    <n v="68530.505415840002"/>
    <n v="68530.505415840002"/>
    <m/>
    <n v="1469.4945841599983"/>
    <n v="-685692.57501980779"/>
  </r>
  <r>
    <x v="3"/>
    <x v="6"/>
    <d v="2016-01-29T00:00:00"/>
    <d v="2016-01-29T00:00:00"/>
    <n v="0"/>
    <n v="68000"/>
    <n v="68000"/>
    <n v="70286.886142200005"/>
    <n v="70286.886142200005"/>
    <m/>
    <n v="-2286.8861422000045"/>
    <n v="-687979.46116200776"/>
  </r>
  <r>
    <x v="3"/>
    <x v="6"/>
    <d v="2016-01-30T00:00:00"/>
    <d v="2016-01-30T00:00:00"/>
    <n v="0"/>
    <n v="68000"/>
    <n v="68000"/>
    <n v="70369.422046559994"/>
    <n v="70369.422046559994"/>
    <m/>
    <n v="-2369.4220465599938"/>
    <n v="-690348.88320856774"/>
  </r>
  <r>
    <x v="3"/>
    <x v="6"/>
    <d v="2016-01-31T00:00:00"/>
    <d v="2016-01-31T00:00:00"/>
    <n v="0"/>
    <n v="68000"/>
    <n v="68000"/>
    <n v="70613.465967720011"/>
    <n v="70613.465967720011"/>
    <m/>
    <n v="-2613.4659677200107"/>
    <n v="-692962.34917628777"/>
  </r>
  <r>
    <x v="3"/>
    <x v="7"/>
    <d v="2016-02-01T00:00:00"/>
    <d v="2016-02-01T00:00:00"/>
    <n v="2000"/>
    <n v="70000"/>
    <n v="68000"/>
    <n v="72976.819222710008"/>
    <n v="72976.819222710008"/>
    <m/>
    <n v="-4976.819222710008"/>
    <n v="-697939.16839899775"/>
  </r>
  <r>
    <x v="3"/>
    <x v="7"/>
    <d v="2016-02-02T00:00:00"/>
    <d v="2016-02-02T00:00:00"/>
    <n v="0"/>
    <n v="68052"/>
    <n v="68052"/>
    <n v="74864.169302130002"/>
    <n v="74864.169302130002"/>
    <m/>
    <n v="-6812.1693021300016"/>
    <n v="-704751.33770112775"/>
  </r>
  <r>
    <x v="3"/>
    <x v="7"/>
    <d v="2016-02-03T00:00:00"/>
    <d v="2016-02-03T00:00:00"/>
    <n v="0"/>
    <n v="72000"/>
    <n v="72000"/>
    <n v="70694.798144490007"/>
    <n v="70694.798144490007"/>
    <m/>
    <n v="1305.201855509993"/>
    <n v="-703446.13584561774"/>
  </r>
  <r>
    <x v="3"/>
    <x v="7"/>
    <d v="2016-02-04T00:00:00"/>
    <d v="2016-02-04T00:00:00"/>
    <n v="0"/>
    <n v="72000"/>
    <n v="72000"/>
    <n v="70611.437639340002"/>
    <n v="70611.437639340002"/>
    <m/>
    <n v="1388.5623606599984"/>
    <n v="-702057.57348495768"/>
  </r>
  <r>
    <x v="3"/>
    <x v="7"/>
    <d v="2016-02-05T00:00:00"/>
    <d v="2016-02-05T00:00:00"/>
    <n v="0"/>
    <n v="73000"/>
    <n v="73000"/>
    <n v="59509.211644350005"/>
    <n v="59509.211644350005"/>
    <m/>
    <n v="13490.788355649995"/>
    <n v="-688566.78512930765"/>
  </r>
  <r>
    <x v="3"/>
    <x v="7"/>
    <d v="2016-02-06T00:00:00"/>
    <d v="2016-02-06T00:00:00"/>
    <n v="0"/>
    <n v="68000"/>
    <n v="68000"/>
    <n v="39789.357660000001"/>
    <n v="39789.357660000001"/>
    <m/>
    <n v="28210.642339999999"/>
    <n v="-660356.14278930763"/>
  </r>
  <r>
    <x v="3"/>
    <x v="7"/>
    <d v="2016-02-07T00:00:00"/>
    <d v="2016-02-07T00:00:00"/>
    <n v="-830"/>
    <n v="67170"/>
    <n v="68000"/>
    <n v="58302.062434980005"/>
    <n v="58302.062434980005"/>
    <m/>
    <n v="9697.9375650199945"/>
    <n v="-650658.2052242877"/>
  </r>
  <r>
    <x v="3"/>
    <x v="7"/>
    <d v="2016-02-08T00:00:00"/>
    <d v="2016-02-08T00:00:00"/>
    <n v="0"/>
    <n v="68000"/>
    <n v="68000"/>
    <n v="70537.536347850008"/>
    <n v="70537.536347850008"/>
    <m/>
    <n v="-2537.5363478500076"/>
    <n v="-653195.74157213769"/>
  </r>
  <r>
    <x v="3"/>
    <x v="7"/>
    <d v="2016-02-09T00:00:00"/>
    <d v="2016-02-09T00:00:00"/>
    <n v="0"/>
    <n v="60000"/>
    <n v="60000"/>
    <n v="70803.057802230003"/>
    <n v="70803.057802230003"/>
    <m/>
    <n v="-10803.057802230003"/>
    <n v="-663998.79937436769"/>
  </r>
  <r>
    <x v="3"/>
    <x v="7"/>
    <d v="2016-02-10T00:00:00"/>
    <d v="2016-02-10T00:00:00"/>
    <n v="0"/>
    <n v="69000"/>
    <n v="69000"/>
    <n v="53701.81366914"/>
    <n v="53701.81366914"/>
    <m/>
    <n v="15298.18633086"/>
    <n v="-648700.61304350768"/>
  </r>
  <r>
    <x v="3"/>
    <x v="7"/>
    <d v="2016-02-11T00:00:00"/>
    <d v="2016-02-11T00:00:00"/>
    <n v="0"/>
    <n v="69000"/>
    <n v="69000"/>
    <n v="69660.587624940003"/>
    <n v="69660.587624940003"/>
    <m/>
    <n v="-660.58762494000257"/>
    <n v="-649361.20066844765"/>
  </r>
  <r>
    <x v="3"/>
    <x v="7"/>
    <d v="2016-02-12T00:00:00"/>
    <d v="2016-02-12T00:00:00"/>
    <n v="0"/>
    <n v="70000"/>
    <n v="70000"/>
    <n v="70272.858450600004"/>
    <n v="70272.858450600004"/>
    <m/>
    <n v="-272.85845060000429"/>
    <n v="-649634.0591190476"/>
  </r>
  <r>
    <x v="3"/>
    <x v="7"/>
    <d v="2016-02-13T00:00:00"/>
    <d v="2016-02-13T00:00:00"/>
    <n v="0"/>
    <n v="67000"/>
    <n v="67000"/>
    <n v="70483.785645779994"/>
    <n v="70483.785645779994"/>
    <m/>
    <n v="-3483.7856457799935"/>
    <n v="-653117.84476482763"/>
  </r>
  <r>
    <x v="3"/>
    <x v="7"/>
    <d v="2016-02-14T00:00:00"/>
    <d v="2016-02-14T00:00:00"/>
    <n v="0"/>
    <n v="67000"/>
    <n v="67000"/>
    <n v="70768.115580707992"/>
    <n v="70768.115580707992"/>
    <m/>
    <n v="-3768.1155807079922"/>
    <n v="-656885.96034553566"/>
  </r>
  <r>
    <x v="3"/>
    <x v="7"/>
    <d v="2016-02-15T00:00:00"/>
    <d v="2016-02-15T00:00:00"/>
    <n v="0"/>
    <n v="67000"/>
    <n v="67000"/>
    <n v="70789.933380230999"/>
    <n v="70789.933380230999"/>
    <m/>
    <n v="-3789.9333802309993"/>
    <n v="-660675.89372576668"/>
  </r>
  <r>
    <x v="3"/>
    <x v="7"/>
    <d v="2016-02-16T00:00:00"/>
    <d v="2016-02-16T00:00:00"/>
    <n v="0"/>
    <n v="67000"/>
    <n v="67000"/>
    <n v="70611.067990710013"/>
    <n v="70611.067990710013"/>
    <m/>
    <n v="-3611.067990710013"/>
    <n v="-664286.96171647671"/>
  </r>
  <r>
    <x v="3"/>
    <x v="7"/>
    <d v="2016-02-17T00:00:00"/>
    <d v="2016-02-17T00:00:00"/>
    <n v="0"/>
    <n v="65000"/>
    <n v="65000"/>
    <n v="70163.912573352005"/>
    <n v="70163.912573352005"/>
    <m/>
    <n v="-5163.912573352005"/>
    <n v="-669450.8742898287"/>
  </r>
  <r>
    <x v="3"/>
    <x v="7"/>
    <d v="2016-02-18T00:00:00"/>
    <d v="2016-02-18T00:00:00"/>
    <n v="0"/>
    <n v="65000"/>
    <n v="65000"/>
    <n v="70675.547981220006"/>
    <n v="70675.547981220006"/>
    <m/>
    <n v="-5675.5479812200065"/>
    <n v="-675126.42227104865"/>
  </r>
  <r>
    <x v="3"/>
    <x v="7"/>
    <d v="2016-02-19T00:00:00"/>
    <d v="2016-02-19T00:00:00"/>
    <n v="0"/>
    <n v="65000"/>
    <n v="65000"/>
    <n v="70808.240465586001"/>
    <n v="70808.240465586001"/>
    <m/>
    <n v="-5808.2404655860009"/>
    <n v="-680934.66273663461"/>
  </r>
  <r>
    <x v="3"/>
    <x v="7"/>
    <d v="2016-02-20T00:00:00"/>
    <d v="2016-02-20T00:00:00"/>
    <n v="0"/>
    <n v="65000"/>
    <n v="65000"/>
    <n v="69434.277359850006"/>
    <n v="69434.277359850006"/>
    <m/>
    <n v="-4434.2773598500062"/>
    <n v="-685368.94009648461"/>
  </r>
  <r>
    <x v="3"/>
    <x v="7"/>
    <d v="2016-02-21T00:00:00"/>
    <d v="2016-02-21T00:00:00"/>
    <n v="0"/>
    <n v="65000"/>
    <n v="65000"/>
    <n v="68944.511881440005"/>
    <n v="68944.511881440005"/>
    <m/>
    <n v="-3944.5118814400048"/>
    <n v="-689313.45197792468"/>
  </r>
  <r>
    <x v="3"/>
    <x v="7"/>
    <d v="2016-02-22T00:00:00"/>
    <d v="2016-02-22T00:00:00"/>
    <n v="0"/>
    <n v="65000"/>
    <n v="65000"/>
    <n v="70411.931639009999"/>
    <n v="70411.931639009999"/>
    <m/>
    <n v="-5411.9316390099993"/>
    <n v="-694725.38361693465"/>
  </r>
  <r>
    <x v="3"/>
    <x v="7"/>
    <d v="2016-02-23T00:00:00"/>
    <d v="2016-02-23T00:00:00"/>
    <n v="0"/>
    <n v="68000"/>
    <n v="68000"/>
    <n v="70381.35506259001"/>
    <n v="70381.35506259001"/>
    <m/>
    <n v="-2381.3550625900098"/>
    <n v="-697106.73867952463"/>
  </r>
  <r>
    <x v="3"/>
    <x v="7"/>
    <d v="2016-02-24T00:00:00"/>
    <d v="2016-02-24T00:00:00"/>
    <n v="0"/>
    <n v="68000"/>
    <n v="68000"/>
    <n v="69221.489481421871"/>
    <n v="69221.489481421871"/>
    <m/>
    <n v="-1221.4894814218715"/>
    <n v="-698328.22816094651"/>
  </r>
  <r>
    <x v="3"/>
    <x v="7"/>
    <d v="2016-02-25T00:00:00"/>
    <d v="2016-02-25T00:00:00"/>
    <n v="0"/>
    <n v="69727"/>
    <n v="69727"/>
    <n v="69206.524340044227"/>
    <n v="69206.524340044227"/>
    <m/>
    <n v="520.47565995577315"/>
    <n v="-697807.75250099075"/>
  </r>
  <r>
    <x v="3"/>
    <x v="7"/>
    <d v="2016-02-26T00:00:00"/>
    <d v="2016-02-26T00:00:00"/>
    <n v="0"/>
    <n v="70000"/>
    <n v="70000"/>
    <n v="69418.072651078124"/>
    <n v="69418.072651078124"/>
    <m/>
    <n v="581.92734892187582"/>
    <n v="-697225.82515206886"/>
  </r>
  <r>
    <x v="3"/>
    <x v="7"/>
    <d v="2016-02-27T00:00:00"/>
    <d v="2016-02-27T00:00:00"/>
    <n v="0"/>
    <n v="70000"/>
    <n v="70000"/>
    <n v="70187.637577824935"/>
    <n v="70187.637577824935"/>
    <m/>
    <n v="-187.63757782493485"/>
    <n v="-697413.46272989386"/>
  </r>
  <r>
    <x v="3"/>
    <x v="7"/>
    <d v="2016-02-28T00:00:00"/>
    <d v="2016-02-28T00:00:00"/>
    <n v="0"/>
    <n v="70000"/>
    <n v="70000"/>
    <n v="69227.82800760938"/>
    <n v="69227.82800760938"/>
    <m/>
    <n v="772.17199239062029"/>
    <n v="-696641.29073750321"/>
  </r>
  <r>
    <x v="3"/>
    <x v="7"/>
    <d v="2016-02-29T00:00:00"/>
    <d v="2016-02-29T00:00:00"/>
    <n v="0"/>
    <n v="70000"/>
    <n v="70000"/>
    <n v="69908.449007970616"/>
    <n v="69908.449007970616"/>
    <m/>
    <n v="91.550992029384361"/>
    <n v="-696549.73974547384"/>
  </r>
  <r>
    <x v="3"/>
    <x v="8"/>
    <d v="2016-03-01T00:00:00"/>
    <d v="2016-03-01T00:00:00"/>
    <n v="0"/>
    <n v="70000"/>
    <n v="70000"/>
    <n v="70647.694898184855"/>
    <n v="70647.694898184855"/>
    <m/>
    <n v="-647.69489818485454"/>
    <n v="-697197.43464365869"/>
  </r>
  <r>
    <x v="3"/>
    <x v="8"/>
    <d v="2016-03-02T00:00:00"/>
    <d v="2016-03-02T00:00:00"/>
    <n v="0"/>
    <n v="69000"/>
    <n v="69000"/>
    <n v="70051.471030426517"/>
    <n v="70051.471030426517"/>
    <m/>
    <n v="-1051.4710304265172"/>
    <n v="-698248.90567408525"/>
  </r>
  <r>
    <x v="3"/>
    <x v="8"/>
    <d v="2016-03-03T00:00:00"/>
    <d v="2016-03-03T00:00:00"/>
    <n v="0"/>
    <n v="70000"/>
    <n v="70000"/>
    <n v="72914.71766048437"/>
    <n v="72914.71766048437"/>
    <m/>
    <n v="-2914.7176604843698"/>
    <n v="-701163.62333456962"/>
  </r>
  <r>
    <x v="3"/>
    <x v="8"/>
    <d v="2016-03-04T00:00:00"/>
    <d v="2016-03-04T00:00:00"/>
    <n v="0"/>
    <n v="70000"/>
    <n v="70000"/>
    <n v="69849.714436734372"/>
    <n v="69849.714436734372"/>
    <m/>
    <n v="150.2855632656283"/>
    <n v="-701013.33777130395"/>
  </r>
  <r>
    <x v="3"/>
    <x v="8"/>
    <d v="2016-03-05T00:00:00"/>
    <d v="2016-03-05T00:00:00"/>
    <n v="0"/>
    <n v="69000"/>
    <n v="69000"/>
    <n v="58166.637009389298"/>
    <n v="58166.637009389298"/>
    <m/>
    <n v="10833.362990610702"/>
    <n v="-690179.9747806933"/>
  </r>
  <r>
    <x v="3"/>
    <x v="8"/>
    <d v="2016-03-06T00:00:00"/>
    <d v="2016-03-06T00:00:00"/>
    <n v="0"/>
    <n v="69000"/>
    <n v="69000"/>
    <n v="50120.00447494565"/>
    <n v="50120.00447494565"/>
    <m/>
    <n v="18879.99552505435"/>
    <n v="-671299.9792556389"/>
  </r>
  <r>
    <x v="3"/>
    <x v="8"/>
    <d v="2016-03-07T00:00:00"/>
    <d v="2016-03-07T00:00:00"/>
    <n v="0"/>
    <n v="69000"/>
    <n v="69000"/>
    <n v="73493.730179999999"/>
    <n v="73493.730179999999"/>
    <m/>
    <n v="-4493.7301799999987"/>
    <n v="-675793.70943563886"/>
  </r>
  <r>
    <x v="3"/>
    <x v="8"/>
    <d v="2016-03-08T00:00:00"/>
    <d v="2016-03-08T00:00:00"/>
    <n v="0"/>
    <n v="71000"/>
    <n v="71000"/>
    <n v="72755.415679221522"/>
    <n v="72755.415679221522"/>
    <m/>
    <n v="-1755.4156792215217"/>
    <n v="-677549.12511486036"/>
  </r>
  <r>
    <x v="3"/>
    <x v="8"/>
    <d v="2016-03-09T00:00:00"/>
    <d v="2016-03-09T00:00:00"/>
    <n v="0"/>
    <n v="71000"/>
    <n v="71000"/>
    <n v="70704.252915731733"/>
    <n v="70704.252915731733"/>
    <m/>
    <n v="295.74708426826692"/>
    <n v="-677253.37803059211"/>
  </r>
  <r>
    <x v="3"/>
    <x v="8"/>
    <d v="2016-03-10T00:00:00"/>
    <d v="2016-03-10T00:00:00"/>
    <n v="0"/>
    <n v="71000"/>
    <n v="71000"/>
    <n v="70032.606094106726"/>
    <n v="70032.606094106726"/>
    <m/>
    <n v="967.39390589327377"/>
    <n v="-676285.98412469879"/>
  </r>
  <r>
    <x v="3"/>
    <x v="8"/>
    <d v="2016-03-11T00:00:00"/>
    <d v="2016-03-11T00:00:00"/>
    <n v="0"/>
    <n v="72000"/>
    <n v="72000"/>
    <n v="69862.902422184852"/>
    <n v="69862.902422184852"/>
    <m/>
    <n v="2137.0975778151478"/>
    <n v="-674148.88654688362"/>
  </r>
  <r>
    <x v="3"/>
    <x v="8"/>
    <d v="2016-03-12T00:00:00"/>
    <d v="2016-03-12T00:00:00"/>
    <n v="0"/>
    <n v="70000"/>
    <n v="70000"/>
    <n v="70470.497548106723"/>
    <n v="70470.497548106723"/>
    <m/>
    <n v="-470.49754810672312"/>
    <n v="-674619.38409499032"/>
  </r>
  <r>
    <x v="3"/>
    <x v="8"/>
    <d v="2016-03-13T00:00:00"/>
    <d v="2016-03-13T00:00:00"/>
    <n v="0"/>
    <n v="70000"/>
    <n v="70000"/>
    <n v="70610.09322063798"/>
    <n v="70610.09322063798"/>
    <m/>
    <n v="-610.09322063798027"/>
    <n v="-675229.47731562832"/>
  </r>
  <r>
    <x v="3"/>
    <x v="8"/>
    <d v="2016-03-14T00:00:00"/>
    <d v="2016-03-14T00:00:00"/>
    <n v="0"/>
    <n v="70000"/>
    <n v="70000"/>
    <n v="72561.97423573173"/>
    <n v="72561.97423573173"/>
    <m/>
    <n v="-2561.97423573173"/>
    <n v="-677791.45155136008"/>
  </r>
  <r>
    <x v="3"/>
    <x v="8"/>
    <d v="2016-03-15T00:00:00"/>
    <d v="2016-03-15T00:00:00"/>
    <n v="0"/>
    <n v="73000"/>
    <n v="73000"/>
    <n v="73340.405970609383"/>
    <n v="73340.405970609383"/>
    <m/>
    <n v="-340.40597060938308"/>
    <n v="-678131.85752196948"/>
  </r>
  <r>
    <x v="3"/>
    <x v="8"/>
    <d v="2016-03-16T00:00:00"/>
    <d v="2016-03-16T00:00:00"/>
    <n v="0"/>
    <n v="73000"/>
    <n v="73000"/>
    <n v="74419.569673312508"/>
    <n v="74419.569673312508"/>
    <m/>
    <n v="-1419.5696733125078"/>
    <n v="-679551.42719528195"/>
  </r>
  <r>
    <x v="3"/>
    <x v="8"/>
    <d v="2016-03-17T00:00:00"/>
    <d v="2016-03-17T00:00:00"/>
    <n v="0"/>
    <n v="73000"/>
    <n v="73000"/>
    <n v="73091.774319450473"/>
    <n v="73091.774319450473"/>
    <m/>
    <n v="-91.774319450472831"/>
    <n v="-679643.20151473244"/>
  </r>
  <r>
    <x v="3"/>
    <x v="8"/>
    <d v="2016-03-18T00:00:00"/>
    <d v="2016-03-18T00:00:00"/>
    <n v="0"/>
    <n v="73000"/>
    <n v="73000"/>
    <n v="72851.539733578131"/>
    <n v="72851.539733578131"/>
    <m/>
    <n v="148.46026642186916"/>
    <n v="-679494.74124831054"/>
  </r>
  <r>
    <x v="3"/>
    <x v="8"/>
    <d v="2016-03-19T00:00:00"/>
    <d v="2016-03-19T00:00:00"/>
    <n v="0"/>
    <n v="69000"/>
    <n v="69000"/>
    <n v="70129.401905231731"/>
    <n v="70129.401905231731"/>
    <m/>
    <n v="-1129.4019052317308"/>
    <n v="-680624.1431535423"/>
  </r>
  <r>
    <x v="3"/>
    <x v="8"/>
    <d v="2016-03-20T00:00:00"/>
    <d v="2016-03-20T00:00:00"/>
    <n v="0"/>
    <n v="69000"/>
    <n v="69000"/>
    <n v="69970.435222762972"/>
    <n v="69970.435222762972"/>
    <m/>
    <n v="-970.43522276297153"/>
    <n v="-681594.57837630529"/>
  </r>
  <r>
    <x v="3"/>
    <x v="8"/>
    <d v="2016-03-21T00:00:00"/>
    <d v="2016-03-21T00:00:00"/>
    <n v="0"/>
    <n v="69000"/>
    <n v="69000"/>
    <n v="70058.041651406253"/>
    <n v="70058.041651406253"/>
    <m/>
    <n v="-1058.0416514062526"/>
    <n v="-682652.6200277115"/>
  </r>
  <r>
    <x v="3"/>
    <x v="8"/>
    <d v="2016-03-22T00:00:00"/>
    <d v="2016-03-22T00:00:00"/>
    <n v="0"/>
    <n v="71000"/>
    <n v="71000"/>
    <n v="70979.20011351"/>
    <n v="70979.20011351"/>
    <m/>
    <n v="20.799886490000063"/>
    <n v="-682631.82014122151"/>
  </r>
  <r>
    <x v="3"/>
    <x v="8"/>
    <d v="2016-03-23T00:00:00"/>
    <d v="2016-03-23T00:00:00"/>
    <n v="0"/>
    <n v="71000"/>
    <n v="71000"/>
    <n v="72337.412396340005"/>
    <n v="72337.412396340005"/>
    <m/>
    <n v="-1337.4123963400052"/>
    <n v="-683969.23253756156"/>
  </r>
  <r>
    <x v="3"/>
    <x v="8"/>
    <d v="2016-03-24T00:00:00"/>
    <d v="2016-03-24T00:00:00"/>
    <n v="0"/>
    <n v="71000"/>
    <n v="71000"/>
    <n v="69329.581494030004"/>
    <n v="69329.581494030004"/>
    <m/>
    <n v="1670.4185059699957"/>
    <n v="-682298.81403159152"/>
  </r>
  <r>
    <x v="3"/>
    <x v="8"/>
    <d v="2016-03-25T00:00:00"/>
    <d v="2016-03-25T00:00:00"/>
    <n v="0"/>
    <n v="65000"/>
    <n v="65000"/>
    <n v="69576.753211289993"/>
    <n v="69576.753211289993"/>
    <m/>
    <n v="-4576.7532112899935"/>
    <n v="-686875.56724288152"/>
  </r>
  <r>
    <x v="3"/>
    <x v="8"/>
    <d v="2016-03-26T00:00:00"/>
    <d v="2016-03-26T00:00:00"/>
    <n v="0"/>
    <n v="65000"/>
    <n v="65000"/>
    <n v="71489.087746830002"/>
    <n v="71489.087746830002"/>
    <m/>
    <n v="-6489.0877468300023"/>
    <n v="-693364.65498971147"/>
  </r>
  <r>
    <x v="3"/>
    <x v="8"/>
    <d v="2016-03-27T00:00:00"/>
    <d v="2016-03-27T00:00:00"/>
    <n v="0"/>
    <n v="64998"/>
    <n v="64998"/>
    <n v="69841.506933900004"/>
    <n v="69841.506933900004"/>
    <m/>
    <n v="-4843.5069339000038"/>
    <n v="-698208.16192361154"/>
  </r>
  <r>
    <x v="3"/>
    <x v="8"/>
    <d v="2016-03-28T00:00:00"/>
    <d v="2016-03-28T00:00:00"/>
    <n v="0"/>
    <n v="65000"/>
    <n v="65000"/>
    <n v="69655.817261978998"/>
    <n v="69655.817261978998"/>
    <m/>
    <n v="-4655.8172619789984"/>
    <n v="-702863.97918559052"/>
  </r>
  <r>
    <x v="3"/>
    <x v="8"/>
    <d v="2016-03-29T00:00:00"/>
    <d v="2016-03-29T00:00:00"/>
    <n v="0"/>
    <n v="74000"/>
    <n v="74000"/>
    <n v="70559.269791660001"/>
    <n v="70559.269791660001"/>
    <m/>
    <n v="3440.7302083399991"/>
    <n v="-699423.24897725054"/>
  </r>
  <r>
    <x v="3"/>
    <x v="8"/>
    <d v="2016-03-30T00:00:00"/>
    <d v="2016-03-30T00:00:00"/>
    <n v="0"/>
    <n v="73000"/>
    <n v="73000"/>
    <n v="73218.000736529997"/>
    <n v="73218.000736529997"/>
    <m/>
    <n v="-218.00073652999708"/>
    <n v="-699641.24971378059"/>
  </r>
  <r>
    <x v="3"/>
    <x v="8"/>
    <d v="2016-03-31T00:00:00"/>
    <d v="2016-03-31T00:00:00"/>
    <n v="0"/>
    <n v="73000"/>
    <n v="73000"/>
    <n v="73313.426952090012"/>
    <n v="73313.426952090012"/>
    <m/>
    <n v="-313.42695209001249"/>
    <n v="-699954.67666587059"/>
  </r>
  <r>
    <x v="3"/>
    <x v="9"/>
    <d v="2016-04-01T00:00:00"/>
    <d v="2016-04-01T00:00:00"/>
    <n v="0"/>
    <n v="71186"/>
    <n v="71186"/>
    <n v="72732.528869129994"/>
    <n v="72732.528869129994"/>
    <m/>
    <n v="-1546.5288691299938"/>
    <n v="-701501.20553500054"/>
  </r>
  <r>
    <x v="3"/>
    <x v="9"/>
    <d v="2016-04-02T00:00:00"/>
    <d v="2016-04-02T00:00:00"/>
    <n v="0"/>
    <n v="68261"/>
    <n v="68261"/>
    <n v="70946.936422830011"/>
    <n v="70946.936422830011"/>
    <m/>
    <n v="-2685.936422830011"/>
    <n v="-704187.14195783052"/>
  </r>
  <r>
    <x v="3"/>
    <x v="9"/>
    <d v="2016-04-03T00:00:00"/>
    <d v="2016-04-03T00:00:00"/>
    <n v="0"/>
    <n v="68261"/>
    <n v="68261"/>
    <n v="68399.83936422001"/>
    <n v="68399.83936422001"/>
    <m/>
    <n v="-138.83936422000988"/>
    <n v="-704325.98132205056"/>
  </r>
  <r>
    <x v="3"/>
    <x v="9"/>
    <d v="2016-04-04T00:00:00"/>
    <d v="2016-04-04T00:00:00"/>
    <n v="0"/>
    <n v="68261"/>
    <n v="68261"/>
    <n v="67641.585764219999"/>
    <n v="67641.585764219999"/>
    <m/>
    <n v="619.41423578000104"/>
    <n v="-703706.56708627054"/>
  </r>
  <r>
    <x v="3"/>
    <x v="9"/>
    <d v="2016-04-05T00:00:00"/>
    <d v="2016-04-05T00:00:00"/>
    <n v="0"/>
    <n v="72161"/>
    <n v="72161"/>
    <n v="72349.752973679992"/>
    <n v="72349.752973679992"/>
    <m/>
    <n v="-188.75297367999156"/>
    <n v="-703895.32005995058"/>
  </r>
  <r>
    <x v="3"/>
    <x v="9"/>
    <d v="2016-04-06T00:00:00"/>
    <d v="2016-04-06T00:00:00"/>
    <n v="0"/>
    <n v="72161"/>
    <n v="72161"/>
    <n v="72496.22861286001"/>
    <n v="72496.22861286001"/>
    <m/>
    <n v="-335.22861286000989"/>
    <n v="-704230.54867281055"/>
  </r>
  <r>
    <x v="3"/>
    <x v="9"/>
    <d v="2016-04-07T00:00:00"/>
    <d v="2016-04-07T00:00:00"/>
    <n v="0"/>
    <n v="72161"/>
    <n v="72161"/>
    <n v="72055.882312830014"/>
    <n v="72055.882312830014"/>
    <m/>
    <n v="105.11768716998631"/>
    <n v="-704125.4309856405"/>
  </r>
  <r>
    <x v="3"/>
    <x v="9"/>
    <d v="2016-04-08T00:00:00"/>
    <d v="2016-04-08T00:00:00"/>
    <n v="0"/>
    <n v="72161"/>
    <n v="72161"/>
    <n v="71669.154020490008"/>
    <n v="71669.154020490008"/>
    <m/>
    <n v="491.84597950999159"/>
    <n v="-703633.58500613051"/>
  </r>
  <r>
    <x v="3"/>
    <x v="9"/>
    <d v="2016-04-09T00:00:00"/>
    <d v="2016-04-09T00:00:00"/>
    <n v="0"/>
    <n v="68261"/>
    <n v="68261"/>
    <n v="71017.160184360007"/>
    <n v="71017.160184360007"/>
    <m/>
    <n v="-2756.1601843600074"/>
    <n v="-706389.7451904905"/>
  </r>
  <r>
    <x v="3"/>
    <x v="9"/>
    <d v="2016-04-10T00:00:00"/>
    <d v="2016-04-10T00:00:00"/>
    <n v="0"/>
    <n v="68261"/>
    <n v="68261"/>
    <n v="72281.879798309994"/>
    <n v="72281.879798309994"/>
    <m/>
    <n v="-4020.8797983099939"/>
    <n v="-710410.6249888005"/>
  </r>
  <r>
    <x v="3"/>
    <x v="9"/>
    <d v="2016-04-11T00:00:00"/>
    <d v="2016-04-11T00:00:00"/>
    <n v="0"/>
    <n v="68261"/>
    <n v="68261"/>
    <n v="72274.183524270004"/>
    <n v="72274.183524270004"/>
    <m/>
    <n v="-4013.1835242700035"/>
    <n v="-714423.80851307046"/>
  </r>
  <r>
    <x v="3"/>
    <x v="9"/>
    <d v="2016-04-12T00:00:00"/>
    <d v="2016-04-12T00:00:00"/>
    <n v="0"/>
    <n v="72161"/>
    <n v="72161"/>
    <n v="72319.934650859999"/>
    <n v="72319.934650859999"/>
    <m/>
    <n v="-158.93465085999924"/>
    <n v="-714582.74316393049"/>
  </r>
  <r>
    <x v="3"/>
    <x v="9"/>
    <d v="2016-04-13T00:00:00"/>
    <d v="2016-04-13T00:00:00"/>
    <n v="0"/>
    <n v="72161"/>
    <n v="72161"/>
    <n v="70989.673491360008"/>
    <n v="70989.673491360008"/>
    <m/>
    <n v="1171.3265086399915"/>
    <n v="-713411.41665529052"/>
  </r>
  <r>
    <x v="3"/>
    <x v="9"/>
    <d v="2016-04-14T00:00:00"/>
    <d v="2016-04-14T00:00:00"/>
    <n v="0"/>
    <n v="72161"/>
    <n v="72161"/>
    <n v="66496.651262730011"/>
    <n v="66496.651262730011"/>
    <m/>
    <n v="5664.3487372699892"/>
    <n v="-707747.06791802053"/>
  </r>
  <r>
    <x v="3"/>
    <x v="9"/>
    <d v="2016-04-15T00:00:00"/>
    <d v="2016-04-15T00:00:00"/>
    <n v="0"/>
    <n v="72161"/>
    <n v="72161"/>
    <n v="71744.913033299992"/>
    <n v="71744.913033299992"/>
    <m/>
    <n v="416.08696670000791"/>
    <n v="-707330.9809513205"/>
  </r>
  <r>
    <x v="3"/>
    <x v="9"/>
    <d v="2016-04-16T00:00:00"/>
    <d v="2016-04-16T00:00:00"/>
    <n v="0"/>
    <n v="70211"/>
    <n v="70211"/>
    <n v="70318.059843330004"/>
    <n v="70318.059843330004"/>
    <m/>
    <n v="-107.05984333000379"/>
    <n v="-707438.04079465056"/>
  </r>
  <r>
    <x v="3"/>
    <x v="9"/>
    <d v="2016-04-17T00:00:00"/>
    <d v="2016-04-17T00:00:00"/>
    <n v="0"/>
    <n v="70211"/>
    <n v="70211"/>
    <n v="69904.328244659991"/>
    <n v="69904.328244659991"/>
    <m/>
    <n v="306.67175534000853"/>
    <n v="-707131.36903931061"/>
  </r>
  <r>
    <x v="3"/>
    <x v="9"/>
    <d v="2016-04-18T00:00:00"/>
    <d v="2016-04-18T00:00:00"/>
    <n v="0"/>
    <n v="70211"/>
    <n v="70211"/>
    <n v="70192.151833049997"/>
    <n v="70192.151833049997"/>
    <m/>
    <n v="18.84816695000336"/>
    <n v="-707112.52087236056"/>
  </r>
  <r>
    <x v="3"/>
    <x v="9"/>
    <d v="2016-04-19T00:00:00"/>
    <d v="2016-04-19T00:00:00"/>
    <n v="0"/>
    <n v="70211"/>
    <n v="70211"/>
    <n v="68171.927288399995"/>
    <n v="68171.927288399995"/>
    <m/>
    <n v="2039.0727116000053"/>
    <n v="-705073.44816076057"/>
  </r>
  <r>
    <x v="3"/>
    <x v="9"/>
    <d v="2016-04-20T00:00:00"/>
    <d v="2016-04-20T00:00:00"/>
    <n v="0"/>
    <n v="72161"/>
    <n v="72161"/>
    <n v="69814.920667049999"/>
    <n v="69814.920667049999"/>
    <m/>
    <n v="2346.0793329500011"/>
    <n v="-702727.36882781051"/>
  </r>
  <r>
    <x v="3"/>
    <x v="9"/>
    <d v="2016-04-21T00:00:00"/>
    <d v="2016-04-21T00:00:00"/>
    <n v="0"/>
    <n v="72955"/>
    <n v="72955"/>
    <n v="69511.306447440002"/>
    <n v="69511.306447440002"/>
    <m/>
    <n v="3443.6935525599984"/>
    <n v="-699283.67527525057"/>
  </r>
  <r>
    <x v="3"/>
    <x v="9"/>
    <d v="2016-04-22T00:00:00"/>
    <d v="2016-04-22T00:00:00"/>
    <n v="0"/>
    <n v="72955"/>
    <n v="72955"/>
    <n v="69486.237635607002"/>
    <n v="69486.237635607002"/>
    <m/>
    <n v="3468.7623643929983"/>
    <n v="-695814.91291085759"/>
  </r>
  <r>
    <x v="3"/>
    <x v="9"/>
    <d v="2016-04-23T00:00:00"/>
    <d v="2016-04-23T00:00:00"/>
    <n v="0"/>
    <n v="72955"/>
    <n v="72955"/>
    <n v="69391.712794014005"/>
    <n v="69391.712794014005"/>
    <m/>
    <n v="3563.2872059859947"/>
    <n v="-692251.62570487161"/>
  </r>
  <r>
    <x v="3"/>
    <x v="9"/>
    <d v="2016-04-24T00:00:00"/>
    <d v="2016-04-24T00:00:00"/>
    <n v="0"/>
    <n v="72955"/>
    <n v="72955"/>
    <n v="70635.000369960006"/>
    <n v="70635.000369960006"/>
    <m/>
    <n v="2319.9996300399944"/>
    <n v="-689931.62607483158"/>
  </r>
  <r>
    <x v="3"/>
    <x v="9"/>
    <d v="2016-04-25T00:00:00"/>
    <d v="2016-04-25T00:00:00"/>
    <n v="0"/>
    <n v="72955"/>
    <n v="72955"/>
    <n v="72429.28429815"/>
    <n v="72429.28429815"/>
    <m/>
    <n v="525.71570185000019"/>
    <n v="-689405.91037298157"/>
  </r>
  <r>
    <x v="3"/>
    <x v="9"/>
    <d v="2016-04-26T00:00:00"/>
    <d v="2016-04-26T00:00:00"/>
    <n v="0"/>
    <n v="72955"/>
    <n v="72955"/>
    <n v="72493.197494093998"/>
    <n v="72493.197494093998"/>
    <m/>
    <n v="461.8025059060019"/>
    <n v="-688944.1078670756"/>
  </r>
  <r>
    <x v="3"/>
    <x v="9"/>
    <d v="2016-04-27T00:00:00"/>
    <d v="2016-04-27T00:00:00"/>
    <n v="0"/>
    <n v="72955"/>
    <n v="72955"/>
    <n v="71958.285596340007"/>
    <n v="71958.285596340007"/>
    <m/>
    <n v="996.71440365999297"/>
    <n v="-687947.39346341556"/>
  </r>
  <r>
    <x v="3"/>
    <x v="9"/>
    <d v="2016-04-28T00:00:00"/>
    <d v="2016-04-28T00:00:00"/>
    <n v="0"/>
    <n v="72955"/>
    <n v="72955"/>
    <n v="72010.823092649996"/>
    <n v="72010.823092649996"/>
    <m/>
    <n v="944.1769073500036"/>
    <n v="-687003.2165560656"/>
  </r>
  <r>
    <x v="3"/>
    <x v="9"/>
    <d v="2016-04-29T00:00:00"/>
    <d v="2016-04-29T00:00:00"/>
    <n v="0"/>
    <n v="72955"/>
    <n v="72955"/>
    <n v="70599.334016249995"/>
    <n v="70599.334016249995"/>
    <m/>
    <n v="2355.6659837500047"/>
    <n v="-684647.55057231558"/>
  </r>
  <r>
    <x v="3"/>
    <x v="9"/>
    <d v="2016-04-30T00:00:00"/>
    <d v="2016-04-30T00:00:00"/>
    <n v="0"/>
    <n v="72955"/>
    <n v="72955"/>
    <n v="69837.111432562495"/>
    <n v="69837.111432562495"/>
    <m/>
    <n v="3117.8885674375051"/>
    <n v="-681529.66200487805"/>
  </r>
  <r>
    <x v="3"/>
    <x v="10"/>
    <d v="2016-05-01T00:00:00"/>
    <d v="2016-05-01T00:00:00"/>
    <n v="0"/>
    <n v="72955"/>
    <n v="72955"/>
    <n v="68911.286518571113"/>
    <n v="68911.286518571113"/>
    <m/>
    <n v="4043.7134814288875"/>
    <n v="-677485.94852344913"/>
  </r>
  <r>
    <x v="3"/>
    <x v="10"/>
    <d v="2016-05-02T00:00:00"/>
    <d v="2016-05-02T00:00:00"/>
    <n v="0"/>
    <n v="72955"/>
    <n v="72955"/>
    <n v="70507.469815453122"/>
    <n v="70507.469815453122"/>
    <m/>
    <n v="2447.5301845468784"/>
    <n v="-675038.41833890229"/>
  </r>
  <r>
    <x v="3"/>
    <x v="10"/>
    <d v="2016-05-03T00:00:00"/>
    <d v="2016-05-03T00:00:00"/>
    <n v="0"/>
    <n v="72955"/>
    <n v="72955"/>
    <n v="69595.359322482502"/>
    <n v="69595.359322482502"/>
    <m/>
    <n v="3359.6406775174983"/>
    <n v="-671678.77766138478"/>
  </r>
  <r>
    <x v="3"/>
    <x v="10"/>
    <d v="2016-05-04T00:00:00"/>
    <d v="2016-05-04T00:00:00"/>
    <n v="0"/>
    <n v="72955"/>
    <n v="72955"/>
    <n v="70357.477775203122"/>
    <n v="70357.477775203122"/>
    <m/>
    <n v="2597.5222247968777"/>
    <n v="-669081.25543658785"/>
  </r>
  <r>
    <x v="3"/>
    <x v="10"/>
    <d v="2016-05-05T00:00:00"/>
    <d v="2016-05-05T00:00:00"/>
    <n v="0"/>
    <n v="72955"/>
    <n v="72955"/>
    <n v="70192.853810015629"/>
    <n v="70192.853810015629"/>
    <m/>
    <n v="2762.1461899843707"/>
    <n v="-666319.10924660345"/>
  </r>
  <r>
    <x v="3"/>
    <x v="10"/>
    <d v="2016-05-06T00:00:00"/>
    <d v="2016-05-06T00:00:00"/>
    <n v="0"/>
    <n v="72955"/>
    <n v="72955"/>
    <n v="70202.598553546879"/>
    <n v="70202.598553546879"/>
    <m/>
    <n v="2752.401446453121"/>
    <n v="-663566.70780015038"/>
  </r>
  <r>
    <x v="3"/>
    <x v="10"/>
    <d v="2016-05-07T00:00:00"/>
    <d v="2016-05-07T00:00:00"/>
    <n v="0"/>
    <n v="72955"/>
    <n v="72955"/>
    <n v="70051.001287582214"/>
    <n v="70051.001287582214"/>
    <m/>
    <n v="2903.998712417786"/>
    <n v="-660662.7090877326"/>
  </r>
  <r>
    <x v="3"/>
    <x v="10"/>
    <d v="2016-05-08T00:00:00"/>
    <d v="2016-05-08T00:00:00"/>
    <n v="0"/>
    <n v="72955"/>
    <n v="72955"/>
    <n v="70383.790804420569"/>
    <n v="70383.790804420569"/>
    <m/>
    <n v="2571.2091955794313"/>
    <n v="-658091.4998921532"/>
  </r>
  <r>
    <x v="3"/>
    <x v="10"/>
    <d v="2016-05-09T00:00:00"/>
    <d v="2016-05-09T00:00:00"/>
    <n v="0"/>
    <n v="72955"/>
    <n v="72955"/>
    <n v="70601.795653388792"/>
    <n v="70601.795653388792"/>
    <m/>
    <n v="2353.2043466112082"/>
    <n v="-655738.29554554203"/>
  </r>
  <r>
    <x v="3"/>
    <x v="10"/>
    <d v="2016-05-10T00:00:00"/>
    <d v="2016-05-10T00:00:00"/>
    <n v="0"/>
    <n v="72955"/>
    <n v="72955"/>
    <n v="70841.07409284536"/>
    <n v="70841.07409284536"/>
    <m/>
    <n v="2113.9259071546403"/>
    <n v="-653624.36963838735"/>
  </r>
  <r>
    <x v="3"/>
    <x v="10"/>
    <d v="2016-05-11T00:00:00"/>
    <d v="2016-05-11T00:00:00"/>
    <n v="0"/>
    <n v="72955"/>
    <n v="72955"/>
    <n v="72401.360906997594"/>
    <n v="72401.360906997594"/>
    <m/>
    <n v="553.6390930024063"/>
    <n v="-653070.73054538493"/>
  </r>
  <r>
    <x v="3"/>
    <x v="10"/>
    <d v="2016-05-12T00:00:00"/>
    <d v="2016-05-12T00:00:00"/>
    <n v="0"/>
    <n v="72955"/>
    <n v="72955"/>
    <n v="72032.522871895795"/>
    <n v="72032.522871895795"/>
    <m/>
    <n v="922.47712810420489"/>
    <n v="-652148.25341728074"/>
  </r>
  <r>
    <x v="3"/>
    <x v="10"/>
    <d v="2016-05-13T00:00:00"/>
    <d v="2016-05-13T00:00:00"/>
    <n v="0"/>
    <n v="72955"/>
    <n v="72955"/>
    <n v="70691.556610350002"/>
    <n v="70691.556610350002"/>
    <m/>
    <n v="2263.4433896499977"/>
    <n v="-649884.81002763077"/>
  </r>
  <r>
    <x v="3"/>
    <x v="10"/>
    <d v="2016-05-14T00:00:00"/>
    <d v="2016-05-14T00:00:00"/>
    <n v="0"/>
    <n v="72955"/>
    <n v="72955"/>
    <n v="65648.800521720012"/>
    <n v="65648.800521720012"/>
    <m/>
    <n v="7306.1994782799884"/>
    <n v="-642578.61054935073"/>
  </r>
  <r>
    <x v="3"/>
    <x v="10"/>
    <d v="2016-05-15T00:00:00"/>
    <d v="2016-05-15T00:00:00"/>
    <n v="0"/>
    <n v="72955"/>
    <n v="72955"/>
    <n v="69685.761644459999"/>
    <n v="69685.761644459999"/>
    <m/>
    <n v="3269.2383555400011"/>
    <n v="-639309.37219381076"/>
  </r>
  <r>
    <x v="3"/>
    <x v="10"/>
    <d v="2016-05-16T00:00:00"/>
    <d v="2016-05-16T00:00:00"/>
    <n v="0"/>
    <n v="72955"/>
    <n v="72955"/>
    <n v="70757.875365840009"/>
    <n v="70757.875365840009"/>
    <m/>
    <n v="2197.1246341599908"/>
    <n v="-637112.2475596508"/>
  </r>
  <r>
    <x v="3"/>
    <x v="10"/>
    <d v="2016-05-17T00:00:00"/>
    <d v="2016-05-17T00:00:00"/>
    <n v="0"/>
    <n v="72955"/>
    <n v="72955"/>
    <n v="72129.681240083999"/>
    <n v="72129.681240083999"/>
    <m/>
    <n v="825.318759916001"/>
    <n v="-636286.9287997348"/>
  </r>
  <r>
    <x v="3"/>
    <x v="10"/>
    <d v="2016-05-18T00:00:00"/>
    <d v="2016-05-18T00:00:00"/>
    <n v="0"/>
    <n v="72955"/>
    <n v="72955"/>
    <n v="72202.367430179991"/>
    <n v="72202.367430179991"/>
    <m/>
    <n v="752.63256982000894"/>
    <n v="-635534.29622991476"/>
  </r>
  <r>
    <x v="3"/>
    <x v="10"/>
    <d v="2016-05-19T00:00:00"/>
    <d v="2016-05-19T00:00:00"/>
    <n v="0"/>
    <n v="72955"/>
    <n v="72955"/>
    <n v="69579.89996373"/>
    <n v="69579.89996373"/>
    <m/>
    <n v="3375.1000362699997"/>
    <n v="-632159.19619364478"/>
  </r>
  <r>
    <x v="3"/>
    <x v="10"/>
    <d v="2016-05-20T00:00:00"/>
    <d v="2016-05-20T00:00:00"/>
    <n v="0"/>
    <n v="72955"/>
    <n v="72955"/>
    <n v="68540.192105580005"/>
    <n v="68540.192105580005"/>
    <m/>
    <n v="4414.8078944199951"/>
    <n v="-627744.38829922478"/>
  </r>
  <r>
    <x v="3"/>
    <x v="10"/>
    <d v="2016-05-21T00:00:00"/>
    <d v="2016-05-21T00:00:00"/>
    <n v="0"/>
    <n v="72955"/>
    <n v="72955"/>
    <n v="71770.011227460011"/>
    <n v="71770.011227460011"/>
    <m/>
    <n v="1184.9887725399894"/>
    <n v="-626559.39952668478"/>
  </r>
  <r>
    <x v="3"/>
    <x v="10"/>
    <d v="2016-05-22T00:00:00"/>
    <d v="2016-05-22T00:00:00"/>
    <n v="0"/>
    <n v="72955"/>
    <n v="72955"/>
    <n v="68182.448057100002"/>
    <n v="68182.448057100002"/>
    <m/>
    <n v="4772.5519428999978"/>
    <n v="-621786.84758378472"/>
  </r>
  <r>
    <x v="3"/>
    <x v="10"/>
    <d v="2016-05-23T00:00:00"/>
    <d v="2016-05-23T00:00:00"/>
    <n v="0"/>
    <n v="72955"/>
    <n v="72955"/>
    <n v="72295.26297435"/>
    <n v="72295.26297435"/>
    <m/>
    <n v="659.73702564999985"/>
    <n v="-621127.11055813474"/>
  </r>
  <r>
    <x v="3"/>
    <x v="10"/>
    <d v="2016-05-24T00:00:00"/>
    <d v="2016-05-24T00:00:00"/>
    <n v="0"/>
    <n v="72955"/>
    <n v="72955"/>
    <n v="72294.229853820012"/>
    <n v="72294.229853820012"/>
    <m/>
    <n v="660.77014617998793"/>
    <n v="-620466.34041195479"/>
  </r>
  <r>
    <x v="3"/>
    <x v="10"/>
    <d v="2016-05-25T00:00:00"/>
    <d v="2016-05-25T00:00:00"/>
    <n v="0"/>
    <n v="72955"/>
    <n v="72955"/>
    <n v="72361.325819250007"/>
    <n v="72361.325819250007"/>
    <m/>
    <n v="593.67418074999296"/>
    <n v="-619872.66623120476"/>
  </r>
  <r>
    <x v="3"/>
    <x v="10"/>
    <d v="2016-05-26T00:00:00"/>
    <d v="2016-05-26T00:00:00"/>
    <n v="0"/>
    <n v="72955"/>
    <n v="72955"/>
    <n v="69851.534837760002"/>
    <n v="69851.534837760002"/>
    <m/>
    <n v="3103.4651622399979"/>
    <n v="-616769.20106896479"/>
  </r>
  <r>
    <x v="3"/>
    <x v="10"/>
    <d v="2016-05-27T00:00:00"/>
    <d v="2016-05-27T00:00:00"/>
    <n v="0"/>
    <n v="72955"/>
    <n v="72955"/>
    <n v="68336.553623130007"/>
    <n v="68336.553623130007"/>
    <m/>
    <n v="4618.4463768699934"/>
    <n v="-612150.75469209475"/>
  </r>
  <r>
    <x v="3"/>
    <x v="10"/>
    <d v="2016-05-28T00:00:00"/>
    <d v="2016-05-28T00:00:00"/>
    <n v="0"/>
    <n v="72955"/>
    <n v="72955"/>
    <n v="68430.254811749997"/>
    <n v="68430.254811749997"/>
    <m/>
    <n v="4524.7451882500027"/>
    <n v="-607626.00950384478"/>
  </r>
  <r>
    <x v="3"/>
    <x v="10"/>
    <d v="2016-05-29T00:00:00"/>
    <d v="2016-05-29T00:00:00"/>
    <n v="0"/>
    <n v="72955"/>
    <n v="72955"/>
    <n v="68318.516665620002"/>
    <n v="68318.516665620002"/>
    <m/>
    <n v="4636.4833343799983"/>
    <n v="-602989.52616946481"/>
  </r>
  <r>
    <x v="3"/>
    <x v="10"/>
    <d v="2016-05-30T00:00:00"/>
    <d v="2016-05-30T00:00:00"/>
    <n v="0"/>
    <n v="72955"/>
    <n v="72955"/>
    <n v="68253.287899679999"/>
    <n v="68253.287899679999"/>
    <m/>
    <n v="4701.7121003200009"/>
    <n v="-598287.81406914478"/>
  </r>
  <r>
    <x v="3"/>
    <x v="10"/>
    <d v="2016-05-31T00:00:00"/>
    <d v="2016-05-31T00:00:00"/>
    <n v="0"/>
    <n v="72955"/>
    <n v="72955"/>
    <n v="68066.548994340003"/>
    <n v="68066.548994340003"/>
    <m/>
    <n v="4888.4510056599975"/>
    <n v="-593399.36306348478"/>
  </r>
  <r>
    <x v="3"/>
    <x v="11"/>
    <d v="2016-06-01T00:00:00"/>
    <d v="2016-06-01T00:00:00"/>
    <n v="0"/>
    <n v="72955"/>
    <n v="72955"/>
    <n v="67975.984213160249"/>
    <n v="67975.984213160249"/>
    <m/>
    <n v="4979.0157868397509"/>
    <n v="-588420.34727664501"/>
  </r>
  <r>
    <x v="3"/>
    <x v="11"/>
    <d v="2016-06-02T00:00:00"/>
    <d v="2016-06-02T00:00:00"/>
    <n v="0"/>
    <n v="72955"/>
    <n v="72955"/>
    <n v="70686.721842252926"/>
    <n v="70686.721842252926"/>
    <m/>
    <n v="2268.2781577470741"/>
    <n v="-586152.0691188979"/>
  </r>
  <r>
    <x v="3"/>
    <x v="11"/>
    <d v="2016-06-03T00:00:00"/>
    <d v="2016-06-03T00:00:00"/>
    <n v="0"/>
    <n v="72955"/>
    <n v="72955"/>
    <n v="67668.872552736531"/>
    <n v="67668.872552736531"/>
    <m/>
    <n v="5286.1274472634686"/>
    <n v="-580865.94167163444"/>
  </r>
  <r>
    <x v="3"/>
    <x v="11"/>
    <d v="2016-06-04T00:00:00"/>
    <d v="2016-06-04T00:00:00"/>
    <n v="0"/>
    <n v="72955"/>
    <n v="72955"/>
    <n v="67942.346188259195"/>
    <n v="67942.346188259195"/>
    <m/>
    <n v="5012.6538117408054"/>
    <n v="-575853.28785989364"/>
  </r>
  <r>
    <x v="3"/>
    <x v="11"/>
    <d v="2016-06-05T00:00:00"/>
    <d v="2016-06-05T00:00:00"/>
    <n v="0"/>
    <n v="72955"/>
    <n v="72955"/>
    <n v="68112.005429095705"/>
    <n v="68112.005429095705"/>
    <m/>
    <n v="4842.994570904295"/>
    <n v="-571010.29328898934"/>
  </r>
  <r>
    <x v="3"/>
    <x v="11"/>
    <d v="2016-06-06T00:00:00"/>
    <d v="2016-06-06T00:00:00"/>
    <n v="0"/>
    <n v="72955"/>
    <n v="72955"/>
    <n v="68913.58373394399"/>
    <n v="68913.58373394399"/>
    <m/>
    <n v="4041.4162660560105"/>
    <n v="-566968.87702293333"/>
  </r>
  <r>
    <x v="3"/>
    <x v="11"/>
    <d v="2016-06-07T00:00:00"/>
    <d v="2016-06-07T00:00:00"/>
    <n v="0"/>
    <n v="72955"/>
    <n v="72955"/>
    <n v="70366.520829226123"/>
    <n v="70366.520829226123"/>
    <m/>
    <n v="2588.4791707738768"/>
    <n v="-564380.39785215945"/>
  </r>
  <r>
    <x v="3"/>
    <x v="11"/>
    <d v="2016-06-08T00:00:00"/>
    <d v="2016-06-08T00:00:00"/>
    <n v="0"/>
    <n v="71000"/>
    <n v="71000"/>
    <n v="70732.387664730602"/>
    <n v="70732.387664730602"/>
    <m/>
    <n v="267.61233526939759"/>
    <n v="-564112.78551689"/>
  </r>
  <r>
    <x v="3"/>
    <x v="11"/>
    <d v="2016-06-09T00:00:00"/>
    <d v="2016-06-09T00:00:00"/>
    <n v="0"/>
    <n v="69000"/>
    <n v="69000"/>
    <n v="66134.451631003481"/>
    <n v="66134.451631003481"/>
    <m/>
    <n v="2865.5483689965185"/>
    <n v="-561247.23714789352"/>
  </r>
  <r>
    <x v="3"/>
    <x v="11"/>
    <d v="2016-06-10T00:00:00"/>
    <d v="2016-06-10T00:00:00"/>
    <n v="0"/>
    <n v="69000"/>
    <n v="69000"/>
    <n v="70854.684490681073"/>
    <n v="70854.684490681073"/>
    <m/>
    <n v="-1854.6844906810729"/>
    <n v="-563101.92163857457"/>
  </r>
  <r>
    <x v="3"/>
    <x v="11"/>
    <d v="2016-06-11T00:00:00"/>
    <d v="2016-06-11T00:00:00"/>
    <n v="0"/>
    <n v="69000"/>
    <n v="69000"/>
    <n v="70096.952199693667"/>
    <n v="70096.952199693667"/>
    <m/>
    <n v="-1096.9521996936674"/>
    <n v="-564198.87383826822"/>
  </r>
  <r>
    <x v="3"/>
    <x v="11"/>
    <d v="2016-06-12T00:00:00"/>
    <d v="2016-06-12T00:00:00"/>
    <n v="0"/>
    <n v="69000"/>
    <n v="69000"/>
    <n v="68138.146221622359"/>
    <n v="68138.146221622359"/>
    <m/>
    <n v="861.85377837764099"/>
    <n v="-563337.02005989058"/>
  </r>
  <r>
    <x v="3"/>
    <x v="11"/>
    <d v="2016-06-13T00:00:00"/>
    <d v="2016-06-13T00:00:00"/>
    <n v="0"/>
    <n v="69000"/>
    <n v="69000"/>
    <n v="70309.253726816387"/>
    <n v="70309.253726816387"/>
    <m/>
    <n v="-1309.2537268163869"/>
    <n v="-564646.27378670697"/>
  </r>
  <r>
    <x v="3"/>
    <x v="11"/>
    <d v="2016-06-14T00:00:00"/>
    <d v="2016-06-14T00:00:00"/>
    <n v="0"/>
    <n v="72000"/>
    <n v="72000"/>
    <n v="70411.617961511045"/>
    <n v="70411.617961511045"/>
    <m/>
    <n v="1588.382038488955"/>
    <n v="-563057.89174821798"/>
  </r>
  <r>
    <x v="3"/>
    <x v="11"/>
    <d v="2016-06-15T00:00:00"/>
    <d v="2016-06-15T00:00:00"/>
    <n v="0"/>
    <n v="72000"/>
    <n v="72000"/>
    <n v="71202.28689282843"/>
    <n v="71202.28689282843"/>
    <m/>
    <n v="797.7131071715703"/>
    <n v="-562260.1786410464"/>
  </r>
  <r>
    <x v="3"/>
    <x v="11"/>
    <d v="2016-06-16T00:00:00"/>
    <d v="2016-06-16T00:00:00"/>
    <n v="0"/>
    <n v="72000"/>
    <n v="72000"/>
    <n v="71599.422210764169"/>
    <n v="71599.422210764169"/>
    <m/>
    <n v="400.57778923583101"/>
    <n v="-561859.60085181054"/>
  </r>
  <r>
    <x v="3"/>
    <x v="11"/>
    <d v="2016-06-17T00:00:00"/>
    <d v="2016-06-17T00:00:00"/>
    <n v="0"/>
    <n v="71000"/>
    <n v="71000"/>
    <n v="71157.862710604939"/>
    <n v="71157.862710604939"/>
    <m/>
    <n v="-157.86271060493891"/>
    <n v="-562017.46356241545"/>
  </r>
  <r>
    <x v="3"/>
    <x v="11"/>
    <d v="2016-06-18T00:00:00"/>
    <d v="2016-06-18T00:00:00"/>
    <n v="0"/>
    <n v="70000"/>
    <n v="70000"/>
    <n v="70892.341259610868"/>
    <n v="70892.341259610868"/>
    <m/>
    <n v="-892.34125961086829"/>
    <n v="-562909.80482202629"/>
  </r>
  <r>
    <x v="3"/>
    <x v="11"/>
    <d v="2016-06-19T00:00:00"/>
    <d v="2016-06-19T00:00:00"/>
    <n v="0"/>
    <n v="70000"/>
    <n v="70000"/>
    <n v="68772.408289228246"/>
    <n v="68772.408289228246"/>
    <m/>
    <n v="1227.5917107717542"/>
    <n v="-561682.2131112545"/>
  </r>
  <r>
    <x v="3"/>
    <x v="11"/>
    <d v="2016-06-20T00:00:00"/>
    <d v="2016-06-20T00:00:00"/>
    <n v="0"/>
    <n v="70000"/>
    <n v="70000"/>
    <n v="72005.002578062209"/>
    <n v="72005.002578062209"/>
    <m/>
    <n v="-2005.0025780622091"/>
    <n v="-563687.21568931674"/>
  </r>
  <r>
    <x v="3"/>
    <x v="11"/>
    <d v="2016-06-21T00:00:00"/>
    <d v="2016-06-21T00:00:00"/>
    <n v="0"/>
    <n v="72000"/>
    <n v="72000"/>
    <n v="71286.652082922621"/>
    <n v="71286.652082922621"/>
    <m/>
    <n v="713.34791707737895"/>
    <n v="-562973.86777223938"/>
  </r>
  <r>
    <x v="3"/>
    <x v="11"/>
    <d v="2016-06-22T00:00:00"/>
    <d v="2016-06-22T00:00:00"/>
    <n v="0"/>
    <n v="72000"/>
    <n v="72000"/>
    <n v="71507.313355878738"/>
    <n v="71507.313355878738"/>
    <m/>
    <n v="492.68664412126236"/>
    <n v="-562481.18112811807"/>
  </r>
  <r>
    <x v="3"/>
    <x v="11"/>
    <d v="2016-06-23T00:00:00"/>
    <d v="2016-06-23T00:00:00"/>
    <n v="0"/>
    <n v="72000"/>
    <n v="72000"/>
    <n v="72711.685446080577"/>
    <n v="72711.685446080577"/>
    <m/>
    <n v="-711.68544608057709"/>
    <n v="-563192.86657419871"/>
  </r>
  <r>
    <x v="3"/>
    <x v="11"/>
    <d v="2016-06-24T00:00:00"/>
    <d v="2016-06-24T00:00:00"/>
    <n v="0"/>
    <n v="72000"/>
    <n v="72000"/>
    <n v="71692.232450220661"/>
    <n v="71692.232450220661"/>
    <m/>
    <n v="307.76754977933888"/>
    <n v="-562885.09902441932"/>
  </r>
  <r>
    <x v="3"/>
    <x v="11"/>
    <d v="2016-06-25T00:00:00"/>
    <d v="2016-06-25T00:00:00"/>
    <n v="0"/>
    <n v="74001"/>
    <n v="74001"/>
    <n v="71010.81838310005"/>
    <n v="71010.81838310005"/>
    <m/>
    <n v="2990.1816168999503"/>
    <n v="-559894.91740751942"/>
  </r>
  <r>
    <x v="3"/>
    <x v="11"/>
    <d v="2016-06-26T00:00:00"/>
    <d v="2016-06-26T00:00:00"/>
    <n v="0"/>
    <n v="74001"/>
    <n v="74001"/>
    <n v="70382.851715927885"/>
    <n v="70382.851715927885"/>
    <m/>
    <n v="3618.1482840721146"/>
    <n v="-556276.76912344736"/>
  </r>
  <r>
    <x v="3"/>
    <x v="11"/>
    <d v="2016-06-27T00:00:00"/>
    <d v="2016-06-27T00:00:00"/>
    <n v="0"/>
    <n v="74001"/>
    <n v="74001"/>
    <n v="70381.429990446006"/>
    <n v="70381.429990446006"/>
    <m/>
    <n v="3619.5700095539942"/>
    <n v="-552657.19911389332"/>
  </r>
  <r>
    <x v="3"/>
    <x v="11"/>
    <d v="2016-06-28T00:00:00"/>
    <d v="2016-06-28T00:00:00"/>
    <n v="0"/>
    <n v="74001"/>
    <n v="74001"/>
    <n v="69865.030860921135"/>
    <n v="69865.030860921135"/>
    <m/>
    <n v="4135.9691390788648"/>
    <n v="-548521.22997481446"/>
  </r>
  <r>
    <x v="3"/>
    <x v="11"/>
    <d v="2016-06-29T00:00:00"/>
    <d v="2016-06-29T00:00:00"/>
    <n v="0"/>
    <n v="74001"/>
    <n v="74001"/>
    <n v="69300.169848804231"/>
    <n v="69300.169848804231"/>
    <m/>
    <n v="4700.8301511957688"/>
    <n v="-543820.3998236187"/>
  </r>
  <r>
    <x v="3"/>
    <x v="11"/>
    <d v="2016-06-30T00:00:00"/>
    <d v="2016-06-30T00:00:00"/>
    <n v="0"/>
    <n v="74001"/>
    <n v="74001"/>
    <n v="70503.328733261558"/>
    <n v="70503.328733261558"/>
    <m/>
    <n v="3497.6712667384418"/>
    <n v="-540322.72855688026"/>
  </r>
  <r>
    <x v="3"/>
    <x v="0"/>
    <d v="2016-07-01T00:00:00"/>
    <d v="2016-07-01T00:00:00"/>
    <n v="0"/>
    <n v="78000"/>
    <n v="78000"/>
    <n v="70001.451052649994"/>
    <n v="70001.451052649994"/>
    <m/>
    <n v="7998.5489473500056"/>
    <n v="-532324.17960953026"/>
  </r>
  <r>
    <x v="3"/>
    <x v="0"/>
    <d v="2016-07-02T00:00:00"/>
    <d v="2016-07-02T00:00:00"/>
    <n v="0"/>
    <n v="77000"/>
    <n v="77000"/>
    <n v="69393.502272509999"/>
    <n v="69393.502272509999"/>
    <m/>
    <n v="7606.4977274900011"/>
    <n v="-524717.68188204023"/>
  </r>
  <r>
    <x v="3"/>
    <x v="0"/>
    <d v="2016-07-03T00:00:00"/>
    <d v="2016-07-03T00:00:00"/>
    <n v="0"/>
    <n v="77000"/>
    <n v="77000"/>
    <n v="67765.816138409995"/>
    <n v="67765.816138409995"/>
    <m/>
    <n v="9234.1838615900051"/>
    <n v="-515483.49802045024"/>
  </r>
  <r>
    <x v="3"/>
    <x v="0"/>
    <d v="2016-07-04T00:00:00"/>
    <d v="2016-07-04T00:00:00"/>
    <n v="0"/>
    <n v="77000"/>
    <n v="77000"/>
    <n v="71801.482543128004"/>
    <n v="71801.482543128004"/>
    <m/>
    <n v="5198.5174568719958"/>
    <n v="-510284.98056357825"/>
  </r>
  <r>
    <x v="3"/>
    <x v="0"/>
    <d v="2016-07-05T00:00:00"/>
    <d v="2016-07-05T00:00:00"/>
    <n v="0"/>
    <n v="77000"/>
    <n v="77000"/>
    <n v="71479.922356440002"/>
    <n v="71479.922356440002"/>
    <m/>
    <n v="5520.0776435599983"/>
    <n v="-504764.90292001824"/>
  </r>
  <r>
    <x v="3"/>
    <x v="0"/>
    <d v="2016-07-06T00:00:00"/>
    <d v="2016-07-06T00:00:00"/>
    <n v="0"/>
    <n v="97515"/>
    <n v="97515"/>
    <n v="70892.872941149995"/>
    <n v="70892.872941149995"/>
    <m/>
    <n v="26622.127058850005"/>
    <n v="-478142.77586116822"/>
  </r>
  <r>
    <x v="3"/>
    <x v="0"/>
    <d v="2016-07-07T00:00:00"/>
    <d v="2016-07-07T00:00:00"/>
    <n v="0"/>
    <n v="78000"/>
    <n v="78000"/>
    <n v="70247.810490741002"/>
    <n v="70247.810490741002"/>
    <m/>
    <n v="7752.1895092589984"/>
    <n v="-470390.58635190921"/>
  </r>
  <r>
    <x v="3"/>
    <x v="0"/>
    <d v="2016-07-08T00:00:00"/>
    <d v="2016-07-08T00:00:00"/>
    <n v="0"/>
    <n v="78000"/>
    <n v="78000"/>
    <n v="69392.924104139995"/>
    <n v="69392.924104139995"/>
    <m/>
    <n v="8607.0758958600054"/>
    <n v="-461783.51045604923"/>
  </r>
  <r>
    <x v="3"/>
    <x v="0"/>
    <d v="2016-07-09T00:00:00"/>
    <d v="2016-07-09T00:00:00"/>
    <n v="0"/>
    <n v="77000"/>
    <n v="77000"/>
    <n v="70604.746051320006"/>
    <n v="70604.746051320006"/>
    <m/>
    <n v="6395.2539486799942"/>
    <n v="-455388.25650736922"/>
  </r>
  <r>
    <x v="3"/>
    <x v="0"/>
    <d v="2016-07-10T00:00:00"/>
    <d v="2016-07-10T00:00:00"/>
    <n v="0"/>
    <n v="77000"/>
    <n v="77000"/>
    <n v="70256.525668055998"/>
    <n v="70256.525668055998"/>
    <m/>
    <n v="6743.4743319440022"/>
    <n v="-448644.78217542521"/>
  </r>
  <r>
    <x v="3"/>
    <x v="0"/>
    <d v="2016-07-11T00:00:00"/>
    <d v="2016-07-11T00:00:00"/>
    <n v="0"/>
    <n v="77000"/>
    <n v="77000"/>
    <n v="70993.458124641009"/>
    <n v="70993.458124641009"/>
    <m/>
    <n v="6006.5418753589911"/>
    <n v="-442638.24030006619"/>
  </r>
  <r>
    <x v="3"/>
    <x v="0"/>
    <d v="2016-07-12T00:00:00"/>
    <d v="2016-07-12T00:00:00"/>
    <n v="0"/>
    <n v="77000"/>
    <n v="77000"/>
    <n v="71076.512484899999"/>
    <n v="71076.512484899999"/>
    <m/>
    <n v="5923.4875151000015"/>
    <n v="-436714.7527849662"/>
  </r>
  <r>
    <x v="3"/>
    <x v="0"/>
    <d v="2016-07-13T00:00:00"/>
    <d v="2016-07-13T00:00:00"/>
    <n v="0"/>
    <n v="77000"/>
    <n v="77000"/>
    <n v="71483.124082266004"/>
    <n v="71483.124082266004"/>
    <m/>
    <n v="5516.8759177339962"/>
    <n v="-431197.8768672322"/>
  </r>
  <r>
    <x v="3"/>
    <x v="0"/>
    <d v="2016-07-14T00:00:00"/>
    <d v="2016-07-14T00:00:00"/>
    <n v="0"/>
    <n v="75000"/>
    <n v="75000"/>
    <n v="71632.805238539993"/>
    <n v="71632.805238539993"/>
    <m/>
    <n v="3367.1947614600067"/>
    <n v="-427830.6821057722"/>
  </r>
  <r>
    <x v="3"/>
    <x v="0"/>
    <d v="2016-07-15T00:00:00"/>
    <d v="2016-07-15T00:00:00"/>
    <n v="0"/>
    <n v="75000"/>
    <n v="75000"/>
    <n v="70803.13362759001"/>
    <n v="70803.13362759001"/>
    <m/>
    <n v="4196.8663724099897"/>
    <n v="-423633.81573336222"/>
  </r>
  <r>
    <x v="3"/>
    <x v="0"/>
    <d v="2016-07-16T00:00:00"/>
    <d v="2016-07-16T00:00:00"/>
    <n v="0"/>
    <n v="77000"/>
    <n v="77000"/>
    <n v="69429.291842430001"/>
    <n v="69429.291842430001"/>
    <m/>
    <n v="7570.7081575699995"/>
    <n v="-416063.10757579224"/>
  </r>
  <r>
    <x v="3"/>
    <x v="0"/>
    <d v="2016-07-17T00:00:00"/>
    <d v="2016-07-17T00:00:00"/>
    <n v="0"/>
    <n v="77000"/>
    <n v="77000"/>
    <n v="71635.212693720008"/>
    <n v="71635.212693720008"/>
    <m/>
    <n v="5364.7873062799918"/>
    <n v="-410698.32026951225"/>
  </r>
  <r>
    <x v="3"/>
    <x v="0"/>
    <d v="2016-07-18T00:00:00"/>
    <d v="2016-07-18T00:00:00"/>
    <n v="0"/>
    <n v="77000"/>
    <n v="77000"/>
    <n v="72591.352474797008"/>
    <n v="72591.352474797008"/>
    <m/>
    <n v="4408.6475252029923"/>
    <n v="-406289.67274430924"/>
  </r>
  <r>
    <x v="3"/>
    <x v="0"/>
    <d v="2016-07-19T00:00:00"/>
    <d v="2016-07-19T00:00:00"/>
    <n v="0"/>
    <n v="75000"/>
    <n v="75000"/>
    <n v="72647.599726845001"/>
    <n v="72647.599726845001"/>
    <m/>
    <n v="2352.400273154999"/>
    <n v="-403937.27247115423"/>
  </r>
  <r>
    <x v="3"/>
    <x v="0"/>
    <d v="2016-07-20T00:00:00"/>
    <d v="2016-07-20T00:00:00"/>
    <n v="0"/>
    <n v="75000"/>
    <n v="75000"/>
    <n v="72596.204350019994"/>
    <n v="72596.204350019994"/>
    <m/>
    <n v="2403.7956499800057"/>
    <n v="-401533.4768211742"/>
  </r>
  <r>
    <x v="3"/>
    <x v="0"/>
    <d v="2016-07-21T00:00:00"/>
    <d v="2016-07-21T00:00:00"/>
    <n v="0"/>
    <n v="77000"/>
    <n v="77000"/>
    <n v="72625.795196759995"/>
    <n v="72625.795196759995"/>
    <m/>
    <n v="4374.2048032400053"/>
    <n v="-397159.27201793418"/>
  </r>
  <r>
    <x v="3"/>
    <x v="0"/>
    <d v="2016-07-22T00:00:00"/>
    <d v="2016-07-22T00:00:00"/>
    <n v="0"/>
    <n v="77000"/>
    <n v="77000"/>
    <n v="72398.736156240004"/>
    <n v="72398.736156240004"/>
    <m/>
    <n v="4601.2638437599962"/>
    <n v="-392558.00817417417"/>
  </r>
  <r>
    <x v="3"/>
    <x v="0"/>
    <d v="2016-07-23T00:00:00"/>
    <d v="2016-07-23T00:00:00"/>
    <n v="0"/>
    <n v="63000"/>
    <n v="63000"/>
    <n v="70623.133701120008"/>
    <n v="70623.133701120008"/>
    <m/>
    <n v="-7623.1337011200085"/>
    <n v="-400181.14187529415"/>
  </r>
  <r>
    <x v="3"/>
    <x v="0"/>
    <d v="2016-07-24T00:00:00"/>
    <d v="2016-07-24T00:00:00"/>
    <n v="0"/>
    <n v="63000"/>
    <n v="63000"/>
    <n v="70204.686712875002"/>
    <n v="70204.686712875002"/>
    <m/>
    <n v="-7204.6867128750018"/>
    <n v="-407385.82858816918"/>
  </r>
  <r>
    <x v="3"/>
    <x v="0"/>
    <d v="2016-07-25T00:00:00"/>
    <d v="2016-07-25T00:00:00"/>
    <n v="0"/>
    <n v="63000"/>
    <n v="63000"/>
    <n v="72345.53518803"/>
    <n v="72345.53518803"/>
    <m/>
    <n v="-9345.5351880300004"/>
    <n v="-416731.36377619917"/>
  </r>
  <r>
    <x v="3"/>
    <x v="0"/>
    <d v="2016-07-26T00:00:00"/>
    <d v="2016-07-26T00:00:00"/>
    <n v="0"/>
    <n v="67000"/>
    <n v="67000"/>
    <n v="72285.566806440009"/>
    <n v="72285.566806440009"/>
    <m/>
    <n v="-5285.5668064400088"/>
    <n v="-422016.93058263918"/>
  </r>
  <r>
    <x v="3"/>
    <x v="0"/>
    <d v="2016-07-27T00:00:00"/>
    <d v="2016-07-27T00:00:00"/>
    <n v="0"/>
    <n v="63000"/>
    <n v="63000"/>
    <n v="72140.370720210005"/>
    <n v="72140.370720210005"/>
    <m/>
    <n v="-9140.3707202100049"/>
    <n v="-431157.3013028492"/>
  </r>
  <r>
    <x v="3"/>
    <x v="0"/>
    <d v="2016-07-28T00:00:00"/>
    <d v="2016-07-28T00:00:00"/>
    <n v="0"/>
    <n v="63000"/>
    <n v="63000"/>
    <n v="72200.879357490005"/>
    <n v="72200.879357490005"/>
    <m/>
    <n v="-9200.8793574900046"/>
    <n v="-440358.18066033919"/>
  </r>
  <r>
    <x v="3"/>
    <x v="0"/>
    <d v="2016-07-29T00:00:00"/>
    <d v="2016-07-29T00:00:00"/>
    <n v="0"/>
    <n v="63663"/>
    <n v="63663"/>
    <n v="72088.070178149996"/>
    <n v="72088.070178149996"/>
    <m/>
    <n v="-8425.0701781499956"/>
    <n v="-448783.25083848916"/>
  </r>
  <r>
    <x v="3"/>
    <x v="0"/>
    <d v="2016-07-30T00:00:00"/>
    <d v="2016-07-30T00:00:00"/>
    <n v="0"/>
    <n v="63663"/>
    <n v="63663"/>
    <n v="71227.575558359997"/>
    <n v="71227.575558359997"/>
    <m/>
    <n v="-7564.5755583599966"/>
    <n v="-456347.82639684912"/>
  </r>
  <r>
    <x v="3"/>
    <x v="0"/>
    <d v="2016-07-31T00:00:00"/>
    <d v="2016-07-31T00:00:00"/>
    <n v="0"/>
    <n v="63663"/>
    <n v="63663"/>
    <n v="69473.346376590009"/>
    <n v="69473.346376590009"/>
    <m/>
    <n v="-5810.3463765900087"/>
    <n v="-462158.17277343915"/>
  </r>
  <r>
    <x v="3"/>
    <x v="1"/>
    <d v="2016-08-01T00:00:00"/>
    <d v="2016-08-01T00:00:00"/>
    <n v="0"/>
    <n v="63000"/>
    <n v="63000"/>
    <n v="72167.677327980011"/>
    <n v="72167.677327980011"/>
    <m/>
    <n v="-9167.6773279800109"/>
    <n v="-471325.85010141914"/>
  </r>
  <r>
    <x v="3"/>
    <x v="1"/>
    <d v="2016-08-02T00:00:00"/>
    <d v="2016-08-02T00:00:00"/>
    <n v="0"/>
    <n v="63000"/>
    <n v="63000"/>
    <n v="72249.407587890004"/>
    <n v="72249.407587890004"/>
    <m/>
    <n v="-9249.4075878900039"/>
    <n v="-480575.25768930913"/>
  </r>
  <r>
    <x v="3"/>
    <x v="1"/>
    <d v="2016-08-03T00:00:00"/>
    <d v="2016-08-03T00:00:00"/>
    <n v="0"/>
    <n v="63000"/>
    <n v="63000"/>
    <n v="72287.851045410003"/>
    <n v="72287.851045410003"/>
    <m/>
    <n v="-9287.8510454100033"/>
    <n v="-489863.10873471911"/>
  </r>
  <r>
    <x v="3"/>
    <x v="1"/>
    <d v="2016-08-04T00:00:00"/>
    <d v="2016-08-04T00:00:00"/>
    <n v="0"/>
    <n v="63000"/>
    <n v="63000"/>
    <n v="72050.858882729997"/>
    <n v="72050.858882729997"/>
    <m/>
    <n v="-9050.8588827299973"/>
    <n v="-498913.96761744912"/>
  </r>
  <r>
    <x v="3"/>
    <x v="1"/>
    <d v="2016-08-05T00:00:00"/>
    <d v="2016-08-05T00:00:00"/>
    <n v="0"/>
    <n v="63000"/>
    <n v="63000"/>
    <n v="72457.624026450008"/>
    <n v="72457.624026450008"/>
    <m/>
    <n v="-9457.6240264500084"/>
    <n v="-508371.5916438991"/>
  </r>
  <r>
    <x v="3"/>
    <x v="1"/>
    <d v="2016-08-06T00:00:00"/>
    <d v="2016-08-06T00:00:00"/>
    <n v="0"/>
    <n v="63000"/>
    <n v="63000"/>
    <n v="72563.22031841999"/>
    <n v="72563.22031841999"/>
    <m/>
    <n v="-9563.2203184199898"/>
    <n v="-517934.81196231907"/>
  </r>
  <r>
    <x v="3"/>
    <x v="1"/>
    <d v="2016-08-07T00:00:00"/>
    <d v="2016-08-07T00:00:00"/>
    <n v="0"/>
    <n v="63000"/>
    <n v="63000"/>
    <n v="72351.459044279996"/>
    <n v="72351.459044279996"/>
    <m/>
    <n v="-9351.4590442799963"/>
    <n v="-527286.27100659907"/>
  </r>
  <r>
    <x v="3"/>
    <x v="1"/>
    <d v="2016-08-08T00:00:00"/>
    <d v="2016-08-08T00:00:00"/>
    <n v="0"/>
    <n v="63000"/>
    <n v="63000"/>
    <n v="72414.277511588996"/>
    <n v="72414.277511588996"/>
    <m/>
    <n v="-9414.2775115889963"/>
    <n v="-536700.54851818806"/>
  </r>
  <r>
    <x v="3"/>
    <x v="1"/>
    <d v="2016-08-09T00:00:00"/>
    <d v="2016-08-09T00:00:00"/>
    <n v="0"/>
    <n v="63000"/>
    <n v="63000"/>
    <n v="72222.451672409996"/>
    <n v="72222.451672409996"/>
    <m/>
    <n v="-9222.4516724099958"/>
    <n v="-545923.00019059808"/>
  </r>
  <r>
    <x v="3"/>
    <x v="1"/>
    <d v="2016-08-10T00:00:00"/>
    <d v="2016-08-10T00:00:00"/>
    <n v="0"/>
    <n v="63000"/>
    <n v="63000"/>
    <n v="71609.905979820003"/>
    <n v="71609.905979820003"/>
    <m/>
    <n v="-8609.9059798200033"/>
    <n v="-554532.90617041802"/>
  </r>
  <r>
    <x v="3"/>
    <x v="1"/>
    <d v="2016-08-11T00:00:00"/>
    <d v="2016-08-11T00:00:00"/>
    <n v="0"/>
    <n v="63000"/>
    <n v="63000"/>
    <n v="72048.90637971001"/>
    <n v="72048.90637971001"/>
    <m/>
    <n v="-9048.9063797100098"/>
    <n v="-563581.81255012797"/>
  </r>
  <r>
    <x v="3"/>
    <x v="1"/>
    <d v="2016-08-12T00:00:00"/>
    <d v="2016-08-12T00:00:00"/>
    <n v="0"/>
    <n v="63000"/>
    <n v="63000"/>
    <n v="72025.116173009999"/>
    <n v="72025.116173009999"/>
    <m/>
    <n v="-9025.1161730099993"/>
    <n v="-572606.92872313794"/>
  </r>
  <r>
    <x v="3"/>
    <x v="1"/>
    <d v="2016-08-13T00:00:00"/>
    <d v="2016-08-13T00:00:00"/>
    <n v="0"/>
    <n v="70000"/>
    <n v="70000"/>
    <n v="69697.785650922015"/>
    <n v="69697.785650922015"/>
    <m/>
    <n v="302.21434907798539"/>
    <n v="-572304.71437405993"/>
  </r>
  <r>
    <x v="3"/>
    <x v="1"/>
    <d v="2016-08-14T00:00:00"/>
    <d v="2016-08-14T00:00:00"/>
    <n v="0"/>
    <n v="70000"/>
    <n v="70000"/>
    <n v="69548.77365345"/>
    <n v="69548.77365345"/>
    <m/>
    <n v="451.22634655000002"/>
    <n v="-571853.48802750988"/>
  </r>
  <r>
    <x v="3"/>
    <x v="1"/>
    <d v="2016-08-15T00:00:00"/>
    <d v="2016-08-15T00:00:00"/>
    <n v="0"/>
    <n v="70000"/>
    <n v="70000"/>
    <n v="71981.450243820014"/>
    <n v="71981.450243820014"/>
    <m/>
    <n v="-1981.4502438200143"/>
    <n v="-573834.93827132985"/>
  </r>
  <r>
    <x v="3"/>
    <x v="1"/>
    <d v="2016-08-16T00:00:00"/>
    <d v="2016-08-16T00:00:00"/>
    <n v="0"/>
    <n v="70000"/>
    <n v="70000"/>
    <n v="71259.374818709999"/>
    <n v="71259.374818709999"/>
    <m/>
    <n v="-1259.3748187099991"/>
    <n v="-575094.31309003988"/>
  </r>
  <r>
    <x v="3"/>
    <x v="1"/>
    <d v="2016-08-17T00:00:00"/>
    <d v="2016-08-17T00:00:00"/>
    <n v="0"/>
    <n v="70000"/>
    <n v="70000"/>
    <n v="70767.476752050003"/>
    <n v="70767.476752050003"/>
    <m/>
    <n v="-767.47675205000269"/>
    <n v="-575861.78984208987"/>
  </r>
  <r>
    <x v="3"/>
    <x v="1"/>
    <d v="2016-08-18T00:00:00"/>
    <d v="2016-08-18T00:00:00"/>
    <n v="0"/>
    <n v="70000"/>
    <n v="70000"/>
    <n v="70385.497022879994"/>
    <n v="70385.497022879994"/>
    <m/>
    <n v="-385.49702287999389"/>
    <n v="-576247.28686496988"/>
  </r>
  <r>
    <x v="3"/>
    <x v="1"/>
    <d v="2016-08-19T00:00:00"/>
    <d v="2016-08-19T00:00:00"/>
    <n v="0"/>
    <n v="70000"/>
    <n v="70000"/>
    <n v="69105.858769350001"/>
    <n v="69105.858769350001"/>
    <m/>
    <n v="894.14123064999876"/>
    <n v="-575353.14563431987"/>
  </r>
  <r>
    <x v="3"/>
    <x v="1"/>
    <d v="2016-08-20T00:00:00"/>
    <d v="2016-08-20T00:00:00"/>
    <n v="0"/>
    <n v="70000"/>
    <n v="70000"/>
    <n v="68824.442423879998"/>
    <n v="68824.442423879998"/>
    <m/>
    <n v="1175.5575761200016"/>
    <n v="-574177.58805819985"/>
  </r>
  <r>
    <x v="3"/>
    <x v="1"/>
    <d v="2016-08-21T00:00:00"/>
    <d v="2016-08-21T00:00:00"/>
    <n v="0"/>
    <n v="70000"/>
    <n v="70000"/>
    <n v="64711.115685450008"/>
    <n v="64711.115685450008"/>
    <m/>
    <n v="5288.8843145499923"/>
    <n v="-568888.70374364988"/>
  </r>
  <r>
    <x v="3"/>
    <x v="1"/>
    <d v="2016-08-22T00:00:00"/>
    <d v="2016-08-22T00:00:00"/>
    <n v="0"/>
    <n v="70000"/>
    <n v="70000"/>
    <n v="68792.083951499997"/>
    <n v="68792.083951499997"/>
    <m/>
    <n v="1207.9160485000029"/>
    <n v="-567680.78769514989"/>
  </r>
  <r>
    <x v="3"/>
    <x v="1"/>
    <d v="2016-08-23T00:00:00"/>
    <d v="2016-08-23T00:00:00"/>
    <n v="0"/>
    <n v="70000"/>
    <n v="70000"/>
    <n v="69021.574142625002"/>
    <n v="69021.574142625002"/>
    <m/>
    <n v="978.42585737499758"/>
    <n v="-566702.36183777486"/>
  </r>
  <r>
    <x v="3"/>
    <x v="1"/>
    <d v="2016-08-24T00:00:00"/>
    <d v="2016-08-24T00:00:00"/>
    <n v="0"/>
    <n v="70000"/>
    <n v="70000"/>
    <n v="69322.935401226001"/>
    <n v="69322.935401226001"/>
    <m/>
    <n v="677.06459877399902"/>
    <n v="-566025.29723900091"/>
  </r>
  <r>
    <x v="3"/>
    <x v="1"/>
    <d v="2016-08-25T00:00:00"/>
    <d v="2016-08-25T00:00:00"/>
    <n v="0"/>
    <n v="70000"/>
    <n v="70000"/>
    <n v="69035.850636187504"/>
    <n v="69035.850636187504"/>
    <m/>
    <n v="964.14936381249572"/>
    <n v="-565061.14787518838"/>
  </r>
  <r>
    <x v="3"/>
    <x v="1"/>
    <d v="2016-08-26T00:00:00"/>
    <d v="2016-08-26T00:00:00"/>
    <n v="0"/>
    <n v="70000"/>
    <n v="70000"/>
    <n v="72014.400154008006"/>
    <n v="72014.400154008006"/>
    <m/>
    <n v="-2014.4001540080062"/>
    <n v="-567075.54802919645"/>
  </r>
  <r>
    <x v="3"/>
    <x v="1"/>
    <d v="2016-08-27T00:00:00"/>
    <d v="2016-08-27T00:00:00"/>
    <n v="0"/>
    <n v="70000"/>
    <n v="70000"/>
    <n v="70804.688047470001"/>
    <n v="70804.688047470001"/>
    <m/>
    <n v="-804.68804747000104"/>
    <n v="-567880.23607666651"/>
  </r>
  <r>
    <x v="3"/>
    <x v="1"/>
    <d v="2016-08-28T00:00:00"/>
    <d v="2016-08-28T00:00:00"/>
    <n v="0"/>
    <n v="70000"/>
    <n v="70000"/>
    <n v="68084.178390539993"/>
    <n v="68084.178390539993"/>
    <m/>
    <n v="1915.8216094600066"/>
    <n v="-565964.41446720646"/>
  </r>
  <r>
    <x v="3"/>
    <x v="1"/>
    <d v="2016-08-29T00:00:00"/>
    <d v="2016-08-29T00:00:00"/>
    <n v="0"/>
    <n v="70000"/>
    <n v="70000"/>
    <n v="68357.471944320001"/>
    <n v="68357.471944320001"/>
    <m/>
    <n v="1642.5280556799989"/>
    <n v="-564321.88641152647"/>
  </r>
  <r>
    <x v="3"/>
    <x v="1"/>
    <d v="2016-08-30T00:00:00"/>
    <d v="2016-08-30T00:00:00"/>
    <n v="0"/>
    <n v="70000"/>
    <n v="70000"/>
    <n v="68189.063819760006"/>
    <n v="68189.063819760006"/>
    <m/>
    <n v="1810.9361802399944"/>
    <n v="-562510.95023128646"/>
  </r>
  <r>
    <x v="3"/>
    <x v="1"/>
    <d v="2016-08-31T00:00:00"/>
    <d v="2016-08-31T00:00:00"/>
    <n v="0"/>
    <n v="70000"/>
    <n v="70000"/>
    <n v="67900.339805220006"/>
    <n v="67900.339805220006"/>
    <m/>
    <n v="2099.6601947799936"/>
    <n v="-560411.29003650649"/>
  </r>
  <r>
    <x v="3"/>
    <x v="2"/>
    <d v="2016-09-01T00:00:00"/>
    <d v="2016-09-01T00:00:00"/>
    <n v="0"/>
    <n v="70000"/>
    <n v="70000"/>
    <n v="67953.995725590008"/>
    <n v="67953.995725590008"/>
    <m/>
    <n v="2046.0042744099919"/>
    <n v="-558365.28576209652"/>
  </r>
  <r>
    <x v="3"/>
    <x v="2"/>
    <d v="2016-09-02T00:00:00"/>
    <d v="2016-09-02T00:00:00"/>
    <n v="0"/>
    <n v="70000"/>
    <n v="70000"/>
    <n v="68274.101961000008"/>
    <n v="68274.101961000008"/>
    <m/>
    <n v="1725.8980389999924"/>
    <n v="-556639.38772309653"/>
  </r>
  <r>
    <x v="3"/>
    <x v="2"/>
    <d v="2016-09-03T00:00:00"/>
    <d v="2016-09-03T00:00:00"/>
    <n v="0"/>
    <n v="72000"/>
    <n v="72000"/>
    <n v="68301.400986234003"/>
    <n v="68301.400986234003"/>
    <m/>
    <n v="3698.5990137659974"/>
    <n v="-552940.78870933049"/>
  </r>
  <r>
    <x v="3"/>
    <x v="2"/>
    <d v="2016-09-04T00:00:00"/>
    <d v="2016-09-04T00:00:00"/>
    <n v="0"/>
    <n v="72000"/>
    <n v="72000"/>
    <n v="70144.713592200002"/>
    <n v="70144.713592200002"/>
    <m/>
    <n v="1855.2864077999984"/>
    <n v="-551085.50230153045"/>
  </r>
  <r>
    <x v="3"/>
    <x v="2"/>
    <d v="2016-09-05T00:00:00"/>
    <d v="2016-09-05T00:00:00"/>
    <n v="0"/>
    <n v="72000"/>
    <n v="72000"/>
    <n v="70499.699493210006"/>
    <n v="70499.699493210006"/>
    <m/>
    <n v="1500.300506789994"/>
    <n v="-549585.20179474051"/>
  </r>
  <r>
    <x v="3"/>
    <x v="2"/>
    <d v="2016-09-06T00:00:00"/>
    <d v="2016-09-06T00:00:00"/>
    <n v="0"/>
    <n v="72000"/>
    <n v="72000"/>
    <n v="68081.903629740002"/>
    <n v="68081.903629740002"/>
    <m/>
    <n v="3918.0963702599984"/>
    <n v="-545667.10542448051"/>
  </r>
  <r>
    <x v="3"/>
    <x v="2"/>
    <d v="2016-09-07T00:00:00"/>
    <d v="2016-09-07T00:00:00"/>
    <n v="0"/>
    <n v="72000"/>
    <n v="72000"/>
    <n v="68070.406609529993"/>
    <n v="68070.406609529993"/>
    <m/>
    <n v="3929.5933904700069"/>
    <n v="-541737.51203401049"/>
  </r>
  <r>
    <x v="3"/>
    <x v="2"/>
    <d v="2016-09-08T00:00:00"/>
    <d v="2016-09-08T00:00:00"/>
    <n v="0"/>
    <n v="72000"/>
    <n v="72000"/>
    <n v="68179.642518780005"/>
    <n v="68179.642518780005"/>
    <m/>
    <n v="3820.357481219995"/>
    <n v="-537917.15455279045"/>
  </r>
  <r>
    <x v="3"/>
    <x v="2"/>
    <d v="2016-09-09T00:00:00"/>
    <d v="2016-09-09T00:00:00"/>
    <n v="0"/>
    <n v="72000"/>
    <n v="72000"/>
    <n v="69620.049491850004"/>
    <n v="69620.049491850004"/>
    <m/>
    <n v="2379.9505081499956"/>
    <n v="-535537.20404464041"/>
  </r>
  <r>
    <x v="3"/>
    <x v="2"/>
    <d v="2016-09-10T00:00:00"/>
    <d v="2016-09-10T00:00:00"/>
    <n v="0"/>
    <n v="72000"/>
    <n v="72000"/>
    <n v="67356.093805650002"/>
    <n v="67356.093805650002"/>
    <m/>
    <n v="4643.9061943499983"/>
    <n v="-530893.29785029043"/>
  </r>
  <r>
    <x v="3"/>
    <x v="2"/>
    <d v="2016-09-11T00:00:00"/>
    <d v="2016-09-11T00:00:00"/>
    <n v="0"/>
    <n v="72000"/>
    <n v="72000"/>
    <n v="68542.883905859999"/>
    <n v="68542.883905859999"/>
    <m/>
    <n v="3457.1160941400012"/>
    <n v="-527436.18175615044"/>
  </r>
  <r>
    <x v="3"/>
    <x v="2"/>
    <d v="2016-09-12T00:00:00"/>
    <d v="2016-09-12T00:00:00"/>
    <n v="0"/>
    <n v="72000"/>
    <n v="72000"/>
    <n v="70363.40340861"/>
    <n v="70363.40340861"/>
    <m/>
    <n v="1636.59659139"/>
    <n v="-525799.58516476047"/>
  </r>
  <r>
    <x v="3"/>
    <x v="2"/>
    <d v="2016-09-13T00:00:00"/>
    <d v="2016-09-13T00:00:00"/>
    <n v="0"/>
    <n v="75000"/>
    <n v="75000"/>
    <n v="70216.832987729998"/>
    <n v="70216.832987729998"/>
    <m/>
    <n v="4783.1670122700016"/>
    <n v="-521016.41815249046"/>
  </r>
  <r>
    <x v="3"/>
    <x v="2"/>
    <d v="2016-09-14T00:00:00"/>
    <d v="2016-09-14T00:00:00"/>
    <n v="0"/>
    <n v="74999"/>
    <n v="74999"/>
    <n v="70266.80189997"/>
    <n v="70266.80189997"/>
    <m/>
    <n v="4732.1981000300002"/>
    <n v="-516284.22005246044"/>
  </r>
  <r>
    <x v="3"/>
    <x v="2"/>
    <d v="2016-09-15T00:00:00"/>
    <d v="2016-09-15T00:00:00"/>
    <n v="0"/>
    <n v="74999"/>
    <n v="74999"/>
    <n v="68893.452979649999"/>
    <n v="68893.452979649999"/>
    <m/>
    <n v="6105.5470203500008"/>
    <n v="-510178.67303211044"/>
  </r>
  <r>
    <x v="3"/>
    <x v="2"/>
    <d v="2016-09-16T00:00:00"/>
    <d v="2016-09-16T00:00:00"/>
    <n v="0"/>
    <n v="72000"/>
    <n v="72000"/>
    <n v="69391.704263660999"/>
    <n v="69391.704263660999"/>
    <m/>
    <n v="2608.2957363390015"/>
    <n v="-507570.37729577144"/>
  </r>
  <r>
    <x v="3"/>
    <x v="2"/>
    <d v="2016-09-17T00:00:00"/>
    <d v="2016-09-17T00:00:00"/>
    <n v="0"/>
    <n v="72000"/>
    <n v="72000"/>
    <n v="68500.251097200002"/>
    <n v="68500.251097200002"/>
    <m/>
    <n v="3499.7489027999982"/>
    <n v="-504070.62839297147"/>
  </r>
  <r>
    <x v="3"/>
    <x v="2"/>
    <d v="2016-09-18T00:00:00"/>
    <d v="2016-09-18T00:00:00"/>
    <n v="0"/>
    <n v="72000"/>
    <n v="72000"/>
    <n v="67681.422512730001"/>
    <n v="67681.422512730001"/>
    <m/>
    <n v="4318.5774872699985"/>
    <n v="-499752.05090570147"/>
  </r>
  <r>
    <x v="3"/>
    <x v="2"/>
    <d v="2016-09-19T00:00:00"/>
    <d v="2016-09-19T00:00:00"/>
    <n v="0"/>
    <n v="72000"/>
    <n v="72000"/>
    <n v="69658.559296559994"/>
    <n v="69658.559296559994"/>
    <m/>
    <n v="2341.4407034400065"/>
    <n v="-497410.61020226148"/>
  </r>
  <r>
    <x v="3"/>
    <x v="2"/>
    <d v="2016-09-20T00:00:00"/>
    <d v="2016-09-20T00:00:00"/>
    <n v="0"/>
    <n v="72000"/>
    <n v="72000"/>
    <n v="70340.103223299011"/>
    <n v="70340.103223299011"/>
    <m/>
    <n v="1659.896776700989"/>
    <n v="-495750.71342556051"/>
  </r>
  <r>
    <x v="3"/>
    <x v="2"/>
    <d v="2016-09-21T00:00:00"/>
    <d v="2016-09-21T00:00:00"/>
    <n v="0"/>
    <n v="71000"/>
    <n v="71000"/>
    <n v="70199.374198590012"/>
    <n v="70199.374198590012"/>
    <m/>
    <n v="800.62580140998762"/>
    <n v="-494950.0876241505"/>
  </r>
  <r>
    <x v="3"/>
    <x v="2"/>
    <d v="2016-09-22T00:00:00"/>
    <d v="2016-09-22T00:00:00"/>
    <n v="0"/>
    <n v="71000"/>
    <n v="71000"/>
    <n v="70544.720800710013"/>
    <n v="70544.720800710013"/>
    <m/>
    <n v="455.27919928998745"/>
    <n v="-494494.80842486053"/>
  </r>
  <r>
    <x v="3"/>
    <x v="2"/>
    <d v="2016-09-23T00:00:00"/>
    <d v="2016-09-23T00:00:00"/>
    <n v="0"/>
    <n v="71000"/>
    <n v="71000"/>
    <n v="69610.334367600008"/>
    <n v="69610.334367600008"/>
    <m/>
    <n v="1389.6656323999923"/>
    <n v="-493105.14279246051"/>
  </r>
  <r>
    <x v="3"/>
    <x v="2"/>
    <d v="2016-09-24T00:00:00"/>
    <d v="2016-09-24T00:00:00"/>
    <n v="0"/>
    <n v="71000"/>
    <n v="71000"/>
    <n v="70545.280012739997"/>
    <n v="70545.280012739997"/>
    <m/>
    <n v="454.71998726000311"/>
    <n v="-492650.42280520051"/>
  </r>
  <r>
    <x v="3"/>
    <x v="2"/>
    <d v="2016-09-25T00:00:00"/>
    <d v="2016-09-25T00:00:00"/>
    <n v="0"/>
    <n v="71000"/>
    <n v="71000"/>
    <n v="66106.103267879997"/>
    <n v="66106.103267879997"/>
    <m/>
    <n v="4893.8967321200034"/>
    <n v="-487756.52607308049"/>
  </r>
  <r>
    <x v="3"/>
    <x v="2"/>
    <d v="2016-09-26T00:00:00"/>
    <d v="2016-09-26T00:00:00"/>
    <n v="0"/>
    <n v="71000"/>
    <n v="71000"/>
    <n v="60017.563814130001"/>
    <n v="60017.563814130001"/>
    <m/>
    <n v="10982.436185869999"/>
    <n v="-476774.08988721052"/>
  </r>
  <r>
    <x v="3"/>
    <x v="2"/>
    <d v="2016-09-27T00:00:00"/>
    <d v="2016-09-27T00:00:00"/>
    <n v="0"/>
    <n v="71000"/>
    <n v="71000"/>
    <n v="59454.723899876648"/>
    <n v="59454.723899876648"/>
    <m/>
    <n v="11545.276100123352"/>
    <n v="-465228.81378708716"/>
  </r>
  <r>
    <x v="3"/>
    <x v="2"/>
    <d v="2016-09-28T00:00:00"/>
    <d v="2016-09-28T00:00:00"/>
    <n v="0"/>
    <n v="71000"/>
    <n v="71000"/>
    <n v="70327.777041403606"/>
    <n v="70327.777041403606"/>
    <m/>
    <n v="672.22295859639416"/>
    <n v="-464556.59082849079"/>
  </r>
  <r>
    <x v="3"/>
    <x v="2"/>
    <d v="2016-09-29T00:00:00"/>
    <d v="2016-09-29T00:00:00"/>
    <n v="0"/>
    <n v="69000"/>
    <n v="69000"/>
    <n v="67836.654796218747"/>
    <n v="67836.654796218747"/>
    <m/>
    <n v="1163.3452037812531"/>
    <n v="-463393.24562470953"/>
  </r>
  <r>
    <x v="3"/>
    <x v="2"/>
    <d v="2016-09-30T00:00:00"/>
    <d v="2016-09-30T00:00:00"/>
    <n v="0"/>
    <n v="69000"/>
    <n v="69000"/>
    <n v="68674.302879609371"/>
    <n v="68674.302879609371"/>
    <m/>
    <n v="325.6971203906287"/>
    <n v="-463067.54850431893"/>
  </r>
  <r>
    <x v="3"/>
    <x v="3"/>
    <d v="2016-10-01T00:00:00"/>
    <d v="2016-10-01T00:00:00"/>
    <n v="0"/>
    <n v="70000"/>
    <n v="70000"/>
    <n v="63959.582107980001"/>
    <n v="63959.582107980001"/>
    <m/>
    <n v="6040.4178920199993"/>
    <n v="-457027.1306122989"/>
  </r>
  <r>
    <x v="3"/>
    <x v="3"/>
    <d v="2016-10-02T00:00:00"/>
    <d v="2016-10-02T00:00:00"/>
    <n v="0"/>
    <n v="70000"/>
    <n v="70000"/>
    <n v="62550.216141659999"/>
    <n v="62550.216141659999"/>
    <m/>
    <n v="7449.7838583400007"/>
    <n v="-449577.3467539589"/>
  </r>
  <r>
    <x v="3"/>
    <x v="3"/>
    <d v="2016-10-03T00:00:00"/>
    <d v="2016-10-03T00:00:00"/>
    <n v="0"/>
    <n v="70000"/>
    <n v="70000"/>
    <n v="69749.682422940008"/>
    <n v="69749.682422940008"/>
    <m/>
    <n v="250.31757705999189"/>
    <n v="-449327.02917689888"/>
  </r>
  <r>
    <x v="3"/>
    <x v="3"/>
    <d v="2016-10-04T00:00:00"/>
    <d v="2016-10-04T00:00:00"/>
    <n v="0"/>
    <n v="71000"/>
    <n v="71000"/>
    <n v="67735.182692970004"/>
    <n v="67735.182692970004"/>
    <m/>
    <n v="3264.8173070299963"/>
    <n v="-446062.21186986892"/>
  </r>
  <r>
    <x v="3"/>
    <x v="3"/>
    <d v="2016-10-05T00:00:00"/>
    <d v="2016-10-05T00:00:00"/>
    <n v="0"/>
    <n v="70000"/>
    <n v="70000"/>
    <n v="70959.855168540002"/>
    <n v="70959.855168540002"/>
    <m/>
    <n v="-959.85516854000161"/>
    <n v="-447022.06703840895"/>
  </r>
  <r>
    <x v="3"/>
    <x v="3"/>
    <d v="2016-10-06T00:00:00"/>
    <d v="2016-10-06T00:00:00"/>
    <n v="0"/>
    <n v="60000"/>
    <n v="60000"/>
    <n v="69676.245561780001"/>
    <n v="69676.245561780001"/>
    <m/>
    <n v="-9676.2455617800006"/>
    <n v="-456698.31260018895"/>
  </r>
  <r>
    <x v="3"/>
    <x v="3"/>
    <d v="2016-10-07T00:00:00"/>
    <d v="2016-10-07T00:00:00"/>
    <n v="0"/>
    <n v="60000"/>
    <n v="60000"/>
    <n v="67788.084151008006"/>
    <n v="67788.084151008006"/>
    <m/>
    <n v="-7788.0841510080063"/>
    <n v="-464486.39675119694"/>
  </r>
  <r>
    <x v="3"/>
    <x v="3"/>
    <d v="2016-10-08T00:00:00"/>
    <d v="2016-10-08T00:00:00"/>
    <n v="0"/>
    <n v="70000"/>
    <n v="70000"/>
    <n v="57696.208330410002"/>
    <n v="57696.208330410002"/>
    <m/>
    <n v="12303.791669589998"/>
    <n v="-452182.60508160695"/>
  </r>
  <r>
    <x v="3"/>
    <x v="3"/>
    <d v="2016-10-09T00:00:00"/>
    <d v="2016-10-09T00:00:00"/>
    <n v="0"/>
    <n v="70000"/>
    <n v="70000"/>
    <n v="60868.22957163"/>
    <n v="60868.22957163"/>
    <m/>
    <n v="9131.7704283700004"/>
    <n v="-443050.83465323696"/>
  </r>
  <r>
    <x v="3"/>
    <x v="3"/>
    <d v="2016-10-10T00:00:00"/>
    <d v="2016-10-10T00:00:00"/>
    <n v="0"/>
    <n v="70000"/>
    <n v="70000"/>
    <n v="67841.362840212008"/>
    <n v="67841.362840212008"/>
    <m/>
    <n v="2158.6371597879915"/>
    <n v="-440892.19749344897"/>
  </r>
  <r>
    <x v="3"/>
    <x v="3"/>
    <d v="2016-10-11T00:00:00"/>
    <d v="2016-10-11T00:00:00"/>
    <n v="0"/>
    <n v="60000"/>
    <n v="60000"/>
    <n v="67914.945665190011"/>
    <n v="67914.945665190011"/>
    <m/>
    <n v="-7914.9456651900109"/>
    <n v="-448807.14315863897"/>
  </r>
  <r>
    <x v="3"/>
    <x v="3"/>
    <d v="2016-10-12T00:00:00"/>
    <d v="2016-10-12T00:00:00"/>
    <n v="0"/>
    <n v="60000"/>
    <n v="60000"/>
    <n v="70692.779294280001"/>
    <n v="70692.779294280001"/>
    <m/>
    <n v="-10692.779294280001"/>
    <n v="-459499.92245291895"/>
  </r>
  <r>
    <x v="3"/>
    <x v="3"/>
    <d v="2016-10-13T00:00:00"/>
    <d v="2016-10-13T00:00:00"/>
    <n v="0"/>
    <n v="64999"/>
    <n v="64999"/>
    <n v="70499.087203428004"/>
    <n v="70499.087203428004"/>
    <m/>
    <n v="-5500.0872034280037"/>
    <n v="-465000.00965634699"/>
  </r>
  <r>
    <x v="3"/>
    <x v="3"/>
    <d v="2016-10-14T00:00:00"/>
    <d v="2016-10-14T00:00:00"/>
    <n v="0"/>
    <n v="64999"/>
    <n v="64999"/>
    <n v="70180.048209960005"/>
    <n v="70180.048209960005"/>
    <m/>
    <n v="-5181.0482099600049"/>
    <n v="-470181.05786630698"/>
  </r>
  <r>
    <x v="3"/>
    <x v="3"/>
    <d v="2016-10-15T00:00:00"/>
    <d v="2016-10-15T00:00:00"/>
    <n v="0"/>
    <n v="69000"/>
    <n v="69000"/>
    <n v="65330.021230110004"/>
    <n v="65330.021230110004"/>
    <m/>
    <n v="3669.9787698899963"/>
    <n v="-466511.079096417"/>
  </r>
  <r>
    <x v="3"/>
    <x v="3"/>
    <d v="2016-10-16T00:00:00"/>
    <d v="2016-10-16T00:00:00"/>
    <n v="0"/>
    <n v="69000"/>
    <n v="69000"/>
    <n v="63116.129237850007"/>
    <n v="63116.129237850007"/>
    <m/>
    <n v="5883.8707621499925"/>
    <n v="-460627.20833426702"/>
  </r>
  <r>
    <x v="3"/>
    <x v="3"/>
    <d v="2016-10-17T00:00:00"/>
    <d v="2016-10-17T00:00:00"/>
    <n v="0"/>
    <n v="69000"/>
    <n v="69000"/>
    <n v="64153.050514019997"/>
    <n v="64153.050514019997"/>
    <m/>
    <n v="4846.9494859800034"/>
    <n v="-455780.25884828705"/>
  </r>
  <r>
    <x v="3"/>
    <x v="3"/>
    <d v="2016-10-18T00:00:00"/>
    <d v="2016-10-18T00:00:00"/>
    <n v="0"/>
    <n v="70000"/>
    <n v="70000"/>
    <n v="70193.611471230004"/>
    <n v="70193.611471230004"/>
    <m/>
    <n v="-193.6114712300041"/>
    <n v="-455973.87031951704"/>
  </r>
  <r>
    <x v="3"/>
    <x v="3"/>
    <d v="2016-10-19T00:00:00"/>
    <d v="2016-10-19T00:00:00"/>
    <n v="0"/>
    <n v="64999"/>
    <n v="64999"/>
    <n v="67797.11305575"/>
    <n v="67797.11305575"/>
    <m/>
    <n v="-2798.1130557500001"/>
    <n v="-458771.98337526701"/>
  </r>
  <r>
    <x v="3"/>
    <x v="3"/>
    <d v="2016-10-20T00:00:00"/>
    <d v="2016-10-20T00:00:00"/>
    <n v="0"/>
    <n v="60000"/>
    <n v="60000"/>
    <n v="65372.170652100001"/>
    <n v="65372.170652100001"/>
    <m/>
    <n v="-5372.1706521000015"/>
    <n v="-464144.15402736701"/>
  </r>
  <r>
    <x v="3"/>
    <x v="3"/>
    <d v="2016-10-21T00:00:00"/>
    <d v="2016-10-21T00:00:00"/>
    <n v="0"/>
    <n v="55000"/>
    <n v="55000"/>
    <n v="64551.465389970006"/>
    <n v="64551.465389970006"/>
    <m/>
    <n v="-9551.4653899700061"/>
    <n v="-473695.619417337"/>
  </r>
  <r>
    <x v="3"/>
    <x v="3"/>
    <d v="2016-10-22T00:00:00"/>
    <d v="2016-10-22T00:00:00"/>
    <n v="0"/>
    <n v="62000"/>
    <n v="62000"/>
    <n v="65804.230188098998"/>
    <n v="65804.230188098998"/>
    <m/>
    <n v="-3804.230188098998"/>
    <n v="-477499.84960543597"/>
  </r>
  <r>
    <x v="3"/>
    <x v="3"/>
    <d v="2016-10-23T00:00:00"/>
    <d v="2016-10-23T00:00:00"/>
    <n v="0"/>
    <n v="62000"/>
    <n v="62000"/>
    <n v="63342.29733039"/>
    <n v="63342.29733039"/>
    <m/>
    <n v="-1342.2973303899998"/>
    <n v="-478842.14693582599"/>
  </r>
  <r>
    <x v="3"/>
    <x v="3"/>
    <d v="2016-10-24T00:00:00"/>
    <d v="2016-10-24T00:00:00"/>
    <n v="0"/>
    <n v="62000"/>
    <n v="62000"/>
    <n v="67871.772600840006"/>
    <n v="67871.772600840006"/>
    <m/>
    <n v="-5871.7726008400059"/>
    <n v="-484713.91953666601"/>
  </r>
  <r>
    <x v="3"/>
    <x v="3"/>
    <d v="2016-10-25T00:00:00"/>
    <d v="2016-10-25T00:00:00"/>
    <n v="0"/>
    <n v="64999"/>
    <n v="64999"/>
    <n v="67828.029898473003"/>
    <n v="67828.029898473003"/>
    <m/>
    <n v="-2829.0298984730034"/>
    <n v="-487542.94943513902"/>
  </r>
  <r>
    <x v="3"/>
    <x v="3"/>
    <d v="2016-10-26T00:00:00"/>
    <d v="2016-10-26T00:00:00"/>
    <n v="0"/>
    <n v="64999"/>
    <n v="64999"/>
    <n v="57315.166940069998"/>
    <n v="57315.166940069998"/>
    <m/>
    <n v="7683.8330599300025"/>
    <n v="-479859.11637520901"/>
  </r>
  <r>
    <x v="3"/>
    <x v="3"/>
    <d v="2016-10-27T00:00:00"/>
    <d v="2016-10-27T00:00:00"/>
    <n v="0"/>
    <n v="64999"/>
    <n v="64999"/>
    <n v="67862.923781327991"/>
    <n v="67862.923781327991"/>
    <m/>
    <n v="-2863.9237813279906"/>
    <n v="-482723.04015653697"/>
  </r>
  <r>
    <x v="3"/>
    <x v="3"/>
    <d v="2016-10-28T00:00:00"/>
    <d v="2016-10-28T00:00:00"/>
    <n v="0"/>
    <n v="64999"/>
    <n v="64999"/>
    <n v="67606.46114763798"/>
    <n v="67606.46114763798"/>
    <m/>
    <n v="-2607.4611476379796"/>
    <n v="-485330.50130417495"/>
  </r>
  <r>
    <x v="3"/>
    <x v="3"/>
    <d v="2016-10-29T00:00:00"/>
    <d v="2016-10-29T00:00:00"/>
    <n v="0"/>
    <n v="60000"/>
    <n v="60000"/>
    <n v="62931.146460169228"/>
    <n v="62931.146460169228"/>
    <m/>
    <n v="-2931.1464601692278"/>
    <n v="-488261.64776434418"/>
  </r>
  <r>
    <x v="3"/>
    <x v="3"/>
    <d v="2016-10-30T00:00:00"/>
    <d v="2016-10-30T00:00:00"/>
    <n v="0"/>
    <n v="60000"/>
    <n v="60000"/>
    <n v="62739.061719089761"/>
    <n v="62739.061719089761"/>
    <m/>
    <n v="-2739.061719089761"/>
    <n v="-491000.70948343392"/>
  </r>
  <r>
    <x v="3"/>
    <x v="3"/>
    <d v="2016-10-31T00:00:00"/>
    <d v="2016-10-31T00:00:00"/>
    <n v="0"/>
    <n v="60000"/>
    <n v="60000"/>
    <n v="70638.512920997353"/>
    <n v="70638.512920997353"/>
    <m/>
    <n v="-10638.512920997353"/>
    <n v="-501639.22240443126"/>
  </r>
  <r>
    <x v="3"/>
    <x v="4"/>
    <d v="2016-11-01T00:00:00"/>
    <d v="2016-11-01T00:00:00"/>
    <n v="0"/>
    <n v="65000"/>
    <n v="65000"/>
    <n v="67178.43344618674"/>
    <n v="67178.43344618674"/>
    <m/>
    <n v="-2178.4334461867402"/>
    <n v="-503817.65585061803"/>
  </r>
  <r>
    <x v="3"/>
    <x v="4"/>
    <d v="2016-11-02T00:00:00"/>
    <d v="2016-11-02T00:00:00"/>
    <n v="0"/>
    <n v="64999"/>
    <n v="64999"/>
    <n v="67904.326583612623"/>
    <n v="67904.326583612623"/>
    <m/>
    <n v="-2905.3265836126229"/>
    <n v="-506722.98243423062"/>
  </r>
  <r>
    <x v="3"/>
    <x v="4"/>
    <d v="2016-11-03T00:00:00"/>
    <d v="2016-11-03T00:00:00"/>
    <n v="0"/>
    <n v="74999"/>
    <n v="74999"/>
    <n v="71795.452700141032"/>
    <n v="71795.452700141032"/>
    <m/>
    <n v="3203.5472998589685"/>
    <n v="-503519.43513437163"/>
  </r>
  <r>
    <x v="3"/>
    <x v="4"/>
    <d v="2016-11-04T00:00:00"/>
    <d v="2016-11-04T00:00:00"/>
    <n v="0"/>
    <n v="62000"/>
    <n v="62000"/>
    <n v="70413.381882099144"/>
    <n v="70413.381882099144"/>
    <m/>
    <n v="-8413.3818820991437"/>
    <n v="-511932.81701647077"/>
  </r>
  <r>
    <x v="3"/>
    <x v="4"/>
    <d v="2016-11-05T00:00:00"/>
    <d v="2016-11-05T00:00:00"/>
    <n v="0"/>
    <n v="64999"/>
    <n v="64999"/>
    <n v="65241.950315433518"/>
    <n v="65241.950315433518"/>
    <m/>
    <n v="-242.95031543351797"/>
    <n v="-512175.76733190427"/>
  </r>
  <r>
    <x v="3"/>
    <x v="4"/>
    <d v="2016-11-06T00:00:00"/>
    <d v="2016-11-06T00:00:00"/>
    <n v="0"/>
    <n v="64999"/>
    <n v="64999"/>
    <n v="61227.470538056747"/>
    <n v="61227.470538056747"/>
    <m/>
    <n v="3771.5294619432534"/>
    <n v="-508404.23786996101"/>
  </r>
  <r>
    <x v="3"/>
    <x v="4"/>
    <d v="2016-11-07T00:00:00"/>
    <d v="2016-11-07T00:00:00"/>
    <n v="0"/>
    <n v="64999"/>
    <n v="64999"/>
    <n v="67863.370059030043"/>
    <n v="67863.370059030043"/>
    <m/>
    <n v="-2864.3700590300432"/>
    <n v="-511268.60792899108"/>
  </r>
  <r>
    <x v="3"/>
    <x v="4"/>
    <d v="2016-11-08T00:00:00"/>
    <d v="2016-11-08T00:00:00"/>
    <n v="0"/>
    <n v="66999"/>
    <n v="66999"/>
    <n v="64560.48008352163"/>
    <n v="64560.48008352163"/>
    <m/>
    <n v="2438.5199164783699"/>
    <n v="-508830.08801251272"/>
  </r>
  <r>
    <x v="3"/>
    <x v="4"/>
    <d v="2016-11-09T00:00:00"/>
    <d v="2016-11-09T00:00:00"/>
    <n v="0"/>
    <n v="62000"/>
    <n v="62000"/>
    <n v="64897.436428018991"/>
    <n v="64897.436428018991"/>
    <m/>
    <n v="-2897.4364280189911"/>
    <n v="-511727.52444053174"/>
  </r>
  <r>
    <x v="3"/>
    <x v="4"/>
    <d v="2016-11-10T00:00:00"/>
    <d v="2016-11-10T00:00:00"/>
    <n v="0"/>
    <n v="64999"/>
    <n v="64999"/>
    <n v="67150.315954792924"/>
    <n v="67150.315954792924"/>
    <m/>
    <n v="-2151.3159547929245"/>
    <n v="-513878.84039532463"/>
  </r>
  <r>
    <x v="3"/>
    <x v="4"/>
    <d v="2016-11-11T00:00:00"/>
    <d v="2016-11-11T00:00:00"/>
    <n v="0"/>
    <n v="64999"/>
    <n v="64999"/>
    <n v="68117.555786612284"/>
    <n v="68117.555786612284"/>
    <m/>
    <n v="-3118.5557866122836"/>
    <n v="-516997.3961819369"/>
  </r>
  <r>
    <x v="3"/>
    <x v="4"/>
    <d v="2016-11-12T00:00:00"/>
    <d v="2016-11-12T00:00:00"/>
    <n v="0"/>
    <n v="64001"/>
    <n v="64001"/>
    <n v="63626.695230395359"/>
    <n v="63626.695230395359"/>
    <m/>
    <n v="374.30476960464148"/>
    <n v="-516623.09141233226"/>
  </r>
  <r>
    <x v="3"/>
    <x v="4"/>
    <d v="2016-11-13T00:00:00"/>
    <d v="2016-11-13T00:00:00"/>
    <n v="0"/>
    <n v="64001"/>
    <n v="64001"/>
    <n v="57601.785473946409"/>
    <n v="57601.785473946409"/>
    <m/>
    <n v="6399.2145260535908"/>
    <n v="-510223.87688627868"/>
  </r>
  <r>
    <x v="3"/>
    <x v="4"/>
    <d v="2016-11-14T00:00:00"/>
    <d v="2016-11-14T00:00:00"/>
    <n v="0"/>
    <n v="64001"/>
    <n v="64001"/>
    <n v="68135.342164776099"/>
    <n v="68135.342164776099"/>
    <m/>
    <n v="-4134.3421647760988"/>
    <n v="-514358.2190510548"/>
  </r>
  <r>
    <x v="3"/>
    <x v="4"/>
    <d v="2016-11-15T00:00:00"/>
    <d v="2016-11-15T00:00:00"/>
    <n v="0"/>
    <n v="64001"/>
    <n v="64001"/>
    <n v="64430.696726050555"/>
    <n v="64430.696726050555"/>
    <m/>
    <n v="-429.6967260505553"/>
    <n v="-514787.91577710537"/>
  </r>
  <r>
    <x v="3"/>
    <x v="4"/>
    <d v="2016-11-16T00:00:00"/>
    <d v="2016-11-16T00:00:00"/>
    <n v="0"/>
    <n v="66000"/>
    <n v="66000"/>
    <n v="65691.914398856563"/>
    <n v="65691.914398856563"/>
    <m/>
    <n v="308.08560114343709"/>
    <n v="-514479.83017596195"/>
  </r>
  <r>
    <x v="3"/>
    <x v="4"/>
    <d v="2016-11-17T00:00:00"/>
    <d v="2016-11-17T00:00:00"/>
    <n v="0"/>
    <n v="66000"/>
    <n v="66000"/>
    <n v="67936.330216595146"/>
    <n v="67936.330216595146"/>
    <m/>
    <n v="-1936.3302165951463"/>
    <n v="-516416.1603925571"/>
  </r>
  <r>
    <x v="3"/>
    <x v="4"/>
    <d v="2016-11-18T00:00:00"/>
    <d v="2016-11-18T00:00:00"/>
    <n v="0"/>
    <n v="66000"/>
    <n v="66000"/>
    <n v="67233.931184695408"/>
    <n v="67233.931184695408"/>
    <m/>
    <n v="-1233.9311846954079"/>
    <n v="-517650.09157725249"/>
  </r>
  <r>
    <x v="3"/>
    <x v="4"/>
    <d v="2016-11-19T00:00:00"/>
    <d v="2016-11-19T00:00:00"/>
    <n v="0"/>
    <n v="64999"/>
    <n v="64999"/>
    <n v="59806.800243778525"/>
    <n v="59806.800243778525"/>
    <m/>
    <n v="5192.1997562214747"/>
    <n v="-512457.89182103099"/>
  </r>
  <r>
    <x v="3"/>
    <x v="4"/>
    <d v="2016-11-20T00:00:00"/>
    <d v="2016-11-20T00:00:00"/>
    <n v="0"/>
    <n v="64999"/>
    <n v="64999"/>
    <n v="58764.283009622239"/>
    <n v="58764.283009622239"/>
    <m/>
    <n v="6234.7169903777612"/>
    <n v="-506223.17483065324"/>
  </r>
  <r>
    <x v="3"/>
    <x v="4"/>
    <d v="2016-11-21T00:00:00"/>
    <d v="2016-11-21T00:00:00"/>
    <n v="0"/>
    <n v="64999"/>
    <n v="64999"/>
    <n v="63186.823918351241"/>
    <n v="63186.823918351241"/>
    <m/>
    <n v="1812.1760816487586"/>
    <n v="-504410.9987490045"/>
  </r>
  <r>
    <x v="3"/>
    <x v="4"/>
    <d v="2016-11-22T00:00:00"/>
    <d v="2016-11-22T00:00:00"/>
    <n v="0"/>
    <n v="64999"/>
    <n v="64999"/>
    <n v="67985.861058559924"/>
    <n v="67985.861058559924"/>
    <m/>
    <n v="-2986.8610585599235"/>
    <n v="-507397.85980756441"/>
  </r>
  <r>
    <x v="3"/>
    <x v="4"/>
    <d v="2016-11-23T00:00:00"/>
    <d v="2016-11-23T00:00:00"/>
    <n v="0"/>
    <n v="64999"/>
    <n v="64999"/>
    <n v="67926.6002828286"/>
    <n v="67926.6002828286"/>
    <m/>
    <n v="-2927.6002828286"/>
    <n v="-510325.46009039303"/>
  </r>
  <r>
    <x v="3"/>
    <x v="4"/>
    <d v="2016-11-24T00:00:00"/>
    <d v="2016-11-24T00:00:00"/>
    <n v="0"/>
    <n v="64001"/>
    <n v="64001"/>
    <n v="67985.799805887087"/>
    <n v="67985.799805887087"/>
    <m/>
    <n v="-3984.7998058870871"/>
    <n v="-514310.25989628013"/>
  </r>
  <r>
    <x v="3"/>
    <x v="4"/>
    <d v="2016-11-25T00:00:00"/>
    <d v="2016-11-25T00:00:00"/>
    <n v="0"/>
    <n v="64001"/>
    <n v="64001"/>
    <n v="67981.721764531932"/>
    <n v="67981.721764531932"/>
    <m/>
    <n v="-3980.7217645319324"/>
    <n v="-518290.98166081205"/>
  </r>
  <r>
    <x v="3"/>
    <x v="4"/>
    <d v="2016-11-26T00:00:00"/>
    <d v="2016-11-26T00:00:00"/>
    <n v="0"/>
    <n v="64001"/>
    <n v="64001"/>
    <n v="65868.23728313949"/>
    <n v="65868.23728313949"/>
    <m/>
    <n v="-1867.2372831394896"/>
    <n v="-520158.21894395154"/>
  </r>
  <r>
    <x v="3"/>
    <x v="4"/>
    <d v="2016-11-27T00:00:00"/>
    <d v="2016-11-27T00:00:00"/>
    <n v="0"/>
    <n v="64001"/>
    <n v="64001"/>
    <n v="64860.397517288184"/>
    <n v="64860.397517288184"/>
    <m/>
    <n v="-859.39751728818374"/>
    <n v="-521017.6164612397"/>
  </r>
  <r>
    <x v="3"/>
    <x v="4"/>
    <d v="2016-11-28T00:00:00"/>
    <d v="2016-11-28T00:00:00"/>
    <n v="0"/>
    <n v="64001"/>
    <n v="64001"/>
    <n v="68066.729100635421"/>
    <n v="68066.729100635421"/>
    <m/>
    <n v="-4065.7291006354208"/>
    <n v="-525083.34556187515"/>
  </r>
  <r>
    <x v="3"/>
    <x v="4"/>
    <d v="2016-11-29T00:00:00"/>
    <d v="2016-11-29T00:00:00"/>
    <n v="0"/>
    <n v="64999"/>
    <n v="64999"/>
    <n v="68131.010344474606"/>
    <n v="68131.010344474606"/>
    <m/>
    <n v="-3132.0103444746055"/>
    <n v="-528215.35590634972"/>
  </r>
  <r>
    <x v="3"/>
    <x v="4"/>
    <d v="2016-11-30T00:00:00"/>
    <d v="2016-11-30T00:00:00"/>
    <n v="0"/>
    <n v="64999"/>
    <n v="64999"/>
    <n v="62028.85350445853"/>
    <n v="62028.85350445853"/>
    <m/>
    <n v="2970.1464955414704"/>
    <n v="-525245.20941080828"/>
  </r>
  <r>
    <x v="3"/>
    <x v="5"/>
    <d v="2016-12-01T00:00:00"/>
    <d v="2016-12-01T00:00:00"/>
    <n v="0"/>
    <n v="66000"/>
    <n v="66000"/>
    <n v="67932.868018380061"/>
    <n v="67932.868018380061"/>
    <m/>
    <n v="-1932.8680183800607"/>
    <n v="-527178.0774291883"/>
  </r>
  <r>
    <x v="3"/>
    <x v="5"/>
    <d v="2016-12-02T00:00:00"/>
    <d v="2016-12-02T00:00:00"/>
    <n v="0"/>
    <n v="66000"/>
    <n v="66000"/>
    <n v="67945.22755190247"/>
    <n v="67945.22755190247"/>
    <m/>
    <n v="-1945.2275519024697"/>
    <n v="-529123.30498109083"/>
  </r>
  <r>
    <x v="3"/>
    <x v="5"/>
    <d v="2016-12-03T00:00:00"/>
    <d v="2016-12-03T00:00:00"/>
    <n v="0"/>
    <n v="66000"/>
    <n v="66000"/>
    <n v="63732.017068288311"/>
    <n v="63732.017068288311"/>
    <m/>
    <n v="2267.9829317116892"/>
    <n v="-526855.32204937912"/>
  </r>
  <r>
    <x v="3"/>
    <x v="5"/>
    <d v="2016-12-04T00:00:00"/>
    <d v="2016-12-04T00:00:00"/>
    <n v="0"/>
    <n v="66000"/>
    <n v="66000"/>
    <n v="63236.510668628012"/>
    <n v="63236.510668628012"/>
    <m/>
    <n v="2763.4893313719876"/>
    <n v="-524091.83271800715"/>
  </r>
  <r>
    <x v="3"/>
    <x v="5"/>
    <d v="2016-12-05T00:00:00"/>
    <d v="2016-12-05T00:00:00"/>
    <n v="0"/>
    <n v="66000"/>
    <n v="66000"/>
    <n v="68243.571905187971"/>
    <n v="68243.571905187971"/>
    <m/>
    <n v="-2243.5719051879714"/>
    <n v="-526335.40462319506"/>
  </r>
  <r>
    <x v="3"/>
    <x v="5"/>
    <d v="2016-12-06T00:00:00"/>
    <d v="2016-12-06T00:00:00"/>
    <n v="0"/>
    <n v="68000"/>
    <n v="68000"/>
    <n v="67933.218710665606"/>
    <n v="67933.218710665606"/>
    <m/>
    <n v="66.781289334394387"/>
    <n v="-526268.62333386065"/>
  </r>
  <r>
    <x v="3"/>
    <x v="5"/>
    <d v="2016-12-07T00:00:00"/>
    <d v="2016-12-07T00:00:00"/>
    <n v="0"/>
    <n v="68000"/>
    <n v="68000"/>
    <n v="68053.458773752296"/>
    <n v="68053.458773752296"/>
    <m/>
    <n v="-53.458773752296111"/>
    <n v="-526322.08210761298"/>
  </r>
  <r>
    <x v="3"/>
    <x v="5"/>
    <d v="2016-12-08T00:00:00"/>
    <d v="2016-12-08T00:00:00"/>
    <n v="0"/>
    <n v="68000"/>
    <n v="68000"/>
    <n v="64966.780910207613"/>
    <n v="64966.780910207613"/>
    <m/>
    <n v="3033.2190897923865"/>
    <n v="-523288.86301782058"/>
  </r>
  <r>
    <x v="3"/>
    <x v="5"/>
    <d v="2016-12-09T00:00:00"/>
    <d v="2016-12-09T00:00:00"/>
    <n v="0"/>
    <n v="68000"/>
    <n v="68000"/>
    <n v="64550.2039702158"/>
    <n v="64550.2039702158"/>
    <m/>
    <n v="3449.7960297842001"/>
    <n v="-519839.06698803639"/>
  </r>
  <r>
    <x v="3"/>
    <x v="5"/>
    <d v="2016-12-10T00:00:00"/>
    <d v="2016-12-10T00:00:00"/>
    <n v="0"/>
    <n v="66000"/>
    <n v="66000"/>
    <n v="64309.862225322635"/>
    <n v="64309.862225322635"/>
    <m/>
    <n v="1690.1377746773651"/>
    <n v="-518148.92921335902"/>
  </r>
  <r>
    <x v="3"/>
    <x v="5"/>
    <d v="2016-12-11T00:00:00"/>
    <d v="2016-12-11T00:00:00"/>
    <n v="0"/>
    <n v="66000"/>
    <n v="66000"/>
    <n v="58326.970321954475"/>
    <n v="58326.970321954475"/>
    <m/>
    <n v="7673.0296780455246"/>
    <n v="-510475.89953531348"/>
  </r>
  <r>
    <x v="3"/>
    <x v="5"/>
    <d v="2016-12-12T00:00:00"/>
    <d v="2016-12-12T00:00:00"/>
    <n v="0"/>
    <n v="66000"/>
    <n v="66000"/>
    <n v="64750.572481460695"/>
    <n v="64750.572481460695"/>
    <m/>
    <n v="1249.4275185393053"/>
    <n v="-509226.47201677418"/>
  </r>
  <r>
    <x v="3"/>
    <x v="5"/>
    <d v="2016-12-13T00:00:00"/>
    <d v="2016-12-13T00:00:00"/>
    <n v="0"/>
    <n v="68000"/>
    <n v="68000"/>
    <n v="67668.083021185608"/>
    <n v="67668.083021185608"/>
    <m/>
    <n v="331.91697881439177"/>
    <n v="-508894.55503795977"/>
  </r>
  <r>
    <x v="3"/>
    <x v="5"/>
    <d v="2016-12-14T00:00:00"/>
    <d v="2016-12-14T00:00:00"/>
    <n v="0"/>
    <n v="64999"/>
    <n v="64999"/>
    <n v="65447.758223260193"/>
    <n v="65447.758223260193"/>
    <m/>
    <n v="-448.75822326019261"/>
    <n v="-509343.31326121994"/>
  </r>
  <r>
    <x v="3"/>
    <x v="5"/>
    <d v="2016-12-15T00:00:00"/>
    <d v="2016-12-15T00:00:00"/>
    <n v="0"/>
    <n v="62000"/>
    <n v="62000"/>
    <n v="66345.985426365994"/>
    <n v="66345.985426365994"/>
    <m/>
    <n v="-4345.9854263659945"/>
    <n v="-513689.29868758592"/>
  </r>
  <r>
    <x v="3"/>
    <x v="5"/>
    <d v="2016-12-16T00:00:00"/>
    <d v="2016-12-16T00:00:00"/>
    <n v="0"/>
    <n v="62000"/>
    <n v="62000"/>
    <n v="64993.507453632788"/>
    <n v="64993.507453632788"/>
    <m/>
    <n v="-2993.5074536327884"/>
    <n v="-516682.80614121869"/>
  </r>
  <r>
    <x v="3"/>
    <x v="5"/>
    <d v="2016-12-17T00:00:00"/>
    <d v="2016-12-17T00:00:00"/>
    <n v="0"/>
    <n v="64999"/>
    <n v="64999"/>
    <n v="68440.604100635421"/>
    <n v="68440.604100635421"/>
    <m/>
    <n v="-3441.6041006354208"/>
    <n v="-520124.41024185414"/>
  </r>
  <r>
    <x v="3"/>
    <x v="5"/>
    <d v="2016-12-18T00:00:00"/>
    <d v="2016-12-18T00:00:00"/>
    <n v="0"/>
    <n v="64999"/>
    <n v="64999"/>
    <n v="60792.706737841407"/>
    <n v="60792.706737841407"/>
    <m/>
    <n v="4206.2932621585933"/>
    <n v="-515918.11697969557"/>
  </r>
  <r>
    <x v="3"/>
    <x v="5"/>
    <d v="2016-12-19T00:00:00"/>
    <d v="2016-12-19T00:00:00"/>
    <n v="0"/>
    <n v="64999"/>
    <n v="64999"/>
    <n v="69464.142187713252"/>
    <n v="69464.142187713252"/>
    <m/>
    <n v="-4465.1421877132525"/>
    <n v="-520383.2591674088"/>
  </r>
  <r>
    <x v="3"/>
    <x v="5"/>
    <d v="2016-12-20T00:00:00"/>
    <d v="2016-12-20T00:00:00"/>
    <n v="0"/>
    <n v="64999"/>
    <n v="64999"/>
    <n v="67957.463869216415"/>
    <n v="67957.463869216415"/>
    <m/>
    <n v="-2958.4638692164153"/>
    <n v="-523341.72303662519"/>
  </r>
  <r>
    <x v="3"/>
    <x v="5"/>
    <d v="2016-12-21T00:00:00"/>
    <d v="2016-12-21T00:00:00"/>
    <n v="0"/>
    <n v="62000"/>
    <n v="62000"/>
    <n v="65169.943585932881"/>
    <n v="65169.943585932881"/>
    <m/>
    <n v="-3169.9435859328805"/>
    <n v="-526511.66662255803"/>
  </r>
  <r>
    <x v="3"/>
    <x v="5"/>
    <d v="2016-12-22T00:00:00"/>
    <d v="2016-12-22T00:00:00"/>
    <n v="0"/>
    <n v="62000"/>
    <n v="62000"/>
    <n v="65771.987458485615"/>
    <n v="65771.987458485615"/>
    <m/>
    <n v="-3771.9874584856152"/>
    <n v="-530283.65408104367"/>
  </r>
  <r>
    <x v="3"/>
    <x v="5"/>
    <d v="2016-12-23T00:00:00"/>
    <d v="2016-12-23T00:00:00"/>
    <n v="0"/>
    <n v="64999"/>
    <n v="64999"/>
    <n v="67359.941083696031"/>
    <n v="67359.941083696031"/>
    <m/>
    <n v="-2360.9410836960305"/>
    <n v="-532644.59516473976"/>
  </r>
  <r>
    <x v="3"/>
    <x v="5"/>
    <d v="2016-12-24T00:00:00"/>
    <d v="2016-12-24T00:00:00"/>
    <n v="0"/>
    <n v="66999"/>
    <n v="66999"/>
    <n v="62363.030967076636"/>
    <n v="62363.030967076636"/>
    <m/>
    <n v="4635.9690329233636"/>
    <n v="-528008.62613181642"/>
  </r>
  <r>
    <x v="3"/>
    <x v="5"/>
    <d v="2016-12-25T00:00:00"/>
    <d v="2016-12-25T00:00:00"/>
    <n v="0"/>
    <n v="66999"/>
    <n v="66999"/>
    <n v="60196.122291139051"/>
    <n v="60196.122291139051"/>
    <m/>
    <n v="6802.8777088609495"/>
    <n v="-521205.74842295545"/>
  </r>
  <r>
    <x v="3"/>
    <x v="5"/>
    <d v="2016-12-26T00:00:00"/>
    <d v="2016-12-26T00:00:00"/>
    <n v="0"/>
    <n v="66999"/>
    <n v="66999"/>
    <n v="65309.867912224567"/>
    <n v="65309.867912224567"/>
    <m/>
    <n v="1689.1320877754333"/>
    <n v="-519516.61633518001"/>
  </r>
  <r>
    <x v="3"/>
    <x v="5"/>
    <d v="2016-12-27T00:00:00"/>
    <d v="2016-12-27T00:00:00"/>
    <n v="0"/>
    <n v="66999"/>
    <n v="66999"/>
    <n v="68118.971883956867"/>
    <n v="68118.971883956867"/>
    <m/>
    <n v="-1119.9718839568668"/>
    <n v="-520636.58821913687"/>
  </r>
  <r>
    <x v="3"/>
    <x v="5"/>
    <d v="2016-12-28T00:00:00"/>
    <d v="2016-12-28T00:00:00"/>
    <n v="0"/>
    <n v="66999"/>
    <n v="66999"/>
    <n v="65423.427761180457"/>
    <n v="65423.427761180457"/>
    <m/>
    <n v="1575.5722388195427"/>
    <n v="-519061.01598031732"/>
  </r>
  <r>
    <x v="3"/>
    <x v="5"/>
    <d v="2016-12-29T00:00:00"/>
    <d v="2016-12-29T00:00:00"/>
    <n v="0"/>
    <n v="66999"/>
    <n v="66999"/>
    <n v="65705.441227764211"/>
    <n v="65705.441227764211"/>
    <m/>
    <n v="1293.5587722357886"/>
    <n v="-517767.4572080815"/>
  </r>
  <r>
    <x v="3"/>
    <x v="5"/>
    <d v="2016-12-30T00:00:00"/>
    <d v="2016-12-30T00:00:00"/>
    <n v="0"/>
    <n v="66999"/>
    <n v="66999"/>
    <n v="64274.228097845044"/>
    <n v="64274.228097845044"/>
    <m/>
    <n v="2724.7719021549565"/>
    <n v="-515042.68530592654"/>
  </r>
  <r>
    <x v="3"/>
    <x v="5"/>
    <d v="2016-12-31T00:00:00"/>
    <d v="2016-12-31T00:00:00"/>
    <m/>
    <n v="66999"/>
    <n v="66999"/>
    <n v="66039.072807509743"/>
    <n v="66039.072807509743"/>
    <m/>
    <n v="959.92719249025686"/>
    <n v="-514082.75811343628"/>
  </r>
  <r>
    <x v="4"/>
    <x v="6"/>
    <d v="2017-01-01T00:00:00"/>
    <d v="2017-01-01T00:00:00"/>
    <m/>
    <n v="66999"/>
    <n v="66999"/>
    <n v="53896.932461531251"/>
    <n v="53896.932461531251"/>
    <m/>
    <n v="13102.067538468749"/>
    <n v="-500980.69057496754"/>
  </r>
  <r>
    <x v="4"/>
    <x v="6"/>
    <d v="2017-01-02T00:00:00"/>
    <d v="2017-01-02T00:00:00"/>
    <m/>
    <n v="66999"/>
    <n v="66999"/>
    <n v="65463.417291356724"/>
    <n v="65463.417291356724"/>
    <m/>
    <n v="1535.5827086432764"/>
    <n v="-499445.10786632425"/>
  </r>
  <r>
    <x v="4"/>
    <x v="6"/>
    <d v="2017-01-03T00:00:00"/>
    <d v="2017-01-03T00:00:00"/>
    <m/>
    <n v="66999"/>
    <n v="66999"/>
    <n v="67782.451511531253"/>
    <n v="67782.451511531253"/>
    <m/>
    <n v="-783.45151153125335"/>
    <n v="-500228.5593778555"/>
  </r>
  <r>
    <x v="4"/>
    <x v="6"/>
    <d v="2017-01-04T00:00:00"/>
    <d v="2017-01-04T00:00:00"/>
    <m/>
    <n v="64999"/>
    <n v="64999"/>
    <n v="67517.31451542188"/>
    <n v="67517.31451542188"/>
    <m/>
    <n v="-2518.3145154218801"/>
    <n v="-502746.87389327737"/>
  </r>
  <r>
    <x v="4"/>
    <x v="6"/>
    <d v="2017-01-05T00:00:00"/>
    <d v="2017-01-05T00:00:00"/>
    <m/>
    <n v="55000"/>
    <n v="55000"/>
    <n v="67637.761322624996"/>
    <n v="67637.761322624996"/>
    <m/>
    <n v="-12637.761322624996"/>
    <n v="-515384.63521590235"/>
  </r>
  <r>
    <x v="4"/>
    <x v="6"/>
    <d v="2017-01-06T00:00:00"/>
    <d v="2017-01-06T00:00:00"/>
    <m/>
    <n v="55000"/>
    <n v="55000"/>
    <n v="68019.198426562507"/>
    <n v="68019.198426562507"/>
    <m/>
    <n v="-13019.198426562507"/>
    <n v="-528403.83364246483"/>
  </r>
  <r>
    <x v="4"/>
    <x v="6"/>
    <d v="2017-01-07T00:00:00"/>
    <d v="2017-01-07T00:00:00"/>
    <m/>
    <n v="55000"/>
    <n v="55000"/>
    <n v="64957.046059106724"/>
    <n v="64957.046059106724"/>
    <m/>
    <n v="-9957.046059106724"/>
    <n v="-538360.87970157154"/>
  </r>
  <r>
    <x v="4"/>
    <x v="6"/>
    <d v="2017-01-08T00:00:00"/>
    <d v="2017-01-08T00:00:00"/>
    <m/>
    <n v="55000"/>
    <n v="55000"/>
    <n v="59582.501593875"/>
    <n v="59582.501593875"/>
    <m/>
    <n v="-4582.5015938750003"/>
    <n v="-542943.38129544654"/>
  </r>
  <r>
    <x v="4"/>
    <x v="6"/>
    <d v="2017-01-09T00:00:00"/>
    <d v="2017-01-09T00:00:00"/>
    <m/>
    <n v="55000"/>
    <n v="55000"/>
    <n v="67772.099572734383"/>
    <n v="67772.099572734383"/>
    <m/>
    <n v="-12772.099572734383"/>
    <n v="-555715.48086818098"/>
  </r>
  <r>
    <x v="4"/>
    <x v="6"/>
    <d v="2017-01-10T00:00:00"/>
    <d v="2017-01-10T00:00:00"/>
    <m/>
    <n v="55000"/>
    <n v="55000"/>
    <n v="63748.923477694771"/>
    <n v="63748.923477694771"/>
    <m/>
    <n v="-8748.9234776947706"/>
    <n v="-564464.40434587572"/>
  </r>
  <r>
    <x v="4"/>
    <x v="6"/>
    <d v="2017-01-11T00:00:00"/>
    <d v="2017-01-11T00:00:00"/>
    <m/>
    <n v="55000"/>
    <n v="55000"/>
    <n v="56866.613433872342"/>
    <n v="56866.613433872342"/>
    <m/>
    <n v="-1866.6134338723423"/>
    <n v="-566331.01777974807"/>
  </r>
  <r>
    <x v="4"/>
    <x v="6"/>
    <d v="2017-01-12T00:00:00"/>
    <d v="2017-01-12T00:00:00"/>
    <m/>
    <n v="55000"/>
    <n v="55000"/>
    <n v="67658.805821953123"/>
    <n v="67658.805821953123"/>
    <m/>
    <n v="-12658.805821953123"/>
    <n v="-578989.82360170118"/>
  </r>
  <r>
    <x v="4"/>
    <x v="6"/>
    <d v="2017-01-13T00:00:00"/>
    <d v="2017-01-13T00:00:00"/>
    <m/>
    <n v="62000"/>
    <n v="62000"/>
    <n v="65243.790320887972"/>
    <n v="65243.790320887972"/>
    <m/>
    <n v="-3243.7903208879725"/>
    <n v="-582233.61392258911"/>
  </r>
  <r>
    <x v="4"/>
    <x v="6"/>
    <d v="2017-01-14T00:00:00"/>
    <d v="2017-01-14T00:00:00"/>
    <m/>
    <n v="62000"/>
    <n v="62000"/>
    <n v="62806.58257287235"/>
    <n v="62806.58257287235"/>
    <m/>
    <n v="-806.58257287235028"/>
    <n v="-583040.19649546151"/>
  </r>
  <r>
    <x v="4"/>
    <x v="6"/>
    <d v="2017-01-15T00:00:00"/>
    <d v="2017-01-15T00:00:00"/>
    <m/>
    <n v="62000"/>
    <n v="62000"/>
    <n v="63519.933342497352"/>
    <n v="63519.933342497352"/>
    <m/>
    <n v="-1519.933342497352"/>
    <n v="-584560.12983795884"/>
  </r>
  <r>
    <x v="4"/>
    <x v="6"/>
    <d v="2017-01-16T00:00:00"/>
    <d v="2017-01-16T00:00:00"/>
    <m/>
    <n v="62000"/>
    <n v="62000"/>
    <n v="67889.206573287476"/>
    <n v="67889.206573287476"/>
    <m/>
    <n v="-5889.2065732874762"/>
    <n v="-590449.33641124633"/>
  </r>
  <r>
    <x v="4"/>
    <x v="6"/>
    <d v="2017-01-17T00:00:00"/>
    <d v="2017-01-17T00:00:00"/>
    <m/>
    <n v="62000"/>
    <n v="62000"/>
    <n v="68088.44391014977"/>
    <n v="68088.44391014977"/>
    <m/>
    <n v="-6088.4439101497701"/>
    <n v="-596537.78032139607"/>
  </r>
  <r>
    <x v="4"/>
    <x v="6"/>
    <d v="2017-01-18T00:00:00"/>
    <d v="2017-01-18T00:00:00"/>
    <m/>
    <n v="62000"/>
    <n v="62000"/>
    <n v="68187.161966184853"/>
    <n v="68187.161966184853"/>
    <m/>
    <n v="-6187.1619661848526"/>
    <n v="-602724.94228758093"/>
  </r>
  <r>
    <x v="4"/>
    <x v="6"/>
    <d v="2017-01-19T00:00:00"/>
    <d v="2017-01-19T00:00:00"/>
    <m/>
    <n v="64000"/>
    <n v="64000"/>
    <n v="55944.615766066439"/>
    <n v="55944.615766066439"/>
    <m/>
    <n v="8055.3842339335606"/>
    <n v="-594669.5580536474"/>
  </r>
  <r>
    <x v="4"/>
    <x v="6"/>
    <d v="2017-01-20T00:00:00"/>
    <d v="2017-01-20T00:00:00"/>
    <m/>
    <n v="45000"/>
    <n v="45000"/>
    <n v="15675.101213484375"/>
    <n v="15675.101213484375"/>
    <m/>
    <n v="29324.898786515623"/>
    <n v="-565344.65926713182"/>
  </r>
  <r>
    <x v="4"/>
    <x v="6"/>
    <d v="2017-01-21T00:00:00"/>
    <d v="2017-01-21T00:00:00"/>
    <m/>
    <n v="55000"/>
    <n v="55000"/>
    <n v="37202.435552733048"/>
    <n v="37202.435552733048"/>
    <m/>
    <n v="17797.564447266952"/>
    <n v="-547547.09481986484"/>
  </r>
  <r>
    <x v="4"/>
    <x v="6"/>
    <d v="2017-01-22T00:00:00"/>
    <d v="2017-01-22T00:00:00"/>
    <m/>
    <n v="55000"/>
    <n v="55000"/>
    <n v="37065.887196212512"/>
    <n v="37065.887196212512"/>
    <m/>
    <n v="17934.112803787488"/>
    <n v="-529612.98201607738"/>
  </r>
  <r>
    <x v="4"/>
    <x v="6"/>
    <d v="2017-01-23T00:00:00"/>
    <d v="2017-01-23T00:00:00"/>
    <m/>
    <n v="20870"/>
    <n v="20870"/>
    <n v="41046.736875811177"/>
    <n v="41046.736875811177"/>
    <m/>
    <n v="-20176.736875811177"/>
    <n v="-549789.71889188851"/>
  </r>
  <r>
    <x v="4"/>
    <x v="6"/>
    <d v="2017-01-24T00:00:00"/>
    <d v="2017-01-24T00:00:00"/>
    <m/>
    <n v="69000"/>
    <n v="69000"/>
    <n v="61649.427949261437"/>
    <n v="61649.427949261437"/>
    <m/>
    <n v="7350.5720507385631"/>
    <n v="-542439.14684114989"/>
  </r>
  <r>
    <x v="4"/>
    <x v="6"/>
    <d v="2017-01-25T00:00:00"/>
    <d v="2017-01-25T00:00:00"/>
    <m/>
    <n v="30000"/>
    <n v="30000"/>
    <n v="72224.966053669224"/>
    <n v="72224.966053669224"/>
    <m/>
    <n v="-42224.966053669224"/>
    <n v="-584664.11289481912"/>
  </r>
  <r>
    <x v="4"/>
    <x v="6"/>
    <d v="2017-01-26T00:00:00"/>
    <d v="2017-01-26T00:00:00"/>
    <m/>
    <n v="60000"/>
    <n v="60000"/>
    <n v="72403.577723953131"/>
    <n v="72403.577723953131"/>
    <m/>
    <n v="-12403.577723953131"/>
    <n v="-597067.69061877229"/>
  </r>
  <r>
    <x v="4"/>
    <x v="6"/>
    <d v="2017-01-27T00:00:00"/>
    <d v="2017-01-27T00:00:00"/>
    <m/>
    <n v="63000"/>
    <n v="63000"/>
    <n v="72533.729244584349"/>
    <n v="72533.729244584349"/>
    <m/>
    <n v="-9533.7292445843486"/>
    <n v="-606601.41986335663"/>
  </r>
  <r>
    <x v="4"/>
    <x v="6"/>
    <d v="2017-01-28T00:00:00"/>
    <d v="2017-01-28T00:00:00"/>
    <m/>
    <n v="72000"/>
    <n v="72000"/>
    <n v="72471.006017718755"/>
    <n v="72471.006017718755"/>
    <m/>
    <n v="-471.00601771875517"/>
    <n v="-607072.42588107544"/>
  </r>
  <r>
    <x v="4"/>
    <x v="6"/>
    <d v="2017-01-29T00:00:00"/>
    <d v="2017-01-29T00:00:00"/>
    <m/>
    <n v="72000"/>
    <n v="72000"/>
    <n v="70625.450817966106"/>
    <n v="70625.450817966106"/>
    <m/>
    <n v="1374.5491820338939"/>
    <n v="-605697.87669904158"/>
  </r>
  <r>
    <x v="4"/>
    <x v="6"/>
    <d v="2017-01-30T00:00:00"/>
    <d v="2017-01-30T00:00:00"/>
    <m/>
    <n v="72000"/>
    <n v="72000"/>
    <n v="72252.69710526563"/>
    <n v="72252.69710526563"/>
    <m/>
    <n v="-252.69710526562994"/>
    <n v="-605950.57380430726"/>
  </r>
  <r>
    <x v="4"/>
    <x v="6"/>
    <d v="2017-01-31T00:00:00"/>
    <d v="2017-01-31T00:00:00"/>
    <m/>
    <n v="70000"/>
    <n v="70000"/>
    <n v="72031.98162668485"/>
    <n v="72031.98162668485"/>
    <m/>
    <n v="-2031.9816266848502"/>
    <n v="-607982.55543099216"/>
  </r>
  <r>
    <x v="4"/>
    <x v="7"/>
    <d v="2017-02-01T00:00:00"/>
    <d v="2017-02-01T00:00:00"/>
    <m/>
    <n v="72000"/>
    <n v="72000"/>
    <n v="72088.48781001562"/>
    <n v="72088.48781001562"/>
    <m/>
    <n v="-88.487810015620198"/>
    <n v="-608071.04324100772"/>
  </r>
  <r>
    <x v="4"/>
    <x v="7"/>
    <d v="2017-02-02T00:00:00"/>
    <d v="2017-02-02T00:00:00"/>
    <m/>
    <n v="66999"/>
    <n v="66999"/>
    <n v="58291.748853389297"/>
    <n v="58291.748853389297"/>
    <m/>
    <n v="8707.2511466107026"/>
    <n v="-599363.79209439701"/>
  </r>
  <r>
    <x v="4"/>
    <x v="7"/>
    <d v="2017-02-03T00:00:00"/>
    <d v="2017-02-03T00:00:00"/>
    <m/>
    <n v="47000"/>
    <n v="47000"/>
    <n v="35873.840329470004"/>
    <n v="35873.840329470004"/>
    <m/>
    <n v="11126.159670529996"/>
    <n v="-588237.63242386701"/>
  </r>
  <r>
    <x v="4"/>
    <x v="7"/>
    <d v="2017-02-04T00:00:00"/>
    <d v="2017-02-04T00:00:00"/>
    <m/>
    <n v="55000"/>
    <n v="55000"/>
    <n v="36818.908660170004"/>
    <n v="36818.908660170004"/>
    <m/>
    <n v="18181.091339829996"/>
    <n v="-570056.54108403705"/>
  </r>
  <r>
    <x v="4"/>
    <x v="7"/>
    <d v="2017-02-05T00:00:00"/>
    <d v="2017-02-05T00:00:00"/>
    <m/>
    <n v="55000"/>
    <n v="55000"/>
    <n v="36911.481946560001"/>
    <n v="36911.481946560001"/>
    <m/>
    <n v="18088.518053439999"/>
    <n v="-551968.02303059702"/>
  </r>
  <r>
    <x v="4"/>
    <x v="7"/>
    <d v="2017-02-06T00:00:00"/>
    <d v="2017-02-06T00:00:00"/>
    <m/>
    <n v="55000"/>
    <n v="55000"/>
    <n v="36853.665109560003"/>
    <n v="36853.665109560003"/>
    <m/>
    <n v="18146.334890439997"/>
    <n v="-533821.68814015703"/>
  </r>
  <r>
    <x v="4"/>
    <x v="7"/>
    <d v="2017-02-07T00:00:00"/>
    <d v="2017-02-07T00:00:00"/>
    <m/>
    <n v="55000"/>
    <n v="55000"/>
    <n v="59283.925021620002"/>
    <n v="59283.925021620002"/>
    <m/>
    <n v="-4283.9250216200016"/>
    <n v="-538105.61316177703"/>
  </r>
  <r>
    <x v="4"/>
    <x v="7"/>
    <d v="2017-02-08T00:00:00"/>
    <d v="2017-02-08T00:00:00"/>
    <m/>
    <n v="72000"/>
    <n v="72000"/>
    <n v="67702.321877580005"/>
    <n v="67702.321877580005"/>
    <m/>
    <n v="4297.6781224199949"/>
    <n v="-533807.93503935705"/>
  </r>
  <r>
    <x v="4"/>
    <x v="7"/>
    <d v="2017-02-09T00:00:00"/>
    <d v="2017-02-09T00:00:00"/>
    <m/>
    <n v="69000"/>
    <n v="69000"/>
    <n v="67745.144249639998"/>
    <n v="67745.144249639998"/>
    <m/>
    <n v="1254.8557503600023"/>
    <n v="-532553.07928899699"/>
  </r>
  <r>
    <x v="4"/>
    <x v="7"/>
    <d v="2017-02-10T00:00:00"/>
    <d v="2017-02-10T00:00:00"/>
    <m/>
    <n v="71000"/>
    <n v="71000"/>
    <n v="67999.225552830001"/>
    <n v="67999.225552830001"/>
    <m/>
    <n v="3000.7744471699989"/>
    <n v="-529552.30484182702"/>
  </r>
  <r>
    <x v="4"/>
    <x v="7"/>
    <d v="2017-02-11T00:00:00"/>
    <d v="2017-02-11T00:00:00"/>
    <m/>
    <n v="61000"/>
    <n v="61000"/>
    <n v="66741.783277805996"/>
    <n v="66741.783277805996"/>
    <m/>
    <n v="-5741.7832778059965"/>
    <n v="-535294.08811963303"/>
  </r>
  <r>
    <x v="4"/>
    <x v="7"/>
    <d v="2017-02-12T00:00:00"/>
    <d v="2017-02-12T00:00:00"/>
    <m/>
    <n v="61000"/>
    <n v="61000"/>
    <n v="67864.493366280003"/>
    <n v="67864.493366280003"/>
    <m/>
    <n v="-6864.4933662800031"/>
    <n v="-542158.58148591302"/>
  </r>
  <r>
    <x v="4"/>
    <x v="7"/>
    <d v="2017-02-13T00:00:00"/>
    <d v="2017-02-13T00:00:00"/>
    <m/>
    <n v="61000"/>
    <n v="61000"/>
    <n v="68255.820466703997"/>
    <n v="68255.820466703997"/>
    <m/>
    <n v="-7255.8204667039972"/>
    <n v="-549414.40195261699"/>
  </r>
  <r>
    <x v="4"/>
    <x v="7"/>
    <d v="2017-02-14T00:00:00"/>
    <d v="2017-02-14T00:00:00"/>
    <m/>
    <n v="61000"/>
    <n v="61000"/>
    <n v="68010.068579309998"/>
    <n v="68010.068579309998"/>
    <m/>
    <n v="-7010.0685793099983"/>
    <n v="-556424.47053192696"/>
  </r>
  <r>
    <x v="4"/>
    <x v="7"/>
    <d v="2017-02-15T00:00:00"/>
    <d v="2017-02-15T00:00:00"/>
    <m/>
    <n v="64999"/>
    <n v="64999"/>
    <n v="68044.919810399995"/>
    <n v="68044.919810399995"/>
    <m/>
    <n v="-3045.9198103999952"/>
    <n v="-559470.39034232695"/>
  </r>
  <r>
    <x v="4"/>
    <x v="7"/>
    <d v="2017-02-16T00:00:00"/>
    <d v="2017-02-16T00:00:00"/>
    <m/>
    <n v="61000"/>
    <n v="61000"/>
    <n v="67954.299027029992"/>
    <n v="67954.299027029992"/>
    <m/>
    <n v="-6954.2990270299924"/>
    <n v="-566424.68936935696"/>
  </r>
  <r>
    <x v="4"/>
    <x v="7"/>
    <d v="2017-02-17T00:00:00"/>
    <d v="2017-02-17T00:00:00"/>
    <m/>
    <n v="64999"/>
    <n v="64999"/>
    <n v="67558.500125999999"/>
    <n v="67558.500125999999"/>
    <m/>
    <n v="-2559.500125999999"/>
    <n v="-568984.18949535699"/>
  </r>
  <r>
    <x v="4"/>
    <x v="7"/>
    <d v="2017-02-18T00:00:00"/>
    <d v="2017-02-18T00:00:00"/>
    <m/>
    <n v="60000"/>
    <n v="60000"/>
    <n v="67801.335580485"/>
    <n v="67801.335580485"/>
    <m/>
    <n v="-7801.3355804849998"/>
    <n v="-576785.52507584193"/>
  </r>
  <r>
    <x v="4"/>
    <x v="7"/>
    <d v="2017-02-19T00:00:00"/>
    <d v="2017-02-19T00:00:00"/>
    <m/>
    <n v="60000"/>
    <n v="60000"/>
    <n v="67344.084964259993"/>
    <n v="67344.084964259993"/>
    <m/>
    <n v="-7344.0849642599933"/>
    <n v="-584129.61004010192"/>
  </r>
  <r>
    <x v="4"/>
    <x v="7"/>
    <d v="2017-02-20T00:00:00"/>
    <d v="2017-02-20T00:00:00"/>
    <m/>
    <n v="60000"/>
    <n v="60000"/>
    <n v="67839.764820750002"/>
    <n v="67839.764820750002"/>
    <m/>
    <n v="-7839.7648207500024"/>
    <n v="-591969.37486085191"/>
  </r>
  <r>
    <x v="4"/>
    <x v="7"/>
    <d v="2017-02-21T00:00:00"/>
    <d v="2017-02-21T00:00:00"/>
    <m/>
    <n v="60000"/>
    <n v="60000"/>
    <n v="67848.570040680002"/>
    <n v="67848.570040680002"/>
    <m/>
    <n v="-7848.5700406800024"/>
    <n v="-599817.94490153191"/>
  </r>
  <r>
    <x v="4"/>
    <x v="7"/>
    <d v="2017-02-22T00:00:00"/>
    <d v="2017-02-22T00:00:00"/>
    <m/>
    <n v="61000"/>
    <n v="61000"/>
    <n v="67769.332539480005"/>
    <n v="67769.332539480005"/>
    <m/>
    <n v="-6769.3325394800049"/>
    <n v="-606587.27744101197"/>
  </r>
  <r>
    <x v="4"/>
    <x v="7"/>
    <d v="2017-02-23T00:00:00"/>
    <d v="2017-02-23T00:00:00"/>
    <m/>
    <n v="61000"/>
    <n v="61000"/>
    <n v="67794.051606840003"/>
    <n v="67794.051606840003"/>
    <m/>
    <n v="-6794.0516068400029"/>
    <n v="-613381.32904785196"/>
  </r>
  <r>
    <x v="4"/>
    <x v="7"/>
    <d v="2017-02-24T00:00:00"/>
    <d v="2017-02-24T00:00:00"/>
    <m/>
    <n v="62000"/>
    <n v="62000"/>
    <n v="67923.637147080008"/>
    <n v="67923.637147080008"/>
    <m/>
    <n v="-5923.6371470800077"/>
    <n v="-619304.966194932"/>
  </r>
  <r>
    <x v="4"/>
    <x v="7"/>
    <d v="2017-02-25T00:00:00"/>
    <d v="2017-02-25T00:00:00"/>
    <m/>
    <n v="60000"/>
    <n v="60000"/>
    <n v="67847.647814739001"/>
    <n v="67847.647814739001"/>
    <m/>
    <n v="-7847.6478147390008"/>
    <n v="-627152.61400967103"/>
  </r>
  <r>
    <x v="4"/>
    <x v="7"/>
    <d v="2017-02-26T00:00:00"/>
    <d v="2017-02-26T00:00:00"/>
    <m/>
    <n v="60000"/>
    <n v="60000"/>
    <n v="67779.730091970006"/>
    <n v="67779.730091970006"/>
    <m/>
    <n v="-7779.7300919700065"/>
    <n v="-634932.34410164109"/>
  </r>
  <r>
    <x v="4"/>
    <x v="7"/>
    <d v="2017-02-27T00:00:00"/>
    <d v="2017-02-27T00:00:00"/>
    <m/>
    <n v="60000"/>
    <n v="60000"/>
    <n v="67865.450661450013"/>
    <n v="67865.450661450013"/>
    <m/>
    <n v="-7865.4506614500133"/>
    <n v="-642797.79476309114"/>
  </r>
  <r>
    <x v="4"/>
    <x v="7"/>
    <d v="2017-02-28T00:00:00"/>
    <d v="2017-02-28T00:00:00"/>
    <m/>
    <n v="62000"/>
    <n v="62000"/>
    <n v="67782.279719700004"/>
    <n v="67782.279719700004"/>
    <m/>
    <n v="-5782.2797197000036"/>
    <n v="-648580.07448279113"/>
  </r>
  <r>
    <x v="4"/>
    <x v="8"/>
    <d v="2017-03-01T00:00:00"/>
    <d v="2017-03-01T00:00:00"/>
    <m/>
    <n v="62000"/>
    <n v="62000"/>
    <n v="67955.516024058001"/>
    <n v="67955.516024058001"/>
    <m/>
    <n v="-5955.5160240580008"/>
    <n v="-654535.59050684911"/>
  </r>
  <r>
    <x v="4"/>
    <x v="8"/>
    <d v="2017-03-02T00:00:00"/>
    <d v="2017-03-02T00:00:00"/>
    <m/>
    <n v="62000"/>
    <n v="62000"/>
    <n v="67716.264265649996"/>
    <n v="67716.264265649996"/>
    <m/>
    <n v="-5716.2642656499957"/>
    <n v="-660251.85477249906"/>
  </r>
  <r>
    <x v="4"/>
    <x v="8"/>
    <d v="2017-03-03T00:00:00"/>
    <d v="2017-03-03T00:00:00"/>
    <m/>
    <n v="62000"/>
    <n v="62000"/>
    <n v="67687.247737247351"/>
    <n v="67687.247737247351"/>
    <m/>
    <n v="-5687.2477372473513"/>
    <n v="-665939.10250974644"/>
  </r>
  <r>
    <x v="4"/>
    <x v="8"/>
    <d v="2017-03-04T00:00:00"/>
    <d v="2017-03-04T00:00:00"/>
    <m/>
    <n v="60000"/>
    <n v="60000"/>
    <n v="66765.5919669375"/>
    <n v="66765.5919669375"/>
    <m/>
    <n v="-6765.5919669374998"/>
    <n v="-672704.69447668397"/>
  </r>
  <r>
    <x v="4"/>
    <x v="8"/>
    <d v="2017-03-05T00:00:00"/>
    <d v="2017-03-05T00:00:00"/>
    <m/>
    <n v="60000"/>
    <n v="60000"/>
    <n v="67670.690559028604"/>
    <n v="67670.690559028604"/>
    <m/>
    <n v="-7670.6905590286042"/>
    <n v="-680375.38503571262"/>
  </r>
  <r>
    <x v="4"/>
    <x v="8"/>
    <d v="2017-03-06T00:00:00"/>
    <d v="2017-03-06T00:00:00"/>
    <m/>
    <n v="60000"/>
    <n v="60000"/>
    <n v="67971.133738387973"/>
    <n v="67971.133738387973"/>
    <m/>
    <n v="-7971.1337383879727"/>
    <n v="-688346.51877410058"/>
  </r>
  <r>
    <x v="4"/>
    <x v="8"/>
    <d v="2017-03-07T00:00:00"/>
    <d v="2017-03-07T00:00:00"/>
    <m/>
    <n v="62000"/>
    <n v="62000"/>
    <n v="68248.362805593744"/>
    <n v="68248.362805593744"/>
    <m/>
    <n v="-6248.3628055937443"/>
    <n v="-694594.88157969434"/>
  </r>
  <r>
    <x v="4"/>
    <x v="8"/>
    <d v="2017-03-08T00:00:00"/>
    <d v="2017-03-08T00:00:00"/>
    <m/>
    <n v="62000"/>
    <n v="62000"/>
    <n v="68123.465701856723"/>
    <n v="68123.465701856723"/>
    <m/>
    <n v="-6123.4657018567232"/>
    <n v="-700718.3472815511"/>
  </r>
  <r>
    <x v="4"/>
    <x v="8"/>
    <d v="2017-03-09T00:00:00"/>
    <d v="2017-03-09T00:00:00"/>
    <m/>
    <n v="62000"/>
    <n v="62000"/>
    <n v="68306.853481716098"/>
    <n v="68306.853481716098"/>
    <m/>
    <n v="-6306.853481716098"/>
    <n v="-707025.20076326723"/>
  </r>
  <r>
    <x v="4"/>
    <x v="8"/>
    <d v="2017-03-10T00:00:00"/>
    <d v="2017-03-10T00:00:00"/>
    <m/>
    <n v="62000"/>
    <n v="62000"/>
    <n v="68096.141914903608"/>
    <n v="68096.141914903608"/>
    <m/>
    <n v="-6096.1419149036083"/>
    <n v="-713121.34267817088"/>
  </r>
  <r>
    <x v="4"/>
    <x v="8"/>
    <d v="2017-03-11T00:00:00"/>
    <d v="2017-03-11T00:00:00"/>
    <m/>
    <n v="62000"/>
    <n v="62000"/>
    <n v="68070.839643421874"/>
    <n v="68070.839643421874"/>
    <m/>
    <n v="-6070.8396434218739"/>
    <n v="-719192.1823215927"/>
  </r>
  <r>
    <x v="4"/>
    <x v="8"/>
    <d v="2017-03-12T00:00:00"/>
    <d v="2017-03-12T00:00:00"/>
    <m/>
    <n v="62000"/>
    <n v="62000"/>
    <n v="64911.891464841101"/>
    <n v="64911.891464841101"/>
    <m/>
    <n v="-2911.891464841101"/>
    <n v="-722104.07378643379"/>
  </r>
  <r>
    <x v="4"/>
    <x v="8"/>
    <d v="2017-03-13T00:00:00"/>
    <d v="2017-03-13T00:00:00"/>
    <m/>
    <n v="62000"/>
    <n v="62000"/>
    <n v="68333.197518766669"/>
    <n v="68333.197518766669"/>
    <m/>
    <n v="-6333.1975187666685"/>
    <n v="-728437.27130520041"/>
  </r>
  <r>
    <x v="4"/>
    <x v="8"/>
    <d v="2017-03-14T00:00:00"/>
    <d v="2017-03-14T00:00:00"/>
    <m/>
    <n v="62000"/>
    <n v="62000"/>
    <n v="68102.451748774853"/>
    <n v="68102.451748774853"/>
    <m/>
    <n v="-6102.4517487748526"/>
    <n v="-734539.72305397526"/>
  </r>
  <r>
    <x v="4"/>
    <x v="8"/>
    <d v="2017-03-15T00:00:00"/>
    <d v="2017-03-15T00:00:00"/>
    <m/>
    <n v="68000"/>
    <n v="68000"/>
    <n v="68950.302747591108"/>
    <n v="68950.302747591108"/>
    <m/>
    <n v="-950.30274759110762"/>
    <n v="-735490.02580156643"/>
  </r>
  <r>
    <x v="4"/>
    <x v="8"/>
    <d v="2017-03-16T00:00:00"/>
    <d v="2017-03-16T00:00:00"/>
    <m/>
    <n v="68000"/>
    <n v="68000"/>
    <n v="68774.134667062506"/>
    <n v="68774.134667062506"/>
    <m/>
    <n v="-774.1346670625062"/>
    <n v="-736264.16046862898"/>
  </r>
  <r>
    <x v="4"/>
    <x v="8"/>
    <d v="2017-03-17T00:00:00"/>
    <d v="2017-03-17T00:00:00"/>
    <m/>
    <n v="68000"/>
    <n v="68000"/>
    <n v="68782.524328950472"/>
    <n v="68782.524328950472"/>
    <m/>
    <n v="-782.52432895047241"/>
    <n v="-737046.68479757942"/>
  </r>
  <r>
    <x v="4"/>
    <x v="8"/>
    <d v="2017-03-18T00:00:00"/>
    <d v="2017-03-18T00:00:00"/>
    <m/>
    <n v="64999"/>
    <n v="64999"/>
    <n v="67323.945037781246"/>
    <n v="67323.945037781246"/>
    <m/>
    <n v="-2324.9450377812464"/>
    <n v="-739371.62983536068"/>
  </r>
  <r>
    <x v="4"/>
    <x v="8"/>
    <d v="2017-03-19T00:00:00"/>
    <d v="2017-03-19T00:00:00"/>
    <m/>
    <n v="64999"/>
    <n v="64999"/>
    <n v="64120.9974169036"/>
    <n v="64120.9974169036"/>
    <m/>
    <n v="878.00258309640049"/>
    <n v="-738493.6272522643"/>
  </r>
  <r>
    <x v="4"/>
    <x v="8"/>
    <d v="2017-03-20T00:00:00"/>
    <d v="2017-03-20T00:00:00"/>
    <m/>
    <n v="64999"/>
    <n v="64999"/>
    <n v="67946.416216917525"/>
    <n v="67946.416216917525"/>
    <m/>
    <n v="-2947.4162169175252"/>
    <n v="-741441.04346918187"/>
  </r>
  <r>
    <x v="4"/>
    <x v="8"/>
    <d v="2017-03-21T00:00:00"/>
    <d v="2017-03-21T00:00:00"/>
    <m/>
    <n v="64999"/>
    <n v="64999"/>
    <n v="68933.551425172787"/>
    <n v="68933.551425172787"/>
    <m/>
    <n v="-3934.5514251727873"/>
    <n v="-745375.5948943547"/>
  </r>
  <r>
    <x v="4"/>
    <x v="8"/>
    <d v="2017-03-22T00:00:00"/>
    <d v="2017-03-22T00:00:00"/>
    <m/>
    <n v="68000"/>
    <n v="68000"/>
    <n v="68548.468371589901"/>
    <n v="68548.468371589901"/>
    <m/>
    <n v="-548.46837158990093"/>
    <n v="-745924.0632659446"/>
  </r>
  <r>
    <x v="4"/>
    <x v="8"/>
    <d v="2017-03-23T00:00:00"/>
    <d v="2017-03-23T00:00:00"/>
    <m/>
    <n v="68000"/>
    <n v="68000"/>
    <n v="68622.31363666922"/>
    <n v="68622.31363666922"/>
    <m/>
    <n v="-622.3136366692197"/>
    <n v="-746546.37690261379"/>
  </r>
  <r>
    <x v="4"/>
    <x v="8"/>
    <d v="2017-03-24T00:00:00"/>
    <d v="2017-03-24T00:00:00"/>
    <m/>
    <n v="68000"/>
    <n v="68000"/>
    <n v="68248.540521281247"/>
    <n v="68248.540521281247"/>
    <m/>
    <n v="-248.54052128124749"/>
    <n v="-746794.91742389509"/>
  </r>
  <r>
    <x v="4"/>
    <x v="8"/>
    <d v="2017-03-25T00:00:00"/>
    <d v="2017-03-25T00:00:00"/>
    <m/>
    <n v="66999"/>
    <n v="66999"/>
    <n v="68001.219522843749"/>
    <n v="68001.219522843749"/>
    <m/>
    <n v="-1002.2195228437486"/>
    <n v="-747797.13694673881"/>
  </r>
  <r>
    <x v="4"/>
    <x v="8"/>
    <d v="2017-03-26T00:00:00"/>
    <d v="2017-03-26T00:00:00"/>
    <m/>
    <n v="66999"/>
    <n v="66999"/>
    <n v="68103.825108121178"/>
    <n v="68103.825108121178"/>
    <m/>
    <n v="-1104.8251081211783"/>
    <n v="-748901.96205485996"/>
  </r>
  <r>
    <x v="4"/>
    <x v="8"/>
    <d v="2017-03-27T00:00:00"/>
    <d v="2017-03-27T00:00:00"/>
    <m/>
    <n v="66999"/>
    <n v="66999"/>
    <n v="69035.944816971518"/>
    <n v="69035.944816971518"/>
    <m/>
    <n v="-2036.9448169715179"/>
    <n v="-750938.90687183151"/>
  </r>
  <r>
    <x v="4"/>
    <x v="8"/>
    <d v="2017-03-28T00:00:00"/>
    <d v="2017-03-28T00:00:00"/>
    <m/>
    <n v="73000"/>
    <n v="73000"/>
    <n v="68105.305381225087"/>
    <n v="68105.305381225087"/>
    <m/>
    <n v="4894.6946187749127"/>
    <n v="-746044.21225305658"/>
  </r>
  <r>
    <x v="4"/>
    <x v="8"/>
    <d v="2017-03-29T00:00:00"/>
    <d v="2017-03-29T00:00:00"/>
    <m/>
    <n v="73000"/>
    <n v="73000"/>
    <n v="67997.43566013797"/>
    <n v="67997.43566013797"/>
    <m/>
    <n v="5002.5643398620305"/>
    <n v="-741041.64791319449"/>
  </r>
  <r>
    <x v="4"/>
    <x v="8"/>
    <d v="2017-03-30T00:00:00"/>
    <d v="2017-03-30T00:00:00"/>
    <m/>
    <n v="73000"/>
    <n v="73000"/>
    <n v="68356.436158528595"/>
    <n v="68356.436158528595"/>
    <m/>
    <n v="4643.5638414714049"/>
    <n v="-736398.08407172305"/>
  </r>
  <r>
    <x v="4"/>
    <x v="8"/>
    <d v="2017-03-31T00:00:00"/>
    <d v="2017-03-31T00:00:00"/>
    <m/>
    <n v="73000"/>
    <n v="73000"/>
    <n v="67803.414558309858"/>
    <n v="67803.414558309858"/>
    <m/>
    <n v="5196.585441690142"/>
    <n v="-731201.49863003287"/>
  </r>
  <r>
    <x v="4"/>
    <x v="9"/>
    <d v="2017-04-01T00:00:00"/>
    <d v="2017-04-01T00:00:00"/>
    <m/>
    <n v="70000"/>
    <n v="70000"/>
    <n v="67889.231389980006"/>
    <n v="67889.231389980006"/>
    <m/>
    <n v="2110.7686100199935"/>
    <n v="-729090.73002001294"/>
  </r>
  <r>
    <x v="4"/>
    <x v="9"/>
    <d v="2017-04-02T00:00:00"/>
    <d v="2017-04-02T00:00:00"/>
    <m/>
    <n v="70000"/>
    <n v="70000"/>
    <n v="65258.859129750002"/>
    <n v="65258.859129750002"/>
    <m/>
    <n v="4741.1408702499975"/>
    <n v="-724349.58914976299"/>
  </r>
  <r>
    <x v="4"/>
    <x v="9"/>
    <d v="2017-04-03T00:00:00"/>
    <d v="2017-04-03T00:00:00"/>
    <m/>
    <n v="70000"/>
    <n v="70000"/>
    <n v="69064.258133402996"/>
    <n v="69064.258133402996"/>
    <m/>
    <n v="935.74186659700354"/>
    <n v="-723413.84728316602"/>
  </r>
  <r>
    <x v="4"/>
    <x v="9"/>
    <d v="2017-04-04T00:00:00"/>
    <d v="2017-04-04T00:00:00"/>
    <m/>
    <n v="73000"/>
    <n v="73000"/>
    <n v="69788.173271309992"/>
    <n v="69788.173271309992"/>
    <m/>
    <n v="3211.8267286900082"/>
    <n v="-720202.02055447595"/>
  </r>
  <r>
    <x v="4"/>
    <x v="9"/>
    <d v="2017-04-05T00:00:00"/>
    <d v="2017-04-05T00:00:00"/>
    <m/>
    <n v="73000"/>
    <n v="73000"/>
    <n v="68472.622231649992"/>
    <n v="68472.622231649992"/>
    <m/>
    <n v="4527.3777683500084"/>
    <n v="-715674.64278612589"/>
  </r>
  <r>
    <x v="4"/>
    <x v="9"/>
    <d v="2017-04-06T00:00:00"/>
    <d v="2017-04-06T00:00:00"/>
    <m/>
    <n v="73000"/>
    <n v="73000"/>
    <n v="68908.125186809993"/>
    <n v="68908.125186809993"/>
    <m/>
    <n v="4091.8748131900065"/>
    <n v="-711582.76797293592"/>
  </r>
  <r>
    <x v="4"/>
    <x v="9"/>
    <d v="2017-04-07T00:00:00"/>
    <d v="2017-04-07T00:00:00"/>
    <m/>
    <n v="73000"/>
    <n v="73000"/>
    <n v="69577.307684234998"/>
    <n v="69577.307684234998"/>
    <m/>
    <n v="3422.6923157650017"/>
    <n v="-708160.07565717096"/>
  </r>
  <r>
    <x v="4"/>
    <x v="9"/>
    <d v="2017-04-08T00:00:00"/>
    <d v="2017-04-08T00:00:00"/>
    <m/>
    <n v="70000"/>
    <n v="70000"/>
    <n v="68856.39333495"/>
    <n v="68856.39333495"/>
    <m/>
    <n v="1143.6066650499997"/>
    <n v="-707016.46899212094"/>
  </r>
  <r>
    <x v="4"/>
    <x v="9"/>
    <d v="2017-04-09T00:00:00"/>
    <d v="2017-04-09T00:00:00"/>
    <m/>
    <n v="70000"/>
    <n v="70000"/>
    <n v="68335.425720899992"/>
    <n v="68335.425720899992"/>
    <m/>
    <n v="1664.5742791000084"/>
    <n v="-705351.89471302088"/>
  </r>
  <r>
    <x v="4"/>
    <x v="9"/>
    <d v="2017-04-10T00:00:00"/>
    <d v="2017-04-10T00:00:00"/>
    <m/>
    <n v="70000"/>
    <n v="70000"/>
    <n v="68755.611953340005"/>
    <n v="68755.611953340005"/>
    <m/>
    <n v="1244.3880466599949"/>
    <n v="-704107.50666636089"/>
  </r>
  <r>
    <x v="4"/>
    <x v="9"/>
    <d v="2017-04-11T00:00:00"/>
    <d v="2017-04-11T00:00:00"/>
    <m/>
    <n v="70000"/>
    <n v="70000"/>
    <n v="69037.483250970006"/>
    <n v="69037.483250970006"/>
    <m/>
    <n v="962.51674902999366"/>
    <n v="-703144.98991733091"/>
  </r>
  <r>
    <x v="4"/>
    <x v="9"/>
    <d v="2017-04-12T00:00:00"/>
    <d v="2017-04-12T00:00:00"/>
    <m/>
    <n v="70000"/>
    <n v="70000"/>
    <n v="71319.523285529998"/>
    <n v="71319.523285529998"/>
    <m/>
    <n v="-1319.5232855299982"/>
    <n v="-704464.51320286095"/>
  </r>
  <r>
    <x v="4"/>
    <x v="9"/>
    <d v="2017-04-13T00:00:00"/>
    <d v="2017-04-13T00:00:00"/>
    <m/>
    <n v="70000"/>
    <n v="70000"/>
    <n v="69638.51296701"/>
    <n v="69638.51296701"/>
    <m/>
    <n v="361.48703299000044"/>
    <n v="-704103.02616987098"/>
  </r>
  <r>
    <x v="4"/>
    <x v="9"/>
    <d v="2017-04-14T00:00:00"/>
    <d v="2017-04-14T00:00:00"/>
    <m/>
    <n v="70000"/>
    <n v="70000"/>
    <n v="71246.958416010006"/>
    <n v="71246.958416010006"/>
    <m/>
    <n v="-1246.9584160100057"/>
    <n v="-705349.984585881"/>
  </r>
  <r>
    <x v="4"/>
    <x v="9"/>
    <d v="2017-04-15T00:00:00"/>
    <d v="2017-04-15T00:00:00"/>
    <m/>
    <n v="70000"/>
    <n v="70000"/>
    <n v="72177.077776986"/>
    <n v="72177.077776986"/>
    <m/>
    <n v="-2177.0777769859997"/>
    <n v="-707527.06236286694"/>
  </r>
  <r>
    <x v="4"/>
    <x v="9"/>
    <d v="2017-04-16T00:00:00"/>
    <d v="2017-04-16T00:00:00"/>
    <m/>
    <n v="70000"/>
    <n v="70000"/>
    <n v="71555.738238270002"/>
    <n v="71555.738238270002"/>
    <m/>
    <n v="-1555.7382382700016"/>
    <n v="-709082.80060113699"/>
  </r>
  <r>
    <x v="4"/>
    <x v="9"/>
    <d v="2017-04-17T00:00:00"/>
    <d v="2017-04-17T00:00:00"/>
    <m/>
    <n v="70000"/>
    <n v="70000"/>
    <n v="72339.44072472"/>
    <n v="72339.44072472"/>
    <m/>
    <n v="-2339.4407247199997"/>
    <n v="-711422.241325857"/>
  </r>
  <r>
    <x v="4"/>
    <x v="9"/>
    <d v="2017-04-18T00:00:00"/>
    <d v="2017-04-18T00:00:00"/>
    <m/>
    <n v="70000"/>
    <n v="70000"/>
    <n v="71858.265311780997"/>
    <n v="71858.265311780997"/>
    <m/>
    <n v="-1858.2653117809969"/>
    <n v="-713280.50663763797"/>
  </r>
  <r>
    <x v="4"/>
    <x v="9"/>
    <d v="2017-04-19T00:00:00"/>
    <d v="2017-04-19T00:00:00"/>
    <m/>
    <n v="70000"/>
    <n v="70000"/>
    <n v="72411.427425870002"/>
    <n v="72411.427425870002"/>
    <m/>
    <n v="-2411.4274258700025"/>
    <n v="-715691.93406350794"/>
  </r>
  <r>
    <x v="4"/>
    <x v="9"/>
    <d v="2017-04-20T00:00:00"/>
    <d v="2017-04-20T00:00:00"/>
    <m/>
    <n v="70000"/>
    <n v="70000"/>
    <n v="72422.156714309996"/>
    <n v="72422.156714309996"/>
    <m/>
    <n v="-2422.1567143099965"/>
    <n v="-718114.09077781788"/>
  </r>
  <r>
    <x v="4"/>
    <x v="9"/>
    <d v="2017-04-21T00:00:00"/>
    <d v="2017-04-21T00:00:00"/>
    <m/>
    <n v="70000"/>
    <n v="70000"/>
    <n v="72421.995365526454"/>
    <n v="72421.995365526454"/>
    <m/>
    <n v="-2421.9953655264544"/>
    <n v="-720536.08614334429"/>
  </r>
  <r>
    <x v="4"/>
    <x v="9"/>
    <d v="2017-04-22T00:00:00"/>
    <d v="2017-04-22T00:00:00"/>
    <m/>
    <n v="70000"/>
    <n v="70000"/>
    <n v="72369.996864309855"/>
    <n v="72369.996864309855"/>
    <m/>
    <n v="-2369.9968643098546"/>
    <n v="-722906.08300765418"/>
  </r>
  <r>
    <x v="4"/>
    <x v="9"/>
    <d v="2017-04-23T00:00:00"/>
    <d v="2017-04-23T00:00:00"/>
    <m/>
    <n v="70000"/>
    <n v="70000"/>
    <n v="72187.727211843754"/>
    <n v="72187.727211843754"/>
    <m/>
    <n v="-2187.727211843754"/>
    <n v="-725093.81021949789"/>
  </r>
  <r>
    <x v="4"/>
    <x v="9"/>
    <d v="2017-04-24T00:00:00"/>
    <d v="2017-04-24T00:00:00"/>
    <m/>
    <n v="70000"/>
    <n v="70000"/>
    <n v="72529.185691387975"/>
    <n v="72529.185691387975"/>
    <m/>
    <n v="-2529.1856913879747"/>
    <n v="-727622.99591088586"/>
  </r>
  <r>
    <x v="4"/>
    <x v="9"/>
    <d v="2017-04-25T00:00:00"/>
    <d v="2017-04-25T00:00:00"/>
    <m/>
    <n v="70000"/>
    <n v="70000"/>
    <n v="72464.821834999326"/>
    <n v="72464.821834999326"/>
    <m/>
    <n v="-2464.8218349993258"/>
    <n v="-730087.81774588523"/>
  </r>
  <r>
    <x v="4"/>
    <x v="9"/>
    <d v="2017-04-26T00:00:00"/>
    <d v="2017-04-26T00:00:00"/>
    <m/>
    <n v="70000"/>
    <n v="70000"/>
    <n v="72155.361900016273"/>
    <n v="72155.361900016273"/>
    <m/>
    <n v="-2155.3619000162726"/>
    <n v="-732243.17964590155"/>
  </r>
  <r>
    <x v="4"/>
    <x v="9"/>
    <d v="2017-04-27T00:00:00"/>
    <d v="2017-04-27T00:00:00"/>
    <m/>
    <n v="70000"/>
    <n v="70000"/>
    <n v="72521.962519255714"/>
    <n v="72521.962519255714"/>
    <m/>
    <n v="-2521.9625192557141"/>
    <n v="-734765.14216515725"/>
  </r>
  <r>
    <x v="4"/>
    <x v="9"/>
    <d v="2017-04-28T00:00:00"/>
    <d v="2017-04-28T00:00:00"/>
    <m/>
    <n v="74999"/>
    <n v="74999"/>
    <n v="68588.880872484369"/>
    <n v="68588.880872484369"/>
    <m/>
    <n v="6410.1191275156307"/>
    <n v="-728355.02303764166"/>
  </r>
  <r>
    <x v="4"/>
    <x v="9"/>
    <d v="2017-04-29T00:00:00"/>
    <d v="2017-04-29T00:00:00"/>
    <m/>
    <n v="74999"/>
    <n v="74999"/>
    <n v="67996.450818562502"/>
    <n v="67996.450818562502"/>
    <m/>
    <n v="7002.5491814374982"/>
    <n v="-721352.47385620419"/>
  </r>
  <r>
    <x v="4"/>
    <x v="9"/>
    <d v="2017-04-30T00:00:00"/>
    <d v="2017-04-30T00:00:00"/>
    <m/>
    <n v="74999"/>
    <n v="74999"/>
    <n v="67925.801428434846"/>
    <n v="67925.801428434846"/>
    <m/>
    <n v="7073.1985715651535"/>
    <n v="-714279.27528463909"/>
  </r>
  <r>
    <x v="4"/>
    <x v="10"/>
    <d v="2017-05-01T00:00:00"/>
    <d v="2017-05-01T00:00:00"/>
    <m/>
    <n v="74999"/>
    <n v="74999"/>
    <n v="67733.85574916999"/>
    <n v="67733.85574916999"/>
    <m/>
    <n v="7265.1442508300097"/>
    <n v="-707014.13103380904"/>
  </r>
  <r>
    <x v="4"/>
    <x v="10"/>
    <d v="2017-05-02T00:00:00"/>
    <d v="2017-05-02T00:00:00"/>
    <m/>
    <n v="74999"/>
    <n v="74999"/>
    <n v="68608.157219198998"/>
    <n v="68608.157219198998"/>
    <m/>
    <n v="6390.8427808010019"/>
    <n v="-700623.28825300804"/>
  </r>
  <r>
    <x v="4"/>
    <x v="10"/>
    <d v="2017-05-03T00:00:00"/>
    <d v="2017-05-03T00:00:00"/>
    <m/>
    <n v="74999"/>
    <n v="74999"/>
    <n v="68326.838498879995"/>
    <n v="68326.838498879995"/>
    <m/>
    <n v="6672.1615011200047"/>
    <n v="-693951.12675188808"/>
  </r>
  <r>
    <x v="4"/>
    <x v="10"/>
    <d v="2017-05-04T00:00:00"/>
    <d v="2017-05-04T00:00:00"/>
    <m/>
    <n v="74999"/>
    <n v="74999"/>
    <n v="68028.190840349998"/>
    <n v="68028.190840349998"/>
    <m/>
    <n v="6970.8091596500017"/>
    <n v="-686980.31759223808"/>
  </r>
  <r>
    <x v="4"/>
    <x v="10"/>
    <d v="2017-05-05T00:00:00"/>
    <d v="2017-05-05T00:00:00"/>
    <m/>
    <n v="74999"/>
    <n v="74999"/>
    <n v="68034.740255820012"/>
    <n v="68034.740255820012"/>
    <m/>
    <n v="6964.259744179988"/>
    <n v="-680016.05784805806"/>
  </r>
  <r>
    <x v="4"/>
    <x v="10"/>
    <d v="2017-05-06T00:00:00"/>
    <d v="2017-05-06T00:00:00"/>
    <m/>
    <n v="74999"/>
    <n v="74999"/>
    <n v="70544.739757049989"/>
    <n v="70544.739757049989"/>
    <m/>
    <n v="4454.2602429500112"/>
    <n v="-675561.797605108"/>
  </r>
  <r>
    <x v="4"/>
    <x v="10"/>
    <d v="2017-05-07T00:00:00"/>
    <d v="2017-05-07T00:00:00"/>
    <m/>
    <n v="74999"/>
    <n v="74999"/>
    <n v="68094.007252830008"/>
    <n v="68094.007252830008"/>
    <m/>
    <n v="6904.9927471699921"/>
    <n v="-668656.80485793797"/>
  </r>
  <r>
    <x v="4"/>
    <x v="10"/>
    <d v="2017-05-08T00:00:00"/>
    <d v="2017-05-08T00:00:00"/>
    <m/>
    <n v="74999"/>
    <n v="74999"/>
    <n v="70079.361610049993"/>
    <n v="70079.361610049993"/>
    <m/>
    <n v="4919.638389950007"/>
    <n v="-663737.16646798793"/>
  </r>
  <r>
    <x v="4"/>
    <x v="10"/>
    <d v="2017-05-09T00:00:00"/>
    <d v="2017-05-09T00:00:00"/>
    <m/>
    <n v="74999"/>
    <n v="74999"/>
    <n v="67914.490713029998"/>
    <n v="67914.490713029998"/>
    <m/>
    <n v="7084.509286970002"/>
    <n v="-656652.65718101792"/>
  </r>
  <r>
    <x v="4"/>
    <x v="10"/>
    <d v="2017-05-10T00:00:00"/>
    <d v="2017-05-10T00:00:00"/>
    <m/>
    <n v="72000"/>
    <n v="72000"/>
    <n v="70964.745904259995"/>
    <n v="70964.745904259995"/>
    <m/>
    <n v="1035.2540957400051"/>
    <n v="-655617.40308527788"/>
  </r>
  <r>
    <x v="4"/>
    <x v="10"/>
    <d v="2017-05-11T00:00:00"/>
    <d v="2017-05-11T00:00:00"/>
    <m/>
    <n v="72000"/>
    <n v="72000"/>
    <n v="70251.030225089999"/>
    <n v="70251.030225089999"/>
    <m/>
    <n v="1748.9697749100014"/>
    <n v="-653868.43331036787"/>
  </r>
  <r>
    <x v="4"/>
    <x v="10"/>
    <d v="2017-05-12T00:00:00"/>
    <d v="2017-05-12T00:00:00"/>
    <m/>
    <n v="72000"/>
    <n v="72000"/>
    <n v="69658.407645840009"/>
    <n v="69658.407645840009"/>
    <m/>
    <n v="2341.5923541599914"/>
    <n v="-651526.84095620783"/>
  </r>
  <r>
    <x v="4"/>
    <x v="10"/>
    <d v="2017-05-13T00:00:00"/>
    <d v="2017-05-13T00:00:00"/>
    <m/>
    <n v="70000"/>
    <n v="70000"/>
    <n v="67930.905955652997"/>
    <n v="67930.905955652997"/>
    <m/>
    <n v="2069.0940443470026"/>
    <n v="-649457.74691186077"/>
  </r>
  <r>
    <x v="4"/>
    <x v="10"/>
    <d v="2017-05-14T00:00:00"/>
    <d v="2017-05-14T00:00:00"/>
    <m/>
    <n v="70000"/>
    <n v="70000"/>
    <n v="67974.771874230006"/>
    <n v="67974.771874230006"/>
    <m/>
    <n v="2025.2281257699942"/>
    <n v="-647432.51878609078"/>
  </r>
  <r>
    <x v="4"/>
    <x v="10"/>
    <d v="2017-05-15T00:00:00"/>
    <d v="2017-05-15T00:00:00"/>
    <m/>
    <n v="72000"/>
    <n v="72000"/>
    <n v="70362.076464810001"/>
    <n v="70362.076464810001"/>
    <m/>
    <n v="1637.9235351899988"/>
    <n v="-645794.59525090083"/>
  </r>
  <r>
    <x v="4"/>
    <x v="10"/>
    <d v="2017-05-16T00:00:00"/>
    <d v="2017-05-16T00:00:00"/>
    <m/>
    <n v="72000"/>
    <n v="72000"/>
    <n v="69381.446040270006"/>
    <n v="69381.446040270006"/>
    <m/>
    <n v="2618.5539597299939"/>
    <n v="-643176.04129117087"/>
  </r>
  <r>
    <x v="4"/>
    <x v="10"/>
    <d v="2017-05-17T00:00:00"/>
    <d v="2017-05-17T00:00:00"/>
    <m/>
    <n v="72000"/>
    <n v="72000"/>
    <n v="70331.499888389997"/>
    <n v="70331.499888389997"/>
    <m/>
    <n v="1668.5001116100029"/>
    <n v="-641507.54117956082"/>
  </r>
  <r>
    <x v="4"/>
    <x v="10"/>
    <d v="2017-05-18T00:00:00"/>
    <d v="2017-05-18T00:00:00"/>
    <m/>
    <n v="72000"/>
    <n v="72000"/>
    <n v="70456.125502269002"/>
    <n v="70456.125502269002"/>
    <m/>
    <n v="1543.874497730998"/>
    <n v="-639963.66668182984"/>
  </r>
  <r>
    <x v="4"/>
    <x v="10"/>
    <d v="2017-05-19T00:00:00"/>
    <d v="2017-05-19T00:00:00"/>
    <m/>
    <n v="72000"/>
    <n v="72000"/>
    <n v="70157.935639350006"/>
    <n v="70157.935639350006"/>
    <m/>
    <n v="1842.0643606499943"/>
    <n v="-638121.60232117982"/>
  </r>
  <r>
    <x v="4"/>
    <x v="10"/>
    <d v="2017-05-20T00:00:00"/>
    <d v="2017-05-20T00:00:00"/>
    <m/>
    <n v="70000"/>
    <n v="70000"/>
    <n v="67868.693143406999"/>
    <n v="67868.693143406999"/>
    <m/>
    <n v="2131.3068565930007"/>
    <n v="-635990.29546458682"/>
  </r>
  <r>
    <x v="4"/>
    <x v="10"/>
    <d v="2017-05-21T00:00:00"/>
    <d v="2017-05-21T00:00:00"/>
    <m/>
    <n v="70000"/>
    <n v="70000"/>
    <n v="69740.829812159995"/>
    <n v="69740.829812159995"/>
    <m/>
    <n v="259.17018784000538"/>
    <n v="-635731.12527674681"/>
  </r>
  <r>
    <x v="4"/>
    <x v="10"/>
    <d v="2017-05-22T00:00:00"/>
    <d v="2017-05-22T00:00:00"/>
    <m/>
    <n v="70000"/>
    <n v="70000"/>
    <n v="70378.846190991011"/>
    <n v="70378.846190991011"/>
    <m/>
    <n v="-378.8461909910111"/>
    <n v="-636109.97146773781"/>
  </r>
  <r>
    <x v="4"/>
    <x v="10"/>
    <d v="2017-05-23T00:00:00"/>
    <d v="2017-05-23T00:00:00"/>
    <m/>
    <n v="72000"/>
    <n v="72000"/>
    <n v="70871.793491070013"/>
    <n v="70871.793491070013"/>
    <m/>
    <n v="1128.2065089299867"/>
    <n v="-634981.76495880785"/>
  </r>
  <r>
    <x v="4"/>
    <x v="10"/>
    <d v="2017-05-24T00:00:00"/>
    <d v="2017-05-24T00:00:00"/>
    <m/>
    <n v="72000"/>
    <n v="72000"/>
    <n v="70920.63450108"/>
    <n v="70920.63450108"/>
    <m/>
    <n v="1079.3654989200004"/>
    <n v="-633902.39945988788"/>
  </r>
  <r>
    <x v="4"/>
    <x v="10"/>
    <d v="2017-05-25T00:00:00"/>
    <d v="2017-05-25T00:00:00"/>
    <m/>
    <n v="72000"/>
    <n v="72000"/>
    <n v="71572.813161525002"/>
    <n v="71572.813161525002"/>
    <m/>
    <n v="427.18683847499778"/>
    <n v="-633475.21262141294"/>
  </r>
  <r>
    <x v="4"/>
    <x v="10"/>
    <d v="2017-05-26T00:00:00"/>
    <d v="2017-05-26T00:00:00"/>
    <m/>
    <n v="72000"/>
    <n v="72000"/>
    <n v="72375.921253233013"/>
    <n v="72375.921253233013"/>
    <m/>
    <n v="-375.92125323301298"/>
    <n v="-633851.13387464592"/>
  </r>
  <r>
    <x v="4"/>
    <x v="10"/>
    <d v="2017-05-27T00:00:00"/>
    <d v="2017-05-27T00:00:00"/>
    <m/>
    <n v="72000"/>
    <n v="72000"/>
    <n v="71183.549458710011"/>
    <n v="71183.549458710011"/>
    <m/>
    <n v="816.45054128998891"/>
    <n v="-633034.68333335593"/>
  </r>
  <r>
    <x v="4"/>
    <x v="10"/>
    <d v="2017-05-28T00:00:00"/>
    <d v="2017-05-28T00:00:00"/>
    <m/>
    <n v="72000"/>
    <n v="72000"/>
    <n v="67996.135669409996"/>
    <n v="67996.135669409996"/>
    <m/>
    <n v="4003.8643305900041"/>
    <n v="-629030.81900276593"/>
  </r>
  <r>
    <x v="4"/>
    <x v="10"/>
    <d v="2017-05-29T00:00:00"/>
    <d v="2017-05-29T00:00:00"/>
    <m/>
    <n v="72000"/>
    <n v="72000"/>
    <n v="69601.330106100009"/>
    <n v="69601.330106100009"/>
    <m/>
    <n v="2398.6698938999907"/>
    <n v="-626632.149108866"/>
  </r>
  <r>
    <x v="4"/>
    <x v="10"/>
    <d v="2017-05-30T00:00:00"/>
    <d v="2017-05-30T00:00:00"/>
    <m/>
    <n v="72000"/>
    <n v="72000"/>
    <n v="69414.193117620001"/>
    <n v="69414.193117620001"/>
    <m/>
    <n v="2585.8068823799986"/>
    <n v="-624046.34222648595"/>
  </r>
  <r>
    <x v="4"/>
    <x v="10"/>
    <d v="2017-05-31T00:00:00"/>
    <d v="2017-05-31T00:00:00"/>
    <m/>
    <n v="72000"/>
    <n v="72000"/>
    <n v="70263.550887659992"/>
    <n v="70263.550887659992"/>
    <m/>
    <n v="1736.4491123400076"/>
    <n v="-622309.89311414596"/>
  </r>
  <r>
    <x v="4"/>
    <x v="11"/>
    <d v="2017-06-01T00:00:00"/>
    <d v="2017-06-01T00:00:00"/>
    <m/>
    <n v="75296"/>
    <n v="75296"/>
    <n v="67869.184112613002"/>
    <n v="67869.184112613002"/>
    <m/>
    <n v="7426.8158873869979"/>
    <n v="-614883.07722675893"/>
  </r>
  <r>
    <x v="4"/>
    <x v="11"/>
    <d v="2017-06-02T00:00:00"/>
    <d v="2017-06-02T00:00:00"/>
    <m/>
    <n v="75296"/>
    <n v="75296"/>
    <n v="67977.0561132"/>
    <n v="67977.0561132"/>
    <m/>
    <n v="7318.9438867999997"/>
    <n v="-607564.13333995896"/>
  </r>
  <r>
    <x v="4"/>
    <x v="11"/>
    <d v="2017-06-03T00:00:00"/>
    <d v="2017-06-03T00:00:00"/>
    <m/>
    <n v="75000"/>
    <n v="75000"/>
    <n v="68159.340278639997"/>
    <n v="68159.340278639997"/>
    <m/>
    <n v="6840.6597213600035"/>
    <n v="-600723.473618599"/>
  </r>
  <r>
    <x v="4"/>
    <x v="11"/>
    <d v="2017-06-04T00:00:00"/>
    <d v="2017-06-04T00:00:00"/>
    <m/>
    <n v="75000"/>
    <n v="75000"/>
    <n v="68235.290750483997"/>
    <n v="68235.290750483997"/>
    <m/>
    <n v="6764.7092495160032"/>
    <n v="-593958.76436908299"/>
  </r>
  <r>
    <x v="4"/>
    <x v="11"/>
    <d v="2017-06-05T00:00:00"/>
    <d v="2017-06-05T00:00:00"/>
    <m/>
    <n v="75000"/>
    <n v="75000"/>
    <n v="71881.465028489998"/>
    <n v="71881.465028489998"/>
    <m/>
    <n v="3118.5349715100019"/>
    <n v="-590840.22939757304"/>
  </r>
  <r>
    <x v="4"/>
    <x v="11"/>
    <d v="2017-06-06T00:00:00"/>
    <d v="2017-06-06T00:00:00"/>
    <m/>
    <n v="75000"/>
    <n v="75000"/>
    <n v="71397.99779404499"/>
    <n v="71397.99779404499"/>
    <m/>
    <n v="3602.0022059550101"/>
    <n v="-587238.22719161806"/>
  </r>
  <r>
    <x v="4"/>
    <x v="11"/>
    <d v="2017-06-07T00:00:00"/>
    <d v="2017-06-07T00:00:00"/>
    <m/>
    <n v="75000"/>
    <n v="75000"/>
    <n v="69999.536462309989"/>
    <n v="69999.536462309989"/>
    <m/>
    <n v="5000.4635376900114"/>
    <n v="-582237.76365392806"/>
  </r>
  <r>
    <x v="4"/>
    <x v="11"/>
    <d v="2017-06-08T00:00:00"/>
    <d v="2017-06-08T00:00:00"/>
    <m/>
    <n v="67000"/>
    <n v="67000"/>
    <n v="71133.296201370002"/>
    <n v="71133.296201370002"/>
    <m/>
    <n v="-4133.2962013700017"/>
    <n v="-586371.05985529802"/>
  </r>
  <r>
    <x v="4"/>
    <x v="11"/>
    <d v="2017-06-09T00:00:00"/>
    <d v="2017-06-09T00:00:00"/>
    <m/>
    <n v="67000"/>
    <n v="67000"/>
    <n v="71438.33214648001"/>
    <n v="71438.33214648001"/>
    <m/>
    <n v="-4438.3321464800101"/>
    <n v="-590809.392001778"/>
  </r>
  <r>
    <x v="4"/>
    <x v="11"/>
    <d v="2017-06-10T00:00:00"/>
    <d v="2017-06-10T00:00:00"/>
    <m/>
    <n v="67000"/>
    <n v="67000"/>
    <n v="71397.874577835013"/>
    <n v="71397.874577835013"/>
    <m/>
    <n v="-4397.874577835013"/>
    <n v="-595207.26657961297"/>
  </r>
  <r>
    <x v="4"/>
    <x v="11"/>
    <d v="2017-06-11T00:00:00"/>
    <d v="2017-06-11T00:00:00"/>
    <m/>
    <n v="67000"/>
    <n v="67000"/>
    <n v="69115.848760530003"/>
    <n v="69115.848760530003"/>
    <m/>
    <n v="-2115.8487605300033"/>
    <n v="-597323.11534014298"/>
  </r>
  <r>
    <x v="4"/>
    <x v="11"/>
    <d v="2017-06-12T00:00:00"/>
    <d v="2017-06-12T00:00:00"/>
    <m/>
    <n v="67000"/>
    <n v="67000"/>
    <n v="72178.359225570006"/>
    <n v="72178.359225570006"/>
    <m/>
    <n v="-5178.3592255700059"/>
    <n v="-602501.47456571297"/>
  </r>
  <r>
    <x v="4"/>
    <x v="11"/>
    <d v="2017-06-13T00:00:00"/>
    <d v="2017-06-13T00:00:00"/>
    <m/>
    <n v="67000"/>
    <n v="67000"/>
    <n v="72093.851861850009"/>
    <n v="72093.851861850009"/>
    <m/>
    <n v="-5093.8518618500093"/>
    <n v="-607595.32642756298"/>
  </r>
  <r>
    <x v="4"/>
    <x v="11"/>
    <d v="2017-06-14T00:00:00"/>
    <d v="2017-06-14T00:00:00"/>
    <m/>
    <n v="67000"/>
    <n v="67000"/>
    <n v="72073.161016740007"/>
    <n v="72073.161016740007"/>
    <m/>
    <n v="-5073.1610167400067"/>
    <n v="-612668.487444303"/>
  </r>
  <r>
    <x v="4"/>
    <x v="11"/>
    <d v="2017-06-15T00:00:00"/>
    <d v="2017-06-15T00:00:00"/>
    <m/>
    <n v="67000"/>
    <n v="67000"/>
    <n v="72202.483169061685"/>
    <n v="72202.483169061685"/>
    <m/>
    <n v="-5202.4831690616847"/>
    <n v="-617870.97061336471"/>
  </r>
  <r>
    <x v="4"/>
    <x v="11"/>
    <d v="2017-06-16T00:00:00"/>
    <d v="2017-06-16T00:00:00"/>
    <m/>
    <n v="67000"/>
    <n v="67000"/>
    <n v="72287.285021419229"/>
    <n v="72287.285021419229"/>
    <m/>
    <n v="-5287.2850214192295"/>
    <n v="-623158.255634784"/>
  </r>
  <r>
    <x v="4"/>
    <x v="11"/>
    <d v="2017-06-17T00:00:00"/>
    <d v="2017-06-17T00:00:00"/>
    <m/>
    <n v="67000"/>
    <n v="67000"/>
    <n v="71267.989290468759"/>
    <n v="71267.989290468759"/>
    <m/>
    <n v="-4267.9892904687586"/>
    <n v="-627426.24492525274"/>
  </r>
  <r>
    <x v="4"/>
    <x v="11"/>
    <d v="2017-06-18T00:00:00"/>
    <d v="2017-06-18T00:00:00"/>
    <m/>
    <n v="67000"/>
    <n v="67000"/>
    <n v="70405.120389093747"/>
    <n v="70405.120389093747"/>
    <m/>
    <n v="-3405.1203890937468"/>
    <n v="-630831.36531434651"/>
  </r>
  <r>
    <x v="4"/>
    <x v="11"/>
    <d v="2017-06-19T00:00:00"/>
    <d v="2017-06-19T00:00:00"/>
    <m/>
    <n v="67000"/>
    <n v="67000"/>
    <n v="71672.709233718328"/>
    <n v="71672.709233718328"/>
    <m/>
    <n v="-4672.7092337183276"/>
    <n v="-635504.07454806485"/>
  </r>
  <r>
    <x v="4"/>
    <x v="11"/>
    <d v="2017-06-20T00:00:00"/>
    <d v="2017-06-20T00:00:00"/>
    <m/>
    <n v="67000"/>
    <n v="67000"/>
    <n v="71976.0041934935"/>
    <n v="71976.0041934935"/>
    <m/>
    <n v="-4976.0041934934998"/>
    <n v="-640480.07874155836"/>
  </r>
  <r>
    <x v="4"/>
    <x v="11"/>
    <d v="2017-06-21T00:00:00"/>
    <d v="2017-06-21T00:00:00"/>
    <m/>
    <n v="67000"/>
    <n v="67000"/>
    <n v="71986.730769281246"/>
    <n v="71986.730769281246"/>
    <m/>
    <n v="-4986.7307692812465"/>
    <n v="-645466.80951083964"/>
  </r>
  <r>
    <x v="4"/>
    <x v="11"/>
    <d v="2017-06-22T00:00:00"/>
    <d v="2017-06-22T00:00:00"/>
    <m/>
    <n v="67000"/>
    <n v="67000"/>
    <n v="72179.996579437502"/>
    <n v="72179.996579437502"/>
    <m/>
    <n v="-5179.9965794375021"/>
    <n v="-650646.80609027715"/>
  </r>
  <r>
    <x v="4"/>
    <x v="11"/>
    <d v="2017-06-23T00:00:00"/>
    <d v="2017-06-23T00:00:00"/>
    <m/>
    <n v="67000"/>
    <n v="67000"/>
    <n v="72204.891585328121"/>
    <n v="72204.891585328121"/>
    <m/>
    <n v="-5204.8915853281214"/>
    <n v="-655851.6976756053"/>
  </r>
  <r>
    <x v="4"/>
    <x v="11"/>
    <d v="2017-06-24T00:00:00"/>
    <d v="2017-06-24T00:00:00"/>
    <m/>
    <n v="67000"/>
    <n v="67000"/>
    <n v="71349.197722146855"/>
    <n v="71349.197722146855"/>
    <m/>
    <n v="-4349.1977221468551"/>
    <n v="-660200.89539775217"/>
  </r>
  <r>
    <x v="4"/>
    <x v="11"/>
    <d v="2017-06-25T00:00:00"/>
    <d v="2017-06-25T00:00:00"/>
    <m/>
    <n v="67000"/>
    <n v="67000"/>
    <n v="70371.124859512973"/>
    <n v="70371.124859512973"/>
    <m/>
    <n v="-3371.1248595129728"/>
    <n v="-663572.02025726519"/>
  </r>
  <r>
    <x v="4"/>
    <x v="11"/>
    <d v="2017-06-26T00:00:00"/>
    <d v="2017-06-26T00:00:00"/>
    <m/>
    <n v="67000"/>
    <n v="67000"/>
    <n v="71870.482495669232"/>
    <n v="71870.482495669232"/>
    <m/>
    <n v="-4870.4824956692319"/>
    <n v="-668442.50275293447"/>
  </r>
  <r>
    <x v="4"/>
    <x v="11"/>
    <d v="2017-06-27T00:00:00"/>
    <d v="2017-06-27T00:00:00"/>
    <m/>
    <n v="71000"/>
    <n v="71000"/>
    <n v="71672.675678153086"/>
    <n v="71672.675678153086"/>
    <m/>
    <n v="-672.67567815308576"/>
    <n v="-669115.17843108752"/>
  </r>
  <r>
    <x v="4"/>
    <x v="11"/>
    <d v="2017-06-28T00:00:00"/>
    <d v="2017-06-28T00:00:00"/>
    <m/>
    <n v="71000"/>
    <n v="71000"/>
    <n v="72396.943004953122"/>
    <n v="72396.943004953122"/>
    <m/>
    <n v="-1396.943004953122"/>
    <n v="-670512.12143604062"/>
  </r>
  <r>
    <x v="4"/>
    <x v="11"/>
    <d v="2017-06-29T00:00:00"/>
    <d v="2017-06-29T00:00:00"/>
    <m/>
    <n v="71000"/>
    <n v="71000"/>
    <n v="72619.834111206073"/>
    <n v="72619.834111206073"/>
    <m/>
    <n v="-1619.8341112060734"/>
    <n v="-672131.95554724673"/>
  </r>
  <r>
    <x v="4"/>
    <x v="11"/>
    <d v="2017-06-30T00:00:00"/>
    <d v="2017-06-30T00:00:00"/>
    <m/>
    <n v="71000"/>
    <n v="71000"/>
    <n v="72301.88732707547"/>
    <n v="72301.88732707547"/>
    <m/>
    <n v="-1301.8873270754702"/>
    <n v="-673433.8428743222"/>
  </r>
  <r>
    <x v="4"/>
    <x v="0"/>
    <d v="2017-07-01T00:00:00"/>
    <d v="2017-07-01T00:00:00"/>
    <m/>
    <m/>
    <m/>
    <n v="0"/>
    <m/>
    <m/>
    <n v="0"/>
    <n v="-673433.8428743222"/>
  </r>
  <r>
    <x v="4"/>
    <x v="0"/>
    <d v="2017-07-02T00:00:00"/>
    <d v="2017-07-02T00:00:00"/>
    <m/>
    <m/>
    <m/>
    <n v="0"/>
    <m/>
    <m/>
    <n v="0"/>
    <n v="-673433.8428743222"/>
  </r>
  <r>
    <x v="4"/>
    <x v="0"/>
    <d v="2017-07-03T00:00:00"/>
    <d v="2017-07-03T00:00:00"/>
    <m/>
    <m/>
    <m/>
    <n v="0"/>
    <m/>
    <m/>
    <n v="0"/>
    <n v="-673433.8428743222"/>
  </r>
  <r>
    <x v="4"/>
    <x v="0"/>
    <d v="2017-07-04T00:00:00"/>
    <d v="2017-07-04T00:00:00"/>
    <m/>
    <m/>
    <m/>
    <n v="0"/>
    <m/>
    <m/>
    <n v="0"/>
    <n v="-673433.8428743222"/>
  </r>
  <r>
    <x v="4"/>
    <x v="0"/>
    <d v="2017-07-05T00:00:00"/>
    <d v="2017-07-05T00:00:00"/>
    <m/>
    <m/>
    <m/>
    <n v="0"/>
    <m/>
    <m/>
    <n v="0"/>
    <n v="-673433.8428743222"/>
  </r>
  <r>
    <x v="4"/>
    <x v="0"/>
    <d v="2017-07-06T00:00:00"/>
    <d v="2017-07-06T00:00:00"/>
    <m/>
    <m/>
    <m/>
    <n v="0"/>
    <m/>
    <m/>
    <n v="0"/>
    <n v="-673433.8428743222"/>
  </r>
  <r>
    <x v="4"/>
    <x v="0"/>
    <d v="2017-07-07T00:00:00"/>
    <d v="2017-07-07T00:00:00"/>
    <m/>
    <m/>
    <m/>
    <n v="0"/>
    <m/>
    <m/>
    <n v="0"/>
    <n v="-673433.8428743222"/>
  </r>
  <r>
    <x v="4"/>
    <x v="0"/>
    <d v="2017-07-08T00:00:00"/>
    <d v="2017-07-08T00:00:00"/>
    <m/>
    <m/>
    <m/>
    <n v="0"/>
    <m/>
    <m/>
    <n v="0"/>
    <n v="-673433.8428743222"/>
  </r>
  <r>
    <x v="4"/>
    <x v="0"/>
    <d v="2017-07-09T00:00:00"/>
    <d v="2017-07-09T00:00:00"/>
    <m/>
    <m/>
    <m/>
    <n v="0"/>
    <m/>
    <m/>
    <n v="0"/>
    <n v="-673433.8428743222"/>
  </r>
  <r>
    <x v="4"/>
    <x v="0"/>
    <d v="2017-07-10T00:00:00"/>
    <d v="2017-07-10T00:00:00"/>
    <m/>
    <m/>
    <m/>
    <n v="0"/>
    <m/>
    <m/>
    <n v="0"/>
    <n v="-673433.8428743222"/>
  </r>
  <r>
    <x v="4"/>
    <x v="0"/>
    <d v="2017-07-11T00:00:00"/>
    <d v="2017-07-11T00:00:00"/>
    <m/>
    <m/>
    <m/>
    <n v="0"/>
    <m/>
    <m/>
    <n v="0"/>
    <n v="-673433.8428743222"/>
  </r>
  <r>
    <x v="4"/>
    <x v="0"/>
    <d v="2017-07-12T00:00:00"/>
    <d v="2017-07-12T00:00:00"/>
    <m/>
    <m/>
    <m/>
    <n v="0"/>
    <m/>
    <m/>
    <n v="0"/>
    <n v="-673433.8428743222"/>
  </r>
  <r>
    <x v="4"/>
    <x v="0"/>
    <d v="2017-07-13T00:00:00"/>
    <d v="2017-07-13T00:00:00"/>
    <m/>
    <m/>
    <m/>
    <n v="0"/>
    <m/>
    <m/>
    <n v="0"/>
    <n v="-673433.8428743222"/>
  </r>
  <r>
    <x v="4"/>
    <x v="0"/>
    <d v="2017-07-14T00:00:00"/>
    <d v="2017-07-14T00:00:00"/>
    <m/>
    <m/>
    <m/>
    <n v="0"/>
    <m/>
    <m/>
    <n v="0"/>
    <n v="-673433.8428743222"/>
  </r>
  <r>
    <x v="4"/>
    <x v="0"/>
    <d v="2017-07-15T00:00:00"/>
    <d v="2017-07-15T00:00:00"/>
    <m/>
    <m/>
    <m/>
    <n v="0"/>
    <m/>
    <m/>
    <n v="0"/>
    <n v="-673433.8428743222"/>
  </r>
  <r>
    <x v="4"/>
    <x v="0"/>
    <d v="2017-07-16T00:00:00"/>
    <d v="2017-07-16T00:00:00"/>
    <m/>
    <m/>
    <m/>
    <n v="0"/>
    <m/>
    <m/>
    <n v="0"/>
    <n v="-673433.8428743222"/>
  </r>
  <r>
    <x v="4"/>
    <x v="0"/>
    <d v="2017-07-17T00:00:00"/>
    <d v="2017-07-17T00:00:00"/>
    <m/>
    <m/>
    <m/>
    <n v="0"/>
    <m/>
    <m/>
    <n v="0"/>
    <n v="-673433.8428743222"/>
  </r>
  <r>
    <x v="4"/>
    <x v="0"/>
    <d v="2017-07-18T00:00:00"/>
    <d v="2017-07-18T00:00:00"/>
    <m/>
    <m/>
    <m/>
    <n v="0"/>
    <m/>
    <m/>
    <n v="0"/>
    <n v="-673433.8428743222"/>
  </r>
  <r>
    <x v="4"/>
    <x v="0"/>
    <d v="2017-07-19T00:00:00"/>
    <d v="2017-07-19T00:00:00"/>
    <m/>
    <m/>
    <m/>
    <n v="0"/>
    <m/>
    <m/>
    <n v="0"/>
    <n v="-673433.8428743222"/>
  </r>
  <r>
    <x v="4"/>
    <x v="0"/>
    <d v="2017-07-20T00:00:00"/>
    <d v="2017-07-20T00:00:00"/>
    <m/>
    <m/>
    <m/>
    <n v="0"/>
    <m/>
    <m/>
    <n v="0"/>
    <n v="-673433.8428743222"/>
  </r>
  <r>
    <x v="4"/>
    <x v="0"/>
    <d v="2017-07-21T00:00:00"/>
    <d v="2017-07-21T00:00:00"/>
    <m/>
    <m/>
    <m/>
    <n v="0"/>
    <m/>
    <m/>
    <n v="0"/>
    <n v="-673433.8428743222"/>
  </r>
  <r>
    <x v="4"/>
    <x v="0"/>
    <d v="2017-07-22T00:00:00"/>
    <d v="2017-07-22T00:00:00"/>
    <m/>
    <m/>
    <m/>
    <n v="0"/>
    <m/>
    <m/>
    <n v="0"/>
    <n v="-673433.8428743222"/>
  </r>
  <r>
    <x v="4"/>
    <x v="0"/>
    <d v="2017-07-23T00:00:00"/>
    <d v="2017-07-23T00:00:00"/>
    <m/>
    <m/>
    <m/>
    <n v="0"/>
    <m/>
    <m/>
    <n v="0"/>
    <n v="-673433.8428743222"/>
  </r>
  <r>
    <x v="4"/>
    <x v="0"/>
    <d v="2017-07-24T00:00:00"/>
    <d v="2017-07-24T00:00:00"/>
    <m/>
    <m/>
    <m/>
    <n v="0"/>
    <m/>
    <m/>
    <n v="0"/>
    <n v="-673433.8428743222"/>
  </r>
  <r>
    <x v="4"/>
    <x v="0"/>
    <d v="2017-07-25T00:00:00"/>
    <d v="2017-07-25T00:00:00"/>
    <m/>
    <m/>
    <m/>
    <n v="0"/>
    <m/>
    <m/>
    <n v="0"/>
    <n v="-673433.8428743222"/>
  </r>
  <r>
    <x v="4"/>
    <x v="0"/>
    <d v="2017-07-26T00:00:00"/>
    <d v="2017-07-26T00:00:00"/>
    <m/>
    <m/>
    <m/>
    <n v="0"/>
    <m/>
    <m/>
    <n v="0"/>
    <n v="-673433.8428743222"/>
  </r>
  <r>
    <x v="4"/>
    <x v="0"/>
    <d v="2017-07-27T00:00:00"/>
    <d v="2017-07-27T00:00:00"/>
    <m/>
    <m/>
    <m/>
    <n v="0"/>
    <m/>
    <m/>
    <n v="0"/>
    <n v="-673433.8428743222"/>
  </r>
  <r>
    <x v="4"/>
    <x v="0"/>
    <d v="2017-07-28T00:00:00"/>
    <d v="2017-07-28T00:00:00"/>
    <m/>
    <m/>
    <m/>
    <n v="0"/>
    <m/>
    <m/>
    <n v="0"/>
    <n v="-673433.8428743222"/>
  </r>
  <r>
    <x v="4"/>
    <x v="0"/>
    <d v="2017-07-29T00:00:00"/>
    <d v="2017-07-29T00:00:00"/>
    <m/>
    <m/>
    <m/>
    <n v="0"/>
    <m/>
    <m/>
    <n v="0"/>
    <n v="-673433.8428743222"/>
  </r>
  <r>
    <x v="4"/>
    <x v="0"/>
    <d v="2017-07-30T00:00:00"/>
    <d v="2017-07-30T00:00:00"/>
    <m/>
    <m/>
    <m/>
    <n v="0"/>
    <m/>
    <m/>
    <n v="0"/>
    <n v="-673433.8428743222"/>
  </r>
  <r>
    <x v="4"/>
    <x v="0"/>
    <d v="2017-07-31T00:00:00"/>
    <d v="2017-07-31T00:00:00"/>
    <m/>
    <m/>
    <m/>
    <n v="0"/>
    <m/>
    <m/>
    <n v="0"/>
    <n v="-673433.8428743222"/>
  </r>
  <r>
    <x v="4"/>
    <x v="1"/>
    <d v="2017-08-01T00:00:00"/>
    <d v="2017-08-01T00:00:00"/>
    <m/>
    <m/>
    <m/>
    <n v="0"/>
    <m/>
    <m/>
    <n v="0"/>
    <n v="-673433.8428743222"/>
  </r>
  <r>
    <x v="4"/>
    <x v="1"/>
    <d v="2017-08-02T00:00:00"/>
    <d v="2017-08-02T00:00:00"/>
    <m/>
    <m/>
    <m/>
    <n v="0"/>
    <m/>
    <m/>
    <n v="0"/>
    <n v="-673433.8428743222"/>
  </r>
  <r>
    <x v="4"/>
    <x v="1"/>
    <d v="2017-08-03T00:00:00"/>
    <d v="2017-08-03T00:00:00"/>
    <m/>
    <m/>
    <m/>
    <n v="0"/>
    <m/>
    <m/>
    <n v="0"/>
    <n v="-673433.8428743222"/>
  </r>
  <r>
    <x v="4"/>
    <x v="1"/>
    <d v="2017-08-04T00:00:00"/>
    <d v="2017-08-04T00:00:00"/>
    <m/>
    <m/>
    <m/>
    <n v="0"/>
    <m/>
    <m/>
    <n v="0"/>
    <n v="-673433.8428743222"/>
  </r>
  <r>
    <x v="4"/>
    <x v="1"/>
    <d v="2017-08-05T00:00:00"/>
    <d v="2017-08-05T00:00:00"/>
    <m/>
    <m/>
    <m/>
    <n v="0"/>
    <m/>
    <m/>
    <n v="0"/>
    <n v="-673433.8428743222"/>
  </r>
  <r>
    <x v="4"/>
    <x v="1"/>
    <d v="2017-08-06T00:00:00"/>
    <d v="2017-08-06T00:00:00"/>
    <m/>
    <m/>
    <m/>
    <n v="0"/>
    <m/>
    <m/>
    <n v="0"/>
    <n v="-673433.8428743222"/>
  </r>
  <r>
    <x v="4"/>
    <x v="1"/>
    <d v="2017-08-07T00:00:00"/>
    <d v="2017-08-07T00:00:00"/>
    <m/>
    <m/>
    <m/>
    <n v="0"/>
    <m/>
    <m/>
    <n v="0"/>
    <n v="-673433.8428743222"/>
  </r>
  <r>
    <x v="4"/>
    <x v="1"/>
    <d v="2017-08-08T00:00:00"/>
    <d v="2017-08-08T00:00:00"/>
    <m/>
    <m/>
    <m/>
    <n v="0"/>
    <m/>
    <m/>
    <n v="0"/>
    <n v="-673433.8428743222"/>
  </r>
  <r>
    <x v="4"/>
    <x v="1"/>
    <d v="2017-08-09T00:00:00"/>
    <d v="2017-08-09T00:00:00"/>
    <m/>
    <m/>
    <m/>
    <n v="0"/>
    <m/>
    <m/>
    <n v="0"/>
    <n v="-673433.8428743222"/>
  </r>
  <r>
    <x v="4"/>
    <x v="1"/>
    <d v="2017-08-10T00:00:00"/>
    <d v="2017-08-10T00:00:00"/>
    <m/>
    <m/>
    <m/>
    <n v="0"/>
    <m/>
    <m/>
    <n v="0"/>
    <n v="-673433.8428743222"/>
  </r>
  <r>
    <x v="4"/>
    <x v="1"/>
    <d v="2017-08-11T00:00:00"/>
    <d v="2017-08-11T00:00:00"/>
    <m/>
    <m/>
    <m/>
    <n v="0"/>
    <m/>
    <m/>
    <n v="0"/>
    <n v="-673433.8428743222"/>
  </r>
  <r>
    <x v="4"/>
    <x v="1"/>
    <d v="2017-08-12T00:00:00"/>
    <d v="2017-08-12T00:00:00"/>
    <m/>
    <m/>
    <m/>
    <n v="0"/>
    <m/>
    <m/>
    <n v="0"/>
    <n v="-673433.8428743222"/>
  </r>
  <r>
    <x v="4"/>
    <x v="1"/>
    <d v="2017-08-13T00:00:00"/>
    <d v="2017-08-13T00:00:00"/>
    <m/>
    <m/>
    <m/>
    <n v="0"/>
    <m/>
    <m/>
    <n v="0"/>
    <n v="-673433.8428743222"/>
  </r>
  <r>
    <x v="4"/>
    <x v="1"/>
    <d v="2017-08-14T00:00:00"/>
    <d v="2017-08-14T00:00:00"/>
    <m/>
    <m/>
    <m/>
    <n v="0"/>
    <m/>
    <m/>
    <n v="0"/>
    <n v="-673433.8428743222"/>
  </r>
  <r>
    <x v="4"/>
    <x v="1"/>
    <d v="2017-08-15T00:00:00"/>
    <d v="2017-08-15T00:00:00"/>
    <m/>
    <m/>
    <m/>
    <n v="0"/>
    <m/>
    <m/>
    <n v="0"/>
    <n v="-673433.8428743222"/>
  </r>
  <r>
    <x v="4"/>
    <x v="1"/>
    <d v="2017-08-16T00:00:00"/>
    <d v="2017-08-16T00:00:00"/>
    <m/>
    <m/>
    <m/>
    <n v="0"/>
    <m/>
    <m/>
    <n v="0"/>
    <n v="-673433.8428743222"/>
  </r>
  <r>
    <x v="4"/>
    <x v="1"/>
    <d v="2017-08-17T00:00:00"/>
    <d v="2017-08-17T00:00:00"/>
    <m/>
    <m/>
    <m/>
    <n v="0"/>
    <m/>
    <m/>
    <n v="0"/>
    <n v="-673433.8428743222"/>
  </r>
  <r>
    <x v="4"/>
    <x v="1"/>
    <d v="2017-08-18T00:00:00"/>
    <d v="2017-08-18T00:00:00"/>
    <m/>
    <m/>
    <m/>
    <n v="0"/>
    <m/>
    <m/>
    <n v="0"/>
    <n v="-673433.8428743222"/>
  </r>
  <r>
    <x v="4"/>
    <x v="1"/>
    <d v="2017-08-19T00:00:00"/>
    <d v="2017-08-19T00:00:00"/>
    <m/>
    <m/>
    <m/>
    <n v="0"/>
    <m/>
    <m/>
    <n v="0"/>
    <n v="-673433.8428743222"/>
  </r>
  <r>
    <x v="4"/>
    <x v="1"/>
    <d v="2017-08-20T00:00:00"/>
    <d v="2017-08-20T00:00:00"/>
    <m/>
    <m/>
    <m/>
    <n v="0"/>
    <m/>
    <m/>
    <n v="0"/>
    <n v="-673433.8428743222"/>
  </r>
  <r>
    <x v="4"/>
    <x v="1"/>
    <d v="2017-08-21T00:00:00"/>
    <d v="2017-08-21T00:00:00"/>
    <m/>
    <m/>
    <m/>
    <n v="0"/>
    <m/>
    <m/>
    <n v="0"/>
    <n v="-673433.8428743222"/>
  </r>
  <r>
    <x v="4"/>
    <x v="1"/>
    <d v="2017-08-22T00:00:00"/>
    <d v="2017-08-22T00:00:00"/>
    <m/>
    <m/>
    <m/>
    <n v="0"/>
    <m/>
    <m/>
    <n v="0"/>
    <n v="-673433.8428743222"/>
  </r>
  <r>
    <x v="4"/>
    <x v="1"/>
    <d v="2017-08-23T00:00:00"/>
    <d v="2017-08-23T00:00:00"/>
    <m/>
    <m/>
    <m/>
    <n v="0"/>
    <m/>
    <m/>
    <n v="0"/>
    <n v="-673433.8428743222"/>
  </r>
  <r>
    <x v="4"/>
    <x v="1"/>
    <d v="2017-08-24T00:00:00"/>
    <d v="2017-08-24T00:00:00"/>
    <m/>
    <m/>
    <m/>
    <n v="0"/>
    <m/>
    <m/>
    <n v="0"/>
    <n v="-673433.8428743222"/>
  </r>
  <r>
    <x v="4"/>
    <x v="1"/>
    <d v="2017-08-25T00:00:00"/>
    <d v="2017-08-25T00:00:00"/>
    <m/>
    <m/>
    <m/>
    <n v="0"/>
    <m/>
    <m/>
    <n v="0"/>
    <n v="-673433.8428743222"/>
  </r>
  <r>
    <x v="4"/>
    <x v="1"/>
    <d v="2017-08-26T00:00:00"/>
    <d v="2017-08-26T00:00:00"/>
    <m/>
    <m/>
    <m/>
    <n v="0"/>
    <m/>
    <m/>
    <n v="0"/>
    <n v="-673433.8428743222"/>
  </r>
  <r>
    <x v="4"/>
    <x v="1"/>
    <d v="2017-08-27T00:00:00"/>
    <d v="2017-08-27T00:00:00"/>
    <m/>
    <m/>
    <m/>
    <n v="0"/>
    <m/>
    <m/>
    <n v="0"/>
    <n v="-673433.8428743222"/>
  </r>
  <r>
    <x v="4"/>
    <x v="1"/>
    <d v="2017-08-28T00:00:00"/>
    <d v="2017-08-28T00:00:00"/>
    <m/>
    <m/>
    <m/>
    <n v="0"/>
    <m/>
    <m/>
    <n v="0"/>
    <n v="-673433.8428743222"/>
  </r>
  <r>
    <x v="4"/>
    <x v="1"/>
    <d v="2017-08-29T00:00:00"/>
    <d v="2017-08-29T00:00:00"/>
    <m/>
    <m/>
    <m/>
    <n v="0"/>
    <m/>
    <m/>
    <n v="0"/>
    <n v="-673433.8428743222"/>
  </r>
  <r>
    <x v="4"/>
    <x v="1"/>
    <d v="2017-08-30T00:00:00"/>
    <d v="2017-08-30T00:00:00"/>
    <m/>
    <m/>
    <m/>
    <n v="0"/>
    <m/>
    <m/>
    <n v="0"/>
    <n v="-673433.8428743222"/>
  </r>
  <r>
    <x v="4"/>
    <x v="1"/>
    <d v="2017-08-31T00:00:00"/>
    <d v="2017-08-31T00:00:00"/>
    <m/>
    <m/>
    <m/>
    <n v="0"/>
    <m/>
    <m/>
    <n v="0"/>
    <n v="-673433.8428743222"/>
  </r>
  <r>
    <x v="4"/>
    <x v="2"/>
    <d v="2017-09-01T00:00:00"/>
    <d v="2017-09-01T00:00:00"/>
    <m/>
    <m/>
    <m/>
    <n v="0"/>
    <m/>
    <m/>
    <n v="0"/>
    <n v="-673433.8428743222"/>
  </r>
  <r>
    <x v="4"/>
    <x v="2"/>
    <d v="2017-09-02T00:00:00"/>
    <d v="2017-09-02T00:00:00"/>
    <m/>
    <m/>
    <m/>
    <n v="0"/>
    <m/>
    <m/>
    <n v="0"/>
    <n v="-673433.8428743222"/>
  </r>
  <r>
    <x v="4"/>
    <x v="2"/>
    <d v="2017-09-03T00:00:00"/>
    <d v="2017-09-03T00:00:00"/>
    <m/>
    <m/>
    <m/>
    <n v="0"/>
    <m/>
    <m/>
    <n v="0"/>
    <n v="-673433.8428743222"/>
  </r>
  <r>
    <x v="4"/>
    <x v="2"/>
    <d v="2017-09-04T00:00:00"/>
    <d v="2017-09-04T00:00:00"/>
    <m/>
    <m/>
    <m/>
    <n v="0"/>
    <m/>
    <m/>
    <n v="0"/>
    <n v="-673433.8428743222"/>
  </r>
  <r>
    <x v="4"/>
    <x v="2"/>
    <d v="2017-09-05T00:00:00"/>
    <d v="2017-09-05T00:00:00"/>
    <m/>
    <m/>
    <m/>
    <n v="0"/>
    <m/>
    <m/>
    <n v="0"/>
    <n v="-673433.8428743222"/>
  </r>
  <r>
    <x v="4"/>
    <x v="2"/>
    <d v="2017-09-06T00:00:00"/>
    <d v="2017-09-06T00:00:00"/>
    <m/>
    <m/>
    <m/>
    <n v="0"/>
    <m/>
    <m/>
    <n v="0"/>
    <n v="-673433.8428743222"/>
  </r>
  <r>
    <x v="4"/>
    <x v="2"/>
    <d v="2017-09-07T00:00:00"/>
    <d v="2017-09-07T00:00:00"/>
    <m/>
    <m/>
    <m/>
    <n v="0"/>
    <m/>
    <m/>
    <n v="0"/>
    <n v="-673433.8428743222"/>
  </r>
  <r>
    <x v="4"/>
    <x v="2"/>
    <d v="2017-09-08T00:00:00"/>
    <d v="2017-09-08T00:00:00"/>
    <m/>
    <m/>
    <m/>
    <n v="0"/>
    <m/>
    <m/>
    <n v="0"/>
    <n v="-673433.8428743222"/>
  </r>
  <r>
    <x v="4"/>
    <x v="2"/>
    <d v="2017-09-09T00:00:00"/>
    <d v="2017-09-09T00:00:00"/>
    <m/>
    <m/>
    <m/>
    <n v="0"/>
    <m/>
    <m/>
    <n v="0"/>
    <n v="-673433.8428743222"/>
  </r>
  <r>
    <x v="4"/>
    <x v="2"/>
    <d v="2017-09-10T00:00:00"/>
    <d v="2017-09-10T00:00:00"/>
    <m/>
    <m/>
    <m/>
    <n v="0"/>
    <m/>
    <m/>
    <n v="0"/>
    <n v="-673433.8428743222"/>
  </r>
  <r>
    <x v="4"/>
    <x v="2"/>
    <d v="2017-09-11T00:00:00"/>
    <d v="2017-09-11T00:00:00"/>
    <m/>
    <m/>
    <m/>
    <n v="0"/>
    <m/>
    <m/>
    <n v="0"/>
    <n v="-673433.8428743222"/>
  </r>
  <r>
    <x v="4"/>
    <x v="2"/>
    <d v="2017-09-12T00:00:00"/>
    <d v="2017-09-12T00:00:00"/>
    <m/>
    <m/>
    <m/>
    <n v="0"/>
    <m/>
    <m/>
    <n v="0"/>
    <n v="-673433.8428743222"/>
  </r>
  <r>
    <x v="4"/>
    <x v="2"/>
    <d v="2017-09-13T00:00:00"/>
    <d v="2017-09-13T00:00:00"/>
    <m/>
    <m/>
    <m/>
    <n v="0"/>
    <m/>
    <m/>
    <n v="0"/>
    <n v="-673433.8428743222"/>
  </r>
  <r>
    <x v="4"/>
    <x v="2"/>
    <d v="2017-09-14T00:00:00"/>
    <d v="2017-09-14T00:00:00"/>
    <m/>
    <m/>
    <m/>
    <n v="0"/>
    <m/>
    <m/>
    <n v="0"/>
    <n v="-673433.8428743222"/>
  </r>
  <r>
    <x v="4"/>
    <x v="2"/>
    <d v="2017-09-15T00:00:00"/>
    <d v="2017-09-15T00:00:00"/>
    <m/>
    <m/>
    <m/>
    <n v="0"/>
    <m/>
    <m/>
    <n v="0"/>
    <n v="-673433.8428743222"/>
  </r>
  <r>
    <x v="4"/>
    <x v="2"/>
    <d v="2017-09-16T00:00:00"/>
    <d v="2017-09-16T00:00:00"/>
    <m/>
    <m/>
    <m/>
    <n v="0"/>
    <m/>
    <m/>
    <n v="0"/>
    <n v="-673433.8428743222"/>
  </r>
  <r>
    <x v="4"/>
    <x v="2"/>
    <d v="2017-09-17T00:00:00"/>
    <d v="2017-09-17T00:00:00"/>
    <m/>
    <m/>
    <m/>
    <n v="0"/>
    <m/>
    <m/>
    <n v="0"/>
    <n v="-673433.8428743222"/>
  </r>
  <r>
    <x v="4"/>
    <x v="2"/>
    <d v="2017-09-18T00:00:00"/>
    <d v="2017-09-18T00:00:00"/>
    <m/>
    <m/>
    <m/>
    <n v="0"/>
    <m/>
    <m/>
    <n v="0"/>
    <n v="-673433.8428743222"/>
  </r>
  <r>
    <x v="4"/>
    <x v="2"/>
    <d v="2017-09-19T00:00:00"/>
    <d v="2017-09-19T00:00:00"/>
    <m/>
    <m/>
    <m/>
    <n v="0"/>
    <m/>
    <m/>
    <n v="0"/>
    <n v="-673433.8428743222"/>
  </r>
  <r>
    <x v="4"/>
    <x v="2"/>
    <d v="2017-09-20T00:00:00"/>
    <d v="2017-09-20T00:00:00"/>
    <m/>
    <m/>
    <m/>
    <n v="0"/>
    <m/>
    <m/>
    <n v="0"/>
    <n v="-673433.8428743222"/>
  </r>
  <r>
    <x v="4"/>
    <x v="2"/>
    <d v="2017-09-21T00:00:00"/>
    <d v="2017-09-21T00:00:00"/>
    <m/>
    <m/>
    <m/>
    <n v="0"/>
    <m/>
    <m/>
    <n v="0"/>
    <n v="-673433.8428743222"/>
  </r>
  <r>
    <x v="4"/>
    <x v="2"/>
    <d v="2017-09-22T00:00:00"/>
    <d v="2017-09-22T00:00:00"/>
    <m/>
    <m/>
    <m/>
    <n v="0"/>
    <m/>
    <m/>
    <n v="0"/>
    <n v="-673433.8428743222"/>
  </r>
  <r>
    <x v="4"/>
    <x v="2"/>
    <d v="2017-09-23T00:00:00"/>
    <d v="2017-09-23T00:00:00"/>
    <m/>
    <m/>
    <m/>
    <n v="0"/>
    <m/>
    <m/>
    <n v="0"/>
    <n v="-673433.8428743222"/>
  </r>
  <r>
    <x v="4"/>
    <x v="2"/>
    <d v="2017-09-24T00:00:00"/>
    <d v="2017-09-24T00:00:00"/>
    <m/>
    <m/>
    <m/>
    <n v="0"/>
    <m/>
    <m/>
    <n v="0"/>
    <n v="-673433.8428743222"/>
  </r>
  <r>
    <x v="4"/>
    <x v="2"/>
    <d v="2017-09-25T00:00:00"/>
    <d v="2017-09-25T00:00:00"/>
    <m/>
    <m/>
    <m/>
    <n v="0"/>
    <m/>
    <m/>
    <n v="0"/>
    <n v="-673433.8428743222"/>
  </r>
  <r>
    <x v="4"/>
    <x v="2"/>
    <d v="2017-09-26T00:00:00"/>
    <d v="2017-09-26T00:00:00"/>
    <m/>
    <m/>
    <m/>
    <n v="0"/>
    <m/>
    <m/>
    <n v="0"/>
    <n v="-673433.8428743222"/>
  </r>
  <r>
    <x v="4"/>
    <x v="2"/>
    <d v="2017-09-27T00:00:00"/>
    <d v="2017-09-27T00:00:00"/>
    <m/>
    <m/>
    <m/>
    <n v="0"/>
    <m/>
    <m/>
    <n v="0"/>
    <n v="-673433.8428743222"/>
  </r>
  <r>
    <x v="4"/>
    <x v="2"/>
    <d v="2017-09-28T00:00:00"/>
    <d v="2017-09-28T00:00:00"/>
    <m/>
    <m/>
    <m/>
    <n v="0"/>
    <m/>
    <m/>
    <n v="0"/>
    <n v="-673433.8428743222"/>
  </r>
  <r>
    <x v="4"/>
    <x v="2"/>
    <d v="2017-09-29T00:00:00"/>
    <d v="2017-09-29T00:00:00"/>
    <m/>
    <m/>
    <m/>
    <n v="0"/>
    <m/>
    <m/>
    <n v="0"/>
    <n v="-673433.8428743222"/>
  </r>
  <r>
    <x v="4"/>
    <x v="2"/>
    <d v="2017-09-30T00:00:00"/>
    <d v="2017-09-30T00:00:00"/>
    <m/>
    <m/>
    <m/>
    <n v="0"/>
    <m/>
    <m/>
    <n v="0"/>
    <n v="-673433.8428743222"/>
  </r>
  <r>
    <x v="4"/>
    <x v="3"/>
    <d v="2017-10-01T00:00:00"/>
    <d v="2017-10-01T00:00:00"/>
    <m/>
    <m/>
    <m/>
    <n v="0"/>
    <m/>
    <m/>
    <n v="0"/>
    <n v="-673433.8428743222"/>
  </r>
  <r>
    <x v="4"/>
    <x v="3"/>
    <d v="2017-10-02T00:00:00"/>
    <d v="2017-10-02T00:00:00"/>
    <m/>
    <m/>
    <m/>
    <n v="0"/>
    <m/>
    <m/>
    <n v="0"/>
    <n v="-673433.8428743222"/>
  </r>
  <r>
    <x v="4"/>
    <x v="3"/>
    <d v="2017-10-03T00:00:00"/>
    <d v="2017-10-03T00:00:00"/>
    <m/>
    <m/>
    <m/>
    <n v="0"/>
    <m/>
    <m/>
    <n v="0"/>
    <n v="-673433.8428743222"/>
  </r>
  <r>
    <x v="4"/>
    <x v="3"/>
    <d v="2017-10-04T00:00:00"/>
    <d v="2017-10-04T00:00:00"/>
    <m/>
    <m/>
    <m/>
    <n v="0"/>
    <m/>
    <m/>
    <n v="0"/>
    <n v="-673433.8428743222"/>
  </r>
  <r>
    <x v="4"/>
    <x v="3"/>
    <d v="2017-10-05T00:00:00"/>
    <d v="2017-10-05T00:00:00"/>
    <m/>
    <m/>
    <m/>
    <n v="0"/>
    <m/>
    <m/>
    <n v="0"/>
    <n v="-673433.8428743222"/>
  </r>
  <r>
    <x v="4"/>
    <x v="3"/>
    <d v="2017-10-06T00:00:00"/>
    <d v="2017-10-06T00:00:00"/>
    <m/>
    <m/>
    <m/>
    <n v="0"/>
    <m/>
    <m/>
    <n v="0"/>
    <n v="-673433.8428743222"/>
  </r>
  <r>
    <x v="4"/>
    <x v="3"/>
    <d v="2017-10-07T00:00:00"/>
    <d v="2017-10-07T00:00:00"/>
    <m/>
    <m/>
    <m/>
    <n v="0"/>
    <m/>
    <m/>
    <n v="0"/>
    <n v="-673433.8428743222"/>
  </r>
  <r>
    <x v="4"/>
    <x v="3"/>
    <d v="2017-10-08T00:00:00"/>
    <d v="2017-10-08T00:00:00"/>
    <m/>
    <m/>
    <m/>
    <n v="0"/>
    <m/>
    <m/>
    <n v="0"/>
    <n v="-673433.8428743222"/>
  </r>
  <r>
    <x v="4"/>
    <x v="3"/>
    <d v="2017-10-09T00:00:00"/>
    <d v="2017-10-09T00:00:00"/>
    <m/>
    <m/>
    <m/>
    <n v="0"/>
    <m/>
    <m/>
    <n v="0"/>
    <n v="-673433.8428743222"/>
  </r>
  <r>
    <x v="4"/>
    <x v="3"/>
    <d v="2017-10-10T00:00:00"/>
    <d v="2017-10-10T00:00:00"/>
    <m/>
    <m/>
    <m/>
    <n v="0"/>
    <m/>
    <m/>
    <n v="0"/>
    <n v="-673433.8428743222"/>
  </r>
  <r>
    <x v="4"/>
    <x v="3"/>
    <d v="2017-10-11T00:00:00"/>
    <d v="2017-10-11T00:00:00"/>
    <m/>
    <m/>
    <m/>
    <n v="0"/>
    <m/>
    <m/>
    <n v="0"/>
    <n v="-673433.8428743222"/>
  </r>
  <r>
    <x v="4"/>
    <x v="3"/>
    <d v="2017-10-12T00:00:00"/>
    <d v="2017-10-12T00:00:00"/>
    <m/>
    <m/>
    <m/>
    <n v="0"/>
    <m/>
    <m/>
    <n v="0"/>
    <n v="-673433.8428743222"/>
  </r>
  <r>
    <x v="4"/>
    <x v="3"/>
    <d v="2017-10-13T00:00:00"/>
    <d v="2017-10-13T00:00:00"/>
    <m/>
    <m/>
    <m/>
    <n v="0"/>
    <m/>
    <m/>
    <n v="0"/>
    <n v="-673433.8428743222"/>
  </r>
  <r>
    <x v="4"/>
    <x v="3"/>
    <d v="2017-10-14T00:00:00"/>
    <d v="2017-10-14T00:00:00"/>
    <m/>
    <m/>
    <m/>
    <n v="0"/>
    <m/>
    <m/>
    <n v="0"/>
    <n v="-673433.8428743222"/>
  </r>
  <r>
    <x v="4"/>
    <x v="3"/>
    <d v="2017-10-15T00:00:00"/>
    <d v="2017-10-15T00:00:00"/>
    <m/>
    <m/>
    <m/>
    <n v="0"/>
    <m/>
    <m/>
    <n v="0"/>
    <n v="-673433.8428743222"/>
  </r>
  <r>
    <x v="4"/>
    <x v="3"/>
    <d v="2017-10-16T00:00:00"/>
    <d v="2017-10-16T00:00:00"/>
    <m/>
    <m/>
    <m/>
    <n v="0"/>
    <m/>
    <m/>
    <n v="0"/>
    <n v="-673433.8428743222"/>
  </r>
  <r>
    <x v="4"/>
    <x v="3"/>
    <d v="2017-10-17T00:00:00"/>
    <d v="2017-10-17T00:00:00"/>
    <m/>
    <m/>
    <m/>
    <n v="0"/>
    <m/>
    <m/>
    <n v="0"/>
    <n v="-673433.8428743222"/>
  </r>
  <r>
    <x v="4"/>
    <x v="3"/>
    <d v="2017-10-18T00:00:00"/>
    <d v="2017-10-18T00:00:00"/>
    <m/>
    <m/>
    <m/>
    <n v="0"/>
    <m/>
    <m/>
    <n v="0"/>
    <n v="-673433.8428743222"/>
  </r>
  <r>
    <x v="4"/>
    <x v="3"/>
    <d v="2017-10-19T00:00:00"/>
    <d v="2017-10-19T00:00:00"/>
    <m/>
    <m/>
    <m/>
    <n v="0"/>
    <m/>
    <m/>
    <n v="0"/>
    <n v="-673433.8428743222"/>
  </r>
  <r>
    <x v="4"/>
    <x v="3"/>
    <d v="2017-10-20T00:00:00"/>
    <d v="2017-10-20T00:00:00"/>
    <m/>
    <m/>
    <m/>
    <n v="0"/>
    <m/>
    <m/>
    <n v="0"/>
    <n v="-673433.8428743222"/>
  </r>
  <r>
    <x v="4"/>
    <x v="3"/>
    <d v="2017-10-21T00:00:00"/>
    <d v="2017-10-21T00:00:00"/>
    <m/>
    <m/>
    <m/>
    <n v="0"/>
    <m/>
    <m/>
    <n v="0"/>
    <n v="-673433.8428743222"/>
  </r>
  <r>
    <x v="4"/>
    <x v="3"/>
    <d v="2017-10-22T00:00:00"/>
    <d v="2017-10-22T00:00:00"/>
    <m/>
    <m/>
    <m/>
    <n v="0"/>
    <m/>
    <m/>
    <n v="0"/>
    <n v="-673433.8428743222"/>
  </r>
  <r>
    <x v="4"/>
    <x v="3"/>
    <d v="2017-10-23T00:00:00"/>
    <d v="2017-10-23T00:00:00"/>
    <m/>
    <m/>
    <m/>
    <n v="0"/>
    <m/>
    <m/>
    <n v="0"/>
    <n v="-673433.8428743222"/>
  </r>
  <r>
    <x v="4"/>
    <x v="3"/>
    <d v="2017-10-24T00:00:00"/>
    <d v="2017-10-24T00:00:00"/>
    <m/>
    <m/>
    <m/>
    <n v="0"/>
    <m/>
    <m/>
    <n v="0"/>
    <n v="-673433.8428743222"/>
  </r>
  <r>
    <x v="4"/>
    <x v="3"/>
    <d v="2017-10-25T00:00:00"/>
    <d v="2017-10-25T00:00:00"/>
    <m/>
    <m/>
    <m/>
    <n v="0"/>
    <m/>
    <m/>
    <n v="0"/>
    <n v="-673433.8428743222"/>
  </r>
  <r>
    <x v="4"/>
    <x v="3"/>
    <d v="2017-10-26T00:00:00"/>
    <d v="2017-10-26T00:00:00"/>
    <m/>
    <m/>
    <m/>
    <n v="0"/>
    <m/>
    <m/>
    <n v="0"/>
    <n v="-673433.8428743222"/>
  </r>
  <r>
    <x v="4"/>
    <x v="3"/>
    <d v="2017-10-27T00:00:00"/>
    <d v="2017-10-27T00:00:00"/>
    <m/>
    <m/>
    <m/>
    <n v="0"/>
    <m/>
    <m/>
    <n v="0"/>
    <n v="-673433.8428743222"/>
  </r>
  <r>
    <x v="4"/>
    <x v="3"/>
    <d v="2017-10-28T00:00:00"/>
    <d v="2017-10-28T00:00:00"/>
    <m/>
    <m/>
    <m/>
    <n v="0"/>
    <m/>
    <m/>
    <n v="0"/>
    <n v="-673433.8428743222"/>
  </r>
  <r>
    <x v="4"/>
    <x v="3"/>
    <d v="2017-10-29T00:00:00"/>
    <d v="2017-10-29T00:00:00"/>
    <m/>
    <m/>
    <m/>
    <n v="0"/>
    <m/>
    <m/>
    <n v="0"/>
    <n v="-673433.8428743222"/>
  </r>
  <r>
    <x v="4"/>
    <x v="3"/>
    <d v="2017-10-30T00:00:00"/>
    <d v="2017-10-30T00:00:00"/>
    <m/>
    <m/>
    <m/>
    <n v="0"/>
    <m/>
    <m/>
    <n v="0"/>
    <n v="-673433.8428743222"/>
  </r>
  <r>
    <x v="4"/>
    <x v="3"/>
    <d v="2017-10-31T00:00:00"/>
    <d v="2017-10-31T00:00:00"/>
    <m/>
    <m/>
    <m/>
    <n v="0"/>
    <m/>
    <m/>
    <n v="0"/>
    <n v="-673433.8428743222"/>
  </r>
  <r>
    <x v="4"/>
    <x v="4"/>
    <d v="2017-11-01T00:00:00"/>
    <d v="2017-11-01T00:00:00"/>
    <m/>
    <m/>
    <m/>
    <n v="0"/>
    <m/>
    <m/>
    <n v="0"/>
    <n v="-673433.8428743222"/>
  </r>
  <r>
    <x v="4"/>
    <x v="4"/>
    <d v="2017-11-02T00:00:00"/>
    <d v="2017-11-02T00:00:00"/>
    <m/>
    <m/>
    <m/>
    <n v="0"/>
    <m/>
    <m/>
    <n v="0"/>
    <n v="-673433.8428743222"/>
  </r>
  <r>
    <x v="4"/>
    <x v="4"/>
    <d v="2017-11-03T00:00:00"/>
    <d v="2017-11-03T00:00:00"/>
    <m/>
    <m/>
    <m/>
    <n v="0"/>
    <m/>
    <m/>
    <n v="0"/>
    <n v="-673433.8428743222"/>
  </r>
  <r>
    <x v="4"/>
    <x v="4"/>
    <d v="2017-11-04T00:00:00"/>
    <d v="2017-11-04T00:00:00"/>
    <m/>
    <m/>
    <m/>
    <n v="0"/>
    <m/>
    <m/>
    <n v="0"/>
    <n v="-673433.8428743222"/>
  </r>
  <r>
    <x v="4"/>
    <x v="4"/>
    <d v="2017-11-05T00:00:00"/>
    <d v="2017-11-05T00:00:00"/>
    <m/>
    <m/>
    <m/>
    <n v="0"/>
    <m/>
    <m/>
    <n v="0"/>
    <n v="-673433.8428743222"/>
  </r>
  <r>
    <x v="4"/>
    <x v="4"/>
    <d v="2017-11-06T00:00:00"/>
    <d v="2017-11-06T00:00:00"/>
    <m/>
    <m/>
    <m/>
    <n v="0"/>
    <m/>
    <m/>
    <n v="0"/>
    <n v="-673433.8428743222"/>
  </r>
  <r>
    <x v="4"/>
    <x v="4"/>
    <d v="2017-11-07T00:00:00"/>
    <d v="2017-11-07T00:00:00"/>
    <m/>
    <m/>
    <m/>
    <n v="0"/>
    <m/>
    <m/>
    <n v="0"/>
    <n v="-673433.8428743222"/>
  </r>
  <r>
    <x v="4"/>
    <x v="4"/>
    <d v="2017-11-08T00:00:00"/>
    <d v="2017-11-08T00:00:00"/>
    <m/>
    <m/>
    <m/>
    <n v="0"/>
    <m/>
    <m/>
    <n v="0"/>
    <n v="-673433.8428743222"/>
  </r>
  <r>
    <x v="4"/>
    <x v="4"/>
    <d v="2017-11-09T00:00:00"/>
    <d v="2017-11-09T00:00:00"/>
    <m/>
    <m/>
    <m/>
    <n v="0"/>
    <m/>
    <m/>
    <n v="0"/>
    <n v="-673433.8428743222"/>
  </r>
  <r>
    <x v="4"/>
    <x v="4"/>
    <d v="2017-11-10T00:00:00"/>
    <d v="2017-11-10T00:00:00"/>
    <m/>
    <m/>
    <m/>
    <n v="0"/>
    <m/>
    <m/>
    <n v="0"/>
    <n v="-673433.8428743222"/>
  </r>
  <r>
    <x v="4"/>
    <x v="4"/>
    <d v="2017-11-11T00:00:00"/>
    <d v="2017-11-11T00:00:00"/>
    <m/>
    <m/>
    <m/>
    <n v="0"/>
    <m/>
    <m/>
    <n v="0"/>
    <n v="-673433.8428743222"/>
  </r>
  <r>
    <x v="4"/>
    <x v="4"/>
    <d v="2017-11-12T00:00:00"/>
    <d v="2017-11-12T00:00:00"/>
    <m/>
    <m/>
    <m/>
    <n v="0"/>
    <m/>
    <m/>
    <n v="0"/>
    <n v="-673433.8428743222"/>
  </r>
  <r>
    <x v="4"/>
    <x v="4"/>
    <d v="2017-11-13T00:00:00"/>
    <d v="2017-11-13T00:00:00"/>
    <m/>
    <m/>
    <m/>
    <n v="0"/>
    <m/>
    <m/>
    <n v="0"/>
    <n v="-673433.8428743222"/>
  </r>
  <r>
    <x v="4"/>
    <x v="4"/>
    <d v="2017-11-14T00:00:00"/>
    <d v="2017-11-14T00:00:00"/>
    <m/>
    <m/>
    <m/>
    <n v="0"/>
    <m/>
    <m/>
    <n v="0"/>
    <n v="-673433.8428743222"/>
  </r>
  <r>
    <x v="4"/>
    <x v="4"/>
    <d v="2017-11-15T00:00:00"/>
    <d v="2017-11-15T00:00:00"/>
    <m/>
    <m/>
    <m/>
    <n v="0"/>
    <m/>
    <m/>
    <n v="0"/>
    <n v="-673433.8428743222"/>
  </r>
  <r>
    <x v="4"/>
    <x v="4"/>
    <d v="2017-11-16T00:00:00"/>
    <d v="2017-11-16T00:00:00"/>
    <m/>
    <m/>
    <m/>
    <n v="0"/>
    <m/>
    <m/>
    <n v="0"/>
    <n v="-673433.8428743222"/>
  </r>
  <r>
    <x v="4"/>
    <x v="4"/>
    <d v="2017-11-17T00:00:00"/>
    <d v="2017-11-17T00:00:00"/>
    <m/>
    <m/>
    <m/>
    <n v="0"/>
    <m/>
    <m/>
    <n v="0"/>
    <n v="-673433.8428743222"/>
  </r>
  <r>
    <x v="4"/>
    <x v="4"/>
    <d v="2017-11-18T00:00:00"/>
    <d v="2017-11-18T00:00:00"/>
    <m/>
    <m/>
    <m/>
    <n v="0"/>
    <m/>
    <m/>
    <n v="0"/>
    <n v="-673433.8428743222"/>
  </r>
  <r>
    <x v="4"/>
    <x v="4"/>
    <d v="2017-11-19T00:00:00"/>
    <d v="2017-11-19T00:00:00"/>
    <m/>
    <m/>
    <m/>
    <n v="0"/>
    <m/>
    <m/>
    <n v="0"/>
    <n v="-673433.8428743222"/>
  </r>
  <r>
    <x v="4"/>
    <x v="4"/>
    <d v="2017-11-20T00:00:00"/>
    <d v="2017-11-20T00:00:00"/>
    <m/>
    <m/>
    <m/>
    <n v="0"/>
    <m/>
    <m/>
    <n v="0"/>
    <n v="-673433.8428743222"/>
  </r>
  <r>
    <x v="4"/>
    <x v="4"/>
    <d v="2017-11-21T00:00:00"/>
    <d v="2017-11-21T00:00:00"/>
    <m/>
    <m/>
    <m/>
    <n v="0"/>
    <m/>
    <m/>
    <n v="0"/>
    <n v="-673433.8428743222"/>
  </r>
  <r>
    <x v="4"/>
    <x v="4"/>
    <d v="2017-11-22T00:00:00"/>
    <d v="2017-11-22T00:00:00"/>
    <m/>
    <m/>
    <m/>
    <n v="0"/>
    <m/>
    <m/>
    <n v="0"/>
    <n v="-673433.8428743222"/>
  </r>
  <r>
    <x v="4"/>
    <x v="4"/>
    <d v="2017-11-23T00:00:00"/>
    <d v="2017-11-23T00:00:00"/>
    <m/>
    <m/>
    <m/>
    <n v="0"/>
    <m/>
    <m/>
    <n v="0"/>
    <n v="-673433.8428743222"/>
  </r>
  <r>
    <x v="4"/>
    <x v="4"/>
    <d v="2017-11-24T00:00:00"/>
    <d v="2017-11-24T00:00:00"/>
    <m/>
    <m/>
    <m/>
    <n v="0"/>
    <m/>
    <m/>
    <n v="0"/>
    <n v="-673433.8428743222"/>
  </r>
  <r>
    <x v="4"/>
    <x v="4"/>
    <d v="2017-11-25T00:00:00"/>
    <d v="2017-11-25T00:00:00"/>
    <m/>
    <m/>
    <m/>
    <n v="0"/>
    <m/>
    <m/>
    <n v="0"/>
    <n v="-673433.8428743222"/>
  </r>
  <r>
    <x v="4"/>
    <x v="4"/>
    <d v="2017-11-26T00:00:00"/>
    <d v="2017-11-26T00:00:00"/>
    <m/>
    <m/>
    <m/>
    <n v="0"/>
    <m/>
    <m/>
    <n v="0"/>
    <n v="-673433.8428743222"/>
  </r>
  <r>
    <x v="4"/>
    <x v="4"/>
    <d v="2017-11-27T00:00:00"/>
    <d v="2017-11-27T00:00:00"/>
    <m/>
    <m/>
    <m/>
    <n v="0"/>
    <m/>
    <m/>
    <n v="0"/>
    <n v="-673433.8428743222"/>
  </r>
  <r>
    <x v="4"/>
    <x v="4"/>
    <d v="2017-11-28T00:00:00"/>
    <d v="2017-11-28T00:00:00"/>
    <m/>
    <m/>
    <m/>
    <n v="0"/>
    <m/>
    <m/>
    <n v="0"/>
    <n v="-673433.8428743222"/>
  </r>
  <r>
    <x v="4"/>
    <x v="4"/>
    <d v="2017-11-29T00:00:00"/>
    <d v="2017-11-29T00:00:00"/>
    <m/>
    <m/>
    <m/>
    <n v="0"/>
    <m/>
    <m/>
    <n v="0"/>
    <n v="-673433.8428743222"/>
  </r>
  <r>
    <x v="4"/>
    <x v="4"/>
    <d v="2017-11-30T00:00:00"/>
    <d v="2017-11-30T00:00:00"/>
    <m/>
    <m/>
    <m/>
    <n v="0"/>
    <m/>
    <m/>
    <n v="0"/>
    <n v="-673433.8428743222"/>
  </r>
  <r>
    <x v="4"/>
    <x v="5"/>
    <d v="2017-12-01T00:00:00"/>
    <d v="2017-12-01T00:00:00"/>
    <m/>
    <m/>
    <m/>
    <n v="0"/>
    <m/>
    <m/>
    <n v="0"/>
    <n v="-673433.8428743222"/>
  </r>
  <r>
    <x v="4"/>
    <x v="5"/>
    <d v="2017-12-02T00:00:00"/>
    <d v="2017-12-02T00:00:00"/>
    <m/>
    <m/>
    <m/>
    <n v="0"/>
    <m/>
    <m/>
    <n v="0"/>
    <n v="-673433.8428743222"/>
  </r>
  <r>
    <x v="4"/>
    <x v="5"/>
    <d v="2017-12-03T00:00:00"/>
    <d v="2017-12-03T00:00:00"/>
    <m/>
    <m/>
    <m/>
    <n v="0"/>
    <m/>
    <m/>
    <n v="0"/>
    <n v="-673433.8428743222"/>
  </r>
  <r>
    <x v="4"/>
    <x v="5"/>
    <d v="2017-12-04T00:00:00"/>
    <d v="2017-12-04T00:00:00"/>
    <m/>
    <m/>
    <m/>
    <n v="0"/>
    <m/>
    <m/>
    <n v="0"/>
    <n v="-673433.8428743222"/>
  </r>
  <r>
    <x v="4"/>
    <x v="5"/>
    <d v="2017-12-05T00:00:00"/>
    <d v="2017-12-05T00:00:00"/>
    <m/>
    <m/>
    <m/>
    <n v="0"/>
    <m/>
    <m/>
    <n v="0"/>
    <n v="-673433.8428743222"/>
  </r>
  <r>
    <x v="4"/>
    <x v="5"/>
    <d v="2017-12-06T00:00:00"/>
    <d v="2017-12-06T00:00:00"/>
    <m/>
    <m/>
    <m/>
    <n v="0"/>
    <m/>
    <m/>
    <n v="0"/>
    <n v="-673433.8428743222"/>
  </r>
  <r>
    <x v="4"/>
    <x v="5"/>
    <d v="2017-12-07T00:00:00"/>
    <d v="2017-12-07T00:00:00"/>
    <m/>
    <m/>
    <m/>
    <n v="0"/>
    <m/>
    <m/>
    <n v="0"/>
    <n v="-673433.8428743222"/>
  </r>
  <r>
    <x v="4"/>
    <x v="5"/>
    <d v="2017-12-08T00:00:00"/>
    <d v="2017-12-08T00:00:00"/>
    <m/>
    <m/>
    <m/>
    <n v="0"/>
    <m/>
    <m/>
    <n v="0"/>
    <n v="-673433.8428743222"/>
  </r>
  <r>
    <x v="4"/>
    <x v="5"/>
    <d v="2017-12-09T00:00:00"/>
    <d v="2017-12-09T00:00:00"/>
    <m/>
    <m/>
    <m/>
    <n v="0"/>
    <m/>
    <m/>
    <n v="0"/>
    <n v="-673433.8428743222"/>
  </r>
  <r>
    <x v="4"/>
    <x v="5"/>
    <d v="2017-12-10T00:00:00"/>
    <d v="2017-12-10T00:00:00"/>
    <m/>
    <m/>
    <m/>
    <n v="0"/>
    <m/>
    <m/>
    <n v="0"/>
    <n v="-673433.8428743222"/>
  </r>
  <r>
    <x v="4"/>
    <x v="5"/>
    <d v="2017-12-11T00:00:00"/>
    <d v="2017-12-11T00:00:00"/>
    <m/>
    <m/>
    <m/>
    <n v="0"/>
    <m/>
    <m/>
    <n v="0"/>
    <n v="-673433.8428743222"/>
  </r>
  <r>
    <x v="4"/>
    <x v="5"/>
    <d v="2017-12-12T00:00:00"/>
    <d v="2017-12-12T00:00:00"/>
    <m/>
    <m/>
    <m/>
    <n v="0"/>
    <m/>
    <m/>
    <n v="0"/>
    <n v="-673433.8428743222"/>
  </r>
  <r>
    <x v="4"/>
    <x v="5"/>
    <d v="2017-12-13T00:00:00"/>
    <d v="2017-12-13T00:00:00"/>
    <m/>
    <m/>
    <m/>
    <n v="0"/>
    <m/>
    <m/>
    <n v="0"/>
    <n v="-673433.8428743222"/>
  </r>
  <r>
    <x v="4"/>
    <x v="5"/>
    <d v="2017-12-14T00:00:00"/>
    <d v="2017-12-14T00:00:00"/>
    <m/>
    <m/>
    <m/>
    <n v="0"/>
    <m/>
    <m/>
    <n v="0"/>
    <n v="-673433.8428743222"/>
  </r>
  <r>
    <x v="4"/>
    <x v="5"/>
    <d v="2017-12-15T00:00:00"/>
    <d v="2017-12-15T00:00:00"/>
    <m/>
    <m/>
    <m/>
    <n v="0"/>
    <m/>
    <m/>
    <n v="0"/>
    <n v="-673433.8428743222"/>
  </r>
  <r>
    <x v="4"/>
    <x v="5"/>
    <d v="2017-12-16T00:00:00"/>
    <d v="2017-12-16T00:00:00"/>
    <m/>
    <m/>
    <m/>
    <n v="0"/>
    <m/>
    <m/>
    <n v="0"/>
    <n v="-673433.8428743222"/>
  </r>
  <r>
    <x v="4"/>
    <x v="5"/>
    <d v="2017-12-17T00:00:00"/>
    <d v="2017-12-17T00:00:00"/>
    <m/>
    <m/>
    <m/>
    <n v="0"/>
    <m/>
    <m/>
    <n v="0"/>
    <n v="-673433.8428743222"/>
  </r>
  <r>
    <x v="4"/>
    <x v="5"/>
    <d v="2017-12-18T00:00:00"/>
    <d v="2017-12-18T00:00:00"/>
    <m/>
    <m/>
    <m/>
    <n v="0"/>
    <m/>
    <m/>
    <n v="0"/>
    <n v="-673433.8428743222"/>
  </r>
  <r>
    <x v="4"/>
    <x v="5"/>
    <d v="2017-12-19T00:00:00"/>
    <d v="2017-12-19T00:00:00"/>
    <m/>
    <m/>
    <m/>
    <n v="0"/>
    <m/>
    <m/>
    <n v="0"/>
    <n v="-673433.8428743222"/>
  </r>
  <r>
    <x v="4"/>
    <x v="5"/>
    <d v="2017-12-20T00:00:00"/>
    <d v="2017-12-20T00:00:00"/>
    <m/>
    <m/>
    <m/>
    <n v="0"/>
    <m/>
    <m/>
    <n v="0"/>
    <n v="-673433.8428743222"/>
  </r>
  <r>
    <x v="4"/>
    <x v="5"/>
    <d v="2017-12-21T00:00:00"/>
    <d v="2017-12-21T00:00:00"/>
    <m/>
    <m/>
    <m/>
    <n v="0"/>
    <m/>
    <m/>
    <n v="0"/>
    <n v="-673433.8428743222"/>
  </r>
  <r>
    <x v="4"/>
    <x v="5"/>
    <d v="2017-12-22T00:00:00"/>
    <d v="2017-12-22T00:00:00"/>
    <m/>
    <m/>
    <m/>
    <n v="0"/>
    <m/>
    <m/>
    <n v="0"/>
    <n v="-673433.8428743222"/>
  </r>
  <r>
    <x v="4"/>
    <x v="5"/>
    <d v="2017-12-23T00:00:00"/>
    <d v="2017-12-23T00:00:00"/>
    <m/>
    <m/>
    <m/>
    <n v="0"/>
    <m/>
    <m/>
    <n v="0"/>
    <n v="-673433.8428743222"/>
  </r>
  <r>
    <x v="4"/>
    <x v="5"/>
    <d v="2017-12-24T00:00:00"/>
    <d v="2017-12-24T00:00:00"/>
    <m/>
    <m/>
    <m/>
    <n v="0"/>
    <m/>
    <m/>
    <n v="0"/>
    <n v="-673433.8428743222"/>
  </r>
  <r>
    <x v="4"/>
    <x v="5"/>
    <d v="2017-12-25T00:00:00"/>
    <d v="2017-12-25T00:00:00"/>
    <m/>
    <m/>
    <m/>
    <n v="0"/>
    <m/>
    <m/>
    <n v="0"/>
    <n v="-673433.8428743222"/>
  </r>
  <r>
    <x v="4"/>
    <x v="5"/>
    <d v="2017-12-26T00:00:00"/>
    <d v="2017-12-26T00:00:00"/>
    <m/>
    <m/>
    <m/>
    <n v="0"/>
    <m/>
    <m/>
    <n v="0"/>
    <n v="-673433.8428743222"/>
  </r>
  <r>
    <x v="4"/>
    <x v="5"/>
    <d v="2017-12-27T00:00:00"/>
    <d v="2017-12-27T00:00:00"/>
    <m/>
    <m/>
    <m/>
    <n v="0"/>
    <m/>
    <m/>
    <n v="0"/>
    <n v="-673433.8428743222"/>
  </r>
  <r>
    <x v="4"/>
    <x v="5"/>
    <d v="2017-12-28T00:00:00"/>
    <d v="2017-12-28T00:00:00"/>
    <m/>
    <m/>
    <m/>
    <n v="0"/>
    <m/>
    <m/>
    <n v="0"/>
    <n v="-673433.8428743222"/>
  </r>
  <r>
    <x v="4"/>
    <x v="5"/>
    <d v="2017-12-29T00:00:00"/>
    <d v="2017-12-29T00:00:00"/>
    <m/>
    <m/>
    <m/>
    <n v="0"/>
    <m/>
    <m/>
    <n v="0"/>
    <n v="-673433.8428743222"/>
  </r>
  <r>
    <x v="4"/>
    <x v="5"/>
    <d v="2017-12-30T00:00:00"/>
    <d v="2017-12-30T00:00:00"/>
    <m/>
    <m/>
    <m/>
    <n v="0"/>
    <m/>
    <m/>
    <n v="0"/>
    <n v="-673433.8428743222"/>
  </r>
  <r>
    <x v="4"/>
    <x v="5"/>
    <d v="2017-12-31T00:00:00"/>
    <d v="2017-12-31T00:00:00"/>
    <m/>
    <m/>
    <m/>
    <n v="0"/>
    <m/>
    <m/>
    <n v="0"/>
    <n v="-673433.8428743222"/>
  </r>
  <r>
    <x v="5"/>
    <x v="6"/>
    <d v="2018-01-01T00:00:00"/>
    <d v="2018-01-01T00:00:00"/>
    <m/>
    <m/>
    <m/>
    <n v="0"/>
    <m/>
    <m/>
    <n v="0"/>
    <n v="-673433.8428743222"/>
  </r>
  <r>
    <x v="5"/>
    <x v="6"/>
    <d v="2018-01-02T00:00:00"/>
    <d v="2018-01-02T00:00:00"/>
    <m/>
    <m/>
    <m/>
    <n v="0"/>
    <m/>
    <m/>
    <n v="0"/>
    <n v="-673433.8428743222"/>
  </r>
  <r>
    <x v="5"/>
    <x v="6"/>
    <d v="2018-01-03T00:00:00"/>
    <d v="2018-01-03T00:00:00"/>
    <m/>
    <m/>
    <m/>
    <n v="0"/>
    <m/>
    <m/>
    <n v="0"/>
    <n v="-673433.8428743222"/>
  </r>
  <r>
    <x v="5"/>
    <x v="6"/>
    <d v="2018-01-04T00:00:00"/>
    <d v="2018-01-04T00:00:00"/>
    <m/>
    <m/>
    <m/>
    <n v="0"/>
    <m/>
    <m/>
    <n v="0"/>
    <n v="-673433.8428743222"/>
  </r>
  <r>
    <x v="5"/>
    <x v="6"/>
    <d v="2018-01-05T00:00:00"/>
    <d v="2018-01-05T00:00:00"/>
    <m/>
    <m/>
    <m/>
    <n v="0"/>
    <m/>
    <m/>
    <n v="0"/>
    <n v="-673433.8428743222"/>
  </r>
  <r>
    <x v="5"/>
    <x v="6"/>
    <d v="2018-01-06T00:00:00"/>
    <d v="2018-01-06T00:00:00"/>
    <m/>
    <m/>
    <m/>
    <n v="0"/>
    <m/>
    <m/>
    <n v="0"/>
    <n v="-673433.8428743222"/>
  </r>
  <r>
    <x v="5"/>
    <x v="6"/>
    <d v="2018-01-07T00:00:00"/>
    <d v="2018-01-07T00:00:00"/>
    <m/>
    <m/>
    <m/>
    <n v="0"/>
    <m/>
    <m/>
    <n v="0"/>
    <n v="-673433.8428743222"/>
  </r>
  <r>
    <x v="5"/>
    <x v="6"/>
    <d v="2018-01-08T00:00:00"/>
    <d v="2018-01-08T00:00:00"/>
    <m/>
    <m/>
    <m/>
    <n v="0"/>
    <m/>
    <m/>
    <n v="0"/>
    <n v="-673433.8428743222"/>
  </r>
  <r>
    <x v="5"/>
    <x v="6"/>
    <d v="2018-01-09T00:00:00"/>
    <d v="2018-01-09T00:00:00"/>
    <m/>
    <m/>
    <m/>
    <n v="0"/>
    <m/>
    <m/>
    <n v="0"/>
    <n v="-673433.8428743222"/>
  </r>
  <r>
    <x v="5"/>
    <x v="6"/>
    <d v="2018-01-10T00:00:00"/>
    <d v="2018-01-10T00:00:00"/>
    <m/>
    <m/>
    <m/>
    <n v="0"/>
    <m/>
    <m/>
    <n v="0"/>
    <n v="-673433.8428743222"/>
  </r>
  <r>
    <x v="5"/>
    <x v="6"/>
    <d v="2018-01-11T00:00:00"/>
    <d v="2018-01-11T00:00:00"/>
    <m/>
    <m/>
    <m/>
    <n v="0"/>
    <m/>
    <m/>
    <n v="0"/>
    <n v="-673433.8428743222"/>
  </r>
  <r>
    <x v="5"/>
    <x v="6"/>
    <d v="2018-01-12T00:00:00"/>
    <d v="2018-01-12T00:00:00"/>
    <m/>
    <m/>
    <m/>
    <n v="0"/>
    <m/>
    <m/>
    <n v="0"/>
    <n v="-673433.8428743222"/>
  </r>
  <r>
    <x v="5"/>
    <x v="6"/>
    <d v="2018-01-13T00:00:00"/>
    <d v="2018-01-13T00:00:00"/>
    <m/>
    <m/>
    <m/>
    <n v="0"/>
    <m/>
    <m/>
    <n v="0"/>
    <n v="-673433.8428743222"/>
  </r>
  <r>
    <x v="5"/>
    <x v="6"/>
    <d v="2018-01-14T00:00:00"/>
    <d v="2018-01-14T00:00:00"/>
    <m/>
    <m/>
    <m/>
    <n v="0"/>
    <m/>
    <m/>
    <n v="0"/>
    <n v="-673433.8428743222"/>
  </r>
  <r>
    <x v="5"/>
    <x v="6"/>
    <d v="2018-01-15T00:00:00"/>
    <d v="2018-01-15T00:00:00"/>
    <m/>
    <m/>
    <m/>
    <n v="0"/>
    <m/>
    <m/>
    <n v="0"/>
    <n v="-673433.8428743222"/>
  </r>
  <r>
    <x v="5"/>
    <x v="6"/>
    <d v="2018-01-16T00:00:00"/>
    <d v="2018-01-16T00:00:00"/>
    <m/>
    <m/>
    <m/>
    <n v="0"/>
    <m/>
    <m/>
    <n v="0"/>
    <n v="-673433.8428743222"/>
  </r>
  <r>
    <x v="5"/>
    <x v="6"/>
    <d v="2018-01-17T00:00:00"/>
    <d v="2018-01-17T00:00:00"/>
    <m/>
    <m/>
    <m/>
    <n v="0"/>
    <m/>
    <m/>
    <n v="0"/>
    <n v="-673433.8428743222"/>
  </r>
  <r>
    <x v="5"/>
    <x v="6"/>
    <d v="2018-01-18T00:00:00"/>
    <d v="2018-01-18T00:00:00"/>
    <m/>
    <m/>
    <m/>
    <n v="0"/>
    <m/>
    <m/>
    <n v="0"/>
    <n v="-673433.8428743222"/>
  </r>
  <r>
    <x v="5"/>
    <x v="6"/>
    <d v="2018-01-19T00:00:00"/>
    <d v="2018-01-19T00:00:00"/>
    <m/>
    <m/>
    <m/>
    <n v="0"/>
    <m/>
    <m/>
    <n v="0"/>
    <n v="-673433.8428743222"/>
  </r>
  <r>
    <x v="5"/>
    <x v="6"/>
    <d v="2018-01-20T00:00:00"/>
    <d v="2018-01-20T00:00:00"/>
    <m/>
    <m/>
    <m/>
    <n v="0"/>
    <m/>
    <m/>
    <n v="0"/>
    <n v="-673433.8428743222"/>
  </r>
  <r>
    <x v="5"/>
    <x v="6"/>
    <d v="2018-01-21T00:00:00"/>
    <d v="2018-01-21T00:00:00"/>
    <m/>
    <m/>
    <m/>
    <n v="0"/>
    <m/>
    <m/>
    <n v="0"/>
    <n v="-673433.8428743222"/>
  </r>
  <r>
    <x v="5"/>
    <x v="6"/>
    <d v="2018-01-22T00:00:00"/>
    <d v="2018-01-22T00:00:00"/>
    <m/>
    <m/>
    <m/>
    <n v="0"/>
    <m/>
    <m/>
    <n v="0"/>
    <n v="-673433.8428743222"/>
  </r>
  <r>
    <x v="5"/>
    <x v="6"/>
    <d v="2018-01-23T00:00:00"/>
    <d v="2018-01-23T00:00:00"/>
    <m/>
    <m/>
    <m/>
    <n v="0"/>
    <m/>
    <m/>
    <n v="0"/>
    <n v="-673433.8428743222"/>
  </r>
  <r>
    <x v="5"/>
    <x v="6"/>
    <d v="2018-01-24T00:00:00"/>
    <d v="2018-01-24T00:00:00"/>
    <m/>
    <m/>
    <m/>
    <n v="0"/>
    <m/>
    <m/>
    <n v="0"/>
    <n v="-673433.8428743222"/>
  </r>
  <r>
    <x v="5"/>
    <x v="6"/>
    <d v="2018-01-25T00:00:00"/>
    <d v="2018-01-25T00:00:00"/>
    <m/>
    <m/>
    <m/>
    <n v="0"/>
    <m/>
    <m/>
    <n v="0"/>
    <n v="-673433.8428743222"/>
  </r>
  <r>
    <x v="5"/>
    <x v="6"/>
    <d v="2018-01-26T00:00:00"/>
    <d v="2018-01-26T00:00:00"/>
    <m/>
    <m/>
    <m/>
    <n v="0"/>
    <m/>
    <m/>
    <n v="0"/>
    <n v="-673433.8428743222"/>
  </r>
  <r>
    <x v="5"/>
    <x v="6"/>
    <d v="2018-01-27T00:00:00"/>
    <d v="2018-01-27T00:00:00"/>
    <m/>
    <m/>
    <m/>
    <n v="0"/>
    <m/>
    <m/>
    <n v="0"/>
    <n v="-673433.8428743222"/>
  </r>
  <r>
    <x v="5"/>
    <x v="6"/>
    <d v="2018-01-28T00:00:00"/>
    <d v="2018-01-28T00:00:00"/>
    <m/>
    <m/>
    <m/>
    <n v="0"/>
    <m/>
    <m/>
    <n v="0"/>
    <n v="-673433.8428743222"/>
  </r>
  <r>
    <x v="5"/>
    <x v="6"/>
    <d v="2018-01-29T00:00:00"/>
    <d v="2018-01-29T00:00:00"/>
    <m/>
    <m/>
    <m/>
    <n v="0"/>
    <m/>
    <m/>
    <n v="0"/>
    <n v="-673433.8428743222"/>
  </r>
  <r>
    <x v="5"/>
    <x v="6"/>
    <d v="2018-01-30T00:00:00"/>
    <d v="2018-01-30T00:00:00"/>
    <m/>
    <m/>
    <m/>
    <n v="0"/>
    <m/>
    <m/>
    <n v="0"/>
    <n v="-673433.8428743222"/>
  </r>
  <r>
    <x v="5"/>
    <x v="6"/>
    <d v="2018-01-31T00:00:00"/>
    <d v="2018-01-31T00:00:00"/>
    <m/>
    <m/>
    <m/>
    <n v="0"/>
    <m/>
    <m/>
    <n v="0"/>
    <n v="-673433.8428743222"/>
  </r>
  <r>
    <x v="5"/>
    <x v="7"/>
    <d v="2018-02-01T00:00:00"/>
    <d v="2018-02-01T00:00:00"/>
    <m/>
    <m/>
    <m/>
    <n v="0"/>
    <m/>
    <m/>
    <n v="0"/>
    <n v="-673433.8428743222"/>
  </r>
  <r>
    <x v="5"/>
    <x v="7"/>
    <d v="2018-02-02T00:00:00"/>
    <d v="2018-02-02T00:00:00"/>
    <m/>
    <m/>
    <m/>
    <n v="0"/>
    <m/>
    <m/>
    <n v="0"/>
    <n v="-673433.8428743222"/>
  </r>
  <r>
    <x v="5"/>
    <x v="7"/>
    <d v="2018-02-03T00:00:00"/>
    <d v="2018-02-03T00:00:00"/>
    <m/>
    <m/>
    <m/>
    <n v="0"/>
    <m/>
    <m/>
    <n v="0"/>
    <n v="-673433.8428743222"/>
  </r>
  <r>
    <x v="5"/>
    <x v="7"/>
    <d v="2018-02-04T00:00:00"/>
    <d v="2018-02-04T00:00:00"/>
    <m/>
    <m/>
    <m/>
    <n v="0"/>
    <m/>
    <m/>
    <n v="0"/>
    <n v="-673433.8428743222"/>
  </r>
  <r>
    <x v="5"/>
    <x v="7"/>
    <d v="2018-02-05T00:00:00"/>
    <d v="2018-02-05T00:00:00"/>
    <m/>
    <m/>
    <m/>
    <n v="0"/>
    <m/>
    <m/>
    <n v="0"/>
    <n v="-673433.8428743222"/>
  </r>
  <r>
    <x v="5"/>
    <x v="7"/>
    <d v="2018-02-06T00:00:00"/>
    <d v="2018-02-06T00:00:00"/>
    <m/>
    <m/>
    <m/>
    <n v="0"/>
    <m/>
    <m/>
    <n v="0"/>
    <n v="-673433.8428743222"/>
  </r>
  <r>
    <x v="5"/>
    <x v="7"/>
    <d v="2018-02-07T00:00:00"/>
    <d v="2018-02-07T00:00:00"/>
    <m/>
    <m/>
    <m/>
    <n v="0"/>
    <m/>
    <m/>
    <n v="0"/>
    <n v="-673433.8428743222"/>
  </r>
  <r>
    <x v="5"/>
    <x v="7"/>
    <d v="2018-02-08T00:00:00"/>
    <d v="2018-02-08T00:00:00"/>
    <m/>
    <m/>
    <m/>
    <n v="0"/>
    <m/>
    <m/>
    <n v="0"/>
    <n v="-673433.8428743222"/>
  </r>
  <r>
    <x v="5"/>
    <x v="7"/>
    <d v="2018-02-09T00:00:00"/>
    <d v="2018-02-09T00:00:00"/>
    <m/>
    <m/>
    <m/>
    <n v="0"/>
    <m/>
    <m/>
    <n v="0"/>
    <n v="-673433.8428743222"/>
  </r>
  <r>
    <x v="5"/>
    <x v="7"/>
    <d v="2018-02-10T00:00:00"/>
    <d v="2018-02-10T00:00:00"/>
    <m/>
    <m/>
    <m/>
    <n v="0"/>
    <m/>
    <m/>
    <n v="0"/>
    <n v="-673433.8428743222"/>
  </r>
  <r>
    <x v="5"/>
    <x v="7"/>
    <d v="2018-02-11T00:00:00"/>
    <d v="2018-02-11T00:00:00"/>
    <m/>
    <m/>
    <m/>
    <n v="0"/>
    <m/>
    <m/>
    <n v="0"/>
    <n v="-673433.8428743222"/>
  </r>
  <r>
    <x v="5"/>
    <x v="7"/>
    <d v="2018-02-12T00:00:00"/>
    <d v="2018-02-12T00:00:00"/>
    <m/>
    <m/>
    <m/>
    <n v="0"/>
    <m/>
    <m/>
    <n v="0"/>
    <n v="-673433.8428743222"/>
  </r>
  <r>
    <x v="5"/>
    <x v="7"/>
    <d v="2018-02-13T00:00:00"/>
    <d v="2018-02-13T00:00:00"/>
    <m/>
    <m/>
    <m/>
    <n v="0"/>
    <m/>
    <m/>
    <n v="0"/>
    <n v="-673433.8428743222"/>
  </r>
  <r>
    <x v="5"/>
    <x v="7"/>
    <d v="2018-02-14T00:00:00"/>
    <d v="2018-02-14T00:00:00"/>
    <m/>
    <m/>
    <m/>
    <n v="0"/>
    <m/>
    <m/>
    <n v="0"/>
    <n v="-673433.8428743222"/>
  </r>
  <r>
    <x v="5"/>
    <x v="7"/>
    <d v="2018-02-15T00:00:00"/>
    <d v="2018-02-15T00:00:00"/>
    <m/>
    <m/>
    <m/>
    <n v="0"/>
    <m/>
    <m/>
    <n v="0"/>
    <n v="-673433.8428743222"/>
  </r>
  <r>
    <x v="5"/>
    <x v="7"/>
    <d v="2018-02-16T00:00:00"/>
    <d v="2018-02-16T00:00:00"/>
    <m/>
    <m/>
    <m/>
    <n v="0"/>
    <m/>
    <m/>
    <n v="0"/>
    <n v="-673433.8428743222"/>
  </r>
  <r>
    <x v="5"/>
    <x v="7"/>
    <d v="2018-02-17T00:00:00"/>
    <d v="2018-02-17T00:00:00"/>
    <m/>
    <m/>
    <m/>
    <n v="0"/>
    <m/>
    <m/>
    <n v="0"/>
    <n v="-673433.8428743222"/>
  </r>
  <r>
    <x v="5"/>
    <x v="7"/>
    <d v="2018-02-18T00:00:00"/>
    <d v="2018-02-18T00:00:00"/>
    <m/>
    <m/>
    <m/>
    <n v="0"/>
    <m/>
    <m/>
    <n v="0"/>
    <n v="-673433.8428743222"/>
  </r>
  <r>
    <x v="5"/>
    <x v="7"/>
    <d v="2018-02-19T00:00:00"/>
    <d v="2018-02-19T00:00:00"/>
    <m/>
    <m/>
    <m/>
    <n v="0"/>
    <m/>
    <m/>
    <n v="0"/>
    <n v="-673433.8428743222"/>
  </r>
  <r>
    <x v="5"/>
    <x v="7"/>
    <d v="2018-02-20T00:00:00"/>
    <d v="2018-02-20T00:00:00"/>
    <m/>
    <m/>
    <m/>
    <n v="0"/>
    <m/>
    <m/>
    <n v="0"/>
    <n v="-673433.8428743222"/>
  </r>
  <r>
    <x v="5"/>
    <x v="7"/>
    <d v="2018-02-21T00:00:00"/>
    <d v="2018-02-21T00:00:00"/>
    <m/>
    <m/>
    <m/>
    <n v="0"/>
    <m/>
    <m/>
    <n v="0"/>
    <n v="-673433.8428743222"/>
  </r>
  <r>
    <x v="5"/>
    <x v="7"/>
    <d v="2018-02-22T00:00:00"/>
    <d v="2018-02-22T00:00:00"/>
    <m/>
    <m/>
    <m/>
    <n v="0"/>
    <m/>
    <m/>
    <n v="0"/>
    <n v="-673433.8428743222"/>
  </r>
  <r>
    <x v="5"/>
    <x v="7"/>
    <d v="2018-02-23T00:00:00"/>
    <d v="2018-02-23T00:00:00"/>
    <m/>
    <m/>
    <m/>
    <n v="0"/>
    <m/>
    <m/>
    <n v="0"/>
    <n v="-673433.8428743222"/>
  </r>
  <r>
    <x v="5"/>
    <x v="7"/>
    <d v="2018-02-24T00:00:00"/>
    <d v="2018-02-24T00:00:00"/>
    <m/>
    <m/>
    <m/>
    <n v="0"/>
    <m/>
    <m/>
    <n v="0"/>
    <n v="-673433.8428743222"/>
  </r>
  <r>
    <x v="5"/>
    <x v="7"/>
    <d v="2018-02-25T00:00:00"/>
    <d v="2018-02-25T00:00:00"/>
    <m/>
    <m/>
    <m/>
    <n v="0"/>
    <m/>
    <m/>
    <n v="0"/>
    <n v="-673433.8428743222"/>
  </r>
  <r>
    <x v="5"/>
    <x v="7"/>
    <d v="2018-02-26T00:00:00"/>
    <d v="2018-02-26T00:00:00"/>
    <m/>
    <m/>
    <m/>
    <n v="0"/>
    <m/>
    <m/>
    <n v="0"/>
    <n v="-673433.8428743222"/>
  </r>
  <r>
    <x v="5"/>
    <x v="7"/>
    <d v="2018-02-27T00:00:00"/>
    <d v="2018-02-27T00:00:00"/>
    <m/>
    <m/>
    <m/>
    <n v="0"/>
    <m/>
    <m/>
    <n v="0"/>
    <n v="-673433.8428743222"/>
  </r>
  <r>
    <x v="5"/>
    <x v="7"/>
    <d v="2018-02-28T00:00:00"/>
    <d v="2018-02-28T00:00:00"/>
    <m/>
    <m/>
    <m/>
    <n v="0"/>
    <m/>
    <m/>
    <n v="0"/>
    <n v="-673433.8428743222"/>
  </r>
  <r>
    <x v="5"/>
    <x v="8"/>
    <d v="2018-03-01T00:00:00"/>
    <d v="2018-03-01T00:00:00"/>
    <m/>
    <m/>
    <m/>
    <n v="0"/>
    <m/>
    <m/>
    <n v="0"/>
    <n v="-673433.8428743222"/>
  </r>
  <r>
    <x v="5"/>
    <x v="8"/>
    <d v="2018-03-02T00:00:00"/>
    <d v="2018-03-02T00:00:00"/>
    <m/>
    <m/>
    <m/>
    <n v="0"/>
    <m/>
    <m/>
    <n v="0"/>
    <n v="-673433.8428743222"/>
  </r>
  <r>
    <x v="5"/>
    <x v="8"/>
    <d v="2018-03-03T00:00:00"/>
    <d v="2018-03-03T00:00:00"/>
    <m/>
    <m/>
    <m/>
    <n v="0"/>
    <m/>
    <m/>
    <n v="0"/>
    <n v="-673433.8428743222"/>
  </r>
  <r>
    <x v="5"/>
    <x v="8"/>
    <d v="2018-03-04T00:00:00"/>
    <d v="2018-03-04T00:00:00"/>
    <m/>
    <m/>
    <m/>
    <n v="0"/>
    <m/>
    <m/>
    <n v="0"/>
    <n v="-673433.8428743222"/>
  </r>
  <r>
    <x v="5"/>
    <x v="8"/>
    <d v="2018-03-05T00:00:00"/>
    <d v="2018-03-05T00:00:00"/>
    <m/>
    <m/>
    <m/>
    <n v="0"/>
    <m/>
    <m/>
    <n v="0"/>
    <n v="-673433.8428743222"/>
  </r>
  <r>
    <x v="5"/>
    <x v="8"/>
    <d v="2018-03-06T00:00:00"/>
    <d v="2018-03-06T00:00:00"/>
    <m/>
    <m/>
    <m/>
    <n v="0"/>
    <m/>
    <m/>
    <n v="0"/>
    <n v="-673433.8428743222"/>
  </r>
  <r>
    <x v="5"/>
    <x v="8"/>
    <d v="2018-03-07T00:00:00"/>
    <d v="2018-03-07T00:00:00"/>
    <m/>
    <m/>
    <m/>
    <n v="0"/>
    <m/>
    <m/>
    <n v="0"/>
    <n v="-673433.8428743222"/>
  </r>
  <r>
    <x v="5"/>
    <x v="8"/>
    <d v="2018-03-08T00:00:00"/>
    <d v="2018-03-08T00:00:00"/>
    <m/>
    <m/>
    <m/>
    <n v="0"/>
    <m/>
    <m/>
    <n v="0"/>
    <n v="-673433.8428743222"/>
  </r>
  <r>
    <x v="5"/>
    <x v="8"/>
    <d v="2018-03-09T00:00:00"/>
    <d v="2018-03-09T00:00:00"/>
    <m/>
    <m/>
    <m/>
    <n v="0"/>
    <m/>
    <m/>
    <n v="0"/>
    <n v="-673433.8428743222"/>
  </r>
  <r>
    <x v="5"/>
    <x v="8"/>
    <d v="2018-03-10T00:00:00"/>
    <d v="2018-03-10T00:00:00"/>
    <m/>
    <m/>
    <m/>
    <n v="0"/>
    <m/>
    <m/>
    <n v="0"/>
    <n v="-673433.8428743222"/>
  </r>
  <r>
    <x v="5"/>
    <x v="8"/>
    <d v="2018-03-11T00:00:00"/>
    <d v="2018-03-11T00:00:00"/>
    <m/>
    <m/>
    <m/>
    <n v="0"/>
    <m/>
    <m/>
    <n v="0"/>
    <n v="-673433.8428743222"/>
  </r>
  <r>
    <x v="5"/>
    <x v="8"/>
    <d v="2018-03-12T00:00:00"/>
    <d v="2018-03-12T00:00:00"/>
    <m/>
    <m/>
    <m/>
    <n v="0"/>
    <m/>
    <m/>
    <n v="0"/>
    <n v="-673433.8428743222"/>
  </r>
  <r>
    <x v="5"/>
    <x v="8"/>
    <d v="2018-03-13T00:00:00"/>
    <d v="2018-03-13T00:00:00"/>
    <m/>
    <m/>
    <m/>
    <n v="0"/>
    <m/>
    <m/>
    <n v="0"/>
    <n v="-673433.8428743222"/>
  </r>
  <r>
    <x v="5"/>
    <x v="8"/>
    <d v="2018-03-14T00:00:00"/>
    <d v="2018-03-14T00:00:00"/>
    <m/>
    <m/>
    <m/>
    <n v="0"/>
    <m/>
    <m/>
    <n v="0"/>
    <n v="-673433.8428743222"/>
  </r>
  <r>
    <x v="5"/>
    <x v="8"/>
    <d v="2018-03-15T00:00:00"/>
    <d v="2018-03-15T00:00:00"/>
    <m/>
    <m/>
    <m/>
    <n v="0"/>
    <m/>
    <m/>
    <n v="0"/>
    <n v="-673433.8428743222"/>
  </r>
  <r>
    <x v="5"/>
    <x v="8"/>
    <d v="2018-03-16T00:00:00"/>
    <d v="2018-03-16T00:00:00"/>
    <m/>
    <m/>
    <m/>
    <n v="0"/>
    <m/>
    <m/>
    <n v="0"/>
    <n v="-673433.8428743222"/>
  </r>
  <r>
    <x v="5"/>
    <x v="8"/>
    <d v="2018-03-17T00:00:00"/>
    <d v="2018-03-17T00:00:00"/>
    <m/>
    <m/>
    <m/>
    <n v="0"/>
    <m/>
    <m/>
    <n v="0"/>
    <n v="-673433.8428743222"/>
  </r>
  <r>
    <x v="5"/>
    <x v="8"/>
    <d v="2018-03-18T00:00:00"/>
    <d v="2018-03-18T00:00:00"/>
    <m/>
    <m/>
    <m/>
    <n v="0"/>
    <m/>
    <m/>
    <n v="0"/>
    <n v="-673433.8428743222"/>
  </r>
  <r>
    <x v="5"/>
    <x v="8"/>
    <d v="2018-03-19T00:00:00"/>
    <d v="2018-03-19T00:00:00"/>
    <m/>
    <m/>
    <m/>
    <n v="0"/>
    <m/>
    <m/>
    <n v="0"/>
    <n v="-673433.8428743222"/>
  </r>
  <r>
    <x v="5"/>
    <x v="8"/>
    <d v="2018-03-20T00:00:00"/>
    <d v="2018-03-20T00:00:00"/>
    <m/>
    <m/>
    <m/>
    <n v="0"/>
    <m/>
    <m/>
    <n v="0"/>
    <n v="-673433.8428743222"/>
  </r>
  <r>
    <x v="5"/>
    <x v="8"/>
    <d v="2018-03-21T00:00:00"/>
    <d v="2018-03-21T00:00:00"/>
    <m/>
    <m/>
    <m/>
    <n v="0"/>
    <m/>
    <m/>
    <n v="0"/>
    <n v="-673433.8428743222"/>
  </r>
  <r>
    <x v="5"/>
    <x v="8"/>
    <d v="2018-03-22T00:00:00"/>
    <d v="2018-03-22T00:00:00"/>
    <m/>
    <m/>
    <m/>
    <n v="0"/>
    <m/>
    <m/>
    <n v="0"/>
    <n v="-673433.8428743222"/>
  </r>
  <r>
    <x v="5"/>
    <x v="8"/>
    <d v="2018-03-23T00:00:00"/>
    <d v="2018-03-23T00:00:00"/>
    <m/>
    <m/>
    <m/>
    <n v="0"/>
    <m/>
    <m/>
    <n v="0"/>
    <n v="-673433.8428743222"/>
  </r>
  <r>
    <x v="5"/>
    <x v="8"/>
    <d v="2018-03-24T00:00:00"/>
    <d v="2018-03-24T00:00:00"/>
    <m/>
    <m/>
    <m/>
    <n v="0"/>
    <m/>
    <m/>
    <n v="0"/>
    <n v="-673433.8428743222"/>
  </r>
  <r>
    <x v="5"/>
    <x v="8"/>
    <d v="2018-03-25T00:00:00"/>
    <d v="2018-03-25T00:00:00"/>
    <m/>
    <m/>
    <m/>
    <n v="0"/>
    <m/>
    <m/>
    <n v="0"/>
    <n v="-673433.8428743222"/>
  </r>
  <r>
    <x v="5"/>
    <x v="8"/>
    <d v="2018-03-26T00:00:00"/>
    <d v="2018-03-26T00:00:00"/>
    <m/>
    <m/>
    <m/>
    <n v="0"/>
    <m/>
    <m/>
    <n v="0"/>
    <n v="-673433.8428743222"/>
  </r>
  <r>
    <x v="5"/>
    <x v="8"/>
    <d v="2018-03-27T00:00:00"/>
    <d v="2018-03-27T00:00:00"/>
    <m/>
    <m/>
    <m/>
    <n v="0"/>
    <m/>
    <m/>
    <n v="0"/>
    <n v="-673433.8428743222"/>
  </r>
  <r>
    <x v="5"/>
    <x v="8"/>
    <d v="2018-03-28T00:00:00"/>
    <d v="2018-03-28T00:00:00"/>
    <m/>
    <m/>
    <m/>
    <n v="0"/>
    <m/>
    <m/>
    <n v="0"/>
    <n v="-673433.8428743222"/>
  </r>
  <r>
    <x v="5"/>
    <x v="8"/>
    <d v="2018-03-29T00:00:00"/>
    <d v="2018-03-29T00:00:00"/>
    <m/>
    <m/>
    <m/>
    <n v="0"/>
    <m/>
    <m/>
    <n v="0"/>
    <n v="-673433.8428743222"/>
  </r>
  <r>
    <x v="5"/>
    <x v="8"/>
    <d v="2018-03-30T00:00:00"/>
    <d v="2018-03-30T00:00:00"/>
    <m/>
    <m/>
    <m/>
    <n v="0"/>
    <m/>
    <m/>
    <n v="0"/>
    <n v="-673433.8428743222"/>
  </r>
  <r>
    <x v="5"/>
    <x v="8"/>
    <d v="2018-03-31T00:00:00"/>
    <d v="2018-03-31T00:00:00"/>
    <m/>
    <m/>
    <m/>
    <n v="0"/>
    <m/>
    <m/>
    <n v="0"/>
    <n v="-673433.8428743222"/>
  </r>
  <r>
    <x v="5"/>
    <x v="9"/>
    <d v="2018-04-01T00:00:00"/>
    <d v="2018-04-01T00:00:00"/>
    <m/>
    <m/>
    <m/>
    <n v="0"/>
    <m/>
    <m/>
    <n v="0"/>
    <n v="-673433.8428743222"/>
  </r>
  <r>
    <x v="5"/>
    <x v="9"/>
    <d v="2018-04-02T00:00:00"/>
    <d v="2018-04-02T00:00:00"/>
    <m/>
    <m/>
    <m/>
    <n v="0"/>
    <m/>
    <m/>
    <n v="0"/>
    <n v="-673433.8428743222"/>
  </r>
  <r>
    <x v="5"/>
    <x v="9"/>
    <d v="2018-04-03T00:00:00"/>
    <d v="2018-04-03T00:00:00"/>
    <m/>
    <m/>
    <m/>
    <n v="0"/>
    <m/>
    <m/>
    <n v="0"/>
    <n v="-673433.8428743222"/>
  </r>
  <r>
    <x v="5"/>
    <x v="9"/>
    <d v="2018-04-04T00:00:00"/>
    <d v="2018-04-04T00:00:00"/>
    <m/>
    <m/>
    <m/>
    <n v="0"/>
    <m/>
    <m/>
    <n v="0"/>
    <n v="-673433.8428743222"/>
  </r>
  <r>
    <x v="5"/>
    <x v="9"/>
    <d v="2018-04-05T00:00:00"/>
    <d v="2018-04-05T00:00:00"/>
    <m/>
    <m/>
    <m/>
    <n v="0"/>
    <m/>
    <m/>
    <n v="0"/>
    <n v="-673433.8428743222"/>
  </r>
  <r>
    <x v="5"/>
    <x v="9"/>
    <d v="2018-04-06T00:00:00"/>
    <d v="2018-04-06T00:00:00"/>
    <m/>
    <m/>
    <m/>
    <n v="0"/>
    <m/>
    <m/>
    <n v="0"/>
    <n v="-673433.8428743222"/>
  </r>
  <r>
    <x v="5"/>
    <x v="9"/>
    <d v="2018-04-07T00:00:00"/>
    <d v="2018-04-07T00:00:00"/>
    <m/>
    <m/>
    <m/>
    <n v="0"/>
    <m/>
    <m/>
    <n v="0"/>
    <n v="-673433.8428743222"/>
  </r>
  <r>
    <x v="5"/>
    <x v="9"/>
    <d v="2018-04-08T00:00:00"/>
    <d v="2018-04-08T00:00:00"/>
    <m/>
    <m/>
    <m/>
    <n v="0"/>
    <m/>
    <m/>
    <n v="0"/>
    <n v="-673433.8428743222"/>
  </r>
  <r>
    <x v="5"/>
    <x v="9"/>
    <d v="2018-04-09T00:00:00"/>
    <d v="2018-04-09T00:00:00"/>
    <m/>
    <m/>
    <m/>
    <n v="0"/>
    <m/>
    <m/>
    <n v="0"/>
    <n v="-673433.8428743222"/>
  </r>
  <r>
    <x v="5"/>
    <x v="9"/>
    <d v="2018-04-10T00:00:00"/>
    <d v="2018-04-10T00:00:00"/>
    <m/>
    <m/>
    <m/>
    <n v="0"/>
    <m/>
    <m/>
    <n v="0"/>
    <n v="-673433.8428743222"/>
  </r>
  <r>
    <x v="5"/>
    <x v="9"/>
    <d v="2018-04-11T00:00:00"/>
    <d v="2018-04-11T00:00:00"/>
    <m/>
    <m/>
    <m/>
    <n v="0"/>
    <m/>
    <m/>
    <n v="0"/>
    <n v="-673433.8428743222"/>
  </r>
  <r>
    <x v="5"/>
    <x v="9"/>
    <d v="2018-04-12T00:00:00"/>
    <d v="2018-04-12T00:00:00"/>
    <m/>
    <m/>
    <m/>
    <n v="0"/>
    <m/>
    <m/>
    <n v="0"/>
    <n v="-673433.8428743222"/>
  </r>
  <r>
    <x v="5"/>
    <x v="9"/>
    <d v="2018-04-13T00:00:00"/>
    <d v="2018-04-13T00:00:00"/>
    <m/>
    <m/>
    <m/>
    <n v="0"/>
    <m/>
    <m/>
    <n v="0"/>
    <n v="-673433.8428743222"/>
  </r>
  <r>
    <x v="5"/>
    <x v="9"/>
    <d v="2018-04-14T00:00:00"/>
    <d v="2018-04-14T00:00:00"/>
    <m/>
    <m/>
    <m/>
    <n v="0"/>
    <m/>
    <m/>
    <n v="0"/>
    <n v="-673433.8428743222"/>
  </r>
  <r>
    <x v="5"/>
    <x v="9"/>
    <d v="2018-04-15T00:00:00"/>
    <d v="2018-04-15T00:00:00"/>
    <m/>
    <m/>
    <m/>
    <n v="0"/>
    <m/>
    <m/>
    <n v="0"/>
    <n v="-673433.8428743222"/>
  </r>
  <r>
    <x v="5"/>
    <x v="9"/>
    <d v="2018-04-16T00:00:00"/>
    <d v="2018-04-16T00:00:00"/>
    <m/>
    <m/>
    <m/>
    <n v="0"/>
    <m/>
    <m/>
    <n v="0"/>
    <n v="-673433.8428743222"/>
  </r>
  <r>
    <x v="5"/>
    <x v="9"/>
    <d v="2018-04-17T00:00:00"/>
    <d v="2018-04-17T00:00:00"/>
    <m/>
    <m/>
    <m/>
    <n v="0"/>
    <m/>
    <m/>
    <n v="0"/>
    <n v="-673433.8428743222"/>
  </r>
  <r>
    <x v="5"/>
    <x v="9"/>
    <d v="2018-04-18T00:00:00"/>
    <d v="2018-04-18T00:00:00"/>
    <m/>
    <m/>
    <m/>
    <n v="0"/>
    <m/>
    <m/>
    <n v="0"/>
    <n v="-673433.8428743222"/>
  </r>
  <r>
    <x v="5"/>
    <x v="9"/>
    <d v="2018-04-19T00:00:00"/>
    <d v="2018-04-19T00:00:00"/>
    <m/>
    <m/>
    <m/>
    <n v="0"/>
    <m/>
    <m/>
    <n v="0"/>
    <n v="-673433.8428743222"/>
  </r>
  <r>
    <x v="5"/>
    <x v="9"/>
    <d v="2018-04-20T00:00:00"/>
    <d v="2018-04-20T00:00:00"/>
    <m/>
    <m/>
    <m/>
    <n v="0"/>
    <m/>
    <m/>
    <n v="0"/>
    <n v="-673433.8428743222"/>
  </r>
  <r>
    <x v="5"/>
    <x v="9"/>
    <d v="2018-04-21T00:00:00"/>
    <d v="2018-04-21T00:00:00"/>
    <m/>
    <m/>
    <m/>
    <n v="0"/>
    <m/>
    <m/>
    <n v="0"/>
    <n v="-673433.8428743222"/>
  </r>
  <r>
    <x v="5"/>
    <x v="9"/>
    <d v="2018-04-22T00:00:00"/>
    <d v="2018-04-22T00:00:00"/>
    <m/>
    <m/>
    <m/>
    <n v="0"/>
    <m/>
    <m/>
    <n v="0"/>
    <n v="-673433.8428743222"/>
  </r>
  <r>
    <x v="5"/>
    <x v="9"/>
    <d v="2018-04-23T00:00:00"/>
    <d v="2018-04-23T00:00:00"/>
    <m/>
    <m/>
    <m/>
    <n v="0"/>
    <m/>
    <m/>
    <n v="0"/>
    <n v="-673433.8428743222"/>
  </r>
  <r>
    <x v="5"/>
    <x v="9"/>
    <d v="2018-04-24T00:00:00"/>
    <d v="2018-04-24T00:00:00"/>
    <m/>
    <m/>
    <m/>
    <n v="0"/>
    <m/>
    <m/>
    <n v="0"/>
    <n v="-673433.8428743222"/>
  </r>
  <r>
    <x v="5"/>
    <x v="9"/>
    <d v="2018-04-25T00:00:00"/>
    <d v="2018-04-25T00:00:00"/>
    <m/>
    <m/>
    <m/>
    <n v="0"/>
    <m/>
    <m/>
    <n v="0"/>
    <n v="-673433.8428743222"/>
  </r>
  <r>
    <x v="5"/>
    <x v="9"/>
    <d v="2018-04-26T00:00:00"/>
    <d v="2018-04-26T00:00:00"/>
    <m/>
    <m/>
    <m/>
    <n v="0"/>
    <m/>
    <m/>
    <n v="0"/>
    <n v="-673433.8428743222"/>
  </r>
  <r>
    <x v="5"/>
    <x v="9"/>
    <d v="2018-04-27T00:00:00"/>
    <d v="2018-04-27T00:00:00"/>
    <m/>
    <m/>
    <m/>
    <n v="0"/>
    <m/>
    <m/>
    <n v="0"/>
    <n v="-673433.8428743222"/>
  </r>
  <r>
    <x v="5"/>
    <x v="9"/>
    <d v="2018-04-28T00:00:00"/>
    <d v="2018-04-28T00:00:00"/>
    <m/>
    <m/>
    <m/>
    <n v="0"/>
    <m/>
    <m/>
    <n v="0"/>
    <n v="-673433.8428743222"/>
  </r>
  <r>
    <x v="5"/>
    <x v="9"/>
    <d v="2018-04-29T00:00:00"/>
    <d v="2018-04-29T00:00:00"/>
    <m/>
    <m/>
    <m/>
    <n v="0"/>
    <m/>
    <m/>
    <n v="0"/>
    <n v="-673433.8428743222"/>
  </r>
  <r>
    <x v="5"/>
    <x v="9"/>
    <d v="2018-04-30T00:00:00"/>
    <d v="2018-04-30T00:00:00"/>
    <m/>
    <m/>
    <m/>
    <n v="0"/>
    <m/>
    <m/>
    <n v="0"/>
    <n v="-673433.8428743222"/>
  </r>
  <r>
    <x v="5"/>
    <x v="10"/>
    <d v="2018-05-01T00:00:00"/>
    <d v="2018-05-01T00:00:00"/>
    <m/>
    <m/>
    <m/>
    <n v="0"/>
    <m/>
    <m/>
    <n v="0"/>
    <n v="-673433.8428743222"/>
  </r>
  <r>
    <x v="5"/>
    <x v="10"/>
    <d v="2018-05-02T00:00:00"/>
    <d v="2018-05-02T00:00:00"/>
    <m/>
    <m/>
    <m/>
    <n v="0"/>
    <m/>
    <m/>
    <n v="0"/>
    <n v="-673433.8428743222"/>
  </r>
  <r>
    <x v="5"/>
    <x v="10"/>
    <d v="2018-05-03T00:00:00"/>
    <d v="2018-05-03T00:00:00"/>
    <m/>
    <m/>
    <m/>
    <n v="0"/>
    <m/>
    <m/>
    <n v="0"/>
    <n v="-673433.8428743222"/>
  </r>
  <r>
    <x v="5"/>
    <x v="10"/>
    <d v="2018-05-04T00:00:00"/>
    <d v="2018-05-04T00:00:00"/>
    <m/>
    <m/>
    <m/>
    <n v="0"/>
    <m/>
    <m/>
    <n v="0"/>
    <n v="-673433.8428743222"/>
  </r>
  <r>
    <x v="5"/>
    <x v="10"/>
    <d v="2018-05-05T00:00:00"/>
    <d v="2018-05-05T00:00:00"/>
    <m/>
    <m/>
    <m/>
    <n v="0"/>
    <m/>
    <m/>
    <n v="0"/>
    <n v="-673433.8428743222"/>
  </r>
  <r>
    <x v="5"/>
    <x v="10"/>
    <d v="2018-05-06T00:00:00"/>
    <d v="2018-05-06T00:00:00"/>
    <m/>
    <m/>
    <m/>
    <n v="0"/>
    <m/>
    <m/>
    <n v="0"/>
    <n v="-673433.8428743222"/>
  </r>
  <r>
    <x v="5"/>
    <x v="10"/>
    <d v="2018-05-07T00:00:00"/>
    <d v="2018-05-07T00:00:00"/>
    <m/>
    <m/>
    <m/>
    <n v="0"/>
    <m/>
    <m/>
    <n v="0"/>
    <n v="-673433.8428743222"/>
  </r>
  <r>
    <x v="5"/>
    <x v="10"/>
    <d v="2018-05-08T00:00:00"/>
    <d v="2018-05-08T00:00:00"/>
    <m/>
    <m/>
    <m/>
    <n v="0"/>
    <m/>
    <m/>
    <n v="0"/>
    <n v="-673433.8428743222"/>
  </r>
  <r>
    <x v="5"/>
    <x v="10"/>
    <d v="2018-05-09T00:00:00"/>
    <d v="2018-05-09T00:00:00"/>
    <m/>
    <m/>
    <m/>
    <n v="0"/>
    <m/>
    <m/>
    <n v="0"/>
    <n v="-673433.8428743222"/>
  </r>
  <r>
    <x v="5"/>
    <x v="10"/>
    <d v="2018-05-10T00:00:00"/>
    <d v="2018-05-10T00:00:00"/>
    <m/>
    <m/>
    <m/>
    <n v="0"/>
    <m/>
    <m/>
    <n v="0"/>
    <n v="-673433.8428743222"/>
  </r>
  <r>
    <x v="5"/>
    <x v="10"/>
    <d v="2018-05-11T00:00:00"/>
    <d v="2018-05-11T00:00:00"/>
    <m/>
    <m/>
    <m/>
    <n v="0"/>
    <m/>
    <m/>
    <n v="0"/>
    <n v="-673433.8428743222"/>
  </r>
  <r>
    <x v="5"/>
    <x v="10"/>
    <d v="2018-05-12T00:00:00"/>
    <d v="2018-05-12T00:00:00"/>
    <m/>
    <m/>
    <m/>
    <n v="0"/>
    <m/>
    <m/>
    <n v="0"/>
    <n v="-673433.8428743222"/>
  </r>
  <r>
    <x v="5"/>
    <x v="10"/>
    <d v="2018-05-13T00:00:00"/>
    <d v="2018-05-13T00:00:00"/>
    <m/>
    <m/>
    <m/>
    <n v="0"/>
    <m/>
    <m/>
    <n v="0"/>
    <n v="-673433.8428743222"/>
  </r>
  <r>
    <x v="5"/>
    <x v="10"/>
    <d v="2018-05-14T00:00:00"/>
    <d v="2018-05-14T00:00:00"/>
    <m/>
    <m/>
    <m/>
    <n v="0"/>
    <m/>
    <m/>
    <n v="0"/>
    <n v="-673433.8428743222"/>
  </r>
  <r>
    <x v="5"/>
    <x v="10"/>
    <d v="2018-05-15T00:00:00"/>
    <d v="2018-05-15T00:00:00"/>
    <m/>
    <m/>
    <m/>
    <n v="0"/>
    <m/>
    <m/>
    <n v="0"/>
    <n v="-673433.8428743222"/>
  </r>
  <r>
    <x v="5"/>
    <x v="10"/>
    <d v="2018-05-16T00:00:00"/>
    <d v="2018-05-16T00:00:00"/>
    <m/>
    <m/>
    <m/>
    <n v="0"/>
    <m/>
    <m/>
    <n v="0"/>
    <n v="-673433.8428743222"/>
  </r>
  <r>
    <x v="5"/>
    <x v="10"/>
    <d v="2018-05-17T00:00:00"/>
    <d v="2018-05-17T00:00:00"/>
    <m/>
    <m/>
    <m/>
    <n v="0"/>
    <m/>
    <m/>
    <n v="0"/>
    <n v="-673433.8428743222"/>
  </r>
  <r>
    <x v="5"/>
    <x v="10"/>
    <d v="2018-05-18T00:00:00"/>
    <d v="2018-05-18T00:00:00"/>
    <m/>
    <m/>
    <m/>
    <n v="0"/>
    <m/>
    <m/>
    <n v="0"/>
    <n v="-673433.8428743222"/>
  </r>
  <r>
    <x v="5"/>
    <x v="10"/>
    <d v="2018-05-19T00:00:00"/>
    <d v="2018-05-19T00:00:00"/>
    <m/>
    <m/>
    <m/>
    <n v="0"/>
    <m/>
    <m/>
    <n v="0"/>
    <n v="-673433.8428743222"/>
  </r>
  <r>
    <x v="5"/>
    <x v="10"/>
    <d v="2018-05-20T00:00:00"/>
    <d v="2018-05-20T00:00:00"/>
    <m/>
    <m/>
    <m/>
    <n v="0"/>
    <m/>
    <m/>
    <n v="0"/>
    <n v="-673433.8428743222"/>
  </r>
  <r>
    <x v="5"/>
    <x v="10"/>
    <d v="2018-05-21T00:00:00"/>
    <d v="2018-05-21T00:00:00"/>
    <m/>
    <m/>
    <m/>
    <n v="0"/>
    <m/>
    <m/>
    <n v="0"/>
    <n v="-673433.8428743222"/>
  </r>
  <r>
    <x v="5"/>
    <x v="10"/>
    <d v="2018-05-22T00:00:00"/>
    <d v="2018-05-22T00:00:00"/>
    <m/>
    <m/>
    <m/>
    <n v="0"/>
    <m/>
    <m/>
    <n v="0"/>
    <n v="-673433.8428743222"/>
  </r>
  <r>
    <x v="5"/>
    <x v="10"/>
    <d v="2018-05-23T00:00:00"/>
    <d v="2018-05-23T00:00:00"/>
    <m/>
    <m/>
    <m/>
    <n v="0"/>
    <m/>
    <m/>
    <n v="0"/>
    <n v="-673433.8428743222"/>
  </r>
  <r>
    <x v="5"/>
    <x v="10"/>
    <d v="2018-05-24T00:00:00"/>
    <d v="2018-05-24T00:00:00"/>
    <m/>
    <m/>
    <m/>
    <n v="0"/>
    <m/>
    <m/>
    <n v="0"/>
    <n v="-673433.8428743222"/>
  </r>
  <r>
    <x v="5"/>
    <x v="10"/>
    <d v="2018-05-25T00:00:00"/>
    <d v="2018-05-25T00:00:00"/>
    <m/>
    <m/>
    <m/>
    <n v="0"/>
    <m/>
    <m/>
    <n v="0"/>
    <n v="-673433.8428743222"/>
  </r>
  <r>
    <x v="5"/>
    <x v="10"/>
    <d v="2018-05-26T00:00:00"/>
    <d v="2018-05-26T00:00:00"/>
    <m/>
    <m/>
    <m/>
    <n v="0"/>
    <m/>
    <m/>
    <n v="0"/>
    <n v="-673433.8428743222"/>
  </r>
  <r>
    <x v="5"/>
    <x v="10"/>
    <d v="2018-05-27T00:00:00"/>
    <d v="2018-05-27T00:00:00"/>
    <m/>
    <m/>
    <m/>
    <n v="0"/>
    <m/>
    <m/>
    <n v="0"/>
    <n v="-673433.8428743222"/>
  </r>
  <r>
    <x v="5"/>
    <x v="10"/>
    <d v="2018-05-28T00:00:00"/>
    <d v="2018-05-28T00:00:00"/>
    <m/>
    <m/>
    <m/>
    <n v="0"/>
    <m/>
    <m/>
    <n v="0"/>
    <n v="-673433.8428743222"/>
  </r>
  <r>
    <x v="5"/>
    <x v="10"/>
    <d v="2018-05-29T00:00:00"/>
    <d v="2018-05-29T00:00:00"/>
    <m/>
    <m/>
    <m/>
    <n v="0"/>
    <m/>
    <m/>
    <n v="0"/>
    <n v="-673433.8428743222"/>
  </r>
  <r>
    <x v="5"/>
    <x v="10"/>
    <d v="2018-05-30T00:00:00"/>
    <d v="2018-05-30T00:00:00"/>
    <m/>
    <m/>
    <m/>
    <n v="0"/>
    <m/>
    <m/>
    <n v="0"/>
    <n v="-673433.8428743222"/>
  </r>
  <r>
    <x v="5"/>
    <x v="10"/>
    <d v="2018-05-31T00:00:00"/>
    <d v="2018-05-31T00:00:00"/>
    <m/>
    <m/>
    <m/>
    <n v="0"/>
    <m/>
    <m/>
    <n v="0"/>
    <n v="-673433.8428743222"/>
  </r>
  <r>
    <x v="5"/>
    <x v="11"/>
    <d v="2018-06-01T00:00:00"/>
    <d v="2018-06-01T00:00:00"/>
    <m/>
    <m/>
    <m/>
    <n v="0"/>
    <m/>
    <m/>
    <n v="0"/>
    <n v="-673433.8428743222"/>
  </r>
  <r>
    <x v="5"/>
    <x v="11"/>
    <d v="2018-06-02T00:00:00"/>
    <d v="2018-06-02T00:00:00"/>
    <m/>
    <m/>
    <m/>
    <n v="0"/>
    <m/>
    <m/>
    <n v="0"/>
    <n v="-673433.8428743222"/>
  </r>
  <r>
    <x v="5"/>
    <x v="11"/>
    <d v="2018-06-03T00:00:00"/>
    <d v="2018-06-03T00:00:00"/>
    <m/>
    <m/>
    <m/>
    <n v="0"/>
    <m/>
    <m/>
    <n v="0"/>
    <n v="-673433.8428743222"/>
  </r>
  <r>
    <x v="5"/>
    <x v="11"/>
    <d v="2018-06-04T00:00:00"/>
    <d v="2018-06-04T00:00:00"/>
    <m/>
    <m/>
    <m/>
    <n v="0"/>
    <m/>
    <m/>
    <n v="0"/>
    <n v="-673433.8428743222"/>
  </r>
  <r>
    <x v="5"/>
    <x v="11"/>
    <d v="2018-06-05T00:00:00"/>
    <d v="2018-06-05T00:00:00"/>
    <m/>
    <m/>
    <m/>
    <n v="0"/>
    <m/>
    <m/>
    <n v="0"/>
    <n v="-673433.8428743222"/>
  </r>
  <r>
    <x v="5"/>
    <x v="11"/>
    <d v="2018-06-06T00:00:00"/>
    <d v="2018-06-06T00:00:00"/>
    <m/>
    <m/>
    <m/>
    <n v="0"/>
    <m/>
    <m/>
    <n v="0"/>
    <n v="-673433.8428743222"/>
  </r>
  <r>
    <x v="5"/>
    <x v="11"/>
    <d v="2018-06-07T00:00:00"/>
    <d v="2018-06-07T00:00:00"/>
    <m/>
    <m/>
    <m/>
    <n v="0"/>
    <m/>
    <m/>
    <n v="0"/>
    <n v="-673433.8428743222"/>
  </r>
  <r>
    <x v="5"/>
    <x v="11"/>
    <d v="2018-06-08T00:00:00"/>
    <d v="2018-06-08T00:00:00"/>
    <m/>
    <m/>
    <m/>
    <n v="0"/>
    <m/>
    <m/>
    <n v="0"/>
    <n v="-673433.8428743222"/>
  </r>
  <r>
    <x v="5"/>
    <x v="11"/>
    <d v="2018-06-09T00:00:00"/>
    <d v="2018-06-09T00:00:00"/>
    <m/>
    <m/>
    <m/>
    <n v="0"/>
    <m/>
    <m/>
    <n v="0"/>
    <n v="-673433.8428743222"/>
  </r>
  <r>
    <x v="5"/>
    <x v="11"/>
    <d v="2018-06-10T00:00:00"/>
    <d v="2018-06-10T00:00:00"/>
    <m/>
    <m/>
    <m/>
    <n v="0"/>
    <m/>
    <m/>
    <n v="0"/>
    <n v="-673433.8428743222"/>
  </r>
  <r>
    <x v="5"/>
    <x v="11"/>
    <d v="2018-06-11T00:00:00"/>
    <d v="2018-06-11T00:00:00"/>
    <m/>
    <m/>
    <m/>
    <n v="0"/>
    <m/>
    <m/>
    <n v="0"/>
    <n v="-673433.8428743222"/>
  </r>
  <r>
    <x v="5"/>
    <x v="11"/>
    <d v="2018-06-12T00:00:00"/>
    <d v="2018-06-12T00:00:00"/>
    <m/>
    <m/>
    <m/>
    <n v="0"/>
    <m/>
    <m/>
    <n v="0"/>
    <n v="-673433.8428743222"/>
  </r>
  <r>
    <x v="5"/>
    <x v="11"/>
    <d v="2018-06-13T00:00:00"/>
    <d v="2018-06-13T00:00:00"/>
    <m/>
    <m/>
    <m/>
    <n v="0"/>
    <m/>
    <m/>
    <n v="0"/>
    <n v="-673433.8428743222"/>
  </r>
  <r>
    <x v="5"/>
    <x v="11"/>
    <d v="2018-06-14T00:00:00"/>
    <d v="2018-06-14T00:00:00"/>
    <m/>
    <m/>
    <m/>
    <n v="0"/>
    <m/>
    <m/>
    <n v="0"/>
    <n v="-673433.8428743222"/>
  </r>
  <r>
    <x v="5"/>
    <x v="11"/>
    <d v="2018-06-15T00:00:00"/>
    <d v="2018-06-15T00:00:00"/>
    <m/>
    <m/>
    <m/>
    <n v="0"/>
    <m/>
    <m/>
    <n v="0"/>
    <n v="-673433.8428743222"/>
  </r>
  <r>
    <x v="5"/>
    <x v="11"/>
    <d v="2018-06-16T00:00:00"/>
    <d v="2018-06-16T00:00:00"/>
    <m/>
    <m/>
    <m/>
    <n v="0"/>
    <m/>
    <m/>
    <n v="0"/>
    <n v="-673433.8428743222"/>
  </r>
  <r>
    <x v="5"/>
    <x v="11"/>
    <d v="2018-06-17T00:00:00"/>
    <d v="2018-06-17T00:00:00"/>
    <m/>
    <m/>
    <m/>
    <n v="0"/>
    <m/>
    <m/>
    <n v="0"/>
    <n v="-673433.8428743222"/>
  </r>
  <r>
    <x v="5"/>
    <x v="11"/>
    <d v="2018-06-18T00:00:00"/>
    <d v="2018-06-18T00:00:00"/>
    <m/>
    <m/>
    <m/>
    <n v="0"/>
    <m/>
    <m/>
    <n v="0"/>
    <n v="-673433.8428743222"/>
  </r>
  <r>
    <x v="5"/>
    <x v="11"/>
    <d v="2018-06-19T00:00:00"/>
    <d v="2018-06-19T00:00:00"/>
    <m/>
    <m/>
    <m/>
    <n v="0"/>
    <m/>
    <m/>
    <n v="0"/>
    <n v="-673433.8428743222"/>
  </r>
  <r>
    <x v="5"/>
    <x v="11"/>
    <d v="2018-06-20T00:00:00"/>
    <d v="2018-06-20T00:00:00"/>
    <m/>
    <m/>
    <m/>
    <n v="0"/>
    <m/>
    <m/>
    <n v="0"/>
    <n v="-673433.8428743222"/>
  </r>
  <r>
    <x v="5"/>
    <x v="11"/>
    <d v="2018-06-21T00:00:00"/>
    <d v="2018-06-21T00:00:00"/>
    <m/>
    <m/>
    <m/>
    <n v="0"/>
    <m/>
    <m/>
    <n v="0"/>
    <n v="-673433.8428743222"/>
  </r>
  <r>
    <x v="5"/>
    <x v="11"/>
    <d v="2018-06-22T00:00:00"/>
    <d v="2018-06-22T00:00:00"/>
    <m/>
    <m/>
    <m/>
    <n v="0"/>
    <m/>
    <m/>
    <n v="0"/>
    <n v="-673433.8428743222"/>
  </r>
  <r>
    <x v="5"/>
    <x v="11"/>
    <d v="2018-06-23T00:00:00"/>
    <d v="2018-06-23T00:00:00"/>
    <m/>
    <m/>
    <m/>
    <n v="0"/>
    <m/>
    <m/>
    <n v="0"/>
    <n v="-673433.8428743222"/>
  </r>
  <r>
    <x v="5"/>
    <x v="11"/>
    <d v="2018-06-24T00:00:00"/>
    <d v="2018-06-24T00:00:00"/>
    <m/>
    <m/>
    <m/>
    <n v="0"/>
    <m/>
    <m/>
    <n v="0"/>
    <n v="-673433.8428743222"/>
  </r>
  <r>
    <x v="5"/>
    <x v="11"/>
    <d v="2018-06-25T00:00:00"/>
    <d v="2018-06-25T00:00:00"/>
    <m/>
    <m/>
    <m/>
    <n v="0"/>
    <m/>
    <m/>
    <n v="0"/>
    <n v="-673433.8428743222"/>
  </r>
  <r>
    <x v="5"/>
    <x v="11"/>
    <d v="2018-06-26T00:00:00"/>
    <d v="2018-06-26T00:00:00"/>
    <m/>
    <m/>
    <m/>
    <n v="0"/>
    <m/>
    <m/>
    <n v="0"/>
    <n v="-673433.8428743222"/>
  </r>
  <r>
    <x v="5"/>
    <x v="11"/>
    <d v="2018-06-27T00:00:00"/>
    <d v="2018-06-27T00:00:00"/>
    <m/>
    <m/>
    <m/>
    <n v="0"/>
    <m/>
    <m/>
    <n v="0"/>
    <n v="-673433.8428743222"/>
  </r>
  <r>
    <x v="5"/>
    <x v="11"/>
    <d v="2018-06-28T00:00:00"/>
    <d v="2018-06-28T00:00:00"/>
    <m/>
    <m/>
    <m/>
    <n v="0"/>
    <m/>
    <m/>
    <n v="0"/>
    <n v="-673433.8428743222"/>
  </r>
  <r>
    <x v="5"/>
    <x v="11"/>
    <d v="2018-06-29T00:00:00"/>
    <d v="2018-06-29T00:00:00"/>
    <m/>
    <m/>
    <m/>
    <n v="0"/>
    <m/>
    <m/>
    <n v="0"/>
    <n v="-673433.8428743222"/>
  </r>
  <r>
    <x v="5"/>
    <x v="11"/>
    <d v="2018-06-30T00:00:00"/>
    <d v="2018-06-30T00:00:00"/>
    <m/>
    <m/>
    <m/>
    <n v="0"/>
    <m/>
    <m/>
    <n v="0"/>
    <n v="-673433.8428743222"/>
  </r>
  <r>
    <x v="5"/>
    <x v="0"/>
    <d v="2018-07-01T00:00:00"/>
    <d v="2018-07-01T00:00:00"/>
    <m/>
    <m/>
    <m/>
    <n v="0"/>
    <m/>
    <m/>
    <n v="0"/>
    <n v="-673433.8428743222"/>
  </r>
  <r>
    <x v="5"/>
    <x v="0"/>
    <d v="2018-07-02T00:00:00"/>
    <d v="2018-07-02T00:00:00"/>
    <m/>
    <m/>
    <m/>
    <n v="0"/>
    <m/>
    <m/>
    <n v="0"/>
    <n v="-673433.8428743222"/>
  </r>
  <r>
    <x v="5"/>
    <x v="0"/>
    <d v="2018-07-03T00:00:00"/>
    <d v="2018-07-03T00:00:00"/>
    <m/>
    <m/>
    <m/>
    <n v="0"/>
    <m/>
    <m/>
    <n v="0"/>
    <n v="-673433.8428743222"/>
  </r>
  <r>
    <x v="5"/>
    <x v="0"/>
    <d v="2018-07-04T00:00:00"/>
    <d v="2018-07-04T00:00:00"/>
    <m/>
    <m/>
    <m/>
    <n v="0"/>
    <m/>
    <m/>
    <n v="0"/>
    <n v="-673433.8428743222"/>
  </r>
  <r>
    <x v="5"/>
    <x v="0"/>
    <d v="2018-07-05T00:00:00"/>
    <d v="2018-07-05T00:00:00"/>
    <m/>
    <m/>
    <m/>
    <n v="0"/>
    <m/>
    <m/>
    <n v="0"/>
    <n v="-673433.8428743222"/>
  </r>
  <r>
    <x v="5"/>
    <x v="0"/>
    <d v="2018-07-06T00:00:00"/>
    <d v="2018-07-06T00:00:00"/>
    <m/>
    <m/>
    <m/>
    <n v="0"/>
    <m/>
    <m/>
    <n v="0"/>
    <n v="-673433.8428743222"/>
  </r>
  <r>
    <x v="5"/>
    <x v="0"/>
    <d v="2018-07-07T00:00:00"/>
    <d v="2018-07-07T00:00:00"/>
    <m/>
    <m/>
    <m/>
    <n v="0"/>
    <m/>
    <m/>
    <n v="0"/>
    <n v="-673433.8428743222"/>
  </r>
  <r>
    <x v="5"/>
    <x v="0"/>
    <d v="2018-07-08T00:00:00"/>
    <d v="2018-07-08T00:00:00"/>
    <m/>
    <m/>
    <m/>
    <n v="0"/>
    <m/>
    <m/>
    <n v="0"/>
    <n v="-673433.8428743222"/>
  </r>
  <r>
    <x v="5"/>
    <x v="0"/>
    <d v="2018-07-09T00:00:00"/>
    <d v="2018-07-09T00:00:00"/>
    <m/>
    <m/>
    <m/>
    <n v="0"/>
    <m/>
    <m/>
    <n v="0"/>
    <n v="-673433.8428743222"/>
  </r>
  <r>
    <x v="5"/>
    <x v="0"/>
    <d v="2018-07-10T00:00:00"/>
    <d v="2018-07-10T00:00:00"/>
    <m/>
    <m/>
    <m/>
    <n v="0"/>
    <m/>
    <m/>
    <n v="0"/>
    <n v="-673433.8428743222"/>
  </r>
  <r>
    <x v="5"/>
    <x v="0"/>
    <d v="2018-07-11T00:00:00"/>
    <d v="2018-07-11T00:00:00"/>
    <m/>
    <m/>
    <m/>
    <n v="0"/>
    <m/>
    <m/>
    <n v="0"/>
    <n v="-673433.8428743222"/>
  </r>
  <r>
    <x v="5"/>
    <x v="0"/>
    <d v="2018-07-12T00:00:00"/>
    <d v="2018-07-12T00:00:00"/>
    <m/>
    <m/>
    <m/>
    <n v="0"/>
    <m/>
    <m/>
    <n v="0"/>
    <n v="-673433.8428743222"/>
  </r>
  <r>
    <x v="5"/>
    <x v="0"/>
    <d v="2018-07-13T00:00:00"/>
    <d v="2018-07-13T00:00:00"/>
    <m/>
    <m/>
    <m/>
    <n v="0"/>
    <m/>
    <m/>
    <n v="0"/>
    <n v="-673433.8428743222"/>
  </r>
  <r>
    <x v="5"/>
    <x v="0"/>
    <d v="2018-07-14T00:00:00"/>
    <d v="2018-07-14T00:00:00"/>
    <m/>
    <m/>
    <m/>
    <n v="0"/>
    <m/>
    <m/>
    <n v="0"/>
    <n v="-673433.8428743222"/>
  </r>
  <r>
    <x v="5"/>
    <x v="0"/>
    <d v="2018-07-15T00:00:00"/>
    <d v="2018-07-15T00:00:00"/>
    <m/>
    <m/>
    <m/>
    <n v="0"/>
    <m/>
    <m/>
    <n v="0"/>
    <n v="-673433.8428743222"/>
  </r>
  <r>
    <x v="5"/>
    <x v="0"/>
    <d v="2018-07-16T00:00:00"/>
    <d v="2018-07-16T00:00:00"/>
    <m/>
    <m/>
    <m/>
    <n v="0"/>
    <m/>
    <m/>
    <n v="0"/>
    <n v="-673433.8428743222"/>
  </r>
  <r>
    <x v="5"/>
    <x v="0"/>
    <d v="2018-07-17T00:00:00"/>
    <d v="2018-07-17T00:00:00"/>
    <m/>
    <m/>
    <m/>
    <n v="0"/>
    <m/>
    <m/>
    <n v="0"/>
    <n v="-673433.8428743222"/>
  </r>
  <r>
    <x v="5"/>
    <x v="0"/>
    <d v="2018-07-18T00:00:00"/>
    <d v="2018-07-18T00:00:00"/>
    <m/>
    <m/>
    <m/>
    <n v="0"/>
    <m/>
    <m/>
    <n v="0"/>
    <n v="-673433.8428743222"/>
  </r>
  <r>
    <x v="5"/>
    <x v="0"/>
    <d v="2018-07-19T00:00:00"/>
    <d v="2018-07-19T00:00:00"/>
    <m/>
    <m/>
    <m/>
    <n v="0"/>
    <m/>
    <m/>
    <n v="0"/>
    <n v="-673433.8428743222"/>
  </r>
  <r>
    <x v="5"/>
    <x v="0"/>
    <d v="2018-07-20T00:00:00"/>
    <d v="2018-07-20T00:00:00"/>
    <m/>
    <m/>
    <m/>
    <n v="0"/>
    <m/>
    <m/>
    <n v="0"/>
    <n v="-673433.8428743222"/>
  </r>
  <r>
    <x v="5"/>
    <x v="0"/>
    <d v="2018-07-21T00:00:00"/>
    <d v="2018-07-21T00:00:00"/>
    <m/>
    <m/>
    <m/>
    <n v="0"/>
    <m/>
    <m/>
    <n v="0"/>
    <n v="-673433.8428743222"/>
  </r>
  <r>
    <x v="5"/>
    <x v="0"/>
    <d v="2018-07-22T00:00:00"/>
    <d v="2018-07-22T00:00:00"/>
    <m/>
    <m/>
    <m/>
    <n v="0"/>
    <m/>
    <m/>
    <n v="0"/>
    <n v="-673433.8428743222"/>
  </r>
  <r>
    <x v="5"/>
    <x v="0"/>
    <d v="2018-07-23T00:00:00"/>
    <d v="2018-07-23T00:00:00"/>
    <m/>
    <m/>
    <m/>
    <n v="0"/>
    <m/>
    <m/>
    <n v="0"/>
    <n v="-673433.8428743222"/>
  </r>
  <r>
    <x v="5"/>
    <x v="0"/>
    <d v="2018-07-24T00:00:00"/>
    <d v="2018-07-24T00:00:00"/>
    <m/>
    <m/>
    <m/>
    <n v="0"/>
    <m/>
    <m/>
    <n v="0"/>
    <n v="-673433.8428743222"/>
  </r>
  <r>
    <x v="5"/>
    <x v="0"/>
    <d v="2018-07-25T00:00:00"/>
    <d v="2018-07-25T00:00:00"/>
    <m/>
    <m/>
    <m/>
    <n v="0"/>
    <m/>
    <m/>
    <n v="0"/>
    <n v="-673433.8428743222"/>
  </r>
  <r>
    <x v="5"/>
    <x v="0"/>
    <d v="2018-07-26T00:00:00"/>
    <d v="2018-07-26T00:00:00"/>
    <m/>
    <m/>
    <m/>
    <n v="0"/>
    <m/>
    <m/>
    <n v="0"/>
    <n v="-673433.8428743222"/>
  </r>
  <r>
    <x v="5"/>
    <x v="0"/>
    <d v="2018-07-27T00:00:00"/>
    <d v="2018-07-27T00:00:00"/>
    <m/>
    <m/>
    <m/>
    <n v="0"/>
    <m/>
    <m/>
    <n v="0"/>
    <n v="-673433.8428743222"/>
  </r>
  <r>
    <x v="5"/>
    <x v="0"/>
    <d v="2018-07-28T00:00:00"/>
    <d v="2018-07-28T00:00:00"/>
    <m/>
    <m/>
    <m/>
    <n v="0"/>
    <m/>
    <m/>
    <n v="0"/>
    <n v="-673433.8428743222"/>
  </r>
  <r>
    <x v="5"/>
    <x v="0"/>
    <d v="2018-07-29T00:00:00"/>
    <d v="2018-07-29T00:00:00"/>
    <m/>
    <m/>
    <m/>
    <n v="0"/>
    <m/>
    <m/>
    <n v="0"/>
    <n v="-673433.8428743222"/>
  </r>
  <r>
    <x v="5"/>
    <x v="0"/>
    <d v="2018-07-30T00:00:00"/>
    <d v="2018-07-30T00:00:00"/>
    <m/>
    <m/>
    <m/>
    <n v="0"/>
    <m/>
    <m/>
    <n v="0"/>
    <n v="-673433.8428743222"/>
  </r>
  <r>
    <x v="5"/>
    <x v="0"/>
    <d v="2018-07-31T00:00:00"/>
    <d v="2018-07-31T00:00:00"/>
    <m/>
    <m/>
    <m/>
    <n v="0"/>
    <m/>
    <m/>
    <n v="0"/>
    <n v="-673433.8428743222"/>
  </r>
  <r>
    <x v="5"/>
    <x v="1"/>
    <d v="2018-08-01T00:00:00"/>
    <d v="2018-08-01T00:00:00"/>
    <m/>
    <m/>
    <m/>
    <n v="0"/>
    <m/>
    <m/>
    <n v="0"/>
    <n v="-673433.8428743222"/>
  </r>
  <r>
    <x v="5"/>
    <x v="1"/>
    <d v="2018-08-02T00:00:00"/>
    <d v="2018-08-02T00:00:00"/>
    <m/>
    <m/>
    <m/>
    <n v="0"/>
    <m/>
    <m/>
    <n v="0"/>
    <n v="-673433.8428743222"/>
  </r>
  <r>
    <x v="5"/>
    <x v="1"/>
    <d v="2018-08-03T00:00:00"/>
    <d v="2018-08-03T00:00:00"/>
    <m/>
    <m/>
    <m/>
    <n v="0"/>
    <m/>
    <m/>
    <n v="0"/>
    <n v="-673433.8428743222"/>
  </r>
  <r>
    <x v="5"/>
    <x v="1"/>
    <d v="2018-08-04T00:00:00"/>
    <d v="2018-08-04T00:00:00"/>
    <m/>
    <m/>
    <m/>
    <n v="0"/>
    <m/>
    <m/>
    <n v="0"/>
    <n v="-673433.8428743222"/>
  </r>
  <r>
    <x v="5"/>
    <x v="1"/>
    <d v="2018-08-05T00:00:00"/>
    <d v="2018-08-05T00:00:00"/>
    <m/>
    <m/>
    <m/>
    <n v="0"/>
    <m/>
    <m/>
    <n v="0"/>
    <n v="-673433.8428743222"/>
  </r>
  <r>
    <x v="5"/>
    <x v="1"/>
    <d v="2018-08-06T00:00:00"/>
    <d v="2018-08-06T00:00:00"/>
    <m/>
    <m/>
    <m/>
    <n v="0"/>
    <m/>
    <m/>
    <n v="0"/>
    <n v="-673433.8428743222"/>
  </r>
  <r>
    <x v="5"/>
    <x v="1"/>
    <d v="2018-08-07T00:00:00"/>
    <d v="2018-08-07T00:00:00"/>
    <m/>
    <m/>
    <m/>
    <n v="0"/>
    <m/>
    <m/>
    <n v="0"/>
    <n v="-673433.8428743222"/>
  </r>
  <r>
    <x v="5"/>
    <x v="1"/>
    <d v="2018-08-08T00:00:00"/>
    <d v="2018-08-08T00:00:00"/>
    <m/>
    <m/>
    <m/>
    <n v="0"/>
    <m/>
    <m/>
    <n v="0"/>
    <n v="-673433.8428743222"/>
  </r>
  <r>
    <x v="5"/>
    <x v="1"/>
    <d v="2018-08-09T00:00:00"/>
    <d v="2018-08-09T00:00:00"/>
    <m/>
    <m/>
    <m/>
    <n v="0"/>
    <m/>
    <m/>
    <n v="0"/>
    <n v="-673433.8428743222"/>
  </r>
  <r>
    <x v="5"/>
    <x v="1"/>
    <d v="2018-08-10T00:00:00"/>
    <d v="2018-08-10T00:00:00"/>
    <m/>
    <m/>
    <m/>
    <n v="0"/>
    <m/>
    <m/>
    <n v="0"/>
    <n v="-673433.8428743222"/>
  </r>
  <r>
    <x v="5"/>
    <x v="1"/>
    <d v="2018-08-11T00:00:00"/>
    <d v="2018-08-11T00:00:00"/>
    <m/>
    <m/>
    <m/>
    <n v="0"/>
    <m/>
    <m/>
    <n v="0"/>
    <n v="-673433.8428743222"/>
  </r>
  <r>
    <x v="5"/>
    <x v="1"/>
    <d v="2018-08-12T00:00:00"/>
    <d v="2018-08-12T00:00:00"/>
    <m/>
    <m/>
    <m/>
    <n v="0"/>
    <m/>
    <m/>
    <n v="0"/>
    <n v="-673433.8428743222"/>
  </r>
  <r>
    <x v="5"/>
    <x v="1"/>
    <d v="2018-08-13T00:00:00"/>
    <d v="2018-08-13T00:00:00"/>
    <m/>
    <m/>
    <m/>
    <n v="0"/>
    <m/>
    <m/>
    <n v="0"/>
    <n v="-673433.8428743222"/>
  </r>
  <r>
    <x v="5"/>
    <x v="1"/>
    <d v="2018-08-14T00:00:00"/>
    <d v="2018-08-14T00:00:00"/>
    <m/>
    <m/>
    <m/>
    <n v="0"/>
    <m/>
    <m/>
    <n v="0"/>
    <n v="-673433.8428743222"/>
  </r>
  <r>
    <x v="5"/>
    <x v="1"/>
    <d v="2018-08-15T00:00:00"/>
    <d v="2018-08-15T00:00:00"/>
    <m/>
    <m/>
    <m/>
    <n v="0"/>
    <m/>
    <m/>
    <n v="0"/>
    <n v="-673433.8428743222"/>
  </r>
  <r>
    <x v="5"/>
    <x v="1"/>
    <d v="2018-08-16T00:00:00"/>
    <d v="2018-08-16T00:00:00"/>
    <m/>
    <m/>
    <m/>
    <n v="0"/>
    <m/>
    <m/>
    <n v="0"/>
    <n v="-673433.8428743222"/>
  </r>
  <r>
    <x v="5"/>
    <x v="1"/>
    <d v="2018-08-17T00:00:00"/>
    <d v="2018-08-17T00:00:00"/>
    <m/>
    <m/>
    <m/>
    <n v="0"/>
    <m/>
    <m/>
    <n v="0"/>
    <n v="-673433.8428743222"/>
  </r>
  <r>
    <x v="5"/>
    <x v="1"/>
    <d v="2018-08-18T00:00:00"/>
    <d v="2018-08-18T00:00:00"/>
    <m/>
    <m/>
    <m/>
    <n v="0"/>
    <m/>
    <m/>
    <n v="0"/>
    <n v="-673433.8428743222"/>
  </r>
  <r>
    <x v="5"/>
    <x v="1"/>
    <d v="2018-08-19T00:00:00"/>
    <d v="2018-08-19T00:00:00"/>
    <m/>
    <m/>
    <m/>
    <n v="0"/>
    <m/>
    <m/>
    <n v="0"/>
    <n v="-673433.8428743222"/>
  </r>
  <r>
    <x v="5"/>
    <x v="1"/>
    <d v="2018-08-20T00:00:00"/>
    <d v="2018-08-20T00:00:00"/>
    <m/>
    <m/>
    <m/>
    <n v="0"/>
    <m/>
    <m/>
    <n v="0"/>
    <n v="-673433.8428743222"/>
  </r>
  <r>
    <x v="5"/>
    <x v="1"/>
    <d v="2018-08-21T00:00:00"/>
    <d v="2018-08-21T00:00:00"/>
    <m/>
    <m/>
    <m/>
    <n v="0"/>
    <m/>
    <m/>
    <n v="0"/>
    <n v="-673433.8428743222"/>
  </r>
  <r>
    <x v="5"/>
    <x v="1"/>
    <d v="2018-08-22T00:00:00"/>
    <d v="2018-08-22T00:00:00"/>
    <m/>
    <m/>
    <m/>
    <n v="0"/>
    <m/>
    <m/>
    <n v="0"/>
    <n v="-673433.8428743222"/>
  </r>
  <r>
    <x v="5"/>
    <x v="1"/>
    <d v="2018-08-23T00:00:00"/>
    <d v="2018-08-23T00:00:00"/>
    <m/>
    <m/>
    <m/>
    <n v="0"/>
    <m/>
    <m/>
    <n v="0"/>
    <n v="-673433.8428743222"/>
  </r>
  <r>
    <x v="5"/>
    <x v="1"/>
    <d v="2018-08-24T00:00:00"/>
    <d v="2018-08-24T00:00:00"/>
    <m/>
    <m/>
    <m/>
    <n v="0"/>
    <m/>
    <m/>
    <n v="0"/>
    <n v="-673433.8428743222"/>
  </r>
  <r>
    <x v="5"/>
    <x v="1"/>
    <d v="2018-08-25T00:00:00"/>
    <d v="2018-08-25T00:00:00"/>
    <m/>
    <m/>
    <m/>
    <n v="0"/>
    <m/>
    <m/>
    <n v="0"/>
    <n v="-673433.8428743222"/>
  </r>
  <r>
    <x v="5"/>
    <x v="1"/>
    <d v="2018-08-26T00:00:00"/>
    <d v="2018-08-26T00:00:00"/>
    <m/>
    <m/>
    <m/>
    <n v="0"/>
    <m/>
    <m/>
    <n v="0"/>
    <n v="-673433.8428743222"/>
  </r>
  <r>
    <x v="5"/>
    <x v="1"/>
    <d v="2018-08-27T00:00:00"/>
    <d v="2018-08-27T00:00:00"/>
    <m/>
    <m/>
    <m/>
    <n v="0"/>
    <m/>
    <m/>
    <n v="0"/>
    <n v="-673433.8428743222"/>
  </r>
  <r>
    <x v="5"/>
    <x v="1"/>
    <d v="2018-08-28T00:00:00"/>
    <d v="2018-08-28T00:00:00"/>
    <m/>
    <m/>
    <m/>
    <n v="0"/>
    <m/>
    <m/>
    <n v="0"/>
    <n v="-673433.8428743222"/>
  </r>
  <r>
    <x v="5"/>
    <x v="1"/>
    <d v="2018-08-29T00:00:00"/>
    <d v="2018-08-29T00:00:00"/>
    <m/>
    <m/>
    <m/>
    <n v="0"/>
    <m/>
    <m/>
    <n v="0"/>
    <n v="-673433.8428743222"/>
  </r>
  <r>
    <x v="5"/>
    <x v="1"/>
    <d v="2018-08-30T00:00:00"/>
    <d v="2018-08-30T00:00:00"/>
    <m/>
    <m/>
    <m/>
    <n v="0"/>
    <m/>
    <m/>
    <n v="0"/>
    <n v="-673433.8428743222"/>
  </r>
  <r>
    <x v="5"/>
    <x v="1"/>
    <d v="2018-08-31T00:00:00"/>
    <d v="2018-08-31T00:00:00"/>
    <m/>
    <m/>
    <m/>
    <n v="0"/>
    <m/>
    <m/>
    <n v="0"/>
    <n v="-673433.8428743222"/>
  </r>
  <r>
    <x v="5"/>
    <x v="2"/>
    <d v="2018-09-01T00:00:00"/>
    <d v="2018-09-01T00:00:00"/>
    <m/>
    <m/>
    <m/>
    <n v="0"/>
    <m/>
    <m/>
    <n v="0"/>
    <n v="-673433.8428743222"/>
  </r>
  <r>
    <x v="5"/>
    <x v="2"/>
    <d v="2018-09-02T00:00:00"/>
    <d v="2018-09-02T00:00:00"/>
    <m/>
    <m/>
    <m/>
    <n v="0"/>
    <m/>
    <m/>
    <n v="0"/>
    <n v="-673433.8428743222"/>
  </r>
  <r>
    <x v="5"/>
    <x v="2"/>
    <d v="2018-09-03T00:00:00"/>
    <d v="2018-09-03T00:00:00"/>
    <m/>
    <m/>
    <m/>
    <n v="0"/>
    <m/>
    <m/>
    <n v="0"/>
    <n v="-673433.8428743222"/>
  </r>
  <r>
    <x v="5"/>
    <x v="2"/>
    <d v="2018-09-04T00:00:00"/>
    <d v="2018-09-04T00:00:00"/>
    <m/>
    <m/>
    <m/>
    <n v="0"/>
    <m/>
    <m/>
    <n v="0"/>
    <n v="-673433.8428743222"/>
  </r>
  <r>
    <x v="5"/>
    <x v="2"/>
    <d v="2018-09-05T00:00:00"/>
    <d v="2018-09-05T00:00:00"/>
    <m/>
    <m/>
    <m/>
    <n v="0"/>
    <m/>
    <m/>
    <n v="0"/>
    <n v="-673433.8428743222"/>
  </r>
  <r>
    <x v="5"/>
    <x v="2"/>
    <d v="2018-09-06T00:00:00"/>
    <d v="2018-09-06T00:00:00"/>
    <m/>
    <m/>
    <m/>
    <n v="0"/>
    <m/>
    <m/>
    <n v="0"/>
    <n v="-673433.8428743222"/>
  </r>
  <r>
    <x v="5"/>
    <x v="2"/>
    <d v="2018-09-07T00:00:00"/>
    <d v="2018-09-07T00:00:00"/>
    <m/>
    <m/>
    <m/>
    <n v="0"/>
    <m/>
    <m/>
    <n v="0"/>
    <n v="-673433.8428743222"/>
  </r>
  <r>
    <x v="5"/>
    <x v="2"/>
    <d v="2018-09-08T00:00:00"/>
    <d v="2018-09-08T00:00:00"/>
    <m/>
    <m/>
    <m/>
    <n v="0"/>
    <m/>
    <m/>
    <n v="0"/>
    <n v="-673433.8428743222"/>
  </r>
  <r>
    <x v="5"/>
    <x v="2"/>
    <d v="2018-09-09T00:00:00"/>
    <d v="2018-09-09T00:00:00"/>
    <m/>
    <m/>
    <m/>
    <n v="0"/>
    <m/>
    <m/>
    <n v="0"/>
    <n v="-673433.8428743222"/>
  </r>
  <r>
    <x v="5"/>
    <x v="2"/>
    <d v="2018-09-10T00:00:00"/>
    <d v="2018-09-10T00:00:00"/>
    <m/>
    <m/>
    <m/>
    <n v="0"/>
    <m/>
    <m/>
    <n v="0"/>
    <n v="-673433.8428743222"/>
  </r>
  <r>
    <x v="5"/>
    <x v="2"/>
    <d v="2018-09-11T00:00:00"/>
    <d v="2018-09-11T00:00:00"/>
    <m/>
    <m/>
    <m/>
    <n v="0"/>
    <m/>
    <m/>
    <n v="0"/>
    <n v="-673433.8428743222"/>
  </r>
  <r>
    <x v="5"/>
    <x v="2"/>
    <d v="2018-09-12T00:00:00"/>
    <d v="2018-09-12T00:00:00"/>
    <m/>
    <m/>
    <m/>
    <n v="0"/>
    <m/>
    <m/>
    <n v="0"/>
    <n v="-673433.8428743222"/>
  </r>
  <r>
    <x v="5"/>
    <x v="2"/>
    <d v="2018-09-13T00:00:00"/>
    <d v="2018-09-13T00:00:00"/>
    <m/>
    <m/>
    <m/>
    <n v="0"/>
    <m/>
    <m/>
    <n v="0"/>
    <n v="-673433.8428743222"/>
  </r>
  <r>
    <x v="5"/>
    <x v="2"/>
    <d v="2018-09-14T00:00:00"/>
    <d v="2018-09-14T00:00:00"/>
    <m/>
    <m/>
    <m/>
    <n v="0"/>
    <m/>
    <m/>
    <n v="0"/>
    <n v="-673433.8428743222"/>
  </r>
  <r>
    <x v="5"/>
    <x v="2"/>
    <d v="2018-09-15T00:00:00"/>
    <d v="2018-09-15T00:00:00"/>
    <m/>
    <m/>
    <m/>
    <n v="0"/>
    <m/>
    <m/>
    <n v="0"/>
    <n v="-673433.8428743222"/>
  </r>
  <r>
    <x v="5"/>
    <x v="2"/>
    <d v="2018-09-16T00:00:00"/>
    <d v="2018-09-16T00:00:00"/>
    <m/>
    <m/>
    <m/>
    <n v="0"/>
    <m/>
    <m/>
    <n v="0"/>
    <n v="-673433.8428743222"/>
  </r>
  <r>
    <x v="5"/>
    <x v="2"/>
    <d v="2018-09-17T00:00:00"/>
    <d v="2018-09-17T00:00:00"/>
    <m/>
    <m/>
    <m/>
    <n v="0"/>
    <m/>
    <m/>
    <n v="0"/>
    <n v="-673433.8428743222"/>
  </r>
  <r>
    <x v="5"/>
    <x v="2"/>
    <d v="2018-09-18T00:00:00"/>
    <d v="2018-09-18T00:00:00"/>
    <m/>
    <m/>
    <m/>
    <n v="0"/>
    <m/>
    <m/>
    <n v="0"/>
    <n v="-673433.8428743222"/>
  </r>
  <r>
    <x v="5"/>
    <x v="2"/>
    <d v="2018-09-19T00:00:00"/>
    <d v="2018-09-19T00:00:00"/>
    <m/>
    <m/>
    <m/>
    <n v="0"/>
    <m/>
    <m/>
    <n v="0"/>
    <n v="-673433.8428743222"/>
  </r>
  <r>
    <x v="5"/>
    <x v="2"/>
    <d v="2018-09-20T00:00:00"/>
    <d v="2018-09-20T00:00:00"/>
    <m/>
    <m/>
    <m/>
    <n v="0"/>
    <m/>
    <m/>
    <n v="0"/>
    <n v="-673433.8428743222"/>
  </r>
  <r>
    <x v="5"/>
    <x v="2"/>
    <d v="2018-09-21T00:00:00"/>
    <d v="2018-09-21T00:00:00"/>
    <m/>
    <m/>
    <m/>
    <n v="0"/>
    <m/>
    <m/>
    <n v="0"/>
    <n v="-673433.8428743222"/>
  </r>
  <r>
    <x v="5"/>
    <x v="2"/>
    <d v="2018-09-22T00:00:00"/>
    <d v="2018-09-22T00:00:00"/>
    <m/>
    <m/>
    <m/>
    <n v="0"/>
    <m/>
    <m/>
    <n v="0"/>
    <n v="-673433.8428743222"/>
  </r>
  <r>
    <x v="5"/>
    <x v="2"/>
    <d v="2018-09-23T00:00:00"/>
    <d v="2018-09-23T00:00:00"/>
    <m/>
    <m/>
    <m/>
    <n v="0"/>
    <m/>
    <m/>
    <n v="0"/>
    <n v="-673433.8428743222"/>
  </r>
  <r>
    <x v="5"/>
    <x v="2"/>
    <d v="2018-09-24T00:00:00"/>
    <d v="2018-09-24T00:00:00"/>
    <m/>
    <m/>
    <m/>
    <n v="0"/>
    <m/>
    <m/>
    <n v="0"/>
    <n v="-673433.8428743222"/>
  </r>
  <r>
    <x v="5"/>
    <x v="2"/>
    <d v="2018-09-25T00:00:00"/>
    <d v="2018-09-25T00:00:00"/>
    <m/>
    <m/>
    <m/>
    <n v="0"/>
    <m/>
    <m/>
    <n v="0"/>
    <n v="-673433.8428743222"/>
  </r>
  <r>
    <x v="5"/>
    <x v="2"/>
    <d v="2018-09-26T00:00:00"/>
    <d v="2018-09-26T00:00:00"/>
    <m/>
    <m/>
    <m/>
    <n v="0"/>
    <m/>
    <m/>
    <n v="0"/>
    <n v="-673433.8428743222"/>
  </r>
  <r>
    <x v="5"/>
    <x v="2"/>
    <d v="2018-09-27T00:00:00"/>
    <d v="2018-09-27T00:00:00"/>
    <m/>
    <m/>
    <m/>
    <n v="0"/>
    <m/>
    <m/>
    <n v="0"/>
    <n v="-673433.8428743222"/>
  </r>
  <r>
    <x v="5"/>
    <x v="2"/>
    <d v="2018-09-28T00:00:00"/>
    <d v="2018-09-28T00:00:00"/>
    <m/>
    <m/>
    <m/>
    <n v="0"/>
    <m/>
    <m/>
    <n v="0"/>
    <n v="-673433.8428743222"/>
  </r>
  <r>
    <x v="5"/>
    <x v="2"/>
    <d v="2018-09-29T00:00:00"/>
    <d v="2018-09-29T00:00:00"/>
    <m/>
    <m/>
    <m/>
    <n v="0"/>
    <m/>
    <m/>
    <n v="0"/>
    <n v="-673433.8428743222"/>
  </r>
  <r>
    <x v="5"/>
    <x v="2"/>
    <d v="2018-09-30T00:00:00"/>
    <d v="2018-09-30T00:00:00"/>
    <m/>
    <m/>
    <m/>
    <n v="0"/>
    <m/>
    <m/>
    <n v="0"/>
    <n v="-673433.8428743222"/>
  </r>
  <r>
    <x v="5"/>
    <x v="3"/>
    <d v="2018-10-01T00:00:00"/>
    <d v="2018-10-01T00:00:00"/>
    <m/>
    <m/>
    <m/>
    <n v="0"/>
    <m/>
    <m/>
    <n v="0"/>
    <n v="-673433.8428743222"/>
  </r>
  <r>
    <x v="5"/>
    <x v="3"/>
    <d v="2018-10-02T00:00:00"/>
    <d v="2018-10-02T00:00:00"/>
    <m/>
    <m/>
    <m/>
    <n v="0"/>
    <m/>
    <m/>
    <n v="0"/>
    <n v="-673433.8428743222"/>
  </r>
  <r>
    <x v="5"/>
    <x v="3"/>
    <d v="2018-10-03T00:00:00"/>
    <d v="2018-10-03T00:00:00"/>
    <m/>
    <m/>
    <m/>
    <n v="0"/>
    <m/>
    <m/>
    <n v="0"/>
    <n v="-673433.8428743222"/>
  </r>
  <r>
    <x v="5"/>
    <x v="3"/>
    <d v="2018-10-04T00:00:00"/>
    <d v="2018-10-04T00:00:00"/>
    <m/>
    <m/>
    <m/>
    <n v="0"/>
    <m/>
    <m/>
    <n v="0"/>
    <n v="-673433.8428743222"/>
  </r>
  <r>
    <x v="5"/>
    <x v="3"/>
    <d v="2018-10-05T00:00:00"/>
    <d v="2018-10-05T00:00:00"/>
    <m/>
    <m/>
    <m/>
    <n v="0"/>
    <m/>
    <m/>
    <n v="0"/>
    <n v="-673433.8428743222"/>
  </r>
  <r>
    <x v="5"/>
    <x v="3"/>
    <d v="2018-10-06T00:00:00"/>
    <d v="2018-10-06T00:00:00"/>
    <m/>
    <m/>
    <m/>
    <n v="0"/>
    <m/>
    <m/>
    <n v="0"/>
    <n v="-673433.8428743222"/>
  </r>
  <r>
    <x v="5"/>
    <x v="3"/>
    <d v="2018-10-07T00:00:00"/>
    <d v="2018-10-07T00:00:00"/>
    <m/>
    <m/>
    <m/>
    <n v="0"/>
    <m/>
    <m/>
    <n v="0"/>
    <n v="-673433.8428743222"/>
  </r>
  <r>
    <x v="5"/>
    <x v="3"/>
    <d v="2018-10-08T00:00:00"/>
    <d v="2018-10-08T00:00:00"/>
    <m/>
    <m/>
    <m/>
    <n v="0"/>
    <m/>
    <m/>
    <n v="0"/>
    <n v="-673433.8428743222"/>
  </r>
  <r>
    <x v="5"/>
    <x v="3"/>
    <d v="2018-10-09T00:00:00"/>
    <d v="2018-10-09T00:00:00"/>
    <m/>
    <m/>
    <m/>
    <n v="0"/>
    <m/>
    <m/>
    <n v="0"/>
    <n v="-673433.8428743222"/>
  </r>
  <r>
    <x v="5"/>
    <x v="3"/>
    <d v="2018-10-10T00:00:00"/>
    <d v="2018-10-10T00:00:00"/>
    <m/>
    <m/>
    <m/>
    <n v="0"/>
    <m/>
    <m/>
    <n v="0"/>
    <n v="-673433.8428743222"/>
  </r>
  <r>
    <x v="5"/>
    <x v="3"/>
    <d v="2018-10-11T00:00:00"/>
    <d v="2018-10-11T00:00:00"/>
    <m/>
    <m/>
    <m/>
    <n v="0"/>
    <m/>
    <m/>
    <n v="0"/>
    <n v="-673433.8428743222"/>
  </r>
  <r>
    <x v="5"/>
    <x v="3"/>
    <d v="2018-10-12T00:00:00"/>
    <d v="2018-10-12T00:00:00"/>
    <m/>
    <m/>
    <m/>
    <n v="0"/>
    <m/>
    <m/>
    <n v="0"/>
    <n v="-673433.8428743222"/>
  </r>
  <r>
    <x v="5"/>
    <x v="3"/>
    <d v="2018-10-13T00:00:00"/>
    <d v="2018-10-13T00:00:00"/>
    <m/>
    <m/>
    <m/>
    <n v="0"/>
    <m/>
    <m/>
    <n v="0"/>
    <n v="-673433.8428743222"/>
  </r>
  <r>
    <x v="5"/>
    <x v="3"/>
    <d v="2018-10-14T00:00:00"/>
    <d v="2018-10-14T00:00:00"/>
    <m/>
    <m/>
    <m/>
    <n v="0"/>
    <m/>
    <m/>
    <n v="0"/>
    <n v="-673433.8428743222"/>
  </r>
  <r>
    <x v="5"/>
    <x v="3"/>
    <d v="2018-10-15T00:00:00"/>
    <d v="2018-10-15T00:00:00"/>
    <m/>
    <m/>
    <m/>
    <n v="0"/>
    <m/>
    <m/>
    <n v="0"/>
    <n v="-673433.8428743222"/>
  </r>
  <r>
    <x v="5"/>
    <x v="3"/>
    <d v="2018-10-16T00:00:00"/>
    <d v="2018-10-16T00:00:00"/>
    <m/>
    <m/>
    <m/>
    <n v="0"/>
    <m/>
    <m/>
    <n v="0"/>
    <n v="-673433.8428743222"/>
  </r>
  <r>
    <x v="5"/>
    <x v="3"/>
    <d v="2018-10-17T00:00:00"/>
    <d v="2018-10-17T00:00:00"/>
    <m/>
    <m/>
    <m/>
    <n v="0"/>
    <m/>
    <m/>
    <n v="0"/>
    <n v="-673433.8428743222"/>
  </r>
  <r>
    <x v="5"/>
    <x v="3"/>
    <d v="2018-10-18T00:00:00"/>
    <d v="2018-10-18T00:00:00"/>
    <m/>
    <m/>
    <m/>
    <n v="0"/>
    <m/>
    <m/>
    <n v="0"/>
    <n v="-673433.8428743222"/>
  </r>
  <r>
    <x v="5"/>
    <x v="3"/>
    <d v="2018-10-19T00:00:00"/>
    <d v="2018-10-19T00:00:00"/>
    <m/>
    <m/>
    <m/>
    <n v="0"/>
    <m/>
    <m/>
    <n v="0"/>
    <n v="-673433.8428743222"/>
  </r>
  <r>
    <x v="5"/>
    <x v="3"/>
    <d v="2018-10-20T00:00:00"/>
    <d v="2018-10-20T00:00:00"/>
    <m/>
    <m/>
    <m/>
    <n v="0"/>
    <m/>
    <m/>
    <n v="0"/>
    <n v="-673433.8428743222"/>
  </r>
  <r>
    <x v="5"/>
    <x v="3"/>
    <d v="2018-10-21T00:00:00"/>
    <d v="2018-10-21T00:00:00"/>
    <m/>
    <m/>
    <m/>
    <n v="0"/>
    <m/>
    <m/>
    <n v="0"/>
    <n v="-673433.8428743222"/>
  </r>
  <r>
    <x v="5"/>
    <x v="3"/>
    <d v="2018-10-22T00:00:00"/>
    <d v="2018-10-22T00:00:00"/>
    <m/>
    <m/>
    <m/>
    <n v="0"/>
    <m/>
    <m/>
    <n v="0"/>
    <n v="-673433.8428743222"/>
  </r>
  <r>
    <x v="5"/>
    <x v="3"/>
    <d v="2018-10-23T00:00:00"/>
    <d v="2018-10-23T00:00:00"/>
    <m/>
    <m/>
    <m/>
    <n v="0"/>
    <m/>
    <m/>
    <n v="0"/>
    <n v="-673433.8428743222"/>
  </r>
  <r>
    <x v="5"/>
    <x v="3"/>
    <d v="2018-10-24T00:00:00"/>
    <d v="2018-10-24T00:00:00"/>
    <m/>
    <m/>
    <m/>
    <n v="0"/>
    <m/>
    <m/>
    <n v="0"/>
    <n v="-673433.8428743222"/>
  </r>
  <r>
    <x v="5"/>
    <x v="3"/>
    <d v="2018-10-25T00:00:00"/>
    <d v="2018-10-25T00:00:00"/>
    <m/>
    <m/>
    <m/>
    <n v="0"/>
    <m/>
    <m/>
    <n v="0"/>
    <n v="-673433.8428743222"/>
  </r>
  <r>
    <x v="5"/>
    <x v="3"/>
    <d v="2018-10-26T00:00:00"/>
    <d v="2018-10-26T00:00:00"/>
    <m/>
    <m/>
    <m/>
    <n v="0"/>
    <m/>
    <m/>
    <n v="0"/>
    <n v="-673433.8428743222"/>
  </r>
  <r>
    <x v="5"/>
    <x v="3"/>
    <d v="2018-10-27T00:00:00"/>
    <d v="2018-10-27T00:00:00"/>
    <m/>
    <m/>
    <m/>
    <n v="0"/>
    <m/>
    <m/>
    <n v="0"/>
    <n v="-673433.8428743222"/>
  </r>
  <r>
    <x v="5"/>
    <x v="3"/>
    <d v="2018-10-28T00:00:00"/>
    <d v="2018-10-28T00:00:00"/>
    <m/>
    <m/>
    <m/>
    <n v="0"/>
    <m/>
    <m/>
    <n v="0"/>
    <n v="-673433.8428743222"/>
  </r>
  <r>
    <x v="5"/>
    <x v="3"/>
    <d v="2018-10-29T00:00:00"/>
    <d v="2018-10-29T00:00:00"/>
    <m/>
    <m/>
    <m/>
    <n v="0"/>
    <m/>
    <m/>
    <n v="0"/>
    <n v="-673433.8428743222"/>
  </r>
  <r>
    <x v="5"/>
    <x v="3"/>
    <d v="2018-10-30T00:00:00"/>
    <d v="2018-10-30T00:00:00"/>
    <m/>
    <m/>
    <m/>
    <n v="0"/>
    <m/>
    <m/>
    <n v="0"/>
    <n v="-673433.8428743222"/>
  </r>
  <r>
    <x v="5"/>
    <x v="3"/>
    <d v="2018-10-31T00:00:00"/>
    <d v="2018-10-31T00:00:00"/>
    <m/>
    <m/>
    <m/>
    <n v="0"/>
    <m/>
    <m/>
    <n v="0"/>
    <n v="-673433.8428743222"/>
  </r>
  <r>
    <x v="5"/>
    <x v="4"/>
    <d v="2018-11-01T00:00:00"/>
    <d v="2018-11-01T00:00:00"/>
    <m/>
    <m/>
    <m/>
    <n v="0"/>
    <m/>
    <m/>
    <n v="0"/>
    <n v="-673433.8428743222"/>
  </r>
  <r>
    <x v="5"/>
    <x v="4"/>
    <d v="2018-11-02T00:00:00"/>
    <d v="2018-11-02T00:00:00"/>
    <m/>
    <m/>
    <m/>
    <n v="0"/>
    <m/>
    <m/>
    <n v="0"/>
    <n v="-673433.8428743222"/>
  </r>
  <r>
    <x v="5"/>
    <x v="4"/>
    <d v="2018-11-03T00:00:00"/>
    <d v="2018-11-03T00:00:00"/>
    <m/>
    <m/>
    <m/>
    <n v="0"/>
    <m/>
    <m/>
    <n v="0"/>
    <n v="-673433.8428743222"/>
  </r>
  <r>
    <x v="5"/>
    <x v="4"/>
    <d v="2018-11-04T00:00:00"/>
    <d v="2018-11-04T00:00:00"/>
    <m/>
    <m/>
    <m/>
    <n v="0"/>
    <m/>
    <m/>
    <n v="0"/>
    <n v="-673433.8428743222"/>
  </r>
  <r>
    <x v="5"/>
    <x v="4"/>
    <d v="2018-11-05T00:00:00"/>
    <d v="2018-11-05T00:00:00"/>
    <m/>
    <m/>
    <m/>
    <n v="0"/>
    <m/>
    <m/>
    <n v="0"/>
    <n v="-673433.8428743222"/>
  </r>
  <r>
    <x v="5"/>
    <x v="4"/>
    <d v="2018-11-06T00:00:00"/>
    <d v="2018-11-06T00:00:00"/>
    <m/>
    <m/>
    <m/>
    <n v="0"/>
    <m/>
    <m/>
    <n v="0"/>
    <n v="-673433.8428743222"/>
  </r>
  <r>
    <x v="5"/>
    <x v="4"/>
    <d v="2018-11-07T00:00:00"/>
    <d v="2018-11-07T00:00:00"/>
    <m/>
    <m/>
    <m/>
    <n v="0"/>
    <m/>
    <m/>
    <n v="0"/>
    <n v="-673433.8428743222"/>
  </r>
  <r>
    <x v="5"/>
    <x v="4"/>
    <d v="2018-11-08T00:00:00"/>
    <d v="2018-11-08T00:00:00"/>
    <m/>
    <m/>
    <m/>
    <n v="0"/>
    <m/>
    <m/>
    <n v="0"/>
    <n v="-673433.8428743222"/>
  </r>
  <r>
    <x v="5"/>
    <x v="4"/>
    <d v="2018-11-09T00:00:00"/>
    <d v="2018-11-09T00:00:00"/>
    <m/>
    <m/>
    <m/>
    <n v="0"/>
    <m/>
    <m/>
    <n v="0"/>
    <n v="-673433.8428743222"/>
  </r>
  <r>
    <x v="5"/>
    <x v="4"/>
    <d v="2018-11-10T00:00:00"/>
    <d v="2018-11-10T00:00:00"/>
    <m/>
    <m/>
    <m/>
    <n v="0"/>
    <m/>
    <m/>
    <n v="0"/>
    <n v="-673433.8428743222"/>
  </r>
  <r>
    <x v="5"/>
    <x v="4"/>
    <d v="2018-11-11T00:00:00"/>
    <d v="2018-11-11T00:00:00"/>
    <m/>
    <m/>
    <m/>
    <n v="0"/>
    <m/>
    <m/>
    <n v="0"/>
    <n v="-673433.8428743222"/>
  </r>
  <r>
    <x v="5"/>
    <x v="4"/>
    <d v="2018-11-12T00:00:00"/>
    <d v="2018-11-12T00:00:00"/>
    <m/>
    <m/>
    <m/>
    <n v="0"/>
    <m/>
    <m/>
    <n v="0"/>
    <n v="-673433.8428743222"/>
  </r>
  <r>
    <x v="5"/>
    <x v="4"/>
    <d v="2018-11-13T00:00:00"/>
    <d v="2018-11-13T00:00:00"/>
    <m/>
    <m/>
    <m/>
    <n v="0"/>
    <m/>
    <m/>
    <n v="0"/>
    <n v="-673433.8428743222"/>
  </r>
  <r>
    <x v="5"/>
    <x v="4"/>
    <d v="2018-11-14T00:00:00"/>
    <d v="2018-11-14T00:00:00"/>
    <m/>
    <m/>
    <m/>
    <n v="0"/>
    <m/>
    <m/>
    <n v="0"/>
    <n v="-673433.8428743222"/>
  </r>
  <r>
    <x v="5"/>
    <x v="4"/>
    <d v="2018-11-15T00:00:00"/>
    <d v="2018-11-15T00:00:00"/>
    <m/>
    <m/>
    <m/>
    <n v="0"/>
    <m/>
    <m/>
    <n v="0"/>
    <n v="-673433.8428743222"/>
  </r>
  <r>
    <x v="5"/>
    <x v="4"/>
    <d v="2018-11-16T00:00:00"/>
    <d v="2018-11-16T00:00:00"/>
    <m/>
    <m/>
    <m/>
    <n v="0"/>
    <m/>
    <m/>
    <n v="0"/>
    <n v="-673433.8428743222"/>
  </r>
  <r>
    <x v="5"/>
    <x v="4"/>
    <d v="2018-11-17T00:00:00"/>
    <d v="2018-11-17T00:00:00"/>
    <m/>
    <m/>
    <m/>
    <n v="0"/>
    <m/>
    <m/>
    <n v="0"/>
    <n v="-673433.8428743222"/>
  </r>
  <r>
    <x v="5"/>
    <x v="4"/>
    <d v="2018-11-18T00:00:00"/>
    <d v="2018-11-18T00:00:00"/>
    <m/>
    <m/>
    <m/>
    <n v="0"/>
    <m/>
    <m/>
    <n v="0"/>
    <n v="-673433.8428743222"/>
  </r>
  <r>
    <x v="5"/>
    <x v="4"/>
    <d v="2018-11-19T00:00:00"/>
    <d v="2018-11-19T00:00:00"/>
    <m/>
    <m/>
    <m/>
    <n v="0"/>
    <m/>
    <m/>
    <n v="0"/>
    <n v="-673433.8428743222"/>
  </r>
  <r>
    <x v="5"/>
    <x v="4"/>
    <d v="2018-11-20T00:00:00"/>
    <d v="2018-11-20T00:00:00"/>
    <m/>
    <m/>
    <m/>
    <n v="0"/>
    <m/>
    <m/>
    <n v="0"/>
    <n v="-673433.8428743222"/>
  </r>
  <r>
    <x v="5"/>
    <x v="4"/>
    <d v="2018-11-21T00:00:00"/>
    <d v="2018-11-21T00:00:00"/>
    <m/>
    <m/>
    <m/>
    <n v="0"/>
    <m/>
    <m/>
    <n v="0"/>
    <n v="-673433.8428743222"/>
  </r>
  <r>
    <x v="5"/>
    <x v="4"/>
    <d v="2018-11-22T00:00:00"/>
    <d v="2018-11-22T00:00:00"/>
    <m/>
    <m/>
    <m/>
    <n v="0"/>
    <m/>
    <m/>
    <n v="0"/>
    <n v="-673433.8428743222"/>
  </r>
  <r>
    <x v="5"/>
    <x v="4"/>
    <d v="2018-11-23T00:00:00"/>
    <d v="2018-11-23T00:00:00"/>
    <m/>
    <m/>
    <m/>
    <n v="0"/>
    <m/>
    <m/>
    <n v="0"/>
    <n v="-673433.8428743222"/>
  </r>
  <r>
    <x v="5"/>
    <x v="4"/>
    <d v="2018-11-24T00:00:00"/>
    <d v="2018-11-24T00:00:00"/>
    <m/>
    <m/>
    <m/>
    <n v="0"/>
    <m/>
    <m/>
    <n v="0"/>
    <n v="-673433.8428743222"/>
  </r>
  <r>
    <x v="5"/>
    <x v="4"/>
    <d v="2018-11-25T00:00:00"/>
    <d v="2018-11-25T00:00:00"/>
    <m/>
    <m/>
    <m/>
    <n v="0"/>
    <m/>
    <m/>
    <n v="0"/>
    <n v="-673433.8428743222"/>
  </r>
  <r>
    <x v="5"/>
    <x v="4"/>
    <d v="2018-11-26T00:00:00"/>
    <d v="2018-11-26T00:00:00"/>
    <m/>
    <m/>
    <m/>
    <n v="0"/>
    <m/>
    <m/>
    <n v="0"/>
    <n v="-673433.8428743222"/>
  </r>
  <r>
    <x v="5"/>
    <x v="4"/>
    <d v="2018-11-27T00:00:00"/>
    <d v="2018-11-27T00:00:00"/>
    <m/>
    <m/>
    <m/>
    <n v="0"/>
    <m/>
    <m/>
    <n v="0"/>
    <n v="-673433.8428743222"/>
  </r>
  <r>
    <x v="5"/>
    <x v="4"/>
    <d v="2018-11-28T00:00:00"/>
    <d v="2018-11-28T00:00:00"/>
    <m/>
    <m/>
    <m/>
    <n v="0"/>
    <m/>
    <m/>
    <n v="0"/>
    <n v="-673433.842874322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8">
  <r>
    <x v="0"/>
    <n v="4326979"/>
    <n v="800642440"/>
    <m/>
    <s v="MEX"/>
    <x v="0"/>
    <x v="0"/>
    <s v="Gasoducto Corredor Chihuahua"/>
    <n v="2502"/>
    <x v="0"/>
    <x v="0"/>
    <n v="4"/>
    <x v="0"/>
    <x v="0"/>
    <x v="0"/>
    <x v="0"/>
    <s v="USD"/>
    <x v="0"/>
    <x v="0"/>
    <s v="A02"/>
    <x v="0"/>
    <n v="180002280"/>
    <d v="2014-04-04T00:00:00"/>
    <n v="4524319.7241379311"/>
    <n v="723891.15586206899"/>
    <n v="5248210.88"/>
    <n v="59264516.491379313"/>
    <n v="9482322.6386206895"/>
    <n v="68746839.129999995"/>
    <n v="13.099099998436039"/>
    <n v="140009896"/>
    <d v="2014-04-23T00:00:00"/>
    <n v="4524319.7241379311"/>
    <n v="723891.15586206899"/>
    <n v="5248210.88"/>
    <n v="59003010.81840001"/>
    <n v="9440481.730944002"/>
    <n v="68443492.549344003"/>
    <n v="13.0413"/>
    <m/>
    <m/>
    <n v="-261505.6729793027"/>
    <n v="-41840.907676689327"/>
    <n v="-303346.58065599203"/>
  </r>
  <r>
    <x v="0"/>
    <n v="4326979"/>
    <n v="800642440"/>
    <m/>
    <s v="MEX"/>
    <x v="0"/>
    <x v="0"/>
    <s v="Gasoducto Corredor Chihuahua"/>
    <n v="2502"/>
    <x v="0"/>
    <x v="0"/>
    <n v="6"/>
    <x v="1"/>
    <x v="1"/>
    <x v="1"/>
    <x v="0"/>
    <s v="USD"/>
    <x v="0"/>
    <x v="0"/>
    <s v="A02"/>
    <x v="0"/>
    <n v="180003913"/>
    <d v="2014-06-05T00:00:00"/>
    <n v="4524380.6293103453"/>
    <n v="723900.90068965522"/>
    <n v="5248281.53"/>
    <n v="58566749.93103449"/>
    <n v="9370679.9889655188"/>
    <n v="67937429.920000002"/>
    <n v="12.944699999734961"/>
    <n v="140015982"/>
    <d v="2014-06-25T00:00:00"/>
    <n v="4524380.6293103453"/>
    <n v="723900.90068965522"/>
    <n v="5248281.53"/>
    <n v="58842284.712558627"/>
    <n v="9414765.5540093798"/>
    <n v="68257050.266568005"/>
    <n v="13.005599999999999"/>
    <m/>
    <m/>
    <n v="275534.78152413666"/>
    <n v="44085.565043866634"/>
    <n v="319620.3465680033"/>
  </r>
  <r>
    <x v="0"/>
    <n v="4326979"/>
    <n v="800642440"/>
    <m/>
    <s v="MEX"/>
    <x v="0"/>
    <x v="0"/>
    <s v="Gasoducto Corredor Chihuahua"/>
    <n v="2502"/>
    <x v="0"/>
    <x v="0"/>
    <n v="12"/>
    <x v="2"/>
    <x v="2"/>
    <x v="2"/>
    <x v="0"/>
    <s v="USD"/>
    <x v="0"/>
    <x v="0"/>
    <s v="A02"/>
    <x v="0"/>
    <n v="180008883"/>
    <d v="2014-12-03T00:00:00"/>
    <n v="4378109.0258620689"/>
    <n v="700497.44413793099"/>
    <n v="5078606.47"/>
    <n v="60970421.913793109"/>
    <n v="9755267.506206898"/>
    <n v="70725689.420000002"/>
    <n v="13.926199999504984"/>
    <n v="140033882"/>
    <d v="2014-12-22T00:00:00"/>
    <n v="4378109.0258620689"/>
    <n v="700497.44413793099"/>
    <n v="5078606.47"/>
    <n v="63728630.602253452"/>
    <n v="10196580.896360552"/>
    <n v="73925211.498613998"/>
    <n v="14.5562"/>
    <m/>
    <m/>
    <n v="2758208.6884603426"/>
    <n v="441313.39015365392"/>
    <n v="3199522.0786139965"/>
  </r>
  <r>
    <x v="0"/>
    <n v="4326979"/>
    <n v="800642440"/>
    <m/>
    <s v="MEX"/>
    <x v="0"/>
    <x v="0"/>
    <s v="Gasoducto Corredor Chihuahua"/>
    <n v="2502"/>
    <x v="0"/>
    <x v="0"/>
    <n v="11"/>
    <x v="3"/>
    <x v="3"/>
    <x v="3"/>
    <x v="0"/>
    <s v="USD"/>
    <x v="0"/>
    <x v="0"/>
    <s v="A02"/>
    <x v="0"/>
    <n v="180008148"/>
    <d v="2104-11-04T00:00:00"/>
    <n v="4524177.4224137934"/>
    <n v="723868.38758620701"/>
    <n v="5248045.8099999996"/>
    <n v="60973696.379310347"/>
    <n v="9755791.4206896555"/>
    <n v="70729487.799999997"/>
    <n v="13.477300000931205"/>
    <n v="140031091"/>
    <d v="2014-11-24T00:00:00"/>
    <n v="4524177.4224137934"/>
    <n v="723868.38758620701"/>
    <n v="5248045.8099999996"/>
    <n v="61580840.985185333"/>
    <n v="9852934.5576296542"/>
    <n v="71433775.542814985"/>
    <n v="13.611499999999999"/>
    <m/>
    <m/>
    <n v="607144.60587498546"/>
    <n v="97143.136940002441"/>
    <n v="704287.7428149879"/>
  </r>
  <r>
    <x v="0"/>
    <n v="4326979"/>
    <n v="800642440"/>
    <m/>
    <s v="MEX"/>
    <x v="0"/>
    <x v="0"/>
    <s v="Gasoducto Corredor Chihuahua"/>
    <n v="2502"/>
    <x v="0"/>
    <x v="0"/>
    <n v="10"/>
    <x v="4"/>
    <x v="4"/>
    <x v="4"/>
    <x v="0"/>
    <s v="USD"/>
    <x v="0"/>
    <x v="0"/>
    <s v="A02"/>
    <x v="0"/>
    <n v="180007262"/>
    <d v="2014-10-08T00:00:00"/>
    <n v="4378286.0431034481"/>
    <n v="700525.76689655171"/>
    <n v="5078811.8099999996"/>
    <n v="58707999.72413794"/>
    <n v="9393279.9558620714"/>
    <n v="68101279.680000007"/>
    <n v="13.408900000175437"/>
    <n v="140027790"/>
    <d v="2014-10-22T00:00:00"/>
    <n v="4378286.0431034481"/>
    <n v="700525.76689655171"/>
    <n v="5078811.8099999996"/>
    <n v="59263166.393635347"/>
    <n v="9482106.6229816563"/>
    <n v="68745273.016617"/>
    <n v="13.5357"/>
    <m/>
    <m/>
    <n v="555166.66949740797"/>
    <n v="88826.667119584978"/>
    <n v="643993.33661699295"/>
  </r>
  <r>
    <x v="0"/>
    <n v="4326979"/>
    <n v="800642440"/>
    <m/>
    <s v="MEX"/>
    <x v="0"/>
    <x v="0"/>
    <s v="Gasoducto Corredor Chihuahua"/>
    <n v="2502"/>
    <x v="1"/>
    <x v="0"/>
    <n v="1"/>
    <x v="5"/>
    <x v="5"/>
    <x v="5"/>
    <x v="0"/>
    <s v="USD"/>
    <x v="0"/>
    <x v="0"/>
    <s v="A02"/>
    <x v="0"/>
    <n v="180000060"/>
    <d v="2015-01-08T00:00:00"/>
    <n v="4524111.0775862066"/>
    <n v="723857.77241379302"/>
    <n v="5247968.8499999996"/>
    <n v="67173548.862068981"/>
    <n v="10747767.817931037"/>
    <n v="77921316.680000007"/>
    <n v="14.847899998491799"/>
    <n v="140001797"/>
    <d v="2015-01-26T00:00:00"/>
    <n v="4524111.0775862066"/>
    <n v="723857.77241379302"/>
    <n v="5247968.8499999996"/>
    <n v="66106311.065689661"/>
    <n v="10577009.770510346"/>
    <n v="76683320.836199999"/>
    <n v="14.612"/>
    <m/>
    <m/>
    <n v="-1067237.7963793203"/>
    <n v="-170758.04742068797"/>
    <n v="-1237995.8438000083"/>
  </r>
  <r>
    <x v="0"/>
    <n v="4326979"/>
    <n v="800642440"/>
    <m/>
    <s v="MEX"/>
    <x v="0"/>
    <x v="0"/>
    <s v="Gasoducto Corredor Chihuahua"/>
    <n v="2502"/>
    <x v="1"/>
    <x v="1"/>
    <n v="5"/>
    <x v="6"/>
    <x v="6"/>
    <x v="6"/>
    <x v="0"/>
    <s v="USD"/>
    <x v="0"/>
    <x v="0"/>
    <s v="A02"/>
    <x v="0"/>
    <n v="180003186"/>
    <d v="2015-05-12T00:00:00"/>
    <n v="4630073.0172413802"/>
    <n v="740811.68275862082"/>
    <n v="5370884.7000000002"/>
    <n v="70110417.646551728"/>
    <n v="11217666.823448276"/>
    <n v="81328084.469999999"/>
    <n v="15.142399997899787"/>
    <n v="140013422"/>
    <d v="2015-05-26T00:00:00"/>
    <n v="4630073.0172413802"/>
    <n v="740811.68275862082"/>
    <n v="5370884.7000000002"/>
    <n v="70802150.565051734"/>
    <n v="11328344.090408279"/>
    <n v="82130494.65546"/>
    <n v="15.2918"/>
    <m/>
    <m/>
    <n v="691732.9185000062"/>
    <n v="110677.26695999503"/>
    <n v="802410.18546000123"/>
  </r>
  <r>
    <x v="0"/>
    <n v="4326979"/>
    <n v="800642440"/>
    <m/>
    <s v="MEX"/>
    <x v="0"/>
    <x v="0"/>
    <s v="Gasoducto Corredor Chihuahua"/>
    <n v="2502"/>
    <x v="1"/>
    <x v="1"/>
    <n v="9"/>
    <x v="7"/>
    <x v="7"/>
    <x v="7"/>
    <x v="0"/>
    <s v="USD"/>
    <x v="1"/>
    <x v="0"/>
    <s v="A02"/>
    <x v="0"/>
    <n v="180006504"/>
    <d v="2015-09-11T00:00:00"/>
    <n v="534789.93000000005"/>
    <n v="85566.388800000015"/>
    <n v="620356.31880000001"/>
    <e v="#REF!"/>
    <e v="#REF!"/>
    <e v="#REF!"/>
    <n v="0"/>
    <n v="140024631"/>
    <d v="2015-09-22T00:00:00"/>
    <n v="534789.93000000005"/>
    <n v="85566.388800000015"/>
    <n v="620356.31880000001"/>
    <n v="8844890.6522700004"/>
    <n v="1415182.5043632002"/>
    <n v="10260073.1566332"/>
    <n v="16.539000000000001"/>
    <m/>
    <m/>
    <e v="#REF!"/>
    <e v="#REF!"/>
    <e v="#REF!"/>
  </r>
  <r>
    <x v="0"/>
    <n v="4326979"/>
    <n v="800642440"/>
    <m/>
    <s v="MEX"/>
    <x v="0"/>
    <x v="0"/>
    <s v="Gasoducto Corredor Chihuahua"/>
    <n v="2502"/>
    <x v="1"/>
    <x v="1"/>
    <n v="9"/>
    <x v="7"/>
    <x v="7"/>
    <x v="7"/>
    <x v="0"/>
    <s v="USD"/>
    <x v="0"/>
    <x v="0"/>
    <s v="A02"/>
    <x v="0"/>
    <n v="180006504"/>
    <d v="2015-09-11T00:00:00"/>
    <n v="4095425.85"/>
    <n v="655268.13600000006"/>
    <n v="4750693.9859999996"/>
    <e v="#REF!"/>
    <e v="#REF!"/>
    <e v="#REF!"/>
    <n v="0"/>
    <n v="140024631"/>
    <d v="2015-09-22T00:00:00"/>
    <n v="4095425.85"/>
    <n v="655268.13600000006"/>
    <n v="4750693.9859999996"/>
    <n v="67734248.133150011"/>
    <n v="10837479.701304002"/>
    <n v="78571727.834454"/>
    <n v="16.539000000000001"/>
    <m/>
    <m/>
    <e v="#REF!"/>
    <e v="#REF!"/>
    <e v="#REF!"/>
  </r>
  <r>
    <x v="0"/>
    <n v="4326979"/>
    <n v="800642440"/>
    <m/>
    <s v="MEX"/>
    <x v="0"/>
    <x v="0"/>
    <s v="Gasoducto Corredor Chihuahua"/>
    <n v="2502"/>
    <x v="1"/>
    <x v="1"/>
    <n v="2"/>
    <x v="8"/>
    <x v="8"/>
    <x v="8"/>
    <x v="0"/>
    <s v="USD"/>
    <x v="0"/>
    <x v="0"/>
    <s v="A02"/>
    <x v="0"/>
    <n v="180000641"/>
    <d v="2015-02-05T00:00:00"/>
    <n v="4629988.1465517245"/>
    <n v="740798.10344827594"/>
    <n v="5370786.25"/>
    <n v="68322883.077586219"/>
    <n v="10931661.292413795"/>
    <n v="79254544.370000005"/>
    <n v="14.756599998743201"/>
    <n v="140004579"/>
    <d v="2015-02-24T00:00:00"/>
    <n v="4629988.1465517245"/>
    <n v="740798.10344827594"/>
    <n v="5370786.25"/>
    <n v="69800312.300969839"/>
    <n v="11168049.968155174"/>
    <n v="80968362.269125"/>
    <n v="15.075699999999999"/>
    <m/>
    <m/>
    <n v="1477429.2233836204"/>
    <n v="236388.67574137449"/>
    <n v="1713817.8991249949"/>
  </r>
  <r>
    <x v="0"/>
    <n v="4326979"/>
    <n v="800642440"/>
    <m/>
    <s v="MEX"/>
    <x v="0"/>
    <x v="0"/>
    <s v="Gasoducto Corredor Chihuahua"/>
    <n v="2502"/>
    <x v="1"/>
    <x v="1"/>
    <n v="3"/>
    <x v="9"/>
    <x v="9"/>
    <x v="9"/>
    <x v="0"/>
    <s v="USD"/>
    <x v="0"/>
    <x v="0"/>
    <s v="A02"/>
    <x v="0"/>
    <n v="180001302"/>
    <d v="2015-03-04T00:00:00"/>
    <n v="4629789.4137931038"/>
    <n v="740766.30620689667"/>
    <n v="5370555.7199999997"/>
    <n v="69382950.103448287"/>
    <n v="11101272.016551726"/>
    <n v="80484222.120000005"/>
    <n v="14.986199997939879"/>
    <n v="140007295"/>
    <d v="2015-03-23T00:00:00"/>
    <n v="4629789.4137931038"/>
    <n v="740766.30620689667"/>
    <n v="5370555.7199999997"/>
    <n v="70817258.873379305"/>
    <n v="11330761.41974069"/>
    <n v="82148020.293119997"/>
    <n v="15.295999999999999"/>
    <m/>
    <m/>
    <n v="1434308.7699310184"/>
    <n v="229489.40318897367"/>
    <n v="1663798.173119992"/>
  </r>
  <r>
    <x v="0"/>
    <n v="4326979"/>
    <n v="800642440"/>
    <m/>
    <s v="MEX"/>
    <x v="0"/>
    <x v="0"/>
    <s v="Gasoducto Corredor Chihuahua"/>
    <n v="2502"/>
    <x v="1"/>
    <x v="1"/>
    <n v="8"/>
    <x v="10"/>
    <x v="10"/>
    <x v="10"/>
    <x v="0"/>
    <s v="USD"/>
    <x v="1"/>
    <x v="0"/>
    <s v="A02"/>
    <x v="0"/>
    <n v="180005792"/>
    <d v="2015-08-14T00:00:00"/>
    <n v="405.96551724131513"/>
    <n v="64.954482758610425"/>
    <n v="470.91999999992549"/>
    <e v="#REF!"/>
    <e v="#REF!"/>
    <e v="#REF!"/>
    <n v="0"/>
    <n v="140021883"/>
    <d v="2015-08-24T00:00:00"/>
    <n v="405.96551724131513"/>
    <n v="64.954482758610425"/>
    <n v="470.91999999992549"/>
    <n v="6787.0127103437544"/>
    <n v="1085.9220336550006"/>
    <n v="7872.9347439987541"/>
    <n v="16.7182"/>
    <m/>
    <m/>
    <e v="#REF!"/>
    <e v="#REF!"/>
    <e v="#REF!"/>
  </r>
  <r>
    <x v="0"/>
    <n v="4326979"/>
    <n v="800642440"/>
    <m/>
    <s v="MEX"/>
    <x v="0"/>
    <x v="0"/>
    <s v="Gasoducto Corredor Chihuahua"/>
    <n v="2502"/>
    <x v="1"/>
    <x v="1"/>
    <n v="8"/>
    <x v="10"/>
    <x v="10"/>
    <x v="10"/>
    <x v="0"/>
    <s v="USD"/>
    <x v="0"/>
    <x v="0"/>
    <s v="A02"/>
    <x v="0"/>
    <n v="180005792"/>
    <d v="2015-08-14T00:00:00"/>
    <n v="4095407.8"/>
    <n v="655265.24800000002"/>
    <n v="4750673.0479999995"/>
    <e v="#REF!"/>
    <e v="#REF!"/>
    <e v="#REF!"/>
    <n v="0"/>
    <n v="140021883"/>
    <d v="2015-08-24T00:00:00"/>
    <n v="4095407.8"/>
    <n v="655265.24800000002"/>
    <n v="4750673.0479999995"/>
    <n v="68467846.681960002"/>
    <n v="10954855.469113601"/>
    <n v="79422702.15107359"/>
    <n v="16.7182"/>
    <m/>
    <m/>
    <e v="#REF!"/>
    <e v="#REF!"/>
    <e v="#REF!"/>
  </r>
  <r>
    <x v="0"/>
    <n v="4326979"/>
    <n v="800642440"/>
    <m/>
    <s v="MEX"/>
    <x v="0"/>
    <x v="0"/>
    <s v="Gasoducto Corredor Chihuahua"/>
    <n v="2502"/>
    <x v="1"/>
    <x v="1"/>
    <n v="7"/>
    <x v="11"/>
    <x v="11"/>
    <x v="11"/>
    <x v="0"/>
    <s v="USD"/>
    <x v="1"/>
    <x v="0"/>
    <s v="A02"/>
    <x v="0"/>
    <n v="180004848"/>
    <d v="2015-07-08T00:00:00"/>
    <n v="534731.26034482766"/>
    <n v="85557.001655172426"/>
    <n v="620288.2620000001"/>
    <e v="#REF!"/>
    <e v="#REF!"/>
    <e v="#REF!"/>
    <n v="0"/>
    <n v="140018903"/>
    <d v="2015-07-23T00:00:00"/>
    <n v="534731.26034482766"/>
    <n v="85557.001655172426"/>
    <n v="620288.2620000001"/>
    <n v="8541155.4752358645"/>
    <n v="1366584.8760377383"/>
    <n v="9907740.3512736019"/>
    <n v="15.972799999999999"/>
    <m/>
    <m/>
    <e v="#REF!"/>
    <e v="#REF!"/>
    <e v="#REF!"/>
  </r>
  <r>
    <x v="0"/>
    <n v="4326979"/>
    <n v="800642440"/>
    <m/>
    <s v="MEX"/>
    <x v="0"/>
    <x v="0"/>
    <s v="Gasoducto Corredor Chihuahua"/>
    <n v="2502"/>
    <x v="1"/>
    <x v="1"/>
    <n v="7"/>
    <x v="11"/>
    <x v="11"/>
    <x v="11"/>
    <x v="0"/>
    <s v="USD"/>
    <x v="0"/>
    <x v="0"/>
    <s v="A02"/>
    <x v="0"/>
    <n v="180004848"/>
    <d v="2015-07-08T00:00:00"/>
    <n v="4095357.9899999998"/>
    <n v="655257.27839999995"/>
    <n v="4750615.2683999995"/>
    <e v="#REF!"/>
    <e v="#REF!"/>
    <e v="#REF!"/>
    <n v="0"/>
    <n v="140018903"/>
    <d v="2015-07-23T00:00:00"/>
    <n v="4095357.9899999998"/>
    <n v="655257.27839999995"/>
    <n v="4750615.2683999995"/>
    <n v="65414334.102671996"/>
    <n v="10466293.45642752"/>
    <n v="75880627.55909951"/>
    <n v="15.972799999999999"/>
    <m/>
    <m/>
    <e v="#REF!"/>
    <e v="#REF!"/>
    <e v="#REF!"/>
  </r>
  <r>
    <x v="0"/>
    <n v="4326979"/>
    <n v="800642440"/>
    <m/>
    <s v="MEX"/>
    <x v="0"/>
    <x v="0"/>
    <s v="Gasoducto Corredor Chihuahua"/>
    <n v="2502"/>
    <x v="1"/>
    <x v="1"/>
    <n v="4"/>
    <x v="0"/>
    <x v="0"/>
    <x v="12"/>
    <x v="0"/>
    <s v="USD"/>
    <x v="0"/>
    <x v="0"/>
    <s v="A02"/>
    <x v="0"/>
    <n v="180002400"/>
    <d v="2015-04-15T00:00:00"/>
    <n v="4629518.6724137934"/>
    <n v="740722.98758620699"/>
    <n v="5370241.6600000001"/>
    <n v="70807099.241379321"/>
    <n v="11329135.878620692"/>
    <n v="82136235.120000005"/>
    <n v="15.29470000052102"/>
    <n v="140010351"/>
    <d v="2015-04-24T00:00:00"/>
    <n v="4629518.6724137934"/>
    <n v="740722.98758620699"/>
    <n v="5370241.6600000001"/>
    <n v="71534396.622403458"/>
    <n v="11445503.459584553"/>
    <n v="82979900.081988007"/>
    <n v="15.4518"/>
    <m/>
    <m/>
    <n v="727297.38102413714"/>
    <n v="116367.58096386492"/>
    <n v="843664.96198800206"/>
  </r>
  <r>
    <x v="0"/>
    <n v="4326979"/>
    <n v="800642440"/>
    <m/>
    <s v="MEX"/>
    <x v="0"/>
    <x v="0"/>
    <s v="Gasoducto Corredor Chihuahua"/>
    <n v="2502"/>
    <x v="1"/>
    <x v="1"/>
    <n v="6"/>
    <x v="1"/>
    <x v="1"/>
    <x v="13"/>
    <x v="0"/>
    <s v="USD"/>
    <x v="0"/>
    <x v="0"/>
    <s v="A02"/>
    <x v="0"/>
    <n v="180003992"/>
    <d v="2015-06-08T00:00:00"/>
    <n v="4630209.6465517245"/>
    <n v="740833.54344827589"/>
    <n v="5371043.1900000004"/>
    <n v="71928917.784482762"/>
    <n v="11508626.845517242"/>
    <n v="83437544.629999995"/>
    <n v="15.534699997450586"/>
    <n v="140016134"/>
    <d v="2015-06-23T00:00:00"/>
    <n v="4630209.6465517245"/>
    <n v="740833.54344827589"/>
    <n v="5371043.1900000004"/>
    <n v="70969075.336556911"/>
    <n v="11355052.053849107"/>
    <n v="82324127.390406013"/>
    <n v="15.327400000000001"/>
    <m/>
    <m/>
    <n v="-959842.44792585075"/>
    <n v="-153574.79166813195"/>
    <n v="-1113417.2395939827"/>
  </r>
  <r>
    <x v="0"/>
    <n v="4326979"/>
    <n v="800642440"/>
    <m/>
    <s v="MEX"/>
    <x v="0"/>
    <x v="0"/>
    <s v="Gasoducto Corredor Chihuahua"/>
    <n v="2502"/>
    <x v="1"/>
    <x v="1"/>
    <n v="12"/>
    <x v="2"/>
    <x v="2"/>
    <x v="14"/>
    <x v="0"/>
    <s v="USD"/>
    <x v="1"/>
    <x v="0"/>
    <s v="A02"/>
    <x v="0"/>
    <n v="180008733"/>
    <d v="2015-12-15T00:00:00"/>
    <n v="534757.31000000006"/>
    <n v="85561.169600000008"/>
    <n v="620318.47960000008"/>
    <e v="#REF!"/>
    <e v="#REF!"/>
    <e v="#REF!"/>
    <n v="0"/>
    <n v="140032689"/>
    <d v="2015-12-24T00:00:00"/>
    <n v="534757.31000000006"/>
    <n v="85561.169600000008"/>
    <n v="620318.47960000008"/>
    <n v="9189643.9451570027"/>
    <n v="1470343.0312251204"/>
    <n v="10659986.976382121"/>
    <n v="17.184699999999999"/>
    <m/>
    <m/>
    <e v="#REF!"/>
    <e v="#REF!"/>
    <e v="#REF!"/>
  </r>
  <r>
    <x v="0"/>
    <n v="4326979"/>
    <n v="800642440"/>
    <m/>
    <s v="MEX"/>
    <x v="0"/>
    <x v="0"/>
    <s v="Gasoducto Corredor Chihuahua"/>
    <n v="2502"/>
    <x v="1"/>
    <x v="1"/>
    <n v="12"/>
    <x v="2"/>
    <x v="2"/>
    <x v="14"/>
    <x v="0"/>
    <s v="USD"/>
    <x v="0"/>
    <x v="0"/>
    <s v="A02"/>
    <x v="0"/>
    <n v="180008733"/>
    <d v="2015-12-15T00:00:00"/>
    <n v="4095184.69"/>
    <n v="655229.55039999995"/>
    <n v="4750414.2403999995"/>
    <e v="#REF!"/>
    <e v="#REF!"/>
    <e v="#REF!"/>
    <n v="0"/>
    <n v="140032689"/>
    <d v="2015-12-24T00:00:00"/>
    <n v="4095184.69"/>
    <n v="655229.55039999995"/>
    <n v="4750414.2403999995"/>
    <n v="70374520.342242986"/>
    <n v="11259923.254758878"/>
    <n v="81634443.597001866"/>
    <n v="17.184699999999999"/>
    <m/>
    <m/>
    <e v="#REF!"/>
    <e v="#REF!"/>
    <e v="#REF!"/>
  </r>
  <r>
    <x v="0"/>
    <n v="4326979"/>
    <n v="800642440"/>
    <m/>
    <s v="MEX"/>
    <x v="0"/>
    <x v="0"/>
    <s v="Gasoducto Corredor Chihuahua"/>
    <n v="2502"/>
    <x v="1"/>
    <x v="1"/>
    <n v="11"/>
    <x v="3"/>
    <x v="3"/>
    <x v="15"/>
    <x v="0"/>
    <s v="USD"/>
    <x v="1"/>
    <x v="0"/>
    <s v="A02"/>
    <x v="0"/>
    <n v="180007768"/>
    <s v=" 06/11/2015"/>
    <n v="534773.69000000006"/>
    <n v="85563.790400000013"/>
    <n v="620337.4804"/>
    <e v="#REF!"/>
    <e v="#REF!"/>
    <e v="#REF!"/>
    <n v="0"/>
    <n v="140030028"/>
    <d v="2015-11-24T00:00:00"/>
    <n v="534773.69000000006"/>
    <n v="85563.790400000013"/>
    <n v="620337.4804"/>
    <n v="8830183.1692800019"/>
    <n v="1412829.3070848004"/>
    <n v="10243012.476364801"/>
    <n v="16.512"/>
    <m/>
    <m/>
    <e v="#REF!"/>
    <e v="#REF!"/>
    <e v="#REF!"/>
  </r>
  <r>
    <x v="0"/>
    <n v="4326979"/>
    <n v="800642440"/>
    <m/>
    <s v="MEX"/>
    <x v="0"/>
    <x v="0"/>
    <s v="Gasoducto Corredor Chihuahua"/>
    <n v="2502"/>
    <x v="1"/>
    <x v="1"/>
    <n v="11"/>
    <x v="3"/>
    <x v="3"/>
    <x v="15"/>
    <x v="0"/>
    <s v="USD"/>
    <x v="0"/>
    <x v="0"/>
    <s v="A02"/>
    <x v="0"/>
    <n v="180007768"/>
    <s v=" 06/11/2015"/>
    <n v="4095310.75"/>
    <n v="655249.72"/>
    <n v="4750560.47"/>
    <e v="#REF!"/>
    <e v="#REF!"/>
    <e v="#REF!"/>
    <n v="0"/>
    <n v="140030028"/>
    <d v="2015-11-24T00:00:00"/>
    <n v="4095310.75"/>
    <n v="655249.72"/>
    <n v="4750560.47"/>
    <n v="67621771.104000002"/>
    <n v="10819483.376640001"/>
    <n v="78441254.480639994"/>
    <n v="16.512"/>
    <m/>
    <m/>
    <e v="#REF!"/>
    <e v="#REF!"/>
    <e v="#REF!"/>
  </r>
  <r>
    <x v="0"/>
    <n v="4326979"/>
    <n v="800642440"/>
    <m/>
    <s v="MEX"/>
    <x v="0"/>
    <x v="0"/>
    <s v="Gasoducto Corredor Chihuahua"/>
    <n v="2502"/>
    <x v="1"/>
    <x v="1"/>
    <n v="10"/>
    <x v="4"/>
    <x v="4"/>
    <x v="16"/>
    <x v="0"/>
    <s v="USD"/>
    <x v="1"/>
    <x v="0"/>
    <s v="A02"/>
    <x v="0"/>
    <n v="180007153"/>
    <d v="2015-10-08T00:00:00"/>
    <n v="534732.16000000015"/>
    <n v="85557.145600000033"/>
    <n v="620289.30560000008"/>
    <e v="#REF!"/>
    <e v="#REF!"/>
    <e v="#REF!"/>
    <n v="0"/>
    <n v="140027370"/>
    <d v="2015-10-26T00:00:00"/>
    <n v="534732.16000000015"/>
    <n v="85557.145600000033"/>
    <n v="620289.30560000008"/>
    <n v="8838267.0333440024"/>
    <n v="1414122.7253350404"/>
    <n v="10252389.758679042"/>
    <n v="16.528400000000001"/>
    <m/>
    <m/>
    <e v="#REF!"/>
    <e v="#REF!"/>
    <e v="#REF!"/>
  </r>
  <r>
    <x v="0"/>
    <n v="4326979"/>
    <n v="800642440"/>
    <m/>
    <s v="MEX"/>
    <x v="0"/>
    <x v="0"/>
    <s v="Gasoducto Corredor Chihuahua"/>
    <n v="2502"/>
    <x v="1"/>
    <x v="1"/>
    <n v="10"/>
    <x v="4"/>
    <x v="4"/>
    <x v="16"/>
    <x v="0"/>
    <s v="USD"/>
    <x v="0"/>
    <x v="0"/>
    <s v="A02"/>
    <x v="0"/>
    <n v="180007153"/>
    <d v="2015-10-08T00:00:00"/>
    <n v="4095370.58"/>
    <n v="655259.29280000005"/>
    <n v="4750629.8728"/>
    <e v="#REF!"/>
    <e v="#REF!"/>
    <e v="#REF!"/>
    <n v="0"/>
    <n v="140027370"/>
    <d v="2015-10-26T00:00:00"/>
    <n v="4095370.58"/>
    <n v="655259.29280000005"/>
    <n v="4750629.8728"/>
    <n v="67689923.094472006"/>
    <n v="10830387.695115522"/>
    <n v="78520310.789587528"/>
    <n v="16.528400000000001"/>
    <m/>
    <m/>
    <e v="#REF!"/>
    <e v="#REF!"/>
    <e v="#REF!"/>
  </r>
  <r>
    <x v="0"/>
    <n v="4326979"/>
    <n v="800642440"/>
    <m/>
    <s v="MEX"/>
    <x v="0"/>
    <x v="0"/>
    <s v="Gasoducto Corredor Chihuahua"/>
    <n v="2502"/>
    <x v="2"/>
    <x v="1"/>
    <n v="1"/>
    <x v="5"/>
    <x v="5"/>
    <x v="17"/>
    <x v="0"/>
    <s v="USD"/>
    <x v="1"/>
    <x v="0"/>
    <s v="A02"/>
    <x v="0"/>
    <n v="180000150"/>
    <d v="2016-01-14T00:00:00"/>
    <n v="534769.59"/>
    <n v="85563.134399999995"/>
    <n v="620332.72439999995"/>
    <e v="#REF!"/>
    <e v="#REF!"/>
    <e v="#REF!"/>
    <n v="0"/>
    <n v="140001929"/>
    <d v="2016-01-25T00:00:00"/>
    <n v="534769.59"/>
    <n v="85563.134399999995"/>
    <n v="620332.72439999995"/>
    <n v="9897729.4795560017"/>
    <n v="1583636.7167289604"/>
    <n v="11481366.196284961"/>
    <n v="18.508400000000002"/>
    <m/>
    <m/>
    <e v="#REF!"/>
    <e v="#REF!"/>
    <e v="#REF!"/>
  </r>
  <r>
    <x v="0"/>
    <n v="4326979"/>
    <n v="800642440"/>
    <m/>
    <s v="MEX"/>
    <x v="0"/>
    <x v="0"/>
    <s v="Gasoducto Corredor Chihuahua"/>
    <n v="2502"/>
    <x v="2"/>
    <x v="1"/>
    <n v="1"/>
    <x v="5"/>
    <x v="5"/>
    <x v="17"/>
    <x v="0"/>
    <s v="USD"/>
    <x v="0"/>
    <x v="0"/>
    <s v="A02"/>
    <x v="0"/>
    <n v="180000150"/>
    <d v="2016-01-14T00:00:00"/>
    <n v="4095279.1599999997"/>
    <n v="655244.66559999995"/>
    <n v="4750523.8255999992"/>
    <e v="#REF!"/>
    <e v="#REF!"/>
    <e v="#REF!"/>
    <n v="0"/>
    <n v="140001929"/>
    <d v="2016-01-25T00:00:00"/>
    <n v="4095279.1599999997"/>
    <n v="655244.66559999995"/>
    <n v="4750523.8255999992"/>
    <n v="75797064.804944009"/>
    <n v="12127530.368791042"/>
    <n v="87924595.173735037"/>
    <n v="18.508400000000002"/>
    <m/>
    <m/>
    <e v="#REF!"/>
    <e v="#REF!"/>
    <e v="#REF!"/>
  </r>
  <r>
    <x v="0"/>
    <n v="4326979"/>
    <n v="800642440"/>
    <m/>
    <s v="MEX"/>
    <x v="0"/>
    <x v="0"/>
    <s v="Gasoducto Corredor Chihuahua"/>
    <n v="2502"/>
    <x v="2"/>
    <x v="2"/>
    <n v="5"/>
    <x v="6"/>
    <x v="6"/>
    <x v="18"/>
    <x v="0"/>
    <s v="USD"/>
    <x v="0"/>
    <x v="0"/>
    <s v="A02"/>
    <x v="0"/>
    <n v="180002905"/>
    <d v="2016-05-05T00:00:00"/>
    <n v="4192376.5000000005"/>
    <n v="670780.24000000011"/>
    <n v="4863156.74"/>
    <n v="73464690.362068966"/>
    <n v="11754350.457931034"/>
    <n v="85219040.819999993"/>
    <n v="17.52340000046965"/>
    <n v="140011726"/>
    <d v="2016-05-23T00:00:00"/>
    <n v="4192376.5000000005"/>
    <n v="670780.24000000011"/>
    <n v="4863156.74"/>
    <n v="77753910.757250011"/>
    <n v="12440625.721160002"/>
    <n v="90194536.478410006"/>
    <n v="18.546500000000002"/>
    <m/>
    <m/>
    <n v="4289220.3951810449"/>
    <n v="686275.26322896779"/>
    <n v="4975495.6584100127"/>
  </r>
  <r>
    <x v="0"/>
    <n v="4326979"/>
    <n v="800642440"/>
    <m/>
    <s v="MEX"/>
    <x v="0"/>
    <x v="0"/>
    <s v="Gasoducto Corredor Chihuahua"/>
    <n v="2502"/>
    <x v="2"/>
    <x v="2"/>
    <n v="9"/>
    <x v="7"/>
    <x v="7"/>
    <x v="19"/>
    <x v="0"/>
    <s v="USD"/>
    <x v="0"/>
    <x v="0"/>
    <s v="A02"/>
    <x v="0"/>
    <n v="180006205"/>
    <d v="2016-09-02T00:00:00"/>
    <n v="4211432.7500000009"/>
    <n v="673829.24000000011"/>
    <n v="4885261.99"/>
    <n v="79432254.241379321"/>
    <n v="12709160.678620692"/>
    <n v="92141414.920000002"/>
    <n v="18.861100000084129"/>
    <n v="140021538"/>
    <d v="2016-09-22T00:00:00"/>
    <n v="4211432.7500000009"/>
    <n v="673829.24000000011"/>
    <n v="4885261.99"/>
    <n v="83289505.496750027"/>
    <n v="13326320.879480004"/>
    <n v="96615826.376230016"/>
    <n v="19.777000000000001"/>
    <m/>
    <m/>
    <n v="3857251.2553707063"/>
    <n v="617160.20085930824"/>
    <n v="4474411.4562300146"/>
  </r>
  <r>
    <x v="0"/>
    <n v="4326979"/>
    <n v="800642440"/>
    <m/>
    <s v="MEX"/>
    <x v="0"/>
    <x v="0"/>
    <s v="Gasoducto Corredor Chihuahua"/>
    <n v="2502"/>
    <x v="2"/>
    <x v="2"/>
    <n v="2"/>
    <x v="8"/>
    <x v="8"/>
    <x v="20"/>
    <x v="0"/>
    <s v="USD"/>
    <x v="0"/>
    <x v="0"/>
    <s v="A02"/>
    <x v="0"/>
    <n v="180000617"/>
    <d v="2016-02-10T00:00:00"/>
    <n v="4629995.5000000009"/>
    <n v="740799.28000000014"/>
    <n v="5370794.7800000003"/>
    <n v="86561932.87068966"/>
    <n v="13849909.259310346"/>
    <n v="100411842.13"/>
    <n v="18.695900000483725"/>
    <n v="140004005"/>
    <d v="2016-02-23T00:00:00"/>
    <n v="4629995.5000000009"/>
    <n v="740799.28000000014"/>
    <n v="5370794.7800000003"/>
    <n v="84618723.757100001"/>
    <n v="13538995.801136"/>
    <n v="98157719.558236003"/>
    <n v="18.276199999999999"/>
    <m/>
    <m/>
    <n v="-1943209.1135896593"/>
    <n v="-310913.45817433298"/>
    <n v="-2254122.5717639923"/>
  </r>
  <r>
    <x v="0"/>
    <n v="4326979"/>
    <n v="800642440"/>
    <m/>
    <s v="MEX"/>
    <x v="0"/>
    <x v="0"/>
    <s v="Gasoducto Corredor Chihuahua"/>
    <n v="2502"/>
    <x v="2"/>
    <x v="2"/>
    <n v="3"/>
    <x v="9"/>
    <x v="9"/>
    <x v="21"/>
    <x v="0"/>
    <s v="USD"/>
    <x v="0"/>
    <x v="0"/>
    <s v="A02"/>
    <x v="0"/>
    <n v="180001250"/>
    <d v="2016-03-08T00:00:00"/>
    <n v="4192376.5000000005"/>
    <n v="670780.24000000011"/>
    <n v="4863156.74"/>
    <n v="74508172.87068966"/>
    <n v="11921307.659310346"/>
    <n v="86429480.530000001"/>
    <n v="17.7722999999379"/>
    <n v="140006667"/>
    <d v="2016-03-22T00:00:00"/>
    <n v="4192376.5000000005"/>
    <n v="670780.24000000011"/>
    <n v="4863156.74"/>
    <n v="72961605.180100009"/>
    <n v="11673856.828816002"/>
    <n v="84635462.008916005"/>
    <n v="17.403400000000001"/>
    <m/>
    <m/>
    <n v="-1546567.6905896515"/>
    <n v="-247450.83049434423"/>
    <n v="-1794018.5210839957"/>
  </r>
  <r>
    <x v="0"/>
    <n v="4326979"/>
    <n v="800642440"/>
    <m/>
    <s v="MEX"/>
    <x v="0"/>
    <x v="0"/>
    <s v="Gasoducto Corredor Chihuahua"/>
    <n v="2502"/>
    <x v="2"/>
    <x v="2"/>
    <n v="8"/>
    <x v="10"/>
    <x v="10"/>
    <x v="22"/>
    <x v="0"/>
    <s v="USD"/>
    <x v="0"/>
    <x v="0"/>
    <s v="A02"/>
    <x v="0"/>
    <n v="180005490"/>
    <d v="2016-08-03T00:00:00"/>
    <n v="4211432.7500000009"/>
    <n v="673829.24000000011"/>
    <n v="4885261.99"/>
    <n v="79387191.913793117"/>
    <n v="12701950.706206899"/>
    <n v="92089142.620000005"/>
    <n v="18.850400000758199"/>
    <n v="140019116"/>
    <d v="2016-08-22T00:00:00"/>
    <n v="4211432.7500000009"/>
    <n v="673829.24000000011"/>
    <n v="4885261.99"/>
    <n v="76156180.704800025"/>
    <n v="12184988.912768004"/>
    <n v="88341169.617568016"/>
    <n v="18.083200000000001"/>
    <m/>
    <m/>
    <n v="-3231011.2089930922"/>
    <n v="-516961.79343889654"/>
    <n v="-3747973.0024319887"/>
  </r>
  <r>
    <x v="0"/>
    <n v="4326979"/>
    <n v="800642440"/>
    <m/>
    <s v="MEX"/>
    <x v="0"/>
    <x v="0"/>
    <s v="Gasoducto Corredor Chihuahua"/>
    <n v="2502"/>
    <x v="2"/>
    <x v="2"/>
    <n v="7"/>
    <x v="11"/>
    <x v="11"/>
    <x v="23"/>
    <x v="0"/>
    <s v="USD"/>
    <x v="0"/>
    <x v="0"/>
    <s v="A02"/>
    <x v="0"/>
    <n v="180004799"/>
    <d v="2016-07-08T00:00:00"/>
    <n v="4211432.7500000009"/>
    <n v="673829.24000000011"/>
    <n v="4885261.99"/>
    <n v="79242739.767241374"/>
    <n v="12678838.36275862"/>
    <n v="91921578.129999995"/>
    <n v="18.816099999992016"/>
    <n v="140016934"/>
    <d v="2016-07-22T00:00:00"/>
    <n v="4211432.7500000009"/>
    <n v="673829.24000000011"/>
    <n v="4885261.99"/>
    <n v="78218519.322475016"/>
    <n v="12514963.091596004"/>
    <n v="90733482.414071009"/>
    <n v="18.572900000000001"/>
    <m/>
    <m/>
    <n v="-1024220.4447663575"/>
    <n v="-163875.27116262913"/>
    <n v="-1188095.7159289867"/>
  </r>
  <r>
    <x v="0"/>
    <n v="4326979"/>
    <n v="800642440"/>
    <m/>
    <s v="MEX"/>
    <x v="0"/>
    <x v="0"/>
    <s v="Gasoducto Corredor Chihuahua"/>
    <n v="2502"/>
    <x v="2"/>
    <x v="2"/>
    <n v="4"/>
    <x v="0"/>
    <x v="0"/>
    <x v="24"/>
    <x v="0"/>
    <s v="USD"/>
    <x v="0"/>
    <x v="0"/>
    <s v="A02"/>
    <x v="0"/>
    <n v="180002132"/>
    <d v="2016-04-07T00:00:00"/>
    <n v="4192376.5000000005"/>
    <n v="670780.24000000011"/>
    <n v="4863156.74"/>
    <n v="74310711.93965517"/>
    <n v="11889713.910344828"/>
    <n v="86200425.849999994"/>
    <n v="17.725200000442509"/>
    <n v="140009205"/>
    <d v="2016-04-25T00:00:00"/>
    <n v="4192376.5000000005"/>
    <n v="670780.24000000011"/>
    <n v="4863156.74"/>
    <n v="73032037.105300009"/>
    <n v="11685125.936848002"/>
    <n v="84717163.042148009"/>
    <n v="17.420200000000001"/>
    <m/>
    <m/>
    <n v="-1278674.8343551606"/>
    <n v="-204587.9734968245"/>
    <n v="-1483262.8078519851"/>
  </r>
  <r>
    <x v="0"/>
    <n v="4326979"/>
    <n v="800642440"/>
    <m/>
    <s v="MEX"/>
    <x v="0"/>
    <x v="0"/>
    <s v="Gasoducto Corredor Chihuahua"/>
    <n v="2502"/>
    <x v="2"/>
    <x v="2"/>
    <n v="6"/>
    <x v="1"/>
    <x v="1"/>
    <x v="25"/>
    <x v="0"/>
    <s v="USD"/>
    <x v="0"/>
    <x v="0"/>
    <s v="A02"/>
    <x v="0"/>
    <n v="180003873"/>
    <d v="2016-06-07T00:00:00"/>
    <n v="4211432.7500000009"/>
    <n v="673829.24000000011"/>
    <n v="4885261.99"/>
    <n v="78451832.698275879"/>
    <n v="12552293.231724141"/>
    <n v="91004125.930000007"/>
    <n v="18.628300000344506"/>
    <n v="140014414"/>
    <d v="2016-06-22T00:00:00"/>
    <n v="4211432.7500000009"/>
    <n v="673829.24000000011"/>
    <n v="4885261.99"/>
    <n v="78568068.240725011"/>
    <n v="12570890.918516003"/>
    <n v="91138959.159241006"/>
    <n v="18.655899999999999"/>
    <m/>
    <m/>
    <n v="116235.54244913161"/>
    <n v="18597.686791867018"/>
    <n v="134833.22924099863"/>
  </r>
  <r>
    <x v="0"/>
    <n v="4326979"/>
    <n v="800642440"/>
    <m/>
    <s v="MEX"/>
    <x v="0"/>
    <x v="0"/>
    <s v="Gasoducto Corredor Chihuahua"/>
    <n v="2502"/>
    <x v="2"/>
    <x v="2"/>
    <n v="12"/>
    <x v="2"/>
    <x v="2"/>
    <x v="26"/>
    <x v="0"/>
    <s v="USD"/>
    <x v="0"/>
    <x v="0"/>
    <s v="A02"/>
    <x v="0"/>
    <n v="180009445"/>
    <d v="2016-12-07T00:00:00"/>
    <n v="4211432.7586206896"/>
    <n v="673829.24137931038"/>
    <n v="4885262"/>
    <n v="86724771.37068966"/>
    <n v="13875963.419310346"/>
    <n v="100600734.79000001"/>
    <n v="20.592700000532215"/>
    <n v="140028802"/>
    <d v="2016-12-27T00:00:00"/>
    <n v="4211432.7586206896"/>
    <n v="673829.24137931038"/>
    <n v="4885262"/>
    <n v="86869644.655344829"/>
    <n v="13899143.144855173"/>
    <n v="100768787.8002"/>
    <n v="20.627099999999999"/>
    <m/>
    <m/>
    <n v="144873.28465516865"/>
    <n v="23179.725544825196"/>
    <n v="168053.01019999385"/>
  </r>
  <r>
    <x v="0"/>
    <n v="4326979"/>
    <n v="800642440"/>
    <m/>
    <s v="MEX"/>
    <x v="0"/>
    <x v="0"/>
    <s v="Gasoducto Corredor Chihuahua"/>
    <n v="2502"/>
    <x v="2"/>
    <x v="2"/>
    <n v="12"/>
    <x v="3"/>
    <x v="3"/>
    <x v="27"/>
    <x v="0"/>
    <s v="USD"/>
    <x v="0"/>
    <x v="0"/>
    <s v="A02"/>
    <x v="0"/>
    <n v="180008420"/>
    <d v="2016-11-15T00:00:00"/>
    <n v="4211432.7500000009"/>
    <n v="673829.24000000011"/>
    <n v="4885261.99"/>
    <n v="88655291.956896558"/>
    <n v="14184846.713103449"/>
    <n v="102840138.67"/>
    <n v="21.051099998426082"/>
    <n v="140027236"/>
    <d v="2016-12-05T00:00:00"/>
    <n v="4211432.7500000009"/>
    <n v="673829.24000000011"/>
    <n v="4885261.99"/>
    <n v="86818264.997975007"/>
    <n v="13890922.399676001"/>
    <n v="100709187.397651"/>
    <n v="20.614899999999999"/>
    <m/>
    <m/>
    <n v="-1837026.9589215517"/>
    <n v="-293924.31342744827"/>
    <n v="-2130951.272349"/>
  </r>
  <r>
    <x v="0"/>
    <n v="4326979"/>
    <n v="800642440"/>
    <m/>
    <s v="MEX"/>
    <x v="0"/>
    <x v="0"/>
    <s v="Gasoducto Corredor Chihuahua"/>
    <n v="2502"/>
    <x v="2"/>
    <x v="2"/>
    <n v="10"/>
    <x v="4"/>
    <x v="4"/>
    <x v="28"/>
    <x v="0"/>
    <s v="USD"/>
    <x v="0"/>
    <x v="0"/>
    <s v="A02"/>
    <x v="0"/>
    <n v="180007436"/>
    <d v="2016-10-07T00:00:00"/>
    <n v="4211432.7500000009"/>
    <n v="673829.24000000011"/>
    <n v="4885261.99"/>
    <n v="81092822.172413796"/>
    <n v="12974851.547586208"/>
    <n v="94067673.719999999"/>
    <n v="19.255399999540249"/>
    <n v="140023864"/>
    <d v="2016-10-25T00:00:00"/>
    <n v="4211432.7500000009"/>
    <n v="673829.24000000011"/>
    <n v="4885261.99"/>
    <n v="78535219.065275013"/>
    <n v="12565635.050444003"/>
    <n v="91100854.115719005"/>
    <n v="18.648099999999999"/>
    <m/>
    <m/>
    <n v="-2557603.1071387827"/>
    <n v="-409216.4971422106"/>
    <n v="-2966819.6042809933"/>
  </r>
  <r>
    <x v="0"/>
    <n v="4326979"/>
    <n v="800642440"/>
    <m/>
    <s v="MEX"/>
    <x v="0"/>
    <x v="0"/>
    <s v="Gasoducto Corredor Chihuahua"/>
    <n v="2502"/>
    <x v="3"/>
    <x v="2"/>
    <n v="1"/>
    <x v="5"/>
    <x v="5"/>
    <x v="29"/>
    <x v="0"/>
    <s v="USD"/>
    <x v="0"/>
    <x v="0"/>
    <s v="A02"/>
    <x v="0"/>
    <n v="180000164"/>
    <d v="2017-01-10T00:00:00"/>
    <n v="4211432.7500000009"/>
    <n v="673829.24000000011"/>
    <n v="4885261.99"/>
    <n v="89764162.206896558"/>
    <n v="14362265.953103449"/>
    <n v="104126428.16"/>
    <n v="21.314400000070414"/>
    <n v="140001475"/>
    <d v="2017-01-24T00:00:00"/>
    <n v="4211432.7500000009"/>
    <n v="673829.24000000011"/>
    <n v="4885261.99"/>
    <n v="91388932.961549997"/>
    <n v="14622229.273847999"/>
    <n v="106011162.23539799"/>
    <n v="21.700199999999999"/>
    <m/>
    <m/>
    <n v="1624770.7546534389"/>
    <n v="259963.32074455917"/>
    <n v="1884734.0753979981"/>
  </r>
  <r>
    <x v="0"/>
    <n v="4326979"/>
    <n v="800642440"/>
    <m/>
    <s v="MEX"/>
    <x v="0"/>
    <x v="0"/>
    <s v="Gasoducto Corredor Chihuahua"/>
    <n v="2502"/>
    <x v="3"/>
    <x v="3"/>
    <n v="5"/>
    <x v="6"/>
    <x v="6"/>
    <x v="30"/>
    <x v="0"/>
    <s v="USD"/>
    <x v="2"/>
    <x v="0"/>
    <s v="A02"/>
    <x v="0"/>
    <n v="180001718"/>
    <d v="2017-05-08T00:00:00"/>
    <n v="4240081.9655172415"/>
    <n v="678413.11448275868"/>
    <n v="4918495.08"/>
    <n v="80569613.400000006"/>
    <n v="12891138.144000001"/>
    <n v="93460751.544"/>
    <n v="19.001899976282989"/>
    <n v="140008852"/>
    <d v="2017-05-23T00:00:00"/>
    <n v="4240081.9655172415"/>
    <n v="678413.11448275868"/>
    <n v="4918495.08"/>
    <n v="79229747.59945862"/>
    <n v="12676759.61591338"/>
    <n v="91906507.215371996"/>
    <n v="18.6859"/>
    <m/>
    <m/>
    <n v="-1339865.800541386"/>
    <n v="-214378.52808661759"/>
    <n v="-1554244.3286280036"/>
  </r>
  <r>
    <x v="0"/>
    <n v="4326979"/>
    <n v="800762390"/>
    <m/>
    <s v="MEX"/>
    <x v="0"/>
    <x v="0"/>
    <s v="Jefatura GRPN"/>
    <n v="2502"/>
    <x v="3"/>
    <x v="3"/>
    <n v="5"/>
    <x v="6"/>
    <x v="6"/>
    <x v="30"/>
    <x v="0"/>
    <s v="USD"/>
    <x v="1"/>
    <x v="0"/>
    <s v="A02"/>
    <x v="1"/>
    <n v="180001720"/>
    <d v="2017-05-08T00:00:00"/>
    <n v="421463.35344827588"/>
    <n v="67434.136551724136"/>
    <n v="488897.49"/>
    <n v="8008604.4913793113"/>
    <n v="1281376.7186206898"/>
    <n v="9289981.2100000009"/>
    <n v="19.001899989300419"/>
    <n v="140008852"/>
    <d v="2017-05-23T00:00:00"/>
    <n v="421463.35344827588"/>
    <n v="67434.136551724136"/>
    <n v="488897.49"/>
    <n v="7875422.0761991385"/>
    <n v="1260067.5321918621"/>
    <n v="9135489.608391"/>
    <n v="18.6859"/>
    <m/>
    <m/>
    <n v="-133182.41518017277"/>
    <n v="-21309.186428828165"/>
    <n v="-154491.60160900094"/>
  </r>
  <r>
    <x v="0"/>
    <n v="4326979"/>
    <n v="800642440"/>
    <m/>
    <s v="MEX"/>
    <x v="0"/>
    <x v="0"/>
    <s v="Gasoducto Corredor Chihuahua"/>
    <n v="2502"/>
    <x v="3"/>
    <x v="3"/>
    <n v="10"/>
    <x v="7"/>
    <x v="7"/>
    <x v="31"/>
    <x v="0"/>
    <s v="USD"/>
    <x v="2"/>
    <x v="0"/>
    <s v="A02"/>
    <x v="0"/>
    <n v="180003022"/>
    <d v="2017-09-13T00:00:00"/>
    <n v="4240081.9568965519"/>
    <n v="678413.1131034483"/>
    <n v="4918495.07"/>
    <n v="74813278.077586204"/>
    <n v="11970124.492413793"/>
    <n v="86783402.569999993"/>
    <n v="17.644300001301005"/>
    <n v="140016907"/>
    <d v="2017-10-02T00:00:00"/>
    <n v="4240081.9568965519"/>
    <n v="678413.1131034483"/>
    <n v="4918495.07"/>
    <n v="77160587.443407774"/>
    <n v="12345693.990945244"/>
    <n v="89506281.434353009"/>
    <n v="18.197900000000001"/>
    <m/>
    <m/>
    <n v="2347309.3658215702"/>
    <n v="375569.49853144586"/>
    <n v="2722878.864353016"/>
  </r>
  <r>
    <x v="0"/>
    <n v="4326979"/>
    <n v="800762390"/>
    <m/>
    <s v="MEX"/>
    <x v="0"/>
    <x v="0"/>
    <s v="Jefatura GRPN"/>
    <n v="2502"/>
    <x v="3"/>
    <x v="3"/>
    <n v="10"/>
    <x v="7"/>
    <x v="7"/>
    <x v="31"/>
    <x v="0"/>
    <s v="USD"/>
    <x v="1"/>
    <x v="0"/>
    <s v="A02"/>
    <x v="1"/>
    <n v="180003020"/>
    <d v="2017-09-13T00:00:00"/>
    <n v="421560.70689655171"/>
    <n v="67449.713103448274"/>
    <n v="489010.42"/>
    <n v="7438143.5775862085"/>
    <n v="1190102.9724137934"/>
    <n v="8628246.5500000007"/>
    <n v="17.644299992625925"/>
    <n v="140016907"/>
    <d v="2017-10-02T00:00:00"/>
    <n v="421560.70689655171"/>
    <n v="67449.713103448274"/>
    <n v="489010.42"/>
    <n v="7671519.5880327588"/>
    <n v="1227443.1340852415"/>
    <n v="8898962.7221179996"/>
    <n v="18.197900000000001"/>
    <m/>
    <m/>
    <n v="233376.01044655032"/>
    <n v="37340.161671448499"/>
    <n v="270716.17211799882"/>
  </r>
  <r>
    <x v="0"/>
    <n v="4326979"/>
    <n v="800832451"/>
    <m/>
    <s v="MEX"/>
    <x v="0"/>
    <x v="0"/>
    <s v="Gas. Corredor Chihuahua"/>
    <s v="N000"/>
    <x v="4"/>
    <x v="3"/>
    <n v="1"/>
    <x v="5"/>
    <x v="5"/>
    <x v="32"/>
    <x v="1"/>
    <s v="USD"/>
    <x v="3"/>
    <x v="1"/>
    <s v="A01"/>
    <x v="2"/>
    <n v="180000007"/>
    <d v="2018-01-08T00:00:00"/>
    <n v="419348.75862068968"/>
    <n v="67095.801379310346"/>
    <n v="486444.56"/>
    <n v="8069402.3534482764"/>
    <n v="1291104.3765517243"/>
    <n v="9360506.7300000004"/>
    <n v="19.242699990313387"/>
    <n v="140000272"/>
    <d v="2018-01-24T00:00:00"/>
    <n v="419348.75862068968"/>
    <n v="67095.801379310346"/>
    <n v="486444.56"/>
    <n v="7846770.101558622"/>
    <n v="1255483.2162493796"/>
    <n v="9102253.3178080004"/>
    <n v="18.7118"/>
    <m/>
    <m/>
    <n v="-222632.25188965444"/>
    <n v="-35621.160302345641"/>
    <n v="-258253.41219200008"/>
  </r>
  <r>
    <x v="0"/>
    <n v="4326979"/>
    <n v="800762390"/>
    <m/>
    <s v="MEX"/>
    <x v="0"/>
    <x v="0"/>
    <s v="Jefatura GRPN"/>
    <n v="2502"/>
    <x v="2"/>
    <x v="2"/>
    <n v="5"/>
    <x v="6"/>
    <x v="6"/>
    <x v="18"/>
    <x v="0"/>
    <s v="USD"/>
    <x v="1"/>
    <x v="0"/>
    <s v="A02"/>
    <x v="1"/>
    <n v="180002889"/>
    <d v="2016-05-05T00:00:00"/>
    <n v="437599.36206896557"/>
    <n v="70015.897931034488"/>
    <n v="507615.26"/>
    <n v="7668228.6551724141"/>
    <n v="1226916.5848275863"/>
    <n v="8895145.2400000002"/>
    <n v="17.523399986044549"/>
    <n v="140011726"/>
    <d v="2016-05-23T00:00:00"/>
    <n v="437599.36206896557"/>
    <n v="70015.897931034488"/>
    <n v="507615.26"/>
    <n v="8115936.5686120708"/>
    <n v="1298549.8509779314"/>
    <n v="9414486.4195900019"/>
    <n v="18.546500000000002"/>
    <m/>
    <m/>
    <n v="447707.91343965661"/>
    <n v="71633.266150345095"/>
    <n v="519341.1795900017"/>
  </r>
  <r>
    <x v="0"/>
    <n v="4326979"/>
    <n v="800762390"/>
    <m/>
    <s v="MEX"/>
    <x v="0"/>
    <x v="0"/>
    <s v="Jefatura GRPN"/>
    <n v="2502"/>
    <x v="2"/>
    <x v="2"/>
    <n v="9"/>
    <x v="7"/>
    <x v="7"/>
    <x v="19"/>
    <x v="0"/>
    <s v="USD"/>
    <x v="1"/>
    <x v="0"/>
    <s v="A02"/>
    <x v="1"/>
    <n v="180006198"/>
    <d v="2016-09-02T00:00:00"/>
    <n v="418658.5"/>
    <n v="66985.36"/>
    <n v="485643.86"/>
    <n v="7896359.8275862075"/>
    <n v="1263417.5724137933"/>
    <n v="9159777.4000000004"/>
    <n v="18.861099983844131"/>
    <n v="140021538"/>
    <d v="2016-09-22T00:00:00"/>
    <n v="418658.5"/>
    <n v="66985.36"/>
    <n v="485643.86"/>
    <n v="8279809.1545000002"/>
    <n v="1324769.46472"/>
    <n v="9604578.6192199998"/>
    <n v="19.777000000000001"/>
    <m/>
    <m/>
    <n v="383449.32691379264"/>
    <n v="61351.892306206748"/>
    <n v="444801.21921999939"/>
  </r>
  <r>
    <x v="0"/>
    <n v="4326979"/>
    <n v="800762390"/>
    <m/>
    <s v="MEX"/>
    <x v="0"/>
    <x v="0"/>
    <s v="Jefatura GRPN"/>
    <n v="2502"/>
    <x v="2"/>
    <x v="2"/>
    <n v="3"/>
    <x v="9"/>
    <x v="9"/>
    <x v="21"/>
    <x v="0"/>
    <s v="USD"/>
    <x v="1"/>
    <x v="0"/>
    <s v="A02"/>
    <x v="1"/>
    <n v="180001249"/>
    <d v="2016-03-08T00:00:00"/>
    <n v="437457.25"/>
    <n v="69993.16"/>
    <n v="507450.41"/>
    <n v="7774621.4827586208"/>
    <n v="1243939.4372413794"/>
    <n v="9018560.9199999999"/>
    <n v="17.772299996762246"/>
    <n v="140006667"/>
    <d v="2016-03-22T00:00:00"/>
    <n v="437457.25"/>
    <n v="69993.16"/>
    <n v="507450.41"/>
    <n v="7613243.5046500005"/>
    <n v="1218118.960744"/>
    <n v="8831362.4653939996"/>
    <n v="17.403400000000001"/>
    <m/>
    <m/>
    <n v="-161377.97810862027"/>
    <n v="-25820.476497380063"/>
    <n v="-187198.45460600033"/>
  </r>
  <r>
    <x v="0"/>
    <n v="4326979"/>
    <n v="800762390"/>
    <m/>
    <s v="MEX"/>
    <x v="0"/>
    <x v="0"/>
    <s v="Jefatura GRPN"/>
    <n v="2502"/>
    <x v="2"/>
    <x v="2"/>
    <n v="8"/>
    <x v="10"/>
    <x v="10"/>
    <x v="22"/>
    <x v="0"/>
    <s v="USD"/>
    <x v="1"/>
    <x v="0"/>
    <s v="A02"/>
    <x v="1"/>
    <n v="180005432"/>
    <d v="2016-08-03T00:00:00"/>
    <n v="418679.36206896557"/>
    <n v="66988.69793103449"/>
    <n v="485668.06"/>
    <n v="7892273.4482758623"/>
    <n v="1262763.7517241379"/>
    <n v="9155037.1999999993"/>
    <n v="18.850400003656816"/>
    <n v="140019116"/>
    <d v="2016-08-22T00:00:00"/>
    <n v="418679.36206896557"/>
    <n v="66988.69793103449"/>
    <n v="485668.06"/>
    <n v="7571062.640165519"/>
    <n v="1211370.022426483"/>
    <n v="8782432.6625920013"/>
    <n v="18.083200000000001"/>
    <m/>
    <m/>
    <n v="-321210.80811034329"/>
    <n v="-51393.729297654703"/>
    <n v="-372604.537407998"/>
  </r>
  <r>
    <x v="0"/>
    <n v="4326979"/>
    <n v="800762390"/>
    <m/>
    <s v="MEX"/>
    <x v="0"/>
    <x v="0"/>
    <s v="Jefatura GRPN"/>
    <n v="2502"/>
    <x v="2"/>
    <x v="2"/>
    <n v="7"/>
    <x v="11"/>
    <x v="11"/>
    <x v="23"/>
    <x v="0"/>
    <s v="USD"/>
    <x v="1"/>
    <x v="0"/>
    <s v="A02"/>
    <x v="1"/>
    <n v="180004782"/>
    <d v="2016-07-08T00:00:00"/>
    <n v="418553.06034482759"/>
    <n v="66968.489655172423"/>
    <n v="485521.55"/>
    <n v="7875536.2413793104"/>
    <n v="1260085.7986206897"/>
    <n v="9135622.0399999991"/>
    <n v="18.816100006271604"/>
    <n v="140016934"/>
    <d v="2016-07-22T00:00:00"/>
    <n v="418553.06034482759"/>
    <n v="66968.489655172423"/>
    <n v="485521.55"/>
    <n v="7773744.134478448"/>
    <n v="1243799.0615165518"/>
    <n v="9017543.1959949993"/>
    <n v="18.572900000000001"/>
    <m/>
    <m/>
    <n v="-101792.10690086242"/>
    <n v="-16286.737104137428"/>
    <n v="-118078.84400499985"/>
  </r>
  <r>
    <x v="0"/>
    <n v="4326979"/>
    <n v="800762390"/>
    <m/>
    <s v="MEX"/>
    <x v="0"/>
    <x v="0"/>
    <s v="Jefatura GRPN"/>
    <n v="2502"/>
    <x v="2"/>
    <x v="2"/>
    <n v="4"/>
    <x v="0"/>
    <x v="0"/>
    <x v="24"/>
    <x v="0"/>
    <s v="USD"/>
    <x v="1"/>
    <x v="0"/>
    <s v="A02"/>
    <x v="1"/>
    <n v="180002056"/>
    <d v="2016-04-07T00:00:00"/>
    <n v="437640.9224137931"/>
    <n v="70022.5475862069"/>
    <n v="507663.47"/>
    <n v="7757272.8793103443"/>
    <n v="1241163.6606896552"/>
    <n v="8998436.5399999991"/>
    <n v="17.725200003065023"/>
    <n v="140009205"/>
    <d v="2016-04-25T00:00:00"/>
    <n v="437640.9224137931"/>
    <n v="70022.5475862069"/>
    <n v="507663.47"/>
    <n v="7623792.3966327589"/>
    <n v="1219806.7834612415"/>
    <n v="8843599.180094"/>
    <n v="17.420200000000001"/>
    <m/>
    <m/>
    <n v="-133480.48267758545"/>
    <n v="-21356.877228413709"/>
    <n v="-154837.35990599915"/>
  </r>
  <r>
    <x v="0"/>
    <n v="4326979"/>
    <n v="800762390"/>
    <m/>
    <s v="MEX"/>
    <x v="0"/>
    <x v="0"/>
    <s v="Jefatura GRPN"/>
    <n v="2502"/>
    <x v="2"/>
    <x v="2"/>
    <n v="6"/>
    <x v="1"/>
    <x v="1"/>
    <x v="25"/>
    <x v="0"/>
    <s v="USD"/>
    <x v="1"/>
    <x v="0"/>
    <s v="A02"/>
    <x v="1"/>
    <n v="180003843"/>
    <d v="2016-06-07T00:00:00"/>
    <n v="418602.37931034487"/>
    <n v="66976.380689655183"/>
    <n v="485578.76"/>
    <n v="7797850.6982758632"/>
    <n v="1247656.111724138"/>
    <n v="9045506.8100000005"/>
    <n v="18.628299989892476"/>
    <n v="140014414"/>
    <d v="2016-06-22T00:00:00"/>
    <n v="418602.37931034487"/>
    <n v="66976.380689655183"/>
    <n v="485578.76"/>
    <n v="7809404.1281758621"/>
    <n v="1249504.6605081379"/>
    <n v="9058908.7886839993"/>
    <n v="18.655899999999999"/>
    <m/>
    <m/>
    <n v="11553.429899998941"/>
    <n v="1848.5487839998677"/>
    <n v="13401.978683998808"/>
  </r>
  <r>
    <x v="0"/>
    <n v="4326979"/>
    <n v="800762390"/>
    <m/>
    <s v="MEX"/>
    <x v="0"/>
    <x v="0"/>
    <s v="Jefatura GRPN"/>
    <n v="2502"/>
    <x v="2"/>
    <x v="2"/>
    <n v="12"/>
    <x v="2"/>
    <x v="2"/>
    <x v="26"/>
    <x v="0"/>
    <s v="USD"/>
    <x v="1"/>
    <x v="0"/>
    <s v="A02"/>
    <x v="1"/>
    <n v="180008855"/>
    <d v="2016-12-07T00:00:00"/>
    <n v="418446.62931034487"/>
    <n v="66951.460689655185"/>
    <n v="485398.09"/>
    <n v="8616945.9051724151"/>
    <n v="1378711.3448275866"/>
    <n v="9995657.25"/>
    <n v="20.592700004237759"/>
    <n v="140028802"/>
    <d v="2016-12-27T00:00:00"/>
    <n v="418446.62931034487"/>
    <n v="66951.460689655185"/>
    <n v="485398.09"/>
    <n v="8631340.4674474131"/>
    <n v="1381014.4747915862"/>
    <n v="10012354.942239"/>
    <n v="20.627099999999999"/>
    <m/>
    <m/>
    <n v="14394.562274998054"/>
    <n v="2303.1299640014768"/>
    <n v="16697.692238999531"/>
  </r>
  <r>
    <x v="0"/>
    <n v="4326979"/>
    <n v="800762390"/>
    <m/>
    <s v="MEX"/>
    <x v="0"/>
    <x v="0"/>
    <s v="Jefatura GRPN"/>
    <n v="2502"/>
    <x v="2"/>
    <x v="2"/>
    <n v="12"/>
    <x v="3"/>
    <x v="3"/>
    <x v="27"/>
    <x v="0"/>
    <s v="USD"/>
    <x v="1"/>
    <x v="0"/>
    <s v="A02"/>
    <x v="1"/>
    <n v="180008093"/>
    <d v="2016-11-15T00:00:00"/>
    <n v="418526.06034482759"/>
    <n v="66964.169655172416"/>
    <n v="485490.23"/>
    <n v="8810433.9482758641"/>
    <n v="1409669.4317241383"/>
    <n v="10220103.380000001"/>
    <n v="21.051099998448993"/>
    <n v="140027236"/>
    <d v="2016-12-05T00:00:00"/>
    <n v="418526.06034482759"/>
    <n v="66964.169655172416"/>
    <n v="485490.23"/>
    <n v="8627872.8814025857"/>
    <n v="1380459.6610244138"/>
    <n v="10008332.542427"/>
    <n v="20.614899999999999"/>
    <m/>
    <m/>
    <n v="-182561.06687327847"/>
    <n v="-29209.770699722692"/>
    <n v="-211770.83757300116"/>
  </r>
  <r>
    <x v="0"/>
    <n v="4326979"/>
    <n v="800762390"/>
    <m/>
    <s v="MEX"/>
    <x v="0"/>
    <x v="0"/>
    <s v="Jefatura GRPN"/>
    <n v="2502"/>
    <x v="2"/>
    <x v="2"/>
    <n v="10"/>
    <x v="4"/>
    <x v="4"/>
    <x v="28"/>
    <x v="0"/>
    <s v="USD"/>
    <x v="1"/>
    <x v="0"/>
    <s v="A02"/>
    <x v="1"/>
    <n v="180007049"/>
    <d v="2016-10-07T00:00:00"/>
    <n v="418518.5172413793"/>
    <n v="66962.962758620692"/>
    <n v="485481.48"/>
    <n v="8058741.4568965519"/>
    <n v="1289398.6331034484"/>
    <n v="9348140.0899999999"/>
    <n v="19.255400000016479"/>
    <n v="140023864"/>
    <d v="2016-10-25T00:00:00"/>
    <n v="418518.5172413793"/>
    <n v="66962.962758620692"/>
    <n v="485481.48"/>
    <n v="7804575.1613689652"/>
    <n v="1248732.0258190345"/>
    <n v="9053307.1871879995"/>
    <n v="18.648099999999999"/>
    <m/>
    <m/>
    <n v="-254166.29552758671"/>
    <n v="-40666.607284413651"/>
    <n v="-294832.90281200036"/>
  </r>
  <r>
    <x v="0"/>
    <n v="4326979"/>
    <n v="800762390"/>
    <m/>
    <s v="MEX"/>
    <x v="0"/>
    <x v="0"/>
    <s v="Jefatura GRPN"/>
    <n v="2502"/>
    <x v="3"/>
    <x v="2"/>
    <n v="1"/>
    <x v="5"/>
    <x v="5"/>
    <x v="29"/>
    <x v="0"/>
    <s v="USD"/>
    <x v="1"/>
    <x v="0"/>
    <s v="A02"/>
    <x v="1"/>
    <n v="180000165"/>
    <d v="2017-01-10T00:00:00"/>
    <n v="418498.37931034487"/>
    <n v="66959.740689655184"/>
    <n v="485458.12"/>
    <n v="8541551.9224137943"/>
    <n v="1366648.3075862071"/>
    <n v="9908200.2300000004"/>
    <n v="20.41000000164793"/>
    <n v="140001475"/>
    <d v="2017-01-24T00:00:00"/>
    <n v="418498.37931034487"/>
    <n v="66959.740689655184"/>
    <n v="485458.12"/>
    <n v="9081498.5307103451"/>
    <n v="1453039.7649136554"/>
    <n v="10534538.295623999"/>
    <n v="21.700199999999999"/>
    <m/>
    <m/>
    <n v="539946.60829655081"/>
    <n v="86391.457327447832"/>
    <n v="626338.06562399864"/>
  </r>
  <r>
    <x v="0"/>
    <n v="4326979"/>
    <n v="800832451"/>
    <m/>
    <s v="MEX"/>
    <x v="0"/>
    <x v="0"/>
    <s v="Gas. Corredor Chihuahua"/>
    <s v="N000"/>
    <x v="4"/>
    <x v="3"/>
    <n v="1"/>
    <x v="5"/>
    <x v="5"/>
    <x v="32"/>
    <x v="1"/>
    <s v="USD"/>
    <x v="3"/>
    <x v="1"/>
    <s v="A01"/>
    <x v="2"/>
    <n v="180000006"/>
    <d v="2018-01-08T00:00:00"/>
    <n v="4240081.9655172415"/>
    <n v="678413.11448275868"/>
    <n v="4918495.08"/>
    <n v="81590625.232758626"/>
    <n v="13054500.037241381"/>
    <n v="94645125.269999996"/>
    <n v="19.242699998797193"/>
    <n v="140000272"/>
    <d v="2018-01-24T00:00:00"/>
    <n v="4240081.9655172415"/>
    <n v="678413.11448275868"/>
    <n v="4918495.08"/>
    <n v="79339565.722365528"/>
    <n v="12694330.515578484"/>
    <n v="92033896.237944007"/>
    <n v="18.7118"/>
    <m/>
    <m/>
    <n v="-2251059.510393098"/>
    <n v="-360169.52166289091"/>
    <n v="-2611229.0320559889"/>
  </r>
  <r>
    <x v="0"/>
    <n v="4326979"/>
    <n v="800832773"/>
    <m/>
    <s v="MEX"/>
    <x v="0"/>
    <x v="0"/>
    <s v="Gas. Corredor Chihuahua"/>
    <s v="N000"/>
    <x v="4"/>
    <x v="3"/>
    <n v="1"/>
    <x v="5"/>
    <x v="5"/>
    <x v="32"/>
    <x v="2"/>
    <s v="USD"/>
    <x v="4"/>
    <x v="2"/>
    <s v="A01"/>
    <x v="2"/>
    <n v="180000012"/>
    <d v="2018-01-08T00:00:00"/>
    <n v="2109.2068965517242"/>
    <n v="337.47310344827588"/>
    <n v="2446.6799999999998"/>
    <n v="40586.836206896558"/>
    <n v="6493.8937931034498"/>
    <n v="47080.73"/>
    <n v="19.242700312259881"/>
    <n v="140000272"/>
    <d v="2018-01-24T00:00:00"/>
    <n v="2109.2068965517242"/>
    <n v="337.47310344827588"/>
    <n v="2446.6799999999998"/>
    <n v="39467.057606896553"/>
    <n v="6314.7292171034487"/>
    <n v="45781.786823999995"/>
    <n v="18.7118"/>
    <m/>
    <m/>
    <n v="-1119.7786000000051"/>
    <n v="-179.16457600000285"/>
    <n v="-1298.943176000008"/>
  </r>
  <r>
    <x v="0"/>
    <n v="4326979"/>
    <n v="800762390"/>
    <m/>
    <s v="MEX"/>
    <x v="0"/>
    <x v="0"/>
    <s v="Jefatura GRPN"/>
    <n v="2502"/>
    <x v="3"/>
    <x v="3"/>
    <n v="2"/>
    <x v="8"/>
    <x v="8"/>
    <x v="33"/>
    <x v="0"/>
    <s v="USD"/>
    <x v="1"/>
    <x v="0"/>
    <s v="A02"/>
    <x v="1"/>
    <n v="180000652"/>
    <d v="2017-02-21T00:00:00"/>
    <n v="421242.47413793107"/>
    <n v="67398.795862068975"/>
    <n v="488641.27"/>
    <n v="8597558.8965517245"/>
    <n v="1375609.423448276"/>
    <n v="9973168.3200000003"/>
    <n v="20.409999998567457"/>
    <n v="140003756"/>
    <d v="2017-02-27T00:00:00"/>
    <n v="421242.47413793107"/>
    <n v="67398.795862068975"/>
    <n v="488641.27"/>
    <n v="8298940.1072387947"/>
    <n v="1327830.4171582072"/>
    <n v="9626770.5243970007"/>
    <n v="19.7011"/>
    <m/>
    <m/>
    <n v="-298618.78931292985"/>
    <n v="-47779.006290069781"/>
    <n v="-346397.79560299963"/>
  </r>
  <r>
    <x v="0"/>
    <n v="4326979"/>
    <n v="800808521"/>
    <m/>
    <s v="MEX"/>
    <x v="0"/>
    <x v="0"/>
    <s v="Gasoducto Corredor Chihuahua"/>
    <n v="2502"/>
    <x v="3"/>
    <x v="3"/>
    <n v="2"/>
    <x v="8"/>
    <x v="8"/>
    <x v="33"/>
    <x v="0"/>
    <s v="USD"/>
    <x v="2"/>
    <x v="3"/>
    <s v="A02"/>
    <x v="0"/>
    <n v="180000660"/>
    <d v="2017-02-21T00:00:00"/>
    <n v="4240081.9568965519"/>
    <n v="678413.1131034483"/>
    <n v="4918495.07"/>
    <n v="86720700.232758626"/>
    <n v="13875312.037241381"/>
    <n v="100596012.27"/>
    <n v="20.452600000267967"/>
    <n v="140003756"/>
    <d v="2017-02-27T00:00:00"/>
    <n v="4240081.9568965519"/>
    <n v="678413.1131034483"/>
    <n v="4918495.07"/>
    <n v="83534278.641014665"/>
    <n v="13365484.582562346"/>
    <n v="96899763.223577008"/>
    <n v="19.7011"/>
    <m/>
    <m/>
    <n v="-3186421.591743961"/>
    <n v="-509827.4546790272"/>
    <n v="-3696249.0464229882"/>
  </r>
  <r>
    <x v="0"/>
    <n v="4326979"/>
    <n v="800762390"/>
    <m/>
    <s v="MEX"/>
    <x v="0"/>
    <x v="0"/>
    <s v="Jefatura GRPN"/>
    <n v="2502"/>
    <x v="3"/>
    <x v="3"/>
    <n v="3"/>
    <x v="9"/>
    <x v="9"/>
    <x v="34"/>
    <x v="0"/>
    <s v="USD"/>
    <x v="1"/>
    <x v="0"/>
    <s v="A02"/>
    <x v="1"/>
    <n v="180000999"/>
    <d v="2017-03-09T00:00:00"/>
    <n v="421105.68103448278"/>
    <n v="67376.908965517243"/>
    <n v="488482.59"/>
    <n v="8220404.0000000009"/>
    <n v="1315264.6400000001"/>
    <n v="9535668.6400000006"/>
    <n v="19.521000001248765"/>
    <n v="140005602"/>
    <d v="2017-03-24T00:00:00"/>
    <n v="421105.68103448278"/>
    <n v="67376.908965517243"/>
    <n v="488482.59"/>
    <n v="8036254.4851577589"/>
    <n v="1285800.7176252415"/>
    <n v="9322055.2027829997"/>
    <n v="19.0837"/>
    <m/>
    <m/>
    <n v="-184149.514842242"/>
    <n v="-29463.922374758869"/>
    <n v="-213613.43721700087"/>
  </r>
  <r>
    <x v="0"/>
    <n v="4326979"/>
    <n v="800808521"/>
    <m/>
    <s v="MEX"/>
    <x v="0"/>
    <x v="0"/>
    <s v="Gasoducto Corredor Chihuahua"/>
    <n v="2502"/>
    <x v="3"/>
    <x v="3"/>
    <n v="3"/>
    <x v="9"/>
    <x v="9"/>
    <x v="34"/>
    <x v="0"/>
    <s v="USD"/>
    <x v="2"/>
    <x v="3"/>
    <s v="A02"/>
    <x v="0"/>
    <n v="180001000"/>
    <d v="2017-03-09T00:00:00"/>
    <n v="4240081.9568965519"/>
    <n v="678413.1131034483"/>
    <n v="4918495.07"/>
    <n v="82770639.879310355"/>
    <n v="13243302.380689656"/>
    <n v="96013942.260000005"/>
    <n v="19.520999999701129"/>
    <n v="140005602"/>
    <d v="2017-03-24T00:00:00"/>
    <n v="4240081.9568965519"/>
    <n v="678413.1131034483"/>
    <n v="4918495.07"/>
    <n v="80916452.040826738"/>
    <n v="12946632.326532278"/>
    <n v="93863084.367359012"/>
    <n v="19.0837"/>
    <m/>
    <m/>
    <n v="-1854187.8384836167"/>
    <n v="-296670.05415737629"/>
    <n v="-2150857.892640993"/>
  </r>
  <r>
    <x v="0"/>
    <n v="4326979"/>
    <n v="800642440"/>
    <m/>
    <s v="MEX"/>
    <x v="0"/>
    <x v="0"/>
    <s v="Gasoducto Corredor Chihuahua"/>
    <n v="2502"/>
    <x v="3"/>
    <x v="3"/>
    <n v="8"/>
    <x v="10"/>
    <x v="10"/>
    <x v="35"/>
    <x v="0"/>
    <s v="USD"/>
    <x v="2"/>
    <x v="0"/>
    <s v="A02"/>
    <x v="0"/>
    <n v="180002686"/>
    <d v="2017-08-04T00:00:00"/>
    <n v="4240081.9655172415"/>
    <n v="678413.11448275868"/>
    <n v="4918495.08"/>
    <n v="75768568.689655185"/>
    <n v="12122970.99034483"/>
    <n v="87891539.680000007"/>
    <n v="17.869599999681203"/>
    <n v="140014528"/>
    <d v="2017-08-24T00:00:00"/>
    <n v="4240081.9655172415"/>
    <n v="678413.11448275868"/>
    <n v="4918495.08"/>
    <n v="74819638.347124144"/>
    <n v="11971142.135539863"/>
    <n v="86790780.482664004"/>
    <n v="17.645800000000001"/>
    <m/>
    <m/>
    <n v="-948930.34253104031"/>
    <n v="-151828.85480496287"/>
    <n v="-1100759.1973360032"/>
  </r>
  <r>
    <x v="0"/>
    <n v="4326979"/>
    <n v="800762390"/>
    <m/>
    <s v="MEX"/>
    <x v="0"/>
    <x v="0"/>
    <s v="Jefatura GRPN"/>
    <n v="2502"/>
    <x v="3"/>
    <x v="3"/>
    <n v="8"/>
    <x v="10"/>
    <x v="10"/>
    <x v="35"/>
    <x v="0"/>
    <s v="USD"/>
    <x v="1"/>
    <x v="0"/>
    <s v="A02"/>
    <x v="1"/>
    <n v="180002687"/>
    <d v="2017-08-04T00:00:00"/>
    <n v="421568.05172413797"/>
    <n v="67450.888275862075"/>
    <n v="489018.94"/>
    <n v="7533252.4568965519"/>
    <n v="1205320.3931034484"/>
    <n v="8738572.8499999996"/>
    <n v="17.86959999954194"/>
    <n v="140014528"/>
    <d v="2017-08-24T00:00:00"/>
    <n v="421568.05172413797"/>
    <n v="67450.888275862075"/>
    <n v="489018.94"/>
    <n v="7438905.5271137943"/>
    <n v="1190224.8843382071"/>
    <n v="8629130.411452001"/>
    <n v="17.645800000000001"/>
    <m/>
    <m/>
    <n v="-94346.929782757536"/>
    <n v="-15095.508765241131"/>
    <n v="-109442.43854799867"/>
  </r>
  <r>
    <x v="0"/>
    <n v="4326979"/>
    <n v="800642440"/>
    <m/>
    <s v="MEX"/>
    <x v="0"/>
    <x v="0"/>
    <s v="Gasoducto Corredor Chihuahua"/>
    <n v="2502"/>
    <x v="3"/>
    <x v="3"/>
    <n v="7"/>
    <x v="11"/>
    <x v="11"/>
    <x v="36"/>
    <x v="0"/>
    <s v="USD"/>
    <x v="2"/>
    <x v="0"/>
    <s v="A02"/>
    <x v="0"/>
    <n v="180002447"/>
    <d v="2017-07-11T00:00:00"/>
    <n v="4240081.9482758623"/>
    <n v="678413.11172413803"/>
    <n v="4918495.0599999996"/>
    <n v="76912542.491379321"/>
    <n v="12306006.798620692"/>
    <n v="89218549.290000007"/>
    <n v="18.139399999722681"/>
    <n v="140012874"/>
    <d v="2017-07-25T00:00:00"/>
    <n v="4240081.9482758623"/>
    <n v="678413.11172413803"/>
    <n v="4918495.0599999996"/>
    <n v="74463471.159231037"/>
    <n v="11914155.385476965"/>
    <n v="86377626.544707999"/>
    <n v="17.561800000000002"/>
    <m/>
    <m/>
    <n v="-2449071.3321482837"/>
    <n v="-391851.4131437242"/>
    <n v="-2840922.7452920079"/>
  </r>
  <r>
    <x v="0"/>
    <n v="4326979"/>
    <n v="800762390"/>
    <m/>
    <s v="MEX"/>
    <x v="0"/>
    <x v="0"/>
    <s v="Jefatura GRPN"/>
    <n v="2502"/>
    <x v="3"/>
    <x v="3"/>
    <n v="7"/>
    <x v="11"/>
    <x v="11"/>
    <x v="36"/>
    <x v="0"/>
    <s v="USD"/>
    <x v="1"/>
    <x v="0"/>
    <s v="A02"/>
    <x v="1"/>
    <n v="180002449"/>
    <d v="2017-07-11T00:00:00"/>
    <n v="421504.94827586209"/>
    <n v="67440.791724137933"/>
    <n v="488945.74"/>
    <n v="7645846.8620689651"/>
    <n v="1223335.4979310345"/>
    <n v="8869182.3599999994"/>
    <n v="18.139400007861813"/>
    <n v="140012874"/>
    <d v="2017-07-25T00:00:00"/>
    <n v="421504.94827586209"/>
    <n v="67440.791724137933"/>
    <n v="488945.74"/>
    <n v="7402385.6006310359"/>
    <n v="1184381.6961009658"/>
    <n v="8586767.296732001"/>
    <n v="17.561800000000002"/>
    <m/>
    <m/>
    <n v="-243461.26143792924"/>
    <n v="-38953.801830069162"/>
    <n v="-282415.0632679984"/>
  </r>
  <r>
    <x v="0"/>
    <n v="4326979"/>
    <n v="800762390"/>
    <m/>
    <s v="MEX"/>
    <x v="0"/>
    <x v="0"/>
    <s v="Jefatura GRPN"/>
    <n v="2502"/>
    <x v="3"/>
    <x v="3"/>
    <n v="4"/>
    <x v="0"/>
    <x v="0"/>
    <x v="37"/>
    <x v="0"/>
    <s v="USD"/>
    <x v="1"/>
    <x v="0"/>
    <s v="A02"/>
    <x v="1"/>
    <n v="180001395"/>
    <d v="2017-04-07T00:00:00"/>
    <n v="421457.28448275867"/>
    <n v="67433.165517241388"/>
    <n v="488890.45"/>
    <n v="7889343.1982758623"/>
    <n v="1262294.9117241381"/>
    <n v="9151638.1099999994"/>
    <n v="18.719199996645465"/>
    <n v="140007228"/>
    <d v="2017-04-24T00:00:00"/>
    <n v="421457.28448275867"/>
    <n v="67433.165517241388"/>
    <n v="488890.45"/>
    <n v="7931278.1994956909"/>
    <n v="1269004.5119193105"/>
    <n v="9200282.7114150003"/>
    <n v="18.8187"/>
    <m/>
    <m/>
    <n v="41935.001219828613"/>
    <n v="6709.6001951722428"/>
    <n v="48644.601415000856"/>
  </r>
  <r>
    <x v="0"/>
    <n v="4326979"/>
    <n v="800808521"/>
    <m/>
    <s v="MEX"/>
    <x v="0"/>
    <x v="0"/>
    <s v="Gasoducto Corredor Chihuahua"/>
    <n v="2502"/>
    <x v="3"/>
    <x v="3"/>
    <n v="4"/>
    <x v="0"/>
    <x v="0"/>
    <x v="37"/>
    <x v="0"/>
    <s v="USD"/>
    <x v="2"/>
    <x v="3"/>
    <s v="A02"/>
    <x v="0"/>
    <n v="180001393"/>
    <d v="2017-04-07T00:00:00"/>
    <n v="4240081.362068966"/>
    <n v="678413.01793103456"/>
    <n v="4918494.38"/>
    <n v="79370931.025862068"/>
    <n v="12699348.96413793"/>
    <n v="92070279.989999995"/>
    <n v="18.719199998353968"/>
    <n v="140007228"/>
    <d v="2017-04-24T00:00:00"/>
    <n v="4240081.362068966"/>
    <n v="678413.01793103456"/>
    <n v="4918494.38"/>
    <n v="79792819.128367245"/>
    <n v="12766851.060538759"/>
    <n v="92559670.188905999"/>
    <n v="18.8187"/>
    <m/>
    <m/>
    <n v="421888.10250517726"/>
    <n v="67502.096400827169"/>
    <n v="489390.19890600443"/>
  </r>
  <r>
    <x v="0"/>
    <n v="4326979"/>
    <n v="800642440"/>
    <m/>
    <s v="MEX"/>
    <x v="0"/>
    <x v="0"/>
    <s v="Gasoducto Corredor Chihuahua"/>
    <n v="2502"/>
    <x v="3"/>
    <x v="3"/>
    <n v="6"/>
    <x v="1"/>
    <x v="1"/>
    <x v="38"/>
    <x v="0"/>
    <s v="USD"/>
    <x v="2"/>
    <x v="3"/>
    <s v="A02"/>
    <x v="0"/>
    <n v="180002088"/>
    <d v="2017-06-09T00:00:00"/>
    <n v="4240081.9655172415"/>
    <n v="678413.11448275868"/>
    <n v="4918495.08"/>
    <n v="77287365.950000003"/>
    <n v="12365978.552000001"/>
    <n v="89653344.502000004"/>
    <n v="18.227799976166693"/>
    <n v="140010960"/>
    <d v="2017-06-26T00:00:00"/>
    <n v="4240081.9655172415"/>
    <n v="678413.11448275868"/>
    <n v="4918495.08"/>
    <n v="76859965.788931027"/>
    <n v="12297594.526228964"/>
    <n v="89157560.315159991"/>
    <n v="18.126999999999999"/>
    <m/>
    <m/>
    <n v="-427400.16106897593"/>
    <n v="-68384.025771036744"/>
    <n v="-495784.18684001267"/>
  </r>
  <r>
    <x v="0"/>
    <n v="4326979"/>
    <n v="800762390"/>
    <m/>
    <s v="MEX"/>
    <x v="0"/>
    <x v="0"/>
    <s v="Jefatura GRPN"/>
    <n v="2502"/>
    <x v="3"/>
    <x v="3"/>
    <n v="6"/>
    <x v="1"/>
    <x v="1"/>
    <x v="38"/>
    <x v="0"/>
    <s v="USD"/>
    <x v="1"/>
    <x v="0"/>
    <s v="A02"/>
    <x v="1"/>
    <n v="180002089"/>
    <d v="2017-06-09T00:00:00"/>
    <n v="421529.61206896551"/>
    <n v="67444.737931034484"/>
    <n v="488974.35"/>
    <n v="7683557.4655172424"/>
    <n v="1229369.1944827589"/>
    <n v="8912926.6600000001"/>
    <n v="18.22780000627845"/>
    <n v="140010960"/>
    <d v="2017-06-26T00:00:00"/>
    <n v="421529.61206896551"/>
    <n v="67444.737931034484"/>
    <n v="488974.35"/>
    <n v="7641067.277974138"/>
    <n v="1222570.764475862"/>
    <n v="8863638.0424499996"/>
    <n v="18.126999999999999"/>
    <m/>
    <m/>
    <n v="-42490.187543104403"/>
    <n v="-6798.4300068961456"/>
    <n v="-49288.617550000548"/>
  </r>
  <r>
    <x v="0"/>
    <n v="4326979"/>
    <n v="800832451"/>
    <m/>
    <s v="MEX"/>
    <x v="0"/>
    <x v="0"/>
    <s v="Gas. Corredor Chihuahua"/>
    <s v="N000"/>
    <x v="3"/>
    <x v="3"/>
    <n v="12"/>
    <x v="2"/>
    <x v="2"/>
    <x v="39"/>
    <x v="1"/>
    <s v="USD"/>
    <x v="3"/>
    <x v="1"/>
    <s v="A01"/>
    <x v="2"/>
    <n v="180001071"/>
    <d v="2017-12-11T00:00:00"/>
    <n v="419348.75862068968"/>
    <n v="67095.801379310346"/>
    <n v="486444.56"/>
    <n v="7938901.0238275873"/>
    <n v="1270224.163812414"/>
    <n v="9209125.1876400001"/>
    <n v="18.9315"/>
    <n v="140001354"/>
    <d v="2017-12-22T00:00:00"/>
    <n v="419348.75862068968"/>
    <n v="67095.801379310346"/>
    <n v="486444.56"/>
    <n v="8063699.2143931035"/>
    <n v="1290191.8743028967"/>
    <n v="9353891.0886959992"/>
    <n v="19.229099999999999"/>
    <m/>
    <m/>
    <n v="124798.19056551624"/>
    <n v="19967.710490482859"/>
    <n v="144765.9010559991"/>
  </r>
  <r>
    <x v="0"/>
    <n v="4326979"/>
    <n v="800832451"/>
    <m/>
    <s v="MEX"/>
    <x v="0"/>
    <x v="0"/>
    <s v="Gas. Corredor Chihuahua"/>
    <n v="2502"/>
    <x v="3"/>
    <x v="3"/>
    <n v="12"/>
    <x v="2"/>
    <x v="2"/>
    <x v="39"/>
    <x v="1"/>
    <s v="USD"/>
    <x v="3"/>
    <x v="1"/>
    <s v="A01"/>
    <x v="2"/>
    <n v="180001070"/>
    <d v="2017-12-11T00:00:00"/>
    <n v="4240081.9655172415"/>
    <n v="678413.11448275868"/>
    <n v="4918495.08"/>
    <n v="80271111.730189666"/>
    <n v="12843377.876830347"/>
    <n v="93114489.607020006"/>
    <n v="18.9315"/>
    <n v="140001354"/>
    <d v="2017-12-22T00:00:00"/>
    <n v="4240081.9655172415"/>
    <n v="678413.11448275868"/>
    <n v="4918495.08"/>
    <n v="81532960.123127595"/>
    <n v="13045273.619700415"/>
    <n v="94578233.742827997"/>
    <n v="19.229099999999999"/>
    <m/>
    <m/>
    <n v="1261848.3929379284"/>
    <n v="201895.74287006259"/>
    <n v="1463744.135807991"/>
  </r>
  <r>
    <x v="0"/>
    <n v="4326979"/>
    <n v="800832773"/>
    <m/>
    <s v="MEX"/>
    <x v="0"/>
    <x v="0"/>
    <s v="Gas. Corredor Chihuahua"/>
    <s v="N000"/>
    <x v="3"/>
    <x v="3"/>
    <n v="12"/>
    <x v="2"/>
    <x v="2"/>
    <x v="39"/>
    <x v="2"/>
    <s v="USD"/>
    <x v="4"/>
    <x v="2"/>
    <s v="A01"/>
    <x v="2"/>
    <n v="180001072"/>
    <d v="2017-12-11T00:00:00"/>
    <n v="2094.0172413793102"/>
    <n v="335.04275862068965"/>
    <n v="2429.06"/>
    <n v="39642.887405172412"/>
    <n v="6342.8619848275857"/>
    <n v="45985.749389999997"/>
    <n v="18.9315"/>
    <n v="140001354"/>
    <d v="2017-12-22T00:00:00"/>
    <n v="2094.0172413793102"/>
    <n v="335.04275862068965"/>
    <n v="2429.06"/>
    <n v="40266.066936206895"/>
    <n v="6442.5707097931036"/>
    <n v="46708.637645999996"/>
    <n v="19.229099999999999"/>
    <m/>
    <m/>
    <n v="623.17953103448235"/>
    <n v="99.708724965516012"/>
    <n v="722.88825599999836"/>
  </r>
  <r>
    <x v="0"/>
    <n v="4326979"/>
    <n v="800832451"/>
    <m/>
    <s v="MEX"/>
    <x v="0"/>
    <x v="0"/>
    <s v="Gas. Corredor Chihuahua"/>
    <n v="2502"/>
    <x v="3"/>
    <x v="3"/>
    <n v="11"/>
    <x v="3"/>
    <x v="3"/>
    <x v="40"/>
    <x v="1"/>
    <s v="USD"/>
    <x v="3"/>
    <x v="1"/>
    <s v="A01"/>
    <x v="2"/>
    <n v="180000529"/>
    <d v="2017-11-13T00:00:00"/>
    <n v="419348.76"/>
    <n v="67095.801600000006"/>
    <n v="486444.56159999996"/>
    <n v="6901179.1624137936"/>
    <n v="1104188.6659862071"/>
    <n v="8005367.8284"/>
    <n v="16.456896551724139"/>
    <n v="140000942"/>
    <d v="2017-11-30T00:00:00"/>
    <n v="419348.76"/>
    <n v="67095.801600000006"/>
    <n v="486444.56159999996"/>
    <n v="7793512.8348479997"/>
    <n v="1246962.0535756799"/>
    <n v="9040474.8884236794"/>
    <n v="18.584800000000001"/>
    <m/>
    <m/>
    <n v="892333.67243420612"/>
    <n v="142773.38758947328"/>
    <n v="1035107.0600236794"/>
  </r>
  <r>
    <x v="0"/>
    <n v="4326979"/>
    <n v="800832451"/>
    <m/>
    <s v="MEX"/>
    <x v="0"/>
    <x v="0"/>
    <s v="Gas. Corredor Chihuahua"/>
    <n v="2502"/>
    <x v="3"/>
    <x v="3"/>
    <n v="11"/>
    <x v="3"/>
    <x v="3"/>
    <x v="40"/>
    <x v="0"/>
    <s v="USD"/>
    <x v="3"/>
    <x v="1"/>
    <s v="A01"/>
    <x v="2"/>
    <n v="180000528"/>
    <d v="2017-11-13T00:00:00"/>
    <n v="4240081.96"/>
    <n v="678413.11360000004"/>
    <n v="4918495.0735999998"/>
    <n v="69778590.186551735"/>
    <n v="11164574.429848278"/>
    <n v="80943164.616400003"/>
    <n v="16.456896551724139"/>
    <n v="140000942"/>
    <d v="2017-11-30T00:00:00"/>
    <n v="4240081.96"/>
    <n v="678413.11360000004"/>
    <n v="4918495.0735999998"/>
    <n v="78801075.210207999"/>
    <n v="12608172.033633281"/>
    <n v="91409247.243841276"/>
    <n v="18.584800000000001"/>
    <m/>
    <m/>
    <n v="9022485.0236562639"/>
    <n v="1443597.6037850082"/>
    <n v="10466082.627441272"/>
  </r>
  <r>
    <x v="0"/>
    <n v="4326979"/>
    <n v="800832773"/>
    <m/>
    <s v="MEX"/>
    <x v="0"/>
    <x v="0"/>
    <s v="Gas. Corredor Chihuahua"/>
    <n v="2502"/>
    <x v="3"/>
    <x v="3"/>
    <n v="11"/>
    <x v="3"/>
    <x v="3"/>
    <x v="40"/>
    <x v="2"/>
    <s v="USD"/>
    <x v="4"/>
    <x v="2"/>
    <s v="A01"/>
    <x v="2"/>
    <n v="180000533"/>
    <d v="2017-11-13T00:00:00"/>
    <n v="716.9"/>
    <n v="114.70399999999999"/>
    <n v="831.60399999999993"/>
    <n v="11797.949137931035"/>
    <n v="1887.6718620689655"/>
    <n v="13685.620999999999"/>
    <n v="16.456896551724139"/>
    <n v="140000942"/>
    <d v="2017-11-30T00:00:00"/>
    <n v="716.9"/>
    <n v="114.70399999999999"/>
    <n v="831.60399999999993"/>
    <n v="13323.443120000002"/>
    <n v="2131.7508992000003"/>
    <n v="15455.1940192"/>
    <n v="18.584800000000001"/>
    <m/>
    <m/>
    <n v="1525.4939820689669"/>
    <n v="244.07903713103406"/>
    <n v="1769.573019200001"/>
  </r>
  <r>
    <x v="0"/>
    <n v="4326979"/>
    <n v="800832451"/>
    <m/>
    <s v="MEX"/>
    <x v="0"/>
    <x v="0"/>
    <s v="Gas. Corredor Chihuahua"/>
    <n v="2502"/>
    <x v="3"/>
    <x v="3"/>
    <n v="10"/>
    <x v="4"/>
    <x v="4"/>
    <x v="41"/>
    <x v="0"/>
    <s v="USD"/>
    <x v="3"/>
    <x v="1"/>
    <s v="A01"/>
    <x v="2"/>
    <n v="180000078"/>
    <d v="2017-10-05T00:00:00"/>
    <n v="4659430.72"/>
    <n v="745508.91519999993"/>
    <n v="5404939.6351999994"/>
    <n v="73150250.578565523"/>
    <n v="11704040.092570484"/>
    <n v="84854290.671136007"/>
    <n v="15.69939655172414"/>
    <n v="140000420"/>
    <d v="2017-10-24T00:00:00"/>
    <n v="4659430.72"/>
    <n v="745508.91519999993"/>
    <n v="5404939.6351999994"/>
    <n v="88566459.125760004"/>
    <n v="14170633.460121602"/>
    <n v="102737092.58588159"/>
    <n v="19.007999999999999"/>
    <m/>
    <m/>
    <n v="15416208.547194481"/>
    <n v="2466593.3675511032"/>
    <n v="17882801.914745584"/>
  </r>
  <r>
    <x v="0"/>
    <n v="4326979"/>
    <n v="800832773"/>
    <m/>
    <s v="MEX"/>
    <x v="0"/>
    <x v="0"/>
    <s v="Gas. Corredor Chihuahua"/>
    <n v="2502"/>
    <x v="3"/>
    <x v="3"/>
    <n v="10"/>
    <x v="4"/>
    <x v="4"/>
    <x v="41"/>
    <x v="0"/>
    <s v="USD"/>
    <x v="4"/>
    <x v="2"/>
    <s v="A01"/>
    <x v="2"/>
    <n v="180000079"/>
    <d v="2017-10-05T00:00:00"/>
    <n v="1540.1"/>
    <n v="246.416"/>
    <n v="1786.5159999999998"/>
    <n v="24178.64062931035"/>
    <n v="3868.5825006896562"/>
    <n v="28047.223130000002"/>
    <n v="15.69939655172414"/>
    <n v="140000420"/>
    <d v="2017-10-24T00:00:00"/>
    <n v="1540.1"/>
    <n v="246.416"/>
    <n v="1786.5159999999998"/>
    <n v="29274.220799999999"/>
    <n v="4683.8753280000001"/>
    <n v="33958.096127999997"/>
    <n v="19.007999999999999"/>
    <m/>
    <m/>
    <n v="5095.5801706896491"/>
    <n v="815.29282731034618"/>
    <n v="5910.8729979999953"/>
  </r>
  <r>
    <x v="0"/>
    <n v="4326979"/>
    <n v="800832451"/>
    <m/>
    <s v="MEX"/>
    <x v="0"/>
    <x v="0"/>
    <s v="Gas. Corredor Chihuahua"/>
    <s v="N000"/>
    <x v="4"/>
    <x v="4"/>
    <n v="5"/>
    <x v="6"/>
    <x v="6"/>
    <x v="42"/>
    <x v="1"/>
    <s v="USD"/>
    <x v="0"/>
    <x v="0"/>
    <s v="A01"/>
    <x v="2"/>
    <n v="180001643"/>
    <d v="2018-05-11T00:00:00"/>
    <n v="4240081.9655172415"/>
    <n v="678413.11448275868"/>
    <n v="4918495.08"/>
    <n v="82845689.5"/>
    <n v="13255310.32"/>
    <n v="96100999.819999993"/>
    <n v="19.538700000082137"/>
    <n v="140002815"/>
    <d v="2018-05-29T00:00:00"/>
    <n v="4240081.9655172415"/>
    <n v="678413.11448275868"/>
    <n v="4918495.08"/>
    <n v="82939395.310000002"/>
    <n v="13270303.249600001"/>
    <n v="96209698.560000002"/>
    <n v="19.5608"/>
    <m/>
    <m/>
    <n v="93705.810000002384"/>
    <n v="14992.930000007153"/>
    <n v="108698.74000000954"/>
  </r>
  <r>
    <x v="0"/>
    <n v="4326979"/>
    <n v="800832451"/>
    <m/>
    <s v="MEX"/>
    <x v="0"/>
    <x v="0"/>
    <s v="CC NORTE II"/>
    <s v="N000"/>
    <x v="4"/>
    <x v="4"/>
    <n v="5"/>
    <x v="6"/>
    <x v="6"/>
    <x v="42"/>
    <x v="1"/>
    <s v="USD"/>
    <x v="5"/>
    <x v="4"/>
    <s v="A01"/>
    <x v="3"/>
    <n v="180001644"/>
    <d v="2018-05-11T00:00:00"/>
    <n v="419348.75862068968"/>
    <n v="67095.801379310346"/>
    <n v="486444.56"/>
    <n v="8193529.5900620688"/>
    <n v="1310964.7344099311"/>
    <n v="9504494.324471999"/>
    <n v="19.538699999999999"/>
    <n v="140002815"/>
    <d v="2018-05-29T00:00:00"/>
    <n v="419348.75862068968"/>
    <n v="67095.801379310346"/>
    <n v="486444.56"/>
    <n v="8202797.2000000002"/>
    <n v="1312447.5520000001"/>
    <n v="9515244.75"/>
    <n v="19.5608"/>
    <m/>
    <m/>
    <n v="9267.609937931411"/>
    <n v="1482.8155900696293"/>
    <n v="10750.42552800104"/>
  </r>
  <r>
    <x v="0"/>
    <n v="4326979"/>
    <n v="800832773"/>
    <m/>
    <s v="MEX"/>
    <x v="0"/>
    <x v="0"/>
    <s v="CC NORTE II"/>
    <s v="N000"/>
    <x v="4"/>
    <x v="4"/>
    <n v="5"/>
    <x v="6"/>
    <x v="6"/>
    <x v="42"/>
    <x v="2"/>
    <s v="USD"/>
    <x v="6"/>
    <x v="5"/>
    <s v="A01"/>
    <x v="3"/>
    <n v="180001645"/>
    <d v="2018-05-11T00:00:00"/>
    <n v="2165.7068965517242"/>
    <n v="346.5131034482759"/>
    <n v="2512.2199999999998"/>
    <n v="42315.09482758621"/>
    <n v="6770.4151724137937"/>
    <n v="49085.51"/>
    <n v="19.538698840069742"/>
    <n v="140002815"/>
    <d v="2018-05-29T00:00:00"/>
    <n v="2165.7068965517242"/>
    <n v="346.5131034482759"/>
    <n v="2512.2199999999998"/>
    <n v="42362.96"/>
    <n v="6778.0735999999997"/>
    <n v="49141.03"/>
    <n v="19.5608"/>
    <m/>
    <m/>
    <n v="47.865172413788969"/>
    <n v="7.6548275862078299"/>
    <n v="55.519999999996799"/>
  </r>
  <r>
    <x v="0"/>
    <n v="4326979"/>
    <n v="800832451"/>
    <m/>
    <s v="MEX"/>
    <x v="0"/>
    <x v="0"/>
    <s v="Gas. Corredor Chihuahua"/>
    <s v="N000"/>
    <x v="4"/>
    <x v="4"/>
    <n v="9"/>
    <x v="7"/>
    <x v="7"/>
    <x v="43"/>
    <x v="1"/>
    <s v="USD"/>
    <x v="0"/>
    <x v="6"/>
    <s v="A01"/>
    <x v="2"/>
    <n v="180003707"/>
    <d v="2018-09-10T00:00:00"/>
    <n v="4193487.6800000006"/>
    <n v="670958.02880000009"/>
    <n v="4864445.7088000001"/>
    <n v="81163276.651328012"/>
    <n v="12986124.264212482"/>
    <n v="94149400.915540487"/>
    <n v="19.354600000000001"/>
    <n v="140005105"/>
    <d v="2018-09-26T00:00:00"/>
    <n v="4193487.6800000006"/>
    <n v="670958.02880000009"/>
    <n v="4864445.7088000001"/>
    <n v="79053952.340000004"/>
    <n v="12648632.374400001"/>
    <n v="91702584.719999999"/>
    <n v="18.851600000000001"/>
    <m/>
    <m/>
    <n v="-2109324.3113280088"/>
    <n v="-337491.884212479"/>
    <n v="-2446816.1955404878"/>
  </r>
  <r>
    <x v="0"/>
    <n v="4326979"/>
    <n v="800832451"/>
    <m/>
    <s v="MEX"/>
    <x v="0"/>
    <x v="0"/>
    <s v="CC NORTE II"/>
    <s v="N000"/>
    <x v="4"/>
    <x v="4"/>
    <n v="9"/>
    <x v="7"/>
    <x v="7"/>
    <x v="43"/>
    <x v="1"/>
    <s v="USD"/>
    <x v="5"/>
    <x v="4"/>
    <s v="A01"/>
    <x v="3"/>
    <n v="180003708"/>
    <d v="2018-09-10T00:00:00"/>
    <n v="465943.06896551722"/>
    <n v="74550.89103448276"/>
    <n v="540493.96"/>
    <n v="9018141.7226"/>
    <n v="1442902.6756160001"/>
    <n v="10461044.398216"/>
    <n v="19.354600000000001"/>
    <n v="140005105"/>
    <d v="2018-09-26T00:00:00"/>
    <n v="465943.06896551722"/>
    <n v="74550.89103448276"/>
    <n v="540493.96"/>
    <n v="8783772.3599999994"/>
    <n v="1405403.5776"/>
    <n v="10189175.939999999"/>
    <n v="18.851600000000001"/>
    <m/>
    <m/>
    <n v="-234369.36260000058"/>
    <n v="-37499.095615999773"/>
    <n v="-271868.45821600035"/>
  </r>
  <r>
    <x v="0"/>
    <n v="4326979"/>
    <n v="800832773"/>
    <m/>
    <s v="MEX"/>
    <x v="0"/>
    <x v="0"/>
    <s v="CC NORTE II"/>
    <s v="N000"/>
    <x v="4"/>
    <x v="4"/>
    <n v="9"/>
    <x v="7"/>
    <x v="7"/>
    <x v="44"/>
    <x v="2"/>
    <s v="USD"/>
    <x v="6"/>
    <x v="5"/>
    <s v="A01"/>
    <x v="3"/>
    <n v="180003709"/>
    <d v="2018-09-10T00:00:00"/>
    <n v="2332.9568965517242"/>
    <n v="373.27310344827589"/>
    <n v="2706.23"/>
    <n v="45153.447550000012"/>
    <n v="7224.5516080000016"/>
    <n v="52377.999158000006"/>
    <n v="19.354600000000001"/>
    <n v="140005105"/>
    <d v="2018-09-26T00:00:00"/>
    <n v="2332.9568965517242"/>
    <n v="373.27310344827589"/>
    <n v="2706.23"/>
    <n v="43979.97"/>
    <n v="7036.7952000000005"/>
    <n v="51016.77"/>
    <n v="18.851600000000001"/>
    <m/>
    <m/>
    <n v="-1173.4775500000105"/>
    <n v="-187.75160799999867"/>
    <n v="-1361.2291580000092"/>
  </r>
  <r>
    <x v="0"/>
    <n v="4326979"/>
    <n v="800832773"/>
    <m/>
    <s v="MEX"/>
    <x v="0"/>
    <x v="0"/>
    <s v="CC NORTE II"/>
    <s v="N000"/>
    <x v="4"/>
    <x v="4"/>
    <n v="10"/>
    <x v="7"/>
    <x v="7"/>
    <x v="45"/>
    <x v="2"/>
    <s v="USD"/>
    <x v="6"/>
    <x v="5"/>
    <s v="A01"/>
    <x v="3"/>
    <n v="180004162"/>
    <d v="2018-10-18T00:00:00"/>
    <n v="3011.8"/>
    <n v="481.88800000000003"/>
    <n v="3493.6880000000001"/>
    <n v="56529.38"/>
    <n v="9044.7008000000005"/>
    <n v="65574.080799999996"/>
    <n v="18.769300750381831"/>
    <n v="140005736"/>
    <d v="2018-10-29T00:00:00"/>
    <n v="3011.8"/>
    <n v="481.88800000000003"/>
    <n v="3493.6880000000001"/>
    <n v="58544.28"/>
    <n v="9367.0848000000005"/>
    <n v="67911.360000000001"/>
    <n v="19.438300000000002"/>
    <m/>
    <m/>
    <n v="-1490.1567500000165"/>
    <n v="-238.42387999999482"/>
    <n v="-1728.5806300000113"/>
  </r>
  <r>
    <x v="0"/>
    <n v="4326979"/>
    <n v="800832773"/>
    <m/>
    <s v="MEX"/>
    <x v="0"/>
    <x v="0"/>
    <s v="CC NORTE II"/>
    <s v="N000"/>
    <x v="4"/>
    <x v="4"/>
    <n v="9"/>
    <x v="7"/>
    <x v="7"/>
    <x v="44"/>
    <x v="2"/>
    <s v="USD"/>
    <x v="6"/>
    <x v="5"/>
    <s v="A01"/>
    <x v="3"/>
    <n v="180003710"/>
    <d v="2018-09-10T00:00:00"/>
    <n v="2962.5431034482763"/>
    <n v="474.0068965517242"/>
    <n v="3436.55"/>
    <n v="57338.836750000017"/>
    <n v="9174.213880000003"/>
    <n v="66513.050630000012"/>
    <n v="19.354600000000001"/>
    <n v="140005105"/>
    <d v="2018-09-26T00:00:00"/>
    <n v="2962.5431034482763"/>
    <n v="474.0068965517242"/>
    <n v="3436.55"/>
    <n v="55848.68"/>
    <n v="8935.7888000000003"/>
    <n v="64784.47"/>
    <n v="18.851600000000001"/>
    <m/>
    <m/>
    <n v="-1490.1567500000165"/>
    <n v="-238.42387999999482"/>
    <n v="-1728.5806300000113"/>
  </r>
  <r>
    <x v="0"/>
    <n v="4326979"/>
    <n v="800861096"/>
    <m/>
    <s v="MEX"/>
    <x v="1"/>
    <x v="0"/>
    <s v="Gas. Corredor Chihuahua"/>
    <s v="N000"/>
    <x v="4"/>
    <x v="4"/>
    <n v="9"/>
    <x v="7"/>
    <x v="7"/>
    <x v="46"/>
    <x v="1"/>
    <s v="USD"/>
    <x v="0"/>
    <x v="6"/>
    <s v="A01"/>
    <x v="2"/>
    <n v="180003729"/>
    <s v=" 10/09/2018"/>
    <n v="447053.49137931038"/>
    <n v="71528.558620689655"/>
    <n v="518582.05"/>
    <n v="8601040.9482758623"/>
    <n v="1376166.551724138"/>
    <n v="9977207.5"/>
    <n v="19.239400013941864"/>
    <n v="140005105"/>
    <d v="2018-09-26T00:00:00"/>
    <n v="447053.49137931038"/>
    <n v="71528.558620689655"/>
    <n v="518582.05"/>
    <n v="8427673.5899999999"/>
    <n v="1348427.7744"/>
    <n v="9776101.3699999992"/>
    <n v="18.851600000000001"/>
    <m/>
    <m/>
    <n v="-173367.35827586241"/>
    <n v="-27738.771724138409"/>
    <n v="-201106.13000000082"/>
  </r>
  <r>
    <x v="0"/>
    <n v="4326979"/>
    <n v="800869674"/>
    <m/>
    <s v="MEX"/>
    <x v="0"/>
    <x v="0"/>
    <s v="Gas. Corredor Chihuahua"/>
    <s v="N000"/>
    <x v="5"/>
    <x v="4"/>
    <n v="1"/>
    <x v="5"/>
    <x v="5"/>
    <x v="47"/>
    <x v="1"/>
    <s v="USD"/>
    <x v="7"/>
    <x v="6"/>
    <s v="A01"/>
    <x v="2"/>
    <n v="180000020"/>
    <d v="2019-01-08T00:00:00"/>
    <n v="465952.06896551728"/>
    <n v="74552.331034482762"/>
    <n v="540504.4"/>
    <n v="9081499.0086206906"/>
    <n v="1453039.8413793105"/>
    <n v="10534538.85"/>
    <n v="19.490199987271147"/>
    <n v="140000363"/>
    <d v="2019-01-28T00:00:00"/>
    <n v="465952.06896551728"/>
    <n v="74552.331034482762"/>
    <n v="540504.4"/>
    <n v="8846519.3900000006"/>
    <n v="1415443.1024000002"/>
    <n v="10261962.49"/>
    <n v="18.985900000000001"/>
    <m/>
    <m/>
    <n v="-234979.61862068996"/>
    <n v="-37596.741379309446"/>
    <n v="-272576.3599999994"/>
  </r>
  <r>
    <x v="0"/>
    <n v="4326979"/>
    <n v="800869674"/>
    <m/>
    <s v="MEX"/>
    <x v="0"/>
    <x v="0"/>
    <s v="Gas. Corredor Chihuahua"/>
    <s v="N000"/>
    <x v="4"/>
    <x v="4"/>
    <n v="1"/>
    <x v="5"/>
    <x v="5"/>
    <x v="47"/>
    <x v="1"/>
    <s v="USD"/>
    <x v="7"/>
    <x v="6"/>
    <s v="A01"/>
    <x v="2"/>
    <n v="180000019"/>
    <d v="2019-01-08T00:00:00"/>
    <n v="4193478.6551724141"/>
    <n v="670956.58482758631"/>
    <n v="4864435.24"/>
    <n v="81731737.681034476"/>
    <n v="13077078.028965516"/>
    <n v="94808815.709999993"/>
    <n v="19.490199999044492"/>
    <n v="140000363"/>
    <d v="2018-01-28T00:00:00"/>
    <n v="4193478.6551724141"/>
    <n v="670956.58482758631"/>
    <n v="4864435.24"/>
    <n v="79616966.400000006"/>
    <n v="12738714.624000002"/>
    <n v="92355681.019999996"/>
    <n v="18.985900000000001"/>
    <m/>
    <m/>
    <n v="-2114771.2810344696"/>
    <n v="-338363.40896552801"/>
    <n v="-2453134.6899999976"/>
  </r>
  <r>
    <x v="0"/>
    <n v="4326979"/>
    <n v="800869678"/>
    <m/>
    <s v="MEX"/>
    <x v="0"/>
    <x v="0"/>
    <s v="Gas. Corredor Chihuahua"/>
    <s v="N000"/>
    <x v="4"/>
    <x v="4"/>
    <n v="1"/>
    <x v="5"/>
    <x v="5"/>
    <x v="48"/>
    <x v="2"/>
    <s v="USD"/>
    <x v="8"/>
    <x v="7"/>
    <s v="A01"/>
    <x v="2"/>
    <n v="180000025"/>
    <d v="2019-01-08T00:00:00"/>
    <n v="5375.7327586206902"/>
    <n v="860.11724137931049"/>
    <n v="6235.85"/>
    <n v="104774.10344827587"/>
    <n v="16763.85655172414"/>
    <n v="121537.96"/>
    <n v="19.490199411467561"/>
    <n v="140000363"/>
    <d v="2018-01-28T00:00:00"/>
    <n v="5375.7327586206902"/>
    <n v="860.11724137931049"/>
    <n v="6235.85"/>
    <n v="102063.12"/>
    <n v="16330.099199999999"/>
    <n v="118393.22"/>
    <n v="18.985900000000001"/>
    <m/>
    <m/>
    <n v="-2710.9834482758743"/>
    <n v="-433.75655172413099"/>
    <n v="-3144.7400000000052"/>
  </r>
  <r>
    <x v="0"/>
    <n v="4326976"/>
    <n v="800869676"/>
    <m/>
    <s v="MEX"/>
    <x v="1"/>
    <x v="0"/>
    <s v="Gas. Corredor Chihuahua"/>
    <s v="N000"/>
    <x v="5"/>
    <x v="4"/>
    <n v="1"/>
    <x v="5"/>
    <x v="5"/>
    <x v="49"/>
    <x v="1"/>
    <s v="USD"/>
    <x v="7"/>
    <x v="6"/>
    <s v="A01"/>
    <x v="2"/>
    <n v="180000021"/>
    <d v="2018-01-08T00:00:00"/>
    <n v="447053.49137931038"/>
    <n v="71528.558620689655"/>
    <n v="518582.05"/>
    <n v="8713161.956896551"/>
    <n v="1394105.9131034482"/>
    <n v="10107267.869999999"/>
    <n v="19.490199998245213"/>
    <n v="140000363"/>
    <d v="2019-01-28T00:00:00"/>
    <n v="447053.49137931038"/>
    <n v="71528.558620689655"/>
    <n v="518582.05"/>
    <n v="8487712.8800000008"/>
    <n v="1358034.0608000001"/>
    <n v="9845746.9399999995"/>
    <n v="18.985900000000001"/>
    <m/>
    <m/>
    <n v="-225449.07689655013"/>
    <n v="-36071.853103449568"/>
    <n v="-261520.9299999997"/>
  </r>
  <r>
    <x v="0"/>
    <n v="4326979"/>
    <n v="800832451"/>
    <m/>
    <s v="MEX"/>
    <x v="0"/>
    <x v="0"/>
    <s v="Gas. Corredor Chihuahua"/>
    <s v="N000"/>
    <x v="4"/>
    <x v="4"/>
    <n v="2"/>
    <x v="8"/>
    <x v="8"/>
    <x v="50"/>
    <x v="1"/>
    <s v="USD"/>
    <x v="0"/>
    <x v="0"/>
    <s v="A01"/>
    <x v="2"/>
    <n v="180000297"/>
    <d v="2018-02-12T00:00:00"/>
    <n v="4240081.9655172415"/>
    <n v="678413.11448275868"/>
    <n v="4918495.08"/>
    <n v="80059107.637931034"/>
    <n v="12809457.222068965"/>
    <n v="92868564.859999999"/>
    <n v="18.881500001419134"/>
    <n v="140000923"/>
    <d v="2018-02-27T00:00:00"/>
    <n v="4240081.9655172415"/>
    <n v="678413.11448275868"/>
    <n v="4918495.08"/>
    <n v="78720937.769999996"/>
    <n v="12595350.039999999"/>
    <n v="91316287.810000002"/>
    <n v="18.565899999999999"/>
    <m/>
    <m/>
    <n v="-1338169.8679310381"/>
    <n v="-214107.18206895888"/>
    <n v="-1552277.049999997"/>
  </r>
  <r>
    <x v="0"/>
    <n v="4326979"/>
    <n v="800832451"/>
    <m/>
    <s v="MEX"/>
    <x v="0"/>
    <x v="0"/>
    <s v="Gas. Corredor Chihuahua"/>
    <s v="N000"/>
    <x v="4"/>
    <x v="4"/>
    <n v="2"/>
    <x v="8"/>
    <x v="8"/>
    <x v="50"/>
    <x v="1"/>
    <s v="USD"/>
    <x v="0"/>
    <x v="0"/>
    <s v="A01"/>
    <x v="2"/>
    <n v="180000298"/>
    <d v="2018-02-12T00:00:00"/>
    <n v="419348.75862068968"/>
    <n v="67095.801379310346"/>
    <n v="486444.56"/>
    <n v="7917933.5862068981"/>
    <n v="1266869.3737931037"/>
    <n v="9184802.9600000009"/>
    <n v="18.881500000740065"/>
    <n v="140000923"/>
    <d v="2018-02-27T00:00:00"/>
    <n v="419348.75862068968"/>
    <n v="67095.801379310346"/>
    <n v="486444.56"/>
    <n v="7785587.1200000001"/>
    <n v="1245693.94"/>
    <n v="9031281.0600000005"/>
    <n v="18.565899999999999"/>
    <m/>
    <m/>
    <n v="-132346.46620689798"/>
    <n v="-21175.433793102391"/>
    <n v="-153521.90000000037"/>
  </r>
  <r>
    <x v="0"/>
    <n v="4326979"/>
    <n v="800832773"/>
    <m/>
    <s v="MEX"/>
    <x v="0"/>
    <x v="0"/>
    <s v="Gas. Corredor Chihuahua"/>
    <s v="N000"/>
    <x v="4"/>
    <x v="4"/>
    <n v="2"/>
    <x v="8"/>
    <x v="8"/>
    <x v="50"/>
    <x v="2"/>
    <s v="USD"/>
    <x v="0"/>
    <x v="8"/>
    <s v="A01"/>
    <x v="2"/>
    <n v="180000299"/>
    <d v="2018-02-12T00:00:00"/>
    <n v="2063.1982758620688"/>
    <n v="330.11172413793105"/>
    <n v="2393.31"/>
    <n v="38956.275862068964"/>
    <n v="6233.0041379310342"/>
    <n v="45189.279999999999"/>
    <n v="18.881498844696257"/>
    <n v="140000923"/>
    <d v="2018-02-27T00:00:00"/>
    <n v="2063.1982758620688"/>
    <n v="330.11172413793105"/>
    <n v="2393.31"/>
    <n v="38305.129999999997"/>
    <n v="6128.82"/>
    <n v="44433.95"/>
    <n v="18.565899999999999"/>
    <m/>
    <m/>
    <n v="-651.14586206896638"/>
    <n v="-104.18413793103537"/>
    <n v="-755.33000000000175"/>
  </r>
  <r>
    <x v="0"/>
    <n v="4326979"/>
    <n v="800832773"/>
    <m/>
    <s v="MEX"/>
    <x v="0"/>
    <x v="0"/>
    <s v="CC NORTE II"/>
    <s v="N000"/>
    <x v="4"/>
    <x v="4"/>
    <n v="3"/>
    <x v="9"/>
    <x v="9"/>
    <x v="51"/>
    <x v="2"/>
    <s v="USD"/>
    <x v="6"/>
    <x v="5"/>
    <s v="A01"/>
    <x v="3"/>
    <n v="180000775"/>
    <d v="2018-03-13T00:00:00"/>
    <n v="1960.8017241379314"/>
    <n v="313.72827586206904"/>
    <n v="2274.5300000000002"/>
    <n v="36434.043103448275"/>
    <n v="5829.4468965517244"/>
    <n v="42263.49"/>
    <n v="18.581196994543927"/>
    <n v="140001644"/>
    <d v="2018-03-23T00:00:00"/>
    <n v="1960.8017241379314"/>
    <n v="313.72827586206904"/>
    <n v="2274.5300000000002"/>
    <n v="36471.11"/>
    <n v="5835.3775999999998"/>
    <n v="42306.49"/>
    <n v="18.600100000000001"/>
    <m/>
    <m/>
    <n v="37.066896551725222"/>
    <n v="5.9331034482747782"/>
    <n v="43"/>
  </r>
  <r>
    <x v="0"/>
    <n v="4326979"/>
    <n v="800832451"/>
    <m/>
    <s v="MEX"/>
    <x v="0"/>
    <x v="0"/>
    <s v="Gas. Corredor Chihuahua"/>
    <s v="N000"/>
    <x v="4"/>
    <x v="4"/>
    <n v="3"/>
    <x v="9"/>
    <x v="9"/>
    <x v="51"/>
    <x v="1"/>
    <s v="USD"/>
    <x v="0"/>
    <x v="0"/>
    <s v="A01"/>
    <x v="2"/>
    <n v="180000774"/>
    <d v="2018-03-13T00:00:00"/>
    <n v="4240081.96"/>
    <n v="678413.11360000004"/>
    <n v="4918495.0735999998"/>
    <n v="78785810.915151998"/>
    <n v="12605729.746424319"/>
    <n v="91391540.661576316"/>
    <n v="18.581199999999999"/>
    <n v="140001644"/>
    <d v="2018-03-23T00:00:00"/>
    <n v="4240081.96"/>
    <n v="678413.11360000004"/>
    <n v="4918495.0735999998"/>
    <n v="78865948.469999999"/>
    <n v="12618551.7552"/>
    <n v="91484500.219999999"/>
    <n v="18.600100000000001"/>
    <m/>
    <m/>
    <n v="80137.554848000407"/>
    <n v="12822.00357568264"/>
    <n v="92959.558423683047"/>
  </r>
  <r>
    <x v="0"/>
    <n v="4326979"/>
    <n v="800832451"/>
    <m/>
    <s v="MEX"/>
    <x v="0"/>
    <x v="0"/>
    <s v="CC NORTE II"/>
    <s v="N000"/>
    <x v="4"/>
    <x v="4"/>
    <n v="3"/>
    <x v="9"/>
    <x v="9"/>
    <x v="51"/>
    <x v="1"/>
    <s v="USD"/>
    <x v="5"/>
    <x v="4"/>
    <s v="A01"/>
    <x v="3"/>
    <n v="180000774"/>
    <d v="2018-03-13T00:00:00"/>
    <n v="419348.76"/>
    <n v="67095.801600000006"/>
    <n v="486444.56159999996"/>
    <n v="7792003.1793120001"/>
    <n v="1246720.50868992"/>
    <n v="9038723.6880019195"/>
    <n v="18.581199999999999"/>
    <n v="140001644"/>
    <d v="2018-03-23T00:00:00"/>
    <n v="419348.76"/>
    <n v="67095.801600000006"/>
    <n v="486444.56159999996"/>
    <n v="7799928.8700000001"/>
    <n v="1247988.6192000001"/>
    <n v="9047917.4900000002"/>
    <n v="18.600100000000001"/>
    <m/>
    <m/>
    <n v="7925.6906880000606"/>
    <n v="1268.1113100806251"/>
    <n v="9193.8019980806857"/>
  </r>
  <r>
    <x v="0"/>
    <n v="4326979"/>
    <n v="800832451"/>
    <m/>
    <s v="MEX"/>
    <x v="0"/>
    <x v="0"/>
    <s v="Gas. Corredor Chihuahua"/>
    <s v="N000"/>
    <x v="4"/>
    <x v="4"/>
    <n v="8"/>
    <x v="10"/>
    <x v="10"/>
    <x v="52"/>
    <x v="1"/>
    <s v="USD"/>
    <x v="0"/>
    <x v="6"/>
    <s v="A01"/>
    <x v="2"/>
    <n v="180003357"/>
    <d v="2018-08-14T00:00:00"/>
    <n v="4193487.6465517245"/>
    <n v="670958.02344827598"/>
    <n v="4864445.67"/>
    <n v="79371398.732758626"/>
    <n v="12699423.79724138"/>
    <n v="92070822.530000001"/>
    <n v="18.927300000042965"/>
    <n v="140004467"/>
    <d v="2018-08-28T00:00:00"/>
    <n v="4193487.6465517245"/>
    <n v="670958.02344827598"/>
    <n v="4864445.67"/>
    <n v="78979726.980000004"/>
    <n v="12636756.3168"/>
    <n v="91616483.299999997"/>
    <n v="18.8339"/>
    <m/>
    <m/>
    <n v="-391671.75275862217"/>
    <n v="-62667.477241382003"/>
    <n v="-454339.23000000417"/>
  </r>
  <r>
    <x v="0"/>
    <n v="4326979"/>
    <n v="800832451"/>
    <m/>
    <s v="MEX"/>
    <x v="0"/>
    <x v="0"/>
    <s v="CC NORTE II"/>
    <s v="N000"/>
    <x v="4"/>
    <x v="4"/>
    <n v="8"/>
    <x v="10"/>
    <x v="10"/>
    <x v="52"/>
    <x v="1"/>
    <s v="USD"/>
    <x v="5"/>
    <x v="4"/>
    <s v="A01"/>
    <x v="3"/>
    <n v="180003358"/>
    <d v="2018-08-14T00:00:00"/>
    <n v="465943.06896551722"/>
    <n v="74550.89103448276"/>
    <n v="540493.96"/>
    <n v="8819044.25"/>
    <n v="1411047.08"/>
    <n v="10230091.33"/>
    <n v="18.927300001650345"/>
    <n v="140004467"/>
    <d v="2018-08-28T00:00:00"/>
    <n v="465943.06896551722"/>
    <n v="74550.89103448276"/>
    <n v="540493.96"/>
    <n v="8775525.1600000001"/>
    <n v="1404084.0256000001"/>
    <n v="10179609.189999999"/>
    <n v="18.8339"/>
    <m/>
    <m/>
    <n v="-43519.089999999851"/>
    <n v="-6963.0500000007451"/>
    <n v="-50482.140000000596"/>
  </r>
  <r>
    <x v="0"/>
    <n v="4326979"/>
    <n v="800832773"/>
    <m/>
    <s v="MEX"/>
    <x v="0"/>
    <x v="0"/>
    <s v="CC NORTE II"/>
    <s v="N000"/>
    <x v="4"/>
    <x v="4"/>
    <n v="8"/>
    <x v="10"/>
    <x v="10"/>
    <x v="52"/>
    <x v="2"/>
    <s v="USD"/>
    <x v="6"/>
    <x v="5"/>
    <s v="A01"/>
    <x v="3"/>
    <n v="180003359"/>
    <d v="2018-08-14T00:00:00"/>
    <n v="2333.6724137931037"/>
    <n v="373.38758620689663"/>
    <n v="2707.06"/>
    <n v="44170.112068965522"/>
    <n v="7067.2179310344836"/>
    <n v="51237.33"/>
    <n v="18.927297510952844"/>
    <n v="140004467"/>
    <d v="2018-08-28T00:00:00"/>
    <n v="2333.6724137931037"/>
    <n v="373.38758620689663"/>
    <n v="2707.06"/>
    <n v="43952.160000000003"/>
    <n v="7032.3456000000006"/>
    <n v="50984.5"/>
    <n v="18.8339"/>
    <m/>
    <m/>
    <n v="-217.95206896551827"/>
    <n v="-34.877931034483481"/>
    <n v="-252.83000000000175"/>
  </r>
  <r>
    <x v="0"/>
    <n v="4326979"/>
    <n v="800832773"/>
    <m/>
    <s v="MEX"/>
    <x v="0"/>
    <x v="0"/>
    <s v="CC NORTE II"/>
    <s v="N000"/>
    <x v="4"/>
    <x v="4"/>
    <n v="8"/>
    <x v="10"/>
    <x v="10"/>
    <x v="53"/>
    <x v="2"/>
    <s v="USD"/>
    <x v="6"/>
    <x v="5"/>
    <s v="A01"/>
    <x v="3"/>
    <n v="180003408"/>
    <d v="2018-08-17T00:00:00"/>
    <n v="3488.8275862068967"/>
    <n v="558.21241379310345"/>
    <n v="4047.04"/>
    <n v="67103.767241379304"/>
    <n v="10736.602758620689"/>
    <n v="77840.37"/>
    <n v="19.233901814659603"/>
    <n v="140004683"/>
    <d v="2018-08-17T00:00:00"/>
    <n v="3488.8275862068967"/>
    <n v="558.21241379310345"/>
    <n v="4047.04"/>
    <n v="67103.759999999995"/>
    <n v="10736.6016"/>
    <n v="77840.36"/>
    <n v="19.233899999999998"/>
    <m/>
    <m/>
    <n v="-7.2413793095620349E-3"/>
    <n v="-2.7586206851992756E-3"/>
    <n v="-9.9999999947613105E-3"/>
  </r>
  <r>
    <x v="0"/>
    <n v="4326979"/>
    <n v="800832773"/>
    <m/>
    <s v="MEX"/>
    <x v="0"/>
    <x v="0"/>
    <s v="CC NORTE II"/>
    <s v="N000"/>
    <x v="4"/>
    <x v="4"/>
    <n v="10"/>
    <x v="10"/>
    <x v="10"/>
    <x v="54"/>
    <x v="2"/>
    <s v="USD"/>
    <x v="6"/>
    <x v="5"/>
    <s v="A01"/>
    <x v="3"/>
    <n v="180004162"/>
    <d v="2018-10-18T00:00:00"/>
    <n v="2357.21"/>
    <n v="377.15360000000004"/>
    <n v="2734.3635999999997"/>
    <n v="44243.181034482761"/>
    <n v="7078.908965517242"/>
    <n v="51322.09"/>
    <n v="18.769299737606222"/>
    <n v="140005736"/>
    <d v="2018-10-29T00:00:00"/>
    <n v="2357.21"/>
    <n v="377.15360000000004"/>
    <n v="2734.3635999999997"/>
    <n v="45820.160000000003"/>
    <n v="7331.2256000000007"/>
    <n v="53151.38"/>
    <n v="19.438300000000002"/>
    <m/>
    <m/>
    <n v="1576.9789655172426"/>
    <n v="252.31103448275826"/>
    <n v="1829.2900000000009"/>
  </r>
  <r>
    <x v="0"/>
    <n v="4326979"/>
    <n v="800861096"/>
    <m/>
    <s v="MEX"/>
    <x v="1"/>
    <x v="0"/>
    <s v="Gas. Corredor Chihuahua"/>
    <s v="N000"/>
    <x v="4"/>
    <x v="4"/>
    <n v="9"/>
    <x v="10"/>
    <x v="10"/>
    <x v="55"/>
    <x v="1"/>
    <s v="USD"/>
    <x v="0"/>
    <x v="6"/>
    <s v="A01"/>
    <x v="2"/>
    <n v="180003411"/>
    <d v="2018-08-17T00:00:00"/>
    <n v="447053.49137931038"/>
    <n v="71528.558620689655"/>
    <n v="518582.05"/>
    <n v="8598582.1465517245"/>
    <n v="1375773.143448276"/>
    <n v="9974355.2899999991"/>
    <n v="19.233899997117138"/>
    <n v="140004683"/>
    <d v="2018-09-05T00:00:00"/>
    <n v="447053.49137931038"/>
    <n v="71528.558620689655"/>
    <n v="518582.05"/>
    <n v="8589551.6600000001"/>
    <n v="1374328.2656"/>
    <n v="9963879.9299999997"/>
    <n v="19.213699999999999"/>
    <m/>
    <m/>
    <n v="-9030.4865517243743"/>
    <n v="-1444.8734482750297"/>
    <n v="-10475.359999999404"/>
  </r>
  <r>
    <x v="0"/>
    <n v="4326979"/>
    <n v="800832451"/>
    <m/>
    <s v="MEX"/>
    <x v="0"/>
    <x v="0"/>
    <s v="Gas. Corredor Chihuahua"/>
    <s v="N000"/>
    <x v="4"/>
    <x v="4"/>
    <n v="7"/>
    <x v="11"/>
    <x v="11"/>
    <x v="56"/>
    <x v="1"/>
    <s v="USD"/>
    <x v="0"/>
    <x v="0"/>
    <s v="A01"/>
    <x v="2"/>
    <n v="180002692"/>
    <d v="2018-07-11T00:00:00"/>
    <n v="4193487.65"/>
    <n v="670958.02399999998"/>
    <n v="4864445.6739999996"/>
    <n v="79910677.36498405"/>
    <n v="12785708.378397448"/>
    <n v="92696385.7433815"/>
    <n v="19.055899059338845"/>
    <n v="140003897"/>
    <d v="2018-07-26T00:00:00"/>
    <n v="4193487.65"/>
    <n v="670958.02399999998"/>
    <n v="4864445.6739999996"/>
    <n v="79049758.290000007"/>
    <n v="12647961.326400001"/>
    <n v="91697719.620000005"/>
    <n v="18.8506"/>
    <m/>
    <m/>
    <n v="-860919.07498404384"/>
    <n v="-137747.04839745164"/>
    <n v="-998666.12338149548"/>
  </r>
  <r>
    <x v="0"/>
    <n v="4326979"/>
    <n v="800832451"/>
    <m/>
    <s v="MEX"/>
    <x v="0"/>
    <x v="0"/>
    <s v="CC NORTE II"/>
    <s v="N000"/>
    <x v="4"/>
    <x v="4"/>
    <n v="7"/>
    <x v="11"/>
    <x v="11"/>
    <x v="56"/>
    <x v="1"/>
    <s v="USD"/>
    <x v="5"/>
    <x v="4"/>
    <s v="A01"/>
    <x v="3"/>
    <n v="180002692"/>
    <d v="2018-07-11T00:00:00"/>
    <n v="465943.07000000007"/>
    <n v="74550.891200000013"/>
    <n v="540493.96120000002"/>
    <n v="8925745.2318410017"/>
    <n v="1428119.2370945604"/>
    <n v="10353864.46893556"/>
    <n v="19.156300000000002"/>
    <n v="140003897"/>
    <d v="2018-07-26T00:00:00"/>
    <n v="465943.07000000007"/>
    <n v="74550.891200000013"/>
    <n v="540493.96120000002"/>
    <n v="8783306.4299999997"/>
    <n v="1405329.0288"/>
    <n v="10188635.460000001"/>
    <n v="18.8506"/>
    <m/>
    <m/>
    <n v="-142438.80184100196"/>
    <n v="-22790.207094557583"/>
    <n v="-165229.00893555954"/>
  </r>
  <r>
    <x v="0"/>
    <n v="4326979"/>
    <n v="800832773"/>
    <m/>
    <s v="MEX"/>
    <x v="0"/>
    <x v="0"/>
    <s v="CC NORTE II"/>
    <s v="N000"/>
    <x v="4"/>
    <x v="4"/>
    <n v="7"/>
    <x v="11"/>
    <x v="11"/>
    <x v="56"/>
    <x v="2"/>
    <s v="USD"/>
    <x v="6"/>
    <x v="5"/>
    <s v="A01"/>
    <x v="3"/>
    <n v="180002695"/>
    <d v="2018-07-11T00:00:00"/>
    <n v="2264.33"/>
    <n v="362.2928"/>
    <n v="2626.6227999999996"/>
    <n v="50316.51"/>
    <n v="8050.6416000000008"/>
    <n v="50316.51"/>
    <n v="19.156351646684865"/>
    <n v="140003897"/>
    <d v="2018-07-26T00:00:00"/>
    <n v="2264.33"/>
    <n v="362.2928"/>
    <n v="2626.6227999999996"/>
    <n v="42683.98"/>
    <n v="6829.4368000000004"/>
    <n v="49513.42"/>
    <n v="18.8506"/>
    <m/>
    <m/>
    <n v="-7632.5299999999988"/>
    <n v="6829.4399999999951"/>
    <n v="-803.09000000000378"/>
  </r>
  <r>
    <x v="0"/>
    <n v="4326979"/>
    <n v="800832773"/>
    <m/>
    <s v="MEX"/>
    <x v="0"/>
    <x v="0"/>
    <s v="CC NORTE II"/>
    <s v="N000"/>
    <x v="4"/>
    <x v="4"/>
    <n v="7"/>
    <x v="11"/>
    <x v="11"/>
    <x v="57"/>
    <x v="2"/>
    <s v="USD"/>
    <x v="6"/>
    <x v="5"/>
    <s v="A01"/>
    <x v="3"/>
    <n v="180002732"/>
    <d v="2018-07-12T00:00:00"/>
    <n v="3428.4396551724139"/>
    <n v="548.55034482758629"/>
    <n v="3976.99"/>
    <n v="65332"/>
    <n v="10453.120000000001"/>
    <n v="75785.119999999995"/>
    <n v="19.055899059338845"/>
    <n v="140003972"/>
    <d v="2018-07-30T00:00:00"/>
    <n v="3428.4396551724139"/>
    <n v="548.55034482758629"/>
    <n v="3976.99"/>
    <n v="64628.15"/>
    <n v="10340.504000000001"/>
    <n v="74968.649999999994"/>
    <n v="18.8506"/>
    <m/>
    <m/>
    <n v="-703.84999999999854"/>
    <n v="-112.62000000000262"/>
    <n v="-816.47000000000116"/>
  </r>
  <r>
    <x v="0"/>
    <n v="4326979"/>
    <n v="800832773"/>
    <m/>
    <s v="MEX"/>
    <x v="0"/>
    <x v="0"/>
    <s v="CC NORTE II"/>
    <s v="N000"/>
    <x v="4"/>
    <x v="4"/>
    <n v="10"/>
    <x v="11"/>
    <x v="11"/>
    <x v="58"/>
    <x v="2"/>
    <s v="USD"/>
    <x v="6"/>
    <x v="5"/>
    <s v="A01"/>
    <x v="3"/>
    <n v="180004162"/>
    <d v="2018-10-18T00:00:00"/>
    <n v="295.65517241379308"/>
    <n v="47.304827586206891"/>
    <n v="342.96"/>
    <n v="4794.3362068965525"/>
    <n v="767.09379310344843"/>
    <n v="5561.43"/>
    <n v="16.215972708187547"/>
    <n v="140005736"/>
    <d v="2018-10-29T00:00:00"/>
    <n v="295.65517241379308"/>
    <n v="47.304827586206891"/>
    <n v="342.96"/>
    <n v="5759.07"/>
    <n v="921.45119999999997"/>
    <n v="6680.52"/>
    <n v="19.478999999999999"/>
    <m/>
    <m/>
    <n v="964.73379310344717"/>
    <n v="154.35620689655298"/>
    <n v="1119.0900000000001"/>
  </r>
  <r>
    <x v="0"/>
    <n v="4326979"/>
    <n v="800832451"/>
    <m/>
    <s v="MEX"/>
    <x v="1"/>
    <x v="0"/>
    <s v="Gas. Corredor Chihuahua"/>
    <s v="N000"/>
    <x v="4"/>
    <x v="4"/>
    <n v="7"/>
    <x v="11"/>
    <x v="11"/>
    <x v="59"/>
    <x v="1"/>
    <s v="USD"/>
    <x v="0"/>
    <x v="0"/>
    <s v="A01"/>
    <x v="2"/>
    <n v="180002692"/>
    <d v="2018-07-11T00:00:00"/>
    <n v="447053.49"/>
    <n v="71528.558399999994"/>
    <n v="518582.04839999997"/>
    <n v="8519006.6293103453"/>
    <n v="1363041.0606896554"/>
    <n v="9882047.6899999995"/>
    <n v="19.05590006535984"/>
    <n v="140003901"/>
    <d v="2018-07-26T00:00:00"/>
    <n v="447053.49"/>
    <n v="71528.558399999994"/>
    <n v="518582.04839999997"/>
    <n v="8427226.5199999996"/>
    <n v="1348356.2431999999"/>
    <n v="9775582.7599999998"/>
    <n v="18.8506"/>
    <m/>
    <m/>
    <n v="-91780.109310345724"/>
    <n v="-14684.820689653978"/>
    <n v="-106464.9299999997"/>
  </r>
  <r>
    <x v="0"/>
    <n v="4326979"/>
    <n v="800832451"/>
    <m/>
    <s v="MEX"/>
    <x v="0"/>
    <x v="0"/>
    <s v="Gas. Corredor Chihuahua"/>
    <s v="N000"/>
    <x v="4"/>
    <x v="4"/>
    <n v="4"/>
    <x v="0"/>
    <x v="0"/>
    <x v="60"/>
    <x v="1"/>
    <s v="USD"/>
    <x v="0"/>
    <x v="0"/>
    <s v="A01"/>
    <x v="2"/>
    <n v="180001054"/>
    <d v="2018-04-10T00:00:00"/>
    <n v="3655243.0689655175"/>
    <n v="584838.89103448286"/>
    <n v="4240081.96"/>
    <n v="66850009.439655177"/>
    <n v="10696001.510344829"/>
    <n v="77546010.950000003"/>
    <n v="18.288799999988679"/>
    <n v="140002251"/>
    <d v="2018-04-26T00:00:00"/>
    <n v="3655243.0689655175"/>
    <n v="584838.89103448286"/>
    <n v="4240081.96"/>
    <n v="68769377.579999998"/>
    <n v="11003100.412799999"/>
    <n v="79772477.989999995"/>
    <n v="18.8139"/>
    <m/>
    <m/>
    <n v="1919368.1403448209"/>
    <n v="307098.89965517074"/>
    <n v="2226467.0399999917"/>
  </r>
  <r>
    <x v="0"/>
    <n v="4326979"/>
    <n v="800832451"/>
    <m/>
    <s v="MEX"/>
    <x v="0"/>
    <x v="0"/>
    <s v="CC NORTE II"/>
    <s v="N000"/>
    <x v="4"/>
    <x v="4"/>
    <n v="4"/>
    <x v="0"/>
    <x v="0"/>
    <x v="60"/>
    <x v="1"/>
    <s v="USD"/>
    <x v="5"/>
    <x v="4"/>
    <s v="A01"/>
    <x v="3"/>
    <n v="180001054"/>
    <d v="2018-04-10T00:00:00"/>
    <n v="419348.75862068968"/>
    <n v="67095.801379310346"/>
    <n v="486444.56"/>
    <n v="7669385.5766620683"/>
    <n v="1227101.6922659311"/>
    <n v="8896487.2689279988"/>
    <n v="18.288799999999998"/>
    <n v="140002251"/>
    <d v="2018-04-26T00:00:00"/>
    <n v="419348.75862068968"/>
    <n v="67095.801379310346"/>
    <n v="486444.56"/>
    <n v="7889585.6100000003"/>
    <n v="1262333.6976000001"/>
    <n v="9151919.3100000005"/>
    <n v="18.8139"/>
    <m/>
    <m/>
    <n v="220200.03333793208"/>
    <n v="35232.007734069601"/>
    <n v="255432.04107200168"/>
  </r>
  <r>
    <x v="0"/>
    <n v="4326979"/>
    <n v="800832773"/>
    <m/>
    <s v="MEX"/>
    <x v="0"/>
    <x v="0"/>
    <s v="CC NORTE II"/>
    <s v="N000"/>
    <x v="4"/>
    <x v="4"/>
    <n v="4"/>
    <x v="0"/>
    <x v="0"/>
    <x v="60"/>
    <x v="2"/>
    <s v="USD"/>
    <x v="6"/>
    <x v="5"/>
    <s v="A01"/>
    <x v="3"/>
    <n v="180001055"/>
    <d v="2018-04-10T00:00:00"/>
    <n v="2179.1120689655172"/>
    <n v="348.65793103448277"/>
    <n v="2527.77"/>
    <n v="39853.34482758621"/>
    <n v="6376.5351724137936"/>
    <n v="46229.88"/>
    <n v="18.288800009494533"/>
    <n v="140002251"/>
    <d v="2018-04-26T00:00:00"/>
    <n v="2179.1120689655172"/>
    <n v="348.65793103448277"/>
    <n v="2527.77"/>
    <n v="40997.589999999997"/>
    <n v="6559.6143999999995"/>
    <n v="47557.21"/>
    <n v="18.8139"/>
    <m/>
    <m/>
    <n v="1144.2451724137863"/>
    <n v="183.0848275862154"/>
    <n v="1327.3300000000017"/>
  </r>
  <r>
    <x v="0"/>
    <n v="4326979"/>
    <n v="800832451"/>
    <m/>
    <s v="MEX"/>
    <x v="0"/>
    <x v="0"/>
    <s v="Gas. Corredor Chihuahua"/>
    <s v="N000"/>
    <x v="4"/>
    <x v="4"/>
    <n v="6"/>
    <x v="1"/>
    <x v="1"/>
    <x v="61"/>
    <x v="1"/>
    <s v="USD"/>
    <x v="0"/>
    <x v="0"/>
    <s v="A01"/>
    <x v="2"/>
    <n v="180002127"/>
    <d v="2018-06-12T00:00:00"/>
    <n v="4240081.9568965519"/>
    <n v="678413.1131034483"/>
    <n v="4918495.07"/>
    <n v="87040826.482758626"/>
    <n v="13926532.23724138"/>
    <n v="100967358.72"/>
    <n v="20.528100014950304"/>
    <n v="140003298"/>
    <d v="2018-06-25T00:00:00"/>
    <n v="4240081.9568965519"/>
    <n v="678413.1131034483"/>
    <n v="4918495.07"/>
    <n v="86365805.370000005"/>
    <n v="13818528.859200001"/>
    <n v="100184334.23"/>
    <n v="20.3689"/>
    <m/>
    <m/>
    <n v="-675021.11275862157"/>
    <n v="-108003.37724137306"/>
    <n v="-783024.48999999464"/>
  </r>
  <r>
    <x v="0"/>
    <n v="4326979"/>
    <n v="800832451"/>
    <m/>
    <s v="MEX"/>
    <x v="0"/>
    <x v="0"/>
    <s v="CC NORTE II"/>
    <s v="N000"/>
    <x v="4"/>
    <x v="4"/>
    <n v="6"/>
    <x v="1"/>
    <x v="1"/>
    <x v="61"/>
    <x v="1"/>
    <s v="USD"/>
    <x v="5"/>
    <x v="4"/>
    <s v="A01"/>
    <x v="3"/>
    <n v="180002128"/>
    <d v="2018-06-12T00:00:00"/>
    <n v="419348.75862068968"/>
    <n v="67095.801379310346"/>
    <n v="486444.56"/>
    <n v="8608433.2758620698"/>
    <n v="1377349.3241379312"/>
    <n v="9985782.5999999996"/>
    <n v="20.528100057280938"/>
    <n v="140003298"/>
    <d v="2018-06-25T00:00:00"/>
    <n v="419348.75862068968"/>
    <n v="67095.801379310346"/>
    <n v="486444.56"/>
    <n v="8541672.9299999997"/>
    <n v="1366667.6687999999"/>
    <n v="9908340.5999999996"/>
    <n v="20.3689"/>
    <m/>
    <m/>
    <n v="-66760.345862070099"/>
    <n v="-10681.654137929901"/>
    <n v="-77442"/>
  </r>
  <r>
    <x v="0"/>
    <n v="4326979"/>
    <n v="800832773"/>
    <m/>
    <s v="MEX"/>
    <x v="0"/>
    <x v="0"/>
    <s v="CC NORTE II"/>
    <s v="N000"/>
    <x v="4"/>
    <x v="4"/>
    <n v="6"/>
    <x v="1"/>
    <x v="1"/>
    <x v="62"/>
    <x v="2"/>
    <s v="USD"/>
    <x v="6"/>
    <x v="5"/>
    <s v="A01"/>
    <x v="3"/>
    <n v="180002129"/>
    <d v="2018-06-12T00:00:00"/>
    <n v="2319.65"/>
    <n v="371.14400000000001"/>
    <n v="2690.7939999999999"/>
    <n v="47618.01"/>
    <n v="7618.8816000000006"/>
    <n v="55236.891599999995"/>
    <n v="20.528101222167138"/>
    <n v="140003298"/>
    <d v="2018-06-25T00:00:00"/>
    <n v="2319.65"/>
    <n v="371.14400000000001"/>
    <n v="2690.7939999999999"/>
    <n v="47248.72"/>
    <n v="7559.7952000000005"/>
    <n v="54808.51"/>
    <n v="20.3689"/>
    <m/>
    <m/>
    <n v="-369.29000000000087"/>
    <n v="-59.091599999992468"/>
    <n v="-428.38159999999334"/>
  </r>
  <r>
    <x v="0"/>
    <n v="4326979"/>
    <n v="800832773"/>
    <m/>
    <s v="MEX"/>
    <x v="0"/>
    <x v="0"/>
    <s v="CC NORTE II"/>
    <s v="N000"/>
    <x v="4"/>
    <x v="4"/>
    <n v="7"/>
    <x v="1"/>
    <x v="1"/>
    <x v="63"/>
    <x v="2"/>
    <s v="USD"/>
    <x v="6"/>
    <x v="5"/>
    <s v="A01"/>
    <x v="3"/>
    <n v="180002697"/>
    <d v="2018-07-11T00:00:00"/>
    <n v="2076.87"/>
    <n v="332.29919999999998"/>
    <n v="2409.1691999999998"/>
    <n v="39785.14"/>
    <n v="6365.6224000000002"/>
    <n v="46150.7624"/>
    <n v="19.156297697978207"/>
    <n v="140003972"/>
    <d v="2018-07-30T00:00:00"/>
    <n v="2076.87"/>
    <n v="332.29919999999998"/>
    <n v="2409.1691999999998"/>
    <n v="38678.379999999997"/>
    <n v="6188.5407999999998"/>
    <n v="44866.92"/>
    <n v="18.6234"/>
    <m/>
    <m/>
    <n v="-1106.760000000002"/>
    <n v="-177.08239999999932"/>
    <n v="-1283.8424000000014"/>
  </r>
  <r>
    <x v="0"/>
    <n v="4326979"/>
    <n v="800832773"/>
    <m/>
    <s v="MEX"/>
    <x v="0"/>
    <x v="0"/>
    <s v="CC NORTE II"/>
    <s v="N000"/>
    <x v="4"/>
    <x v="4"/>
    <n v="10"/>
    <x v="1"/>
    <x v="1"/>
    <x v="64"/>
    <x v="2"/>
    <s v="USD"/>
    <x v="6"/>
    <x v="5"/>
    <s v="A01"/>
    <x v="3"/>
    <n v="180004162"/>
    <d v="2018-10-18T00:00:00"/>
    <n v="118.44000000000001"/>
    <n v="18.950400000000002"/>
    <n v="137.3904"/>
    <n v="2223.04"/>
    <n v="355.68639999999999"/>
    <n v="2578.7263999999996"/>
    <n v="18.769334684228298"/>
    <n v="140005736"/>
    <d v="2018-10-29T00:00:00"/>
    <n v="118.44000000000001"/>
    <n v="18.950400000000002"/>
    <n v="137.3904"/>
    <n v="2223.0300000000002"/>
    <n v="355.68480000000005"/>
    <n v="2578.7199999999998"/>
    <n v="18.769300000000001"/>
    <m/>
    <m/>
    <n v="-9.9999999997635314E-3"/>
    <n v="3.6000000000058208E-3"/>
    <n v="-6.3999999997577106E-3"/>
  </r>
  <r>
    <x v="0"/>
    <n v="4326979"/>
    <n v="800832451"/>
    <m/>
    <s v="MEX"/>
    <x v="1"/>
    <x v="0"/>
    <s v="Gas. Corredor Chihuahua"/>
    <s v="N000"/>
    <x v="4"/>
    <x v="4"/>
    <n v="7"/>
    <x v="1"/>
    <x v="1"/>
    <x v="65"/>
    <x v="1"/>
    <s v="USD"/>
    <x v="0"/>
    <x v="0"/>
    <s v="A01"/>
    <x v="2"/>
    <n v="180002688"/>
    <d v="2018-07-11T00:00:00"/>
    <n v="360527.01"/>
    <n v="57684.321600000003"/>
    <n v="418211.33159999998"/>
    <n v="6906363.5344827594"/>
    <n v="1105018.1655172415"/>
    <n v="8011381.7000000002"/>
    <n v="19.156299924609698"/>
    <n v="140003811"/>
    <d v="2018-07-23T00:00:00"/>
    <n v="360527.01"/>
    <n v="57684.321600000003"/>
    <n v="418211.33159999998"/>
    <n v="6878494.8300000001"/>
    <n v="1100559.1728000001"/>
    <n v="7979054"/>
    <n v="19.079000000000001"/>
    <m/>
    <m/>
    <n v="-27868.704482759349"/>
    <n v="-4458.9955172408372"/>
    <n v="-32327.700000000186"/>
  </r>
  <r>
    <x v="0"/>
    <n v="4326979"/>
    <n v="800869674"/>
    <m/>
    <s v="MEX"/>
    <x v="0"/>
    <x v="0"/>
    <s v="Gas. Corredor Chihuahua"/>
    <s v="N000"/>
    <x v="5"/>
    <x v="4"/>
    <n v="1"/>
    <x v="2"/>
    <x v="2"/>
    <x v="66"/>
    <x v="1"/>
    <s v="USD"/>
    <x v="7"/>
    <x v="6"/>
    <s v="A01"/>
    <x v="2"/>
    <n v="180005001"/>
    <d v="2018-12-17T00:00:00"/>
    <n v="465943.06896551722"/>
    <n v="74550.89103448276"/>
    <n v="540493.96"/>
    <n v="9438422.3706896547"/>
    <n v="1510147.5793103448"/>
    <n v="10948569.949999999"/>
    <n v="20.256599999748378"/>
    <n v="140000067"/>
    <d v="2019-01-04T00:00:00"/>
    <n v="465943.06896551722"/>
    <n v="74550.89103448276"/>
    <n v="540493.96"/>
    <n v="9126799.6500000004"/>
    <n v="1460287.9440000001"/>
    <n v="10587087.59"/>
    <n v="19.587800000000001"/>
    <m/>
    <m/>
    <n v="-311622.72068965435"/>
    <n v="-49859.639310345054"/>
    <n v="-361482.3599999994"/>
  </r>
  <r>
    <x v="0"/>
    <n v="4326979"/>
    <n v="800869674"/>
    <m/>
    <s v="MEX"/>
    <x v="0"/>
    <x v="0"/>
    <s v="Gas. Corredor Chihuahua"/>
    <s v="N000"/>
    <x v="5"/>
    <x v="4"/>
    <n v="1"/>
    <x v="2"/>
    <x v="2"/>
    <x v="66"/>
    <x v="1"/>
    <s v="USD"/>
    <x v="7"/>
    <x v="6"/>
    <s v="A01"/>
    <x v="2"/>
    <n v="180004982"/>
    <d v="2018-12-17T00:00:00"/>
    <n v="4193487.6465517245"/>
    <n v="670958.02344827598"/>
    <n v="4864445.67"/>
    <n v="84945801.862068966"/>
    <n v="13591328.297931034"/>
    <n v="98537130.159999996"/>
    <n v="20.256600000221606"/>
    <n v="140000067"/>
    <d v="2019-01-04T00:00:00"/>
    <n v="4193487.6465517245"/>
    <n v="670958.02344827598"/>
    <n v="4864445.67"/>
    <n v="82141197.319999993"/>
    <n v="13142591.571199998"/>
    <n v="95283788.890000001"/>
    <n v="19.587800000000001"/>
    <m/>
    <m/>
    <n v="-2804604.5420689732"/>
    <n v="-448736.72793102264"/>
    <n v="-3253341.2699999958"/>
  </r>
  <r>
    <x v="0"/>
    <n v="4326979"/>
    <n v="800869678"/>
    <m/>
    <s v="MEX"/>
    <x v="0"/>
    <x v="0"/>
    <s v="Gas. Corredor Chihuahua"/>
    <s v="N000"/>
    <x v="5"/>
    <x v="4"/>
    <n v="1"/>
    <x v="2"/>
    <x v="2"/>
    <x v="66"/>
    <x v="2"/>
    <s v="USD"/>
    <x v="8"/>
    <x v="7"/>
    <s v="A01"/>
    <x v="2"/>
    <n v="180005000"/>
    <d v="2018-12-17T00:00:00"/>
    <n v="5492.0000000000009"/>
    <n v="878.72000000000014"/>
    <n v="6370.72"/>
    <n v="111249.25000000001"/>
    <n v="17799.88"/>
    <n v="129049.13"/>
    <n v="20.256600509832484"/>
    <n v="140000067"/>
    <d v="2019-01-04T00:00:00"/>
    <n v="5492.0000000000009"/>
    <n v="878.72000000000014"/>
    <n v="6370.72"/>
    <n v="107576.2"/>
    <n v="17212.191999999999"/>
    <n v="124788.39"/>
    <n v="19.587800000000001"/>
    <m/>
    <m/>
    <n v="-3673.0500000000175"/>
    <n v="-587.68999999998778"/>
    <n v="-4260.7400000000052"/>
  </r>
  <r>
    <x v="0"/>
    <n v="4326976"/>
    <n v="800869676"/>
    <m/>
    <s v="MEX"/>
    <x v="1"/>
    <x v="0"/>
    <s v="Gas. Corredor Chihuahua"/>
    <s v="N000"/>
    <x v="4"/>
    <x v="4"/>
    <n v="12"/>
    <x v="2"/>
    <x v="2"/>
    <x v="67"/>
    <x v="1"/>
    <s v="USD"/>
    <x v="7"/>
    <x v="6"/>
    <s v="A01"/>
    <x v="2"/>
    <n v="180004999"/>
    <d v="2018-12-17T00:00:00"/>
    <n v="447053.49"/>
    <n v="71528.558399999994"/>
    <n v="518582.04839999997"/>
    <n v="9055783.7586206906"/>
    <n v="1448925.4013793105"/>
    <n v="10504709.16"/>
    <n v="20.256600074010585"/>
    <n v="140000067"/>
    <d v="2018-12-26T00:00:00"/>
    <n v="447053.49"/>
    <n v="71528.558399999994"/>
    <n v="518582.04839999997"/>
    <n v="8756794.3499999996"/>
    <n v="1401087.0959999999"/>
    <n v="10157881.449999999"/>
    <n v="19.587800000000001"/>
    <m/>
    <m/>
    <n v="-298989.40862069093"/>
    <n v="-47838.301379309967"/>
    <n v="-346827.71000000089"/>
  </r>
  <r>
    <x v="0"/>
    <n v="4326979"/>
    <n v="800869674"/>
    <m/>
    <s v="MEX"/>
    <x v="0"/>
    <x v="0"/>
    <s v="Gas. Corredor Chihuahua"/>
    <s v="N000"/>
    <x v="4"/>
    <x v="4"/>
    <n v="11"/>
    <x v="3"/>
    <x v="3"/>
    <x v="68"/>
    <x v="1"/>
    <s v="USD"/>
    <x v="7"/>
    <x v="6"/>
    <s v="A01"/>
    <x v="2"/>
    <n v="180004481"/>
    <d v="2018-11-13T00:00:00"/>
    <n v="465943.06896551722"/>
    <n v="74550.89103448276"/>
    <n v="540493.96"/>
    <n v="9487253.2068965528"/>
    <n v="1517960.5131034486"/>
    <n v="11005213.720000001"/>
    <n v="20.361400005284057"/>
    <n v="140006288"/>
    <d v="2018-11-29T00:00:00"/>
    <n v="465943.06896551722"/>
    <n v="74550.89103448276"/>
    <n v="540493.96"/>
    <n v="9550761.2400000002"/>
    <n v="1528121.7984"/>
    <n v="11078883.039999999"/>
    <n v="20.497699999999998"/>
    <m/>
    <m/>
    <n v="63508.033103447407"/>
    <n v="10161.286896551028"/>
    <n v="73669.319999998435"/>
  </r>
  <r>
    <x v="0"/>
    <n v="4326979"/>
    <n v="800869674"/>
    <m/>
    <s v="MEX"/>
    <x v="0"/>
    <x v="0"/>
    <s v="Gas. Corredor Chihuahua"/>
    <s v="N000"/>
    <x v="4"/>
    <x v="4"/>
    <n v="11"/>
    <x v="3"/>
    <x v="3"/>
    <x v="69"/>
    <x v="1"/>
    <s v="USD"/>
    <x v="7"/>
    <x v="6"/>
    <s v="A01"/>
    <x v="2"/>
    <n v="180004480"/>
    <d v="2018-11-13T00:00:00"/>
    <n v="4193487.6465517245"/>
    <n v="670958.02344827598"/>
    <n v="4864445.67"/>
    <n v="85385279.37068966"/>
    <n v="13661644.699310346"/>
    <n v="99046924.069999993"/>
    <n v="20.361400000999495"/>
    <n v="140006288"/>
    <d v="2018-11-29T00:00:00"/>
    <n v="4193487.6465517245"/>
    <n v="670958.02344827598"/>
    <n v="4864445.67"/>
    <n v="85956851.730000004"/>
    <n v="13753096.276800001"/>
    <n v="99709948.010000005"/>
    <n v="20.497699999999998"/>
    <m/>
    <m/>
    <n v="571572.35931034386"/>
    <n v="91451.580689668655"/>
    <n v="663023.94000001252"/>
  </r>
  <r>
    <x v="0"/>
    <n v="4326979"/>
    <n v="800869678"/>
    <m/>
    <s v="MEX"/>
    <x v="0"/>
    <x v="0"/>
    <s v="Gas. Corredor Chihuahua"/>
    <s v="N000"/>
    <x v="4"/>
    <x v="4"/>
    <n v="11"/>
    <x v="3"/>
    <x v="3"/>
    <x v="70"/>
    <x v="2"/>
    <s v="USD"/>
    <x v="8"/>
    <x v="7"/>
    <s v="A01"/>
    <x v="2"/>
    <n v="180004483"/>
    <d v="2018-11-13T00:00:00"/>
    <n v="2240.3620689655177"/>
    <n v="358.45793103448284"/>
    <n v="2598.8200000000002"/>
    <n v="45617.086206896558"/>
    <n v="7298.733793103449"/>
    <n v="52915.82"/>
    <n v="20.361479440669225"/>
    <n v="140006288"/>
    <d v="2018-11-29T00:00:00"/>
    <n v="2240.3620689655177"/>
    <n v="358.45793103448284"/>
    <n v="2598.8200000000002"/>
    <n v="45922.27"/>
    <n v="7347.5631999999996"/>
    <n v="53269.83"/>
    <n v="20.497699999999998"/>
    <m/>
    <m/>
    <n v="305.1837931034388"/>
    <n v="48.826206896563235"/>
    <n v="354.01000000000204"/>
  </r>
  <r>
    <x v="0"/>
    <n v="4326979"/>
    <n v="800869678"/>
    <m/>
    <s v="MEX"/>
    <x v="0"/>
    <x v="0"/>
    <s v="Gas. Corredor Chihuahua"/>
    <s v="N000"/>
    <x v="4"/>
    <x v="4"/>
    <n v="11"/>
    <x v="3"/>
    <x v="3"/>
    <x v="68"/>
    <x v="2"/>
    <s v="USD"/>
    <x v="8"/>
    <x v="7"/>
    <s v="A01"/>
    <x v="2"/>
    <n v="180004485"/>
    <d v="2018-11-13T00:00:00"/>
    <n v="3370.9396551724139"/>
    <n v="539.35034482758624"/>
    <n v="3910.29"/>
    <n v="6863705.1724137934"/>
    <n v="1098192.8275862071"/>
    <n v="7961898"/>
    <n v="20.361396919515148"/>
    <n v="140006288"/>
    <d v="2018-11-29T00:00:00"/>
    <n v="3370.9396551724139"/>
    <n v="539.35034482758624"/>
    <n v="3910.29"/>
    <n v="69096.509999999995"/>
    <n v="11055.4416"/>
    <n v="80151.95"/>
    <n v="20.497699999999998"/>
    <m/>
    <m/>
    <n v="-748.20620689656062"/>
    <n v="-119.71379310343764"/>
    <n v="-867.91999999999825"/>
  </r>
  <r>
    <x v="0"/>
    <n v="4326979"/>
    <n v="800869678"/>
    <m/>
    <s v="MEX"/>
    <x v="0"/>
    <x v="0"/>
    <s v="Gas. Corredor Chihuahua"/>
    <s v="N000"/>
    <x v="4"/>
    <x v="4"/>
    <n v="11"/>
    <x v="3"/>
    <x v="3"/>
    <x v="71"/>
    <x v="2"/>
    <s v="USD"/>
    <x v="8"/>
    <x v="7"/>
    <s v="A01"/>
    <x v="2"/>
    <n v="180004484"/>
    <d v="2018-11-13T00:00:00"/>
    <n v="2070.3189655172418"/>
    <n v="331.25103448275871"/>
    <n v="2401.5700000000002"/>
    <n v="42154.586206896558"/>
    <n v="6744.733793103449"/>
    <n v="48899.32"/>
    <n v="20.361396919515148"/>
    <n v="140006288"/>
    <d v="2018-11-29T00:00:00"/>
    <n v="2070.3189655172418"/>
    <n v="331.25103448275871"/>
    <n v="2401.5700000000002"/>
    <n v="42436.78"/>
    <n v="6789.8847999999998"/>
    <n v="49226.66"/>
    <n v="20.497699999999998"/>
    <m/>
    <m/>
    <n v="282.19379310344084"/>
    <n v="45.146206896562944"/>
    <n v="327.34000000000378"/>
  </r>
  <r>
    <x v="0"/>
    <n v="4326979"/>
    <n v="800869676"/>
    <m/>
    <s v="MEX"/>
    <x v="1"/>
    <x v="0"/>
    <s v="Gas. Corredor Chihuahua"/>
    <s v="N000"/>
    <x v="4"/>
    <x v="4"/>
    <n v="11"/>
    <x v="3"/>
    <x v="3"/>
    <x v="71"/>
    <x v="1"/>
    <s v="USD"/>
    <x v="7"/>
    <x v="6"/>
    <s v="A01"/>
    <x v="2"/>
    <n v="180004486"/>
    <d v="2018-11-13T00:00:00"/>
    <n v="447053.49137931038"/>
    <n v="71528.558620689655"/>
    <n v="518582.05"/>
    <n v="9102634.9568965528"/>
    <n v="1456421.5931034484"/>
    <n v="10559056.550000001"/>
    <n v="20.361399994465678"/>
    <n v="140006288"/>
    <d v="2018-11-29T00:00:00"/>
    <n v="447053.49137931038"/>
    <n v="71528.558620689655"/>
    <n v="518582.05"/>
    <n v="9163568.3499999996"/>
    <n v="1466170.936"/>
    <n v="10629739.289999999"/>
    <n v="20.497699999999998"/>
    <m/>
    <m/>
    <n v="60933.393103446811"/>
    <n v="9749.3468965515494"/>
    <n v="70682.739999998361"/>
  </r>
  <r>
    <x v="0"/>
    <n v="4326979"/>
    <n v="800832451"/>
    <m/>
    <s v="MEX"/>
    <x v="0"/>
    <x v="0"/>
    <s v="Gas. Corredor Chihuahua"/>
    <s v="N000"/>
    <x v="4"/>
    <x v="4"/>
    <n v="10"/>
    <x v="4"/>
    <x v="4"/>
    <x v="72"/>
    <x v="1"/>
    <s v="USD"/>
    <x v="7"/>
    <x v="6"/>
    <s v="A01"/>
    <x v="2"/>
    <n v="180004160"/>
    <d v="2018-10-18T00:00:00"/>
    <n v="4659430.7241379311"/>
    <n v="745508.915862069"/>
    <n v="5404939.6399999997"/>
    <n v="87454253.086206898"/>
    <n v="13992680.493793104"/>
    <n v="101446933.58"/>
    <n v="18.7692999990653"/>
    <n v="140005672"/>
    <d v="2018-10-29T00:00:00"/>
    <n v="4659430.7241379311"/>
    <n v="745508.915862069"/>
    <n v="5404939.6399999997"/>
    <n v="90571412.239999995"/>
    <n v="14491425.9584"/>
    <n v="105062838.2"/>
    <n v="19.438300000000002"/>
    <m/>
    <m/>
    <n v="3117159.1537930965"/>
    <n v="498745.46620690823"/>
    <n v="3615904.6200000048"/>
  </r>
  <r>
    <x v="0"/>
    <n v="4326979"/>
    <s v="RECLASIFICACION"/>
    <m/>
    <s v="MEX"/>
    <x v="0"/>
    <x v="0"/>
    <s v="Gas. Corredor Chihuahua"/>
    <s v="N000"/>
    <x v="6"/>
    <x v="4"/>
    <n v="1"/>
    <x v="8"/>
    <x v="8"/>
    <x v="73"/>
    <x v="1"/>
    <s v="USD"/>
    <x v="3"/>
    <x v="1"/>
    <s v="A01"/>
    <x v="2"/>
    <n v="210001694"/>
    <m/>
    <n v="0"/>
    <n v="0"/>
    <n v="0"/>
    <n v="-78720937.75"/>
    <n v="-12595350.040000001"/>
    <n v="-91316287.790000007"/>
    <n v="0"/>
    <n v="210001694"/>
    <d v="1899-12-30T00:00:00"/>
    <n v="0"/>
    <n v="0"/>
    <n v="0"/>
    <n v="-78720937.75"/>
    <n v="-12595350.040000001"/>
    <n v="-91316287.790000007"/>
    <m/>
    <m/>
    <m/>
    <n v="0"/>
    <n v="0"/>
    <n v="0"/>
  </r>
  <r>
    <x v="0"/>
    <n v="4326979"/>
    <s v="RECLASIFICACION"/>
    <m/>
    <s v="MEX"/>
    <x v="0"/>
    <x v="0"/>
    <s v="Gas. Corredor Chihuahua"/>
    <s v="N000"/>
    <x v="6"/>
    <x v="4"/>
    <n v="1"/>
    <x v="8"/>
    <x v="8"/>
    <x v="73"/>
    <x v="1"/>
    <s v="USD"/>
    <x v="0"/>
    <x v="6"/>
    <s v="A01"/>
    <x v="2"/>
    <n v="210001694"/>
    <m/>
    <n v="0"/>
    <n v="0"/>
    <n v="0"/>
    <n v="78720937.75"/>
    <n v="12595350.040000001"/>
    <n v="91316287.790000007"/>
    <n v="0"/>
    <n v="210001694"/>
    <d v="1899-12-30T00:00:00"/>
    <n v="0"/>
    <n v="0"/>
    <n v="0"/>
    <n v="78720937.75"/>
    <n v="12595350.040000001"/>
    <n v="91316287.790000007"/>
    <m/>
    <m/>
    <m/>
    <n v="0"/>
    <n v="0"/>
    <n v="0"/>
  </r>
  <r>
    <x v="0"/>
    <n v="4326979"/>
    <s v="RECLASIFICACION"/>
    <m/>
    <s v="MEX"/>
    <x v="0"/>
    <x v="0"/>
    <s v="CC NORTE II"/>
    <s v="N000"/>
    <x v="6"/>
    <x v="4"/>
    <n v="1"/>
    <x v="8"/>
    <x v="8"/>
    <x v="73"/>
    <x v="1"/>
    <s v="USD"/>
    <x v="5"/>
    <x v="4"/>
    <s v="A01"/>
    <x v="3"/>
    <n v="210002082"/>
    <m/>
    <n v="0"/>
    <n v="0"/>
    <n v="0"/>
    <n v="7785587.1399999997"/>
    <n v="1245693.9424000001"/>
    <n v="9031281.0823999997"/>
    <n v="0"/>
    <n v="210002082"/>
    <d v="1899-12-30T00:00:00"/>
    <n v="0"/>
    <n v="0"/>
    <n v="0"/>
    <n v="7785587.1399999997"/>
    <n v="1245693.9424000001"/>
    <n v="9031281.0823999997"/>
    <m/>
    <m/>
    <m/>
    <n v="0"/>
    <n v="0"/>
    <n v="0"/>
  </r>
  <r>
    <x v="0"/>
    <n v="4326979"/>
    <s v="RECLASIFICACION"/>
    <m/>
    <s v="MEX"/>
    <x v="0"/>
    <x v="0"/>
    <s v="Gas. Corredor Chihuahua"/>
    <s v="N000"/>
    <x v="6"/>
    <x v="4"/>
    <n v="1"/>
    <x v="8"/>
    <x v="8"/>
    <x v="73"/>
    <x v="1"/>
    <s v="USD"/>
    <x v="3"/>
    <x v="1"/>
    <s v="A01"/>
    <x v="2"/>
    <n v="210002082"/>
    <m/>
    <n v="0"/>
    <n v="0"/>
    <n v="0"/>
    <n v="-7785587.1399999997"/>
    <n v="-1245693.9424000001"/>
    <n v="-9031281.0823999997"/>
    <n v="0"/>
    <n v="210002082"/>
    <d v="1899-12-30T00:00:00"/>
    <n v="0"/>
    <n v="0"/>
    <n v="0"/>
    <n v="-7785587.1399999997"/>
    <n v="-1245693.9424000001"/>
    <n v="-9031281.0823999997"/>
    <m/>
    <m/>
    <m/>
    <n v="0"/>
    <n v="0"/>
    <n v="0"/>
  </r>
  <r>
    <x v="0"/>
    <n v="4326979"/>
    <s v="RECLASIFICACION"/>
    <m/>
    <s v="MEX"/>
    <x v="0"/>
    <x v="0"/>
    <s v="Gas. Corredor Chihuahua"/>
    <s v="N000"/>
    <x v="6"/>
    <x v="4"/>
    <n v="1"/>
    <x v="9"/>
    <x v="9"/>
    <x v="73"/>
    <x v="1"/>
    <s v="USD"/>
    <x v="0"/>
    <x v="0"/>
    <s v="A01"/>
    <x v="2"/>
    <n v="210001694"/>
    <m/>
    <n v="0"/>
    <n v="0"/>
    <n v="0"/>
    <n v="-78865948.469999999"/>
    <n v="-12618551.7552"/>
    <n v="-91484500.225199997"/>
    <n v="0"/>
    <n v="210001694"/>
    <d v="1899-12-30T00:00:00"/>
    <n v="0"/>
    <n v="0"/>
    <n v="0"/>
    <n v="-78865948.469999999"/>
    <n v="-12618551.7552"/>
    <n v="-91484500.225199997"/>
    <m/>
    <m/>
    <m/>
    <n v="0"/>
    <n v="0"/>
    <n v="0"/>
  </r>
  <r>
    <x v="0"/>
    <n v="4326979"/>
    <s v="RECLASIFICACION"/>
    <m/>
    <s v="MEX"/>
    <x v="0"/>
    <x v="0"/>
    <s v="Gas. Corredor Chihuahua"/>
    <s v="N000"/>
    <x v="6"/>
    <x v="4"/>
    <n v="1"/>
    <x v="9"/>
    <x v="9"/>
    <x v="73"/>
    <x v="1"/>
    <s v="USD"/>
    <x v="0"/>
    <x v="6"/>
    <s v="A01"/>
    <x v="2"/>
    <n v="210001694"/>
    <m/>
    <n v="0"/>
    <n v="0"/>
    <n v="0"/>
    <n v="78865948.469999999"/>
    <n v="12618551.7552"/>
    <n v="91484500.225199997"/>
    <n v="0"/>
    <n v="210001694"/>
    <d v="1899-12-30T00:00:00"/>
    <n v="0"/>
    <n v="0"/>
    <n v="0"/>
    <n v="78865948.469999999"/>
    <n v="12618551.7552"/>
    <n v="91484500.225199997"/>
    <m/>
    <m/>
    <m/>
    <n v="0"/>
    <n v="0"/>
    <n v="0"/>
  </r>
  <r>
    <x v="0"/>
    <n v="4326979"/>
    <s v="RECLASIFICACION"/>
    <m/>
    <s v="MEX"/>
    <x v="0"/>
    <x v="0"/>
    <s v="Gas. Corredor Chihuahua"/>
    <s v="N000"/>
    <x v="6"/>
    <x v="4"/>
    <n v="1"/>
    <x v="0"/>
    <x v="0"/>
    <x v="73"/>
    <x v="1"/>
    <s v="USD"/>
    <x v="0"/>
    <x v="0"/>
    <s v="A01"/>
    <x v="2"/>
    <n v="210001694"/>
    <m/>
    <n v="0"/>
    <n v="0"/>
    <n v="0"/>
    <n v="-79772477.930000007"/>
    <n v="-12763596.468800001"/>
    <n v="-92536074.398800015"/>
    <n v="0"/>
    <n v="210001694"/>
    <d v="1899-12-30T00:00:00"/>
    <n v="0"/>
    <n v="0"/>
    <n v="0"/>
    <n v="-79772477.930000007"/>
    <n v="-12763596.468800001"/>
    <n v="-92536074.398800015"/>
    <m/>
    <m/>
    <m/>
    <n v="0"/>
    <n v="0"/>
    <n v="0"/>
  </r>
  <r>
    <x v="0"/>
    <n v="4326979"/>
    <s v="RECLASIFICACION"/>
    <m/>
    <s v="MEX"/>
    <x v="0"/>
    <x v="0"/>
    <s v="Gas. Corredor Chihuahua"/>
    <s v="N000"/>
    <x v="6"/>
    <x v="4"/>
    <n v="1"/>
    <x v="0"/>
    <x v="0"/>
    <x v="73"/>
    <x v="1"/>
    <s v="USD"/>
    <x v="0"/>
    <x v="6"/>
    <s v="A01"/>
    <x v="2"/>
    <n v="210001694"/>
    <m/>
    <n v="0"/>
    <n v="0"/>
    <n v="0"/>
    <n v="79772477.930000007"/>
    <n v="12763596.468800001"/>
    <n v="92536074.398800015"/>
    <n v="0"/>
    <n v="210001694"/>
    <d v="1899-12-30T00:00:00"/>
    <n v="0"/>
    <n v="0"/>
    <n v="0"/>
    <n v="79772477.930000007"/>
    <n v="12763596.468800001"/>
    <n v="92536074.398800015"/>
    <m/>
    <m/>
    <m/>
    <n v="0"/>
    <n v="0"/>
    <n v="0"/>
  </r>
  <r>
    <x v="0"/>
    <n v="4326979"/>
    <s v="RECLASIFICACION"/>
    <m/>
    <s v="MEX"/>
    <x v="0"/>
    <x v="0"/>
    <s v="Gas. Corredor Chihuahua"/>
    <s v="N000"/>
    <x v="6"/>
    <x v="4"/>
    <n v="1"/>
    <x v="6"/>
    <x v="6"/>
    <x v="73"/>
    <x v="1"/>
    <s v="USD"/>
    <x v="0"/>
    <x v="0"/>
    <s v="A01"/>
    <x v="2"/>
    <n v="210001694"/>
    <m/>
    <n v="0"/>
    <n v="0"/>
    <n v="0"/>
    <n v="-82939395.310000002"/>
    <n v="-13270303.249600001"/>
    <n v="-96209698.559599996"/>
    <n v="0"/>
    <n v="210001694"/>
    <d v="1899-12-30T00:00:00"/>
    <n v="0"/>
    <n v="0"/>
    <n v="0"/>
    <n v="-82939395.310000002"/>
    <n v="-13270303.249600001"/>
    <n v="-96209698.559599996"/>
    <m/>
    <m/>
    <m/>
    <n v="0"/>
    <n v="0"/>
    <n v="0"/>
  </r>
  <r>
    <x v="0"/>
    <n v="4326979"/>
    <s v="RECLASIFICACION"/>
    <m/>
    <s v="MEX"/>
    <x v="0"/>
    <x v="0"/>
    <s v="Gas. Corredor Chihuahua"/>
    <s v="N000"/>
    <x v="6"/>
    <x v="4"/>
    <n v="1"/>
    <x v="6"/>
    <x v="6"/>
    <x v="73"/>
    <x v="1"/>
    <s v="USD"/>
    <x v="0"/>
    <x v="6"/>
    <s v="A01"/>
    <x v="2"/>
    <n v="210001694"/>
    <m/>
    <n v="0"/>
    <n v="0"/>
    <n v="0"/>
    <n v="82939395.310000002"/>
    <n v="13270303.249600001"/>
    <n v="96209698.559599996"/>
    <n v="0"/>
    <n v="210001694"/>
    <d v="1899-12-30T00:00:00"/>
    <n v="0"/>
    <n v="0"/>
    <n v="0"/>
    <n v="82939395.310000002"/>
    <n v="13270303.249600001"/>
    <n v="96209698.559599996"/>
    <m/>
    <m/>
    <m/>
    <n v="0"/>
    <n v="0"/>
    <n v="0"/>
  </r>
  <r>
    <x v="0"/>
    <n v="4326979"/>
    <s v="RECLASIFICACION"/>
    <m/>
    <s v="MEX"/>
    <x v="0"/>
    <x v="0"/>
    <s v="Gas. Corredor Chihuahua"/>
    <s v="N000"/>
    <x v="6"/>
    <x v="4"/>
    <n v="1"/>
    <x v="1"/>
    <x v="1"/>
    <x v="73"/>
    <x v="1"/>
    <s v="USD"/>
    <x v="0"/>
    <x v="0"/>
    <s v="A01"/>
    <x v="2"/>
    <n v="210002083"/>
    <m/>
    <n v="0"/>
    <n v="0"/>
    <n v="0"/>
    <n v="-13398702.82"/>
    <n v="-2143792.4512"/>
    <n v="-15542495.271200001"/>
    <n v="0"/>
    <n v="210002083"/>
    <d v="1899-12-30T00:00:00"/>
    <n v="0"/>
    <n v="0"/>
    <n v="0"/>
    <n v="-13398702.82"/>
    <n v="-2143792.4512"/>
    <n v="-15542495.271200001"/>
    <m/>
    <m/>
    <m/>
    <n v="0"/>
    <n v="0"/>
    <n v="0"/>
  </r>
  <r>
    <x v="0"/>
    <n v="4326979"/>
    <s v="RECLASIFICACION"/>
    <m/>
    <s v="MEX"/>
    <x v="0"/>
    <x v="0"/>
    <s v="Gas. Corredor Chihuahua"/>
    <s v="N000"/>
    <x v="6"/>
    <x v="4"/>
    <n v="1"/>
    <x v="1"/>
    <x v="1"/>
    <x v="73"/>
    <x v="1"/>
    <s v="USD"/>
    <x v="0"/>
    <x v="6"/>
    <s v="A01"/>
    <x v="2"/>
    <n v="210002083"/>
    <m/>
    <n v="0"/>
    <n v="0"/>
    <n v="0"/>
    <n v="13398702.82"/>
    <n v="2143792.4512"/>
    <n v="15542495.271200001"/>
    <n v="0"/>
    <n v="210002083"/>
    <d v="1899-12-30T00:00:00"/>
    <n v="0"/>
    <n v="0"/>
    <n v="0"/>
    <n v="13398702.82"/>
    <n v="2143792.4512"/>
    <n v="15542495.271200001"/>
    <m/>
    <m/>
    <m/>
    <n v="0"/>
    <n v="0"/>
    <n v="0"/>
  </r>
  <r>
    <x v="0"/>
    <n v="4326979"/>
    <s v="RECLASIFICACION"/>
    <m/>
    <s v="MEX"/>
    <x v="0"/>
    <x v="0"/>
    <s v="Gas. Corredor Chihuahua"/>
    <s v="N000"/>
    <x v="6"/>
    <x v="4"/>
    <n v="1"/>
    <x v="1"/>
    <x v="1"/>
    <x v="73"/>
    <x v="1"/>
    <s v="USD"/>
    <x v="0"/>
    <x v="0"/>
    <s v="A01"/>
    <x v="2"/>
    <n v="210001694"/>
    <m/>
    <n v="0"/>
    <n v="0"/>
    <n v="0"/>
    <n v="-86365805.549999997"/>
    <n v="-13818528.888"/>
    <n v="-100184334.43799999"/>
    <n v="0"/>
    <n v="210001694"/>
    <d v="1899-12-30T00:00:00"/>
    <n v="0"/>
    <n v="0"/>
    <n v="0"/>
    <n v="-86365805.549999997"/>
    <n v="-13818528.888"/>
    <n v="-100184334.43799999"/>
    <m/>
    <m/>
    <m/>
    <n v="0"/>
    <n v="0"/>
    <n v="0"/>
  </r>
  <r>
    <x v="0"/>
    <n v="4326979"/>
    <s v="RECLASIFICACION"/>
    <m/>
    <s v="MEX"/>
    <x v="0"/>
    <x v="0"/>
    <s v="Gas. Corredor Chihuahua"/>
    <s v="N000"/>
    <x v="6"/>
    <x v="4"/>
    <n v="1"/>
    <x v="1"/>
    <x v="1"/>
    <x v="73"/>
    <x v="1"/>
    <s v="USD"/>
    <x v="0"/>
    <x v="6"/>
    <s v="A01"/>
    <x v="2"/>
    <n v="210001694"/>
    <m/>
    <n v="0"/>
    <n v="0"/>
    <n v="0"/>
    <n v="86365805.549999997"/>
    <n v="13818528.888"/>
    <n v="100184334.43799999"/>
    <n v="0"/>
    <n v="210001694"/>
    <d v="1899-12-30T00:00:00"/>
    <n v="0"/>
    <n v="0"/>
    <n v="0"/>
    <n v="86365805.549999997"/>
    <n v="13818528.888"/>
    <n v="100184334.43799999"/>
    <m/>
    <m/>
    <m/>
    <n v="0"/>
    <n v="0"/>
    <n v="0"/>
  </r>
  <r>
    <x v="0"/>
    <n v="4326979"/>
    <s v="RECLASIFICACION"/>
    <m/>
    <s v="MEX"/>
    <x v="0"/>
    <x v="0"/>
    <s v="Gas. Corredor Chihuahua"/>
    <s v="N000"/>
    <x v="4"/>
    <x v="4"/>
    <n v="7"/>
    <x v="11"/>
    <x v="11"/>
    <x v="73"/>
    <x v="1"/>
    <s v="USD"/>
    <x v="0"/>
    <x v="0"/>
    <s v="A01"/>
    <x v="2"/>
    <n v="210002083"/>
    <d v="2018-07-31T00:00:00"/>
    <n v="0"/>
    <n v="0"/>
    <n v="0"/>
    <n v="-66649796.100000001"/>
    <n v="-10663967.376"/>
    <n v="-77313763.475999996"/>
    <n v="0"/>
    <n v="210002083"/>
    <d v="2018-07-31T00:00:00"/>
    <n v="0"/>
    <n v="0"/>
    <n v="0"/>
    <n v="-66649796.100000001"/>
    <n v="-10663967.376"/>
    <n v="-77313763.475999996"/>
    <m/>
    <m/>
    <m/>
    <n v="0"/>
    <n v="0"/>
    <n v="0"/>
  </r>
  <r>
    <x v="0"/>
    <n v="4326979"/>
    <s v="RECLASIFICACION"/>
    <m/>
    <s v="MEX"/>
    <x v="0"/>
    <x v="0"/>
    <s v="Gas. Corredor Chihuahua"/>
    <s v="N000"/>
    <x v="4"/>
    <x v="4"/>
    <n v="7"/>
    <x v="11"/>
    <x v="11"/>
    <x v="73"/>
    <x v="1"/>
    <s v="USD"/>
    <x v="0"/>
    <x v="6"/>
    <s v="A01"/>
    <x v="2"/>
    <n v="210002083"/>
    <d v="2018-07-31T00:00:00"/>
    <n v="0"/>
    <n v="0"/>
    <n v="0"/>
    <n v="66649796.100000001"/>
    <n v="10663967.376"/>
    <n v="77313763.475999996"/>
    <n v="0"/>
    <n v="210002083"/>
    <d v="2018-07-31T00:00:00"/>
    <n v="0"/>
    <n v="0"/>
    <n v="0"/>
    <n v="66649796.100000001"/>
    <n v="10663967.376"/>
    <n v="77313763.475999996"/>
    <m/>
    <m/>
    <m/>
    <n v="0"/>
    <n v="0"/>
    <n v="0"/>
  </r>
  <r>
    <x v="0"/>
    <n v="4326979"/>
    <s v="RECLASIFICACION"/>
    <m/>
    <s v="MEX"/>
    <x v="0"/>
    <x v="0"/>
    <s v="Gas. Corredor Chihuahua"/>
    <s v="N000"/>
    <x v="6"/>
    <x v="4"/>
    <n v="1"/>
    <x v="10"/>
    <x v="10"/>
    <x v="73"/>
    <x v="1"/>
    <s v="USD"/>
    <x v="0"/>
    <x v="0"/>
    <s v="A01"/>
    <x v="2"/>
    <m/>
    <m/>
    <n v="0"/>
    <n v="0"/>
    <n v="0"/>
    <m/>
    <n v="0"/>
    <n v="0"/>
    <n v="0"/>
    <n v="0"/>
    <d v="1899-12-30T00:00:00"/>
    <n v="0"/>
    <n v="0"/>
    <n v="0"/>
    <n v="0"/>
    <n v="0"/>
    <n v="0"/>
    <m/>
    <m/>
    <m/>
    <n v="0"/>
    <n v="0"/>
    <n v="0"/>
  </r>
  <r>
    <x v="0"/>
    <n v="4326979"/>
    <s v="RECLASIFICACION"/>
    <m/>
    <s v="MEX"/>
    <x v="0"/>
    <x v="0"/>
    <s v="Gas. Corredor Chihuahua"/>
    <s v="N000"/>
    <x v="6"/>
    <x v="4"/>
    <n v="1"/>
    <x v="10"/>
    <x v="10"/>
    <x v="73"/>
    <x v="1"/>
    <s v="USD"/>
    <x v="0"/>
    <x v="6"/>
    <s v="A01"/>
    <x v="2"/>
    <m/>
    <m/>
    <n v="0"/>
    <n v="0"/>
    <n v="0"/>
    <m/>
    <n v="0"/>
    <n v="0"/>
    <n v="0"/>
    <n v="0"/>
    <d v="1899-12-30T00:00:00"/>
    <n v="0"/>
    <n v="0"/>
    <n v="0"/>
    <n v="0"/>
    <n v="0"/>
    <n v="0"/>
    <m/>
    <m/>
    <m/>
    <n v="0"/>
    <n v="0"/>
    <n v="0"/>
  </r>
  <r>
    <x v="0"/>
    <n v="4326979"/>
    <s v="RECLASIFICACION"/>
    <m/>
    <s v="MEX"/>
    <x v="0"/>
    <x v="0"/>
    <s v="Gas. Corredor Chihuahua"/>
    <s v="N000"/>
    <x v="6"/>
    <x v="4"/>
    <n v="1"/>
    <x v="7"/>
    <x v="7"/>
    <x v="73"/>
    <x v="1"/>
    <s v="USD"/>
    <x v="0"/>
    <x v="0"/>
    <s v="A01"/>
    <x v="2"/>
    <m/>
    <m/>
    <n v="0"/>
    <n v="0"/>
    <n v="0"/>
    <m/>
    <n v="0"/>
    <n v="0"/>
    <n v="0"/>
    <n v="0"/>
    <d v="1899-12-30T00:00:00"/>
    <n v="0"/>
    <n v="0"/>
    <n v="0"/>
    <n v="0"/>
    <n v="0"/>
    <n v="0"/>
    <m/>
    <m/>
    <m/>
    <n v="0"/>
    <n v="0"/>
    <n v="0"/>
  </r>
  <r>
    <x v="0"/>
    <n v="4326979"/>
    <s v="RECLASIFICACION"/>
    <m/>
    <s v="MEX"/>
    <x v="0"/>
    <x v="0"/>
    <s v="Gas. Corredor Chihuahua"/>
    <s v="N000"/>
    <x v="6"/>
    <x v="4"/>
    <n v="1"/>
    <x v="7"/>
    <x v="7"/>
    <x v="73"/>
    <x v="1"/>
    <s v="USD"/>
    <x v="0"/>
    <x v="6"/>
    <s v="A01"/>
    <x v="2"/>
    <m/>
    <m/>
    <n v="0"/>
    <n v="0"/>
    <n v="0"/>
    <m/>
    <n v="0"/>
    <n v="0"/>
    <n v="0"/>
    <n v="0"/>
    <d v="1899-12-30T00:00:00"/>
    <n v="0"/>
    <n v="0"/>
    <n v="0"/>
    <n v="0"/>
    <n v="0"/>
    <n v="0"/>
    <m/>
    <m/>
    <m/>
    <n v="0"/>
    <n v="0"/>
    <n v="0"/>
  </r>
  <r>
    <x v="0"/>
    <n v="4326979"/>
    <s v="RECLASIFICACION"/>
    <m/>
    <s v="MEX"/>
    <x v="0"/>
    <x v="0"/>
    <s v="Gas. Corredor Chihuahua"/>
    <s v="N000"/>
    <x v="6"/>
    <x v="4"/>
    <n v="1"/>
    <x v="4"/>
    <x v="4"/>
    <x v="73"/>
    <x v="1"/>
    <s v="USD"/>
    <x v="0"/>
    <x v="0"/>
    <s v="A01"/>
    <x v="2"/>
    <m/>
    <m/>
    <n v="0"/>
    <n v="0"/>
    <n v="0"/>
    <m/>
    <n v="0"/>
    <n v="0"/>
    <n v="0"/>
    <n v="0"/>
    <d v="1899-12-30T00:00:00"/>
    <n v="0"/>
    <n v="0"/>
    <n v="0"/>
    <n v="0"/>
    <n v="0"/>
    <n v="0"/>
    <m/>
    <m/>
    <m/>
    <n v="0"/>
    <n v="0"/>
    <n v="0"/>
  </r>
  <r>
    <x v="0"/>
    <n v="4326979"/>
    <s v="RECLASIFICACION"/>
    <m/>
    <s v="MEX"/>
    <x v="0"/>
    <x v="0"/>
    <s v="Gas. Corredor Chihuahua"/>
    <s v="N000"/>
    <x v="6"/>
    <x v="4"/>
    <n v="1"/>
    <x v="4"/>
    <x v="4"/>
    <x v="73"/>
    <x v="1"/>
    <s v="USD"/>
    <x v="0"/>
    <x v="6"/>
    <s v="A01"/>
    <x v="2"/>
    <m/>
    <m/>
    <n v="0"/>
    <n v="0"/>
    <n v="0"/>
    <m/>
    <n v="0"/>
    <n v="0"/>
    <n v="0"/>
    <n v="0"/>
    <d v="1899-12-30T00:00:00"/>
    <n v="0"/>
    <n v="0"/>
    <n v="0"/>
    <n v="0"/>
    <n v="0"/>
    <n v="0"/>
    <m/>
    <m/>
    <m/>
    <n v="0"/>
    <n v="0"/>
    <n v="0"/>
  </r>
  <r>
    <x v="0"/>
    <n v="4326979"/>
    <s v="RECLASIFICACION"/>
    <m/>
    <s v="MEX"/>
    <x v="0"/>
    <x v="0"/>
    <s v="Gas. Corredor Chihuahua"/>
    <s v="N000"/>
    <x v="6"/>
    <x v="4"/>
    <n v="1"/>
    <x v="3"/>
    <x v="3"/>
    <x v="73"/>
    <x v="1"/>
    <s v="USD"/>
    <x v="0"/>
    <x v="0"/>
    <s v="A01"/>
    <x v="2"/>
    <m/>
    <m/>
    <n v="0"/>
    <n v="0"/>
    <n v="0"/>
    <m/>
    <n v="0"/>
    <n v="0"/>
    <n v="0"/>
    <n v="0"/>
    <d v="1899-12-30T00:00:00"/>
    <n v="0"/>
    <n v="0"/>
    <n v="0"/>
    <n v="0"/>
    <n v="0"/>
    <n v="0"/>
    <m/>
    <m/>
    <m/>
    <n v="0"/>
    <n v="0"/>
    <n v="0"/>
  </r>
  <r>
    <x v="0"/>
    <n v="4326979"/>
    <s v="RECLASIFICACION"/>
    <m/>
    <s v="MEX"/>
    <x v="0"/>
    <x v="0"/>
    <s v="Gas. Corredor Chihuahua"/>
    <s v="N000"/>
    <x v="6"/>
    <x v="4"/>
    <n v="1"/>
    <x v="3"/>
    <x v="3"/>
    <x v="73"/>
    <x v="1"/>
    <s v="USD"/>
    <x v="0"/>
    <x v="6"/>
    <s v="A01"/>
    <x v="2"/>
    <m/>
    <m/>
    <n v="0"/>
    <n v="0"/>
    <n v="0"/>
    <m/>
    <n v="0"/>
    <n v="0"/>
    <n v="0"/>
    <n v="0"/>
    <d v="1899-12-30T00:00:00"/>
    <n v="0"/>
    <n v="0"/>
    <n v="0"/>
    <n v="0"/>
    <n v="0"/>
    <n v="0"/>
    <m/>
    <m/>
    <m/>
    <n v="0"/>
    <n v="0"/>
    <n v="0"/>
  </r>
  <r>
    <x v="0"/>
    <n v="4326979"/>
    <s v="RECLASIFICACION"/>
    <m/>
    <s v="MEX"/>
    <x v="0"/>
    <x v="0"/>
    <s v="Gas. Corredor Chihuahua"/>
    <s v="N000"/>
    <x v="5"/>
    <x v="5"/>
    <n v="3"/>
    <x v="8"/>
    <x v="8"/>
    <x v="73"/>
    <x v="1"/>
    <s v="USD"/>
    <x v="7"/>
    <x v="6"/>
    <s v="A01"/>
    <x v="2"/>
    <n v="210000969"/>
    <d v="2019-03-29T00:00:00"/>
    <n v="0"/>
    <n v="0"/>
    <n v="0"/>
    <n v="-34564660.859999999"/>
    <n v="-5530345.7375999996"/>
    <n v="-40095006.597599998"/>
    <n v="0"/>
    <n v="210000969"/>
    <d v="2019-03-29T00:00:00"/>
    <n v="0"/>
    <n v="0"/>
    <n v="0"/>
    <n v="-34564660.859999999"/>
    <n v="-5530345.7375999996"/>
    <n v="-40095006.597599998"/>
    <m/>
    <m/>
    <m/>
    <n v="0"/>
    <n v="0"/>
    <n v="0"/>
  </r>
  <r>
    <x v="0"/>
    <n v="4326979"/>
    <s v="RECLASIFICACION"/>
    <m/>
    <s v="MEX"/>
    <x v="0"/>
    <x v="0"/>
    <s v="Gas. Corredor Chihuahua"/>
    <s v="N000"/>
    <x v="5"/>
    <x v="5"/>
    <n v="3"/>
    <x v="8"/>
    <x v="8"/>
    <x v="73"/>
    <x v="1"/>
    <s v="USD"/>
    <x v="7"/>
    <x v="2"/>
    <s v="A01"/>
    <x v="2"/>
    <n v="210000969"/>
    <d v="2019-03-29T00:00:00"/>
    <n v="0"/>
    <n v="0"/>
    <n v="0"/>
    <n v="13087148.300000001"/>
    <n v="2093943.7280000001"/>
    <n v="15181092.028000001"/>
    <n v="0"/>
    <n v="210000969"/>
    <d v="2019-03-29T00:00:00"/>
    <n v="0"/>
    <n v="0"/>
    <n v="0"/>
    <n v="13087148.300000001"/>
    <n v="2093943.7280000001"/>
    <n v="15181092.028000001"/>
    <m/>
    <m/>
    <m/>
    <n v="0"/>
    <n v="0"/>
    <n v="0"/>
  </r>
  <r>
    <x v="0"/>
    <n v="4326979"/>
    <s v="RECLASIFICACION"/>
    <m/>
    <s v="MEX"/>
    <x v="0"/>
    <x v="0"/>
    <s v="CC NORTE II"/>
    <s v="N000"/>
    <x v="5"/>
    <x v="5"/>
    <n v="3"/>
    <x v="8"/>
    <x v="8"/>
    <x v="73"/>
    <x v="1"/>
    <s v="USD"/>
    <x v="9"/>
    <x v="2"/>
    <s v="A01"/>
    <x v="3"/>
    <n v="210000969"/>
    <d v="2019-03-29T00:00:00"/>
    <n v="0"/>
    <n v="0"/>
    <n v="0"/>
    <n v="10360659.08"/>
    <n v="1657705.4528000001"/>
    <n v="12018364.5328"/>
    <n v="0"/>
    <n v="210000969"/>
    <d v="2019-03-29T00:00:00"/>
    <n v="0"/>
    <n v="0"/>
    <n v="0"/>
    <n v="10360659.08"/>
    <n v="1657705.4528000001"/>
    <n v="12018364.5328"/>
    <m/>
    <m/>
    <m/>
    <n v="0"/>
    <n v="0"/>
    <n v="0"/>
  </r>
  <r>
    <x v="0"/>
    <n v="4326979"/>
    <s v="RECLASIFICACION"/>
    <m/>
    <s v="MEX"/>
    <x v="0"/>
    <x v="0"/>
    <s v="Gas. Corredor Chihuahua"/>
    <s v="N000"/>
    <x v="5"/>
    <x v="5"/>
    <n v="3"/>
    <x v="8"/>
    <x v="8"/>
    <x v="73"/>
    <x v="1"/>
    <s v="USD"/>
    <x v="7"/>
    <x v="6"/>
    <s v="A01"/>
    <x v="2"/>
    <n v="210000969"/>
    <d v="2019-03-29T00:00:00"/>
    <n v="0"/>
    <n v="0"/>
    <n v="0"/>
    <n v="8717543.0600000005"/>
    <n v="1394806.8896000001"/>
    <n v="10112349.9496"/>
    <n v="0"/>
    <n v="210000969"/>
    <d v="2019-03-29T00:00:00"/>
    <n v="0"/>
    <n v="0"/>
    <n v="0"/>
    <n v="8717543.0600000005"/>
    <n v="1394806.8896000001"/>
    <n v="10112349.9496"/>
    <m/>
    <m/>
    <m/>
    <n v="0"/>
    <n v="0"/>
    <n v="0"/>
  </r>
  <r>
    <x v="0"/>
    <n v="4326979"/>
    <s v="RECLASIFICACION"/>
    <m/>
    <s v="MEX"/>
    <x v="0"/>
    <x v="0"/>
    <s v="Gas. Corredor Chihuahua"/>
    <s v="N000"/>
    <x v="5"/>
    <x v="5"/>
    <n v="3"/>
    <x v="8"/>
    <x v="8"/>
    <x v="73"/>
    <x v="1"/>
    <s v="USD"/>
    <x v="7"/>
    <x v="2"/>
    <s v="A01"/>
    <x v="2"/>
    <n v="210000969"/>
    <d v="2019-03-29T00:00:00"/>
    <n v="0"/>
    <n v="0"/>
    <n v="0"/>
    <n v="2399310.42"/>
    <n v="383889.66719999997"/>
    <n v="2783200.0872"/>
    <n v="0"/>
    <n v="210000969"/>
    <d v="2019-03-29T00:00:00"/>
    <n v="0"/>
    <n v="0"/>
    <n v="0"/>
    <n v="2399310.42"/>
    <n v="383889.66719999997"/>
    <n v="2783200.0872"/>
    <m/>
    <m/>
    <m/>
    <n v="0"/>
    <n v="0"/>
    <n v="0"/>
  </r>
  <r>
    <x v="0"/>
    <n v="4326979"/>
    <s v="RECLASIFICACION"/>
    <m/>
    <s v="MEX"/>
    <x v="0"/>
    <x v="0"/>
    <s v="Gas. Corredor Chihuahua"/>
    <s v="N000"/>
    <x v="5"/>
    <x v="5"/>
    <n v="3"/>
    <x v="9"/>
    <x v="9"/>
    <x v="73"/>
    <x v="1"/>
    <s v="USD"/>
    <x v="7"/>
    <x v="6"/>
    <s v="A01"/>
    <x v="2"/>
    <n v="210000969"/>
    <d v="2019-03-29T00:00:00"/>
    <n v="0"/>
    <n v="0"/>
    <n v="0"/>
    <n v="-25400426.57"/>
    <n v="-4064068.2512000003"/>
    <n v="-29464494.821200002"/>
    <n v="0"/>
    <n v="210000969"/>
    <d v="2019-03-29T00:00:00"/>
    <n v="0"/>
    <n v="0"/>
    <n v="0"/>
    <n v="-25400426.57"/>
    <n v="-4064068.2512000003"/>
    <n v="-29464494.821200002"/>
    <m/>
    <m/>
    <m/>
    <n v="0"/>
    <n v="0"/>
    <n v="0"/>
  </r>
  <r>
    <x v="0"/>
    <n v="4326979"/>
    <s v="RECLASIFICACION"/>
    <m/>
    <s v="MEX"/>
    <x v="0"/>
    <x v="0"/>
    <s v="Gas. Corredor Chihuahua"/>
    <s v="N000"/>
    <x v="5"/>
    <x v="5"/>
    <n v="3"/>
    <x v="9"/>
    <x v="9"/>
    <x v="73"/>
    <x v="1"/>
    <s v="USD"/>
    <x v="7"/>
    <x v="2"/>
    <s v="A01"/>
    <x v="2"/>
    <n v="210000969"/>
    <d v="2019-03-29T00:00:00"/>
    <n v="0"/>
    <n v="0"/>
    <n v="0"/>
    <n v="15218820.939999999"/>
    <n v="2435011.3503999999"/>
    <n v="17653832.290399998"/>
    <n v="0"/>
    <n v="210000969"/>
    <d v="2019-03-29T00:00:00"/>
    <n v="0"/>
    <n v="0"/>
    <n v="0"/>
    <n v="15218820.939999999"/>
    <n v="2435011.3503999999"/>
    <n v="17653832.290399998"/>
    <m/>
    <m/>
    <m/>
    <n v="0"/>
    <n v="0"/>
    <n v="0"/>
  </r>
  <r>
    <x v="0"/>
    <n v="4326979"/>
    <s v="RECLASIFICACION"/>
    <m/>
    <s v="MEX"/>
    <x v="0"/>
    <x v="0"/>
    <s v="CC NORTE II"/>
    <s v="N000"/>
    <x v="5"/>
    <x v="5"/>
    <n v="3"/>
    <x v="9"/>
    <x v="9"/>
    <x v="73"/>
    <x v="1"/>
    <s v="USD"/>
    <x v="9"/>
    <x v="2"/>
    <s v="A01"/>
    <x v="3"/>
    <n v="210000969"/>
    <d v="2019-03-29T00:00:00"/>
    <n v="0"/>
    <n v="0"/>
    <n v="0"/>
    <n v="10181605.630000001"/>
    <n v="1629056.9008000002"/>
    <n v="11810662.530800002"/>
    <n v="0"/>
    <n v="210000969"/>
    <d v="2019-03-29T00:00:00"/>
    <n v="0"/>
    <n v="0"/>
    <n v="0"/>
    <n v="10181605.630000001"/>
    <n v="1629056.9008000002"/>
    <n v="11810662.530800002"/>
    <m/>
    <m/>
    <m/>
    <n v="0"/>
    <n v="0"/>
    <n v="0"/>
  </r>
  <r>
    <x v="0"/>
    <n v="4326979"/>
    <s v="RECLASIFICACION"/>
    <m/>
    <s v="MEX"/>
    <x v="0"/>
    <x v="0"/>
    <s v="Gas. Corredor Chihuahua"/>
    <s v="N000"/>
    <x v="5"/>
    <x v="5"/>
    <n v="3"/>
    <x v="9"/>
    <x v="9"/>
    <x v="73"/>
    <x v="1"/>
    <s v="USD"/>
    <x v="7"/>
    <x v="6"/>
    <s v="A01"/>
    <x v="2"/>
    <n v="210000969"/>
    <d v="2019-03-29T00:00:00"/>
    <n v="0"/>
    <n v="0"/>
    <n v="0"/>
    <n v="-8566886.0299999993"/>
    <n v="-1370701.7648"/>
    <n v="-9937587.7947999984"/>
    <n v="0"/>
    <n v="210000969"/>
    <d v="2019-03-29T00:00:00"/>
    <n v="0"/>
    <n v="0"/>
    <n v="0"/>
    <n v="-8566886.0299999993"/>
    <n v="-1370701.7648"/>
    <n v="-9937587.7947999984"/>
    <m/>
    <m/>
    <m/>
    <n v="0"/>
    <n v="0"/>
    <n v="0"/>
  </r>
  <r>
    <x v="0"/>
    <n v="4326979"/>
    <s v="RECLASIFICACION"/>
    <m/>
    <s v="MEX"/>
    <x v="0"/>
    <x v="0"/>
    <s v="Gas. Corredor Chihuahua"/>
    <s v="N000"/>
    <x v="5"/>
    <x v="5"/>
    <n v="3"/>
    <x v="9"/>
    <x v="9"/>
    <x v="73"/>
    <x v="1"/>
    <s v="USD"/>
    <x v="7"/>
    <x v="2"/>
    <s v="A01"/>
    <x v="2"/>
    <n v="210000969"/>
    <d v="2019-03-29T00:00:00"/>
    <n v="0"/>
    <n v="0"/>
    <n v="0"/>
    <n v="8566886.0299999993"/>
    <n v="1370701.7648"/>
    <n v="9937587.7947999984"/>
    <n v="0"/>
    <n v="210000969"/>
    <d v="2019-03-29T00:00:00"/>
    <n v="0"/>
    <n v="0"/>
    <n v="0"/>
    <n v="8566886.0299999993"/>
    <n v="1370701.7648"/>
    <n v="9937587.7947999984"/>
    <m/>
    <m/>
    <m/>
    <n v="0"/>
    <n v="0"/>
    <n v="0"/>
  </r>
  <r>
    <x v="0"/>
    <n v="4326979"/>
    <n v="800832773"/>
    <m/>
    <s v="MEX"/>
    <x v="0"/>
    <x v="0"/>
    <s v="CC NORTE II"/>
    <s v="N000"/>
    <x v="4"/>
    <x v="4"/>
    <n v="10"/>
    <x v="4"/>
    <x v="4"/>
    <x v="74"/>
    <x v="2"/>
    <s v="USD"/>
    <x v="6"/>
    <x v="5"/>
    <s v="A01"/>
    <x v="3"/>
    <n v="180004162"/>
    <d v="2018-10-18T00:00:00"/>
    <n v="7024.36"/>
    <n v="1123.8976"/>
    <n v="8148.257599999999"/>
    <n v="131842.32"/>
    <n v="21094.771200000003"/>
    <n v="152937.0912"/>
    <n v="18.769299978930466"/>
    <n v="140005736"/>
    <d v="2018-10-29T00:00:00"/>
    <n v="7024.36"/>
    <n v="1123.8976"/>
    <n v="8148.257599999999"/>
    <n v="136541.62"/>
    <n v="21846.659199999998"/>
    <n v="158388.28"/>
    <n v="19.438300000000002"/>
    <m/>
    <m/>
    <n v="4699.2999999999884"/>
    <n v="751.88880000001518"/>
    <n v="5451.1888000000035"/>
  </r>
  <r>
    <x v="0"/>
    <n v="4326979"/>
    <n v="800832773"/>
    <m/>
    <s v="MEX"/>
    <x v="0"/>
    <x v="0"/>
    <s v="CC NORTE II"/>
    <s v="N000"/>
    <x v="4"/>
    <x v="4"/>
    <n v="10"/>
    <x v="4"/>
    <x v="4"/>
    <x v="72"/>
    <x v="2"/>
    <s v="USD"/>
    <x v="6"/>
    <x v="5"/>
    <s v="A01"/>
    <x v="3"/>
    <n v="180004161"/>
    <d v="2018-10-18T00:00:00"/>
    <n v="2170.8965517241377"/>
    <n v="347.34344827586204"/>
    <n v="2518.2399999999998"/>
    <n v="40746.206896551725"/>
    <n v="6519.3931034482757"/>
    <n v="47265.599999999999"/>
    <n v="18.769299193087235"/>
    <n v="140005736"/>
    <d v="2018-10-29T00:00:00"/>
    <n v="2170.8965517241377"/>
    <n v="347.34344827586204"/>
    <n v="2518.2399999999998"/>
    <n v="42198.53"/>
    <n v="6751.7647999999999"/>
    <n v="48950.3"/>
    <n v="19.438300000000002"/>
    <m/>
    <m/>
    <n v="1452.3231034482742"/>
    <n v="232.37689655173017"/>
    <n v="1684.7000000000044"/>
  </r>
  <r>
    <x v="0"/>
    <n v="4326979"/>
    <n v="800861096"/>
    <m/>
    <s v="MEX"/>
    <x v="1"/>
    <x v="0"/>
    <s v="Gas. Corredor Chihuahua"/>
    <s v="N000"/>
    <x v="4"/>
    <x v="4"/>
    <n v="10"/>
    <x v="4"/>
    <x v="4"/>
    <x v="75"/>
    <x v="1"/>
    <s v="USD"/>
    <x v="7"/>
    <x v="6"/>
    <s v="A01"/>
    <x v="2"/>
    <n v="180004163"/>
    <d v="2018-10-18T00:00:00"/>
    <n v="447053.49137931038"/>
    <n v="71528.558620689655"/>
    <n v="518582.05"/>
    <n v="8390881.0948275868"/>
    <n v="1342540.975172414"/>
    <n v="9733422.0700000003"/>
    <n v="18.769299997946323"/>
    <n v="140005672"/>
    <d v="2018-10-29T00:00:00"/>
    <n v="447053.49137931038"/>
    <n v="71528.558620689655"/>
    <n v="518582.05"/>
    <n v="8689959.8800000008"/>
    <n v="1390393.5808000001"/>
    <n v="10080353.460000001"/>
    <n v="19.438300000000002"/>
    <m/>
    <m/>
    <n v="299078.78517241403"/>
    <n v="47852.604827586561"/>
    <n v="346931.3900000006"/>
  </r>
  <r>
    <x v="0"/>
    <n v="4326979"/>
    <n v="800874933"/>
    <m/>
    <s v="MEX"/>
    <x v="0"/>
    <x v="0"/>
    <s v="Gas. Corredor Chihuahua"/>
    <s v="N000"/>
    <x v="5"/>
    <x v="5"/>
    <n v="2"/>
    <x v="8"/>
    <x v="8"/>
    <x v="76"/>
    <x v="1"/>
    <s v="USD"/>
    <x v="7"/>
    <x v="6"/>
    <s v="A01"/>
    <x v="2"/>
    <n v="180000294"/>
    <d v="2019-02-11T00:00:00"/>
    <n v="4753878.6379310349"/>
    <n v="760620.58206896565"/>
    <n v="5514499.2199999997"/>
    <n v="90704004.413793117"/>
    <n v="14512640.706206899"/>
    <n v="105216645.12"/>
    <n v="19.080000000435216"/>
    <n v="140000823"/>
    <d v="2019-02-28T00:00:00"/>
    <n v="4753878.6379310349"/>
    <n v="760620.58206896565"/>
    <n v="5514499.2199999997"/>
    <n v="91098576.338672414"/>
    <n v="14575772.214187587"/>
    <n v="105674348.55285999"/>
    <n v="19.163"/>
    <m/>
    <m/>
    <n v="394571.92487929761"/>
    <n v="63131.507980689406"/>
    <n v="457703.43285998702"/>
  </r>
  <r>
    <x v="0"/>
    <n v="4326979"/>
    <n v="800874975"/>
    <m/>
    <s v="MEX"/>
    <x v="0"/>
    <x v="0"/>
    <s v="Gas. Corredor Chihuahua"/>
    <s v="N000"/>
    <x v="5"/>
    <x v="5"/>
    <n v="2"/>
    <x v="8"/>
    <x v="8"/>
    <x v="77"/>
    <x v="1"/>
    <s v="USD"/>
    <x v="7"/>
    <x v="6"/>
    <s v="A01"/>
    <x v="2"/>
    <n v="180000291"/>
    <d v="2019-02-11T00:00:00"/>
    <n v="447053.49137931038"/>
    <n v="71528.558620689655"/>
    <n v="518582.05"/>
    <n v="8529780.612068966"/>
    <n v="1364764.8979310347"/>
    <n v="9894545.5099999998"/>
    <n v="19.079999992286659"/>
    <n v="140000823"/>
    <d v="2019-02-28T00:00:00"/>
    <n v="447053.49137931038"/>
    <n v="71528.558620689655"/>
    <n v="518582.05"/>
    <n v="8566886.055301724"/>
    <n v="1370701.7688482758"/>
    <n v="9937587.8241499998"/>
    <n v="19.163"/>
    <m/>
    <m/>
    <n v="37105.443232757971"/>
    <n v="5936.8709172420204"/>
    <n v="43042.314149999991"/>
  </r>
  <r>
    <x v="0"/>
    <n v="4326979"/>
    <n v="800874989"/>
    <m/>
    <s v="MEX"/>
    <x v="0"/>
    <x v="0"/>
    <s v="Gas. Corredor Chihuahua"/>
    <s v="N000"/>
    <x v="5"/>
    <x v="5"/>
    <n v="2"/>
    <x v="8"/>
    <x v="8"/>
    <x v="76"/>
    <x v="2"/>
    <s v="USD"/>
    <x v="8"/>
    <x v="7"/>
    <s v="A01"/>
    <x v="2"/>
    <n v="180000296"/>
    <d v="2019-02-11T00:00:00"/>
    <n v="2240.3879310344828"/>
    <n v="358.46206896551723"/>
    <n v="2598.85"/>
    <n v="42746.603448275862"/>
    <n v="6839.4565517241381"/>
    <n v="49586.06"/>
    <n v="19.080000769571157"/>
    <n v="140000823"/>
    <d v="2019-02-28T00:00:00"/>
    <n v="2240.3879310344828"/>
    <n v="358.46206896551723"/>
    <n v="2598.85"/>
    <n v="42932.553922413797"/>
    <n v="6869.2086275862075"/>
    <n v="49801.762549999999"/>
    <n v="19.163"/>
    <m/>
    <m/>
    <n v="185.95047413793509"/>
    <n v="29.752075862066704"/>
    <n v="215.70255000000179"/>
  </r>
  <r>
    <x v="0"/>
    <n v="4326979"/>
    <n v="800874989"/>
    <m/>
    <s v="MEX"/>
    <x v="0"/>
    <x v="0"/>
    <s v="Gas. Corredor Chihuahua"/>
    <s v="N000"/>
    <x v="5"/>
    <x v="5"/>
    <n v="2"/>
    <x v="8"/>
    <x v="8"/>
    <x v="78"/>
    <x v="2"/>
    <s v="USD"/>
    <x v="8"/>
    <x v="7"/>
    <s v="A01"/>
    <x v="2"/>
    <n v="180000292"/>
    <d v="2019-02-11T00:00:00"/>
    <n v="3166.4913793103451"/>
    <n v="506.63862068965523"/>
    <n v="3673.13"/>
    <n v="60416.655172413804"/>
    <n v="9666.664827586208"/>
    <n v="70083.320000000007"/>
    <n v="19.07999989110105"/>
    <n v="140000847"/>
    <d v="2019-02-28T00:00:00"/>
    <n v="3166.4913793103451"/>
    <n v="506.63862068965523"/>
    <n v="3673.13"/>
    <n v="60679.474301724149"/>
    <n v="9708.7158882758649"/>
    <n v="70388.190190000008"/>
    <n v="19.163"/>
    <m/>
    <m/>
    <n v="262.81912931034458"/>
    <n v="42.051060689656879"/>
    <n v="304.87019000000146"/>
  </r>
  <r>
    <x v="0"/>
    <n v="4326979"/>
    <n v="800874989"/>
    <m/>
    <s v="MEX"/>
    <x v="0"/>
    <x v="0"/>
    <s v="Gas. Corredor Chihuahua"/>
    <s v="N000"/>
    <x v="5"/>
    <x v="5"/>
    <n v="2"/>
    <x v="8"/>
    <x v="8"/>
    <x v="79"/>
    <x v="2"/>
    <s v="USD"/>
    <x v="8"/>
    <x v="7"/>
    <s v="A01"/>
    <x v="2"/>
    <n v="180000289"/>
    <d v="2019-02-11T00:00:00"/>
    <n v="549.18965517241384"/>
    <n v="87.870344827586209"/>
    <n v="637.05999999999995"/>
    <n v="10478.543103448277"/>
    <n v="1676.5668965517243"/>
    <n v="12155.11"/>
    <n v="19.080008162496469"/>
    <n v="140000847"/>
    <d v="2019-02-28T00:00:00"/>
    <n v="549.18965517241384"/>
    <n v="87.870344827586209"/>
    <n v="637.05999999999995"/>
    <n v="10524.121362068967"/>
    <n v="1683.8594179310348"/>
    <n v="12207.98078"/>
    <n v="19.163"/>
    <m/>
    <m/>
    <n v="45.578258620689667"/>
    <n v="7.2925213793096191"/>
    <n v="52.870779999999286"/>
  </r>
  <r>
    <x v="0"/>
    <n v="4326979"/>
    <n v="800874933"/>
    <m/>
    <s v="MEX"/>
    <x v="0"/>
    <x v="0"/>
    <s v="Gas. Corredor Chihuahua"/>
    <s v="N000"/>
    <x v="5"/>
    <x v="5"/>
    <n v="3"/>
    <x v="9"/>
    <x v="9"/>
    <x v="80"/>
    <x v="1"/>
    <s v="USD"/>
    <x v="7"/>
    <x v="6"/>
    <s v="A01"/>
    <x v="2"/>
    <n v="180000526"/>
    <d v="2019-03-11T00:00:00"/>
    <n v="4753878.6379310349"/>
    <n v="760620.58206896565"/>
    <n v="5514499.2199999997"/>
    <n v="92807595.706896558"/>
    <n v="14849215.31310345"/>
    <n v="107656811.02"/>
    <n v="19.522499999555716"/>
    <n v="140001160"/>
    <d v="2019-03-27T00:00:00"/>
    <n v="4753878.6379310349"/>
    <n v="760620.58206896565"/>
    <n v="5514499.2199999997"/>
    <n v="90395477.688122422"/>
    <n v="14463276.430099588"/>
    <n v="104858754.118222"/>
    <n v="19.0151"/>
    <m/>
    <m/>
    <n v="-2412118.0187741369"/>
    <n v="-385938.88300386071"/>
    <n v="-2798056.9017779976"/>
  </r>
  <r>
    <x v="0"/>
    <n v="4326979"/>
    <n v="800874975"/>
    <m/>
    <s v="MEX"/>
    <x v="0"/>
    <x v="0"/>
    <s v="Gas. Corredor Chihuahua"/>
    <s v="N000"/>
    <x v="5"/>
    <x v="5"/>
    <n v="3"/>
    <x v="9"/>
    <x v="9"/>
    <x v="81"/>
    <x v="1"/>
    <s v="USD"/>
    <x v="7"/>
    <x v="6"/>
    <s v="A01"/>
    <x v="2"/>
    <n v="180000528"/>
    <d v="2019-03-11T00:00:00"/>
    <n v="447053.49137931038"/>
    <n v="71528.558620689655"/>
    <n v="518582.05"/>
    <n v="8727601.7844827604"/>
    <n v="1396416.2855172416"/>
    <n v="10124018.07"/>
    <n v="19.522499997830625"/>
    <n v="140001160"/>
    <d v="2019-03-27T00:00:00"/>
    <n v="447053.49137931038"/>
    <n v="71528.558620689655"/>
    <n v="518582.05"/>
    <n v="8500766.843926724"/>
    <n v="1360122.6950282759"/>
    <n v="9860889.5389549993"/>
    <n v="19.0151"/>
    <m/>
    <m/>
    <n v="-226834.94055603631"/>
    <n v="-36293.590488964692"/>
    <n v="-263128.531045001"/>
  </r>
  <r>
    <x v="0"/>
    <n v="4326979"/>
    <n v="800874989"/>
    <m/>
    <s v="MEX"/>
    <x v="0"/>
    <x v="0"/>
    <s v="Gas. Corredor Chihuahua"/>
    <s v="N000"/>
    <x v="5"/>
    <x v="5"/>
    <n v="3"/>
    <x v="9"/>
    <x v="9"/>
    <x v="80"/>
    <x v="2"/>
    <s v="USD"/>
    <x v="8"/>
    <x v="7"/>
    <s v="A01"/>
    <x v="2"/>
    <n v="180000530"/>
    <d v="2019-03-11T00:00:00"/>
    <n v="555.88793103448279"/>
    <n v="88.942068965517251"/>
    <n v="644.83000000000004"/>
    <n v="10852.318965517243"/>
    <n v="1736.3710344827589"/>
    <n v="12588.69"/>
    <n v="19.522494300823471"/>
    <n v="140001168"/>
    <d v="2019-03-27T00:00:00"/>
    <n v="555.88793103448279"/>
    <n v="88.942068965517251"/>
    <n v="644.83000000000004"/>
    <n v="10570.264597413794"/>
    <n v="1691.242335586207"/>
    <n v="12261.506933000001"/>
    <n v="19.0151"/>
    <m/>
    <m/>
    <n v="-282.05436810344872"/>
    <n v="-45.128698896551214"/>
    <n v="-327.18306699999994"/>
  </r>
  <r>
    <x v="0"/>
    <n v="4326979"/>
    <n v="800874989"/>
    <m/>
    <s v="MEX"/>
    <x v="0"/>
    <x v="0"/>
    <s v="Gas. Corredor Chihuahua"/>
    <s v="N000"/>
    <x v="5"/>
    <x v="5"/>
    <n v="3"/>
    <x v="9"/>
    <x v="9"/>
    <x v="82"/>
    <x v="2"/>
    <s v="USD"/>
    <x v="8"/>
    <x v="7"/>
    <s v="A01"/>
    <x v="2"/>
    <n v="180000529"/>
    <d v="2019-03-11T00:00:00"/>
    <n v="2005.4310344827588"/>
    <n v="320.86896551724141"/>
    <n v="2326.3000000000002"/>
    <n v="39151.025862068971"/>
    <n v="6264.1641379310358"/>
    <n v="45415.19"/>
    <n v="19.522499247732451"/>
    <n v="140001168"/>
    <d v="2019-03-27T00:00:00"/>
    <n v="2005.4310344827588"/>
    <n v="320.86896551724141"/>
    <n v="2326.3000000000002"/>
    <n v="38133.471663793112"/>
    <n v="6101.3554662068982"/>
    <n v="44234.827130000005"/>
    <n v="19.0151"/>
    <m/>
    <m/>
    <n v="-1017.5541982758587"/>
    <n v="-162.80867172413855"/>
    <n v="-1180.3628699999972"/>
  </r>
  <r>
    <x v="0"/>
    <n v="4326979"/>
    <n v="800874989"/>
    <m/>
    <s v="MEX"/>
    <x v="0"/>
    <x v="0"/>
    <s v="Gas. Corredor Chihuahua"/>
    <s v="N000"/>
    <x v="5"/>
    <x v="5"/>
    <n v="3"/>
    <x v="9"/>
    <x v="9"/>
    <x v="83"/>
    <x v="2"/>
    <s v="USD"/>
    <x v="8"/>
    <x v="7"/>
    <s v="A01"/>
    <x v="2"/>
    <n v="180000531"/>
    <d v="2019-03-11T00:00:00"/>
    <n v="2887.2413793103447"/>
    <n v="461.95862068965516"/>
    <n v="3349.2"/>
    <n v="56366.163793103449"/>
    <n v="9018.5862068965525"/>
    <n v="65384.75"/>
    <n v="19.522497909948644"/>
    <n v="140001168"/>
    <d v="2019-03-27T00:00:00"/>
    <n v="2887.2413793103447"/>
    <n v="461.95862068965516"/>
    <n v="3349.2"/>
    <n v="54901.183551724134"/>
    <n v="8784.1893682758619"/>
    <n v="63685.372919999994"/>
    <n v="19.0151"/>
    <m/>
    <m/>
    <n v="-1464.980241379315"/>
    <n v="-234.39683862069069"/>
    <n v="-1699.3770800000057"/>
  </r>
  <r>
    <x v="0"/>
    <n v="4326979"/>
    <n v="800874933"/>
    <m/>
    <s v="MEX"/>
    <x v="0"/>
    <x v="0"/>
    <s v="Gas. Corredor Chihuahua"/>
    <s v="N000"/>
    <x v="5"/>
    <x v="5"/>
    <n v="4"/>
    <x v="0"/>
    <x v="0"/>
    <x v="84"/>
    <x v="1"/>
    <s v="USD"/>
    <x v="7"/>
    <x v="6"/>
    <s v="A01"/>
    <x v="2"/>
    <n v="180000771"/>
    <d v="2019-04-09T00:00:00"/>
    <n v="4753878.6379310349"/>
    <n v="760620.58206896565"/>
    <n v="5514499.2199999997"/>
    <n v="90706381.353448287"/>
    <n v="14513021.016551726"/>
    <n v="105219402.37"/>
    <n v="19.080500000505939"/>
    <n v="140001482"/>
    <d v="2019-04-25T00:00:00"/>
    <n v="4753878.6379310349"/>
    <n v="760620.58206896565"/>
    <n v="5514499.2199999997"/>
    <n v="90123080.442168966"/>
    <n v="14419692.870747035"/>
    <n v="104542773.312916"/>
    <n v="18.957799999999999"/>
    <m/>
    <m/>
    <n v="-583300.91127932072"/>
    <n v="-93328.145804688334"/>
    <n v="-676629.05708400905"/>
  </r>
  <r>
    <x v="0"/>
    <n v="4326979"/>
    <n v="800874975"/>
    <m/>
    <s v="MEX"/>
    <x v="0"/>
    <x v="0"/>
    <s v="Gas. Corredor Chihuahua"/>
    <s v="N000"/>
    <x v="5"/>
    <x v="5"/>
    <n v="4"/>
    <x v="0"/>
    <x v="0"/>
    <x v="85"/>
    <x v="1"/>
    <s v="USD"/>
    <x v="7"/>
    <x v="6"/>
    <s v="A01"/>
    <x v="2"/>
    <n v="180000769"/>
    <d v="2019-04-09T00:00:00"/>
    <n v="447053.49137931038"/>
    <n v="71528.558620689655"/>
    <n v="518582.05"/>
    <n v="8530004.1465517245"/>
    <n v="1364800.663448276"/>
    <n v="9894804.8100000005"/>
    <n v="19.080500009593468"/>
    <n v="140001482"/>
    <d v="2019-04-25T00:00:00"/>
    <n v="447053.49137931038"/>
    <n v="71528.558620689655"/>
    <n v="518582.05"/>
    <n v="8475150.6788706891"/>
    <n v="1356024.1086193102"/>
    <n v="9831174.7874899991"/>
    <n v="18.957799999999999"/>
    <m/>
    <m/>
    <n v="-54853.467681035399"/>
    <n v="-8776.5548289660364"/>
    <n v="-63630.022510001436"/>
  </r>
  <r>
    <x v="0"/>
    <n v="4326979"/>
    <n v="800874989"/>
    <m/>
    <s v="MEX"/>
    <x v="0"/>
    <x v="0"/>
    <s v="Gas. Corredor Chihuahua"/>
    <s v="N000"/>
    <x v="5"/>
    <x v="5"/>
    <n v="4"/>
    <x v="0"/>
    <x v="0"/>
    <x v="86"/>
    <x v="2"/>
    <s v="USD"/>
    <x v="8"/>
    <x v="7"/>
    <s v="A01"/>
    <x v="2"/>
    <n v="180000777"/>
    <d v="2019-04-09T00:00:00"/>
    <n v="3169.4396551724139"/>
    <n v="507.11034482758623"/>
    <n v="3676.55"/>
    <n v="60474.491379310355"/>
    <n v="9675.9186206896575"/>
    <n v="70150.41"/>
    <n v="19.080499381213365"/>
    <n v="140001505"/>
    <d v="2019-04-25T00:00:00"/>
    <n v="3169.4396551724139"/>
    <n v="507.11034482758623"/>
    <n v="3676.55"/>
    <n v="60085.603094827587"/>
    <n v="9613.6964951724149"/>
    <n v="69699.299589999995"/>
    <n v="18.957799999999999"/>
    <m/>
    <m/>
    <n v="-388.88828448276763"/>
    <n v="-62.222125517240784"/>
    <n v="-451.11041000000841"/>
  </r>
  <r>
    <x v="0"/>
    <n v="4326979"/>
    <n v="800874989"/>
    <m/>
    <s v="MEX"/>
    <x v="0"/>
    <x v="0"/>
    <s v="Gas. Corredor Chihuahua"/>
    <s v="N000"/>
    <x v="5"/>
    <x v="5"/>
    <n v="4"/>
    <x v="0"/>
    <x v="0"/>
    <x v="87"/>
    <x v="2"/>
    <s v="USD"/>
    <x v="8"/>
    <x v="7"/>
    <s v="A01"/>
    <x v="2"/>
    <n v="180000775"/>
    <d v="2019-04-09T00:00:00"/>
    <n v="583.32758620689651"/>
    <n v="93.332413793103441"/>
    <n v="676.66"/>
    <n v="11130.181034482759"/>
    <n v="1780.8289655172414"/>
    <n v="12911.01"/>
    <n v="19.08049833003281"/>
    <n v="140001505"/>
    <d v="2019-04-25T00:00:00"/>
    <n v="583.32758620689651"/>
    <n v="93.332413793103441"/>
    <n v="676.66"/>
    <n v="11058.607713793104"/>
    <n v="1769.3772342068967"/>
    <n v="12827.984947999999"/>
    <n v="18.957799999999999"/>
    <m/>
    <m/>
    <n v="-71.573320689654793"/>
    <n v="-11.451731310346076"/>
    <n v="-83.025052000000869"/>
  </r>
  <r>
    <x v="0"/>
    <n v="4326979"/>
    <n v="800874989"/>
    <m/>
    <s v="MEX"/>
    <x v="0"/>
    <x v="0"/>
    <s v="Gas. Corredor Chihuahua"/>
    <s v="N000"/>
    <x v="5"/>
    <x v="5"/>
    <n v="4"/>
    <x v="0"/>
    <x v="0"/>
    <x v="84"/>
    <x v="2"/>
    <s v="USD"/>
    <x v="8"/>
    <x v="7"/>
    <s v="A01"/>
    <x v="2"/>
    <n v="180000774"/>
    <d v="2019-04-09T00:00:00"/>
    <n v="2126.1896551724139"/>
    <n v="340.19034482758622"/>
    <n v="2466.38"/>
    <n v="40568.767241379312"/>
    <n v="6491.0027586206897"/>
    <n v="47059.77"/>
    <n v="19.080502598950687"/>
    <n v="140001505"/>
    <d v="2019-04-25T00:00:00"/>
    <n v="2126.1896551724139"/>
    <n v="340.19034482758622"/>
    <n v="2466.38"/>
    <n v="40307.878244827589"/>
    <n v="6449.2605191724142"/>
    <n v="46757.138763999996"/>
    <n v="18.957799999999999"/>
    <m/>
    <m/>
    <n v="-260.88899655172281"/>
    <n v="-41.742239448278269"/>
    <n v="-302.6312360000010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4" cacheId="32" applyNumberFormats="0" applyBorderFormats="0" applyFontFormats="0" applyPatternFormats="0" applyAlignmentFormats="0" applyWidthHeightFormats="1" dataCaption="Valores" errorCaption="0" showError="1" missingCaption="0" updatedVersion="5" minRefreshableVersion="3" itemPrintTitles="1" createdVersion="6" indent="0" showHeaders="0" outline="1" outlineData="1" multipleFieldFilters="0">
  <location ref="B45:N51" firstHeaderRow="1" firstDataRow="4" firstDataCol="1" rowPageCount="3" colPageCount="1"/>
  <pivotFields count="44">
    <pivotField axis="axisPage" showAll="0" defaultSubtotal="0">
      <items count="5">
        <item x="0"/>
        <item m="1" x="2"/>
        <item m="1" x="1"/>
        <item m="1" x="4"/>
        <item m="1" x="3"/>
      </items>
    </pivotField>
    <pivotField showAll="0" defaultSubtotal="0"/>
    <pivotField showAll="0" defaultSubtotal="0"/>
    <pivotField showAll="0" defaultSubtotal="0"/>
    <pivotField showAll="0" defaultSubtotal="0"/>
    <pivotField axis="axisPage" showAll="0" defaultSubtotal="0">
      <items count="5">
        <item x="0"/>
        <item x="1"/>
        <item m="1" x="2"/>
        <item m="1" x="4"/>
        <item m="1" x="3"/>
      </items>
    </pivotField>
    <pivotField axis="axisPage" showAll="0" defaultSubtotal="0">
      <items count="2">
        <item m="1" x="1"/>
        <item x="0"/>
      </items>
    </pivotField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axis="axisCol" showAll="0" defaultSubtotal="0">
      <items count="6">
        <item h="1" sd="0" x="0"/>
        <item h="1" sd="0" x="1"/>
        <item h="1" sd="0" x="2"/>
        <item h="1" x="3"/>
        <item h="1" x="4"/>
        <item x="5"/>
      </items>
    </pivotField>
    <pivotField showAll="0" defaultSubtotal="0"/>
    <pivotField showAll="0" defaultSubtotal="0"/>
    <pivotField axis="axisCol" showAll="0" defaultSubtotal="0">
      <items count="13">
        <item sd="0" m="1" x="12"/>
        <item x="8"/>
        <item x="9"/>
        <item sd="0" x="0"/>
        <item sd="0" x="6"/>
        <item sd="0" x="1"/>
        <item sd="0" x="11"/>
        <item sd="0" x="10"/>
        <item sd="0" x="7"/>
        <item sd="0" x="4"/>
        <item sd="0" x="3"/>
        <item sd="0" x="2"/>
        <item sd="0" x="5"/>
      </items>
    </pivotField>
    <pivotField axis="axisCol" showAll="0" defaultSubtotal="0">
      <items count="106">
        <item x="62"/>
        <item m="1" x="90"/>
        <item m="1" x="96"/>
        <item m="1" x="102"/>
        <item m="1" x="92"/>
        <item m="1" x="97"/>
        <item x="0"/>
        <item x="1"/>
        <item x="4"/>
        <item x="3"/>
        <item x="61"/>
        <item x="65"/>
        <item x="56"/>
        <item x="59"/>
        <item x="63"/>
        <item x="57"/>
        <item x="52"/>
        <item x="55"/>
        <item x="53"/>
        <item x="43"/>
        <item x="44"/>
        <item x="46"/>
        <item x="72"/>
        <item x="75"/>
        <item m="1" x="91"/>
        <item m="1" x="98"/>
        <item m="1" x="101"/>
        <item x="68"/>
        <item x="71"/>
        <item x="69"/>
        <item x="70"/>
        <item x="66"/>
        <item x="67"/>
        <item x="47"/>
        <item x="49"/>
        <item x="48"/>
        <item m="1" x="94"/>
        <item x="22"/>
        <item x="19"/>
        <item x="28"/>
        <item x="27"/>
        <item x="26"/>
        <item x="29"/>
        <item x="7"/>
        <item x="16"/>
        <item m="1" x="99"/>
        <item m="1" x="105"/>
        <item x="15"/>
        <item x="14"/>
        <item x="20"/>
        <item x="24"/>
        <item x="18"/>
        <item x="25"/>
        <item x="23"/>
        <item x="2"/>
        <item x="5"/>
        <item x="8"/>
        <item x="9"/>
        <item x="12"/>
        <item x="6"/>
        <item x="13"/>
        <item x="33"/>
        <item x="34"/>
        <item x="37"/>
        <item x="30"/>
        <item x="38"/>
        <item x="36"/>
        <item x="35"/>
        <item x="31"/>
        <item x="41"/>
        <item x="11"/>
        <item x="40"/>
        <item x="10"/>
        <item x="39"/>
        <item x="32"/>
        <item x="50"/>
        <item x="51"/>
        <item x="60"/>
        <item x="42"/>
        <item x="17"/>
        <item x="21"/>
        <item x="73"/>
        <item m="1" x="100"/>
        <item m="1" x="93"/>
        <item m="1" x="103"/>
        <item m="1" x="95"/>
        <item m="1" x="89"/>
        <item m="1" x="104"/>
        <item m="1" x="88"/>
        <item x="76"/>
        <item x="77"/>
        <item x="78"/>
        <item x="79"/>
        <item x="80"/>
        <item x="81"/>
        <item x="82"/>
        <item x="83"/>
        <item x="45"/>
        <item x="54"/>
        <item x="58"/>
        <item x="64"/>
        <item x="74"/>
        <item x="84"/>
        <item x="85"/>
        <item x="87"/>
        <item x="86"/>
      </items>
    </pivotField>
    <pivotField axis="axisRow" showAll="0" defaultSubtotal="0">
      <items count="5">
        <item m="1" x="4"/>
        <item x="1"/>
        <item x="0"/>
        <item x="2"/>
        <item m="1" x="3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203" showAll="0" defaultSubtotal="0"/>
    <pivotField numFmtId="203" showAll="0" defaultSubtotal="0"/>
    <pivotField numFmtId="203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203" showAll="0" defaultSubtotal="0"/>
    <pivotField numFmtId="203" showAll="0" defaultSubtotal="0"/>
    <pivotField showAll="0" defaultSubtotal="0"/>
    <pivotField numFmtId="203" showAll="0" defaultSubtotal="0"/>
    <pivotField numFmtId="203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5"/>
  </rowFields>
  <rowItems count="3">
    <i>
      <x v="1"/>
    </i>
    <i>
      <x v="3"/>
    </i>
    <i t="grand">
      <x/>
    </i>
  </rowItems>
  <colFields count="3">
    <field x="10"/>
    <field x="13"/>
    <field x="14"/>
  </colFields>
  <colItems count="12">
    <i>
      <x v="5"/>
      <x v="1"/>
      <x v="81"/>
    </i>
    <i r="2">
      <x v="89"/>
    </i>
    <i r="2">
      <x v="90"/>
    </i>
    <i r="2">
      <x v="91"/>
    </i>
    <i r="2">
      <x v="92"/>
    </i>
    <i r="1">
      <x v="2"/>
      <x v="81"/>
    </i>
    <i r="2">
      <x v="93"/>
    </i>
    <i r="2">
      <x v="94"/>
    </i>
    <i r="2">
      <x v="95"/>
    </i>
    <i r="2">
      <x v="96"/>
    </i>
    <i r="1">
      <x v="3"/>
    </i>
    <i t="grand">
      <x/>
    </i>
  </colItems>
  <pageFields count="3">
    <pageField fld="0" hier="-1"/>
    <pageField fld="6" hier="-1"/>
    <pageField fld="5" hier="-1"/>
  </pageFields>
  <dataFields count="1">
    <dataField name="USD" fld="32" baseField="15" baseItem="1" numFmtId="7"/>
  </dataFields>
  <formats count="2">
    <format dxfId="202">
      <pivotArea outline="0" collapsedLevelsAreSubtotals="1" fieldPosition="0"/>
    </format>
    <format dxfId="201">
      <pivotArea outline="0" fieldPosition="0">
        <references count="1">
          <reference field="4294967294" count="1">
            <x v="0"/>
          </reference>
        </references>
      </pivotArea>
    </format>
  </formats>
  <pivotTableStyleInfo name="CFE_Estilo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SEGUIMIENTO CONTABLE" cacheId="32" applyNumberFormats="0" applyBorderFormats="0" applyFontFormats="0" applyPatternFormats="0" applyAlignmentFormats="0" applyWidthHeightFormats="1" dataCaption="Valores" errorCaption="0" showError="1" missingCaption="0" updatedVersion="5" minRefreshableVersion="3" itemPrintTitles="1" createdVersion="6" indent="0" compact="0" compactData="0" multipleFieldFilters="0">
  <location ref="B65:G74" firstHeaderRow="1" firstDataRow="6" firstDataCol="1" rowPageCount="3" colPageCount="1"/>
  <pivotFields count="44">
    <pivotField axis="axisPage" compact="0" outline="0" showAll="0" defaultSubtotal="0">
      <items count="5">
        <item x="0"/>
        <item m="1" x="2"/>
        <item m="1" x="1"/>
        <item m="1" x="4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5">
        <item x="0"/>
        <item x="1"/>
        <item m="1" x="2"/>
        <item m="1" x="4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m="1"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6">
        <item h="1" sd="0" x="0"/>
        <item h="1" sd="0" x="1"/>
        <item h="1" sd="0" x="2"/>
        <item h="1" x="3"/>
        <item h="1"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">
        <item x="8"/>
        <item x="9"/>
        <item x="0"/>
        <item x="6"/>
        <item x="1"/>
        <item x="11"/>
        <item x="10"/>
        <item x="7"/>
        <item x="4"/>
        <item x="3"/>
        <item x="2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5">
        <item h="1" m="1" x="4"/>
        <item x="1"/>
        <item h="1" x="0"/>
        <item h="1" m="1" x="3"/>
        <item h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12">
        <item x="0"/>
        <item m="1" x="10"/>
        <item x="7"/>
        <item x="8"/>
        <item x="6"/>
        <item x="1"/>
        <item x="5"/>
        <item m="1" x="11"/>
        <item x="2"/>
        <item x="3"/>
        <item x="4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10">
        <item x="7"/>
        <item x="6"/>
        <item x="1"/>
        <item x="2"/>
        <item x="0"/>
        <item m="1" x="9"/>
        <item x="5"/>
        <item x="4"/>
        <item x="3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12">
        <item x="1"/>
        <item m="1" x="11"/>
        <item m="1" x="4"/>
        <item m="1" x="8"/>
        <item m="1" x="10"/>
        <item m="1" x="5"/>
        <item m="1" x="6"/>
        <item m="1" x="9"/>
        <item x="0"/>
        <item m="1" x="7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0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0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0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0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0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20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0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2"/>
  </rowFields>
  <rowItems count="4">
    <i>
      <x/>
    </i>
    <i>
      <x v="1"/>
    </i>
    <i>
      <x v="2"/>
    </i>
    <i t="grand">
      <x/>
    </i>
  </rowItems>
  <colFields count="5">
    <field x="10"/>
    <field x="15"/>
    <field x="20"/>
    <field x="18"/>
    <field x="17"/>
  </colFields>
  <colItems count="4">
    <i>
      <x v="5"/>
      <x v="1"/>
      <x v="10"/>
      <x v="1"/>
      <x v="2"/>
    </i>
    <i r="3">
      <x v="3"/>
      <x v="2"/>
    </i>
    <i r="2">
      <x v="11"/>
      <x v="3"/>
      <x v="11"/>
    </i>
    <i t="grand">
      <x/>
    </i>
  </colItems>
  <pageFields count="3">
    <pageField fld="0" hier="-1"/>
    <pageField fld="6" hier="-1"/>
    <pageField fld="5" hier="-1"/>
  </pageFields>
  <dataFields count="1">
    <dataField name="(MX)" fld="35" baseField="0" baseItem="1" numFmtId="44"/>
  </dataFields>
  <formats count="24">
    <format dxfId="226">
      <pivotArea outline="0" collapsedLevelsAreSubtotals="1" fieldPosition="0"/>
    </format>
    <format dxfId="22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24">
      <pivotArea dataOnly="0" labelOnly="1" outline="0" fieldPosition="0">
        <references count="1">
          <reference field="17" count="6">
            <x v="0"/>
            <x v="2"/>
            <x v="3"/>
            <x v="4"/>
            <x v="6"/>
            <x v="9"/>
          </reference>
        </references>
      </pivotArea>
    </format>
    <format dxfId="223">
      <pivotArea dataOnly="0" labelOnly="1" grandCol="1" outline="0" fieldPosition="0"/>
    </format>
    <format dxfId="222">
      <pivotArea dataOnly="0" labelOnly="1" grandRow="1" outline="0" fieldPosition="0"/>
    </format>
    <format dxfId="221">
      <pivotArea dataOnly="0" labelOnly="1" outline="0" fieldPosition="0">
        <references count="1">
          <reference field="18" count="0"/>
        </references>
      </pivotArea>
    </format>
    <format dxfId="220">
      <pivotArea outline="0" fieldPosition="0">
        <references count="1">
          <reference field="17" count="2" selected="0">
            <x v="2"/>
            <x v="11"/>
          </reference>
        </references>
      </pivotArea>
    </format>
    <format dxfId="219">
      <pivotArea dataOnly="0" labelOnly="1" outline="0" fieldPosition="0">
        <references count="1">
          <reference field="17" count="2">
            <x v="2"/>
            <x v="11"/>
          </reference>
        </references>
      </pivotArea>
    </format>
    <format dxfId="218">
      <pivotArea outline="0" fieldPosition="0">
        <references count="1">
          <reference field="17" count="2" selected="0">
            <x v="2"/>
            <x v="11"/>
          </reference>
        </references>
      </pivotArea>
    </format>
    <format dxfId="217">
      <pivotArea dataOnly="0" labelOnly="1" outline="0" fieldPosition="0">
        <references count="1">
          <reference field="17" count="2">
            <x v="2"/>
            <x v="11"/>
          </reference>
        </references>
      </pivotArea>
    </format>
    <format dxfId="216">
      <pivotArea dataOnly="0" labelOnly="1" outline="0" fieldPosition="0">
        <references count="1">
          <reference field="10" count="0"/>
        </references>
      </pivotArea>
    </format>
    <format dxfId="215">
      <pivotArea dataOnly="0" labelOnly="1" grandCol="1" outline="0" fieldPosition="0"/>
    </format>
    <format dxfId="214">
      <pivotArea dataOnly="0" labelOnly="1" outline="0" fieldPosition="0">
        <references count="2">
          <reference field="10" count="0" selected="0"/>
          <reference field="15" count="0"/>
        </references>
      </pivotArea>
    </format>
    <format dxfId="213">
      <pivotArea dataOnly="0" labelOnly="1" outline="0" fieldPosition="0">
        <references count="3">
          <reference field="10" count="0" selected="0"/>
          <reference field="15" count="0" selected="0"/>
          <reference field="20" count="2">
            <x v="10"/>
            <x v="11"/>
          </reference>
        </references>
      </pivotArea>
    </format>
    <format dxfId="212">
      <pivotArea dataOnly="0" labelOnly="1" outline="0" fieldPosition="0">
        <references count="4">
          <reference field="10" count="0" selected="0"/>
          <reference field="15" count="0" selected="0"/>
          <reference field="18" count="3">
            <x v="1"/>
            <x v="3"/>
            <x v="4"/>
          </reference>
          <reference field="20" count="1" selected="0">
            <x v="10"/>
          </reference>
        </references>
      </pivotArea>
    </format>
    <format dxfId="211">
      <pivotArea dataOnly="0" labelOnly="1" outline="0" fieldPosition="0">
        <references count="4">
          <reference field="10" count="0" selected="0"/>
          <reference field="15" count="0" selected="0"/>
          <reference field="18" count="2">
            <x v="1"/>
            <x v="3"/>
          </reference>
          <reference field="20" count="1" selected="0">
            <x v="11"/>
          </reference>
        </references>
      </pivotArea>
    </format>
    <format dxfId="210">
      <pivotArea dataOnly="0" labelOnly="1" outline="0" fieldPosition="0">
        <references count="5">
          <reference field="10" count="0" selected="0"/>
          <reference field="12" count="0"/>
          <reference field="15" count="0" selected="0"/>
          <reference field="18" count="1" selected="0">
            <x v="4"/>
          </reference>
          <reference field="20" count="1" selected="0">
            <x v="10"/>
          </reference>
        </references>
      </pivotArea>
    </format>
    <format dxfId="209">
      <pivotArea dataOnly="0" labelOnly="1" outline="0" fieldPosition="0">
        <references count="1">
          <reference field="10" count="0"/>
        </references>
      </pivotArea>
    </format>
    <format dxfId="208">
      <pivotArea dataOnly="0" labelOnly="1" grandCol="1" outline="0" fieldPosition="0"/>
    </format>
    <format dxfId="207">
      <pivotArea dataOnly="0" labelOnly="1" outline="0" fieldPosition="0">
        <references count="2">
          <reference field="10" count="0" selected="0"/>
          <reference field="15" count="0"/>
        </references>
      </pivotArea>
    </format>
    <format dxfId="206">
      <pivotArea dataOnly="0" labelOnly="1" outline="0" fieldPosition="0">
        <references count="3">
          <reference field="10" count="0" selected="0"/>
          <reference field="15" count="0" selected="0"/>
          <reference field="20" count="2">
            <x v="10"/>
            <x v="11"/>
          </reference>
        </references>
      </pivotArea>
    </format>
    <format dxfId="205">
      <pivotArea dataOnly="0" labelOnly="1" outline="0" fieldPosition="0">
        <references count="4">
          <reference field="10" count="0" selected="0"/>
          <reference field="15" count="0" selected="0"/>
          <reference field="18" count="3">
            <x v="1"/>
            <x v="3"/>
            <x v="4"/>
          </reference>
          <reference field="20" count="1" selected="0">
            <x v="10"/>
          </reference>
        </references>
      </pivotArea>
    </format>
    <format dxfId="204">
      <pivotArea dataOnly="0" labelOnly="1" outline="0" fieldPosition="0">
        <references count="4">
          <reference field="10" count="0" selected="0"/>
          <reference field="15" count="0" selected="0"/>
          <reference field="18" count="2">
            <x v="1"/>
            <x v="3"/>
          </reference>
          <reference field="20" count="1" selected="0">
            <x v="11"/>
          </reference>
        </references>
      </pivotArea>
    </format>
    <format dxfId="203">
      <pivotArea dataOnly="0" labelOnly="1" outline="0" fieldPosition="0">
        <references count="5">
          <reference field="10" count="0" selected="0"/>
          <reference field="12" count="0"/>
          <reference field="15" count="0" selected="0"/>
          <reference field="18" count="1" selected="0">
            <x v="4"/>
          </reference>
          <reference field="20" count="1" selected="0">
            <x v="10"/>
          </reference>
        </references>
      </pivotArea>
    </format>
  </formats>
  <pivotTableStyleInfo name="CFE_Estilo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RESUMEN AÑO DE SERVICIO" cacheId="32" applyNumberFormats="0" applyBorderFormats="0" applyFontFormats="0" applyPatternFormats="0" applyAlignmentFormats="0" applyWidthHeightFormats="1" dataCaption="Valores" errorCaption="0" showError="1" missingCaption="0" updatedVersion="5" minRefreshableVersion="3" itemPrintTitles="1" createdVersion="6" indent="0" showHeaders="0" outline="1" outlineData="1" multipleFieldFilters="0">
  <location ref="B28:F34" firstHeaderRow="1" firstDataRow="4" firstDataCol="1" rowPageCount="3" colPageCount="1"/>
  <pivotFields count="44">
    <pivotField axis="axisPage" showAll="0" defaultSubtotal="0">
      <items count="5">
        <item x="0"/>
        <item m="1" x="2"/>
        <item m="1" x="1"/>
        <item m="1" x="4"/>
        <item m="1" x="3"/>
      </items>
    </pivotField>
    <pivotField showAll="0" defaultSubtotal="0"/>
    <pivotField showAll="0" defaultSubtotal="0"/>
    <pivotField showAll="0" defaultSubtotal="0"/>
    <pivotField showAll="0" defaultSubtotal="0"/>
    <pivotField axis="axisPage" showAll="0" defaultSubtotal="0">
      <items count="5">
        <item x="0"/>
        <item x="1"/>
        <item m="1" x="2"/>
        <item m="1" x="4"/>
        <item m="1" x="3"/>
      </items>
    </pivotField>
    <pivotField axis="axisPage" showAll="0" defaultSubtotal="0">
      <items count="2">
        <item m="1" x="1"/>
        <item x="0"/>
      </items>
    </pivotField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axis="axisCol" showAll="0" defaultSubtotal="0">
      <items count="6">
        <item h="1" sd="0" x="0"/>
        <item h="1" sd="0" x="1"/>
        <item h="1" sd="0" x="2"/>
        <item h="1" x="3"/>
        <item h="1" x="4"/>
        <item x="5"/>
      </items>
    </pivotField>
    <pivotField showAll="0" defaultSubtotal="0"/>
    <pivotField showAll="0" defaultSubtotal="0"/>
    <pivotField axis="axisCol" showAll="0" defaultSubtotal="0">
      <items count="13">
        <item sd="0" m="1" x="12"/>
        <item sd="0" x="8"/>
        <item sd="0" x="9"/>
        <item sd="0" x="0"/>
        <item sd="0" x="6"/>
        <item sd="0" x="1"/>
        <item sd="0" x="11"/>
        <item sd="0" x="10"/>
        <item sd="0" x="7"/>
        <item sd="0" x="4"/>
        <item sd="0" x="3"/>
        <item sd="0" x="2"/>
        <item sd="0" x="5"/>
      </items>
    </pivotField>
    <pivotField axis="axisCol" showAll="0" defaultSubtotal="0">
      <items count="106">
        <item x="62"/>
        <item m="1" x="90"/>
        <item m="1" x="96"/>
        <item m="1" x="102"/>
        <item m="1" x="92"/>
        <item m="1" x="97"/>
        <item x="0"/>
        <item x="1"/>
        <item x="4"/>
        <item x="3"/>
        <item x="61"/>
        <item x="65"/>
        <item x="56"/>
        <item x="59"/>
        <item x="63"/>
        <item x="57"/>
        <item x="52"/>
        <item x="55"/>
        <item x="53"/>
        <item x="43"/>
        <item x="44"/>
        <item x="46"/>
        <item x="72"/>
        <item x="75"/>
        <item m="1" x="91"/>
        <item m="1" x="98"/>
        <item m="1" x="101"/>
        <item x="68"/>
        <item x="71"/>
        <item x="69"/>
        <item x="70"/>
        <item x="66"/>
        <item x="67"/>
        <item x="47"/>
        <item x="49"/>
        <item x="48"/>
        <item m="1" x="94"/>
        <item x="22"/>
        <item x="19"/>
        <item x="28"/>
        <item x="27"/>
        <item x="26"/>
        <item x="29"/>
        <item x="7"/>
        <item x="16"/>
        <item m="1" x="99"/>
        <item m="1" x="105"/>
        <item x="15"/>
        <item x="14"/>
        <item x="20"/>
        <item x="24"/>
        <item x="18"/>
        <item x="25"/>
        <item x="23"/>
        <item x="2"/>
        <item x="5"/>
        <item x="8"/>
        <item x="9"/>
        <item x="12"/>
        <item x="6"/>
        <item x="13"/>
        <item x="33"/>
        <item x="34"/>
        <item x="37"/>
        <item x="30"/>
        <item x="38"/>
        <item x="36"/>
        <item x="35"/>
        <item x="31"/>
        <item x="41"/>
        <item x="11"/>
        <item x="40"/>
        <item x="10"/>
        <item x="39"/>
        <item x="32"/>
        <item x="50"/>
        <item x="51"/>
        <item x="60"/>
        <item x="42"/>
        <item x="17"/>
        <item x="21"/>
        <item x="73"/>
        <item m="1" x="100"/>
        <item m="1" x="93"/>
        <item m="1" x="103"/>
        <item m="1" x="95"/>
        <item m="1" x="89"/>
        <item m="1" x="104"/>
        <item m="1" x="88"/>
        <item x="76"/>
        <item x="77"/>
        <item x="78"/>
        <item x="79"/>
        <item x="80"/>
        <item x="81"/>
        <item x="82"/>
        <item x="83"/>
        <item x="45"/>
        <item x="54"/>
        <item x="58"/>
        <item x="64"/>
        <item x="74"/>
        <item x="84"/>
        <item x="85"/>
        <item x="87"/>
        <item x="86"/>
      </items>
    </pivotField>
    <pivotField axis="axisRow" showAll="0" defaultSubtotal="0">
      <items count="5">
        <item m="1" x="4"/>
        <item x="1"/>
        <item x="0"/>
        <item x="2"/>
        <item m="1" x="3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203" showAll="0" defaultSubtotal="0"/>
    <pivotField numFmtId="203" showAll="0" defaultSubtotal="0"/>
    <pivotField numFmtId="203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203" showAll="0" defaultSubtotal="0"/>
    <pivotField numFmtId="203" showAll="0" defaultSubtotal="0"/>
    <pivotField showAll="0" defaultSubtotal="0"/>
    <pivotField dataField="1" numFmtId="203" showAll="0" defaultSubtotal="0"/>
    <pivotField numFmtId="203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5"/>
  </rowFields>
  <rowItems count="3">
    <i>
      <x v="1"/>
    </i>
    <i>
      <x v="3"/>
    </i>
    <i t="grand">
      <x/>
    </i>
  </rowItems>
  <colFields count="3">
    <field x="10"/>
    <field x="13"/>
    <field x="14"/>
  </colFields>
  <colItems count="4">
    <i>
      <x v="5"/>
      <x v="1"/>
    </i>
    <i r="1">
      <x v="2"/>
    </i>
    <i r="1">
      <x v="3"/>
    </i>
    <i t="grand">
      <x/>
    </i>
  </colItems>
  <pageFields count="3">
    <pageField fld="0" hier="-1"/>
    <pageField fld="6" hier="-1"/>
    <pageField fld="5" hier="-1"/>
  </pageFields>
  <dataFields count="1">
    <dataField name="(MX)" fld="35" baseField="0" baseItem="1" numFmtId="44"/>
  </dataFields>
  <formats count="2">
    <format dxfId="228">
      <pivotArea outline="0" collapsedLevelsAreSubtotals="1" fieldPosition="0"/>
    </format>
    <format dxfId="227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CFE_Estilo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TablaDinámica1" cacheId="17" applyNumberFormats="0" applyBorderFormats="0" applyFontFormats="0" applyPatternFormats="0" applyAlignmentFormats="0" applyWidthHeightFormats="1" dataCaption="Valores" updatedVersion="5" minRefreshableVersion="3" showDrill="0" useAutoFormatting="1" itemPrintTitles="1" createdVersion="6" indent="0" showHeaders="0" outline="1" outlineData="1" multipleFieldFilters="0">
  <location ref="B3:E75" firstHeaderRow="0" firstDataRow="1" firstDataCol="1"/>
  <pivotFields count="12"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13">
        <item x="6"/>
        <item x="7"/>
        <item x="8"/>
        <item x="9"/>
        <item x="10"/>
        <item x="11"/>
        <item x="0"/>
        <item x="1"/>
        <item x="2"/>
        <item x="3"/>
        <item x="4"/>
        <item x="5"/>
        <item t="default"/>
      </items>
    </pivotField>
    <pivotField numFmtId="17" showAll="0"/>
    <pivotField numFmtId="198" showAll="0"/>
    <pivotField showAll="0"/>
    <pivotField dataField="1" showAll="0"/>
    <pivotField showAll="0"/>
    <pivotField dataField="1" numFmtId="3" showAll="0"/>
    <pivotField showAll="0"/>
    <pivotField showAll="0"/>
    <pivotField dataField="1" showAll="0"/>
    <pivotField showAll="0"/>
  </pivotFields>
  <rowFields count="2">
    <field x="0"/>
    <field x="1"/>
  </rowFields>
  <rowItems count="72">
    <i>
      <x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INYECCIONES" fld="5" baseField="0" baseItem="0" numFmtId="3"/>
    <dataField name="EXTRACCIONES" fld="7" baseField="0" baseItem="0" numFmtId="3"/>
    <dataField name="DESBALANCE MENSUAL" fld="10" baseField="0" baseItem="0" numFmtId="3"/>
  </dataFields>
  <formats count="7">
    <format dxfId="189">
      <pivotArea field="0" type="button" dataOnly="0" labelOnly="1" outline="0" axis="axisRow" fieldPosition="0"/>
    </format>
    <format dxfId="18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87">
      <pivotArea outline="0" fieldPosition="0">
        <references count="1">
          <reference field="4294967294" count="1">
            <x v="2"/>
          </reference>
        </references>
      </pivotArea>
    </format>
    <format dxfId="186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85">
      <pivotArea field="0" type="button" dataOnly="0" labelOnly="1" outline="0" axis="axisRow" fieldPosition="0"/>
    </format>
    <format dxfId="18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8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Año_del_Pago" sourceName="Año del Pago">
  <pivotTables>
    <pivotTable tabId="158" name="RESUMEN AÑO DE SERVICIO"/>
    <pivotTable tabId="158" name="SEGUIMIENTO CONTABLE"/>
    <pivotTable tabId="158" name="TablaDinámica4"/>
  </pivotTables>
  <data>
    <tabular pivotCacheId="2099388075">
      <items count="7">
        <i x="5" s="1"/>
        <i x="0" s="1" nd="1"/>
        <i x="1" s="1" nd="1"/>
        <i x="2" s="1" nd="1"/>
        <i x="3" s="1" nd="1"/>
        <i x="4" s="1" nd="1"/>
        <i x="6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Año_del_Servicio" sourceName="Año del Servicio">
  <pivotTables>
    <pivotTable tabId="158" name="RESUMEN AÑO DE SERVICIO"/>
    <pivotTable tabId="158" name="SEGUIMIENTO CONTABLE"/>
    <pivotTable tabId="158" name="TablaDinámica4"/>
  </pivotTables>
  <data>
    <tabular pivotCacheId="2099388075" sortOrder="descending">
      <items count="6">
        <i x="5" s="1"/>
        <i x="4"/>
        <i x="3"/>
        <i x="2"/>
        <i x="1"/>
        <i x="0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Año del Pago" cache="SegmentaciónDeDatos_Año_del_Pago" caption="Año del Pago" columnCount="10" style="Estilo de segmentación de datos 1" rowHeight="241300"/>
  <slicer name="Año del Servicio" cache="SegmentaciónDeDatos_Año_del_Servicio" caption="Año del Servicio" columnCount="10" style="Estilo de segmentación de datos 1" rowHeight="241300"/>
</slicers>
</file>

<file path=xl/tables/table1.xml><?xml version="1.0" encoding="utf-8"?>
<table xmlns="http://schemas.openxmlformats.org/spreadsheetml/2006/main" id="2" name="Cmes" displayName="Cmes" ref="L2:M14" totalsRowShown="0">
  <autoFilter ref="L2:M14"/>
  <tableColumns count="2">
    <tableColumn id="1" name="NUMERO"/>
    <tableColumn id="2" name="MES"/>
  </tableColumns>
  <tableStyleInfo name="CFE" showFirstColumn="0" showLastColumn="0" showRowStripes="1" showColumnStripes="0"/>
</table>
</file>

<file path=xl/tables/table2.xml><?xml version="1.0" encoding="utf-8"?>
<table xmlns="http://schemas.openxmlformats.org/spreadsheetml/2006/main" id="3" name="Catalogo_Centro_Gestor" displayName="Catalogo_Centro_Gestor" ref="B2:C42" totalsRowShown="0">
  <autoFilter ref="B2:C42"/>
  <tableColumns count="2">
    <tableColumn id="1" name="Centro Gestor"/>
    <tableColumn id="2" name="Nombre Centro Gestor"/>
  </tableColumns>
  <tableStyleInfo name="CFE" showFirstColumn="0" showLastColumn="0" showRowStripes="1" showColumnStripes="0"/>
</table>
</file>

<file path=xl/tables/table3.xml><?xml version="1.0" encoding="utf-8"?>
<table xmlns="http://schemas.openxmlformats.org/spreadsheetml/2006/main" id="4" name="Catalogos_Conceptos_Facturas" displayName="Catalogos_Conceptos_Facturas" ref="H2:J28" totalsRowShown="0" headerRowDxfId="294" dataDxfId="293">
  <autoFilter ref="H2:J28"/>
  <tableColumns count="3">
    <tableColumn id="1" name="Clave" dataDxfId="292"/>
    <tableColumn id="2" name="Servicio" dataDxfId="291"/>
    <tableColumn id="3" name="Descripción" dataDxfId="290"/>
  </tableColumns>
  <tableStyleInfo name="CFE" showFirstColumn="0" showLastColumn="0" showRowStripes="1" showColumnStripes="0"/>
</table>
</file>

<file path=xl/tables/table4.xml><?xml version="1.0" encoding="utf-8"?>
<table xmlns="http://schemas.openxmlformats.org/spreadsheetml/2006/main" id="5" name="Catalogo_Gasoductos" displayName="Catalogo_Gasoductos" ref="O2:P33" totalsRowShown="0" tableBorderDxfId="289">
  <autoFilter ref="O2:P33"/>
  <tableColumns count="2">
    <tableColumn id="1" name="id_Gasoducto" dataDxfId="288"/>
    <tableColumn id="2" name="Nombre"/>
  </tableColumns>
  <tableStyleInfo name="CFE" showFirstColumn="0" showLastColumn="0" showRowStripes="1" showColumnStripes="0"/>
</table>
</file>

<file path=xl/tables/table5.xml><?xml version="1.0" encoding="utf-8"?>
<table xmlns="http://schemas.openxmlformats.org/spreadsheetml/2006/main" id="6" name="Tabla3" displayName="Tabla3" ref="AD2:AE4" totalsRowShown="0" headerRowDxfId="287" dataDxfId="286">
  <autoFilter ref="AD2:AE4"/>
  <tableColumns count="2">
    <tableColumn id="1" name="id_Moneda" dataDxfId="285"/>
    <tableColumn id="2" name="Moneda" dataDxfId="284"/>
  </tableColumns>
  <tableStyleInfo name="CFE" showFirstColumn="0" showLastColumn="0" showRowStripes="1" showColumnStripes="0"/>
</table>
</file>

<file path=xl/tables/table6.xml><?xml version="1.0" encoding="utf-8"?>
<table xmlns="http://schemas.openxmlformats.org/spreadsheetml/2006/main" id="7" name="Catalogo_Plurianuales" displayName="Catalogo_Plurianuales" ref="R2:AB4" totalsRowShown="0" headerRowDxfId="283" tableBorderDxfId="282">
  <tableColumns count="11">
    <tableColumn id="1" name="ACUERDO"/>
    <tableColumn id="2" name="CONCEPTO"/>
    <tableColumn id="3" name="PROYECTO"/>
    <tableColumn id="4" name="PERIODO"/>
    <tableColumn id="5" name="No. DE CONTRATO O SOLPED"/>
    <tableColumn id="6" name="IMPORTE TOTAL PLURIANUAL"/>
    <tableColumn id="7" name="IMPORTE ESTIMADO PEDIDO_x000a_(MX)"/>
    <tableColumn id="8" name="IMPORTE PEDIDO_x000a_(USD)"/>
    <tableColumn id="9" name="REGIONAL"/>
    <tableColumn id="10" name="Moneda"/>
    <tableColumn id="11" name="COMENTARIOS_x000a_Ejercido en MX"/>
  </tableColumns>
  <tableStyleInfo name="CFE" showFirstColumn="0" showLastColumn="0" showRowStripes="1" showColumnStripes="0"/>
</table>
</file>

<file path=xl/tables/table7.xml><?xml version="1.0" encoding="utf-8"?>
<table xmlns="http://schemas.openxmlformats.org/spreadsheetml/2006/main" id="8" name="Tabla9" displayName="Tabla9" ref="AH2:AT3" totalsRowShown="0">
  <autoFilter ref="AH2:AT3"/>
  <tableColumns count="13">
    <tableColumn id="1" name="Transportista"/>
    <tableColumn id="10" name="Contrato"/>
    <tableColumn id="9" name="Gasoducto"/>
    <tableColumn id="14" name="Volumen Reservado"/>
    <tableColumn id="15" name="Unidad_VR"/>
    <tableColumn id="6" name="Año"/>
    <tableColumn id="8" name="Mes_contrato"/>
    <tableColumn id="7" name="Mes"/>
    <tableColumn id="2" name="Unidad"/>
    <tableColumn id="3" name="Tarifa_CF"/>
    <tableColumn id="12" name="Moneda_CF"/>
    <tableColumn id="4" name="Tarifa_CV"/>
    <tableColumn id="13" name="Moneda_CV"/>
  </tableColumns>
  <tableStyleInfo name="CFE" showFirstColumn="0" showLastColumn="0" showRowStripes="1" showColumnStripes="0"/>
</table>
</file>

<file path=xl/tables/table8.xml><?xml version="1.0" encoding="utf-8"?>
<table xmlns="http://schemas.openxmlformats.org/spreadsheetml/2006/main" id="9" name="Tabla10" displayName="Tabla10" ref="AV2:AX21" totalsRowShown="0">
  <autoFilter ref="AV2:AX21"/>
  <tableColumns count="3">
    <tableColumn id="1" name="Variable"/>
    <tableColumn id="2" name="Definicion"/>
    <tableColumn id="3" name="Tabla"/>
  </tableColumns>
  <tableStyleInfo name="CFE" showFirstColumn="0" showLastColumn="0" showRowStripes="1" showColumnStripes="0"/>
</table>
</file>

<file path=xl/tables/table9.xml><?xml version="1.0" encoding="utf-8"?>
<table xmlns="http://schemas.openxmlformats.org/spreadsheetml/2006/main" id="10" name="Catalogo_Proveedores" displayName="Catalogo_Proveedores" ref="E2:F31" totalsRowShown="0" dataDxfId="281">
  <autoFilter ref="E2:F31"/>
  <tableColumns count="2">
    <tableColumn id="1" name="NUMERO" dataDxfId="280"/>
    <tableColumn id="2" name="NOMBRE" dataDxfId="279"/>
  </tableColumns>
  <tableStyleInfo name="CFE" showFirstColumn="0" showLastColumn="0" showRowStripes="1" showColumnStripes="0"/>
</table>
</file>

<file path=xl/tables/table10.xml><?xml version="1.0" encoding="utf-8"?>
<table xmlns="http://schemas.openxmlformats.org/spreadsheetml/2006/main" id="11" name="Diario_Documentos_TPL" displayName="Diario_Documentos_TPL" ref="A1:AR179" totalsRowShown="0" headerRowDxfId="278" dataDxfId="277">
  <autoFilter ref="A1:AR179">
    <filterColumn colId="10">
      <filters>
        <filter val="2019"/>
      </filters>
    </filterColumn>
    <filterColumn colId="13">
      <filters>
        <filter val="MARZO"/>
      </filters>
    </filterColumn>
  </autoFilter>
  <sortState ref="A39:AR169">
    <sortCondition ref="K2:K169"/>
  </sortState>
  <tableColumns count="44">
    <tableColumn id="1" name="Nombre_x000a_Proveedor" dataDxfId="276"/>
    <tableColumn id="2" name="Nuemero  Acreedor_x000a_SAP" dataDxfId="275"/>
    <tableColumn id="3" name="Numero de Contrato_x000a_SAP" dataDxfId="274"/>
    <tableColumn id="5" name="Plurianual" dataDxfId="273"/>
    <tableColumn id="31" name="Lugar de Servicio" dataDxfId="272"/>
    <tableColumn id="7" name="Contrato" dataDxfId="271"/>
    <tableColumn id="11" name="Servicio" dataDxfId="270"/>
    <tableColumn id="6" name="Nombre del Centro Gestor" dataDxfId="269"/>
    <tableColumn id="10" name="Sociedad" dataDxfId="268"/>
    <tableColumn id="42" name="Año del Pago" dataDxfId="267">
      <calculatedColumnFormula>IF(YEAR(Diario_Documentos_TPL[[#This Row],[Fecha de Pago]])=1900, "SIN PAGO",YEAR(Diario_Documentos_TPL[[#This Row],[Fecha de Pago]]))</calculatedColumnFormula>
    </tableColumn>
    <tableColumn id="9" name="Año del Servicio" dataDxfId="266"/>
    <tableColumn id="40" name="Periodo de Pago" dataDxfId="265"/>
    <tableColumn id="4" name="Periodo del Servicio" dataDxfId="264"/>
    <tableColumn id="8" name="Mes" dataDxfId="263"/>
    <tableColumn id="15" name="Numero de Factura" dataDxfId="262"/>
    <tableColumn id="30" name="Clave" dataDxfId="261"/>
    <tableColumn id="29" name="Moneda" dataDxfId="260"/>
    <tableColumn id="33" name="Pos Pre" dataDxfId="259"/>
    <tableColumn id="35" name="Cuenta Contable" dataDxfId="258"/>
    <tableColumn id="32" name="Fondo" dataDxfId="257"/>
    <tableColumn id="36" name="Centro Gestor" dataDxfId="256"/>
    <tableColumn id="34" name="Numero Documento" dataDxfId="255"/>
    <tableColumn id="13" name="Fecha_x000a_Pasivo" dataDxfId="254"/>
    <tableColumn id="12" name="Importe Pasivo_x000a_(USD)" dataDxfId="253" dataCellStyle="Normal 3 2"/>
    <tableColumn id="16" name="IVA Pasivo_x000a_(USD)" dataDxfId="252" dataCellStyle="Normal 3 2"/>
    <tableColumn id="19" name="Total Pasivo_x000a_(USD)" dataDxfId="251" dataCellStyle="Normal 3 2"/>
    <tableColumn id="14" name="Importe Pasivo_x000a_(MX)" dataDxfId="250" dataCellStyle="Normal 3 2"/>
    <tableColumn id="17" name="IVA Pasivo_x000a_(MX)" dataDxfId="249" dataCellStyle="Normal 3 2"/>
    <tableColumn id="20" name="Total Pasivo_x000a_(MX)" dataDxfId="248" dataCellStyle="Normal 3 2"/>
    <tableColumn id="21" name="T.C. Pasivo" dataDxfId="247" dataCellStyle="Normal 3 2"/>
    <tableColumn id="22" name="Numero _x000a_Documento" dataDxfId="246"/>
    <tableColumn id="23" name="Fecha de Pago" dataDxfId="245"/>
    <tableColumn id="24" name="Importe de Pago_x000a_(USD)" dataDxfId="244" dataCellStyle="Normal 3 2"/>
    <tableColumn id="18" name="IVA de Pago_x000a_(USD)" dataDxfId="243" dataCellStyle="Normal 3 2"/>
    <tableColumn id="25" name="Total de Pago_x000a_(USD)" dataDxfId="242" dataCellStyle="Normal 3 2"/>
    <tableColumn id="38" name="Importe de Pago_x000a_(MX)" dataDxfId="241" dataCellStyle="Normal 3 2"/>
    <tableColumn id="37" name="IVA de Pago_x000a_(MX)" dataDxfId="240" dataCellStyle="Normal 3 2"/>
    <tableColumn id="26" name="Total de Pago_x000a_(MX)" dataDxfId="239" dataCellStyle="Normal 3 2"/>
    <tableColumn id="27" name="T.C Pago" dataDxfId="238" dataCellStyle="Normal 3 2"/>
    <tableColumn id="44" name="Pos Pre_Paridad" dataDxfId="237" dataCellStyle="Normal 3 2"/>
    <tableColumn id="43" name="Cuenta_Paridad" dataDxfId="236" dataCellStyle="Normal 3 2"/>
    <tableColumn id="39" name="Subtotal_Paridad" dataDxfId="235" dataCellStyle="Moneda">
      <calculatedColumnFormula>Diario_Documentos_TPL[[#This Row],[Importe de Pago
(MX)]]-Diario_Documentos_TPL[[#This Row],[Importe Pasivo
(MX)]]</calculatedColumnFormula>
    </tableColumn>
    <tableColumn id="41" name="IVA_Paridad" dataDxfId="234" dataCellStyle="Moneda">
      <calculatedColumnFormula>Diario_Documentos_TPL[[#This Row],[Total_Paridad]]-Diario_Documentos_TPL[[#This Row],[Subtotal_Paridad]]</calculatedColumnFormula>
    </tableColumn>
    <tableColumn id="28" name="Total_Paridad" dataDxfId="233">
      <calculatedColumnFormula>Diario_Documentos_TPL[[#This Row],[Total de Pago
(MX)]]-Diario_Documentos_TPL[[#This Row],[Total Pasivo
(MX)]]</calculatedColumnFormula>
    </tableColumn>
  </tableColumns>
  <tableStyleInfo name="CFE" showFirstColumn="0" showLastColumn="0" showRowStripes="0" showColumnStripes="0"/>
</table>
</file>

<file path=xl/tables/table11.xml><?xml version="1.0" encoding="utf-8"?>
<table xmlns="http://schemas.openxmlformats.org/spreadsheetml/2006/main" id="12" name="Tabla12" displayName="Tabla12" ref="A1:AR8" totalsRowShown="0">
  <autoFilter ref="A1:AR8"/>
  <tableColumns count="44">
    <tableColumn id="1" name="Nombre_x000a_Proveedor"/>
    <tableColumn id="2" name="Nuemero  Acreedor_x000a_SAP"/>
    <tableColumn id="3" name="Numero de Contrato_x000a_SAP"/>
    <tableColumn id="4" name="Plurianual"/>
    <tableColumn id="5" name="Lugar de Servicio"/>
    <tableColumn id="6" name="Contrato"/>
    <tableColumn id="7" name="Servicio"/>
    <tableColumn id="8" name="Nombre del Centro Gestor"/>
    <tableColumn id="9" name="Sociedad"/>
    <tableColumn id="10" name="Año del Pago"/>
    <tableColumn id="11" name="Año del Servicio"/>
    <tableColumn id="12" name="Periodo de Pago"/>
    <tableColumn id="13" name="Periodo del Servicio"/>
    <tableColumn id="14" name="Mes"/>
    <tableColumn id="15" name="Numero de Factura"/>
    <tableColumn id="16" name="Clave"/>
    <tableColumn id="17" name="Moneda"/>
    <tableColumn id="18" name="Pos Pre"/>
    <tableColumn id="19" name="Cuenta Contable"/>
    <tableColumn id="20" name="Fondo"/>
    <tableColumn id="21" name="Centro Gestor"/>
    <tableColumn id="22" name="Numero Documento"/>
    <tableColumn id="23" name="Fecha_x000a_Pasivo" dataDxfId="232"/>
    <tableColumn id="24" name="Importe Pasivo_x000a_(USD)"/>
    <tableColumn id="25" name="IVA Pasivo_x000a_(USD)"/>
    <tableColumn id="26" name="Total Pasivo_x000a_(USD)"/>
    <tableColumn id="27" name="Importe Pasivo_x000a_(MX)"/>
    <tableColumn id="28" name="IVA Pasivo_x000a_(MX)"/>
    <tableColumn id="29" name="Total Pasivo_x000a_(MX)"/>
    <tableColumn id="30" name="T.C. Pasivo"/>
    <tableColumn id="31" name="Numero _x000a_Documento"/>
    <tableColumn id="32" name="Fecha de Pago" dataDxfId="231"/>
    <tableColumn id="33" name="Importe de Pago_x000a_(USD)"/>
    <tableColumn id="34" name="IVA de Pago_x000a_(USD)"/>
    <tableColumn id="35" name="Total de Pago_x000a_(USD)"/>
    <tableColumn id="36" name="Importe de Pago_x000a_(MX)"/>
    <tableColumn id="37" name="IVA de Pago_x000a_(MX)"/>
    <tableColumn id="38" name="Total de Pago_x000a_(MX)"/>
    <tableColumn id="39" name="T.C Pago"/>
    <tableColumn id="40" name="Pos Pre_Paridad"/>
    <tableColumn id="41" name="Cuenta_Paridad"/>
    <tableColumn id="42" name="Subtotal_Paridad"/>
    <tableColumn id="43" name="IVA_Paridad"/>
    <tableColumn id="44" name="Total_Paridad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3" name="Tabla13" displayName="Tabla13" ref="A1:AR2" totalsRowShown="0">
  <autoFilter ref="A1:AR2"/>
  <tableColumns count="44">
    <tableColumn id="1" name="Nombre_x000a_Proveedor"/>
    <tableColumn id="2" name="Nuemero  Acreedor_x000a_SAP"/>
    <tableColumn id="3" name="Numero de Contrato_x000a_SAP"/>
    <tableColumn id="4" name="Plurianual"/>
    <tableColumn id="5" name="Lugar de Servicio"/>
    <tableColumn id="6" name="Contrato"/>
    <tableColumn id="7" name="Servicio"/>
    <tableColumn id="8" name="Nombre del Centro Gestor"/>
    <tableColumn id="9" name="Sociedad"/>
    <tableColumn id="10" name="Año del Pago"/>
    <tableColumn id="11" name="Año del Servicio"/>
    <tableColumn id="12" name="Periodo de Pago"/>
    <tableColumn id="13" name="Periodo del Servicio"/>
    <tableColumn id="14" name="Mes"/>
    <tableColumn id="15" name="Numero de Factura"/>
    <tableColumn id="16" name="Clave"/>
    <tableColumn id="17" name="Moneda"/>
    <tableColumn id="18" name="Pos Pre"/>
    <tableColumn id="19" name="Cuenta Contable"/>
    <tableColumn id="20" name="Fondo"/>
    <tableColumn id="21" name="Centro Gestor"/>
    <tableColumn id="22" name="Numero Documento"/>
    <tableColumn id="23" name="Fecha_x000a_Pasivo" dataDxfId="230"/>
    <tableColumn id="24" name="Importe Pasivo_x000a_(USD)"/>
    <tableColumn id="25" name="IVA Pasivo_x000a_(USD)"/>
    <tableColumn id="26" name="Total Pasivo_x000a_(USD)"/>
    <tableColumn id="27" name="Importe Pasivo_x000a_(MX)"/>
    <tableColumn id="28" name="IVA Pasivo_x000a_(MX)"/>
    <tableColumn id="29" name="Total Pasivo_x000a_(MX)"/>
    <tableColumn id="30" name="T.C. Pasivo"/>
    <tableColumn id="31" name="Numero _x000a_Documento"/>
    <tableColumn id="32" name="Fecha de Pago" dataDxfId="229"/>
    <tableColumn id="33" name="Importe de Pago_x000a_(USD)"/>
    <tableColumn id="34" name="IVA de Pago_x000a_(USD)"/>
    <tableColumn id="35" name="Total de Pago_x000a_(USD)"/>
    <tableColumn id="36" name="Importe de Pago_x000a_(MX)"/>
    <tableColumn id="37" name="IVA de Pago_x000a_(MX)"/>
    <tableColumn id="38" name="Total de Pago_x000a_(MX)"/>
    <tableColumn id="39" name="T.C Pago"/>
    <tableColumn id="40" name="Pos Pre_Paridad"/>
    <tableColumn id="41" name="Cuenta_Paridad"/>
    <tableColumn id="42" name="Subtotal_Paridad"/>
    <tableColumn id="43" name="IVA_Paridad"/>
    <tableColumn id="44" name="Total_Paridad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4" name="Tabla115" displayName="Tabla115" ref="A1:D9" totalsRowCount="1" headerRowDxfId="200" headerRowBorderDxfId="199" totalsRowBorderDxfId="198" headerRowCellStyle="Moneda">
  <tableColumns count="4">
    <tableColumn id="1" name="CENTRAL" totalsRowLabel="TOTAL" dataDxfId="197" totalsRowDxfId="196"/>
    <tableColumn id="2" name="VOLUMEN" totalsRowFunction="custom" dataDxfId="195" totalsRowDxfId="194">
      <totalsRowFormula>SUM(B2:B3)</totalsRowFormula>
    </tableColumn>
    <tableColumn id="3" name="MMPCD" totalsRowFunction="custom" dataDxfId="193" totalsRowDxfId="192">
      <calculatedColumnFormula>Tabla115[[#This Row],[VOLUMEN]]/FACTOR/DIAS</calculatedColumnFormula>
      <totalsRowFormula>SUM(C2:C3)</totalsRowFormula>
    </tableColumn>
    <tableColumn id="4" name="%" totalsRowFunction="custom" dataDxfId="191" totalsRowDxfId="190" dataCellStyle="Porcentaje">
      <calculatedColumnFormula>Tabla115[[#This Row],[MMPCD]]/850</calculatedColumnFormula>
      <totalsRowFormula>SUM(D2:D3)</totalsRowFormula>
    </tableColumn>
  </tableColumns>
  <tableStyleInfo showFirstColumn="0" showLastColumn="0" showRowStripes="1" showColumnStripes="0"/>
</table>
</file>

<file path=xl/tables/table14.xml><?xml version="1.0" encoding="utf-8"?>
<table xmlns="http://schemas.openxmlformats.org/spreadsheetml/2006/main" id="1" name="Tabla1" displayName="Tabla1" ref="B10:M1973" totalsRowShown="0" headerRowDxfId="182" dataDxfId="181">
  <autoFilter ref="B10:M1973"/>
  <tableColumns count="12">
    <tableColumn id="1" name="Año" dataDxfId="180">
      <calculatedColumnFormula>YEAR(E11)</calculatedColumnFormula>
    </tableColumn>
    <tableColumn id="2" name="Mes" dataDxfId="179">
      <calculatedColumnFormula>MONTH(E11)</calculatedColumnFormula>
    </tableColumn>
    <tableColumn id="3" name="Periodo" dataDxfId="178">
      <calculatedColumnFormula>E11</calculatedColumnFormula>
    </tableColumn>
    <tableColumn id="4" name="Fecha" dataDxfId="177"/>
    <tableColumn id="5" name="Diferencial" dataDxfId="176"/>
    <tableColumn id="6" name="Compras" dataDxfId="175"/>
    <tableColumn id="7" name="Inyeccion_x000a_Cactus Hill" dataDxfId="174"/>
    <tableColumn id="11" name="EXTRACIONES TOTALES" dataDxfId="173">
      <calculatedColumnFormula>Tabla1[[#This Row],[Extraccion
Norte II]]+Tabla1[[#This Row],[Extraccion
ENO]]</calculatedColumnFormula>
    </tableColumn>
    <tableColumn id="8" name="Extraccion_x000a_Norte II" dataDxfId="172"/>
    <tableColumn id="12" name="Extraccion_x000a_ENO" dataDxfId="171"/>
    <tableColumn id="9" name="Desbalance_x000a_TPL" dataDxfId="170">
      <calculatedColumnFormula>H11-I11</calculatedColumnFormula>
    </tableColumn>
    <tableColumn id="10" name="Acumulado" dataDxfId="169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10" Type="http://schemas.openxmlformats.org/officeDocument/2006/relationships/table" Target="../tables/table9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microsoft.com/office/2007/relationships/slicer" Target="../slicers/slicer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3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0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41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42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43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44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45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46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47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48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49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50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51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52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53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54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55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56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57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58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59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60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61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62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63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64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65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66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67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68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69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5.vml"/><Relationship Id="rId2" Type="http://schemas.openxmlformats.org/officeDocument/2006/relationships/printerSettings" Target="../printerSettings/printerSettings70.bin"/><Relationship Id="rId1" Type="http://schemas.openxmlformats.org/officeDocument/2006/relationships/hyperlink" Target="http://www.bls.gov/schedule/archives/ppi_nr.htm" TargetMode="External"/><Relationship Id="rId4" Type="http://schemas.openxmlformats.org/officeDocument/2006/relationships/comments" Target="../comments39.xml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71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67.vml"/><Relationship Id="rId1" Type="http://schemas.openxmlformats.org/officeDocument/2006/relationships/printerSettings" Target="../printerSettings/printerSettings72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68.vml"/><Relationship Id="rId1" Type="http://schemas.openxmlformats.org/officeDocument/2006/relationships/printerSettings" Target="../printerSettings/printerSettings73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69.vml"/><Relationship Id="rId1" Type="http://schemas.openxmlformats.org/officeDocument/2006/relationships/printerSettings" Target="../printerSettings/printerSettings74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70.vml"/><Relationship Id="rId1" Type="http://schemas.openxmlformats.org/officeDocument/2006/relationships/printerSettings" Target="../printerSettings/printerSettings75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71.vml"/><Relationship Id="rId1" Type="http://schemas.openxmlformats.org/officeDocument/2006/relationships/printerSettings" Target="../printerSettings/printerSettings76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72.vml"/><Relationship Id="rId1" Type="http://schemas.openxmlformats.org/officeDocument/2006/relationships/printerSettings" Target="../printerSettings/printerSettings77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73.vml"/><Relationship Id="rId1" Type="http://schemas.openxmlformats.org/officeDocument/2006/relationships/printerSettings" Target="../printerSettings/printerSettings78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74.vml"/><Relationship Id="rId1" Type="http://schemas.openxmlformats.org/officeDocument/2006/relationships/printerSettings" Target="../printerSettings/printerSettings79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75.vml"/><Relationship Id="rId1" Type="http://schemas.openxmlformats.org/officeDocument/2006/relationships/printerSettings" Target="../printerSettings/printerSettings80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76.vml"/><Relationship Id="rId1" Type="http://schemas.openxmlformats.org/officeDocument/2006/relationships/printerSettings" Target="../printerSettings/printerSettings81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7.vml"/><Relationship Id="rId2" Type="http://schemas.openxmlformats.org/officeDocument/2006/relationships/printerSettings" Target="../printerSettings/printerSettings82.bin"/><Relationship Id="rId1" Type="http://schemas.openxmlformats.org/officeDocument/2006/relationships/hyperlink" Target="http://www.bls.gov/schedule/archives/ppi_nr.htm" TargetMode="External"/><Relationship Id="rId4" Type="http://schemas.openxmlformats.org/officeDocument/2006/relationships/comments" Target="../comments51.xml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78.vml"/><Relationship Id="rId1" Type="http://schemas.openxmlformats.org/officeDocument/2006/relationships/printerSettings" Target="../printerSettings/printerSettings83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79.vml"/><Relationship Id="rId1" Type="http://schemas.openxmlformats.org/officeDocument/2006/relationships/printerSettings" Target="../printerSettings/printerSettings84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0.xml"/><Relationship Id="rId2" Type="http://schemas.openxmlformats.org/officeDocument/2006/relationships/printerSettings" Target="../printerSettings/printerSettings85.bin"/><Relationship Id="rId1" Type="http://schemas.openxmlformats.org/officeDocument/2006/relationships/hyperlink" Target="http://www.bls.gov/schedule/archives/ppi_nr.htm" TargetMode="External"/><Relationship Id="rId5" Type="http://schemas.openxmlformats.org/officeDocument/2006/relationships/comments" Target="../comments54.xml"/><Relationship Id="rId4" Type="http://schemas.openxmlformats.org/officeDocument/2006/relationships/vmlDrawing" Target="../drawings/vmlDrawing80.vml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1.xml"/><Relationship Id="rId2" Type="http://schemas.openxmlformats.org/officeDocument/2006/relationships/printerSettings" Target="../printerSettings/printerSettings86.bin"/><Relationship Id="rId1" Type="http://schemas.openxmlformats.org/officeDocument/2006/relationships/hyperlink" Target="http://www.bls.gov/schedule/archives/ppi_nr.htm" TargetMode="External"/><Relationship Id="rId5" Type="http://schemas.openxmlformats.org/officeDocument/2006/relationships/comments" Target="../comments55.xml"/><Relationship Id="rId4" Type="http://schemas.openxmlformats.org/officeDocument/2006/relationships/vmlDrawing" Target="../drawings/vmlDrawing81.vml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2.xml"/><Relationship Id="rId2" Type="http://schemas.openxmlformats.org/officeDocument/2006/relationships/printerSettings" Target="../printerSettings/printerSettings87.bin"/><Relationship Id="rId1" Type="http://schemas.openxmlformats.org/officeDocument/2006/relationships/hyperlink" Target="http://www.bls.gov/schedule/archives/ppi_nr.htm" TargetMode="External"/><Relationship Id="rId5" Type="http://schemas.openxmlformats.org/officeDocument/2006/relationships/comments" Target="../comments56.xml"/><Relationship Id="rId4" Type="http://schemas.openxmlformats.org/officeDocument/2006/relationships/vmlDrawing" Target="../drawings/vmlDrawing82.vml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3.xml"/><Relationship Id="rId2" Type="http://schemas.openxmlformats.org/officeDocument/2006/relationships/printerSettings" Target="../printerSettings/printerSettings88.bin"/><Relationship Id="rId1" Type="http://schemas.openxmlformats.org/officeDocument/2006/relationships/hyperlink" Target="http://www.bls.gov/schedule/archives/ppi_nr.htm" TargetMode="External"/><Relationship Id="rId5" Type="http://schemas.openxmlformats.org/officeDocument/2006/relationships/comments" Target="../comments57.xml"/><Relationship Id="rId4" Type="http://schemas.openxmlformats.org/officeDocument/2006/relationships/vmlDrawing" Target="../drawings/vmlDrawing83.vml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4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89.bin"/><Relationship Id="rId4" Type="http://schemas.openxmlformats.org/officeDocument/2006/relationships/comments" Target="../comments58.xml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5.vml"/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90.bin"/><Relationship Id="rId4" Type="http://schemas.openxmlformats.org/officeDocument/2006/relationships/comments" Target="../comments59.xml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6.vml"/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91.bin"/><Relationship Id="rId4" Type="http://schemas.openxmlformats.org/officeDocument/2006/relationships/comments" Target="../comments60.xml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7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92.bin"/><Relationship Id="rId4" Type="http://schemas.openxmlformats.org/officeDocument/2006/relationships/comments" Target="../comments61.xml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8.vml"/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93.bin"/><Relationship Id="rId4" Type="http://schemas.openxmlformats.org/officeDocument/2006/relationships/comments" Target="../comments62.xml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9.vml"/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94.bin"/><Relationship Id="rId4" Type="http://schemas.openxmlformats.org/officeDocument/2006/relationships/comments" Target="../comments63.xml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0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95.bin"/><Relationship Id="rId4" Type="http://schemas.openxmlformats.org/officeDocument/2006/relationships/comments" Target="../comments64.xml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1.vml"/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96.bin"/><Relationship Id="rId4" Type="http://schemas.openxmlformats.org/officeDocument/2006/relationships/comments" Target="../comments65.xml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2.vml"/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97.bin"/><Relationship Id="rId4" Type="http://schemas.openxmlformats.org/officeDocument/2006/relationships/comments" Target="../comments66.xml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3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98.bin"/><Relationship Id="rId4" Type="http://schemas.openxmlformats.org/officeDocument/2006/relationships/comments" Target="../comments67.xml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4.vml"/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99.bin"/><Relationship Id="rId4" Type="http://schemas.openxmlformats.org/officeDocument/2006/relationships/comments" Target="../comments68.xml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5.vml"/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100.bin"/><Relationship Id="rId4" Type="http://schemas.openxmlformats.org/officeDocument/2006/relationships/comments" Target="../comments69.xml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6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101.bin"/><Relationship Id="rId4" Type="http://schemas.openxmlformats.org/officeDocument/2006/relationships/comments" Target="../comments70.xml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7.vml"/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102.bin"/><Relationship Id="rId4" Type="http://schemas.openxmlformats.org/officeDocument/2006/relationships/comments" Target="../comments71.xml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8.vml"/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103.bin"/><Relationship Id="rId4" Type="http://schemas.openxmlformats.org/officeDocument/2006/relationships/comments" Target="../comments72.xml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9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104.bin"/><Relationship Id="rId4" Type="http://schemas.openxmlformats.org/officeDocument/2006/relationships/comments" Target="../comments73.xml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0.vml"/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105.bin"/><Relationship Id="rId4" Type="http://schemas.openxmlformats.org/officeDocument/2006/relationships/comments" Target="../comments74.xml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1.vml"/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106.bin"/><Relationship Id="rId4" Type="http://schemas.openxmlformats.org/officeDocument/2006/relationships/comments" Target="../comments75.xml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2.v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107.bin"/><Relationship Id="rId4" Type="http://schemas.openxmlformats.org/officeDocument/2006/relationships/comments" Target="../comments76.xml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3.vml"/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108.bin"/><Relationship Id="rId4" Type="http://schemas.openxmlformats.org/officeDocument/2006/relationships/comments" Target="../comments77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AX53"/>
  <sheetViews>
    <sheetView topLeftCell="A14" workbookViewId="0">
      <selection activeCell="C16" sqref="C16"/>
    </sheetView>
  </sheetViews>
  <sheetFormatPr baseColWidth="10" defaultColWidth="11" defaultRowHeight="15" customHeight="1" x14ac:dyDescent="0.25"/>
  <cols>
    <col min="1" max="1" width="6.125" style="1942" customWidth="1"/>
    <col min="2" max="2" width="13.5" style="1942" customWidth="1"/>
    <col min="3" max="3" width="28.875" style="1942" customWidth="1"/>
    <col min="4" max="4" width="5" style="1942" customWidth="1"/>
    <col min="5" max="5" width="31" style="1942" bestFit="1" customWidth="1"/>
    <col min="6" max="6" width="33.875" style="1942" bestFit="1" customWidth="1"/>
    <col min="7" max="7" width="3.625" style="1942" customWidth="1"/>
    <col min="8" max="9" width="11" style="1942"/>
    <col min="10" max="10" width="53.125" style="1942" customWidth="1"/>
    <col min="11" max="11" width="3.625" style="1942" customWidth="1"/>
    <col min="12" max="13" width="11" style="1942"/>
    <col min="14" max="14" width="3" style="1942" customWidth="1"/>
    <col min="15" max="15" width="13.375" style="1942" customWidth="1"/>
    <col min="16" max="16" width="38" style="1942" bestFit="1" customWidth="1"/>
    <col min="17" max="17" width="3.875" style="1942" customWidth="1"/>
    <col min="18" max="18" width="10.875" style="1942" customWidth="1"/>
    <col min="19" max="19" width="12" style="1942" customWidth="1"/>
    <col min="20" max="20" width="11.625" style="1942" customWidth="1"/>
    <col min="21" max="21" width="10.5" style="1942" customWidth="1"/>
    <col min="22" max="22" width="27.5" style="1942" customWidth="1"/>
    <col min="23" max="23" width="28" style="1942" customWidth="1"/>
    <col min="24" max="25" width="11" style="1942"/>
    <col min="26" max="26" width="11.5" style="1942" customWidth="1"/>
    <col min="27" max="27" width="11" style="1942"/>
    <col min="28" max="28" width="16.375" style="1942" customWidth="1"/>
    <col min="29" max="29" width="3.375" style="1942" customWidth="1"/>
    <col min="30" max="30" width="12.5" style="1942" customWidth="1"/>
    <col min="31" max="32" width="11" style="1942"/>
    <col min="33" max="33" width="4.625" style="1942" customWidth="1"/>
    <col min="34" max="34" width="13" style="1942" bestFit="1" customWidth="1"/>
    <col min="35" max="38" width="13" style="1942" customWidth="1"/>
    <col min="39" max="41" width="17.125" style="1942" customWidth="1"/>
    <col min="42" max="42" width="11" style="1942"/>
    <col min="43" max="43" width="15.875" style="1942" bestFit="1" customWidth="1"/>
    <col min="44" max="44" width="15.875" style="1942" customWidth="1"/>
    <col min="45" max="45" width="17.625" style="1942" bestFit="1" customWidth="1"/>
    <col min="46" max="46" width="17.625" style="1942" customWidth="1"/>
    <col min="47" max="47" width="11" style="1942"/>
    <col min="48" max="48" width="26" style="1942" bestFit="1" customWidth="1"/>
    <col min="49" max="49" width="10.875" style="1942" bestFit="1" customWidth="1"/>
    <col min="50" max="50" width="7" style="1942" bestFit="1" customWidth="1"/>
    <col min="51" max="16384" width="11" style="1942"/>
  </cols>
  <sheetData>
    <row r="1" spans="2:50" ht="21.75" thickBot="1" x14ac:dyDescent="0.4">
      <c r="B1" s="2176" t="s">
        <v>626</v>
      </c>
      <c r="C1" s="2176"/>
      <c r="D1" s="1961"/>
      <c r="E1" s="2176" t="s">
        <v>625</v>
      </c>
      <c r="F1" s="2176"/>
      <c r="H1" s="2176" t="s">
        <v>624</v>
      </c>
      <c r="I1" s="2176"/>
      <c r="J1" s="2176"/>
      <c r="L1" s="1960"/>
      <c r="M1" s="1960"/>
      <c r="O1" s="2179" t="s">
        <v>623</v>
      </c>
      <c r="P1" s="2179"/>
      <c r="Q1" s="1959"/>
      <c r="R1" s="2177" t="s">
        <v>622</v>
      </c>
      <c r="S1" s="2177"/>
      <c r="T1" s="2177"/>
      <c r="U1" s="2177"/>
      <c r="V1" s="2177"/>
      <c r="W1" s="2177"/>
      <c r="X1" s="2177"/>
      <c r="Y1" s="2177"/>
      <c r="Z1" s="2177"/>
      <c r="AA1" s="2177"/>
      <c r="AB1" s="2177"/>
      <c r="AD1" s="2178" t="s">
        <v>621</v>
      </c>
      <c r="AE1" s="2178"/>
      <c r="AH1" s="2176" t="s">
        <v>620</v>
      </c>
      <c r="AI1" s="2176"/>
      <c r="AJ1" s="2176"/>
      <c r="AK1" s="2176"/>
      <c r="AL1" s="2176"/>
      <c r="AM1" s="2176"/>
      <c r="AN1" s="2176"/>
      <c r="AO1" s="2176"/>
      <c r="AP1" s="2176"/>
      <c r="AQ1" s="2176"/>
      <c r="AR1" s="2176"/>
      <c r="AS1" s="2176"/>
      <c r="AT1" s="2176"/>
      <c r="AV1" s="2176" t="s">
        <v>619</v>
      </c>
      <c r="AW1" s="2176"/>
      <c r="AX1" s="2176"/>
    </row>
    <row r="2" spans="2:50" ht="27" customHeight="1" thickTop="1" x14ac:dyDescent="0.25">
      <c r="B2" s="1942" t="s">
        <v>337</v>
      </c>
      <c r="C2" s="1942" t="s">
        <v>592</v>
      </c>
      <c r="E2" s="1942" t="s">
        <v>585</v>
      </c>
      <c r="F2" s="1942" t="s">
        <v>618</v>
      </c>
      <c r="H2" s="1958" t="s">
        <v>19</v>
      </c>
      <c r="I2" s="1957" t="s">
        <v>102</v>
      </c>
      <c r="J2" s="1957" t="s">
        <v>617</v>
      </c>
      <c r="L2" s="1942" t="s">
        <v>585</v>
      </c>
      <c r="M2" s="1942" t="s">
        <v>3</v>
      </c>
      <c r="O2" s="1947" t="s">
        <v>573</v>
      </c>
      <c r="P2" s="1947" t="s">
        <v>566</v>
      </c>
      <c r="R2" s="1956" t="s">
        <v>616</v>
      </c>
      <c r="S2" s="1956" t="s">
        <v>615</v>
      </c>
      <c r="T2" s="1956" t="s">
        <v>614</v>
      </c>
      <c r="U2" s="1956" t="s">
        <v>613</v>
      </c>
      <c r="V2" s="1956" t="s">
        <v>612</v>
      </c>
      <c r="W2" s="1955" t="s">
        <v>611</v>
      </c>
      <c r="X2" s="1954" t="s">
        <v>610</v>
      </c>
      <c r="Y2" s="1953" t="s">
        <v>609</v>
      </c>
      <c r="Z2" s="1953" t="s">
        <v>608</v>
      </c>
      <c r="AA2" s="1953" t="s">
        <v>230</v>
      </c>
      <c r="AB2" s="1953" t="s">
        <v>607</v>
      </c>
      <c r="AD2" s="1953" t="s">
        <v>606</v>
      </c>
      <c r="AE2" s="1953" t="s">
        <v>230</v>
      </c>
      <c r="AH2" s="1942" t="s">
        <v>558</v>
      </c>
      <c r="AI2" s="1942" t="s">
        <v>551</v>
      </c>
      <c r="AJ2" s="1942" t="s">
        <v>545</v>
      </c>
      <c r="AK2" s="1942" t="s">
        <v>539</v>
      </c>
      <c r="AL2" s="1942" t="s">
        <v>532</v>
      </c>
      <c r="AM2" s="1942" t="s">
        <v>154</v>
      </c>
      <c r="AN2" s="1942" t="s">
        <v>518</v>
      </c>
      <c r="AO2" s="1942" t="s">
        <v>29</v>
      </c>
      <c r="AP2" s="1942" t="s">
        <v>89</v>
      </c>
      <c r="AQ2" s="1950" t="s">
        <v>499</v>
      </c>
      <c r="AR2" s="1950" t="s">
        <v>494</v>
      </c>
      <c r="AS2" s="1950" t="s">
        <v>487</v>
      </c>
      <c r="AT2" s="1950" t="s">
        <v>480</v>
      </c>
      <c r="AV2" s="1942" t="s">
        <v>605</v>
      </c>
      <c r="AW2" s="1942" t="s">
        <v>604</v>
      </c>
      <c r="AX2" s="1942" t="s">
        <v>603</v>
      </c>
    </row>
    <row r="3" spans="2:50" ht="15" customHeight="1" x14ac:dyDescent="0.25">
      <c r="B3" s="1943">
        <v>2201</v>
      </c>
      <c r="C3" s="1945" t="s">
        <v>97</v>
      </c>
      <c r="D3" s="1952"/>
      <c r="E3" s="1946">
        <v>4008550</v>
      </c>
      <c r="F3" s="1945" t="s">
        <v>442</v>
      </c>
      <c r="G3" s="1942" t="str">
        <f>'Tablas (2)'!$F3</f>
        <v>CONOCOPHILLIPS COMPANY</v>
      </c>
      <c r="H3" s="1949" t="s">
        <v>602</v>
      </c>
      <c r="I3" s="1948" t="s">
        <v>562</v>
      </c>
      <c r="J3" s="1948" t="s">
        <v>601</v>
      </c>
      <c r="L3" s="1942">
        <v>1</v>
      </c>
      <c r="M3" s="1942" t="s">
        <v>600</v>
      </c>
      <c r="O3" s="1943">
        <v>1</v>
      </c>
      <c r="P3" s="1942" t="s">
        <v>599</v>
      </c>
      <c r="AA3" s="1942" t="s">
        <v>593</v>
      </c>
      <c r="AD3" s="1943">
        <v>1</v>
      </c>
      <c r="AE3" s="1943" t="s">
        <v>165</v>
      </c>
      <c r="AV3" s="1942" t="s">
        <v>337</v>
      </c>
    </row>
    <row r="4" spans="2:50" ht="15.75" customHeight="1" x14ac:dyDescent="0.25">
      <c r="B4" s="1943">
        <v>2230</v>
      </c>
      <c r="C4" s="1942" t="s">
        <v>100</v>
      </c>
      <c r="E4" s="1946">
        <v>4326979</v>
      </c>
      <c r="F4" s="1945" t="s">
        <v>598</v>
      </c>
      <c r="H4" s="1949" t="s">
        <v>597</v>
      </c>
      <c r="I4" s="1948" t="s">
        <v>562</v>
      </c>
      <c r="J4" s="1948" t="s">
        <v>596</v>
      </c>
      <c r="L4" s="1942">
        <v>2</v>
      </c>
      <c r="M4" s="1942" t="s">
        <v>595</v>
      </c>
      <c r="O4" s="1943">
        <v>2</v>
      </c>
      <c r="P4" s="1942" t="s">
        <v>594</v>
      </c>
      <c r="AD4" s="1943">
        <v>2</v>
      </c>
      <c r="AE4" s="1943" t="s">
        <v>593</v>
      </c>
      <c r="AV4" s="1942" t="s">
        <v>592</v>
      </c>
    </row>
    <row r="5" spans="2:50" ht="15" customHeight="1" x14ac:dyDescent="0.25">
      <c r="B5" s="1943">
        <v>2047</v>
      </c>
      <c r="C5" s="1942" t="s">
        <v>591</v>
      </c>
      <c r="E5" s="1946">
        <v>4343945</v>
      </c>
      <c r="F5" s="1945" t="s">
        <v>590</v>
      </c>
      <c r="H5" s="1951" t="s">
        <v>589</v>
      </c>
      <c r="I5" s="1948" t="s">
        <v>562</v>
      </c>
      <c r="J5" s="1948" t="s">
        <v>588</v>
      </c>
      <c r="L5" s="1942">
        <v>3</v>
      </c>
      <c r="M5" s="1942" t="s">
        <v>587</v>
      </c>
      <c r="O5" s="1943">
        <v>3</v>
      </c>
      <c r="P5" s="1942" t="s">
        <v>586</v>
      </c>
      <c r="AD5" s="1943"/>
      <c r="AE5" s="1943"/>
      <c r="AV5" s="1942" t="s">
        <v>585</v>
      </c>
    </row>
    <row r="6" spans="2:50" ht="15.75" customHeight="1" x14ac:dyDescent="0.25">
      <c r="B6" s="1943">
        <v>2048</v>
      </c>
      <c r="C6" s="1942" t="s">
        <v>584</v>
      </c>
      <c r="E6" s="1946">
        <v>4344286</v>
      </c>
      <c r="F6" s="1945" t="s">
        <v>442</v>
      </c>
      <c r="H6" s="1949" t="s">
        <v>583</v>
      </c>
      <c r="I6" s="1948" t="s">
        <v>562</v>
      </c>
      <c r="J6" s="1948" t="s">
        <v>582</v>
      </c>
      <c r="L6" s="1942">
        <v>4</v>
      </c>
      <c r="M6" s="1942" t="s">
        <v>581</v>
      </c>
      <c r="O6" s="1943">
        <v>4</v>
      </c>
      <c r="P6" s="1942" t="s">
        <v>580</v>
      </c>
      <c r="AD6" s="1943"/>
      <c r="AE6" s="1943"/>
      <c r="AV6" s="1942" t="s">
        <v>3</v>
      </c>
    </row>
    <row r="7" spans="2:50" ht="15" customHeight="1" x14ac:dyDescent="0.25">
      <c r="B7" s="1943">
        <v>2044</v>
      </c>
      <c r="C7" s="1942" t="s">
        <v>579</v>
      </c>
      <c r="E7" s="1946">
        <v>4344286</v>
      </c>
      <c r="F7" s="1945" t="s">
        <v>578</v>
      </c>
      <c r="H7" s="1951" t="s">
        <v>577</v>
      </c>
      <c r="I7" s="1948" t="s">
        <v>562</v>
      </c>
      <c r="J7" s="1948" t="s">
        <v>576</v>
      </c>
      <c r="L7" s="1942">
        <v>5</v>
      </c>
      <c r="M7" s="1942" t="s">
        <v>575</v>
      </c>
      <c r="O7" s="1943">
        <v>5</v>
      </c>
      <c r="P7" s="1942" t="s">
        <v>574</v>
      </c>
      <c r="AD7" s="1943"/>
      <c r="AE7" s="1943"/>
      <c r="AV7" s="1947" t="s">
        <v>573</v>
      </c>
    </row>
    <row r="8" spans="2:50" ht="15.75" customHeight="1" x14ac:dyDescent="0.25">
      <c r="B8" s="1943">
        <v>2211</v>
      </c>
      <c r="C8" s="1942" t="s">
        <v>572</v>
      </c>
      <c r="E8" s="1946">
        <v>4349145</v>
      </c>
      <c r="F8" s="1945" t="s">
        <v>571</v>
      </c>
      <c r="H8" s="1949" t="s">
        <v>570</v>
      </c>
      <c r="I8" s="1948" t="s">
        <v>562</v>
      </c>
      <c r="J8" s="1948" t="s">
        <v>569</v>
      </c>
      <c r="L8" s="1942">
        <v>6</v>
      </c>
      <c r="M8" s="1942" t="s">
        <v>568</v>
      </c>
      <c r="O8" s="1943">
        <v>6</v>
      </c>
      <c r="P8" s="1942" t="s">
        <v>567</v>
      </c>
      <c r="AD8" s="1943"/>
      <c r="AE8" s="1943"/>
      <c r="AV8" s="1947" t="s">
        <v>566</v>
      </c>
    </row>
    <row r="9" spans="2:50" ht="15" customHeight="1" x14ac:dyDescent="0.25">
      <c r="B9" s="1943">
        <v>2277</v>
      </c>
      <c r="C9" s="1942" t="s">
        <v>565</v>
      </c>
      <c r="E9" s="1946">
        <v>4357694</v>
      </c>
      <c r="F9" s="1945" t="s">
        <v>564</v>
      </c>
      <c r="H9" s="1949" t="s">
        <v>563</v>
      </c>
      <c r="I9" s="1948" t="s">
        <v>562</v>
      </c>
      <c r="J9" s="1948" t="s">
        <v>561</v>
      </c>
      <c r="L9" s="1942">
        <v>7</v>
      </c>
      <c r="M9" s="1942" t="s">
        <v>560</v>
      </c>
      <c r="O9" s="1943">
        <v>7</v>
      </c>
      <c r="P9" s="1942" t="s">
        <v>559</v>
      </c>
      <c r="AD9" s="1943"/>
      <c r="AE9" s="1943"/>
      <c r="AV9" s="1942" t="s">
        <v>558</v>
      </c>
    </row>
    <row r="10" spans="2:50" ht="15.75" customHeight="1" x14ac:dyDescent="0.25">
      <c r="B10" s="1943">
        <v>2304</v>
      </c>
      <c r="C10" s="1942" t="s">
        <v>557</v>
      </c>
      <c r="E10" s="1946">
        <v>4358764</v>
      </c>
      <c r="F10" s="1945" t="s">
        <v>556</v>
      </c>
      <c r="H10" s="1949" t="s">
        <v>555</v>
      </c>
      <c r="I10" s="1948" t="s">
        <v>514</v>
      </c>
      <c r="J10" s="1948" t="s">
        <v>554</v>
      </c>
      <c r="L10" s="1942">
        <v>8</v>
      </c>
      <c r="M10" s="1942" t="s">
        <v>553</v>
      </c>
      <c r="O10" s="1943">
        <v>8</v>
      </c>
      <c r="P10" s="1942" t="s">
        <v>552</v>
      </c>
      <c r="AD10" s="1943"/>
      <c r="AE10" s="1943"/>
      <c r="AV10" s="1942" t="s">
        <v>551</v>
      </c>
    </row>
    <row r="11" spans="2:50" ht="15" customHeight="1" x14ac:dyDescent="0.25">
      <c r="B11" s="1943">
        <v>2210</v>
      </c>
      <c r="C11" s="1942" t="s">
        <v>550</v>
      </c>
      <c r="E11" s="1946">
        <v>5004113</v>
      </c>
      <c r="F11" s="1945" t="s">
        <v>471</v>
      </c>
      <c r="H11" s="1949" t="s">
        <v>549</v>
      </c>
      <c r="I11" s="1948" t="s">
        <v>514</v>
      </c>
      <c r="J11" s="1948" t="s">
        <v>548</v>
      </c>
      <c r="L11" s="1942">
        <v>9</v>
      </c>
      <c r="M11" s="1942" t="s">
        <v>547</v>
      </c>
      <c r="O11" s="1943">
        <v>9</v>
      </c>
      <c r="P11" s="1942" t="s">
        <v>546</v>
      </c>
      <c r="AD11" s="1943"/>
      <c r="AE11" s="1943"/>
      <c r="AV11" s="1942" t="s">
        <v>545</v>
      </c>
    </row>
    <row r="12" spans="2:50" ht="15.75" customHeight="1" x14ac:dyDescent="0.25">
      <c r="B12" s="1943">
        <v>2181</v>
      </c>
      <c r="C12" s="1942" t="s">
        <v>544</v>
      </c>
      <c r="E12" s="1946">
        <v>5004113</v>
      </c>
      <c r="F12" s="1945" t="s">
        <v>442</v>
      </c>
      <c r="H12" s="1949" t="s">
        <v>543</v>
      </c>
      <c r="I12" s="1948" t="s">
        <v>514</v>
      </c>
      <c r="J12" s="1948" t="s">
        <v>542</v>
      </c>
      <c r="L12" s="1942">
        <v>10</v>
      </c>
      <c r="M12" s="1942" t="s">
        <v>541</v>
      </c>
      <c r="O12" s="1943">
        <v>10</v>
      </c>
      <c r="P12" s="1942" t="s">
        <v>540</v>
      </c>
      <c r="AV12" s="1942" t="s">
        <v>539</v>
      </c>
    </row>
    <row r="13" spans="2:50" ht="15" customHeight="1" x14ac:dyDescent="0.25">
      <c r="B13" s="1943">
        <v>2059</v>
      </c>
      <c r="C13" s="1942" t="s">
        <v>538</v>
      </c>
      <c r="E13" s="1946">
        <v>5007185</v>
      </c>
      <c r="F13" s="1945" t="s">
        <v>537</v>
      </c>
      <c r="H13" s="1949" t="s">
        <v>536</v>
      </c>
      <c r="I13" s="1948" t="s">
        <v>514</v>
      </c>
      <c r="J13" s="1948" t="s">
        <v>535</v>
      </c>
      <c r="L13" s="1942">
        <v>11</v>
      </c>
      <c r="M13" s="1942" t="s">
        <v>534</v>
      </c>
      <c r="O13" s="1943">
        <v>11</v>
      </c>
      <c r="P13" s="1942" t="s">
        <v>533</v>
      </c>
      <c r="AV13" s="1942" t="s">
        <v>532</v>
      </c>
    </row>
    <row r="14" spans="2:50" ht="15.75" customHeight="1" x14ac:dyDescent="0.25">
      <c r="B14" s="1943" t="s">
        <v>531</v>
      </c>
      <c r="C14" s="1942" t="s">
        <v>530</v>
      </c>
      <c r="E14" s="1946">
        <v>5007193</v>
      </c>
      <c r="F14" s="1945" t="s">
        <v>529</v>
      </c>
      <c r="H14" s="1949" t="s">
        <v>528</v>
      </c>
      <c r="I14" s="1948" t="s">
        <v>514</v>
      </c>
      <c r="J14" s="1948" t="s">
        <v>527</v>
      </c>
      <c r="L14" s="1942">
        <v>12</v>
      </c>
      <c r="M14" s="1942" t="s">
        <v>526</v>
      </c>
      <c r="O14" s="1943">
        <v>12</v>
      </c>
      <c r="P14" s="1942" t="s">
        <v>525</v>
      </c>
      <c r="AV14" s="1942" t="s">
        <v>154</v>
      </c>
    </row>
    <row r="15" spans="2:50" ht="15" customHeight="1" x14ac:dyDescent="0.25">
      <c r="B15" s="1943" t="s">
        <v>524</v>
      </c>
      <c r="C15" s="1942" t="s">
        <v>523</v>
      </c>
      <c r="E15" s="1946">
        <v>5007196</v>
      </c>
      <c r="F15" s="1945" t="s">
        <v>522</v>
      </c>
      <c r="H15" s="1949" t="s">
        <v>521</v>
      </c>
      <c r="I15" s="1948" t="s">
        <v>514</v>
      </c>
      <c r="J15" s="1948" t="s">
        <v>520</v>
      </c>
      <c r="O15" s="1943">
        <v>13</v>
      </c>
      <c r="P15" s="1942" t="s">
        <v>519</v>
      </c>
      <c r="AV15" s="1942" t="s">
        <v>518</v>
      </c>
    </row>
    <row r="16" spans="2:50" ht="15.75" customHeight="1" x14ac:dyDescent="0.25">
      <c r="B16" s="1943" t="s">
        <v>221</v>
      </c>
      <c r="C16" s="1942" t="s">
        <v>517</v>
      </c>
      <c r="E16" s="1946">
        <v>5007197</v>
      </c>
      <c r="F16" s="1945" t="s">
        <v>516</v>
      </c>
      <c r="H16" s="1949" t="s">
        <v>515</v>
      </c>
      <c r="I16" s="1948" t="s">
        <v>514</v>
      </c>
      <c r="J16" s="1948" t="s">
        <v>513</v>
      </c>
      <c r="O16" s="1943">
        <v>14</v>
      </c>
      <c r="P16" s="1942" t="s">
        <v>512</v>
      </c>
      <c r="AV16" s="1942" t="s">
        <v>29</v>
      </c>
    </row>
    <row r="17" spans="2:48" ht="15" customHeight="1" x14ac:dyDescent="0.25">
      <c r="B17" s="1943" t="s">
        <v>511</v>
      </c>
      <c r="C17" s="1942" t="s">
        <v>510</v>
      </c>
      <c r="E17" s="1946">
        <v>5007200</v>
      </c>
      <c r="F17" s="1945" t="s">
        <v>509</v>
      </c>
      <c r="H17" s="1949" t="s">
        <v>508</v>
      </c>
      <c r="I17" s="1948" t="s">
        <v>457</v>
      </c>
      <c r="J17" s="1948" t="s">
        <v>507</v>
      </c>
      <c r="O17" s="1943">
        <v>15</v>
      </c>
      <c r="P17" s="1942" t="s">
        <v>506</v>
      </c>
      <c r="AV17" s="1942" t="s">
        <v>89</v>
      </c>
    </row>
    <row r="18" spans="2:48" ht="15.75" customHeight="1" x14ac:dyDescent="0.25">
      <c r="B18" s="1943" t="s">
        <v>505</v>
      </c>
      <c r="C18" s="1942" t="s">
        <v>504</v>
      </c>
      <c r="E18" s="1946">
        <v>5007216</v>
      </c>
      <c r="F18" s="1945" t="s">
        <v>503</v>
      </c>
      <c r="H18" s="1949" t="s">
        <v>502</v>
      </c>
      <c r="I18" s="1948" t="s">
        <v>457</v>
      </c>
      <c r="J18" s="1948" t="s">
        <v>501</v>
      </c>
      <c r="O18" s="1943">
        <v>16</v>
      </c>
      <c r="P18" s="1942" t="s">
        <v>500</v>
      </c>
      <c r="AV18" s="1950" t="s">
        <v>499</v>
      </c>
    </row>
    <row r="19" spans="2:48" ht="15" customHeight="1" x14ac:dyDescent="0.25">
      <c r="B19" s="1943" t="s">
        <v>498</v>
      </c>
      <c r="C19" s="1942" t="s">
        <v>497</v>
      </c>
      <c r="E19" s="1946">
        <v>5007301</v>
      </c>
      <c r="F19" s="1945" t="s">
        <v>421</v>
      </c>
      <c r="H19" s="1951" t="s">
        <v>340</v>
      </c>
      <c r="I19" s="1948" t="s">
        <v>457</v>
      </c>
      <c r="J19" s="1948" t="s">
        <v>496</v>
      </c>
      <c r="O19" s="1943">
        <v>17</v>
      </c>
      <c r="P19" s="1942" t="s">
        <v>495</v>
      </c>
      <c r="AV19" s="1950" t="s">
        <v>494</v>
      </c>
    </row>
    <row r="20" spans="2:48" ht="15.75" customHeight="1" x14ac:dyDescent="0.25">
      <c r="B20" s="1943" t="s">
        <v>493</v>
      </c>
      <c r="C20" s="1942" t="s">
        <v>492</v>
      </c>
      <c r="E20" s="1946">
        <v>5007309</v>
      </c>
      <c r="F20" s="1945" t="s">
        <v>491</v>
      </c>
      <c r="H20" s="1949" t="s">
        <v>490</v>
      </c>
      <c r="I20" s="1948" t="s">
        <v>457</v>
      </c>
      <c r="J20" s="1948" t="s">
        <v>489</v>
      </c>
      <c r="O20" s="1943">
        <v>18</v>
      </c>
      <c r="P20" s="1942" t="s">
        <v>488</v>
      </c>
      <c r="AV20" s="1950" t="s">
        <v>487</v>
      </c>
    </row>
    <row r="21" spans="2:48" ht="15" customHeight="1" x14ac:dyDescent="0.25">
      <c r="B21" s="1943" t="s">
        <v>486</v>
      </c>
      <c r="C21" s="1942" t="s">
        <v>485</v>
      </c>
      <c r="E21" s="1946">
        <v>5007314</v>
      </c>
      <c r="F21" s="1945" t="s">
        <v>484</v>
      </c>
      <c r="H21" s="1949" t="s">
        <v>483</v>
      </c>
      <c r="I21" s="1948" t="s">
        <v>457</v>
      </c>
      <c r="J21" s="1948" t="s">
        <v>482</v>
      </c>
      <c r="O21" s="1943">
        <v>19</v>
      </c>
      <c r="P21" s="1942" t="s">
        <v>481</v>
      </c>
      <c r="AV21" s="1950" t="s">
        <v>480</v>
      </c>
    </row>
    <row r="22" spans="2:48" ht="15.75" customHeight="1" x14ac:dyDescent="0.25">
      <c r="B22" s="1943" t="s">
        <v>479</v>
      </c>
      <c r="C22" s="1942" t="s">
        <v>478</v>
      </c>
      <c r="E22" s="1946">
        <v>5007318</v>
      </c>
      <c r="F22" s="1945" t="s">
        <v>477</v>
      </c>
      <c r="H22" s="1949" t="s">
        <v>476</v>
      </c>
      <c r="I22" s="1948" t="s">
        <v>457</v>
      </c>
      <c r="J22" s="1948" t="s">
        <v>475</v>
      </c>
      <c r="O22" s="1943">
        <v>20</v>
      </c>
      <c r="P22" s="1942" t="s">
        <v>474</v>
      </c>
    </row>
    <row r="23" spans="2:48" ht="15" customHeight="1" x14ac:dyDescent="0.25">
      <c r="B23" s="1943" t="s">
        <v>473</v>
      </c>
      <c r="C23" s="1942" t="s">
        <v>472</v>
      </c>
      <c r="E23" s="1946">
        <v>5007319</v>
      </c>
      <c r="F23" s="1945" t="s">
        <v>471</v>
      </c>
      <c r="H23" s="1949" t="s">
        <v>470</v>
      </c>
      <c r="I23" s="1948" t="s">
        <v>457</v>
      </c>
      <c r="J23" s="1948" t="s">
        <v>469</v>
      </c>
      <c r="O23" s="1943">
        <v>21</v>
      </c>
      <c r="P23" s="1942" t="s">
        <v>468</v>
      </c>
    </row>
    <row r="24" spans="2:48" ht="15.75" customHeight="1" x14ac:dyDescent="0.25">
      <c r="B24" s="1943" t="s">
        <v>467</v>
      </c>
      <c r="C24" s="1942" t="s">
        <v>466</v>
      </c>
      <c r="E24" s="1946">
        <v>5007333</v>
      </c>
      <c r="F24" s="1945" t="s">
        <v>465</v>
      </c>
      <c r="H24" s="1949" t="s">
        <v>464</v>
      </c>
      <c r="I24" s="1948" t="s">
        <v>457</v>
      </c>
      <c r="J24" s="1948" t="s">
        <v>463</v>
      </c>
      <c r="O24" s="1943">
        <v>22</v>
      </c>
      <c r="P24" s="1942" t="s">
        <v>462</v>
      </c>
    </row>
    <row r="25" spans="2:48" ht="15" customHeight="1" x14ac:dyDescent="0.25">
      <c r="B25" s="1943" t="s">
        <v>461</v>
      </c>
      <c r="C25" s="1942" t="s">
        <v>460</v>
      </c>
      <c r="E25" s="1946">
        <v>5007338</v>
      </c>
      <c r="F25" s="1945" t="s">
        <v>459</v>
      </c>
      <c r="H25" s="1949" t="s">
        <v>458</v>
      </c>
      <c r="I25" s="1948" t="s">
        <v>457</v>
      </c>
      <c r="J25" s="1948" t="s">
        <v>456</v>
      </c>
      <c r="O25" s="1943">
        <v>23</v>
      </c>
      <c r="P25" s="1942" t="s">
        <v>455</v>
      </c>
    </row>
    <row r="26" spans="2:48" ht="15.75" customHeight="1" x14ac:dyDescent="0.25">
      <c r="B26" s="1943" t="s">
        <v>454</v>
      </c>
      <c r="C26" s="1942" t="s">
        <v>453</v>
      </c>
      <c r="E26" s="1946">
        <v>5007373</v>
      </c>
      <c r="F26" s="1945" t="s">
        <v>424</v>
      </c>
      <c r="H26" s="1949" t="s">
        <v>452</v>
      </c>
      <c r="I26" s="1948" t="s">
        <v>440</v>
      </c>
      <c r="J26" s="1948" t="s">
        <v>439</v>
      </c>
      <c r="O26" s="1943">
        <v>24</v>
      </c>
      <c r="P26" s="1942" t="s">
        <v>451</v>
      </c>
    </row>
    <row r="27" spans="2:48" ht="15" customHeight="1" x14ac:dyDescent="0.25">
      <c r="B27" s="1943" t="s">
        <v>450</v>
      </c>
      <c r="C27" s="1942" t="s">
        <v>449</v>
      </c>
      <c r="E27" s="1946">
        <v>5007398</v>
      </c>
      <c r="F27" s="1945" t="s">
        <v>448</v>
      </c>
      <c r="H27" s="1949" t="s">
        <v>447</v>
      </c>
      <c r="I27" s="1948" t="s">
        <v>440</v>
      </c>
      <c r="J27" s="1948" t="s">
        <v>446</v>
      </c>
      <c r="O27" s="1943">
        <v>25</v>
      </c>
      <c r="P27" s="1942" t="s">
        <v>445</v>
      </c>
    </row>
    <row r="28" spans="2:48" ht="15.75" customHeight="1" x14ac:dyDescent="0.25">
      <c r="B28" s="1943" t="s">
        <v>444</v>
      </c>
      <c r="C28" s="1947" t="s">
        <v>443</v>
      </c>
      <c r="E28" s="1946">
        <v>5007413</v>
      </c>
      <c r="F28" s="1945" t="s">
        <v>442</v>
      </c>
      <c r="H28" s="1949" t="s">
        <v>441</v>
      </c>
      <c r="I28" s="1948" t="s">
        <v>440</v>
      </c>
      <c r="J28" s="1948" t="s">
        <v>439</v>
      </c>
      <c r="O28" s="1943">
        <v>26</v>
      </c>
      <c r="P28" s="1942" t="s">
        <v>438</v>
      </c>
    </row>
    <row r="29" spans="2:48" ht="15" customHeight="1" x14ac:dyDescent="0.25">
      <c r="B29" s="1943" t="s">
        <v>437</v>
      </c>
      <c r="C29" s="1947" t="s">
        <v>436</v>
      </c>
      <c r="E29" s="1946">
        <v>5007413</v>
      </c>
      <c r="F29" s="1945" t="s">
        <v>435</v>
      </c>
      <c r="O29" s="1943">
        <v>27</v>
      </c>
      <c r="P29" s="1942" t="s">
        <v>434</v>
      </c>
    </row>
    <row r="30" spans="2:48" ht="15.75" customHeight="1" x14ac:dyDescent="0.25">
      <c r="B30" s="1943" t="s">
        <v>433</v>
      </c>
      <c r="C30" s="1947" t="s">
        <v>432</v>
      </c>
      <c r="E30" s="1946">
        <v>9011021</v>
      </c>
      <c r="F30" s="1945" t="s">
        <v>421</v>
      </c>
      <c r="O30" s="1943">
        <v>28</v>
      </c>
      <c r="P30" s="1942" t="s">
        <v>431</v>
      </c>
    </row>
    <row r="31" spans="2:48" ht="15" customHeight="1" x14ac:dyDescent="0.25">
      <c r="B31" s="1943" t="s">
        <v>430</v>
      </c>
      <c r="C31" s="1942" t="s">
        <v>429</v>
      </c>
      <c r="E31" s="1946">
        <v>9011030</v>
      </c>
      <c r="F31" s="1945" t="s">
        <v>428</v>
      </c>
      <c r="O31" s="1943">
        <v>29</v>
      </c>
      <c r="P31" s="1942" t="s">
        <v>427</v>
      </c>
    </row>
    <row r="32" spans="2:48" ht="15.75" customHeight="1" x14ac:dyDescent="0.25">
      <c r="B32" s="1943" t="s">
        <v>426</v>
      </c>
      <c r="C32" s="1942" t="s">
        <v>425</v>
      </c>
      <c r="O32" s="1943">
        <v>30</v>
      </c>
      <c r="P32" s="1942" t="s">
        <v>424</v>
      </c>
    </row>
    <row r="33" spans="2:16" ht="15" customHeight="1" x14ac:dyDescent="0.25">
      <c r="B33" s="1943" t="s">
        <v>423</v>
      </c>
      <c r="C33" s="1942" t="s">
        <v>422</v>
      </c>
      <c r="D33" s="1944"/>
      <c r="E33" s="1944"/>
      <c r="F33" s="1944"/>
      <c r="O33" s="1943">
        <v>31</v>
      </c>
      <c r="P33" s="1942" t="s">
        <v>421</v>
      </c>
    </row>
    <row r="34" spans="2:16" ht="15.75" customHeight="1" x14ac:dyDescent="0.25">
      <c r="B34" s="1943" t="s">
        <v>420</v>
      </c>
      <c r="C34" s="1942" t="s">
        <v>419</v>
      </c>
      <c r="D34" s="1944"/>
      <c r="E34" s="1944"/>
      <c r="F34" s="1944"/>
    </row>
    <row r="35" spans="2:16" ht="15" customHeight="1" x14ac:dyDescent="0.25">
      <c r="B35" s="1943" t="s">
        <v>418</v>
      </c>
      <c r="C35" s="1942" t="s">
        <v>417</v>
      </c>
    </row>
    <row r="36" spans="2:16" ht="15" customHeight="1" x14ac:dyDescent="0.25">
      <c r="B36" s="1943" t="s">
        <v>416</v>
      </c>
      <c r="C36" s="1942" t="s">
        <v>415</v>
      </c>
    </row>
    <row r="37" spans="2:16" ht="15" customHeight="1" x14ac:dyDescent="0.25">
      <c r="B37" s="1943" t="s">
        <v>414</v>
      </c>
      <c r="C37" s="1942" t="s">
        <v>413</v>
      </c>
    </row>
    <row r="38" spans="2:16" ht="15" customHeight="1" x14ac:dyDescent="0.25">
      <c r="B38" s="1943" t="s">
        <v>412</v>
      </c>
      <c r="C38" s="1944" t="s">
        <v>411</v>
      </c>
    </row>
    <row r="39" spans="2:16" ht="15" customHeight="1" x14ac:dyDescent="0.25">
      <c r="B39" s="1943" t="s">
        <v>238</v>
      </c>
      <c r="C39" s="1944" t="s">
        <v>260</v>
      </c>
    </row>
    <row r="40" spans="2:16" ht="15" customHeight="1" x14ac:dyDescent="0.25">
      <c r="B40" s="1943" t="s">
        <v>410</v>
      </c>
      <c r="C40" s="1942" t="s">
        <v>409</v>
      </c>
    </row>
    <row r="41" spans="2:16" ht="15" customHeight="1" x14ac:dyDescent="0.25">
      <c r="B41" s="1943" t="s">
        <v>408</v>
      </c>
      <c r="C41" s="1942" t="s">
        <v>407</v>
      </c>
    </row>
    <row r="42" spans="2:16" ht="15" customHeight="1" x14ac:dyDescent="0.25">
      <c r="B42" s="1943" t="s">
        <v>357</v>
      </c>
      <c r="C42" s="1942" t="s">
        <v>406</v>
      </c>
    </row>
    <row r="53" spans="5:5" ht="15" customHeight="1" x14ac:dyDescent="0.25">
      <c r="E53" s="1942" t="str">
        <f>F31</f>
        <v>CFEENERGIA</v>
      </c>
    </row>
  </sheetData>
  <mergeCells count="8">
    <mergeCell ref="B1:C1"/>
    <mergeCell ref="H1:J1"/>
    <mergeCell ref="AH1:AT1"/>
    <mergeCell ref="AV1:AX1"/>
    <mergeCell ref="R1:AB1"/>
    <mergeCell ref="AD1:AE1"/>
    <mergeCell ref="O1:P1"/>
    <mergeCell ref="E1:F1"/>
  </mergeCells>
  <pageMargins left="0.7" right="0.7" top="0.75" bottom="0.75" header="0.3" footer="0.3"/>
  <pageSetup orientation="portrait" verticalDpi="1200" r:id="rId1"/>
  <tableParts count="9"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AK303"/>
  <sheetViews>
    <sheetView topLeftCell="A55" workbookViewId="0">
      <selection activeCell="A71" sqref="A71:XFD71"/>
    </sheetView>
  </sheetViews>
  <sheetFormatPr baseColWidth="10" defaultColWidth="11.125" defaultRowHeight="15" x14ac:dyDescent="0.2"/>
  <cols>
    <col min="1" max="3" width="11.125" style="210"/>
    <col min="4" max="4" width="13.875" style="206" customWidth="1"/>
    <col min="5" max="5" width="11.125" style="210"/>
    <col min="6" max="6" width="12.625" style="206" bestFit="1" customWidth="1"/>
    <col min="7" max="7" width="25" style="206" bestFit="1" customWidth="1"/>
    <col min="8" max="8" width="14.625" style="206" bestFit="1" customWidth="1"/>
    <col min="9" max="9" width="12.625" style="206" bestFit="1" customWidth="1"/>
    <col min="10" max="10" width="18.625" bestFit="1" customWidth="1"/>
    <col min="11" max="11" width="16.875" bestFit="1" customWidth="1"/>
    <col min="12" max="12" width="18.625" bestFit="1" customWidth="1"/>
    <col min="14" max="14" width="14.875" bestFit="1" customWidth="1"/>
    <col min="15" max="15" width="16.875" bestFit="1" customWidth="1"/>
    <col min="16" max="16" width="18.625" bestFit="1" customWidth="1"/>
    <col min="17" max="17" width="16.875" bestFit="1" customWidth="1"/>
    <col min="18" max="23" width="14.875" bestFit="1" customWidth="1"/>
    <col min="24" max="36" width="14.875" style="210" bestFit="1" customWidth="1"/>
    <col min="37" max="37" width="15.875" style="210" bestFit="1" customWidth="1"/>
    <col min="38" max="16384" width="11.125" style="210"/>
  </cols>
  <sheetData>
    <row r="2" spans="3:37" ht="63" x14ac:dyDescent="0.25">
      <c r="C2" s="435" t="s">
        <v>154</v>
      </c>
      <c r="D2" s="2180" t="s">
        <v>65</v>
      </c>
      <c r="E2" s="2184" t="s">
        <v>29</v>
      </c>
      <c r="F2" s="2182" t="s">
        <v>60</v>
      </c>
      <c r="G2" s="2183"/>
      <c r="H2" s="209" t="s">
        <v>68</v>
      </c>
      <c r="I2" t="s">
        <v>276</v>
      </c>
    </row>
    <row r="3" spans="3:37" ht="15.75" x14ac:dyDescent="0.2">
      <c r="C3" s="436"/>
      <c r="D3" s="2181"/>
      <c r="E3" s="2184"/>
      <c r="F3" s="437" t="s">
        <v>69</v>
      </c>
      <c r="G3" s="438" t="s">
        <v>36</v>
      </c>
      <c r="H3" s="211" t="s">
        <v>61</v>
      </c>
      <c r="I3" s="437" t="s">
        <v>69</v>
      </c>
      <c r="M3">
        <v>22</v>
      </c>
      <c r="X3"/>
      <c r="Y3"/>
      <c r="Z3"/>
      <c r="AA3"/>
      <c r="AB3"/>
      <c r="AC3"/>
      <c r="AD3"/>
      <c r="AE3"/>
      <c r="AF3"/>
      <c r="AG3"/>
      <c r="AH3"/>
      <c r="AI3"/>
      <c r="AJ3"/>
      <c r="AK3"/>
    </row>
    <row r="4" spans="3:37" x14ac:dyDescent="0.2">
      <c r="C4" s="210">
        <v>2013</v>
      </c>
      <c r="D4" s="39">
        <v>1</v>
      </c>
      <c r="E4" s="439">
        <v>41487</v>
      </c>
      <c r="F4" s="40">
        <v>8.2000000000000003E-2</v>
      </c>
      <c r="G4" s="212" t="s">
        <v>30</v>
      </c>
      <c r="H4" s="41">
        <v>1E-3</v>
      </c>
      <c r="I4" s="40"/>
      <c r="J4">
        <f>_xlfn.DAYS(E5,E4)</f>
        <v>31</v>
      </c>
      <c r="K4" s="803">
        <f>F4*J4*3100000</f>
        <v>7880200.0000000009</v>
      </c>
      <c r="L4" s="804">
        <f>K4*M$3</f>
        <v>173364400.00000003</v>
      </c>
      <c r="X4"/>
      <c r="Y4"/>
      <c r="Z4"/>
      <c r="AA4"/>
      <c r="AB4"/>
      <c r="AC4"/>
      <c r="AD4"/>
      <c r="AE4"/>
      <c r="AF4"/>
      <c r="AG4"/>
      <c r="AH4"/>
      <c r="AI4"/>
      <c r="AJ4"/>
      <c r="AK4"/>
    </row>
    <row r="5" spans="3:37" x14ac:dyDescent="0.2">
      <c r="C5" s="210">
        <v>2013</v>
      </c>
      <c r="D5" s="39">
        <v>2</v>
      </c>
      <c r="E5" s="439">
        <v>41518</v>
      </c>
      <c r="F5" s="40">
        <v>8.2000000000000003E-2</v>
      </c>
      <c r="G5" s="212" t="s">
        <v>30</v>
      </c>
      <c r="H5" s="41">
        <v>1E-3</v>
      </c>
      <c r="I5" s="40"/>
      <c r="J5">
        <f t="shared" ref="J5:J68" si="0">_xlfn.DAYS(E6,E5)</f>
        <v>30</v>
      </c>
      <c r="K5" s="803">
        <f t="shared" ref="K5:K68" si="1">F5*J5*3100000</f>
        <v>7626000</v>
      </c>
      <c r="L5" s="804">
        <f t="shared" ref="L5:L68" si="2">K5*M$3</f>
        <v>167772000</v>
      </c>
      <c r="X5"/>
      <c r="Y5"/>
      <c r="Z5"/>
      <c r="AA5"/>
      <c r="AB5"/>
      <c r="AC5"/>
      <c r="AD5"/>
      <c r="AE5"/>
      <c r="AF5"/>
      <c r="AG5"/>
      <c r="AH5"/>
      <c r="AI5"/>
      <c r="AJ5"/>
      <c r="AK5"/>
    </row>
    <row r="6" spans="3:37" x14ac:dyDescent="0.2">
      <c r="C6" s="210">
        <v>2013</v>
      </c>
      <c r="D6" s="42">
        <v>3</v>
      </c>
      <c r="E6" s="439">
        <v>41548</v>
      </c>
      <c r="F6" s="43">
        <v>8.2000000000000003E-2</v>
      </c>
      <c r="G6" s="213" t="s">
        <v>30</v>
      </c>
      <c r="H6" s="41">
        <v>1E-3</v>
      </c>
      <c r="I6" s="43"/>
      <c r="J6">
        <f t="shared" si="0"/>
        <v>31</v>
      </c>
      <c r="K6" s="803">
        <f t="shared" si="1"/>
        <v>7880200.0000000009</v>
      </c>
      <c r="L6" s="804">
        <f t="shared" si="2"/>
        <v>173364400.00000003</v>
      </c>
      <c r="X6"/>
      <c r="Y6"/>
      <c r="Z6"/>
      <c r="AA6"/>
      <c r="AB6"/>
      <c r="AC6"/>
      <c r="AD6"/>
      <c r="AE6"/>
      <c r="AF6"/>
      <c r="AG6"/>
      <c r="AH6"/>
      <c r="AI6"/>
      <c r="AJ6"/>
      <c r="AK6"/>
    </row>
    <row r="7" spans="3:37" x14ac:dyDescent="0.2">
      <c r="C7" s="210">
        <v>2013</v>
      </c>
      <c r="D7" s="44">
        <v>4</v>
      </c>
      <c r="E7" s="439">
        <v>41579</v>
      </c>
      <c r="F7" s="45">
        <v>8.2000000000000003E-2</v>
      </c>
      <c r="G7" s="214" t="s">
        <v>30</v>
      </c>
      <c r="H7" s="41">
        <v>1E-3</v>
      </c>
      <c r="I7" s="45"/>
      <c r="J7">
        <f t="shared" si="0"/>
        <v>30</v>
      </c>
      <c r="K7" s="803">
        <f t="shared" si="1"/>
        <v>7626000</v>
      </c>
      <c r="L7" s="804">
        <f t="shared" si="2"/>
        <v>167772000</v>
      </c>
    </row>
    <row r="8" spans="3:37" x14ac:dyDescent="0.2">
      <c r="C8" s="210">
        <v>2013</v>
      </c>
      <c r="D8" s="39">
        <v>5</v>
      </c>
      <c r="E8" s="439">
        <v>41609</v>
      </c>
      <c r="F8" s="40">
        <v>8.2000000000000003E-2</v>
      </c>
      <c r="G8" s="212" t="s">
        <v>30</v>
      </c>
      <c r="H8" s="41">
        <v>1E-3</v>
      </c>
      <c r="I8" s="40"/>
      <c r="J8">
        <f t="shared" si="0"/>
        <v>31</v>
      </c>
      <c r="K8" s="803">
        <f t="shared" si="1"/>
        <v>7880200.0000000009</v>
      </c>
      <c r="L8" s="804">
        <f t="shared" si="2"/>
        <v>173364400.00000003</v>
      </c>
    </row>
    <row r="9" spans="3:37" x14ac:dyDescent="0.2">
      <c r="C9" s="210">
        <v>2014</v>
      </c>
      <c r="D9" s="39">
        <v>6</v>
      </c>
      <c r="E9" s="439">
        <v>41640</v>
      </c>
      <c r="F9" s="46">
        <v>0.13900000000000001</v>
      </c>
      <c r="G9" s="215" t="s">
        <v>31</v>
      </c>
      <c r="H9" s="41">
        <v>1E-3</v>
      </c>
      <c r="I9" s="46"/>
      <c r="J9">
        <f t="shared" si="0"/>
        <v>31</v>
      </c>
      <c r="K9" s="803">
        <f t="shared" si="1"/>
        <v>13357900</v>
      </c>
      <c r="L9" s="804">
        <f t="shared" si="2"/>
        <v>293873800</v>
      </c>
    </row>
    <row r="10" spans="3:37" x14ac:dyDescent="0.2">
      <c r="C10" s="210">
        <v>2014</v>
      </c>
      <c r="D10" s="42">
        <v>7</v>
      </c>
      <c r="E10" s="439">
        <v>41671</v>
      </c>
      <c r="F10" s="46">
        <v>0.13900000000000001</v>
      </c>
      <c r="G10" s="215" t="s">
        <v>31</v>
      </c>
      <c r="H10" s="41">
        <v>1E-3</v>
      </c>
      <c r="I10" s="46"/>
      <c r="J10">
        <f t="shared" si="0"/>
        <v>28</v>
      </c>
      <c r="K10" s="803">
        <f t="shared" si="1"/>
        <v>12065200.000000002</v>
      </c>
      <c r="L10" s="804">
        <f t="shared" si="2"/>
        <v>265434400.00000003</v>
      </c>
    </row>
    <row r="11" spans="3:37" x14ac:dyDescent="0.2">
      <c r="C11" s="210">
        <v>2014</v>
      </c>
      <c r="D11" s="44">
        <v>8</v>
      </c>
      <c r="E11" s="439">
        <v>41699</v>
      </c>
      <c r="F11" s="47">
        <v>0.13900000000000001</v>
      </c>
      <c r="G11" s="216" t="s">
        <v>31</v>
      </c>
      <c r="H11" s="41">
        <v>1E-3</v>
      </c>
      <c r="I11" s="47"/>
      <c r="J11">
        <f t="shared" si="0"/>
        <v>31</v>
      </c>
      <c r="K11" s="803">
        <f t="shared" si="1"/>
        <v>13357900</v>
      </c>
      <c r="L11" s="804">
        <f t="shared" si="2"/>
        <v>293873800</v>
      </c>
    </row>
    <row r="12" spans="3:37" x14ac:dyDescent="0.2">
      <c r="C12" s="210">
        <v>2014</v>
      </c>
      <c r="D12" s="39">
        <v>9</v>
      </c>
      <c r="E12" s="439">
        <v>41730</v>
      </c>
      <c r="F12" s="49">
        <v>0.13900000000000001</v>
      </c>
      <c r="G12" s="217" t="s">
        <v>31</v>
      </c>
      <c r="H12" s="41">
        <v>1E-3</v>
      </c>
      <c r="I12" s="49"/>
      <c r="J12">
        <f t="shared" si="0"/>
        <v>30</v>
      </c>
      <c r="K12" s="803">
        <f t="shared" si="1"/>
        <v>12927000</v>
      </c>
      <c r="L12" s="804">
        <f t="shared" si="2"/>
        <v>284394000</v>
      </c>
    </row>
    <row r="13" spans="3:37" x14ac:dyDescent="0.2">
      <c r="C13" s="210">
        <v>2014</v>
      </c>
      <c r="D13" s="39">
        <v>10</v>
      </c>
      <c r="E13" s="439">
        <v>41760</v>
      </c>
      <c r="F13" s="51">
        <v>0.13900000000000001</v>
      </c>
      <c r="G13" s="218" t="s">
        <v>31</v>
      </c>
      <c r="H13" s="41">
        <v>1E-3</v>
      </c>
      <c r="I13" s="51"/>
      <c r="J13">
        <f t="shared" si="0"/>
        <v>31</v>
      </c>
      <c r="K13" s="803">
        <f t="shared" si="1"/>
        <v>13357900</v>
      </c>
      <c r="L13" s="804">
        <f t="shared" si="2"/>
        <v>293873800</v>
      </c>
    </row>
    <row r="14" spans="3:37" x14ac:dyDescent="0.2">
      <c r="C14" s="210">
        <v>2014</v>
      </c>
      <c r="D14" s="42">
        <v>11</v>
      </c>
      <c r="E14" s="439">
        <v>41791</v>
      </c>
      <c r="F14" s="46">
        <v>0.13900000000000001</v>
      </c>
      <c r="G14" s="219" t="s">
        <v>31</v>
      </c>
      <c r="H14" s="41">
        <v>1E-3</v>
      </c>
      <c r="I14" s="46"/>
      <c r="J14">
        <f t="shared" si="0"/>
        <v>30</v>
      </c>
      <c r="K14" s="803">
        <f t="shared" si="1"/>
        <v>12927000</v>
      </c>
      <c r="L14" s="804">
        <f t="shared" si="2"/>
        <v>284394000</v>
      </c>
    </row>
    <row r="15" spans="3:37" x14ac:dyDescent="0.2">
      <c r="C15" s="210">
        <v>2014</v>
      </c>
      <c r="D15" s="44">
        <v>12</v>
      </c>
      <c r="E15" s="439">
        <v>41821</v>
      </c>
      <c r="F15" s="46">
        <v>0.13900000000000001</v>
      </c>
      <c r="G15" s="219" t="s">
        <v>31</v>
      </c>
      <c r="H15" s="41">
        <v>1E-3</v>
      </c>
      <c r="I15" s="46"/>
      <c r="J15">
        <f t="shared" si="0"/>
        <v>31</v>
      </c>
      <c r="K15" s="803">
        <f t="shared" si="1"/>
        <v>13357900</v>
      </c>
      <c r="L15" s="804">
        <f t="shared" si="2"/>
        <v>293873800</v>
      </c>
    </row>
    <row r="16" spans="3:37" x14ac:dyDescent="0.2">
      <c r="C16" s="210">
        <v>2014</v>
      </c>
      <c r="D16" s="39">
        <v>13</v>
      </c>
      <c r="E16" s="439">
        <v>41852</v>
      </c>
      <c r="F16" s="46">
        <v>0.13900000000000001</v>
      </c>
      <c r="G16" s="219" t="s">
        <v>31</v>
      </c>
      <c r="H16" s="41">
        <v>1E-3</v>
      </c>
      <c r="I16" s="46"/>
      <c r="J16">
        <f t="shared" si="0"/>
        <v>31</v>
      </c>
      <c r="K16" s="803">
        <f t="shared" si="1"/>
        <v>13357900</v>
      </c>
      <c r="L16" s="804">
        <f t="shared" si="2"/>
        <v>293873800</v>
      </c>
    </row>
    <row r="17" spans="3:12" x14ac:dyDescent="0.2">
      <c r="C17" s="210">
        <v>2014</v>
      </c>
      <c r="D17" s="39">
        <v>14</v>
      </c>
      <c r="E17" s="439">
        <v>41883</v>
      </c>
      <c r="F17" s="46">
        <v>0.13900000000000001</v>
      </c>
      <c r="G17" s="219" t="s">
        <v>31</v>
      </c>
      <c r="H17" s="41">
        <v>1E-3</v>
      </c>
      <c r="I17" s="46"/>
      <c r="J17">
        <f t="shared" si="0"/>
        <v>30</v>
      </c>
      <c r="K17" s="803">
        <f t="shared" si="1"/>
        <v>12927000</v>
      </c>
      <c r="L17" s="804">
        <f t="shared" si="2"/>
        <v>284394000</v>
      </c>
    </row>
    <row r="18" spans="3:12" x14ac:dyDescent="0.2">
      <c r="C18" s="210">
        <v>2014</v>
      </c>
      <c r="D18" s="42">
        <v>15</v>
      </c>
      <c r="E18" s="439">
        <v>41913</v>
      </c>
      <c r="F18" s="47">
        <v>0.13900000000000001</v>
      </c>
      <c r="G18" s="216" t="s">
        <v>31</v>
      </c>
      <c r="H18" s="41">
        <v>1E-3</v>
      </c>
      <c r="I18" s="47"/>
      <c r="J18">
        <f t="shared" si="0"/>
        <v>31</v>
      </c>
      <c r="K18" s="803">
        <f t="shared" si="1"/>
        <v>13357900</v>
      </c>
      <c r="L18" s="804">
        <f t="shared" si="2"/>
        <v>293873800</v>
      </c>
    </row>
    <row r="19" spans="3:12" x14ac:dyDescent="0.2">
      <c r="C19" s="210">
        <v>2014</v>
      </c>
      <c r="D19" s="44">
        <v>16</v>
      </c>
      <c r="E19" s="439">
        <v>41944</v>
      </c>
      <c r="F19" s="51">
        <v>0.13900000000000001</v>
      </c>
      <c r="G19" s="218" t="s">
        <v>31</v>
      </c>
      <c r="H19" s="41">
        <v>1E-3</v>
      </c>
      <c r="I19" s="51"/>
      <c r="J19">
        <f t="shared" si="0"/>
        <v>30</v>
      </c>
      <c r="K19" s="803">
        <f t="shared" si="1"/>
        <v>12927000</v>
      </c>
      <c r="L19" s="804">
        <f t="shared" si="2"/>
        <v>284394000</v>
      </c>
    </row>
    <row r="20" spans="3:12" x14ac:dyDescent="0.2">
      <c r="C20" s="210">
        <v>2014</v>
      </c>
      <c r="D20" s="39">
        <v>17</v>
      </c>
      <c r="E20" s="439">
        <v>41974</v>
      </c>
      <c r="F20" s="47">
        <v>0.13900000000000001</v>
      </c>
      <c r="G20" s="216" t="s">
        <v>31</v>
      </c>
      <c r="H20" s="41">
        <v>1E-3</v>
      </c>
      <c r="I20" s="47"/>
      <c r="J20">
        <f t="shared" si="0"/>
        <v>31</v>
      </c>
      <c r="K20" s="803">
        <f t="shared" si="1"/>
        <v>13357900</v>
      </c>
      <c r="L20" s="804">
        <f t="shared" si="2"/>
        <v>293873800</v>
      </c>
    </row>
    <row r="21" spans="3:12" x14ac:dyDescent="0.2">
      <c r="C21" s="210">
        <v>2015</v>
      </c>
      <c r="D21" s="39">
        <v>18</v>
      </c>
      <c r="E21" s="439">
        <v>42005</v>
      </c>
      <c r="F21" s="49">
        <v>0.14699999999999999</v>
      </c>
      <c r="G21" s="217" t="s">
        <v>32</v>
      </c>
      <c r="H21" s="41">
        <v>1E-3</v>
      </c>
      <c r="I21" s="49"/>
      <c r="J21">
        <f t="shared" si="0"/>
        <v>31</v>
      </c>
      <c r="K21" s="803">
        <f t="shared" si="1"/>
        <v>14126699.999999998</v>
      </c>
      <c r="L21" s="804">
        <f t="shared" si="2"/>
        <v>310787399.99999994</v>
      </c>
    </row>
    <row r="22" spans="3:12" x14ac:dyDescent="0.2">
      <c r="C22" s="210">
        <v>2015</v>
      </c>
      <c r="D22" s="42">
        <v>19</v>
      </c>
      <c r="E22" s="439">
        <v>42036</v>
      </c>
      <c r="F22" s="49">
        <v>0.14699999999999999</v>
      </c>
      <c r="G22" s="217" t="s">
        <v>32</v>
      </c>
      <c r="H22" s="41">
        <v>1E-3</v>
      </c>
      <c r="I22" s="49"/>
      <c r="J22">
        <f t="shared" si="0"/>
        <v>28</v>
      </c>
      <c r="K22" s="803">
        <f t="shared" si="1"/>
        <v>12759599.999999998</v>
      </c>
      <c r="L22" s="804">
        <f t="shared" si="2"/>
        <v>280711199.99999994</v>
      </c>
    </row>
    <row r="23" spans="3:12" x14ac:dyDescent="0.2">
      <c r="C23" s="210">
        <v>2015</v>
      </c>
      <c r="D23" s="44">
        <v>20</v>
      </c>
      <c r="E23" s="439">
        <v>42064</v>
      </c>
      <c r="F23" s="49">
        <v>0.14699999999999999</v>
      </c>
      <c r="G23" s="217" t="s">
        <v>32</v>
      </c>
      <c r="H23" s="41">
        <v>1E-3</v>
      </c>
      <c r="I23" s="49"/>
      <c r="J23">
        <f t="shared" si="0"/>
        <v>31</v>
      </c>
      <c r="K23" s="803">
        <f t="shared" si="1"/>
        <v>14126699.999999998</v>
      </c>
      <c r="L23" s="804">
        <f t="shared" si="2"/>
        <v>310787399.99999994</v>
      </c>
    </row>
    <row r="24" spans="3:12" x14ac:dyDescent="0.2">
      <c r="C24" s="210">
        <v>2015</v>
      </c>
      <c r="D24" s="39">
        <v>21</v>
      </c>
      <c r="E24" s="439">
        <v>42095</v>
      </c>
      <c r="F24" s="49">
        <v>0.14699999999999999</v>
      </c>
      <c r="G24" s="217" t="s">
        <v>32</v>
      </c>
      <c r="H24" s="41">
        <v>1E-3</v>
      </c>
      <c r="I24" s="49"/>
      <c r="J24">
        <f t="shared" si="0"/>
        <v>30</v>
      </c>
      <c r="K24" s="803">
        <f t="shared" si="1"/>
        <v>13671000</v>
      </c>
      <c r="L24" s="804">
        <f t="shared" si="2"/>
        <v>300762000</v>
      </c>
    </row>
    <row r="25" spans="3:12" x14ac:dyDescent="0.2">
      <c r="C25" s="210">
        <v>2015</v>
      </c>
      <c r="D25" s="39">
        <v>22</v>
      </c>
      <c r="E25" s="439">
        <v>42125</v>
      </c>
      <c r="F25" s="49">
        <v>0.14699999999999999</v>
      </c>
      <c r="G25" s="217" t="s">
        <v>32</v>
      </c>
      <c r="H25" s="41">
        <v>1E-3</v>
      </c>
      <c r="I25" s="49"/>
      <c r="J25">
        <f t="shared" si="0"/>
        <v>31</v>
      </c>
      <c r="K25" s="803">
        <f t="shared" si="1"/>
        <v>14126699.999999998</v>
      </c>
      <c r="L25" s="804">
        <f t="shared" si="2"/>
        <v>310787399.99999994</v>
      </c>
    </row>
    <row r="26" spans="3:12" x14ac:dyDescent="0.2">
      <c r="C26" s="210">
        <v>2015</v>
      </c>
      <c r="D26" s="42">
        <v>23</v>
      </c>
      <c r="E26" s="439">
        <v>42156</v>
      </c>
      <c r="F26" s="54">
        <v>0.14699999999999999</v>
      </c>
      <c r="G26" s="220" t="s">
        <v>32</v>
      </c>
      <c r="H26" s="41">
        <v>1E-3</v>
      </c>
      <c r="I26" s="54"/>
      <c r="J26">
        <f t="shared" si="0"/>
        <v>30</v>
      </c>
      <c r="K26" s="803">
        <f t="shared" si="1"/>
        <v>13671000</v>
      </c>
      <c r="L26" s="804">
        <f t="shared" si="2"/>
        <v>300762000</v>
      </c>
    </row>
    <row r="27" spans="3:12" x14ac:dyDescent="0.2">
      <c r="C27" s="210">
        <v>2015</v>
      </c>
      <c r="D27" s="44">
        <v>24</v>
      </c>
      <c r="E27" s="439">
        <v>42186</v>
      </c>
      <c r="F27" s="55">
        <v>0.14699999999999999</v>
      </c>
      <c r="G27" s="221" t="s">
        <v>32</v>
      </c>
      <c r="H27" s="41">
        <v>1E-3</v>
      </c>
      <c r="I27" s="55"/>
      <c r="J27">
        <f t="shared" si="0"/>
        <v>31</v>
      </c>
      <c r="K27" s="803">
        <f t="shared" si="1"/>
        <v>14126699.999999998</v>
      </c>
      <c r="L27" s="804">
        <f t="shared" si="2"/>
        <v>310787399.99999994</v>
      </c>
    </row>
    <row r="28" spans="3:12" x14ac:dyDescent="0.2">
      <c r="C28" s="210">
        <v>2015</v>
      </c>
      <c r="D28" s="39">
        <v>25</v>
      </c>
      <c r="E28" s="439">
        <v>42217</v>
      </c>
      <c r="F28" s="51">
        <v>0.14699999999999999</v>
      </c>
      <c r="G28" s="218" t="s">
        <v>32</v>
      </c>
      <c r="H28" s="41">
        <v>1E-3</v>
      </c>
      <c r="I28" s="51"/>
      <c r="J28">
        <f t="shared" si="0"/>
        <v>31</v>
      </c>
      <c r="K28" s="803">
        <f t="shared" si="1"/>
        <v>14126699.999999998</v>
      </c>
      <c r="L28" s="804">
        <f t="shared" si="2"/>
        <v>310787399.99999994</v>
      </c>
    </row>
    <row r="29" spans="3:12" x14ac:dyDescent="0.2">
      <c r="C29" s="210">
        <v>2015</v>
      </c>
      <c r="D29" s="39">
        <v>26</v>
      </c>
      <c r="E29" s="439">
        <v>42248</v>
      </c>
      <c r="F29" s="46">
        <v>0.14699999999999999</v>
      </c>
      <c r="G29" s="219" t="s">
        <v>32</v>
      </c>
      <c r="H29" s="41">
        <v>1E-3</v>
      </c>
      <c r="I29" s="46"/>
      <c r="J29">
        <f t="shared" si="0"/>
        <v>30</v>
      </c>
      <c r="K29" s="803">
        <f t="shared" si="1"/>
        <v>13671000</v>
      </c>
      <c r="L29" s="804">
        <f t="shared" si="2"/>
        <v>300762000</v>
      </c>
    </row>
    <row r="30" spans="3:12" x14ac:dyDescent="0.2">
      <c r="C30" s="210">
        <v>2015</v>
      </c>
      <c r="D30" s="42">
        <v>27</v>
      </c>
      <c r="E30" s="439">
        <v>42278</v>
      </c>
      <c r="F30" s="46">
        <v>0.14699999999999999</v>
      </c>
      <c r="G30" s="219" t="s">
        <v>32</v>
      </c>
      <c r="H30" s="41">
        <v>1E-3</v>
      </c>
      <c r="I30" s="46"/>
      <c r="J30">
        <f t="shared" si="0"/>
        <v>31</v>
      </c>
      <c r="K30" s="803">
        <f t="shared" si="1"/>
        <v>14126699.999999998</v>
      </c>
      <c r="L30" s="804">
        <f t="shared" si="2"/>
        <v>310787399.99999994</v>
      </c>
    </row>
    <row r="31" spans="3:12" x14ac:dyDescent="0.2">
      <c r="C31" s="210">
        <v>2015</v>
      </c>
      <c r="D31" s="44">
        <v>28</v>
      </c>
      <c r="E31" s="439">
        <v>42309</v>
      </c>
      <c r="F31" s="46">
        <v>0.14699999999999999</v>
      </c>
      <c r="G31" s="219" t="s">
        <v>32</v>
      </c>
      <c r="H31" s="41">
        <v>1E-3</v>
      </c>
      <c r="I31" s="46"/>
      <c r="J31">
        <f t="shared" si="0"/>
        <v>30</v>
      </c>
      <c r="K31" s="803">
        <f t="shared" si="1"/>
        <v>13671000</v>
      </c>
      <c r="L31" s="804">
        <f t="shared" si="2"/>
        <v>300762000</v>
      </c>
    </row>
    <row r="32" spans="3:12" x14ac:dyDescent="0.2">
      <c r="C32" s="210">
        <v>2015</v>
      </c>
      <c r="D32" s="39">
        <v>29</v>
      </c>
      <c r="E32" s="439">
        <v>42339</v>
      </c>
      <c r="F32" s="47">
        <v>0.14699999999999999</v>
      </c>
      <c r="G32" s="216" t="s">
        <v>32</v>
      </c>
      <c r="H32" s="41">
        <v>1E-3</v>
      </c>
      <c r="I32" s="47"/>
      <c r="J32">
        <f t="shared" si="0"/>
        <v>31</v>
      </c>
      <c r="K32" s="803">
        <f t="shared" si="1"/>
        <v>14126699.999999998</v>
      </c>
      <c r="L32" s="804">
        <f t="shared" si="2"/>
        <v>310787399.99999994</v>
      </c>
    </row>
    <row r="33" spans="3:12" x14ac:dyDescent="0.2">
      <c r="C33" s="210">
        <v>2016</v>
      </c>
      <c r="D33" s="39">
        <v>30</v>
      </c>
      <c r="E33" s="451">
        <v>42370</v>
      </c>
      <c r="F33" s="452">
        <v>0.14699999999999999</v>
      </c>
      <c r="G33" s="453" t="s">
        <v>33</v>
      </c>
      <c r="H33" s="454">
        <v>1E-3</v>
      </c>
      <c r="I33" s="452"/>
      <c r="J33">
        <f t="shared" si="0"/>
        <v>31</v>
      </c>
      <c r="K33" s="803">
        <f t="shared" si="1"/>
        <v>14126699.999999998</v>
      </c>
      <c r="L33" s="804">
        <f t="shared" si="2"/>
        <v>310787399.99999994</v>
      </c>
    </row>
    <row r="34" spans="3:12" x14ac:dyDescent="0.2">
      <c r="C34" s="210">
        <v>2016</v>
      </c>
      <c r="D34" s="42">
        <v>31</v>
      </c>
      <c r="E34" s="451">
        <v>42401</v>
      </c>
      <c r="F34" s="455">
        <v>0.14699999999999999</v>
      </c>
      <c r="G34" s="456" t="s">
        <v>33</v>
      </c>
      <c r="H34" s="454">
        <v>1E-3</v>
      </c>
      <c r="I34" s="455"/>
      <c r="J34">
        <f t="shared" si="0"/>
        <v>29</v>
      </c>
      <c r="K34" s="803">
        <f t="shared" si="1"/>
        <v>13215300</v>
      </c>
      <c r="L34" s="804">
        <f t="shared" si="2"/>
        <v>290736600</v>
      </c>
    </row>
    <row r="35" spans="3:12" x14ac:dyDescent="0.2">
      <c r="C35" s="210">
        <v>2016</v>
      </c>
      <c r="D35" s="44">
        <v>32</v>
      </c>
      <c r="E35" s="451">
        <v>42430</v>
      </c>
      <c r="F35" s="457">
        <v>0.14699999999999999</v>
      </c>
      <c r="G35" s="458" t="s">
        <v>33</v>
      </c>
      <c r="H35" s="454">
        <v>1E-3</v>
      </c>
      <c r="I35" s="457"/>
      <c r="J35">
        <f t="shared" si="0"/>
        <v>31</v>
      </c>
      <c r="K35" s="803">
        <f t="shared" si="1"/>
        <v>14126699.999999998</v>
      </c>
      <c r="L35" s="804">
        <f t="shared" si="2"/>
        <v>310787399.99999994</v>
      </c>
    </row>
    <row r="36" spans="3:12" x14ac:dyDescent="0.2">
      <c r="C36" s="210">
        <v>2016</v>
      </c>
      <c r="D36" s="39">
        <v>33</v>
      </c>
      <c r="E36" s="451">
        <v>42461</v>
      </c>
      <c r="F36" s="457">
        <v>0.14699999999999999</v>
      </c>
      <c r="G36" s="459">
        <v>1.8409999999999999E-2</v>
      </c>
      <c r="H36" s="454">
        <v>1E-3</v>
      </c>
      <c r="I36" s="457"/>
      <c r="J36">
        <f t="shared" si="0"/>
        <v>30</v>
      </c>
      <c r="K36" s="803">
        <f t="shared" si="1"/>
        <v>13671000</v>
      </c>
      <c r="L36" s="804">
        <f t="shared" si="2"/>
        <v>300762000</v>
      </c>
    </row>
    <row r="37" spans="3:12" x14ac:dyDescent="0.2">
      <c r="C37" s="210">
        <v>2016</v>
      </c>
      <c r="D37" s="39">
        <v>34</v>
      </c>
      <c r="E37" s="451">
        <v>42491</v>
      </c>
      <c r="F37" s="457">
        <v>0.14699999999999999</v>
      </c>
      <c r="G37" s="458" t="s">
        <v>33</v>
      </c>
      <c r="H37" s="454">
        <v>1E-3</v>
      </c>
      <c r="I37" s="457"/>
      <c r="J37">
        <f t="shared" si="0"/>
        <v>31</v>
      </c>
      <c r="K37" s="803">
        <f t="shared" si="1"/>
        <v>14126699.999999998</v>
      </c>
      <c r="L37" s="804">
        <f t="shared" si="2"/>
        <v>310787399.99999994</v>
      </c>
    </row>
    <row r="38" spans="3:12" x14ac:dyDescent="0.2">
      <c r="C38" s="210">
        <v>2016</v>
      </c>
      <c r="D38" s="42">
        <v>35</v>
      </c>
      <c r="E38" s="451">
        <v>42522</v>
      </c>
      <c r="F38" s="457">
        <v>0.14699999999999999</v>
      </c>
      <c r="G38" s="458" t="s">
        <v>33</v>
      </c>
      <c r="H38" s="454">
        <v>1E-3</v>
      </c>
      <c r="I38" s="457"/>
      <c r="J38">
        <f t="shared" si="0"/>
        <v>30</v>
      </c>
      <c r="K38" s="803">
        <f t="shared" si="1"/>
        <v>13671000</v>
      </c>
      <c r="L38" s="804">
        <f t="shared" si="2"/>
        <v>300762000</v>
      </c>
    </row>
    <row r="39" spans="3:12" x14ac:dyDescent="0.2">
      <c r="C39" s="210">
        <v>2016</v>
      </c>
      <c r="D39" s="44">
        <v>36</v>
      </c>
      <c r="E39" s="451">
        <v>42552</v>
      </c>
      <c r="F39" s="457">
        <v>0.14699999999999999</v>
      </c>
      <c r="G39" s="458" t="s">
        <v>33</v>
      </c>
      <c r="H39" s="454">
        <v>1E-3</v>
      </c>
      <c r="I39" s="457"/>
      <c r="J39">
        <f t="shared" si="0"/>
        <v>31</v>
      </c>
      <c r="K39" s="803">
        <f t="shared" si="1"/>
        <v>14126699.999999998</v>
      </c>
      <c r="L39" s="804">
        <f t="shared" si="2"/>
        <v>310787399.99999994</v>
      </c>
    </row>
    <row r="40" spans="3:12" x14ac:dyDescent="0.2">
      <c r="C40" s="210">
        <v>2016</v>
      </c>
      <c r="D40" s="39">
        <v>37</v>
      </c>
      <c r="E40" s="451">
        <v>42583</v>
      </c>
      <c r="F40" s="457">
        <v>0.14699999999999999</v>
      </c>
      <c r="G40" s="458" t="s">
        <v>33</v>
      </c>
      <c r="H40" s="454">
        <v>1E-3</v>
      </c>
      <c r="I40" s="457"/>
      <c r="J40">
        <f t="shared" si="0"/>
        <v>31</v>
      </c>
      <c r="K40" s="803">
        <f t="shared" si="1"/>
        <v>14126699.999999998</v>
      </c>
      <c r="L40" s="804">
        <f t="shared" si="2"/>
        <v>310787399.99999994</v>
      </c>
    </row>
    <row r="41" spans="3:12" x14ac:dyDescent="0.2">
      <c r="C41" s="210">
        <v>2016</v>
      </c>
      <c r="D41" s="39">
        <v>38</v>
      </c>
      <c r="E41" s="451">
        <v>42614</v>
      </c>
      <c r="F41" s="457">
        <v>0.14699999999999999</v>
      </c>
      <c r="G41" s="458" t="s">
        <v>33</v>
      </c>
      <c r="H41" s="454">
        <v>1E-3</v>
      </c>
      <c r="I41" s="457"/>
      <c r="J41">
        <f t="shared" si="0"/>
        <v>30</v>
      </c>
      <c r="K41" s="803">
        <f t="shared" si="1"/>
        <v>13671000</v>
      </c>
      <c r="L41" s="804">
        <f t="shared" si="2"/>
        <v>300762000</v>
      </c>
    </row>
    <row r="42" spans="3:12" x14ac:dyDescent="0.2">
      <c r="C42" s="210">
        <v>2016</v>
      </c>
      <c r="D42" s="42">
        <v>39</v>
      </c>
      <c r="E42" s="451">
        <v>42644</v>
      </c>
      <c r="F42" s="457">
        <v>0.14699999999999999</v>
      </c>
      <c r="G42" s="458" t="s">
        <v>33</v>
      </c>
      <c r="H42" s="454">
        <v>1E-3</v>
      </c>
      <c r="I42" s="457"/>
      <c r="J42">
        <f t="shared" si="0"/>
        <v>31</v>
      </c>
      <c r="K42" s="803">
        <f t="shared" si="1"/>
        <v>14126699.999999998</v>
      </c>
      <c r="L42" s="804">
        <f t="shared" si="2"/>
        <v>310787399.99999994</v>
      </c>
    </row>
    <row r="43" spans="3:12" x14ac:dyDescent="0.2">
      <c r="C43" s="210">
        <v>2016</v>
      </c>
      <c r="D43" s="44">
        <v>40</v>
      </c>
      <c r="E43" s="451">
        <v>42675</v>
      </c>
      <c r="F43" s="457">
        <v>0.14699999999999999</v>
      </c>
      <c r="G43" s="458" t="s">
        <v>33</v>
      </c>
      <c r="H43" s="454">
        <v>1E-3</v>
      </c>
      <c r="I43" s="457"/>
      <c r="J43">
        <f t="shared" si="0"/>
        <v>30</v>
      </c>
      <c r="K43" s="803">
        <f t="shared" si="1"/>
        <v>13671000</v>
      </c>
      <c r="L43" s="804">
        <f t="shared" si="2"/>
        <v>300762000</v>
      </c>
    </row>
    <row r="44" spans="3:12" x14ac:dyDescent="0.2">
      <c r="C44" s="210">
        <v>2016</v>
      </c>
      <c r="D44" s="39">
        <v>41</v>
      </c>
      <c r="E44" s="451">
        <v>42705</v>
      </c>
      <c r="F44" s="457">
        <v>0.14699999999999999</v>
      </c>
      <c r="G44" s="458" t="s">
        <v>33</v>
      </c>
      <c r="H44" s="454">
        <v>1E-3</v>
      </c>
      <c r="I44" s="457"/>
      <c r="J44">
        <f t="shared" si="0"/>
        <v>31</v>
      </c>
      <c r="K44" s="803">
        <f t="shared" si="1"/>
        <v>14126699.999999998</v>
      </c>
      <c r="L44" s="804">
        <f t="shared" si="2"/>
        <v>310787399.99999994</v>
      </c>
    </row>
    <row r="45" spans="3:12" x14ac:dyDescent="0.2">
      <c r="C45" s="210">
        <v>2017</v>
      </c>
      <c r="D45" s="39">
        <v>42</v>
      </c>
      <c r="E45" s="439">
        <v>42736</v>
      </c>
      <c r="F45" s="47">
        <v>0.14799999999999999</v>
      </c>
      <c r="G45" s="216" t="s">
        <v>34</v>
      </c>
      <c r="H45" s="41">
        <v>1E-3</v>
      </c>
      <c r="I45" s="47"/>
      <c r="J45">
        <f t="shared" si="0"/>
        <v>31</v>
      </c>
      <c r="K45" s="803">
        <f t="shared" si="1"/>
        <v>14222800</v>
      </c>
      <c r="L45" s="804">
        <f t="shared" si="2"/>
        <v>312901600</v>
      </c>
    </row>
    <row r="46" spans="3:12" x14ac:dyDescent="0.2">
      <c r="C46" s="210">
        <v>2017</v>
      </c>
      <c r="D46" s="42">
        <v>43</v>
      </c>
      <c r="E46" s="439">
        <v>42767</v>
      </c>
      <c r="F46" s="51">
        <v>0.14799999999999999</v>
      </c>
      <c r="G46" s="218" t="s">
        <v>34</v>
      </c>
      <c r="H46" s="41">
        <v>1E-3</v>
      </c>
      <c r="I46" s="51"/>
      <c r="J46">
        <f t="shared" si="0"/>
        <v>28</v>
      </c>
      <c r="K46" s="803">
        <f t="shared" si="1"/>
        <v>12846400</v>
      </c>
      <c r="L46" s="804">
        <f t="shared" si="2"/>
        <v>282620800</v>
      </c>
    </row>
    <row r="47" spans="3:12" x14ac:dyDescent="0.2">
      <c r="C47" s="210">
        <v>2017</v>
      </c>
      <c r="D47" s="44">
        <v>44</v>
      </c>
      <c r="E47" s="439">
        <v>42795</v>
      </c>
      <c r="F47" s="47">
        <v>0.14799999999999999</v>
      </c>
      <c r="G47" s="216" t="s">
        <v>35</v>
      </c>
      <c r="H47" s="41">
        <v>1E-3</v>
      </c>
      <c r="I47" s="47"/>
      <c r="J47">
        <f t="shared" si="0"/>
        <v>31</v>
      </c>
      <c r="K47" s="803">
        <f t="shared" si="1"/>
        <v>14222800</v>
      </c>
      <c r="L47" s="804">
        <f t="shared" si="2"/>
        <v>312901600</v>
      </c>
    </row>
    <row r="48" spans="3:12" x14ac:dyDescent="0.2">
      <c r="C48" s="210">
        <v>2017</v>
      </c>
      <c r="D48" s="39">
        <v>45</v>
      </c>
      <c r="E48" s="439">
        <v>42826</v>
      </c>
      <c r="F48" s="49">
        <v>0.14799999999999999</v>
      </c>
      <c r="G48" s="217" t="s">
        <v>34</v>
      </c>
      <c r="H48" s="41">
        <v>1E-3</v>
      </c>
      <c r="I48" s="49"/>
      <c r="J48">
        <f t="shared" si="0"/>
        <v>30</v>
      </c>
      <c r="K48" s="803">
        <f t="shared" si="1"/>
        <v>13763999.999999998</v>
      </c>
      <c r="L48" s="804">
        <f t="shared" si="2"/>
        <v>302807999.99999994</v>
      </c>
    </row>
    <row r="49" spans="3:12" x14ac:dyDescent="0.2">
      <c r="C49" s="210">
        <v>2017</v>
      </c>
      <c r="D49" s="39">
        <v>46</v>
      </c>
      <c r="E49" s="439">
        <v>42856</v>
      </c>
      <c r="F49" s="54">
        <v>0.14799999999999999</v>
      </c>
      <c r="G49" s="220" t="s">
        <v>34</v>
      </c>
      <c r="H49" s="41">
        <v>1E-3</v>
      </c>
      <c r="I49" s="825"/>
      <c r="J49">
        <f t="shared" si="0"/>
        <v>31</v>
      </c>
      <c r="K49" s="803">
        <f t="shared" si="1"/>
        <v>14222800</v>
      </c>
      <c r="L49" s="804">
        <f t="shared" si="2"/>
        <v>312901600</v>
      </c>
    </row>
    <row r="50" spans="3:12" x14ac:dyDescent="0.2">
      <c r="C50" s="210">
        <v>2017</v>
      </c>
      <c r="D50" s="42">
        <v>47</v>
      </c>
      <c r="E50" s="439">
        <v>42887</v>
      </c>
      <c r="F50" s="56">
        <v>0.14799999999999999</v>
      </c>
      <c r="G50" s="222" t="s">
        <v>34</v>
      </c>
      <c r="H50" s="41">
        <v>1E-3</v>
      </c>
      <c r="I50" s="56"/>
      <c r="J50">
        <f t="shared" si="0"/>
        <v>30</v>
      </c>
      <c r="K50" s="803">
        <f t="shared" si="1"/>
        <v>13763999.999999998</v>
      </c>
      <c r="L50" s="804">
        <f t="shared" si="2"/>
        <v>302807999.99999994</v>
      </c>
    </row>
    <row r="51" spans="3:12" x14ac:dyDescent="0.2">
      <c r="C51" s="210">
        <v>2017</v>
      </c>
      <c r="D51" s="44">
        <v>48</v>
      </c>
      <c r="E51" s="439">
        <v>42917</v>
      </c>
      <c r="F51" s="56">
        <v>0.14799999999999999</v>
      </c>
      <c r="G51" s="222" t="s">
        <v>34</v>
      </c>
      <c r="H51" s="41">
        <v>1E-3</v>
      </c>
      <c r="I51" s="56"/>
      <c r="J51">
        <f t="shared" si="0"/>
        <v>31</v>
      </c>
      <c r="K51" s="803">
        <f t="shared" si="1"/>
        <v>14222800</v>
      </c>
      <c r="L51" s="804">
        <f t="shared" si="2"/>
        <v>312901600</v>
      </c>
    </row>
    <row r="52" spans="3:12" x14ac:dyDescent="0.2">
      <c r="C52" s="210">
        <v>2017</v>
      </c>
      <c r="D52" s="39">
        <v>49</v>
      </c>
      <c r="E52" s="439">
        <v>42948</v>
      </c>
      <c r="F52" s="55">
        <v>0.14799999999999999</v>
      </c>
      <c r="G52" s="221" t="s">
        <v>34</v>
      </c>
      <c r="H52" s="41">
        <v>1E-3</v>
      </c>
      <c r="I52" s="55"/>
      <c r="J52">
        <f t="shared" si="0"/>
        <v>31</v>
      </c>
      <c r="K52" s="803">
        <f t="shared" si="1"/>
        <v>14222800</v>
      </c>
      <c r="L52" s="804">
        <f t="shared" si="2"/>
        <v>312901600</v>
      </c>
    </row>
    <row r="53" spans="3:12" x14ac:dyDescent="0.2">
      <c r="C53" s="210">
        <v>2017</v>
      </c>
      <c r="D53" s="39">
        <v>50</v>
      </c>
      <c r="E53" s="439">
        <v>42979</v>
      </c>
      <c r="F53" s="49">
        <v>0.14799999999999999</v>
      </c>
      <c r="G53" s="217" t="s">
        <v>34</v>
      </c>
      <c r="H53" s="41">
        <v>1E-3</v>
      </c>
      <c r="I53" s="49"/>
      <c r="J53">
        <f t="shared" si="0"/>
        <v>30</v>
      </c>
      <c r="K53" s="803">
        <f t="shared" si="1"/>
        <v>13763999.999999998</v>
      </c>
      <c r="L53" s="804">
        <f t="shared" si="2"/>
        <v>302807999.99999994</v>
      </c>
    </row>
    <row r="54" spans="3:12" x14ac:dyDescent="0.2">
      <c r="C54" s="210">
        <v>2017</v>
      </c>
      <c r="D54" s="42">
        <v>51</v>
      </c>
      <c r="E54" s="439">
        <v>43009</v>
      </c>
      <c r="F54" s="58">
        <v>0.14799999999999999</v>
      </c>
      <c r="G54" s="223" t="s">
        <v>34</v>
      </c>
      <c r="H54" s="41">
        <v>1E-3</v>
      </c>
      <c r="I54" s="58"/>
      <c r="J54">
        <f t="shared" si="0"/>
        <v>31</v>
      </c>
      <c r="K54" s="803">
        <f t="shared" si="1"/>
        <v>14222800</v>
      </c>
      <c r="L54" s="804">
        <f t="shared" si="2"/>
        <v>312901600</v>
      </c>
    </row>
    <row r="55" spans="3:12" x14ac:dyDescent="0.2">
      <c r="C55" s="210">
        <v>2017</v>
      </c>
      <c r="D55" s="44">
        <v>52</v>
      </c>
      <c r="E55" s="439">
        <v>43040</v>
      </c>
      <c r="F55" s="59">
        <v>0.14799999999999999</v>
      </c>
      <c r="G55" s="224" t="s">
        <v>34</v>
      </c>
      <c r="H55" s="41">
        <v>1E-3</v>
      </c>
      <c r="I55" s="59"/>
      <c r="J55">
        <f t="shared" si="0"/>
        <v>30</v>
      </c>
      <c r="K55" s="803">
        <f t="shared" si="1"/>
        <v>13763999.999999998</v>
      </c>
      <c r="L55" s="804">
        <f t="shared" si="2"/>
        <v>302807999.99999994</v>
      </c>
    </row>
    <row r="56" spans="3:12" x14ac:dyDescent="0.2">
      <c r="C56" s="210">
        <v>2017</v>
      </c>
      <c r="D56" s="39">
        <v>53</v>
      </c>
      <c r="E56" s="439">
        <v>43070</v>
      </c>
      <c r="F56" s="59">
        <v>0.14799999999999999</v>
      </c>
      <c r="G56" s="224" t="s">
        <v>34</v>
      </c>
      <c r="H56" s="41">
        <v>1E-3</v>
      </c>
      <c r="I56" s="59"/>
      <c r="J56">
        <f t="shared" si="0"/>
        <v>31</v>
      </c>
      <c r="K56" s="803">
        <f t="shared" si="1"/>
        <v>14222800</v>
      </c>
      <c r="L56" s="804">
        <f t="shared" si="2"/>
        <v>312901600</v>
      </c>
    </row>
    <row r="57" spans="3:12" x14ac:dyDescent="0.2">
      <c r="C57" s="210">
        <v>2018</v>
      </c>
      <c r="D57" s="39">
        <v>54</v>
      </c>
      <c r="E57" s="439">
        <v>43101</v>
      </c>
      <c r="F57" s="59">
        <v>0.14799999999999999</v>
      </c>
      <c r="G57" s="224" t="s">
        <v>37</v>
      </c>
      <c r="H57" s="41">
        <v>1E-3</v>
      </c>
      <c r="I57" s="59"/>
      <c r="J57">
        <f t="shared" si="0"/>
        <v>31</v>
      </c>
      <c r="K57" s="803">
        <f t="shared" si="1"/>
        <v>14222800</v>
      </c>
      <c r="L57" s="804">
        <f t="shared" si="2"/>
        <v>312901600</v>
      </c>
    </row>
    <row r="58" spans="3:12" x14ac:dyDescent="0.2">
      <c r="C58" s="210">
        <v>2018</v>
      </c>
      <c r="D58" s="42">
        <v>55</v>
      </c>
      <c r="E58" s="439">
        <v>43132</v>
      </c>
      <c r="F58" s="59">
        <v>0.14799999999999999</v>
      </c>
      <c r="G58" s="224" t="s">
        <v>37</v>
      </c>
      <c r="H58" s="41">
        <v>1E-3</v>
      </c>
      <c r="I58" s="59"/>
      <c r="J58">
        <f t="shared" si="0"/>
        <v>28</v>
      </c>
      <c r="K58" s="803">
        <f t="shared" si="1"/>
        <v>12846400</v>
      </c>
      <c r="L58" s="804">
        <f t="shared" si="2"/>
        <v>282620800</v>
      </c>
    </row>
    <row r="59" spans="3:12" x14ac:dyDescent="0.2">
      <c r="C59" s="210">
        <v>2018</v>
      </c>
      <c r="D59" s="44">
        <v>56</v>
      </c>
      <c r="E59" s="439">
        <v>43160</v>
      </c>
      <c r="F59" s="59">
        <v>0.14799999999999999</v>
      </c>
      <c r="G59" s="224" t="s">
        <v>37</v>
      </c>
      <c r="H59" s="41">
        <v>1E-3</v>
      </c>
      <c r="I59" s="59"/>
      <c r="J59">
        <f t="shared" si="0"/>
        <v>31</v>
      </c>
      <c r="K59" s="803">
        <f t="shared" si="1"/>
        <v>14222800</v>
      </c>
      <c r="L59" s="804">
        <f t="shared" si="2"/>
        <v>312901600</v>
      </c>
    </row>
    <row r="60" spans="3:12" x14ac:dyDescent="0.2">
      <c r="C60" s="210">
        <v>2018</v>
      </c>
      <c r="D60" s="39">
        <v>57</v>
      </c>
      <c r="E60" s="439">
        <v>43191</v>
      </c>
      <c r="F60" s="59">
        <v>0.14799999999999999</v>
      </c>
      <c r="G60" s="224" t="s">
        <v>37</v>
      </c>
      <c r="H60" s="41">
        <v>1E-3</v>
      </c>
      <c r="I60" s="59"/>
      <c r="J60">
        <f t="shared" si="0"/>
        <v>30</v>
      </c>
      <c r="K60" s="803">
        <f t="shared" si="1"/>
        <v>13763999.999999998</v>
      </c>
      <c r="L60" s="804">
        <f t="shared" si="2"/>
        <v>302807999.99999994</v>
      </c>
    </row>
    <row r="61" spans="3:12" x14ac:dyDescent="0.2">
      <c r="C61" s="210">
        <v>2018</v>
      </c>
      <c r="D61" s="39">
        <v>58</v>
      </c>
      <c r="E61" s="439">
        <v>43221</v>
      </c>
      <c r="F61" s="59">
        <v>0.14799999999999999</v>
      </c>
      <c r="G61" s="224" t="s">
        <v>37</v>
      </c>
      <c r="H61" s="41">
        <v>1E-3</v>
      </c>
      <c r="I61" s="826">
        <v>1.4200000000000001E-2</v>
      </c>
      <c r="J61">
        <f t="shared" si="0"/>
        <v>31</v>
      </c>
      <c r="K61" s="803">
        <f t="shared" si="1"/>
        <v>14222800</v>
      </c>
      <c r="L61" s="804">
        <f t="shared" si="2"/>
        <v>312901600</v>
      </c>
    </row>
    <row r="62" spans="3:12" x14ac:dyDescent="0.2">
      <c r="C62" s="210">
        <v>2018</v>
      </c>
      <c r="D62" s="42">
        <v>59</v>
      </c>
      <c r="E62" s="439">
        <v>43252</v>
      </c>
      <c r="F62" s="59">
        <v>0.14799999999999999</v>
      </c>
      <c r="G62" s="224" t="s">
        <v>37</v>
      </c>
      <c r="H62" s="41">
        <v>1E-3</v>
      </c>
      <c r="I62" s="826">
        <v>1.4200000000000001E-2</v>
      </c>
      <c r="J62">
        <f t="shared" si="0"/>
        <v>30</v>
      </c>
      <c r="K62" s="803">
        <f t="shared" si="1"/>
        <v>13763999.999999998</v>
      </c>
      <c r="L62" s="804">
        <f t="shared" si="2"/>
        <v>302807999.99999994</v>
      </c>
    </row>
    <row r="63" spans="3:12" x14ac:dyDescent="0.2">
      <c r="C63" s="210">
        <v>2018</v>
      </c>
      <c r="D63" s="44">
        <v>60</v>
      </c>
      <c r="E63" s="439">
        <v>43282</v>
      </c>
      <c r="F63" s="59">
        <v>0.14799999999999999</v>
      </c>
      <c r="G63" s="224" t="s">
        <v>37</v>
      </c>
      <c r="H63" s="41">
        <v>1E-3</v>
      </c>
      <c r="I63" s="826">
        <v>1.4200000000000001E-2</v>
      </c>
      <c r="J63">
        <f t="shared" si="0"/>
        <v>31</v>
      </c>
      <c r="K63" s="803">
        <f t="shared" si="1"/>
        <v>14222800</v>
      </c>
      <c r="L63" s="804">
        <f t="shared" si="2"/>
        <v>312901600</v>
      </c>
    </row>
    <row r="64" spans="3:12" x14ac:dyDescent="0.2">
      <c r="C64" s="210">
        <v>2018</v>
      </c>
      <c r="D64" s="39">
        <v>61</v>
      </c>
      <c r="E64" s="439">
        <v>43313</v>
      </c>
      <c r="F64" s="59">
        <v>0.14799999999999999</v>
      </c>
      <c r="G64" s="224" t="s">
        <v>37</v>
      </c>
      <c r="H64" s="41">
        <v>1E-3</v>
      </c>
      <c r="I64" s="826">
        <v>1.4200000000000001E-2</v>
      </c>
      <c r="J64">
        <f t="shared" si="0"/>
        <v>31</v>
      </c>
      <c r="K64" s="803">
        <f t="shared" si="1"/>
        <v>14222800</v>
      </c>
      <c r="L64" s="804">
        <f t="shared" si="2"/>
        <v>312901600</v>
      </c>
    </row>
    <row r="65" spans="3:12" x14ac:dyDescent="0.2">
      <c r="C65" s="210">
        <v>2018</v>
      </c>
      <c r="D65" s="39">
        <v>62</v>
      </c>
      <c r="E65" s="439">
        <v>43344</v>
      </c>
      <c r="F65" s="60">
        <v>0.14799999999999999</v>
      </c>
      <c r="G65" s="225" t="s">
        <v>37</v>
      </c>
      <c r="H65" s="41">
        <v>1E-3</v>
      </c>
      <c r="I65" s="826">
        <v>1.4200000000000001E-2</v>
      </c>
      <c r="J65">
        <f t="shared" si="0"/>
        <v>30</v>
      </c>
      <c r="K65" s="803">
        <f t="shared" si="1"/>
        <v>13763999.999999998</v>
      </c>
      <c r="L65" s="804">
        <f t="shared" si="2"/>
        <v>302807999.99999994</v>
      </c>
    </row>
    <row r="66" spans="3:12" x14ac:dyDescent="0.2">
      <c r="C66" s="210">
        <v>2018</v>
      </c>
      <c r="D66" s="42">
        <v>63</v>
      </c>
      <c r="E66" s="439">
        <v>43374</v>
      </c>
      <c r="F66" s="62">
        <v>0.14799999999999999</v>
      </c>
      <c r="G66" s="226" t="s">
        <v>37</v>
      </c>
      <c r="H66" s="41">
        <v>1E-3</v>
      </c>
      <c r="I66" s="826">
        <v>1.4200000000000001E-2</v>
      </c>
      <c r="J66">
        <f t="shared" si="0"/>
        <v>31</v>
      </c>
      <c r="K66" s="803">
        <f t="shared" si="1"/>
        <v>14222800</v>
      </c>
      <c r="L66" s="804">
        <f t="shared" si="2"/>
        <v>312901600</v>
      </c>
    </row>
    <row r="67" spans="3:12" x14ac:dyDescent="0.2">
      <c r="C67" s="210">
        <v>2018</v>
      </c>
      <c r="D67" s="44">
        <v>64</v>
      </c>
      <c r="E67" s="439">
        <v>43405</v>
      </c>
      <c r="F67" s="64">
        <v>0.14799999999999999</v>
      </c>
      <c r="G67" s="227" t="s">
        <v>37</v>
      </c>
      <c r="H67" s="41">
        <v>1E-3</v>
      </c>
      <c r="I67" s="826">
        <v>1.4200000000000001E-2</v>
      </c>
      <c r="J67">
        <f t="shared" si="0"/>
        <v>30</v>
      </c>
      <c r="K67" s="803">
        <f t="shared" si="1"/>
        <v>13763999.999999998</v>
      </c>
      <c r="L67" s="804">
        <f t="shared" si="2"/>
        <v>302807999.99999994</v>
      </c>
    </row>
    <row r="68" spans="3:12" x14ac:dyDescent="0.2">
      <c r="C68" s="210">
        <v>2018</v>
      </c>
      <c r="D68" s="39">
        <v>65</v>
      </c>
      <c r="E68" s="439">
        <v>43435</v>
      </c>
      <c r="F68" s="66">
        <v>0.14799999999999999</v>
      </c>
      <c r="G68" s="228" t="s">
        <v>37</v>
      </c>
      <c r="H68" s="41">
        <v>1E-3</v>
      </c>
      <c r="I68" s="826">
        <v>1.4200000000000001E-2</v>
      </c>
      <c r="J68">
        <f t="shared" si="0"/>
        <v>31</v>
      </c>
      <c r="K68" s="803">
        <f t="shared" si="1"/>
        <v>14222800</v>
      </c>
      <c r="L68" s="804">
        <f t="shared" si="2"/>
        <v>312901600</v>
      </c>
    </row>
    <row r="69" spans="3:12" x14ac:dyDescent="0.2">
      <c r="C69" s="210">
        <v>2019</v>
      </c>
      <c r="D69" s="39">
        <v>66</v>
      </c>
      <c r="E69" s="439">
        <v>43466</v>
      </c>
      <c r="F69" s="67">
        <v>0.151</v>
      </c>
      <c r="G69" s="229" t="s">
        <v>38</v>
      </c>
      <c r="H69" s="41">
        <v>1E-3</v>
      </c>
      <c r="I69" s="826">
        <v>1.4200000000000001E-2</v>
      </c>
      <c r="J69">
        <f t="shared" ref="J69:J132" si="3">_xlfn.DAYS(E70,E69)</f>
        <v>31</v>
      </c>
      <c r="K69" s="803">
        <f t="shared" ref="K69:K132" si="4">F69*J69*3100000</f>
        <v>14511100</v>
      </c>
      <c r="L69" s="804">
        <f t="shared" ref="L69:L132" si="5">K69*M$3</f>
        <v>319244200</v>
      </c>
    </row>
    <row r="70" spans="3:12" x14ac:dyDescent="0.2">
      <c r="C70" s="210">
        <v>2019</v>
      </c>
      <c r="D70" s="42">
        <v>67</v>
      </c>
      <c r="E70" s="439">
        <v>43497</v>
      </c>
      <c r="F70" s="66">
        <v>0.151</v>
      </c>
      <c r="G70" s="228" t="s">
        <v>38</v>
      </c>
      <c r="H70" s="41">
        <v>1E-3</v>
      </c>
      <c r="I70" s="826">
        <v>1.4200000000000001E-2</v>
      </c>
      <c r="J70">
        <f t="shared" si="3"/>
        <v>28</v>
      </c>
      <c r="K70" s="803">
        <f t="shared" si="4"/>
        <v>13106800</v>
      </c>
      <c r="L70" s="804">
        <f t="shared" si="5"/>
        <v>288349600</v>
      </c>
    </row>
    <row r="71" spans="3:12" x14ac:dyDescent="0.2">
      <c r="C71" s="210">
        <v>2019</v>
      </c>
      <c r="D71" s="44">
        <v>68</v>
      </c>
      <c r="E71" s="439">
        <v>43525</v>
      </c>
      <c r="F71" s="69">
        <v>0.151</v>
      </c>
      <c r="G71" s="230" t="s">
        <v>38</v>
      </c>
      <c r="H71" s="41">
        <v>1E-3</v>
      </c>
      <c r="I71" s="826">
        <v>1.4200000000000001E-2</v>
      </c>
      <c r="J71">
        <f t="shared" si="3"/>
        <v>31</v>
      </c>
      <c r="K71" s="803">
        <f t="shared" si="4"/>
        <v>14511100</v>
      </c>
      <c r="L71" s="804">
        <f t="shared" si="5"/>
        <v>319244200</v>
      </c>
    </row>
    <row r="72" spans="3:12" x14ac:dyDescent="0.2">
      <c r="C72" s="210">
        <v>2019</v>
      </c>
      <c r="D72" s="39">
        <v>69</v>
      </c>
      <c r="E72" s="439">
        <v>43556</v>
      </c>
      <c r="F72" s="69">
        <v>0.151</v>
      </c>
      <c r="G72" s="230" t="s">
        <v>38</v>
      </c>
      <c r="H72" s="41">
        <v>1E-3</v>
      </c>
      <c r="I72" s="826">
        <v>1.4200000000000001E-2</v>
      </c>
      <c r="J72">
        <f t="shared" si="3"/>
        <v>30</v>
      </c>
      <c r="K72" s="803">
        <f t="shared" si="4"/>
        <v>14043000</v>
      </c>
      <c r="L72" s="804">
        <f t="shared" si="5"/>
        <v>308946000</v>
      </c>
    </row>
    <row r="73" spans="3:12" x14ac:dyDescent="0.2">
      <c r="C73" s="210">
        <v>2019</v>
      </c>
      <c r="D73" s="39">
        <v>70</v>
      </c>
      <c r="E73" s="439">
        <v>43586</v>
      </c>
      <c r="F73" s="69">
        <v>0.151</v>
      </c>
      <c r="G73" s="230" t="s">
        <v>38</v>
      </c>
      <c r="H73" s="41">
        <v>1E-3</v>
      </c>
      <c r="I73" s="826">
        <v>1.4200000000000001E-2</v>
      </c>
      <c r="J73">
        <f t="shared" si="3"/>
        <v>31</v>
      </c>
      <c r="K73" s="803">
        <f t="shared" si="4"/>
        <v>14511100</v>
      </c>
      <c r="L73" s="804">
        <f t="shared" si="5"/>
        <v>319244200</v>
      </c>
    </row>
    <row r="74" spans="3:12" x14ac:dyDescent="0.2">
      <c r="C74" s="210">
        <v>2019</v>
      </c>
      <c r="D74" s="42">
        <v>71</v>
      </c>
      <c r="E74" s="439">
        <v>43617</v>
      </c>
      <c r="F74" s="69">
        <v>0.151</v>
      </c>
      <c r="G74" s="230" t="s">
        <v>38</v>
      </c>
      <c r="H74" s="41">
        <v>1E-3</v>
      </c>
      <c r="I74" s="826">
        <v>1.4200000000000001E-2</v>
      </c>
      <c r="J74">
        <f t="shared" si="3"/>
        <v>30</v>
      </c>
      <c r="K74" s="803">
        <f t="shared" si="4"/>
        <v>14043000</v>
      </c>
      <c r="L74" s="804">
        <f t="shared" si="5"/>
        <v>308946000</v>
      </c>
    </row>
    <row r="75" spans="3:12" x14ac:dyDescent="0.2">
      <c r="C75" s="210">
        <v>2019</v>
      </c>
      <c r="D75" s="44">
        <v>72</v>
      </c>
      <c r="E75" s="439">
        <v>43647</v>
      </c>
      <c r="F75" s="69">
        <v>0.151</v>
      </c>
      <c r="G75" s="230" t="s">
        <v>38</v>
      </c>
      <c r="H75" s="41">
        <v>1E-3</v>
      </c>
      <c r="I75" s="826">
        <v>1.4200000000000001E-2</v>
      </c>
      <c r="J75">
        <f t="shared" si="3"/>
        <v>31</v>
      </c>
      <c r="K75" s="803">
        <f t="shared" si="4"/>
        <v>14511100</v>
      </c>
      <c r="L75" s="804">
        <f t="shared" si="5"/>
        <v>319244200</v>
      </c>
    </row>
    <row r="76" spans="3:12" x14ac:dyDescent="0.2">
      <c r="C76" s="210">
        <v>2019</v>
      </c>
      <c r="D76" s="39">
        <v>73</v>
      </c>
      <c r="E76" s="439">
        <v>43678</v>
      </c>
      <c r="F76" s="71">
        <v>0.151</v>
      </c>
      <c r="G76" s="231" t="s">
        <v>38</v>
      </c>
      <c r="H76" s="41">
        <v>1E-3</v>
      </c>
      <c r="I76" s="826">
        <v>1.4200000000000001E-2</v>
      </c>
      <c r="J76">
        <f t="shared" si="3"/>
        <v>31</v>
      </c>
      <c r="K76" s="803">
        <f t="shared" si="4"/>
        <v>14511100</v>
      </c>
      <c r="L76" s="804">
        <f t="shared" si="5"/>
        <v>319244200</v>
      </c>
    </row>
    <row r="77" spans="3:12" x14ac:dyDescent="0.2">
      <c r="C77" s="210">
        <v>2019</v>
      </c>
      <c r="D77" s="39">
        <v>74</v>
      </c>
      <c r="E77" s="439">
        <v>43709</v>
      </c>
      <c r="F77" s="72">
        <v>0.151</v>
      </c>
      <c r="G77" s="232" t="s">
        <v>38</v>
      </c>
      <c r="H77" s="41">
        <v>1E-3</v>
      </c>
      <c r="I77" s="826">
        <v>1.4200000000000001E-2</v>
      </c>
      <c r="J77">
        <f t="shared" si="3"/>
        <v>30</v>
      </c>
      <c r="K77" s="803">
        <f t="shared" si="4"/>
        <v>14043000</v>
      </c>
      <c r="L77" s="804">
        <f t="shared" si="5"/>
        <v>308946000</v>
      </c>
    </row>
    <row r="78" spans="3:12" x14ac:dyDescent="0.2">
      <c r="C78" s="210">
        <v>2019</v>
      </c>
      <c r="D78" s="42">
        <v>75</v>
      </c>
      <c r="E78" s="439">
        <v>43739</v>
      </c>
      <c r="F78" s="73">
        <v>0.151</v>
      </c>
      <c r="G78" s="233" t="s">
        <v>38</v>
      </c>
      <c r="H78" s="41">
        <v>1E-3</v>
      </c>
      <c r="I78" s="826">
        <v>1.4200000000000001E-2</v>
      </c>
      <c r="J78">
        <f t="shared" si="3"/>
        <v>31</v>
      </c>
      <c r="K78" s="803">
        <f t="shared" si="4"/>
        <v>14511100</v>
      </c>
      <c r="L78" s="804">
        <f t="shared" si="5"/>
        <v>319244200</v>
      </c>
    </row>
    <row r="79" spans="3:12" x14ac:dyDescent="0.2">
      <c r="C79" s="210">
        <v>2019</v>
      </c>
      <c r="D79" s="44">
        <v>76</v>
      </c>
      <c r="E79" s="439">
        <v>43770</v>
      </c>
      <c r="F79" s="67">
        <v>0.151</v>
      </c>
      <c r="G79" s="229" t="s">
        <v>38</v>
      </c>
      <c r="H79" s="41">
        <v>1E-3</v>
      </c>
      <c r="I79" s="826">
        <v>1.4200000000000001E-2</v>
      </c>
      <c r="J79">
        <f t="shared" si="3"/>
        <v>30</v>
      </c>
      <c r="K79" s="803">
        <f t="shared" si="4"/>
        <v>14043000</v>
      </c>
      <c r="L79" s="804">
        <f t="shared" si="5"/>
        <v>308946000</v>
      </c>
    </row>
    <row r="80" spans="3:12" x14ac:dyDescent="0.2">
      <c r="C80" s="210">
        <v>2019</v>
      </c>
      <c r="D80" s="39">
        <v>77</v>
      </c>
      <c r="E80" s="439">
        <v>43800</v>
      </c>
      <c r="F80" s="64">
        <v>0.151</v>
      </c>
      <c r="G80" s="227" t="s">
        <v>38</v>
      </c>
      <c r="H80" s="41">
        <v>1E-3</v>
      </c>
      <c r="I80" s="826">
        <v>1.4200000000000001E-2</v>
      </c>
      <c r="J80">
        <f t="shared" si="3"/>
        <v>31</v>
      </c>
      <c r="K80" s="803">
        <f t="shared" si="4"/>
        <v>14511100</v>
      </c>
      <c r="L80" s="804">
        <f t="shared" si="5"/>
        <v>319244200</v>
      </c>
    </row>
    <row r="81" spans="3:12" x14ac:dyDescent="0.2">
      <c r="C81" s="210">
        <v>2020</v>
      </c>
      <c r="D81" s="39">
        <v>78</v>
      </c>
      <c r="E81" s="439">
        <v>43831</v>
      </c>
      <c r="F81" s="66">
        <v>0.14899999999999999</v>
      </c>
      <c r="G81" s="228" t="s">
        <v>39</v>
      </c>
      <c r="H81" s="41">
        <v>1E-3</v>
      </c>
      <c r="I81" s="826">
        <v>1.4200000000000001E-2</v>
      </c>
      <c r="J81">
        <f t="shared" si="3"/>
        <v>31</v>
      </c>
      <c r="K81" s="803">
        <f t="shared" si="4"/>
        <v>14318900</v>
      </c>
      <c r="L81" s="804">
        <f t="shared" si="5"/>
        <v>315015800</v>
      </c>
    </row>
    <row r="82" spans="3:12" x14ac:dyDescent="0.2">
      <c r="C82" s="210">
        <v>2020</v>
      </c>
      <c r="D82" s="42">
        <v>79</v>
      </c>
      <c r="E82" s="439">
        <v>43862</v>
      </c>
      <c r="F82" s="67">
        <v>0.14899999999999999</v>
      </c>
      <c r="G82" s="229" t="s">
        <v>39</v>
      </c>
      <c r="H82" s="41">
        <v>1E-3</v>
      </c>
      <c r="I82" s="826">
        <v>1.4200000000000001E-2</v>
      </c>
      <c r="J82">
        <f t="shared" si="3"/>
        <v>29</v>
      </c>
      <c r="K82" s="803">
        <f t="shared" si="4"/>
        <v>13395100</v>
      </c>
      <c r="L82" s="804">
        <f t="shared" si="5"/>
        <v>294692200</v>
      </c>
    </row>
    <row r="83" spans="3:12" x14ac:dyDescent="0.2">
      <c r="C83" s="210">
        <v>2020</v>
      </c>
      <c r="D83" s="44">
        <v>80</v>
      </c>
      <c r="E83" s="439">
        <v>43891</v>
      </c>
      <c r="F83" s="66">
        <v>0.14899999999999999</v>
      </c>
      <c r="G83" s="234" t="s">
        <v>39</v>
      </c>
      <c r="H83" s="41">
        <v>1E-3</v>
      </c>
      <c r="I83" s="826">
        <v>1.4200000000000001E-2</v>
      </c>
      <c r="J83">
        <f t="shared" si="3"/>
        <v>31</v>
      </c>
      <c r="K83" s="803">
        <f t="shared" si="4"/>
        <v>14318900</v>
      </c>
      <c r="L83" s="804">
        <f t="shared" si="5"/>
        <v>315015800</v>
      </c>
    </row>
    <row r="84" spans="3:12" x14ac:dyDescent="0.2">
      <c r="C84" s="210">
        <v>2020</v>
      </c>
      <c r="D84" s="39">
        <v>81</v>
      </c>
      <c r="E84" s="439">
        <v>43922</v>
      </c>
      <c r="F84" s="70">
        <v>0.14899999999999999</v>
      </c>
      <c r="G84" s="230" t="s">
        <v>39</v>
      </c>
      <c r="H84" s="41">
        <v>1E-3</v>
      </c>
      <c r="I84" s="826">
        <v>1.4200000000000001E-2</v>
      </c>
      <c r="J84">
        <f t="shared" si="3"/>
        <v>30</v>
      </c>
      <c r="K84" s="803">
        <f t="shared" si="4"/>
        <v>13857000</v>
      </c>
      <c r="L84" s="804">
        <f t="shared" si="5"/>
        <v>304854000</v>
      </c>
    </row>
    <row r="85" spans="3:12" x14ac:dyDescent="0.2">
      <c r="C85" s="210">
        <v>2020</v>
      </c>
      <c r="D85" s="39">
        <v>82</v>
      </c>
      <c r="E85" s="439">
        <v>43952</v>
      </c>
      <c r="F85" s="68">
        <v>0.14899999999999999</v>
      </c>
      <c r="G85" s="229" t="s">
        <v>39</v>
      </c>
      <c r="H85" s="41">
        <v>1E-3</v>
      </c>
      <c r="I85" s="826">
        <v>1.4200000000000001E-2</v>
      </c>
      <c r="J85">
        <f t="shared" si="3"/>
        <v>31</v>
      </c>
      <c r="K85" s="803">
        <f t="shared" si="4"/>
        <v>14318900</v>
      </c>
      <c r="L85" s="804">
        <f t="shared" si="5"/>
        <v>315015800</v>
      </c>
    </row>
    <row r="86" spans="3:12" x14ac:dyDescent="0.2">
      <c r="C86" s="210">
        <v>2020</v>
      </c>
      <c r="D86" s="42">
        <v>83</v>
      </c>
      <c r="E86" s="439">
        <v>43983</v>
      </c>
      <c r="F86" s="61">
        <v>0.14899999999999999</v>
      </c>
      <c r="G86" s="225" t="s">
        <v>39</v>
      </c>
      <c r="H86" s="41">
        <v>1E-3</v>
      </c>
      <c r="I86" s="826">
        <v>1.4200000000000001E-2</v>
      </c>
      <c r="J86">
        <f t="shared" si="3"/>
        <v>30</v>
      </c>
      <c r="K86" s="803">
        <f t="shared" si="4"/>
        <v>13857000</v>
      </c>
      <c r="L86" s="804">
        <f t="shared" si="5"/>
        <v>304854000</v>
      </c>
    </row>
    <row r="87" spans="3:12" x14ac:dyDescent="0.2">
      <c r="C87" s="210">
        <v>2020</v>
      </c>
      <c r="D87" s="44">
        <v>84</v>
      </c>
      <c r="E87" s="439">
        <v>44013</v>
      </c>
      <c r="F87" s="63">
        <v>0.14899999999999999</v>
      </c>
      <c r="G87" s="226" t="s">
        <v>39</v>
      </c>
      <c r="H87" s="41">
        <v>1E-3</v>
      </c>
      <c r="I87" s="826">
        <v>1.4200000000000001E-2</v>
      </c>
      <c r="J87">
        <f t="shared" si="3"/>
        <v>31</v>
      </c>
      <c r="K87" s="803">
        <f t="shared" si="4"/>
        <v>14318900</v>
      </c>
      <c r="L87" s="804">
        <f t="shared" si="5"/>
        <v>315015800</v>
      </c>
    </row>
    <row r="88" spans="3:12" x14ac:dyDescent="0.2">
      <c r="C88" s="210">
        <v>2020</v>
      </c>
      <c r="D88" s="39">
        <v>85</v>
      </c>
      <c r="E88" s="439">
        <v>44044</v>
      </c>
      <c r="F88" s="65">
        <v>0.14899999999999999</v>
      </c>
      <c r="G88" s="227" t="s">
        <v>39</v>
      </c>
      <c r="H88" s="41">
        <v>1E-3</v>
      </c>
      <c r="I88" s="826">
        <v>1.4200000000000001E-2</v>
      </c>
      <c r="J88">
        <f t="shared" si="3"/>
        <v>31</v>
      </c>
      <c r="K88" s="803">
        <f t="shared" si="4"/>
        <v>14318900</v>
      </c>
      <c r="L88" s="804">
        <f t="shared" si="5"/>
        <v>315015800</v>
      </c>
    </row>
    <row r="89" spans="3:12" x14ac:dyDescent="0.2">
      <c r="C89" s="210">
        <v>2020</v>
      </c>
      <c r="D89" s="39">
        <v>86</v>
      </c>
      <c r="E89" s="439">
        <v>44075</v>
      </c>
      <c r="F89" s="65">
        <v>0.14899999999999999</v>
      </c>
      <c r="G89" s="227" t="s">
        <v>39</v>
      </c>
      <c r="H89" s="41">
        <v>1E-3</v>
      </c>
      <c r="I89" s="826">
        <v>1.4200000000000001E-2</v>
      </c>
      <c r="J89">
        <f t="shared" si="3"/>
        <v>30</v>
      </c>
      <c r="K89" s="803">
        <f t="shared" si="4"/>
        <v>13857000</v>
      </c>
      <c r="L89" s="804">
        <f t="shared" si="5"/>
        <v>304854000</v>
      </c>
    </row>
    <row r="90" spans="3:12" x14ac:dyDescent="0.2">
      <c r="C90" s="210">
        <v>2020</v>
      </c>
      <c r="D90" s="42">
        <v>87</v>
      </c>
      <c r="E90" s="439">
        <v>44105</v>
      </c>
      <c r="F90" s="65">
        <v>0.14899999999999999</v>
      </c>
      <c r="G90" s="227" t="s">
        <v>39</v>
      </c>
      <c r="H90" s="41">
        <v>1E-3</v>
      </c>
      <c r="I90" s="826">
        <v>1.4200000000000001E-2</v>
      </c>
      <c r="J90">
        <f t="shared" si="3"/>
        <v>31</v>
      </c>
      <c r="K90" s="803">
        <f t="shared" si="4"/>
        <v>14318900</v>
      </c>
      <c r="L90" s="804">
        <f t="shared" si="5"/>
        <v>315015800</v>
      </c>
    </row>
    <row r="91" spans="3:12" x14ac:dyDescent="0.2">
      <c r="C91" s="210">
        <v>2020</v>
      </c>
      <c r="D91" s="44">
        <v>88</v>
      </c>
      <c r="E91" s="439">
        <v>44136</v>
      </c>
      <c r="F91" s="65">
        <v>0.14899999999999999</v>
      </c>
      <c r="G91" s="227" t="s">
        <v>39</v>
      </c>
      <c r="H91" s="41">
        <v>1E-3</v>
      </c>
      <c r="I91" s="826">
        <v>1.4200000000000001E-2</v>
      </c>
      <c r="J91">
        <f t="shared" si="3"/>
        <v>30</v>
      </c>
      <c r="K91" s="803">
        <f t="shared" si="4"/>
        <v>13857000</v>
      </c>
      <c r="L91" s="804">
        <f t="shared" si="5"/>
        <v>304854000</v>
      </c>
    </row>
    <row r="92" spans="3:12" x14ac:dyDescent="0.2">
      <c r="C92" s="210">
        <v>2020</v>
      </c>
      <c r="D92" s="39">
        <v>89</v>
      </c>
      <c r="E92" s="439">
        <v>44166</v>
      </c>
      <c r="F92" s="65">
        <v>0.14899999999999999</v>
      </c>
      <c r="G92" s="227" t="s">
        <v>39</v>
      </c>
      <c r="H92" s="41">
        <v>1E-3</v>
      </c>
      <c r="I92" s="826">
        <v>1.4200000000000001E-2</v>
      </c>
      <c r="J92">
        <f t="shared" si="3"/>
        <v>31</v>
      </c>
      <c r="K92" s="803">
        <f t="shared" si="4"/>
        <v>14318900</v>
      </c>
      <c r="L92" s="804">
        <f t="shared" si="5"/>
        <v>315015800</v>
      </c>
    </row>
    <row r="93" spans="3:12" x14ac:dyDescent="0.2">
      <c r="C93" s="210">
        <v>2021</v>
      </c>
      <c r="D93" s="39">
        <v>90</v>
      </c>
      <c r="E93" s="439">
        <v>44197</v>
      </c>
      <c r="F93" s="65">
        <v>0.14899999999999999</v>
      </c>
      <c r="G93" s="227" t="s">
        <v>38</v>
      </c>
      <c r="H93" s="41">
        <v>1E-3</v>
      </c>
      <c r="I93" s="826">
        <v>1.4200000000000001E-2</v>
      </c>
      <c r="J93">
        <f t="shared" si="3"/>
        <v>31</v>
      </c>
      <c r="K93" s="803">
        <f t="shared" si="4"/>
        <v>14318900</v>
      </c>
      <c r="L93" s="804">
        <f t="shared" si="5"/>
        <v>315015800</v>
      </c>
    </row>
    <row r="94" spans="3:12" x14ac:dyDescent="0.2">
      <c r="C94" s="210">
        <v>2021</v>
      </c>
      <c r="D94" s="42">
        <v>91</v>
      </c>
      <c r="E94" s="439">
        <v>44228</v>
      </c>
      <c r="F94" s="65">
        <v>0.14899999999999999</v>
      </c>
      <c r="G94" s="227" t="s">
        <v>38</v>
      </c>
      <c r="H94" s="41">
        <v>1E-3</v>
      </c>
      <c r="I94" s="826">
        <v>1.4200000000000001E-2</v>
      </c>
      <c r="J94">
        <f t="shared" si="3"/>
        <v>28</v>
      </c>
      <c r="K94" s="803">
        <f t="shared" si="4"/>
        <v>12933200</v>
      </c>
      <c r="L94" s="804">
        <f t="shared" si="5"/>
        <v>284530400</v>
      </c>
    </row>
    <row r="95" spans="3:12" x14ac:dyDescent="0.2">
      <c r="C95" s="210">
        <v>2021</v>
      </c>
      <c r="D95" s="44">
        <v>92</v>
      </c>
      <c r="E95" s="439">
        <v>44256</v>
      </c>
      <c r="F95" s="75">
        <v>0.14899999999999999</v>
      </c>
      <c r="G95" s="228" t="s">
        <v>38</v>
      </c>
      <c r="H95" s="41">
        <v>1E-3</v>
      </c>
      <c r="I95" s="826">
        <v>1.4200000000000001E-2</v>
      </c>
      <c r="J95">
        <f t="shared" si="3"/>
        <v>31</v>
      </c>
      <c r="K95" s="803">
        <f t="shared" si="4"/>
        <v>14318900</v>
      </c>
      <c r="L95" s="804">
        <f t="shared" si="5"/>
        <v>315015800</v>
      </c>
    </row>
    <row r="96" spans="3:12" x14ac:dyDescent="0.2">
      <c r="C96" s="210">
        <v>2021</v>
      </c>
      <c r="D96" s="39">
        <v>93</v>
      </c>
      <c r="E96" s="439">
        <v>44287</v>
      </c>
      <c r="F96" s="74">
        <v>0.14899999999999999</v>
      </c>
      <c r="G96" s="229" t="s">
        <v>38</v>
      </c>
      <c r="H96" s="41">
        <v>1E-3</v>
      </c>
      <c r="I96" s="826">
        <v>1.4200000000000001E-2</v>
      </c>
      <c r="J96">
        <f t="shared" si="3"/>
        <v>30</v>
      </c>
      <c r="K96" s="803">
        <f t="shared" si="4"/>
        <v>13857000</v>
      </c>
      <c r="L96" s="804">
        <f t="shared" si="5"/>
        <v>304854000</v>
      </c>
    </row>
    <row r="97" spans="3:12" x14ac:dyDescent="0.2">
      <c r="C97" s="210">
        <v>2021</v>
      </c>
      <c r="D97" s="39">
        <v>94</v>
      </c>
      <c r="E97" s="439">
        <v>44317</v>
      </c>
      <c r="F97" s="76">
        <v>0.14899999999999999</v>
      </c>
      <c r="G97" s="228" t="s">
        <v>38</v>
      </c>
      <c r="H97" s="41">
        <v>1E-3</v>
      </c>
      <c r="I97" s="826">
        <v>1.4200000000000001E-2</v>
      </c>
      <c r="J97">
        <f t="shared" si="3"/>
        <v>31</v>
      </c>
      <c r="K97" s="803">
        <f t="shared" si="4"/>
        <v>14318900</v>
      </c>
      <c r="L97" s="804">
        <f t="shared" si="5"/>
        <v>315015800</v>
      </c>
    </row>
    <row r="98" spans="3:12" x14ac:dyDescent="0.2">
      <c r="C98" s="210">
        <v>2021</v>
      </c>
      <c r="D98" s="42">
        <v>95</v>
      </c>
      <c r="E98" s="439">
        <v>44348</v>
      </c>
      <c r="F98" s="77">
        <v>0.14899999999999999</v>
      </c>
      <c r="G98" s="230" t="s">
        <v>38</v>
      </c>
      <c r="H98" s="41">
        <v>1E-3</v>
      </c>
      <c r="I98" s="826">
        <v>1.4200000000000001E-2</v>
      </c>
      <c r="J98">
        <f t="shared" si="3"/>
        <v>30</v>
      </c>
      <c r="K98" s="803">
        <f t="shared" si="4"/>
        <v>13857000</v>
      </c>
      <c r="L98" s="804">
        <f t="shared" si="5"/>
        <v>304854000</v>
      </c>
    </row>
    <row r="99" spans="3:12" x14ac:dyDescent="0.2">
      <c r="C99" s="210">
        <v>2021</v>
      </c>
      <c r="D99" s="44">
        <v>96</v>
      </c>
      <c r="E99" s="439">
        <v>44378</v>
      </c>
      <c r="F99" s="78">
        <v>0.14899999999999999</v>
      </c>
      <c r="G99" s="230" t="s">
        <v>38</v>
      </c>
      <c r="H99" s="41">
        <v>1E-3</v>
      </c>
      <c r="I99" s="826">
        <v>1.4200000000000001E-2</v>
      </c>
      <c r="J99">
        <f t="shared" si="3"/>
        <v>31</v>
      </c>
      <c r="K99" s="803">
        <f t="shared" si="4"/>
        <v>14318900</v>
      </c>
      <c r="L99" s="804">
        <f t="shared" si="5"/>
        <v>315015800</v>
      </c>
    </row>
    <row r="100" spans="3:12" x14ac:dyDescent="0.2">
      <c r="C100" s="210">
        <v>2021</v>
      </c>
      <c r="D100" s="39">
        <v>97</v>
      </c>
      <c r="E100" s="439">
        <v>44409</v>
      </c>
      <c r="F100" s="79">
        <v>0.14899999999999999</v>
      </c>
      <c r="G100" s="230" t="s">
        <v>38</v>
      </c>
      <c r="H100" s="41">
        <v>1E-3</v>
      </c>
      <c r="I100" s="826">
        <v>1.4200000000000001E-2</v>
      </c>
      <c r="J100">
        <f t="shared" si="3"/>
        <v>31</v>
      </c>
      <c r="K100" s="803">
        <f t="shared" si="4"/>
        <v>14318900</v>
      </c>
      <c r="L100" s="804">
        <f t="shared" si="5"/>
        <v>315015800</v>
      </c>
    </row>
    <row r="101" spans="3:12" x14ac:dyDescent="0.2">
      <c r="C101" s="210">
        <v>2021</v>
      </c>
      <c r="D101" s="39">
        <v>98</v>
      </c>
      <c r="E101" s="439">
        <v>44440</v>
      </c>
      <c r="F101" s="79">
        <v>0.14899999999999999</v>
      </c>
      <c r="G101" s="231" t="s">
        <v>38</v>
      </c>
      <c r="H101" s="41">
        <v>1E-3</v>
      </c>
      <c r="I101" s="826">
        <v>1.4200000000000001E-2</v>
      </c>
      <c r="J101">
        <f t="shared" si="3"/>
        <v>30</v>
      </c>
      <c r="K101" s="803">
        <f t="shared" si="4"/>
        <v>13857000</v>
      </c>
      <c r="L101" s="804">
        <f t="shared" si="5"/>
        <v>304854000</v>
      </c>
    </row>
    <row r="102" spans="3:12" x14ac:dyDescent="0.2">
      <c r="C102" s="210">
        <v>2021</v>
      </c>
      <c r="D102" s="42">
        <v>99</v>
      </c>
      <c r="E102" s="439">
        <v>44470</v>
      </c>
      <c r="F102" s="79">
        <v>0.14899999999999999</v>
      </c>
      <c r="G102" s="232" t="s">
        <v>38</v>
      </c>
      <c r="H102" s="41">
        <v>1E-3</v>
      </c>
      <c r="I102" s="826">
        <v>1.4200000000000001E-2</v>
      </c>
      <c r="J102">
        <f t="shared" si="3"/>
        <v>31</v>
      </c>
      <c r="K102" s="803">
        <f t="shared" si="4"/>
        <v>14318900</v>
      </c>
      <c r="L102" s="804">
        <f t="shared" si="5"/>
        <v>315015800</v>
      </c>
    </row>
    <row r="103" spans="3:12" x14ac:dyDescent="0.2">
      <c r="C103" s="210">
        <v>2021</v>
      </c>
      <c r="D103" s="44">
        <v>100</v>
      </c>
      <c r="E103" s="439">
        <v>44501</v>
      </c>
      <c r="F103" s="79">
        <v>0.14899999999999999</v>
      </c>
      <c r="G103" s="232" t="s">
        <v>38</v>
      </c>
      <c r="H103" s="41">
        <v>1E-3</v>
      </c>
      <c r="I103" s="826">
        <v>1.4200000000000001E-2</v>
      </c>
      <c r="J103">
        <f t="shared" si="3"/>
        <v>30</v>
      </c>
      <c r="K103" s="803">
        <f t="shared" si="4"/>
        <v>13857000</v>
      </c>
      <c r="L103" s="804">
        <f t="shared" si="5"/>
        <v>304854000</v>
      </c>
    </row>
    <row r="104" spans="3:12" x14ac:dyDescent="0.2">
      <c r="C104" s="210">
        <v>2021</v>
      </c>
      <c r="D104" s="39">
        <v>101</v>
      </c>
      <c r="E104" s="439">
        <v>44531</v>
      </c>
      <c r="F104" s="49">
        <v>0.14899999999999999</v>
      </c>
      <c r="G104" s="217" t="s">
        <v>38</v>
      </c>
      <c r="H104" s="41">
        <v>1E-3</v>
      </c>
      <c r="I104" s="826">
        <v>1.4200000000000001E-2</v>
      </c>
      <c r="J104">
        <f t="shared" si="3"/>
        <v>31</v>
      </c>
      <c r="K104" s="803">
        <f t="shared" si="4"/>
        <v>14318900</v>
      </c>
      <c r="L104" s="804">
        <f t="shared" si="5"/>
        <v>315015800</v>
      </c>
    </row>
    <row r="105" spans="3:12" x14ac:dyDescent="0.2">
      <c r="C105" s="210">
        <v>2022</v>
      </c>
      <c r="D105" s="39">
        <v>102</v>
      </c>
      <c r="E105" s="439">
        <v>44562</v>
      </c>
      <c r="F105" s="81">
        <v>0.152</v>
      </c>
      <c r="G105" s="218" t="s">
        <v>40</v>
      </c>
      <c r="H105" s="41">
        <v>1E-3</v>
      </c>
      <c r="I105" s="826">
        <v>1.4200000000000001E-2</v>
      </c>
      <c r="J105">
        <f t="shared" si="3"/>
        <v>31</v>
      </c>
      <c r="K105" s="803">
        <f t="shared" si="4"/>
        <v>14607200</v>
      </c>
      <c r="L105" s="804">
        <f t="shared" si="5"/>
        <v>321358400</v>
      </c>
    </row>
    <row r="106" spans="3:12" x14ac:dyDescent="0.2">
      <c r="C106" s="210">
        <v>2022</v>
      </c>
      <c r="D106" s="42">
        <v>103</v>
      </c>
      <c r="E106" s="439">
        <v>44593</v>
      </c>
      <c r="F106" s="83">
        <v>0.152</v>
      </c>
      <c r="G106" s="235" t="s">
        <v>40</v>
      </c>
      <c r="H106" s="41">
        <v>1E-3</v>
      </c>
      <c r="I106" s="826">
        <v>1.4200000000000001E-2</v>
      </c>
      <c r="J106">
        <f t="shared" si="3"/>
        <v>28</v>
      </c>
      <c r="K106" s="803">
        <f t="shared" si="4"/>
        <v>13193600</v>
      </c>
      <c r="L106" s="804">
        <f t="shared" si="5"/>
        <v>290259200</v>
      </c>
    </row>
    <row r="107" spans="3:12" x14ac:dyDescent="0.2">
      <c r="C107" s="210">
        <v>2022</v>
      </c>
      <c r="D107" s="44">
        <v>104</v>
      </c>
      <c r="E107" s="439">
        <v>44621</v>
      </c>
      <c r="F107" s="84">
        <v>0.152</v>
      </c>
      <c r="G107" s="236" t="s">
        <v>40</v>
      </c>
      <c r="H107" s="41">
        <v>1E-3</v>
      </c>
      <c r="I107" s="826">
        <v>1.4200000000000001E-2</v>
      </c>
      <c r="J107">
        <f t="shared" si="3"/>
        <v>31</v>
      </c>
      <c r="K107" s="803">
        <f t="shared" si="4"/>
        <v>14607200</v>
      </c>
      <c r="L107" s="804">
        <f t="shared" si="5"/>
        <v>321358400</v>
      </c>
    </row>
    <row r="108" spans="3:12" x14ac:dyDescent="0.2">
      <c r="C108" s="210">
        <v>2022</v>
      </c>
      <c r="D108" s="39">
        <v>105</v>
      </c>
      <c r="E108" s="439">
        <v>44652</v>
      </c>
      <c r="F108" s="46">
        <v>0.152</v>
      </c>
      <c r="G108" s="237" t="s">
        <v>40</v>
      </c>
      <c r="H108" s="41">
        <v>1E-3</v>
      </c>
      <c r="I108" s="826">
        <v>1.4200000000000001E-2</v>
      </c>
      <c r="J108">
        <f t="shared" si="3"/>
        <v>30</v>
      </c>
      <c r="K108" s="803">
        <f t="shared" si="4"/>
        <v>14135999.999999998</v>
      </c>
      <c r="L108" s="804">
        <f t="shared" si="5"/>
        <v>310991999.99999994</v>
      </c>
    </row>
    <row r="109" spans="3:12" x14ac:dyDescent="0.2">
      <c r="C109" s="210">
        <v>2022</v>
      </c>
      <c r="D109" s="39">
        <v>106</v>
      </c>
      <c r="E109" s="439">
        <v>44682</v>
      </c>
      <c r="F109" s="85">
        <v>0.152</v>
      </c>
      <c r="G109" s="238" t="s">
        <v>40</v>
      </c>
      <c r="H109" s="41">
        <v>1E-3</v>
      </c>
      <c r="I109" s="826">
        <v>1.4200000000000001E-2</v>
      </c>
      <c r="J109">
        <f t="shared" si="3"/>
        <v>31</v>
      </c>
      <c r="K109" s="803">
        <f t="shared" si="4"/>
        <v>14607200</v>
      </c>
      <c r="L109" s="804">
        <f t="shared" si="5"/>
        <v>321358400</v>
      </c>
    </row>
    <row r="110" spans="3:12" x14ac:dyDescent="0.2">
      <c r="C110" s="210">
        <v>2022</v>
      </c>
      <c r="D110" s="42">
        <v>107</v>
      </c>
      <c r="E110" s="439">
        <v>44713</v>
      </c>
      <c r="F110" s="84">
        <v>0.152</v>
      </c>
      <c r="G110" s="239" t="s">
        <v>40</v>
      </c>
      <c r="H110" s="41">
        <v>1E-3</v>
      </c>
      <c r="I110" s="826">
        <v>1.4200000000000001E-2</v>
      </c>
      <c r="J110">
        <f t="shared" si="3"/>
        <v>30</v>
      </c>
      <c r="K110" s="803">
        <f t="shared" si="4"/>
        <v>14135999.999999998</v>
      </c>
      <c r="L110" s="804">
        <f t="shared" si="5"/>
        <v>310991999.99999994</v>
      </c>
    </row>
    <row r="111" spans="3:12" x14ac:dyDescent="0.2">
      <c r="C111" s="210">
        <v>2022</v>
      </c>
      <c r="D111" s="44">
        <v>108</v>
      </c>
      <c r="E111" s="439">
        <v>44743</v>
      </c>
      <c r="F111" s="47">
        <v>0.152</v>
      </c>
      <c r="G111" s="240" t="s">
        <v>40</v>
      </c>
      <c r="H111" s="41">
        <v>1E-3</v>
      </c>
      <c r="I111" s="826">
        <v>1.4200000000000001E-2</v>
      </c>
      <c r="J111">
        <f t="shared" si="3"/>
        <v>31</v>
      </c>
      <c r="K111" s="803">
        <f t="shared" si="4"/>
        <v>14607200</v>
      </c>
      <c r="L111" s="804">
        <f t="shared" si="5"/>
        <v>321358400</v>
      </c>
    </row>
    <row r="112" spans="3:12" x14ac:dyDescent="0.2">
      <c r="C112" s="210">
        <v>2022</v>
      </c>
      <c r="D112" s="39">
        <v>109</v>
      </c>
      <c r="E112" s="439">
        <v>44774</v>
      </c>
      <c r="F112" s="51">
        <v>0.152</v>
      </c>
      <c r="G112" s="218" t="s">
        <v>40</v>
      </c>
      <c r="H112" s="41">
        <v>1E-3</v>
      </c>
      <c r="I112" s="826">
        <v>1.4200000000000001E-2</v>
      </c>
      <c r="J112">
        <f t="shared" si="3"/>
        <v>31</v>
      </c>
      <c r="K112" s="803">
        <f t="shared" si="4"/>
        <v>14607200</v>
      </c>
      <c r="L112" s="804">
        <f t="shared" si="5"/>
        <v>321358400</v>
      </c>
    </row>
    <row r="113" spans="3:12" x14ac:dyDescent="0.2">
      <c r="C113" s="210">
        <v>2022</v>
      </c>
      <c r="D113" s="39">
        <v>110</v>
      </c>
      <c r="E113" s="439">
        <v>44805</v>
      </c>
      <c r="F113" s="46">
        <v>0.152</v>
      </c>
      <c r="G113" s="219" t="s">
        <v>40</v>
      </c>
      <c r="H113" s="41">
        <v>1E-3</v>
      </c>
      <c r="I113" s="826">
        <v>1.4200000000000001E-2</v>
      </c>
      <c r="J113">
        <f t="shared" si="3"/>
        <v>30</v>
      </c>
      <c r="K113" s="803">
        <f t="shared" si="4"/>
        <v>14135999.999999998</v>
      </c>
      <c r="L113" s="804">
        <f t="shared" si="5"/>
        <v>310991999.99999994</v>
      </c>
    </row>
    <row r="114" spans="3:12" x14ac:dyDescent="0.2">
      <c r="C114" s="210">
        <v>2022</v>
      </c>
      <c r="D114" s="42">
        <v>111</v>
      </c>
      <c r="E114" s="439">
        <v>44835</v>
      </c>
      <c r="F114" s="47">
        <v>0.152</v>
      </c>
      <c r="G114" s="216" t="s">
        <v>40</v>
      </c>
      <c r="H114" s="41">
        <v>1E-3</v>
      </c>
      <c r="I114" s="826">
        <v>1.4200000000000001E-2</v>
      </c>
      <c r="J114">
        <f t="shared" si="3"/>
        <v>31</v>
      </c>
      <c r="K114" s="803">
        <f t="shared" si="4"/>
        <v>14607200</v>
      </c>
      <c r="L114" s="804">
        <f t="shared" si="5"/>
        <v>321358400</v>
      </c>
    </row>
    <row r="115" spans="3:12" x14ac:dyDescent="0.2">
      <c r="C115" s="210">
        <v>2022</v>
      </c>
      <c r="D115" s="44">
        <v>112</v>
      </c>
      <c r="E115" s="439">
        <v>44866</v>
      </c>
      <c r="F115" s="86">
        <v>0.152</v>
      </c>
      <c r="G115" s="241" t="s">
        <v>40</v>
      </c>
      <c r="H115" s="41">
        <v>1E-3</v>
      </c>
      <c r="I115" s="826">
        <v>1.4200000000000001E-2</v>
      </c>
      <c r="J115">
        <f t="shared" si="3"/>
        <v>30</v>
      </c>
      <c r="K115" s="803">
        <f t="shared" si="4"/>
        <v>14135999.999999998</v>
      </c>
      <c r="L115" s="804">
        <f t="shared" si="5"/>
        <v>310991999.99999994</v>
      </c>
    </row>
    <row r="116" spans="3:12" x14ac:dyDescent="0.2">
      <c r="C116" s="210">
        <v>2022</v>
      </c>
      <c r="D116" s="39">
        <v>113</v>
      </c>
      <c r="E116" s="439">
        <v>44896</v>
      </c>
      <c r="F116" s="87">
        <v>0.152</v>
      </c>
      <c r="G116" s="242" t="s">
        <v>40</v>
      </c>
      <c r="H116" s="41">
        <v>1E-3</v>
      </c>
      <c r="I116" s="826">
        <v>1.4200000000000001E-2</v>
      </c>
      <c r="J116">
        <f t="shared" si="3"/>
        <v>31</v>
      </c>
      <c r="K116" s="803">
        <f t="shared" si="4"/>
        <v>14607200</v>
      </c>
      <c r="L116" s="804">
        <f t="shared" si="5"/>
        <v>321358400</v>
      </c>
    </row>
    <row r="117" spans="3:12" x14ac:dyDescent="0.2">
      <c r="C117" s="210">
        <v>2023</v>
      </c>
      <c r="D117" s="39">
        <v>114</v>
      </c>
      <c r="E117" s="439">
        <v>44927</v>
      </c>
      <c r="F117" s="88">
        <v>0.15</v>
      </c>
      <c r="G117" s="235" t="s">
        <v>41</v>
      </c>
      <c r="H117" s="41">
        <v>1E-3</v>
      </c>
      <c r="I117" s="826">
        <v>1.4200000000000001E-2</v>
      </c>
      <c r="J117">
        <f t="shared" si="3"/>
        <v>31</v>
      </c>
      <c r="K117" s="803">
        <f t="shared" si="4"/>
        <v>14414999.999999998</v>
      </c>
      <c r="L117" s="804">
        <f t="shared" si="5"/>
        <v>317129999.99999994</v>
      </c>
    </row>
    <row r="118" spans="3:12" x14ac:dyDescent="0.2">
      <c r="C118" s="210">
        <v>2023</v>
      </c>
      <c r="D118" s="42">
        <v>115</v>
      </c>
      <c r="E118" s="439">
        <v>44958</v>
      </c>
      <c r="F118" s="90">
        <v>0.15</v>
      </c>
      <c r="G118" s="243" t="s">
        <v>41</v>
      </c>
      <c r="H118" s="41">
        <v>1E-3</v>
      </c>
      <c r="I118" s="826">
        <v>1.4200000000000001E-2</v>
      </c>
      <c r="J118">
        <f t="shared" si="3"/>
        <v>28</v>
      </c>
      <c r="K118" s="803">
        <f t="shared" si="4"/>
        <v>13020000</v>
      </c>
      <c r="L118" s="804">
        <f t="shared" si="5"/>
        <v>286440000</v>
      </c>
    </row>
    <row r="119" spans="3:12" x14ac:dyDescent="0.2">
      <c r="C119" s="210">
        <v>2023</v>
      </c>
      <c r="D119" s="44">
        <v>116</v>
      </c>
      <c r="E119" s="439">
        <v>44986</v>
      </c>
      <c r="F119" s="92">
        <v>0.15</v>
      </c>
      <c r="G119" s="218" t="s">
        <v>41</v>
      </c>
      <c r="H119" s="41">
        <v>1E-3</v>
      </c>
      <c r="I119" s="826">
        <v>1.4200000000000001E-2</v>
      </c>
      <c r="J119">
        <f t="shared" si="3"/>
        <v>31</v>
      </c>
      <c r="K119" s="803">
        <f t="shared" si="4"/>
        <v>14414999.999999998</v>
      </c>
      <c r="L119" s="804">
        <f t="shared" si="5"/>
        <v>317129999.99999994</v>
      </c>
    </row>
    <row r="120" spans="3:12" x14ac:dyDescent="0.2">
      <c r="C120" s="210">
        <v>2023</v>
      </c>
      <c r="D120" s="39">
        <v>117</v>
      </c>
      <c r="E120" s="439">
        <v>45017</v>
      </c>
      <c r="F120" s="93">
        <v>0.15</v>
      </c>
      <c r="G120" s="219" t="s">
        <v>41</v>
      </c>
      <c r="H120" s="41">
        <v>1E-3</v>
      </c>
      <c r="I120" s="826">
        <v>1.4200000000000001E-2</v>
      </c>
      <c r="J120">
        <f t="shared" si="3"/>
        <v>30</v>
      </c>
      <c r="K120" s="803">
        <f t="shared" si="4"/>
        <v>13950000</v>
      </c>
      <c r="L120" s="804">
        <f t="shared" si="5"/>
        <v>306900000</v>
      </c>
    </row>
    <row r="121" spans="3:12" x14ac:dyDescent="0.2">
      <c r="C121" s="210">
        <v>2023</v>
      </c>
      <c r="D121" s="39">
        <v>118</v>
      </c>
      <c r="E121" s="439">
        <v>45047</v>
      </c>
      <c r="F121" s="94">
        <v>0.15</v>
      </c>
      <c r="G121" s="244" t="s">
        <v>41</v>
      </c>
      <c r="H121" s="41">
        <v>1E-3</v>
      </c>
      <c r="I121" s="826">
        <v>1.4200000000000001E-2</v>
      </c>
      <c r="J121">
        <f t="shared" si="3"/>
        <v>31</v>
      </c>
      <c r="K121" s="803">
        <f t="shared" si="4"/>
        <v>14414999.999999998</v>
      </c>
      <c r="L121" s="804">
        <f t="shared" si="5"/>
        <v>317129999.99999994</v>
      </c>
    </row>
    <row r="122" spans="3:12" x14ac:dyDescent="0.2">
      <c r="C122" s="210">
        <v>2023</v>
      </c>
      <c r="D122" s="42">
        <v>119</v>
      </c>
      <c r="E122" s="439">
        <v>45078</v>
      </c>
      <c r="F122" s="96">
        <v>0.15</v>
      </c>
      <c r="G122" s="245" t="s">
        <v>41</v>
      </c>
      <c r="H122" s="41">
        <v>1E-3</v>
      </c>
      <c r="I122" s="826">
        <v>1.4200000000000001E-2</v>
      </c>
      <c r="J122">
        <f t="shared" si="3"/>
        <v>30</v>
      </c>
      <c r="K122" s="803">
        <f t="shared" si="4"/>
        <v>13950000</v>
      </c>
      <c r="L122" s="804">
        <f t="shared" si="5"/>
        <v>306900000</v>
      </c>
    </row>
    <row r="123" spans="3:12" x14ac:dyDescent="0.2">
      <c r="C123" s="210">
        <v>2023</v>
      </c>
      <c r="D123" s="44">
        <v>120</v>
      </c>
      <c r="E123" s="439">
        <v>45108</v>
      </c>
      <c r="F123" s="97">
        <v>0.15</v>
      </c>
      <c r="G123" s="246" t="s">
        <v>41</v>
      </c>
      <c r="H123" s="41">
        <v>1E-3</v>
      </c>
      <c r="I123" s="826">
        <v>1.4200000000000001E-2</v>
      </c>
      <c r="J123">
        <f t="shared" si="3"/>
        <v>31</v>
      </c>
      <c r="K123" s="803">
        <f t="shared" si="4"/>
        <v>14414999.999999998</v>
      </c>
      <c r="L123" s="804">
        <f t="shared" si="5"/>
        <v>317129999.99999994</v>
      </c>
    </row>
    <row r="124" spans="3:12" x14ac:dyDescent="0.2">
      <c r="C124" s="210">
        <v>2023</v>
      </c>
      <c r="D124" s="39">
        <v>121</v>
      </c>
      <c r="E124" s="439">
        <v>45139</v>
      </c>
      <c r="F124" s="98">
        <v>0.15</v>
      </c>
      <c r="G124" s="247" t="s">
        <v>41</v>
      </c>
      <c r="H124" s="41">
        <v>1E-3</v>
      </c>
      <c r="I124" s="826">
        <v>1.4200000000000001E-2</v>
      </c>
      <c r="J124">
        <f t="shared" si="3"/>
        <v>31</v>
      </c>
      <c r="K124" s="803">
        <f t="shared" si="4"/>
        <v>14414999.999999998</v>
      </c>
      <c r="L124" s="804">
        <f t="shared" si="5"/>
        <v>317129999.99999994</v>
      </c>
    </row>
    <row r="125" spans="3:12" x14ac:dyDescent="0.2">
      <c r="C125" s="210">
        <v>2023</v>
      </c>
      <c r="D125" s="39">
        <v>122</v>
      </c>
      <c r="E125" s="439">
        <v>45170</v>
      </c>
      <c r="F125" s="53">
        <v>0.15</v>
      </c>
      <c r="G125" s="219" t="s">
        <v>41</v>
      </c>
      <c r="H125" s="41">
        <v>1E-3</v>
      </c>
      <c r="I125" s="826">
        <v>1.4200000000000001E-2</v>
      </c>
      <c r="J125">
        <f t="shared" si="3"/>
        <v>30</v>
      </c>
      <c r="K125" s="803">
        <f t="shared" si="4"/>
        <v>13950000</v>
      </c>
      <c r="L125" s="804">
        <f t="shared" si="5"/>
        <v>306900000</v>
      </c>
    </row>
    <row r="126" spans="3:12" x14ac:dyDescent="0.2">
      <c r="C126" s="210">
        <v>2023</v>
      </c>
      <c r="D126" s="42">
        <v>123</v>
      </c>
      <c r="E126" s="439">
        <v>45200</v>
      </c>
      <c r="F126" s="53">
        <v>0.15</v>
      </c>
      <c r="G126" s="219" t="s">
        <v>41</v>
      </c>
      <c r="H126" s="41">
        <v>1E-3</v>
      </c>
      <c r="I126" s="826">
        <v>1.4200000000000001E-2</v>
      </c>
      <c r="J126">
        <f t="shared" si="3"/>
        <v>31</v>
      </c>
      <c r="K126" s="803">
        <f t="shared" si="4"/>
        <v>14414999.999999998</v>
      </c>
      <c r="L126" s="804">
        <f t="shared" si="5"/>
        <v>317129999.99999994</v>
      </c>
    </row>
    <row r="127" spans="3:12" x14ac:dyDescent="0.2">
      <c r="C127" s="210">
        <v>2023</v>
      </c>
      <c r="D127" s="44">
        <v>124</v>
      </c>
      <c r="E127" s="439">
        <v>45231</v>
      </c>
      <c r="F127" s="97">
        <v>0.15</v>
      </c>
      <c r="G127" s="248" t="s">
        <v>41</v>
      </c>
      <c r="H127" s="41">
        <v>1E-3</v>
      </c>
      <c r="I127" s="826">
        <v>1.4200000000000001E-2</v>
      </c>
      <c r="J127">
        <f t="shared" si="3"/>
        <v>30</v>
      </c>
      <c r="K127" s="803">
        <f t="shared" si="4"/>
        <v>13950000</v>
      </c>
      <c r="L127" s="804">
        <f t="shared" si="5"/>
        <v>306900000</v>
      </c>
    </row>
    <row r="128" spans="3:12" x14ac:dyDescent="0.2">
      <c r="C128" s="210">
        <v>2023</v>
      </c>
      <c r="D128" s="39">
        <v>125</v>
      </c>
      <c r="E128" s="439">
        <v>45261</v>
      </c>
      <c r="F128" s="57">
        <v>0.15</v>
      </c>
      <c r="G128" s="249" t="s">
        <v>41</v>
      </c>
      <c r="H128" s="41">
        <v>1E-3</v>
      </c>
      <c r="I128" s="826">
        <v>1.4200000000000001E-2</v>
      </c>
      <c r="J128">
        <f t="shared" si="3"/>
        <v>31</v>
      </c>
      <c r="K128" s="803">
        <f t="shared" si="4"/>
        <v>14414999.999999998</v>
      </c>
      <c r="L128" s="804">
        <f t="shared" si="5"/>
        <v>317129999.99999994</v>
      </c>
    </row>
    <row r="129" spans="3:12" x14ac:dyDescent="0.2">
      <c r="C129" s="210">
        <v>2024</v>
      </c>
      <c r="D129" s="39">
        <v>126</v>
      </c>
      <c r="E129" s="439">
        <v>45292</v>
      </c>
      <c r="F129" s="52">
        <v>0.15</v>
      </c>
      <c r="G129" s="218" t="s">
        <v>42</v>
      </c>
      <c r="H129" s="41">
        <v>1E-3</v>
      </c>
      <c r="I129" s="826">
        <v>1.4200000000000001E-2</v>
      </c>
      <c r="J129">
        <f t="shared" si="3"/>
        <v>31</v>
      </c>
      <c r="K129" s="803">
        <f t="shared" si="4"/>
        <v>14414999.999999998</v>
      </c>
      <c r="L129" s="804">
        <f t="shared" si="5"/>
        <v>317129999.99999994</v>
      </c>
    </row>
    <row r="130" spans="3:12" x14ac:dyDescent="0.2">
      <c r="C130" s="210">
        <v>2024</v>
      </c>
      <c r="D130" s="42">
        <v>127</v>
      </c>
      <c r="E130" s="439">
        <v>45323</v>
      </c>
      <c r="F130" s="53">
        <v>0.15</v>
      </c>
      <c r="G130" s="219" t="s">
        <v>42</v>
      </c>
      <c r="H130" s="41">
        <v>1E-3</v>
      </c>
      <c r="I130" s="826">
        <v>1.4200000000000001E-2</v>
      </c>
      <c r="J130">
        <f t="shared" si="3"/>
        <v>29</v>
      </c>
      <c r="K130" s="803">
        <f t="shared" si="4"/>
        <v>13484999.999999998</v>
      </c>
      <c r="L130" s="804">
        <f t="shared" si="5"/>
        <v>296669999.99999994</v>
      </c>
    </row>
    <row r="131" spans="3:12" x14ac:dyDescent="0.2">
      <c r="C131" s="210">
        <v>2024</v>
      </c>
      <c r="D131" s="44">
        <v>128</v>
      </c>
      <c r="E131" s="439">
        <v>45352</v>
      </c>
      <c r="F131" s="95">
        <v>0.15</v>
      </c>
      <c r="G131" s="250" t="s">
        <v>42</v>
      </c>
      <c r="H131" s="41">
        <v>1E-3</v>
      </c>
      <c r="I131" s="826">
        <v>1.4200000000000001E-2</v>
      </c>
      <c r="J131">
        <f t="shared" si="3"/>
        <v>31</v>
      </c>
      <c r="K131" s="803">
        <f t="shared" si="4"/>
        <v>14414999.999999998</v>
      </c>
      <c r="L131" s="804">
        <f t="shared" si="5"/>
        <v>317129999.99999994</v>
      </c>
    </row>
    <row r="132" spans="3:12" x14ac:dyDescent="0.2">
      <c r="C132" s="210">
        <v>2024</v>
      </c>
      <c r="D132" s="39">
        <v>129</v>
      </c>
      <c r="E132" s="439">
        <v>45383</v>
      </c>
      <c r="F132" s="100">
        <v>0.15</v>
      </c>
      <c r="G132" s="251" t="s">
        <v>42</v>
      </c>
      <c r="H132" s="41">
        <v>1E-3</v>
      </c>
      <c r="I132" s="826">
        <v>1.4200000000000001E-2</v>
      </c>
      <c r="J132">
        <f t="shared" si="3"/>
        <v>30</v>
      </c>
      <c r="K132" s="803">
        <f t="shared" si="4"/>
        <v>13950000</v>
      </c>
      <c r="L132" s="804">
        <f t="shared" si="5"/>
        <v>306900000</v>
      </c>
    </row>
    <row r="133" spans="3:12" x14ac:dyDescent="0.2">
      <c r="C133" s="210">
        <v>2024</v>
      </c>
      <c r="D133" s="39">
        <v>130</v>
      </c>
      <c r="E133" s="439">
        <v>45413</v>
      </c>
      <c r="F133" s="101">
        <v>0.15</v>
      </c>
      <c r="G133" s="252" t="s">
        <v>42</v>
      </c>
      <c r="H133" s="41">
        <v>1E-3</v>
      </c>
      <c r="I133" s="826">
        <v>1.4200000000000001E-2</v>
      </c>
      <c r="J133">
        <f t="shared" ref="J133:J196" si="6">_xlfn.DAYS(E134,E133)</f>
        <v>31</v>
      </c>
      <c r="K133" s="803">
        <f t="shared" ref="K133:K196" si="7">F133*J133*3100000</f>
        <v>14414999.999999998</v>
      </c>
      <c r="L133" s="804">
        <f t="shared" ref="L133:L196" si="8">K133*M$3</f>
        <v>317129999.99999994</v>
      </c>
    </row>
    <row r="134" spans="3:12" x14ac:dyDescent="0.2">
      <c r="C134" s="210">
        <v>2024</v>
      </c>
      <c r="D134" s="42">
        <v>131</v>
      </c>
      <c r="E134" s="439">
        <v>45444</v>
      </c>
      <c r="F134" s="48">
        <v>0.15</v>
      </c>
      <c r="G134" s="216" t="s">
        <v>42</v>
      </c>
      <c r="H134" s="41">
        <v>1E-3</v>
      </c>
      <c r="I134" s="826">
        <v>1.4200000000000001E-2</v>
      </c>
      <c r="J134">
        <f t="shared" si="6"/>
        <v>30</v>
      </c>
      <c r="K134" s="803">
        <f t="shared" si="7"/>
        <v>13950000</v>
      </c>
      <c r="L134" s="804">
        <f t="shared" si="8"/>
        <v>306900000</v>
      </c>
    </row>
    <row r="135" spans="3:12" x14ac:dyDescent="0.2">
      <c r="C135" s="210">
        <v>2024</v>
      </c>
      <c r="D135" s="44">
        <v>132</v>
      </c>
      <c r="E135" s="439">
        <v>45474</v>
      </c>
      <c r="F135" s="50">
        <v>0.15</v>
      </c>
      <c r="G135" s="217" t="s">
        <v>42</v>
      </c>
      <c r="H135" s="41">
        <v>1E-3</v>
      </c>
      <c r="I135" s="826">
        <v>1.4200000000000001E-2</v>
      </c>
      <c r="J135">
        <f t="shared" si="6"/>
        <v>31</v>
      </c>
      <c r="K135" s="803">
        <f t="shared" si="7"/>
        <v>14414999.999999998</v>
      </c>
      <c r="L135" s="804">
        <f t="shared" si="8"/>
        <v>317129999.99999994</v>
      </c>
    </row>
    <row r="136" spans="3:12" x14ac:dyDescent="0.2">
      <c r="C136" s="210">
        <v>2024</v>
      </c>
      <c r="D136" s="39">
        <v>133</v>
      </c>
      <c r="E136" s="439">
        <v>45505</v>
      </c>
      <c r="F136" s="102">
        <v>0.15</v>
      </c>
      <c r="G136" s="253" t="s">
        <v>42</v>
      </c>
      <c r="H136" s="41">
        <v>1E-3</v>
      </c>
      <c r="I136" s="826">
        <v>1.4200000000000001E-2</v>
      </c>
      <c r="J136">
        <f t="shared" si="6"/>
        <v>31</v>
      </c>
      <c r="K136" s="803">
        <f t="shared" si="7"/>
        <v>14414999.999999998</v>
      </c>
      <c r="L136" s="804">
        <f t="shared" si="8"/>
        <v>317129999.99999994</v>
      </c>
    </row>
    <row r="137" spans="3:12" x14ac:dyDescent="0.2">
      <c r="C137" s="210">
        <v>2024</v>
      </c>
      <c r="D137" s="39">
        <v>134</v>
      </c>
      <c r="E137" s="439">
        <v>45536</v>
      </c>
      <c r="F137" s="103">
        <v>0.15</v>
      </c>
      <c r="G137" s="254" t="s">
        <v>42</v>
      </c>
      <c r="H137" s="41">
        <v>1E-3</v>
      </c>
      <c r="I137" s="826">
        <v>1.4200000000000001E-2</v>
      </c>
      <c r="J137">
        <f t="shared" si="6"/>
        <v>30</v>
      </c>
      <c r="K137" s="803">
        <f t="shared" si="7"/>
        <v>13950000</v>
      </c>
      <c r="L137" s="804">
        <f t="shared" si="8"/>
        <v>306900000</v>
      </c>
    </row>
    <row r="138" spans="3:12" x14ac:dyDescent="0.2">
      <c r="C138" s="210">
        <v>2024</v>
      </c>
      <c r="D138" s="42">
        <v>135</v>
      </c>
      <c r="E138" s="439">
        <v>45566</v>
      </c>
      <c r="F138" s="104">
        <v>0.15</v>
      </c>
      <c r="G138" s="255" t="s">
        <v>42</v>
      </c>
      <c r="H138" s="41">
        <v>1E-3</v>
      </c>
      <c r="I138" s="826">
        <v>1.4200000000000001E-2</v>
      </c>
      <c r="J138">
        <f t="shared" si="6"/>
        <v>31</v>
      </c>
      <c r="K138" s="803">
        <f t="shared" si="7"/>
        <v>14414999.999999998</v>
      </c>
      <c r="L138" s="804">
        <f t="shared" si="8"/>
        <v>317129999.99999994</v>
      </c>
    </row>
    <row r="139" spans="3:12" x14ac:dyDescent="0.2">
      <c r="C139" s="210">
        <v>2024</v>
      </c>
      <c r="D139" s="44">
        <v>136</v>
      </c>
      <c r="E139" s="439">
        <v>45597</v>
      </c>
      <c r="F139" s="48">
        <v>0.15</v>
      </c>
      <c r="G139" s="216" t="s">
        <v>42</v>
      </c>
      <c r="H139" s="41">
        <v>1E-3</v>
      </c>
      <c r="I139" s="826">
        <v>1.4200000000000001E-2</v>
      </c>
      <c r="J139">
        <f t="shared" si="6"/>
        <v>30</v>
      </c>
      <c r="K139" s="803">
        <f t="shared" si="7"/>
        <v>13950000</v>
      </c>
      <c r="L139" s="804">
        <f t="shared" si="8"/>
        <v>306900000</v>
      </c>
    </row>
    <row r="140" spans="3:12" x14ac:dyDescent="0.2">
      <c r="C140" s="210">
        <v>2024</v>
      </c>
      <c r="D140" s="39">
        <v>137</v>
      </c>
      <c r="E140" s="439">
        <v>45627</v>
      </c>
      <c r="F140" s="50">
        <v>0.15</v>
      </c>
      <c r="G140" s="217" t="s">
        <v>42</v>
      </c>
      <c r="H140" s="41">
        <v>1E-3</v>
      </c>
      <c r="I140" s="826">
        <v>1.4200000000000001E-2</v>
      </c>
      <c r="J140">
        <f t="shared" si="6"/>
        <v>31</v>
      </c>
      <c r="K140" s="803">
        <f t="shared" si="7"/>
        <v>14414999.999999998</v>
      </c>
      <c r="L140" s="804">
        <f t="shared" si="8"/>
        <v>317129999.99999994</v>
      </c>
    </row>
    <row r="141" spans="3:12" x14ac:dyDescent="0.2">
      <c r="C141" s="210">
        <v>2025</v>
      </c>
      <c r="D141" s="39">
        <v>138</v>
      </c>
      <c r="E141" s="439">
        <v>45658</v>
      </c>
      <c r="F141" s="50">
        <v>0.17599999999999999</v>
      </c>
      <c r="G141" s="217" t="s">
        <v>43</v>
      </c>
      <c r="H141" s="41">
        <v>1E-3</v>
      </c>
      <c r="I141" s="826">
        <v>1.4200000000000001E-2</v>
      </c>
      <c r="J141">
        <f t="shared" si="6"/>
        <v>31</v>
      </c>
      <c r="K141" s="803">
        <f t="shared" si="7"/>
        <v>16913600</v>
      </c>
      <c r="L141" s="804">
        <f t="shared" si="8"/>
        <v>372099200</v>
      </c>
    </row>
    <row r="142" spans="3:12" x14ac:dyDescent="0.2">
      <c r="C142" s="210">
        <v>2025</v>
      </c>
      <c r="D142" s="42">
        <v>139</v>
      </c>
      <c r="E142" s="439">
        <v>45689</v>
      </c>
      <c r="F142" s="102">
        <v>0.17599999999999999</v>
      </c>
      <c r="G142" s="253" t="s">
        <v>43</v>
      </c>
      <c r="H142" s="41">
        <v>1E-3</v>
      </c>
      <c r="I142" s="826">
        <v>1.4200000000000001E-2</v>
      </c>
      <c r="J142">
        <f t="shared" si="6"/>
        <v>28</v>
      </c>
      <c r="K142" s="803">
        <f t="shared" si="7"/>
        <v>15276800</v>
      </c>
      <c r="L142" s="804">
        <f t="shared" si="8"/>
        <v>336089600</v>
      </c>
    </row>
    <row r="143" spans="3:12" x14ac:dyDescent="0.2">
      <c r="C143" s="210">
        <v>2025</v>
      </c>
      <c r="D143" s="44">
        <v>140</v>
      </c>
      <c r="E143" s="439">
        <v>45717</v>
      </c>
      <c r="F143" s="103">
        <v>0.17599999999999999</v>
      </c>
      <c r="G143" s="254" t="s">
        <v>43</v>
      </c>
      <c r="H143" s="41">
        <v>1E-3</v>
      </c>
      <c r="I143" s="826">
        <v>1.4200000000000001E-2</v>
      </c>
      <c r="J143">
        <f t="shared" si="6"/>
        <v>31</v>
      </c>
      <c r="K143" s="803">
        <f t="shared" si="7"/>
        <v>16913600</v>
      </c>
      <c r="L143" s="804">
        <f t="shared" si="8"/>
        <v>372099200</v>
      </c>
    </row>
    <row r="144" spans="3:12" x14ac:dyDescent="0.2">
      <c r="C144" s="210">
        <v>2025</v>
      </c>
      <c r="D144" s="39">
        <v>141</v>
      </c>
      <c r="E144" s="439">
        <v>45748</v>
      </c>
      <c r="F144" s="104">
        <v>0.17599999999999999</v>
      </c>
      <c r="G144" s="255" t="s">
        <v>43</v>
      </c>
      <c r="H144" s="41">
        <v>1E-3</v>
      </c>
      <c r="I144" s="826">
        <v>1.4200000000000001E-2</v>
      </c>
      <c r="J144">
        <f t="shared" si="6"/>
        <v>30</v>
      </c>
      <c r="K144" s="803">
        <f t="shared" si="7"/>
        <v>16367999.999999998</v>
      </c>
      <c r="L144" s="804">
        <f t="shared" si="8"/>
        <v>360095999.99999994</v>
      </c>
    </row>
    <row r="145" spans="3:12" x14ac:dyDescent="0.2">
      <c r="C145" s="210">
        <v>2025</v>
      </c>
      <c r="D145" s="39">
        <v>142</v>
      </c>
      <c r="E145" s="439">
        <v>45778</v>
      </c>
      <c r="F145" s="105">
        <v>0.17599999999999999</v>
      </c>
      <c r="G145" s="235" t="s">
        <v>43</v>
      </c>
      <c r="H145" s="41">
        <v>1E-3</v>
      </c>
      <c r="I145" s="826">
        <v>1.4200000000000001E-2</v>
      </c>
      <c r="J145">
        <f t="shared" si="6"/>
        <v>31</v>
      </c>
      <c r="K145" s="803">
        <f t="shared" si="7"/>
        <v>16913600</v>
      </c>
      <c r="L145" s="804">
        <f t="shared" si="8"/>
        <v>372099200</v>
      </c>
    </row>
    <row r="146" spans="3:12" x14ac:dyDescent="0.2">
      <c r="C146" s="210">
        <v>2025</v>
      </c>
      <c r="D146" s="42">
        <v>143</v>
      </c>
      <c r="E146" s="439">
        <v>45809</v>
      </c>
      <c r="F146" s="107">
        <v>0.17599999999999999</v>
      </c>
      <c r="G146" s="256" t="s">
        <v>43</v>
      </c>
      <c r="H146" s="41">
        <v>1E-3</v>
      </c>
      <c r="I146" s="826">
        <v>1.4200000000000001E-2</v>
      </c>
      <c r="J146">
        <f t="shared" si="6"/>
        <v>30</v>
      </c>
      <c r="K146" s="803">
        <f t="shared" si="7"/>
        <v>16367999.999999998</v>
      </c>
      <c r="L146" s="804">
        <f t="shared" si="8"/>
        <v>360095999.99999994</v>
      </c>
    </row>
    <row r="147" spans="3:12" x14ac:dyDescent="0.2">
      <c r="C147" s="210">
        <v>2025</v>
      </c>
      <c r="D147" s="44">
        <v>144</v>
      </c>
      <c r="E147" s="439">
        <v>45839</v>
      </c>
      <c r="F147" s="108">
        <v>0.17599999999999999</v>
      </c>
      <c r="G147" s="257" t="s">
        <v>43</v>
      </c>
      <c r="H147" s="41">
        <v>1E-3</v>
      </c>
      <c r="I147" s="826">
        <v>1.4200000000000001E-2</v>
      </c>
      <c r="J147">
        <f t="shared" si="6"/>
        <v>31</v>
      </c>
      <c r="K147" s="803">
        <f t="shared" si="7"/>
        <v>16913600</v>
      </c>
      <c r="L147" s="804">
        <f t="shared" si="8"/>
        <v>372099200</v>
      </c>
    </row>
    <row r="148" spans="3:12" x14ac:dyDescent="0.2">
      <c r="C148" s="210">
        <v>2025</v>
      </c>
      <c r="D148" s="39">
        <v>145</v>
      </c>
      <c r="E148" s="439">
        <v>45870</v>
      </c>
      <c r="F148" s="109">
        <v>0.17599999999999999</v>
      </c>
      <c r="G148" s="258" t="s">
        <v>43</v>
      </c>
      <c r="H148" s="41">
        <v>1E-3</v>
      </c>
      <c r="I148" s="826">
        <v>1.4200000000000001E-2</v>
      </c>
      <c r="J148">
        <f t="shared" si="6"/>
        <v>31</v>
      </c>
      <c r="K148" s="803">
        <f t="shared" si="7"/>
        <v>16913600</v>
      </c>
      <c r="L148" s="804">
        <f t="shared" si="8"/>
        <v>372099200</v>
      </c>
    </row>
    <row r="149" spans="3:12" x14ac:dyDescent="0.2">
      <c r="C149" s="210">
        <v>2025</v>
      </c>
      <c r="D149" s="39">
        <v>146</v>
      </c>
      <c r="E149" s="439">
        <v>45901</v>
      </c>
      <c r="F149" s="111">
        <v>0.17599999999999999</v>
      </c>
      <c r="G149" s="243" t="s">
        <v>43</v>
      </c>
      <c r="H149" s="41">
        <v>1E-3</v>
      </c>
      <c r="I149" s="826">
        <v>1.4200000000000001E-2</v>
      </c>
      <c r="J149">
        <f t="shared" si="6"/>
        <v>30</v>
      </c>
      <c r="K149" s="803">
        <f t="shared" si="7"/>
        <v>16367999.999999998</v>
      </c>
      <c r="L149" s="804">
        <f t="shared" si="8"/>
        <v>360095999.99999994</v>
      </c>
    </row>
    <row r="150" spans="3:12" x14ac:dyDescent="0.2">
      <c r="C150" s="210">
        <v>2025</v>
      </c>
      <c r="D150" s="42">
        <v>147</v>
      </c>
      <c r="E150" s="439">
        <v>45931</v>
      </c>
      <c r="F150" s="112">
        <v>0.17599999999999999</v>
      </c>
      <c r="G150" s="220" t="s">
        <v>43</v>
      </c>
      <c r="H150" s="41">
        <v>1E-3</v>
      </c>
      <c r="I150" s="826">
        <v>1.4200000000000001E-2</v>
      </c>
      <c r="J150">
        <f t="shared" si="6"/>
        <v>31</v>
      </c>
      <c r="K150" s="803">
        <f t="shared" si="7"/>
        <v>16913600</v>
      </c>
      <c r="L150" s="804">
        <f t="shared" si="8"/>
        <v>372099200</v>
      </c>
    </row>
    <row r="151" spans="3:12" x14ac:dyDescent="0.2">
      <c r="C151" s="210">
        <v>2025</v>
      </c>
      <c r="D151" s="44">
        <v>148</v>
      </c>
      <c r="E151" s="439">
        <v>45962</v>
      </c>
      <c r="F151" s="113">
        <v>0.17599999999999999</v>
      </c>
      <c r="G151" s="259" t="s">
        <v>43</v>
      </c>
      <c r="H151" s="41">
        <v>1E-3</v>
      </c>
      <c r="I151" s="826">
        <v>1.4200000000000001E-2</v>
      </c>
      <c r="J151">
        <f t="shared" si="6"/>
        <v>30</v>
      </c>
      <c r="K151" s="803">
        <f t="shared" si="7"/>
        <v>16367999.999999998</v>
      </c>
      <c r="L151" s="804">
        <f t="shared" si="8"/>
        <v>360095999.99999994</v>
      </c>
    </row>
    <row r="152" spans="3:12" x14ac:dyDescent="0.2">
      <c r="C152" s="210">
        <v>2025</v>
      </c>
      <c r="D152" s="39">
        <v>149</v>
      </c>
      <c r="E152" s="439">
        <v>45992</v>
      </c>
      <c r="F152" s="114">
        <v>0.17599999999999999</v>
      </c>
      <c r="G152" s="260" t="s">
        <v>43</v>
      </c>
      <c r="H152" s="41">
        <v>1E-3</v>
      </c>
      <c r="I152" s="826">
        <v>1.4200000000000001E-2</v>
      </c>
      <c r="J152">
        <f t="shared" si="6"/>
        <v>31</v>
      </c>
      <c r="K152" s="803">
        <f t="shared" si="7"/>
        <v>16913600</v>
      </c>
      <c r="L152" s="804">
        <f t="shared" si="8"/>
        <v>372099200</v>
      </c>
    </row>
    <row r="153" spans="3:12" x14ac:dyDescent="0.2">
      <c r="C153" s="210">
        <v>2026</v>
      </c>
      <c r="D153" s="39">
        <v>150</v>
      </c>
      <c r="E153" s="439">
        <v>46023</v>
      </c>
      <c r="F153" s="115">
        <v>0.183</v>
      </c>
      <c r="G153" s="261" t="s">
        <v>44</v>
      </c>
      <c r="H153" s="41">
        <v>1E-3</v>
      </c>
      <c r="I153" s="826">
        <v>1.4200000000000001E-2</v>
      </c>
      <c r="J153">
        <f t="shared" si="6"/>
        <v>31</v>
      </c>
      <c r="K153" s="803">
        <f t="shared" si="7"/>
        <v>17586300</v>
      </c>
      <c r="L153" s="804">
        <f t="shared" si="8"/>
        <v>386898600</v>
      </c>
    </row>
    <row r="154" spans="3:12" x14ac:dyDescent="0.2">
      <c r="C154" s="210">
        <v>2026</v>
      </c>
      <c r="D154" s="42">
        <v>151</v>
      </c>
      <c r="E154" s="439">
        <v>46054</v>
      </c>
      <c r="F154" s="116">
        <v>0.183</v>
      </c>
      <c r="G154" s="262" t="s">
        <v>44</v>
      </c>
      <c r="H154" s="41">
        <v>1E-3</v>
      </c>
      <c r="I154" s="826">
        <v>1.4200000000000001E-2</v>
      </c>
      <c r="J154">
        <f t="shared" si="6"/>
        <v>28</v>
      </c>
      <c r="K154" s="803">
        <f t="shared" si="7"/>
        <v>15884399.999999998</v>
      </c>
      <c r="L154" s="804">
        <f t="shared" si="8"/>
        <v>349456799.99999994</v>
      </c>
    </row>
    <row r="155" spans="3:12" x14ac:dyDescent="0.2">
      <c r="C155" s="210">
        <v>2026</v>
      </c>
      <c r="D155" s="44">
        <v>152</v>
      </c>
      <c r="E155" s="439">
        <v>46082</v>
      </c>
      <c r="F155" s="116">
        <v>0.183</v>
      </c>
      <c r="G155" s="262" t="s">
        <v>44</v>
      </c>
      <c r="H155" s="41">
        <v>1E-3</v>
      </c>
      <c r="I155" s="826">
        <v>1.4200000000000001E-2</v>
      </c>
      <c r="J155">
        <f t="shared" si="6"/>
        <v>31</v>
      </c>
      <c r="K155" s="803">
        <f t="shared" si="7"/>
        <v>17586300</v>
      </c>
      <c r="L155" s="804">
        <f t="shared" si="8"/>
        <v>386898600</v>
      </c>
    </row>
    <row r="156" spans="3:12" x14ac:dyDescent="0.2">
      <c r="C156" s="210">
        <v>2026</v>
      </c>
      <c r="D156" s="39">
        <v>153</v>
      </c>
      <c r="E156" s="439">
        <v>46113</v>
      </c>
      <c r="F156" s="117">
        <v>0.183</v>
      </c>
      <c r="G156" s="556" t="s">
        <v>44</v>
      </c>
      <c r="H156" s="41">
        <v>1E-3</v>
      </c>
      <c r="I156" s="826">
        <v>1.4200000000000001E-2</v>
      </c>
      <c r="J156">
        <f t="shared" si="6"/>
        <v>30</v>
      </c>
      <c r="K156" s="803">
        <f t="shared" si="7"/>
        <v>17019000</v>
      </c>
      <c r="L156" s="804">
        <f t="shared" si="8"/>
        <v>374418000</v>
      </c>
    </row>
    <row r="157" spans="3:12" x14ac:dyDescent="0.2">
      <c r="C157" s="210">
        <v>2026</v>
      </c>
      <c r="D157" s="39">
        <v>154</v>
      </c>
      <c r="E157" s="439">
        <v>46143</v>
      </c>
      <c r="F157" s="119">
        <v>0.183</v>
      </c>
      <c r="G157" s="557" t="s">
        <v>44</v>
      </c>
      <c r="H157" s="41">
        <v>1E-3</v>
      </c>
      <c r="I157" s="826">
        <v>1.4200000000000001E-2</v>
      </c>
      <c r="J157">
        <f t="shared" si="6"/>
        <v>31</v>
      </c>
      <c r="K157" s="803">
        <f t="shared" si="7"/>
        <v>17586300</v>
      </c>
      <c r="L157" s="804">
        <f t="shared" si="8"/>
        <v>386898600</v>
      </c>
    </row>
    <row r="158" spans="3:12" x14ac:dyDescent="0.2">
      <c r="C158" s="210">
        <v>2026</v>
      </c>
      <c r="D158" s="42">
        <v>155</v>
      </c>
      <c r="E158" s="439">
        <v>46174</v>
      </c>
      <c r="F158" s="120">
        <v>0.183</v>
      </c>
      <c r="G158" s="558" t="s">
        <v>44</v>
      </c>
      <c r="H158" s="41">
        <v>1E-3</v>
      </c>
      <c r="I158" s="826">
        <v>1.4200000000000001E-2</v>
      </c>
      <c r="J158">
        <f t="shared" si="6"/>
        <v>30</v>
      </c>
      <c r="K158" s="803">
        <f t="shared" si="7"/>
        <v>17019000</v>
      </c>
      <c r="L158" s="804">
        <f t="shared" si="8"/>
        <v>374418000</v>
      </c>
    </row>
    <row r="159" spans="3:12" x14ac:dyDescent="0.2">
      <c r="C159" s="210">
        <v>2026</v>
      </c>
      <c r="D159" s="44">
        <v>156</v>
      </c>
      <c r="E159" s="439">
        <v>46204</v>
      </c>
      <c r="F159" s="121">
        <v>0.183</v>
      </c>
      <c r="G159" s="559" t="s">
        <v>44</v>
      </c>
      <c r="H159" s="41">
        <v>1E-3</v>
      </c>
      <c r="I159" s="826">
        <v>1.4200000000000001E-2</v>
      </c>
      <c r="J159">
        <f t="shared" si="6"/>
        <v>31</v>
      </c>
      <c r="K159" s="803">
        <f t="shared" si="7"/>
        <v>17586300</v>
      </c>
      <c r="L159" s="804">
        <f t="shared" si="8"/>
        <v>386898600</v>
      </c>
    </row>
    <row r="160" spans="3:12" x14ac:dyDescent="0.2">
      <c r="C160" s="210">
        <v>2026</v>
      </c>
      <c r="D160" s="39">
        <v>157</v>
      </c>
      <c r="E160" s="439">
        <v>46235</v>
      </c>
      <c r="F160" s="121">
        <v>0.183</v>
      </c>
      <c r="G160" s="267" t="s">
        <v>44</v>
      </c>
      <c r="H160" s="41">
        <v>1E-3</v>
      </c>
      <c r="I160" s="826">
        <v>1.4200000000000001E-2</v>
      </c>
      <c r="J160">
        <f t="shared" si="6"/>
        <v>31</v>
      </c>
      <c r="K160" s="803">
        <f t="shared" si="7"/>
        <v>17586300</v>
      </c>
      <c r="L160" s="804">
        <f t="shared" si="8"/>
        <v>386898600</v>
      </c>
    </row>
    <row r="161" spans="3:12" x14ac:dyDescent="0.2">
      <c r="C161" s="210">
        <v>2026</v>
      </c>
      <c r="D161" s="39">
        <v>158</v>
      </c>
      <c r="E161" s="439">
        <v>46266</v>
      </c>
      <c r="F161" s="87">
        <v>0.183</v>
      </c>
      <c r="G161" s="239" t="s">
        <v>44</v>
      </c>
      <c r="H161" s="41">
        <v>1E-3</v>
      </c>
      <c r="I161" s="826">
        <v>1.4200000000000001E-2</v>
      </c>
      <c r="J161">
        <f t="shared" si="6"/>
        <v>30</v>
      </c>
      <c r="K161" s="803">
        <f t="shared" si="7"/>
        <v>17019000</v>
      </c>
      <c r="L161" s="804">
        <f t="shared" si="8"/>
        <v>374418000</v>
      </c>
    </row>
    <row r="162" spans="3:12" x14ac:dyDescent="0.2">
      <c r="C162" s="210">
        <v>2026</v>
      </c>
      <c r="D162" s="42">
        <v>159</v>
      </c>
      <c r="E162" s="439">
        <v>46296</v>
      </c>
      <c r="F162" s="93">
        <v>0.183</v>
      </c>
      <c r="G162" s="237" t="s">
        <v>44</v>
      </c>
      <c r="H162" s="41">
        <v>1E-3</v>
      </c>
      <c r="I162" s="826">
        <v>1.4200000000000001E-2</v>
      </c>
      <c r="J162">
        <f t="shared" si="6"/>
        <v>31</v>
      </c>
      <c r="K162" s="803">
        <f t="shared" si="7"/>
        <v>17586300</v>
      </c>
      <c r="L162" s="804">
        <f t="shared" si="8"/>
        <v>386898600</v>
      </c>
    </row>
    <row r="163" spans="3:12" x14ac:dyDescent="0.2">
      <c r="C163" s="210">
        <v>2026</v>
      </c>
      <c r="D163" s="44">
        <v>160</v>
      </c>
      <c r="E163" s="439">
        <v>46327</v>
      </c>
      <c r="F163" s="93">
        <v>0.183</v>
      </c>
      <c r="G163" s="237" t="s">
        <v>44</v>
      </c>
      <c r="H163" s="41">
        <v>1E-3</v>
      </c>
      <c r="I163" s="826">
        <v>1.4200000000000001E-2</v>
      </c>
      <c r="J163">
        <f t="shared" si="6"/>
        <v>30</v>
      </c>
      <c r="K163" s="803">
        <f t="shared" si="7"/>
        <v>17019000</v>
      </c>
      <c r="L163" s="804">
        <f t="shared" si="8"/>
        <v>374418000</v>
      </c>
    </row>
    <row r="164" spans="3:12" x14ac:dyDescent="0.2">
      <c r="C164" s="210">
        <v>2026</v>
      </c>
      <c r="D164" s="39">
        <v>161</v>
      </c>
      <c r="E164" s="439">
        <v>46357</v>
      </c>
      <c r="F164" s="93">
        <v>0.183</v>
      </c>
      <c r="G164" s="237" t="s">
        <v>44</v>
      </c>
      <c r="H164" s="41">
        <v>1E-3</v>
      </c>
      <c r="I164" s="826">
        <v>1.4200000000000001E-2</v>
      </c>
      <c r="J164">
        <f t="shared" si="6"/>
        <v>31</v>
      </c>
      <c r="K164" s="803">
        <f t="shared" si="7"/>
        <v>17586300</v>
      </c>
      <c r="L164" s="804">
        <f t="shared" si="8"/>
        <v>386898600</v>
      </c>
    </row>
    <row r="165" spans="3:12" x14ac:dyDescent="0.2">
      <c r="C165" s="210">
        <v>2027</v>
      </c>
      <c r="D165" s="39">
        <v>162</v>
      </c>
      <c r="E165" s="439">
        <v>46388</v>
      </c>
      <c r="F165" s="46">
        <v>0.184</v>
      </c>
      <c r="G165" s="237" t="s">
        <v>45</v>
      </c>
      <c r="H165" s="41">
        <v>1E-3</v>
      </c>
      <c r="I165" s="826">
        <v>1.4200000000000001E-2</v>
      </c>
      <c r="J165">
        <f t="shared" si="6"/>
        <v>31</v>
      </c>
      <c r="K165" s="803">
        <f t="shared" si="7"/>
        <v>17682400</v>
      </c>
      <c r="L165" s="804">
        <f t="shared" si="8"/>
        <v>389012800</v>
      </c>
    </row>
    <row r="166" spans="3:12" x14ac:dyDescent="0.2">
      <c r="C166" s="210">
        <v>2027</v>
      </c>
      <c r="D166" s="42">
        <v>163</v>
      </c>
      <c r="E166" s="439">
        <v>46419</v>
      </c>
      <c r="F166" s="122">
        <v>0.184</v>
      </c>
      <c r="G166" s="263" t="s">
        <v>45</v>
      </c>
      <c r="H166" s="41">
        <v>1E-3</v>
      </c>
      <c r="I166" s="826">
        <v>1.4200000000000001E-2</v>
      </c>
      <c r="J166">
        <f t="shared" si="6"/>
        <v>28</v>
      </c>
      <c r="K166" s="803">
        <f t="shared" si="7"/>
        <v>15971200</v>
      </c>
      <c r="L166" s="804">
        <f t="shared" si="8"/>
        <v>351366400</v>
      </c>
    </row>
    <row r="167" spans="3:12" x14ac:dyDescent="0.2">
      <c r="C167" s="210">
        <v>2027</v>
      </c>
      <c r="D167" s="44">
        <v>164</v>
      </c>
      <c r="E167" s="439">
        <v>46447</v>
      </c>
      <c r="F167" s="122">
        <v>0.184</v>
      </c>
      <c r="G167" s="263" t="s">
        <v>45</v>
      </c>
      <c r="H167" s="41">
        <v>1E-3</v>
      </c>
      <c r="I167" s="826">
        <v>1.4200000000000001E-2</v>
      </c>
      <c r="J167">
        <f t="shared" si="6"/>
        <v>31</v>
      </c>
      <c r="K167" s="803">
        <f t="shared" si="7"/>
        <v>17682400</v>
      </c>
      <c r="L167" s="804">
        <f t="shared" si="8"/>
        <v>389012800</v>
      </c>
    </row>
    <row r="168" spans="3:12" x14ac:dyDescent="0.2">
      <c r="C168" s="210">
        <v>2027</v>
      </c>
      <c r="D168" s="39">
        <v>165</v>
      </c>
      <c r="E168" s="439">
        <v>46478</v>
      </c>
      <c r="F168" s="122">
        <v>0.184</v>
      </c>
      <c r="G168" s="263" t="s">
        <v>45</v>
      </c>
      <c r="H168" s="41">
        <v>1E-3</v>
      </c>
      <c r="I168" s="826">
        <v>1.4200000000000001E-2</v>
      </c>
      <c r="J168">
        <f t="shared" si="6"/>
        <v>30</v>
      </c>
      <c r="K168" s="803">
        <f t="shared" si="7"/>
        <v>17112000</v>
      </c>
      <c r="L168" s="804">
        <f t="shared" si="8"/>
        <v>376464000</v>
      </c>
    </row>
    <row r="169" spans="3:12" x14ac:dyDescent="0.2">
      <c r="C169" s="210">
        <v>2027</v>
      </c>
      <c r="D169" s="39">
        <v>166</v>
      </c>
      <c r="E169" s="439">
        <v>46508</v>
      </c>
      <c r="F169" s="122">
        <v>0.184</v>
      </c>
      <c r="G169" s="263" t="s">
        <v>45</v>
      </c>
      <c r="H169" s="41">
        <v>1E-3</v>
      </c>
      <c r="I169" s="826">
        <v>1.4200000000000001E-2</v>
      </c>
      <c r="J169">
        <f t="shared" si="6"/>
        <v>31</v>
      </c>
      <c r="K169" s="803">
        <f t="shared" si="7"/>
        <v>17682400</v>
      </c>
      <c r="L169" s="804">
        <f t="shared" si="8"/>
        <v>389012800</v>
      </c>
    </row>
    <row r="170" spans="3:12" x14ac:dyDescent="0.2">
      <c r="C170" s="210">
        <v>2027</v>
      </c>
      <c r="D170" s="42">
        <v>167</v>
      </c>
      <c r="E170" s="439">
        <v>46539</v>
      </c>
      <c r="F170" s="122">
        <v>0.184</v>
      </c>
      <c r="G170" s="263" t="s">
        <v>45</v>
      </c>
      <c r="H170" s="41">
        <v>1E-3</v>
      </c>
      <c r="I170" s="826">
        <v>1.4200000000000001E-2</v>
      </c>
      <c r="J170">
        <f t="shared" si="6"/>
        <v>30</v>
      </c>
      <c r="K170" s="803">
        <f t="shared" si="7"/>
        <v>17112000</v>
      </c>
      <c r="L170" s="804">
        <f t="shared" si="8"/>
        <v>376464000</v>
      </c>
    </row>
    <row r="171" spans="3:12" x14ac:dyDescent="0.2">
      <c r="C171" s="210">
        <v>2027</v>
      </c>
      <c r="D171" s="44">
        <v>168</v>
      </c>
      <c r="E171" s="439">
        <v>46569</v>
      </c>
      <c r="F171" s="122">
        <v>0.184</v>
      </c>
      <c r="G171" s="263" t="s">
        <v>45</v>
      </c>
      <c r="H171" s="41">
        <v>1E-3</v>
      </c>
      <c r="I171" s="826">
        <v>1.4200000000000001E-2</v>
      </c>
      <c r="J171">
        <f t="shared" si="6"/>
        <v>31</v>
      </c>
      <c r="K171" s="803">
        <f t="shared" si="7"/>
        <v>17682400</v>
      </c>
      <c r="L171" s="804">
        <f t="shared" si="8"/>
        <v>389012800</v>
      </c>
    </row>
    <row r="172" spans="3:12" x14ac:dyDescent="0.2">
      <c r="C172" s="210">
        <v>2027</v>
      </c>
      <c r="D172" s="39">
        <v>169</v>
      </c>
      <c r="E172" s="439">
        <v>46600</v>
      </c>
      <c r="F172" s="122">
        <v>0.184</v>
      </c>
      <c r="G172" s="263" t="s">
        <v>45</v>
      </c>
      <c r="H172" s="41">
        <v>1E-3</v>
      </c>
      <c r="I172" s="826">
        <v>1.4200000000000001E-2</v>
      </c>
      <c r="J172">
        <f t="shared" si="6"/>
        <v>31</v>
      </c>
      <c r="K172" s="803">
        <f t="shared" si="7"/>
        <v>17682400</v>
      </c>
      <c r="L172" s="804">
        <f t="shared" si="8"/>
        <v>389012800</v>
      </c>
    </row>
    <row r="173" spans="3:12" x14ac:dyDescent="0.2">
      <c r="C173" s="210">
        <v>2027</v>
      </c>
      <c r="D173" s="39">
        <v>170</v>
      </c>
      <c r="E173" s="439">
        <v>46631</v>
      </c>
      <c r="F173" s="122">
        <v>0.184</v>
      </c>
      <c r="G173" s="263" t="s">
        <v>45</v>
      </c>
      <c r="H173" s="41">
        <v>1E-3</v>
      </c>
      <c r="I173" s="826">
        <v>1.4200000000000001E-2</v>
      </c>
      <c r="J173">
        <f t="shared" si="6"/>
        <v>30</v>
      </c>
      <c r="K173" s="803">
        <f t="shared" si="7"/>
        <v>17112000</v>
      </c>
      <c r="L173" s="804">
        <f t="shared" si="8"/>
        <v>376464000</v>
      </c>
    </row>
    <row r="174" spans="3:12" x14ac:dyDescent="0.2">
      <c r="C174" s="210">
        <v>2027</v>
      </c>
      <c r="D174" s="42">
        <v>171</v>
      </c>
      <c r="E174" s="439">
        <v>46661</v>
      </c>
      <c r="F174" s="122">
        <v>0.184</v>
      </c>
      <c r="G174" s="263" t="s">
        <v>45</v>
      </c>
      <c r="H174" s="41">
        <v>1E-3</v>
      </c>
      <c r="I174" s="826">
        <v>1.4200000000000001E-2</v>
      </c>
      <c r="J174">
        <f t="shared" si="6"/>
        <v>31</v>
      </c>
      <c r="K174" s="803">
        <f t="shared" si="7"/>
        <v>17682400</v>
      </c>
      <c r="L174" s="804">
        <f t="shared" si="8"/>
        <v>389012800</v>
      </c>
    </row>
    <row r="175" spans="3:12" x14ac:dyDescent="0.2">
      <c r="C175" s="210">
        <v>2027</v>
      </c>
      <c r="D175" s="44">
        <v>172</v>
      </c>
      <c r="E175" s="439">
        <v>46692</v>
      </c>
      <c r="F175" s="122">
        <v>0.184</v>
      </c>
      <c r="G175" s="263" t="s">
        <v>45</v>
      </c>
      <c r="H175" s="41">
        <v>1E-3</v>
      </c>
      <c r="I175" s="826">
        <v>1.4200000000000001E-2</v>
      </c>
      <c r="J175">
        <f t="shared" si="6"/>
        <v>30</v>
      </c>
      <c r="K175" s="803">
        <f t="shared" si="7"/>
        <v>17112000</v>
      </c>
      <c r="L175" s="804">
        <f t="shared" si="8"/>
        <v>376464000</v>
      </c>
    </row>
    <row r="176" spans="3:12" x14ac:dyDescent="0.2">
      <c r="C176" s="210">
        <v>2027</v>
      </c>
      <c r="D176" s="39">
        <v>173</v>
      </c>
      <c r="E176" s="439">
        <v>46722</v>
      </c>
      <c r="F176" s="123">
        <v>0.184</v>
      </c>
      <c r="G176" s="264" t="s">
        <v>45</v>
      </c>
      <c r="H176" s="41">
        <v>1E-3</v>
      </c>
      <c r="I176" s="826">
        <v>1.4200000000000001E-2</v>
      </c>
      <c r="J176">
        <f t="shared" si="6"/>
        <v>31</v>
      </c>
      <c r="K176" s="803">
        <f t="shared" si="7"/>
        <v>17682400</v>
      </c>
      <c r="L176" s="804">
        <f t="shared" si="8"/>
        <v>389012800</v>
      </c>
    </row>
    <row r="177" spans="3:12" x14ac:dyDescent="0.2">
      <c r="C177" s="210">
        <v>2028</v>
      </c>
      <c r="D177" s="39">
        <v>174</v>
      </c>
      <c r="E177" s="439">
        <v>46753</v>
      </c>
      <c r="F177" s="124">
        <v>0.18099999999999999</v>
      </c>
      <c r="G177" s="265" t="s">
        <v>46</v>
      </c>
      <c r="H177" s="41">
        <v>1E-3</v>
      </c>
      <c r="I177" s="826">
        <v>1.4200000000000001E-2</v>
      </c>
      <c r="J177">
        <f t="shared" si="6"/>
        <v>31</v>
      </c>
      <c r="K177" s="803">
        <f t="shared" si="7"/>
        <v>17394100</v>
      </c>
      <c r="L177" s="804">
        <f t="shared" si="8"/>
        <v>382670200</v>
      </c>
    </row>
    <row r="178" spans="3:12" x14ac:dyDescent="0.2">
      <c r="C178" s="210">
        <v>2028</v>
      </c>
      <c r="D178" s="42">
        <v>175</v>
      </c>
      <c r="E178" s="439">
        <v>46784</v>
      </c>
      <c r="F178" s="124">
        <v>0.18099999999999999</v>
      </c>
      <c r="G178" s="265" t="s">
        <v>46</v>
      </c>
      <c r="H178" s="41">
        <v>1E-3</v>
      </c>
      <c r="I178" s="826">
        <v>1.4200000000000001E-2</v>
      </c>
      <c r="J178">
        <f t="shared" si="6"/>
        <v>29</v>
      </c>
      <c r="K178" s="803">
        <f t="shared" si="7"/>
        <v>16271899.999999998</v>
      </c>
      <c r="L178" s="804">
        <f t="shared" si="8"/>
        <v>357981799.99999994</v>
      </c>
    </row>
    <row r="179" spans="3:12" x14ac:dyDescent="0.2">
      <c r="C179" s="210">
        <v>2028</v>
      </c>
      <c r="D179" s="44">
        <v>176</v>
      </c>
      <c r="E179" s="439">
        <v>46813</v>
      </c>
      <c r="F179" s="125">
        <v>0.18099999999999999</v>
      </c>
      <c r="G179" s="266" t="s">
        <v>46</v>
      </c>
      <c r="H179" s="41">
        <v>1E-3</v>
      </c>
      <c r="I179" s="826">
        <v>1.4200000000000001E-2</v>
      </c>
      <c r="J179">
        <f t="shared" si="6"/>
        <v>31</v>
      </c>
      <c r="K179" s="803">
        <f t="shared" si="7"/>
        <v>17394100</v>
      </c>
      <c r="L179" s="804">
        <f t="shared" si="8"/>
        <v>382670200</v>
      </c>
    </row>
    <row r="180" spans="3:12" x14ac:dyDescent="0.2">
      <c r="C180" s="210">
        <v>2028</v>
      </c>
      <c r="D180" s="39">
        <v>177</v>
      </c>
      <c r="E180" s="439">
        <v>46844</v>
      </c>
      <c r="F180" s="122">
        <v>0.18099999999999999</v>
      </c>
      <c r="G180" s="263" t="s">
        <v>46</v>
      </c>
      <c r="H180" s="41">
        <v>1E-3</v>
      </c>
      <c r="I180" s="826">
        <v>1.4200000000000001E-2</v>
      </c>
      <c r="J180">
        <f t="shared" si="6"/>
        <v>30</v>
      </c>
      <c r="K180" s="803">
        <f t="shared" si="7"/>
        <v>16833000</v>
      </c>
      <c r="L180" s="804">
        <f t="shared" si="8"/>
        <v>370326000</v>
      </c>
    </row>
    <row r="181" spans="3:12" x14ac:dyDescent="0.2">
      <c r="C181" s="210">
        <v>2028</v>
      </c>
      <c r="D181" s="39">
        <v>178</v>
      </c>
      <c r="E181" s="439">
        <v>46874</v>
      </c>
      <c r="F181" s="123">
        <v>0.18099999999999999</v>
      </c>
      <c r="G181" s="264" t="s">
        <v>46</v>
      </c>
      <c r="H181" s="41">
        <v>1E-3</v>
      </c>
      <c r="I181" s="826">
        <v>1.4200000000000001E-2</v>
      </c>
      <c r="J181">
        <f t="shared" si="6"/>
        <v>31</v>
      </c>
      <c r="K181" s="803">
        <f t="shared" si="7"/>
        <v>17394100</v>
      </c>
      <c r="L181" s="804">
        <f t="shared" si="8"/>
        <v>382670200</v>
      </c>
    </row>
    <row r="182" spans="3:12" x14ac:dyDescent="0.2">
      <c r="C182" s="210">
        <v>2028</v>
      </c>
      <c r="D182" s="42">
        <v>179</v>
      </c>
      <c r="E182" s="439">
        <v>46905</v>
      </c>
      <c r="F182" s="124">
        <v>0.18099999999999999</v>
      </c>
      <c r="G182" s="265" t="s">
        <v>46</v>
      </c>
      <c r="H182" s="41">
        <v>1E-3</v>
      </c>
      <c r="I182" s="826">
        <v>1.4200000000000001E-2</v>
      </c>
      <c r="J182">
        <f t="shared" si="6"/>
        <v>30</v>
      </c>
      <c r="K182" s="803">
        <f t="shared" si="7"/>
        <v>16833000</v>
      </c>
      <c r="L182" s="804">
        <f t="shared" si="8"/>
        <v>370326000</v>
      </c>
    </row>
    <row r="183" spans="3:12" x14ac:dyDescent="0.2">
      <c r="C183" s="210">
        <v>2028</v>
      </c>
      <c r="D183" s="44">
        <v>180</v>
      </c>
      <c r="E183" s="439">
        <v>46935</v>
      </c>
      <c r="F183" s="125">
        <v>0.18099999999999999</v>
      </c>
      <c r="G183" s="266" t="s">
        <v>46</v>
      </c>
      <c r="H183" s="41">
        <v>1E-3</v>
      </c>
      <c r="I183" s="826">
        <v>1.4200000000000001E-2</v>
      </c>
      <c r="J183">
        <f t="shared" si="6"/>
        <v>31</v>
      </c>
      <c r="K183" s="803">
        <f t="shared" si="7"/>
        <v>17394100</v>
      </c>
      <c r="L183" s="804">
        <f t="shared" si="8"/>
        <v>382670200</v>
      </c>
    </row>
    <row r="184" spans="3:12" x14ac:dyDescent="0.2">
      <c r="C184" s="210">
        <v>2028</v>
      </c>
      <c r="D184" s="39">
        <v>181</v>
      </c>
      <c r="E184" s="439">
        <v>46966</v>
      </c>
      <c r="F184" s="122">
        <v>0.18099999999999999</v>
      </c>
      <c r="G184" s="263" t="s">
        <v>46</v>
      </c>
      <c r="H184" s="41">
        <v>1E-3</v>
      </c>
      <c r="I184" s="826">
        <v>1.4200000000000001E-2</v>
      </c>
      <c r="J184">
        <f t="shared" si="6"/>
        <v>31</v>
      </c>
      <c r="K184" s="803">
        <f t="shared" si="7"/>
        <v>17394100</v>
      </c>
      <c r="L184" s="804">
        <f t="shared" si="8"/>
        <v>382670200</v>
      </c>
    </row>
    <row r="185" spans="3:12" x14ac:dyDescent="0.2">
      <c r="C185" s="210">
        <v>2028</v>
      </c>
      <c r="D185" s="39">
        <v>182</v>
      </c>
      <c r="E185" s="439">
        <v>46997</v>
      </c>
      <c r="F185" s="122">
        <v>0.18099999999999999</v>
      </c>
      <c r="G185" s="263" t="s">
        <v>46</v>
      </c>
      <c r="H185" s="41">
        <v>1E-3</v>
      </c>
      <c r="I185" s="826">
        <v>1.4200000000000001E-2</v>
      </c>
      <c r="J185">
        <f t="shared" si="6"/>
        <v>30</v>
      </c>
      <c r="K185" s="803">
        <f t="shared" si="7"/>
        <v>16833000</v>
      </c>
      <c r="L185" s="804">
        <f t="shared" si="8"/>
        <v>370326000</v>
      </c>
    </row>
    <row r="186" spans="3:12" x14ac:dyDescent="0.2">
      <c r="C186" s="210">
        <v>2028</v>
      </c>
      <c r="D186" s="42">
        <v>183</v>
      </c>
      <c r="E186" s="439">
        <v>47027</v>
      </c>
      <c r="F186" s="126">
        <v>0.18099999999999999</v>
      </c>
      <c r="G186" s="267" t="s">
        <v>46</v>
      </c>
      <c r="H186" s="41">
        <v>1E-3</v>
      </c>
      <c r="I186" s="826">
        <v>1.4200000000000001E-2</v>
      </c>
      <c r="J186">
        <f t="shared" si="6"/>
        <v>31</v>
      </c>
      <c r="K186" s="803">
        <f t="shared" si="7"/>
        <v>17394100</v>
      </c>
      <c r="L186" s="804">
        <f t="shared" si="8"/>
        <v>382670200</v>
      </c>
    </row>
    <row r="187" spans="3:12" x14ac:dyDescent="0.2">
      <c r="C187" s="210">
        <v>2028</v>
      </c>
      <c r="D187" s="44">
        <v>184</v>
      </c>
      <c r="E187" s="439">
        <v>47058</v>
      </c>
      <c r="F187" s="127">
        <v>0.18099999999999999</v>
      </c>
      <c r="G187" s="268" t="s">
        <v>46</v>
      </c>
      <c r="H187" s="41">
        <v>1E-3</v>
      </c>
      <c r="I187" s="826">
        <v>1.4200000000000001E-2</v>
      </c>
      <c r="J187">
        <f t="shared" si="6"/>
        <v>30</v>
      </c>
      <c r="K187" s="803">
        <f t="shared" si="7"/>
        <v>16833000</v>
      </c>
      <c r="L187" s="804">
        <f t="shared" si="8"/>
        <v>370326000</v>
      </c>
    </row>
    <row r="188" spans="3:12" x14ac:dyDescent="0.2">
      <c r="C188" s="210">
        <v>2028</v>
      </c>
      <c r="D188" s="39">
        <v>185</v>
      </c>
      <c r="E188" s="439">
        <v>47088</v>
      </c>
      <c r="F188" s="126">
        <v>0.18099999999999999</v>
      </c>
      <c r="G188" s="267" t="s">
        <v>46</v>
      </c>
      <c r="H188" s="41">
        <v>1E-3</v>
      </c>
      <c r="I188" s="826">
        <v>1.4200000000000001E-2</v>
      </c>
      <c r="J188">
        <f t="shared" si="6"/>
        <v>31</v>
      </c>
      <c r="K188" s="803">
        <f t="shared" si="7"/>
        <v>17394100</v>
      </c>
      <c r="L188" s="804">
        <f t="shared" si="8"/>
        <v>382670200</v>
      </c>
    </row>
    <row r="189" spans="3:12" x14ac:dyDescent="0.2">
      <c r="C189" s="210">
        <v>2029</v>
      </c>
      <c r="D189" s="39">
        <v>186</v>
      </c>
      <c r="E189" s="439">
        <v>47119</v>
      </c>
      <c r="F189" s="127">
        <v>0.19900000000000001</v>
      </c>
      <c r="G189" s="268" t="s">
        <v>47</v>
      </c>
      <c r="H189" s="41">
        <v>1E-3</v>
      </c>
      <c r="I189" s="826">
        <v>1.4200000000000001E-2</v>
      </c>
      <c r="J189">
        <f t="shared" si="6"/>
        <v>31</v>
      </c>
      <c r="K189" s="803">
        <f t="shared" si="7"/>
        <v>19123900</v>
      </c>
      <c r="L189" s="804">
        <f t="shared" si="8"/>
        <v>420725800</v>
      </c>
    </row>
    <row r="190" spans="3:12" x14ac:dyDescent="0.2">
      <c r="C190" s="210">
        <v>2029</v>
      </c>
      <c r="D190" s="42">
        <v>187</v>
      </c>
      <c r="E190" s="439">
        <v>47150</v>
      </c>
      <c r="F190" s="126">
        <v>0.19900000000000001</v>
      </c>
      <c r="G190" s="267" t="s">
        <v>47</v>
      </c>
      <c r="H190" s="41">
        <v>1E-3</v>
      </c>
      <c r="I190" s="826">
        <v>1.4200000000000001E-2</v>
      </c>
      <c r="J190">
        <f t="shared" si="6"/>
        <v>28</v>
      </c>
      <c r="K190" s="803">
        <f t="shared" si="7"/>
        <v>17273200</v>
      </c>
      <c r="L190" s="804">
        <f t="shared" si="8"/>
        <v>380010400</v>
      </c>
    </row>
    <row r="191" spans="3:12" x14ac:dyDescent="0.2">
      <c r="C191" s="210">
        <v>2029</v>
      </c>
      <c r="D191" s="44">
        <v>188</v>
      </c>
      <c r="E191" s="439">
        <v>47178</v>
      </c>
      <c r="F191" s="127">
        <v>0.19900000000000001</v>
      </c>
      <c r="G191" s="268" t="s">
        <v>47</v>
      </c>
      <c r="H191" s="41">
        <v>1E-3</v>
      </c>
      <c r="I191" s="826">
        <v>1.4200000000000001E-2</v>
      </c>
      <c r="J191">
        <f t="shared" si="6"/>
        <v>31</v>
      </c>
      <c r="K191" s="803">
        <f t="shared" si="7"/>
        <v>19123900</v>
      </c>
      <c r="L191" s="804">
        <f t="shared" si="8"/>
        <v>420725800</v>
      </c>
    </row>
    <row r="192" spans="3:12" x14ac:dyDescent="0.2">
      <c r="C192" s="210">
        <v>2029</v>
      </c>
      <c r="D192" s="39">
        <v>189</v>
      </c>
      <c r="E192" s="439">
        <v>47209</v>
      </c>
      <c r="F192" s="122">
        <v>0.19900000000000001</v>
      </c>
      <c r="G192" s="263" t="s">
        <v>47</v>
      </c>
      <c r="H192" s="41">
        <v>1E-3</v>
      </c>
      <c r="I192" s="826">
        <v>1.4200000000000001E-2</v>
      </c>
      <c r="J192">
        <f t="shared" si="6"/>
        <v>30</v>
      </c>
      <c r="K192" s="803">
        <f t="shared" si="7"/>
        <v>18507000.000000004</v>
      </c>
      <c r="L192" s="804">
        <f t="shared" si="8"/>
        <v>407154000.00000006</v>
      </c>
    </row>
    <row r="193" spans="3:12" x14ac:dyDescent="0.2">
      <c r="C193" s="210">
        <v>2029</v>
      </c>
      <c r="D193" s="39">
        <v>190</v>
      </c>
      <c r="E193" s="439">
        <v>47239</v>
      </c>
      <c r="F193" s="126">
        <v>0.19900000000000001</v>
      </c>
      <c r="G193" s="267" t="s">
        <v>47</v>
      </c>
      <c r="H193" s="41">
        <v>1E-3</v>
      </c>
      <c r="I193" s="826">
        <v>1.4200000000000001E-2</v>
      </c>
      <c r="J193">
        <f t="shared" si="6"/>
        <v>31</v>
      </c>
      <c r="K193" s="803">
        <f t="shared" si="7"/>
        <v>19123900</v>
      </c>
      <c r="L193" s="804">
        <f t="shared" si="8"/>
        <v>420725800</v>
      </c>
    </row>
    <row r="194" spans="3:12" x14ac:dyDescent="0.2">
      <c r="C194" s="210">
        <v>2029</v>
      </c>
      <c r="D194" s="42">
        <v>191</v>
      </c>
      <c r="E194" s="439">
        <v>47270</v>
      </c>
      <c r="F194" s="127">
        <v>0.19900000000000001</v>
      </c>
      <c r="G194" s="268" t="s">
        <v>47</v>
      </c>
      <c r="H194" s="41">
        <v>1E-3</v>
      </c>
      <c r="I194" s="826">
        <v>1.4200000000000001E-2</v>
      </c>
      <c r="J194">
        <f t="shared" si="6"/>
        <v>30</v>
      </c>
      <c r="K194" s="803">
        <f t="shared" si="7"/>
        <v>18507000.000000004</v>
      </c>
      <c r="L194" s="804">
        <f t="shared" si="8"/>
        <v>407154000.00000006</v>
      </c>
    </row>
    <row r="195" spans="3:12" x14ac:dyDescent="0.2">
      <c r="C195" s="210">
        <v>2029</v>
      </c>
      <c r="D195" s="44">
        <v>192</v>
      </c>
      <c r="E195" s="439">
        <v>47300</v>
      </c>
      <c r="F195" s="122">
        <v>0.19900000000000001</v>
      </c>
      <c r="G195" s="263" t="s">
        <v>47</v>
      </c>
      <c r="H195" s="41">
        <v>1E-3</v>
      </c>
      <c r="I195" s="826">
        <v>1.4200000000000001E-2</v>
      </c>
      <c r="J195">
        <f t="shared" si="6"/>
        <v>31</v>
      </c>
      <c r="K195" s="803">
        <f t="shared" si="7"/>
        <v>19123900</v>
      </c>
      <c r="L195" s="804">
        <f t="shared" si="8"/>
        <v>420725800</v>
      </c>
    </row>
    <row r="196" spans="3:12" x14ac:dyDescent="0.2">
      <c r="C196" s="210">
        <v>2029</v>
      </c>
      <c r="D196" s="39">
        <v>193</v>
      </c>
      <c r="E196" s="439">
        <v>47331</v>
      </c>
      <c r="F196" s="122">
        <v>0.19900000000000001</v>
      </c>
      <c r="G196" s="263" t="s">
        <v>47</v>
      </c>
      <c r="H196" s="41">
        <v>1E-3</v>
      </c>
      <c r="I196" s="826">
        <v>1.4200000000000001E-2</v>
      </c>
      <c r="J196">
        <f t="shared" si="6"/>
        <v>31</v>
      </c>
      <c r="K196" s="803">
        <f t="shared" si="7"/>
        <v>19123900</v>
      </c>
      <c r="L196" s="804">
        <f t="shared" si="8"/>
        <v>420725800</v>
      </c>
    </row>
    <row r="197" spans="3:12" x14ac:dyDescent="0.2">
      <c r="C197" s="210">
        <v>2029</v>
      </c>
      <c r="D197" s="39">
        <v>194</v>
      </c>
      <c r="E197" s="439">
        <v>47362</v>
      </c>
      <c r="F197" s="123">
        <v>0.19900000000000001</v>
      </c>
      <c r="G197" s="269" t="s">
        <v>47</v>
      </c>
      <c r="H197" s="41">
        <v>1E-3</v>
      </c>
      <c r="I197" s="826">
        <v>1.4200000000000001E-2</v>
      </c>
      <c r="J197">
        <f t="shared" ref="J197:J260" si="9">_xlfn.DAYS(E198,E197)</f>
        <v>30</v>
      </c>
      <c r="K197" s="803">
        <f t="shared" ref="K197:K260" si="10">F197*J197*3100000</f>
        <v>18507000.000000004</v>
      </c>
      <c r="L197" s="804">
        <f t="shared" ref="L197:L260" si="11">K197*M$3</f>
        <v>407154000.00000006</v>
      </c>
    </row>
    <row r="198" spans="3:12" x14ac:dyDescent="0.2">
      <c r="C198" s="210">
        <v>2029</v>
      </c>
      <c r="D198" s="42">
        <v>195</v>
      </c>
      <c r="E198" s="439">
        <v>47392</v>
      </c>
      <c r="F198" s="124">
        <v>0.19900000000000001</v>
      </c>
      <c r="G198" s="624" t="s">
        <v>47</v>
      </c>
      <c r="H198" s="41">
        <v>1E-3</v>
      </c>
      <c r="I198" s="826">
        <v>1.4200000000000001E-2</v>
      </c>
      <c r="J198">
        <f t="shared" si="9"/>
        <v>31</v>
      </c>
      <c r="K198" s="803">
        <f t="shared" si="10"/>
        <v>19123900</v>
      </c>
      <c r="L198" s="804">
        <f t="shared" si="11"/>
        <v>420725800</v>
      </c>
    </row>
    <row r="199" spans="3:12" x14ac:dyDescent="0.2">
      <c r="C199" s="210">
        <v>2029</v>
      </c>
      <c r="D199" s="44">
        <v>196</v>
      </c>
      <c r="E199" s="439">
        <v>47423</v>
      </c>
      <c r="F199" s="124">
        <v>0.19900000000000001</v>
      </c>
      <c r="G199" s="624" t="s">
        <v>47</v>
      </c>
      <c r="H199" s="41">
        <v>1E-3</v>
      </c>
      <c r="I199" s="826">
        <v>1.4200000000000001E-2</v>
      </c>
      <c r="J199">
        <f t="shared" si="9"/>
        <v>30</v>
      </c>
      <c r="K199" s="803">
        <f t="shared" si="10"/>
        <v>18507000.000000004</v>
      </c>
      <c r="L199" s="804">
        <f t="shared" si="11"/>
        <v>407154000.00000006</v>
      </c>
    </row>
    <row r="200" spans="3:12" x14ac:dyDescent="0.2">
      <c r="C200" s="210">
        <v>2029</v>
      </c>
      <c r="D200" s="39">
        <v>197</v>
      </c>
      <c r="E200" s="439">
        <v>47453</v>
      </c>
      <c r="F200" s="124">
        <v>0.19900000000000001</v>
      </c>
      <c r="G200" s="624" t="s">
        <v>47</v>
      </c>
      <c r="H200" s="41">
        <v>1E-3</v>
      </c>
      <c r="I200" s="826">
        <v>1.4200000000000001E-2</v>
      </c>
      <c r="J200">
        <f t="shared" si="9"/>
        <v>31</v>
      </c>
      <c r="K200" s="803">
        <f t="shared" si="10"/>
        <v>19123900</v>
      </c>
      <c r="L200" s="804">
        <f t="shared" si="11"/>
        <v>420725800</v>
      </c>
    </row>
    <row r="201" spans="3:12" x14ac:dyDescent="0.2">
      <c r="C201" s="210">
        <v>2030</v>
      </c>
      <c r="D201" s="39">
        <v>198</v>
      </c>
      <c r="E201" s="439">
        <v>47484</v>
      </c>
      <c r="F201" s="128">
        <v>0.2</v>
      </c>
      <c r="G201" s="625" t="s">
        <v>48</v>
      </c>
      <c r="H201" s="41">
        <v>1E-3</v>
      </c>
      <c r="I201" s="826">
        <v>1.4200000000000001E-2</v>
      </c>
      <c r="J201">
        <f t="shared" si="9"/>
        <v>31</v>
      </c>
      <c r="K201" s="803">
        <f t="shared" si="10"/>
        <v>19220000</v>
      </c>
      <c r="L201" s="804">
        <f t="shared" si="11"/>
        <v>422840000</v>
      </c>
    </row>
    <row r="202" spans="3:12" x14ac:dyDescent="0.2">
      <c r="C202" s="210">
        <v>2030</v>
      </c>
      <c r="D202" s="42">
        <v>199</v>
      </c>
      <c r="E202" s="439">
        <v>47515</v>
      </c>
      <c r="F202" s="129">
        <v>0.2</v>
      </c>
      <c r="G202" s="626" t="s">
        <v>48</v>
      </c>
      <c r="H202" s="41">
        <v>1E-3</v>
      </c>
      <c r="I202" s="826">
        <v>1.4200000000000001E-2</v>
      </c>
      <c r="J202">
        <f t="shared" si="9"/>
        <v>28</v>
      </c>
      <c r="K202" s="803">
        <f t="shared" si="10"/>
        <v>17360000</v>
      </c>
      <c r="L202" s="804">
        <f t="shared" si="11"/>
        <v>381920000</v>
      </c>
    </row>
    <row r="203" spans="3:12" x14ac:dyDescent="0.2">
      <c r="C203" s="210">
        <v>2030</v>
      </c>
      <c r="D203" s="44">
        <v>200</v>
      </c>
      <c r="E203" s="439">
        <v>47543</v>
      </c>
      <c r="F203" s="128">
        <v>0.2</v>
      </c>
      <c r="G203" s="625" t="s">
        <v>48</v>
      </c>
      <c r="H203" s="41">
        <v>1E-3</v>
      </c>
      <c r="I203" s="826">
        <v>1.4200000000000001E-2</v>
      </c>
      <c r="J203">
        <f t="shared" si="9"/>
        <v>31</v>
      </c>
      <c r="K203" s="803">
        <f t="shared" si="10"/>
        <v>19220000</v>
      </c>
      <c r="L203" s="804">
        <f t="shared" si="11"/>
        <v>422840000</v>
      </c>
    </row>
    <row r="204" spans="3:12" x14ac:dyDescent="0.2">
      <c r="C204" s="210">
        <v>2030</v>
      </c>
      <c r="D204" s="39">
        <v>201</v>
      </c>
      <c r="E204" s="439">
        <v>47574</v>
      </c>
      <c r="F204" s="130">
        <v>0.2</v>
      </c>
      <c r="G204" s="627" t="s">
        <v>48</v>
      </c>
      <c r="H204" s="41">
        <v>1E-3</v>
      </c>
      <c r="I204" s="826">
        <v>1.4200000000000001E-2</v>
      </c>
      <c r="J204">
        <f t="shared" si="9"/>
        <v>30</v>
      </c>
      <c r="K204" s="803">
        <f t="shared" si="10"/>
        <v>18600000</v>
      </c>
      <c r="L204" s="804">
        <f t="shared" si="11"/>
        <v>409200000</v>
      </c>
    </row>
    <row r="205" spans="3:12" x14ac:dyDescent="0.2">
      <c r="C205" s="210">
        <v>2030</v>
      </c>
      <c r="D205" s="39">
        <v>202</v>
      </c>
      <c r="E205" s="439">
        <v>47604</v>
      </c>
      <c r="F205" s="131">
        <v>0.2</v>
      </c>
      <c r="G205" s="628" t="s">
        <v>48</v>
      </c>
      <c r="H205" s="41">
        <v>1E-3</v>
      </c>
      <c r="I205" s="826">
        <v>1.4200000000000001E-2</v>
      </c>
      <c r="J205">
        <f t="shared" si="9"/>
        <v>31</v>
      </c>
      <c r="K205" s="803">
        <f t="shared" si="10"/>
        <v>19220000</v>
      </c>
      <c r="L205" s="804">
        <f t="shared" si="11"/>
        <v>422840000</v>
      </c>
    </row>
    <row r="206" spans="3:12" x14ac:dyDescent="0.2">
      <c r="C206" s="210">
        <v>2030</v>
      </c>
      <c r="D206" s="42">
        <v>203</v>
      </c>
      <c r="E206" s="439">
        <v>47635</v>
      </c>
      <c r="F206" s="132">
        <v>0.2</v>
      </c>
      <c r="G206" s="629" t="s">
        <v>48</v>
      </c>
      <c r="H206" s="41">
        <v>1E-3</v>
      </c>
      <c r="I206" s="826">
        <v>1.4200000000000001E-2</v>
      </c>
      <c r="J206">
        <f t="shared" si="9"/>
        <v>30</v>
      </c>
      <c r="K206" s="803">
        <f t="shared" si="10"/>
        <v>18600000</v>
      </c>
      <c r="L206" s="804">
        <f t="shared" si="11"/>
        <v>409200000</v>
      </c>
    </row>
    <row r="207" spans="3:12" x14ac:dyDescent="0.2">
      <c r="C207" s="210">
        <v>2030</v>
      </c>
      <c r="D207" s="44">
        <v>204</v>
      </c>
      <c r="E207" s="439">
        <v>47665</v>
      </c>
      <c r="F207" s="90">
        <v>0.2</v>
      </c>
      <c r="G207" s="270" t="s">
        <v>48</v>
      </c>
      <c r="H207" s="41">
        <v>1E-3</v>
      </c>
      <c r="I207" s="826">
        <v>1.4200000000000001E-2</v>
      </c>
      <c r="J207">
        <f t="shared" si="9"/>
        <v>31</v>
      </c>
      <c r="K207" s="803">
        <f t="shared" si="10"/>
        <v>19220000</v>
      </c>
      <c r="L207" s="804">
        <f t="shared" si="11"/>
        <v>422840000</v>
      </c>
    </row>
    <row r="208" spans="3:12" x14ac:dyDescent="0.2">
      <c r="C208" s="210">
        <v>2030</v>
      </c>
      <c r="D208" s="39">
        <v>205</v>
      </c>
      <c r="E208" s="439">
        <v>47696</v>
      </c>
      <c r="F208" s="133">
        <v>0.2</v>
      </c>
      <c r="G208" s="630" t="s">
        <v>48</v>
      </c>
      <c r="H208" s="41">
        <v>1E-3</v>
      </c>
      <c r="I208" s="826">
        <v>1.4200000000000001E-2</v>
      </c>
      <c r="J208">
        <f t="shared" si="9"/>
        <v>31</v>
      </c>
      <c r="K208" s="803">
        <f t="shared" si="10"/>
        <v>19220000</v>
      </c>
      <c r="L208" s="804">
        <f t="shared" si="11"/>
        <v>422840000</v>
      </c>
    </row>
    <row r="209" spans="3:12" x14ac:dyDescent="0.2">
      <c r="C209" s="210">
        <v>2030</v>
      </c>
      <c r="D209" s="39">
        <v>206</v>
      </c>
      <c r="E209" s="439">
        <v>47727</v>
      </c>
      <c r="F209" s="134">
        <v>0.2</v>
      </c>
      <c r="G209" s="631" t="s">
        <v>48</v>
      </c>
      <c r="H209" s="41">
        <v>1E-3</v>
      </c>
      <c r="I209" s="826">
        <v>1.4200000000000001E-2</v>
      </c>
      <c r="J209">
        <f t="shared" si="9"/>
        <v>30</v>
      </c>
      <c r="K209" s="803">
        <f t="shared" si="10"/>
        <v>18600000</v>
      </c>
      <c r="L209" s="804">
        <f t="shared" si="11"/>
        <v>409200000</v>
      </c>
    </row>
    <row r="210" spans="3:12" x14ac:dyDescent="0.2">
      <c r="C210" s="210">
        <v>2030</v>
      </c>
      <c r="D210" s="42">
        <v>207</v>
      </c>
      <c r="E210" s="439">
        <v>47757</v>
      </c>
      <c r="F210" s="135">
        <v>0.2</v>
      </c>
      <c r="G210" s="271" t="s">
        <v>48</v>
      </c>
      <c r="H210" s="41">
        <v>1E-3</v>
      </c>
      <c r="I210" s="826">
        <v>1.4200000000000001E-2</v>
      </c>
      <c r="J210">
        <f t="shared" si="9"/>
        <v>31</v>
      </c>
      <c r="K210" s="803">
        <f t="shared" si="10"/>
        <v>19220000</v>
      </c>
      <c r="L210" s="804">
        <f t="shared" si="11"/>
        <v>422840000</v>
      </c>
    </row>
    <row r="211" spans="3:12" x14ac:dyDescent="0.2">
      <c r="C211" s="210">
        <v>2030</v>
      </c>
      <c r="D211" s="44">
        <v>208</v>
      </c>
      <c r="E211" s="439">
        <v>47788</v>
      </c>
      <c r="F211" s="136">
        <v>0.2</v>
      </c>
      <c r="G211" s="272" t="s">
        <v>48</v>
      </c>
      <c r="H211" s="41">
        <v>1E-3</v>
      </c>
      <c r="I211" s="826">
        <v>1.4200000000000001E-2</v>
      </c>
      <c r="J211">
        <f t="shared" si="9"/>
        <v>30</v>
      </c>
      <c r="K211" s="803">
        <f t="shared" si="10"/>
        <v>18600000</v>
      </c>
      <c r="L211" s="804">
        <f t="shared" si="11"/>
        <v>409200000</v>
      </c>
    </row>
    <row r="212" spans="3:12" x14ac:dyDescent="0.2">
      <c r="C212" s="210">
        <v>2030</v>
      </c>
      <c r="D212" s="39">
        <v>209</v>
      </c>
      <c r="E212" s="439">
        <v>47818</v>
      </c>
      <c r="F212" s="137">
        <v>0.2</v>
      </c>
      <c r="G212" s="273" t="s">
        <v>48</v>
      </c>
      <c r="H212" s="41">
        <v>1E-3</v>
      </c>
      <c r="I212" s="826">
        <v>1.4200000000000001E-2</v>
      </c>
      <c r="J212">
        <f t="shared" si="9"/>
        <v>31</v>
      </c>
      <c r="K212" s="803">
        <f t="shared" si="10"/>
        <v>19220000</v>
      </c>
      <c r="L212" s="804">
        <f t="shared" si="11"/>
        <v>422840000</v>
      </c>
    </row>
    <row r="213" spans="3:12" x14ac:dyDescent="0.2">
      <c r="C213" s="210">
        <v>2031</v>
      </c>
      <c r="D213" s="39">
        <v>210</v>
      </c>
      <c r="E213" s="439">
        <v>47849</v>
      </c>
      <c r="F213" s="138">
        <v>0.20100000000000001</v>
      </c>
      <c r="G213" s="274" t="s">
        <v>49</v>
      </c>
      <c r="H213" s="41">
        <v>1E-3</v>
      </c>
      <c r="I213" s="826">
        <v>1.4200000000000001E-2</v>
      </c>
      <c r="J213">
        <f t="shared" si="9"/>
        <v>31</v>
      </c>
      <c r="K213" s="803">
        <f t="shared" si="10"/>
        <v>19316100.000000004</v>
      </c>
      <c r="L213" s="804">
        <f t="shared" si="11"/>
        <v>424954200.00000006</v>
      </c>
    </row>
    <row r="214" spans="3:12" x14ac:dyDescent="0.2">
      <c r="C214" s="210">
        <v>2031</v>
      </c>
      <c r="D214" s="42">
        <v>211</v>
      </c>
      <c r="E214" s="439">
        <v>47880</v>
      </c>
      <c r="F214" s="139">
        <v>0.20100000000000001</v>
      </c>
      <c r="G214" s="275" t="s">
        <v>49</v>
      </c>
      <c r="H214" s="41">
        <v>1E-3</v>
      </c>
      <c r="I214" s="826">
        <v>1.4200000000000001E-2</v>
      </c>
      <c r="J214">
        <f t="shared" si="9"/>
        <v>28</v>
      </c>
      <c r="K214" s="803">
        <f t="shared" si="10"/>
        <v>17446800</v>
      </c>
      <c r="L214" s="804">
        <f t="shared" si="11"/>
        <v>383829600</v>
      </c>
    </row>
    <row r="215" spans="3:12" x14ac:dyDescent="0.2">
      <c r="C215" s="210">
        <v>2031</v>
      </c>
      <c r="D215" s="44">
        <v>212</v>
      </c>
      <c r="E215" s="439">
        <v>47908</v>
      </c>
      <c r="F215" s="140">
        <v>0.20100000000000001</v>
      </c>
      <c r="G215" s="276" t="s">
        <v>49</v>
      </c>
      <c r="H215" s="41">
        <v>1E-3</v>
      </c>
      <c r="I215" s="826">
        <v>1.4200000000000001E-2</v>
      </c>
      <c r="J215">
        <f t="shared" si="9"/>
        <v>31</v>
      </c>
      <c r="K215" s="803">
        <f t="shared" si="10"/>
        <v>19316100.000000004</v>
      </c>
      <c r="L215" s="804">
        <f t="shared" si="11"/>
        <v>424954200.00000006</v>
      </c>
    </row>
    <row r="216" spans="3:12" x14ac:dyDescent="0.2">
      <c r="C216" s="210">
        <v>2031</v>
      </c>
      <c r="D216" s="39">
        <v>213</v>
      </c>
      <c r="E216" s="439">
        <v>47939</v>
      </c>
      <c r="F216" s="141">
        <v>0.20100000000000001</v>
      </c>
      <c r="G216" s="277" t="s">
        <v>49</v>
      </c>
      <c r="H216" s="41">
        <v>1E-3</v>
      </c>
      <c r="I216" s="826">
        <v>1.4200000000000001E-2</v>
      </c>
      <c r="J216">
        <f t="shared" si="9"/>
        <v>30</v>
      </c>
      <c r="K216" s="803">
        <f t="shared" si="10"/>
        <v>18693000</v>
      </c>
      <c r="L216" s="804">
        <f t="shared" si="11"/>
        <v>411246000</v>
      </c>
    </row>
    <row r="217" spans="3:12" x14ac:dyDescent="0.2">
      <c r="C217" s="210">
        <v>2031</v>
      </c>
      <c r="D217" s="39">
        <v>214</v>
      </c>
      <c r="E217" s="439">
        <v>47969</v>
      </c>
      <c r="F217" s="142">
        <v>0.20100000000000001</v>
      </c>
      <c r="G217" s="278" t="s">
        <v>49</v>
      </c>
      <c r="H217" s="41">
        <v>1E-3</v>
      </c>
      <c r="I217" s="826">
        <v>1.4200000000000001E-2</v>
      </c>
      <c r="J217">
        <f t="shared" si="9"/>
        <v>31</v>
      </c>
      <c r="K217" s="803">
        <f t="shared" si="10"/>
        <v>19316100.000000004</v>
      </c>
      <c r="L217" s="804">
        <f t="shared" si="11"/>
        <v>424954200.00000006</v>
      </c>
    </row>
    <row r="218" spans="3:12" x14ac:dyDescent="0.2">
      <c r="C218" s="210">
        <v>2031</v>
      </c>
      <c r="D218" s="42">
        <v>215</v>
      </c>
      <c r="E218" s="439">
        <v>48000</v>
      </c>
      <c r="F218" s="143">
        <v>0.20100000000000001</v>
      </c>
      <c r="G218" s="279" t="s">
        <v>49</v>
      </c>
      <c r="H218" s="41">
        <v>1E-3</v>
      </c>
      <c r="I218" s="826">
        <v>1.4200000000000001E-2</v>
      </c>
      <c r="J218">
        <f t="shared" si="9"/>
        <v>30</v>
      </c>
      <c r="K218" s="803">
        <f t="shared" si="10"/>
        <v>18693000</v>
      </c>
      <c r="L218" s="804">
        <f t="shared" si="11"/>
        <v>411246000</v>
      </c>
    </row>
    <row r="219" spans="3:12" x14ac:dyDescent="0.2">
      <c r="C219" s="210">
        <v>2031</v>
      </c>
      <c r="D219" s="44">
        <v>216</v>
      </c>
      <c r="E219" s="439">
        <v>48030</v>
      </c>
      <c r="F219" s="144">
        <v>0.20100000000000001</v>
      </c>
      <c r="G219" s="280" t="s">
        <v>49</v>
      </c>
      <c r="H219" s="41">
        <v>1E-3</v>
      </c>
      <c r="I219" s="826">
        <v>1.4200000000000001E-2</v>
      </c>
      <c r="J219">
        <f t="shared" si="9"/>
        <v>31</v>
      </c>
      <c r="K219" s="803">
        <f t="shared" si="10"/>
        <v>19316100.000000004</v>
      </c>
      <c r="L219" s="804">
        <f t="shared" si="11"/>
        <v>424954200.00000006</v>
      </c>
    </row>
    <row r="220" spans="3:12" x14ac:dyDescent="0.2">
      <c r="C220" s="210">
        <v>2031</v>
      </c>
      <c r="D220" s="39">
        <v>217</v>
      </c>
      <c r="E220" s="439">
        <v>48061</v>
      </c>
      <c r="F220" s="145">
        <v>0.20100000000000001</v>
      </c>
      <c r="G220" s="281" t="s">
        <v>49</v>
      </c>
      <c r="H220" s="41">
        <v>1E-3</v>
      </c>
      <c r="I220" s="826">
        <v>1.4200000000000001E-2</v>
      </c>
      <c r="J220">
        <f t="shared" si="9"/>
        <v>31</v>
      </c>
      <c r="K220" s="803">
        <f t="shared" si="10"/>
        <v>19316100.000000004</v>
      </c>
      <c r="L220" s="804">
        <f t="shared" si="11"/>
        <v>424954200.00000006</v>
      </c>
    </row>
    <row r="221" spans="3:12" x14ac:dyDescent="0.2">
      <c r="C221" s="210">
        <v>2031</v>
      </c>
      <c r="D221" s="39">
        <v>218</v>
      </c>
      <c r="E221" s="439">
        <v>48092</v>
      </c>
      <c r="F221" s="146">
        <v>0.20100000000000001</v>
      </c>
      <c r="G221" s="282" t="s">
        <v>49</v>
      </c>
      <c r="H221" s="41">
        <v>1E-3</v>
      </c>
      <c r="I221" s="826">
        <v>1.4200000000000001E-2</v>
      </c>
      <c r="J221">
        <f t="shared" si="9"/>
        <v>30</v>
      </c>
      <c r="K221" s="803">
        <f t="shared" si="10"/>
        <v>18693000</v>
      </c>
      <c r="L221" s="804">
        <f t="shared" si="11"/>
        <v>411246000</v>
      </c>
    </row>
    <row r="222" spans="3:12" x14ac:dyDescent="0.2">
      <c r="C222" s="210">
        <v>2031</v>
      </c>
      <c r="D222" s="42">
        <v>219</v>
      </c>
      <c r="E222" s="439">
        <v>48122</v>
      </c>
      <c r="F222" s="147">
        <v>0.20100000000000001</v>
      </c>
      <c r="G222" s="283" t="s">
        <v>49</v>
      </c>
      <c r="H222" s="41">
        <v>1E-3</v>
      </c>
      <c r="I222" s="826">
        <v>1.4200000000000001E-2</v>
      </c>
      <c r="J222">
        <f t="shared" si="9"/>
        <v>31</v>
      </c>
      <c r="K222" s="803">
        <f t="shared" si="10"/>
        <v>19316100.000000004</v>
      </c>
      <c r="L222" s="804">
        <f t="shared" si="11"/>
        <v>424954200.00000006</v>
      </c>
    </row>
    <row r="223" spans="3:12" x14ac:dyDescent="0.2">
      <c r="C223" s="210">
        <v>2031</v>
      </c>
      <c r="D223" s="44">
        <v>220</v>
      </c>
      <c r="E223" s="439">
        <v>48153</v>
      </c>
      <c r="F223" s="148">
        <v>0.20100000000000001</v>
      </c>
      <c r="G223" s="284" t="s">
        <v>49</v>
      </c>
      <c r="H223" s="41">
        <v>1E-3</v>
      </c>
      <c r="I223" s="826">
        <v>1.4200000000000001E-2</v>
      </c>
      <c r="J223">
        <f t="shared" si="9"/>
        <v>30</v>
      </c>
      <c r="K223" s="803">
        <f t="shared" si="10"/>
        <v>18693000</v>
      </c>
      <c r="L223" s="804">
        <f t="shared" si="11"/>
        <v>411246000</v>
      </c>
    </row>
    <row r="224" spans="3:12" x14ac:dyDescent="0.2">
      <c r="C224" s="210">
        <v>2031</v>
      </c>
      <c r="D224" s="39">
        <v>221</v>
      </c>
      <c r="E224" s="439">
        <v>48183</v>
      </c>
      <c r="F224" s="132">
        <v>0.20100000000000001</v>
      </c>
      <c r="G224" s="257" t="s">
        <v>49</v>
      </c>
      <c r="H224" s="41">
        <v>1E-3</v>
      </c>
      <c r="I224" s="826">
        <v>1.4200000000000001E-2</v>
      </c>
      <c r="J224">
        <f t="shared" si="9"/>
        <v>31</v>
      </c>
      <c r="K224" s="803">
        <f t="shared" si="10"/>
        <v>19316100.000000004</v>
      </c>
      <c r="L224" s="804">
        <f t="shared" si="11"/>
        <v>424954200.00000006</v>
      </c>
    </row>
    <row r="225" spans="3:12" x14ac:dyDescent="0.2">
      <c r="C225" s="210">
        <v>2032</v>
      </c>
      <c r="D225" s="39">
        <v>222</v>
      </c>
      <c r="E225" s="439">
        <v>48214</v>
      </c>
      <c r="F225" s="149">
        <v>0.20599999999999999</v>
      </c>
      <c r="G225" s="285" t="s">
        <v>50</v>
      </c>
      <c r="H225" s="41">
        <v>1E-3</v>
      </c>
      <c r="I225" s="826">
        <v>1.4200000000000001E-2</v>
      </c>
      <c r="J225">
        <f t="shared" si="9"/>
        <v>31</v>
      </c>
      <c r="K225" s="803">
        <f t="shared" si="10"/>
        <v>19796599.999999996</v>
      </c>
      <c r="L225" s="804">
        <f t="shared" si="11"/>
        <v>435525199.99999994</v>
      </c>
    </row>
    <row r="226" spans="3:12" x14ac:dyDescent="0.2">
      <c r="C226" s="210">
        <v>2032</v>
      </c>
      <c r="D226" s="42">
        <v>223</v>
      </c>
      <c r="E226" s="439">
        <v>48245</v>
      </c>
      <c r="F226" s="150">
        <v>0.20599999999999999</v>
      </c>
      <c r="G226" s="221" t="s">
        <v>50</v>
      </c>
      <c r="H226" s="41">
        <v>1E-3</v>
      </c>
      <c r="I226" s="826">
        <v>1.4200000000000001E-2</v>
      </c>
      <c r="J226">
        <f t="shared" si="9"/>
        <v>29</v>
      </c>
      <c r="K226" s="803">
        <f t="shared" si="10"/>
        <v>18519399.999999996</v>
      </c>
      <c r="L226" s="804">
        <f t="shared" si="11"/>
        <v>407426799.99999994</v>
      </c>
    </row>
    <row r="227" spans="3:12" x14ac:dyDescent="0.2">
      <c r="C227" s="210">
        <v>2032</v>
      </c>
      <c r="D227" s="44">
        <v>224</v>
      </c>
      <c r="E227" s="439">
        <v>48274</v>
      </c>
      <c r="F227" s="151">
        <v>0.20599999999999999</v>
      </c>
      <c r="G227" s="253" t="s">
        <v>50</v>
      </c>
      <c r="H227" s="41">
        <v>1E-3</v>
      </c>
      <c r="I227" s="826">
        <v>1.4200000000000001E-2</v>
      </c>
      <c r="J227">
        <f t="shared" si="9"/>
        <v>31</v>
      </c>
      <c r="K227" s="803">
        <f t="shared" si="10"/>
        <v>19796599.999999996</v>
      </c>
      <c r="L227" s="804">
        <f t="shared" si="11"/>
        <v>435525199.99999994</v>
      </c>
    </row>
    <row r="228" spans="3:12" x14ac:dyDescent="0.2">
      <c r="C228" s="210">
        <v>2032</v>
      </c>
      <c r="D228" s="39">
        <v>225</v>
      </c>
      <c r="E228" s="439">
        <v>48305</v>
      </c>
      <c r="F228" s="144">
        <v>0.20599999999999999</v>
      </c>
      <c r="G228" s="286" t="s">
        <v>50</v>
      </c>
      <c r="H228" s="41">
        <v>1E-3</v>
      </c>
      <c r="I228" s="826">
        <v>1.4200000000000001E-2</v>
      </c>
      <c r="J228">
        <f t="shared" si="9"/>
        <v>30</v>
      </c>
      <c r="K228" s="803">
        <f t="shared" si="10"/>
        <v>19158000</v>
      </c>
      <c r="L228" s="804">
        <f t="shared" si="11"/>
        <v>421476000</v>
      </c>
    </row>
    <row r="229" spans="3:12" x14ac:dyDescent="0.2">
      <c r="C229" s="210">
        <v>2032</v>
      </c>
      <c r="D229" s="39">
        <v>226</v>
      </c>
      <c r="E229" s="439">
        <v>48335</v>
      </c>
      <c r="F229" s="152">
        <v>0.20599999999999999</v>
      </c>
      <c r="G229" s="247" t="s">
        <v>50</v>
      </c>
      <c r="H229" s="41">
        <v>1E-3</v>
      </c>
      <c r="I229" s="826">
        <v>1.4200000000000001E-2</v>
      </c>
      <c r="J229">
        <f t="shared" si="9"/>
        <v>31</v>
      </c>
      <c r="K229" s="803">
        <f t="shared" si="10"/>
        <v>19796599.999999996</v>
      </c>
      <c r="L229" s="804">
        <f t="shared" si="11"/>
        <v>435525199.99999994</v>
      </c>
    </row>
    <row r="230" spans="3:12" x14ac:dyDescent="0.2">
      <c r="C230" s="210">
        <v>2032</v>
      </c>
      <c r="D230" s="42">
        <v>227</v>
      </c>
      <c r="E230" s="439">
        <v>48366</v>
      </c>
      <c r="F230" s="153">
        <v>0.20599999999999999</v>
      </c>
      <c r="G230" s="216" t="s">
        <v>50</v>
      </c>
      <c r="H230" s="41">
        <v>1E-3</v>
      </c>
      <c r="I230" s="826">
        <v>1.4200000000000001E-2</v>
      </c>
      <c r="J230">
        <f t="shared" si="9"/>
        <v>30</v>
      </c>
      <c r="K230" s="803">
        <f t="shared" si="10"/>
        <v>19158000</v>
      </c>
      <c r="L230" s="804">
        <f t="shared" si="11"/>
        <v>421476000</v>
      </c>
    </row>
    <row r="231" spans="3:12" x14ac:dyDescent="0.2">
      <c r="C231" s="210">
        <v>2032</v>
      </c>
      <c r="D231" s="44">
        <v>228</v>
      </c>
      <c r="E231" s="439">
        <v>48396</v>
      </c>
      <c r="F231" s="154">
        <v>0.20599999999999999</v>
      </c>
      <c r="G231" s="220" t="s">
        <v>50</v>
      </c>
      <c r="H231" s="41">
        <v>1E-3</v>
      </c>
      <c r="I231" s="826">
        <v>1.4200000000000001E-2</v>
      </c>
      <c r="J231">
        <f t="shared" si="9"/>
        <v>31</v>
      </c>
      <c r="K231" s="803">
        <f t="shared" si="10"/>
        <v>19796599.999999996</v>
      </c>
      <c r="L231" s="804">
        <f t="shared" si="11"/>
        <v>435525199.99999994</v>
      </c>
    </row>
    <row r="232" spans="3:12" x14ac:dyDescent="0.2">
      <c r="C232" s="210">
        <v>2032</v>
      </c>
      <c r="D232" s="39">
        <v>229</v>
      </c>
      <c r="E232" s="439">
        <v>48427</v>
      </c>
      <c r="F232" s="155">
        <v>0.20599999999999999</v>
      </c>
      <c r="G232" s="247" t="s">
        <v>50</v>
      </c>
      <c r="H232" s="41">
        <v>1E-3</v>
      </c>
      <c r="I232" s="826">
        <v>1.4200000000000001E-2</v>
      </c>
      <c r="J232">
        <f t="shared" si="9"/>
        <v>31</v>
      </c>
      <c r="K232" s="803">
        <f t="shared" si="10"/>
        <v>19796599.999999996</v>
      </c>
      <c r="L232" s="804">
        <f t="shared" si="11"/>
        <v>435525199.99999994</v>
      </c>
    </row>
    <row r="233" spans="3:12" x14ac:dyDescent="0.2">
      <c r="C233" s="210">
        <v>2032</v>
      </c>
      <c r="D233" s="39">
        <v>230</v>
      </c>
      <c r="E233" s="439">
        <v>48458</v>
      </c>
      <c r="F233" s="97">
        <v>0.20599999999999999</v>
      </c>
      <c r="G233" s="246" t="s">
        <v>50</v>
      </c>
      <c r="H233" s="41">
        <v>1E-3</v>
      </c>
      <c r="I233" s="826">
        <v>1.4200000000000001E-2</v>
      </c>
      <c r="J233">
        <f t="shared" si="9"/>
        <v>30</v>
      </c>
      <c r="K233" s="803">
        <f t="shared" si="10"/>
        <v>19158000</v>
      </c>
      <c r="L233" s="804">
        <f t="shared" si="11"/>
        <v>421476000</v>
      </c>
    </row>
    <row r="234" spans="3:12" x14ac:dyDescent="0.2">
      <c r="C234" s="210">
        <v>2032</v>
      </c>
      <c r="D234" s="42">
        <v>231</v>
      </c>
      <c r="E234" s="439">
        <v>48488</v>
      </c>
      <c r="F234" s="97">
        <v>0.20599999999999999</v>
      </c>
      <c r="G234" s="222" t="s">
        <v>50</v>
      </c>
      <c r="H234" s="41">
        <v>1E-3</v>
      </c>
      <c r="I234" s="826">
        <v>1.4200000000000001E-2</v>
      </c>
      <c r="J234">
        <f t="shared" si="9"/>
        <v>31</v>
      </c>
      <c r="K234" s="803">
        <f t="shared" si="10"/>
        <v>19796599.999999996</v>
      </c>
      <c r="L234" s="804">
        <f t="shared" si="11"/>
        <v>435525199.99999994</v>
      </c>
    </row>
    <row r="235" spans="3:12" x14ac:dyDescent="0.2">
      <c r="C235" s="210">
        <v>2032</v>
      </c>
      <c r="D235" s="44">
        <v>232</v>
      </c>
      <c r="E235" s="439">
        <v>48519</v>
      </c>
      <c r="F235" s="156">
        <v>0.20599999999999999</v>
      </c>
      <c r="G235" s="221" t="s">
        <v>50</v>
      </c>
      <c r="H235" s="41">
        <v>1E-3</v>
      </c>
      <c r="I235" s="826">
        <v>1.4200000000000001E-2</v>
      </c>
      <c r="J235">
        <f t="shared" si="9"/>
        <v>30</v>
      </c>
      <c r="K235" s="803">
        <f t="shared" si="10"/>
        <v>19158000</v>
      </c>
      <c r="L235" s="804">
        <f t="shared" si="11"/>
        <v>421476000</v>
      </c>
    </row>
    <row r="236" spans="3:12" x14ac:dyDescent="0.2">
      <c r="C236" s="210">
        <v>2032</v>
      </c>
      <c r="D236" s="39">
        <v>233</v>
      </c>
      <c r="E236" s="439">
        <v>48549</v>
      </c>
      <c r="F236" s="99">
        <v>0.20599999999999999</v>
      </c>
      <c r="G236" s="218" t="s">
        <v>50</v>
      </c>
      <c r="H236" s="41">
        <v>1E-3</v>
      </c>
      <c r="I236" s="826">
        <v>1.4200000000000001E-2</v>
      </c>
      <c r="J236">
        <f t="shared" si="9"/>
        <v>31</v>
      </c>
      <c r="K236" s="803">
        <f t="shared" si="10"/>
        <v>19796599.999999996</v>
      </c>
      <c r="L236" s="804">
        <f t="shared" si="11"/>
        <v>435525199.99999994</v>
      </c>
    </row>
    <row r="237" spans="3:12" x14ac:dyDescent="0.2">
      <c r="C237" s="210">
        <v>2033</v>
      </c>
      <c r="D237" s="39">
        <v>234</v>
      </c>
      <c r="E237" s="439">
        <v>48580</v>
      </c>
      <c r="F237" s="157">
        <v>0.20799999999999999</v>
      </c>
      <c r="G237" s="287" t="s">
        <v>51</v>
      </c>
      <c r="H237" s="41">
        <v>1E-3</v>
      </c>
      <c r="I237" s="826">
        <v>1.4200000000000001E-2</v>
      </c>
      <c r="J237">
        <f t="shared" si="9"/>
        <v>31</v>
      </c>
      <c r="K237" s="803">
        <f t="shared" si="10"/>
        <v>19988800</v>
      </c>
      <c r="L237" s="804">
        <f t="shared" si="11"/>
        <v>439753600</v>
      </c>
    </row>
    <row r="238" spans="3:12" x14ac:dyDescent="0.2">
      <c r="C238" s="210">
        <v>2033</v>
      </c>
      <c r="D238" s="42">
        <v>235</v>
      </c>
      <c r="E238" s="439">
        <v>48611</v>
      </c>
      <c r="F238" s="157">
        <v>0.20799999999999999</v>
      </c>
      <c r="G238" s="287" t="s">
        <v>51</v>
      </c>
      <c r="H238" s="41">
        <v>1E-3</v>
      </c>
      <c r="I238" s="826">
        <v>1.4200000000000001E-2</v>
      </c>
      <c r="J238">
        <f t="shared" si="9"/>
        <v>28</v>
      </c>
      <c r="K238" s="803">
        <f t="shared" si="10"/>
        <v>18054400</v>
      </c>
      <c r="L238" s="804">
        <f t="shared" si="11"/>
        <v>397196800</v>
      </c>
    </row>
    <row r="239" spans="3:12" x14ac:dyDescent="0.2">
      <c r="C239" s="210">
        <v>2033</v>
      </c>
      <c r="D239" s="44">
        <v>236</v>
      </c>
      <c r="E239" s="439">
        <v>48639</v>
      </c>
      <c r="F239" s="157">
        <v>0.20799999999999999</v>
      </c>
      <c r="G239" s="287" t="s">
        <v>51</v>
      </c>
      <c r="H239" s="41">
        <v>1E-3</v>
      </c>
      <c r="I239" s="826">
        <v>1.4200000000000001E-2</v>
      </c>
      <c r="J239">
        <f t="shared" si="9"/>
        <v>31</v>
      </c>
      <c r="K239" s="803">
        <f t="shared" si="10"/>
        <v>19988800</v>
      </c>
      <c r="L239" s="804">
        <f t="shared" si="11"/>
        <v>439753600</v>
      </c>
    </row>
    <row r="240" spans="3:12" x14ac:dyDescent="0.2">
      <c r="C240" s="210">
        <v>2033</v>
      </c>
      <c r="D240" s="39">
        <v>237</v>
      </c>
      <c r="E240" s="439">
        <v>48670</v>
      </c>
      <c r="F240" s="158">
        <v>0.20799999999999999</v>
      </c>
      <c r="G240" s="632" t="s">
        <v>51</v>
      </c>
      <c r="H240" s="41">
        <v>1E-3</v>
      </c>
      <c r="I240" s="826">
        <v>1.4200000000000001E-2</v>
      </c>
      <c r="J240">
        <f t="shared" si="9"/>
        <v>30</v>
      </c>
      <c r="K240" s="803">
        <f t="shared" si="10"/>
        <v>19343999.999999996</v>
      </c>
      <c r="L240" s="804">
        <f t="shared" si="11"/>
        <v>425567999.99999994</v>
      </c>
    </row>
    <row r="241" spans="3:12" x14ac:dyDescent="0.2">
      <c r="C241" s="210">
        <v>2033</v>
      </c>
      <c r="D241" s="39">
        <v>238</v>
      </c>
      <c r="E241" s="439">
        <v>48700</v>
      </c>
      <c r="F241" s="159">
        <v>0.20799999999999999</v>
      </c>
      <c r="G241" s="633" t="s">
        <v>51</v>
      </c>
      <c r="H241" s="41">
        <v>1E-3</v>
      </c>
      <c r="I241" s="826">
        <v>1.4200000000000001E-2</v>
      </c>
      <c r="J241">
        <f t="shared" si="9"/>
        <v>31</v>
      </c>
      <c r="K241" s="803">
        <f t="shared" si="10"/>
        <v>19988800</v>
      </c>
      <c r="L241" s="804">
        <f t="shared" si="11"/>
        <v>439753600</v>
      </c>
    </row>
    <row r="242" spans="3:12" x14ac:dyDescent="0.2">
      <c r="C242" s="210">
        <v>2033</v>
      </c>
      <c r="D242" s="42">
        <v>239</v>
      </c>
      <c r="E242" s="439">
        <v>48731</v>
      </c>
      <c r="F242" s="106">
        <v>0.20799999999999999</v>
      </c>
      <c r="G242" s="634" t="s">
        <v>51</v>
      </c>
      <c r="H242" s="41">
        <v>1E-3</v>
      </c>
      <c r="I242" s="826">
        <v>1.4200000000000001E-2</v>
      </c>
      <c r="J242">
        <f t="shared" si="9"/>
        <v>30</v>
      </c>
      <c r="K242" s="803">
        <f t="shared" si="10"/>
        <v>19343999.999999996</v>
      </c>
      <c r="L242" s="804">
        <f t="shared" si="11"/>
        <v>425567999.99999994</v>
      </c>
    </row>
    <row r="243" spans="3:12" x14ac:dyDescent="0.2">
      <c r="C243" s="210">
        <v>2033</v>
      </c>
      <c r="D243" s="44">
        <v>240</v>
      </c>
      <c r="E243" s="439">
        <v>48761</v>
      </c>
      <c r="F243" s="110">
        <v>0.20799999999999999</v>
      </c>
      <c r="G243" s="635" t="s">
        <v>51</v>
      </c>
      <c r="H243" s="41">
        <v>1E-3</v>
      </c>
      <c r="I243" s="826">
        <v>1.4200000000000001E-2</v>
      </c>
      <c r="J243">
        <f t="shared" si="9"/>
        <v>31</v>
      </c>
      <c r="K243" s="803">
        <f t="shared" si="10"/>
        <v>19988800</v>
      </c>
      <c r="L243" s="804">
        <f t="shared" si="11"/>
        <v>439753600</v>
      </c>
    </row>
    <row r="244" spans="3:12" x14ac:dyDescent="0.2">
      <c r="C244" s="210">
        <v>2033</v>
      </c>
      <c r="D244" s="39">
        <v>241</v>
      </c>
      <c r="E244" s="439">
        <v>48792</v>
      </c>
      <c r="F244" s="110">
        <v>0.20799999999999999</v>
      </c>
      <c r="G244" s="635" t="s">
        <v>51</v>
      </c>
      <c r="H244" s="41">
        <v>1E-3</v>
      </c>
      <c r="I244" s="826">
        <v>1.4200000000000001E-2</v>
      </c>
      <c r="J244">
        <f t="shared" si="9"/>
        <v>31</v>
      </c>
      <c r="K244" s="803">
        <f t="shared" si="10"/>
        <v>19988800</v>
      </c>
      <c r="L244" s="804">
        <f t="shared" si="11"/>
        <v>439753600</v>
      </c>
    </row>
    <row r="245" spans="3:12" x14ac:dyDescent="0.2">
      <c r="C245" s="210">
        <v>2033</v>
      </c>
      <c r="D245" s="39">
        <v>242</v>
      </c>
      <c r="E245" s="439">
        <v>48823</v>
      </c>
      <c r="F245" s="160">
        <v>0.20799999999999999</v>
      </c>
      <c r="G245" s="636" t="s">
        <v>51</v>
      </c>
      <c r="H245" s="41">
        <v>1E-3</v>
      </c>
      <c r="I245" s="826">
        <v>1.4200000000000001E-2</v>
      </c>
      <c r="J245">
        <f t="shared" si="9"/>
        <v>30</v>
      </c>
      <c r="K245" s="803">
        <f t="shared" si="10"/>
        <v>19343999.999999996</v>
      </c>
      <c r="L245" s="804">
        <f t="shared" si="11"/>
        <v>425567999.99999994</v>
      </c>
    </row>
    <row r="246" spans="3:12" x14ac:dyDescent="0.2">
      <c r="C246" s="210">
        <v>2033</v>
      </c>
      <c r="D246" s="42">
        <v>243</v>
      </c>
      <c r="E246" s="439">
        <v>48853</v>
      </c>
      <c r="F246" s="161">
        <v>0.20799999999999999</v>
      </c>
      <c r="G246" s="637" t="s">
        <v>51</v>
      </c>
      <c r="H246" s="41">
        <v>1E-3</v>
      </c>
      <c r="I246" s="826">
        <v>1.4200000000000001E-2</v>
      </c>
      <c r="J246">
        <f t="shared" si="9"/>
        <v>31</v>
      </c>
      <c r="K246" s="803">
        <f t="shared" si="10"/>
        <v>19988800</v>
      </c>
      <c r="L246" s="804">
        <f t="shared" si="11"/>
        <v>439753600</v>
      </c>
    </row>
    <row r="247" spans="3:12" x14ac:dyDescent="0.2">
      <c r="C247" s="210">
        <v>2033</v>
      </c>
      <c r="D247" s="44">
        <v>244</v>
      </c>
      <c r="E247" s="439">
        <v>48884</v>
      </c>
      <c r="F247" s="162">
        <v>0.20799999999999999</v>
      </c>
      <c r="G247" s="638" t="s">
        <v>52</v>
      </c>
      <c r="H247" s="41">
        <v>1E-3</v>
      </c>
      <c r="I247" s="826">
        <v>1.4200000000000001E-2</v>
      </c>
      <c r="J247">
        <f t="shared" si="9"/>
        <v>30</v>
      </c>
      <c r="K247" s="803">
        <f t="shared" si="10"/>
        <v>19343999.999999996</v>
      </c>
      <c r="L247" s="804">
        <f t="shared" si="11"/>
        <v>425567999.99999994</v>
      </c>
    </row>
    <row r="248" spans="3:12" x14ac:dyDescent="0.2">
      <c r="C248" s="210">
        <v>2033</v>
      </c>
      <c r="D248" s="39">
        <v>245</v>
      </c>
      <c r="E248" s="439">
        <v>48914</v>
      </c>
      <c r="F248" s="164">
        <v>0.20799999999999999</v>
      </c>
      <c r="G248" s="638" t="s">
        <v>53</v>
      </c>
      <c r="H248" s="41">
        <v>1E-3</v>
      </c>
      <c r="I248" s="826">
        <v>1.4200000000000001E-2</v>
      </c>
      <c r="J248">
        <f t="shared" si="9"/>
        <v>31</v>
      </c>
      <c r="K248" s="803">
        <f t="shared" si="10"/>
        <v>19988800</v>
      </c>
      <c r="L248" s="804">
        <f t="shared" si="11"/>
        <v>439753600</v>
      </c>
    </row>
    <row r="249" spans="3:12" x14ac:dyDescent="0.2">
      <c r="C249" s="210">
        <f>C237+1</f>
        <v>2034</v>
      </c>
      <c r="D249" s="39">
        <v>246</v>
      </c>
      <c r="E249" s="439">
        <v>48945</v>
      </c>
      <c r="F249" s="165">
        <v>0.20399999999999999</v>
      </c>
      <c r="G249" s="639" t="s">
        <v>54</v>
      </c>
      <c r="H249" s="41">
        <v>1E-3</v>
      </c>
      <c r="I249" s="826">
        <v>1.4200000000000001E-2</v>
      </c>
      <c r="J249">
        <f t="shared" si="9"/>
        <v>31</v>
      </c>
      <c r="K249" s="803">
        <f t="shared" si="10"/>
        <v>19604400</v>
      </c>
      <c r="L249" s="804">
        <f t="shared" si="11"/>
        <v>431296800</v>
      </c>
    </row>
    <row r="250" spans="3:12" x14ac:dyDescent="0.2">
      <c r="C250" s="210">
        <f t="shared" ref="C250:C303" si="12">C238+1</f>
        <v>2034</v>
      </c>
      <c r="D250" s="42">
        <v>247</v>
      </c>
      <c r="E250" s="439">
        <v>48976</v>
      </c>
      <c r="F250" s="166">
        <v>0.20399999999999999</v>
      </c>
      <c r="G250" s="640" t="s">
        <v>54</v>
      </c>
      <c r="H250" s="41">
        <v>1E-3</v>
      </c>
      <c r="I250" s="826">
        <v>1.4200000000000001E-2</v>
      </c>
      <c r="J250">
        <f t="shared" si="9"/>
        <v>28</v>
      </c>
      <c r="K250" s="803">
        <f t="shared" si="10"/>
        <v>17707200</v>
      </c>
      <c r="L250" s="804">
        <f t="shared" si="11"/>
        <v>389558400</v>
      </c>
    </row>
    <row r="251" spans="3:12" x14ac:dyDescent="0.2">
      <c r="C251" s="210">
        <f t="shared" si="12"/>
        <v>2034</v>
      </c>
      <c r="D251" s="44">
        <v>248</v>
      </c>
      <c r="E251" s="439">
        <v>49004</v>
      </c>
      <c r="F251" s="167">
        <v>0.20399999999999999</v>
      </c>
      <c r="G251" s="641" t="s">
        <v>54</v>
      </c>
      <c r="H251" s="41">
        <v>1E-3</v>
      </c>
      <c r="I251" s="826">
        <v>1.4200000000000001E-2</v>
      </c>
      <c r="J251">
        <f t="shared" si="9"/>
        <v>31</v>
      </c>
      <c r="K251" s="803">
        <f t="shared" si="10"/>
        <v>19604400</v>
      </c>
      <c r="L251" s="804">
        <f t="shared" si="11"/>
        <v>431296800</v>
      </c>
    </row>
    <row r="252" spans="3:12" x14ac:dyDescent="0.2">
      <c r="C252" s="210">
        <f t="shared" si="12"/>
        <v>2034</v>
      </c>
      <c r="D252" s="39">
        <v>249</v>
      </c>
      <c r="E252" s="439">
        <v>49035</v>
      </c>
      <c r="F252" s="168">
        <v>0.20399999999999999</v>
      </c>
      <c r="G252" s="642" t="s">
        <v>54</v>
      </c>
      <c r="H252" s="41">
        <v>1E-3</v>
      </c>
      <c r="I252" s="826">
        <v>1.4200000000000001E-2</v>
      </c>
      <c r="J252">
        <f t="shared" si="9"/>
        <v>30</v>
      </c>
      <c r="K252" s="803">
        <f t="shared" si="10"/>
        <v>18971999.999999996</v>
      </c>
      <c r="L252" s="804">
        <f t="shared" si="11"/>
        <v>417383999.99999994</v>
      </c>
    </row>
    <row r="253" spans="3:12" x14ac:dyDescent="0.2">
      <c r="C253" s="210">
        <f t="shared" si="12"/>
        <v>2034</v>
      </c>
      <c r="D253" s="39">
        <v>250</v>
      </c>
      <c r="E253" s="439">
        <v>49065</v>
      </c>
      <c r="F253" s="169">
        <v>0.20399999999999999</v>
      </c>
      <c r="G253" s="643" t="s">
        <v>55</v>
      </c>
      <c r="H253" s="41">
        <v>1E-3</v>
      </c>
      <c r="I253" s="826">
        <v>1.4200000000000001E-2</v>
      </c>
      <c r="J253">
        <f t="shared" si="9"/>
        <v>31</v>
      </c>
      <c r="K253" s="803">
        <f t="shared" si="10"/>
        <v>19604400</v>
      </c>
      <c r="L253" s="804">
        <f t="shared" si="11"/>
        <v>431296800</v>
      </c>
    </row>
    <row r="254" spans="3:12" x14ac:dyDescent="0.2">
      <c r="C254" s="210">
        <f t="shared" si="12"/>
        <v>2034</v>
      </c>
      <c r="D254" s="613">
        <v>251</v>
      </c>
      <c r="E254" s="439">
        <v>49096</v>
      </c>
      <c r="F254" s="170">
        <v>0.20399999999999999</v>
      </c>
      <c r="G254" s="644" t="s">
        <v>55</v>
      </c>
      <c r="H254" s="41">
        <v>1E-3</v>
      </c>
      <c r="I254" s="826">
        <v>1.4200000000000001E-2</v>
      </c>
      <c r="J254">
        <f t="shared" si="9"/>
        <v>30</v>
      </c>
      <c r="K254" s="803">
        <f t="shared" si="10"/>
        <v>18971999.999999996</v>
      </c>
      <c r="L254" s="804">
        <f t="shared" si="11"/>
        <v>417383999.99999994</v>
      </c>
    </row>
    <row r="255" spans="3:12" x14ac:dyDescent="0.2">
      <c r="C255" s="210">
        <f t="shared" si="12"/>
        <v>2034</v>
      </c>
      <c r="D255" s="614">
        <v>252</v>
      </c>
      <c r="E255" s="439">
        <v>49126</v>
      </c>
      <c r="F255" s="118">
        <v>0.20399999999999999</v>
      </c>
      <c r="G255" s="645" t="s">
        <v>55</v>
      </c>
      <c r="H255" s="41">
        <v>1E-3</v>
      </c>
      <c r="I255" s="826">
        <v>1.4200000000000001E-2</v>
      </c>
      <c r="J255">
        <f t="shared" si="9"/>
        <v>31</v>
      </c>
      <c r="K255" s="803">
        <f t="shared" si="10"/>
        <v>19604400</v>
      </c>
      <c r="L255" s="804">
        <f t="shared" si="11"/>
        <v>431296800</v>
      </c>
    </row>
    <row r="256" spans="3:12" x14ac:dyDescent="0.2">
      <c r="C256" s="210">
        <f t="shared" si="12"/>
        <v>2034</v>
      </c>
      <c r="D256" s="615">
        <v>253</v>
      </c>
      <c r="E256" s="439">
        <v>49157</v>
      </c>
      <c r="F256" s="171">
        <v>0.20399999999999999</v>
      </c>
      <c r="G256" s="646" t="s">
        <v>55</v>
      </c>
      <c r="H256" s="41">
        <v>1E-3</v>
      </c>
      <c r="I256" s="826">
        <v>1.4200000000000001E-2</v>
      </c>
      <c r="J256">
        <f t="shared" si="9"/>
        <v>31</v>
      </c>
      <c r="K256" s="803">
        <f t="shared" si="10"/>
        <v>19604400</v>
      </c>
      <c r="L256" s="804">
        <f t="shared" si="11"/>
        <v>431296800</v>
      </c>
    </row>
    <row r="257" spans="3:12" x14ac:dyDescent="0.2">
      <c r="C257" s="210">
        <f t="shared" si="12"/>
        <v>2034</v>
      </c>
      <c r="D257" s="616">
        <v>254</v>
      </c>
      <c r="E257" s="439">
        <v>49188</v>
      </c>
      <c r="F257" s="172">
        <v>0.20399999999999999</v>
      </c>
      <c r="G257" s="647" t="s">
        <v>55</v>
      </c>
      <c r="H257" s="41">
        <v>1E-3</v>
      </c>
      <c r="I257" s="826">
        <v>1.4200000000000001E-2</v>
      </c>
      <c r="J257">
        <f t="shared" si="9"/>
        <v>30</v>
      </c>
      <c r="K257" s="803">
        <f t="shared" si="10"/>
        <v>18971999.999999996</v>
      </c>
      <c r="L257" s="804">
        <f t="shared" si="11"/>
        <v>417383999.99999994</v>
      </c>
    </row>
    <row r="258" spans="3:12" x14ac:dyDescent="0.2">
      <c r="C258" s="210">
        <f t="shared" si="12"/>
        <v>2034</v>
      </c>
      <c r="D258" s="617">
        <v>255</v>
      </c>
      <c r="E258" s="439">
        <v>49218</v>
      </c>
      <c r="F258" s="80">
        <v>0.20399999999999999</v>
      </c>
      <c r="G258" s="648" t="s">
        <v>55</v>
      </c>
      <c r="H258" s="41">
        <v>1E-3</v>
      </c>
      <c r="I258" s="826">
        <v>1.4200000000000001E-2</v>
      </c>
      <c r="J258">
        <f t="shared" si="9"/>
        <v>31</v>
      </c>
      <c r="K258" s="803">
        <f t="shared" si="10"/>
        <v>19604400</v>
      </c>
      <c r="L258" s="804">
        <f t="shared" si="11"/>
        <v>431296800</v>
      </c>
    </row>
    <row r="259" spans="3:12" x14ac:dyDescent="0.2">
      <c r="C259" s="210">
        <f t="shared" si="12"/>
        <v>2034</v>
      </c>
      <c r="D259" s="618">
        <v>256</v>
      </c>
      <c r="E259" s="439">
        <v>49249</v>
      </c>
      <c r="F259" s="82">
        <v>0.20399999999999999</v>
      </c>
      <c r="G259" s="649" t="s">
        <v>55</v>
      </c>
      <c r="H259" s="41">
        <v>1E-3</v>
      </c>
      <c r="I259" s="826">
        <v>1.4200000000000001E-2</v>
      </c>
      <c r="J259">
        <f t="shared" si="9"/>
        <v>30</v>
      </c>
      <c r="K259" s="803">
        <f t="shared" si="10"/>
        <v>18971999.999999996</v>
      </c>
      <c r="L259" s="804">
        <f t="shared" si="11"/>
        <v>417383999.99999994</v>
      </c>
    </row>
    <row r="260" spans="3:12" x14ac:dyDescent="0.2">
      <c r="C260" s="210">
        <f t="shared" si="12"/>
        <v>2034</v>
      </c>
      <c r="D260" s="619">
        <v>257</v>
      </c>
      <c r="E260" s="439">
        <v>49279</v>
      </c>
      <c r="F260" s="89">
        <v>0.20399999999999999</v>
      </c>
      <c r="G260" s="650" t="s">
        <v>55</v>
      </c>
      <c r="H260" s="41">
        <v>1E-3</v>
      </c>
      <c r="I260" s="826">
        <v>1.4200000000000001E-2</v>
      </c>
      <c r="J260">
        <f t="shared" si="9"/>
        <v>31</v>
      </c>
      <c r="K260" s="803">
        <f t="shared" si="10"/>
        <v>19604400</v>
      </c>
      <c r="L260" s="804">
        <f t="shared" si="11"/>
        <v>431296800</v>
      </c>
    </row>
    <row r="261" spans="3:12" x14ac:dyDescent="0.2">
      <c r="C261" s="210">
        <f t="shared" si="12"/>
        <v>2035</v>
      </c>
      <c r="D261" s="620">
        <v>258</v>
      </c>
      <c r="E261" s="439">
        <v>49310</v>
      </c>
      <c r="F261" s="91">
        <v>0.2</v>
      </c>
      <c r="G261" s="651" t="s">
        <v>56</v>
      </c>
      <c r="H261" s="41">
        <v>1E-3</v>
      </c>
      <c r="I261" s="826">
        <v>1.4200000000000001E-2</v>
      </c>
      <c r="J261">
        <f t="shared" ref="J261:J302" si="13">_xlfn.DAYS(E262,E261)</f>
        <v>31</v>
      </c>
      <c r="K261" s="803">
        <f t="shared" ref="K261:K303" si="14">F261*J261*3100000</f>
        <v>19220000</v>
      </c>
      <c r="L261" s="804">
        <f t="shared" ref="L261:L303" si="15">K261*M$3</f>
        <v>422840000</v>
      </c>
    </row>
    <row r="262" spans="3:12" x14ac:dyDescent="0.2">
      <c r="C262" s="210">
        <f t="shared" si="12"/>
        <v>2035</v>
      </c>
      <c r="D262" s="621">
        <v>259</v>
      </c>
      <c r="E262" s="439">
        <v>49341</v>
      </c>
      <c r="F262" s="163">
        <v>0.2</v>
      </c>
      <c r="G262" s="624" t="s">
        <v>56</v>
      </c>
      <c r="H262" s="41">
        <v>1E-3</v>
      </c>
      <c r="I262" s="826">
        <v>1.4200000000000001E-2</v>
      </c>
      <c r="J262">
        <f t="shared" si="13"/>
        <v>28</v>
      </c>
      <c r="K262" s="803">
        <f t="shared" si="14"/>
        <v>17360000</v>
      </c>
      <c r="L262" s="804">
        <f t="shared" si="15"/>
        <v>381920000</v>
      </c>
    </row>
    <row r="263" spans="3:12" x14ac:dyDescent="0.2">
      <c r="C263" s="210">
        <f t="shared" si="12"/>
        <v>2035</v>
      </c>
      <c r="D263" s="622">
        <v>260</v>
      </c>
      <c r="E263" s="439">
        <v>49369</v>
      </c>
      <c r="F263" s="173">
        <v>0.2</v>
      </c>
      <c r="G263" s="652" t="s">
        <v>56</v>
      </c>
      <c r="H263" s="41">
        <v>1E-3</v>
      </c>
      <c r="I263" s="826">
        <v>1.4200000000000001E-2</v>
      </c>
      <c r="J263">
        <f t="shared" si="13"/>
        <v>31</v>
      </c>
      <c r="K263" s="803">
        <f t="shared" si="14"/>
        <v>19220000</v>
      </c>
      <c r="L263" s="804">
        <f t="shared" si="15"/>
        <v>422840000</v>
      </c>
    </row>
    <row r="264" spans="3:12" x14ac:dyDescent="0.2">
      <c r="C264" s="210">
        <f t="shared" si="12"/>
        <v>2035</v>
      </c>
      <c r="D264" s="623">
        <v>261</v>
      </c>
      <c r="E264" s="439">
        <v>49400</v>
      </c>
      <c r="F264" s="174">
        <v>0.2</v>
      </c>
      <c r="G264" s="269" t="s">
        <v>56</v>
      </c>
      <c r="H264" s="41">
        <v>1E-3</v>
      </c>
      <c r="I264" s="826">
        <v>1.4200000000000001E-2</v>
      </c>
      <c r="J264">
        <f t="shared" si="13"/>
        <v>30</v>
      </c>
      <c r="K264" s="803">
        <f t="shared" si="14"/>
        <v>18600000</v>
      </c>
      <c r="L264" s="804">
        <f t="shared" si="15"/>
        <v>409200000</v>
      </c>
    </row>
    <row r="265" spans="3:12" x14ac:dyDescent="0.2">
      <c r="C265" s="210">
        <f t="shared" si="12"/>
        <v>2035</v>
      </c>
      <c r="D265" s="175">
        <v>262</v>
      </c>
      <c r="E265" s="439">
        <v>49430</v>
      </c>
      <c r="F265" s="176">
        <v>0.2</v>
      </c>
      <c r="G265" s="652" t="s">
        <v>56</v>
      </c>
      <c r="H265" s="41">
        <v>1E-3</v>
      </c>
      <c r="I265" s="826">
        <v>1.4200000000000001E-2</v>
      </c>
      <c r="J265">
        <f t="shared" si="13"/>
        <v>31</v>
      </c>
      <c r="K265" s="803">
        <f t="shared" si="14"/>
        <v>19220000</v>
      </c>
      <c r="L265" s="804">
        <f t="shared" si="15"/>
        <v>422840000</v>
      </c>
    </row>
    <row r="266" spans="3:12" x14ac:dyDescent="0.2">
      <c r="C266" s="210">
        <f t="shared" si="12"/>
        <v>2035</v>
      </c>
      <c r="D266" s="177">
        <v>263</v>
      </c>
      <c r="E266" s="439">
        <v>49461</v>
      </c>
      <c r="F266" s="178">
        <v>0.2</v>
      </c>
      <c r="G266" s="653" t="s">
        <v>56</v>
      </c>
      <c r="H266" s="41">
        <v>1E-3</v>
      </c>
      <c r="I266" s="826">
        <v>1.4200000000000001E-2</v>
      </c>
      <c r="J266">
        <f t="shared" si="13"/>
        <v>30</v>
      </c>
      <c r="K266" s="803">
        <f t="shared" si="14"/>
        <v>18600000</v>
      </c>
      <c r="L266" s="804">
        <f t="shared" si="15"/>
        <v>409200000</v>
      </c>
    </row>
    <row r="267" spans="3:12" x14ac:dyDescent="0.2">
      <c r="C267" s="210">
        <f t="shared" si="12"/>
        <v>2035</v>
      </c>
      <c r="D267" s="179">
        <v>264</v>
      </c>
      <c r="E267" s="439">
        <v>49491</v>
      </c>
      <c r="F267" s="178">
        <v>0.2</v>
      </c>
      <c r="G267" s="653" t="s">
        <v>56</v>
      </c>
      <c r="H267" s="41">
        <v>1E-3</v>
      </c>
      <c r="I267" s="826">
        <v>1.4200000000000001E-2</v>
      </c>
      <c r="J267">
        <f t="shared" si="13"/>
        <v>31</v>
      </c>
      <c r="K267" s="803">
        <f t="shared" si="14"/>
        <v>19220000</v>
      </c>
      <c r="L267" s="804">
        <f t="shared" si="15"/>
        <v>422840000</v>
      </c>
    </row>
    <row r="268" spans="3:12" x14ac:dyDescent="0.2">
      <c r="C268" s="210">
        <f t="shared" si="12"/>
        <v>2035</v>
      </c>
      <c r="D268" s="180">
        <v>265</v>
      </c>
      <c r="E268" s="439">
        <v>49522</v>
      </c>
      <c r="F268" s="178">
        <v>0.2</v>
      </c>
      <c r="G268" s="653" t="s">
        <v>56</v>
      </c>
      <c r="H268" s="41">
        <v>1E-3</v>
      </c>
      <c r="I268" s="826">
        <v>1.4200000000000001E-2</v>
      </c>
      <c r="J268">
        <f t="shared" si="13"/>
        <v>31</v>
      </c>
      <c r="K268" s="803">
        <f t="shared" si="14"/>
        <v>19220000</v>
      </c>
      <c r="L268" s="804">
        <f t="shared" si="15"/>
        <v>422840000</v>
      </c>
    </row>
    <row r="269" spans="3:12" x14ac:dyDescent="0.2">
      <c r="C269" s="210">
        <f t="shared" si="12"/>
        <v>2035</v>
      </c>
      <c r="D269" s="177">
        <v>266</v>
      </c>
      <c r="E269" s="439">
        <v>49553</v>
      </c>
      <c r="F269" s="174">
        <v>0.2</v>
      </c>
      <c r="G269" s="264" t="s">
        <v>56</v>
      </c>
      <c r="H269" s="41">
        <v>1E-3</v>
      </c>
      <c r="I269" s="826">
        <v>1.4200000000000001E-2</v>
      </c>
      <c r="J269">
        <f t="shared" si="13"/>
        <v>30</v>
      </c>
      <c r="K269" s="803">
        <f t="shared" si="14"/>
        <v>18600000</v>
      </c>
      <c r="L269" s="804">
        <f t="shared" si="15"/>
        <v>409200000</v>
      </c>
    </row>
    <row r="270" spans="3:12" x14ac:dyDescent="0.2">
      <c r="C270" s="210">
        <f t="shared" si="12"/>
        <v>2035</v>
      </c>
      <c r="D270" s="181">
        <v>267</v>
      </c>
      <c r="E270" s="439">
        <v>49583</v>
      </c>
      <c r="F270" s="182">
        <v>0.2</v>
      </c>
      <c r="G270" s="654" t="s">
        <v>56</v>
      </c>
      <c r="H270" s="41">
        <v>1E-3</v>
      </c>
      <c r="I270" s="826">
        <v>1.4200000000000001E-2</v>
      </c>
      <c r="J270">
        <f t="shared" si="13"/>
        <v>31</v>
      </c>
      <c r="K270" s="803">
        <f t="shared" si="14"/>
        <v>19220000</v>
      </c>
      <c r="L270" s="804">
        <f t="shared" si="15"/>
        <v>422840000</v>
      </c>
    </row>
    <row r="271" spans="3:12" x14ac:dyDescent="0.2">
      <c r="C271" s="210">
        <f t="shared" si="12"/>
        <v>2035</v>
      </c>
      <c r="D271" s="183">
        <v>268</v>
      </c>
      <c r="E271" s="439">
        <v>49614</v>
      </c>
      <c r="F271" s="184">
        <v>0.2</v>
      </c>
      <c r="G271" s="655" t="s">
        <v>56</v>
      </c>
      <c r="H271" s="41">
        <v>1E-3</v>
      </c>
      <c r="I271" s="826">
        <v>1.4200000000000001E-2</v>
      </c>
      <c r="J271">
        <f t="shared" si="13"/>
        <v>30</v>
      </c>
      <c r="K271" s="803">
        <f t="shared" si="14"/>
        <v>18600000</v>
      </c>
      <c r="L271" s="804">
        <f t="shared" si="15"/>
        <v>409200000</v>
      </c>
    </row>
    <row r="272" spans="3:12" x14ac:dyDescent="0.2">
      <c r="C272" s="210">
        <f t="shared" si="12"/>
        <v>2035</v>
      </c>
      <c r="D272" s="185">
        <v>269</v>
      </c>
      <c r="E272" s="439">
        <v>49644</v>
      </c>
      <c r="F272" s="125">
        <v>0.2</v>
      </c>
      <c r="G272" s="266" t="s">
        <v>56</v>
      </c>
      <c r="H272" s="41">
        <v>1E-3</v>
      </c>
      <c r="I272" s="826">
        <v>1.4200000000000001E-2</v>
      </c>
      <c r="J272">
        <f t="shared" si="13"/>
        <v>31</v>
      </c>
      <c r="K272" s="803">
        <f t="shared" si="14"/>
        <v>19220000</v>
      </c>
      <c r="L272" s="804">
        <f t="shared" si="15"/>
        <v>422840000</v>
      </c>
    </row>
    <row r="273" spans="3:12" x14ac:dyDescent="0.2">
      <c r="C273" s="210">
        <f t="shared" si="12"/>
        <v>2036</v>
      </c>
      <c r="D273" s="186">
        <v>270</v>
      </c>
      <c r="E273" s="439">
        <v>49675</v>
      </c>
      <c r="F273" s="122">
        <v>0.192</v>
      </c>
      <c r="G273" s="263" t="s">
        <v>57</v>
      </c>
      <c r="H273" s="41">
        <v>1E-3</v>
      </c>
      <c r="I273" s="826">
        <v>1.4200000000000001E-2</v>
      </c>
      <c r="J273">
        <f t="shared" si="13"/>
        <v>31</v>
      </c>
      <c r="K273" s="803">
        <f t="shared" si="14"/>
        <v>18451200</v>
      </c>
      <c r="L273" s="804">
        <f t="shared" si="15"/>
        <v>405926400</v>
      </c>
    </row>
    <row r="274" spans="3:12" x14ac:dyDescent="0.2">
      <c r="C274" s="210">
        <f t="shared" si="12"/>
        <v>2036</v>
      </c>
      <c r="D274" s="187">
        <v>271</v>
      </c>
      <c r="E274" s="439">
        <v>49706</v>
      </c>
      <c r="F274" s="123">
        <v>0.192</v>
      </c>
      <c r="G274" s="264" t="s">
        <v>57</v>
      </c>
      <c r="H274" s="41">
        <v>1E-3</v>
      </c>
      <c r="I274" s="826">
        <v>1.4200000000000001E-2</v>
      </c>
      <c r="J274">
        <f t="shared" si="13"/>
        <v>29</v>
      </c>
      <c r="K274" s="803">
        <f t="shared" si="14"/>
        <v>17260800</v>
      </c>
      <c r="L274" s="804">
        <f t="shared" si="15"/>
        <v>379737600</v>
      </c>
    </row>
    <row r="275" spans="3:12" x14ac:dyDescent="0.2">
      <c r="C275" s="210">
        <f t="shared" si="12"/>
        <v>2036</v>
      </c>
      <c r="D275" s="185">
        <v>272</v>
      </c>
      <c r="E275" s="439">
        <v>49735</v>
      </c>
      <c r="F275" s="125">
        <v>0.192</v>
      </c>
      <c r="G275" s="266" t="s">
        <v>57</v>
      </c>
      <c r="H275" s="41">
        <v>1E-3</v>
      </c>
      <c r="I275" s="826">
        <v>1.4200000000000001E-2</v>
      </c>
      <c r="J275">
        <f t="shared" si="13"/>
        <v>31</v>
      </c>
      <c r="K275" s="803">
        <f t="shared" si="14"/>
        <v>18451200</v>
      </c>
      <c r="L275" s="804">
        <f t="shared" si="15"/>
        <v>405926400</v>
      </c>
    </row>
    <row r="276" spans="3:12" x14ac:dyDescent="0.2">
      <c r="C276" s="210">
        <f t="shared" si="12"/>
        <v>2036</v>
      </c>
      <c r="D276" s="187">
        <v>273</v>
      </c>
      <c r="E276" s="439">
        <v>49766</v>
      </c>
      <c r="F276" s="123">
        <v>0.192</v>
      </c>
      <c r="G276" s="264" t="s">
        <v>57</v>
      </c>
      <c r="H276" s="41">
        <v>1E-3</v>
      </c>
      <c r="I276" s="826">
        <v>1.4200000000000001E-2</v>
      </c>
      <c r="J276">
        <f t="shared" si="13"/>
        <v>30</v>
      </c>
      <c r="K276" s="803">
        <f t="shared" si="14"/>
        <v>17856000</v>
      </c>
      <c r="L276" s="804">
        <f t="shared" si="15"/>
        <v>392832000</v>
      </c>
    </row>
    <row r="277" spans="3:12" x14ac:dyDescent="0.2">
      <c r="C277" s="210">
        <f t="shared" si="12"/>
        <v>2036</v>
      </c>
      <c r="D277" s="188">
        <v>274</v>
      </c>
      <c r="E277" s="439">
        <v>49796</v>
      </c>
      <c r="F277" s="124">
        <v>0.192</v>
      </c>
      <c r="G277" s="265" t="s">
        <v>57</v>
      </c>
      <c r="H277" s="41">
        <v>1E-3</v>
      </c>
      <c r="I277" s="826">
        <v>1.4200000000000001E-2</v>
      </c>
      <c r="J277">
        <f t="shared" si="13"/>
        <v>31</v>
      </c>
      <c r="K277" s="803">
        <f t="shared" si="14"/>
        <v>18451200</v>
      </c>
      <c r="L277" s="804">
        <f t="shared" si="15"/>
        <v>405926400</v>
      </c>
    </row>
    <row r="278" spans="3:12" x14ac:dyDescent="0.2">
      <c r="C278" s="210">
        <f t="shared" si="12"/>
        <v>2036</v>
      </c>
      <c r="D278" s="188">
        <v>275</v>
      </c>
      <c r="E278" s="439">
        <v>49827</v>
      </c>
      <c r="F278" s="124">
        <v>0.192</v>
      </c>
      <c r="G278" s="265" t="s">
        <v>57</v>
      </c>
      <c r="H278" s="41">
        <v>1E-3</v>
      </c>
      <c r="I278" s="826">
        <v>1.4200000000000001E-2</v>
      </c>
      <c r="J278">
        <f t="shared" si="13"/>
        <v>30</v>
      </c>
      <c r="K278" s="803">
        <f t="shared" si="14"/>
        <v>17856000</v>
      </c>
      <c r="L278" s="804">
        <f t="shared" si="15"/>
        <v>392832000</v>
      </c>
    </row>
    <row r="279" spans="3:12" x14ac:dyDescent="0.2">
      <c r="C279" s="210">
        <f t="shared" si="12"/>
        <v>2036</v>
      </c>
      <c r="D279" s="185">
        <v>276</v>
      </c>
      <c r="E279" s="439">
        <v>49857</v>
      </c>
      <c r="F279" s="125">
        <v>0.192</v>
      </c>
      <c r="G279" s="266" t="s">
        <v>57</v>
      </c>
      <c r="H279" s="41">
        <v>1E-3</v>
      </c>
      <c r="I279" s="826">
        <v>1.4200000000000001E-2</v>
      </c>
      <c r="J279">
        <f t="shared" si="13"/>
        <v>31</v>
      </c>
      <c r="K279" s="803">
        <f t="shared" si="14"/>
        <v>18451200</v>
      </c>
      <c r="L279" s="804">
        <f t="shared" si="15"/>
        <v>405926400</v>
      </c>
    </row>
    <row r="280" spans="3:12" x14ac:dyDescent="0.2">
      <c r="C280" s="210">
        <f t="shared" si="12"/>
        <v>2036</v>
      </c>
      <c r="D280" s="186">
        <v>277</v>
      </c>
      <c r="E280" s="439">
        <v>49888</v>
      </c>
      <c r="F280" s="122">
        <v>0.192</v>
      </c>
      <c r="G280" s="263" t="s">
        <v>57</v>
      </c>
      <c r="H280" s="41">
        <v>1E-3</v>
      </c>
      <c r="I280" s="826">
        <v>1.4200000000000001E-2</v>
      </c>
      <c r="J280">
        <f t="shared" si="13"/>
        <v>31</v>
      </c>
      <c r="K280" s="803">
        <f t="shared" si="14"/>
        <v>18451200</v>
      </c>
      <c r="L280" s="804">
        <f t="shared" si="15"/>
        <v>405926400</v>
      </c>
    </row>
    <row r="281" spans="3:12" x14ac:dyDescent="0.2">
      <c r="C281" s="210">
        <f t="shared" si="12"/>
        <v>2036</v>
      </c>
      <c r="D281" s="187">
        <v>278</v>
      </c>
      <c r="E281" s="439">
        <v>49919</v>
      </c>
      <c r="F281" s="123">
        <v>0.192</v>
      </c>
      <c r="G281" s="264" t="s">
        <v>57</v>
      </c>
      <c r="H281" s="41">
        <v>1E-3</v>
      </c>
      <c r="I281" s="826">
        <v>1.4200000000000001E-2</v>
      </c>
      <c r="J281">
        <f t="shared" si="13"/>
        <v>30</v>
      </c>
      <c r="K281" s="803">
        <f t="shared" si="14"/>
        <v>17856000</v>
      </c>
      <c r="L281" s="804">
        <f t="shared" si="15"/>
        <v>392832000</v>
      </c>
    </row>
    <row r="282" spans="3:12" x14ac:dyDescent="0.2">
      <c r="C282" s="210">
        <f t="shared" si="12"/>
        <v>2036</v>
      </c>
      <c r="D282" s="189">
        <v>279</v>
      </c>
      <c r="E282" s="439">
        <v>49949</v>
      </c>
      <c r="F282" s="128">
        <v>0.192</v>
      </c>
      <c r="G282" s="288" t="s">
        <v>57</v>
      </c>
      <c r="H282" s="41">
        <v>1E-3</v>
      </c>
      <c r="I282" s="826">
        <v>1.4200000000000001E-2</v>
      </c>
      <c r="J282">
        <f t="shared" si="13"/>
        <v>31</v>
      </c>
      <c r="K282" s="803">
        <f t="shared" si="14"/>
        <v>18451200</v>
      </c>
      <c r="L282" s="804">
        <f t="shared" si="15"/>
        <v>405926400</v>
      </c>
    </row>
    <row r="283" spans="3:12" x14ac:dyDescent="0.2">
      <c r="C283" s="210">
        <f t="shared" si="12"/>
        <v>2036</v>
      </c>
      <c r="D283" s="190">
        <v>280</v>
      </c>
      <c r="E283" s="439">
        <v>49980</v>
      </c>
      <c r="F283" s="191">
        <v>0.192</v>
      </c>
      <c r="G283" s="289" t="s">
        <v>57</v>
      </c>
      <c r="H283" s="41">
        <v>1E-3</v>
      </c>
      <c r="I283" s="826">
        <v>1.4200000000000001E-2</v>
      </c>
      <c r="J283">
        <f t="shared" si="13"/>
        <v>30</v>
      </c>
      <c r="K283" s="803">
        <f t="shared" si="14"/>
        <v>17856000</v>
      </c>
      <c r="L283" s="804">
        <f t="shared" si="15"/>
        <v>392832000</v>
      </c>
    </row>
    <row r="284" spans="3:12" x14ac:dyDescent="0.2">
      <c r="C284" s="210">
        <f t="shared" si="12"/>
        <v>2036</v>
      </c>
      <c r="D284" s="186">
        <v>281</v>
      </c>
      <c r="E284" s="439">
        <v>50010</v>
      </c>
      <c r="F284" s="122">
        <v>0.192</v>
      </c>
      <c r="G284" s="263" t="s">
        <v>57</v>
      </c>
      <c r="H284" s="41">
        <v>1E-3</v>
      </c>
      <c r="I284" s="826">
        <v>1.4200000000000001E-2</v>
      </c>
      <c r="J284">
        <f t="shared" si="13"/>
        <v>31</v>
      </c>
      <c r="K284" s="803">
        <f t="shared" si="14"/>
        <v>18451200</v>
      </c>
      <c r="L284" s="804">
        <f t="shared" si="15"/>
        <v>405926400</v>
      </c>
    </row>
    <row r="285" spans="3:12" x14ac:dyDescent="0.2">
      <c r="C285" s="210">
        <f t="shared" si="12"/>
        <v>2037</v>
      </c>
      <c r="D285" s="192">
        <v>282</v>
      </c>
      <c r="E285" s="439">
        <v>50041</v>
      </c>
      <c r="F285" s="122">
        <v>0.189</v>
      </c>
      <c r="G285" s="263" t="s">
        <v>58</v>
      </c>
      <c r="H285" s="41">
        <v>1E-3</v>
      </c>
      <c r="I285" s="826">
        <v>1.4200000000000001E-2</v>
      </c>
      <c r="J285">
        <f t="shared" si="13"/>
        <v>31</v>
      </c>
      <c r="K285" s="803">
        <f t="shared" si="14"/>
        <v>18162900</v>
      </c>
      <c r="L285" s="804">
        <f t="shared" si="15"/>
        <v>399583800</v>
      </c>
    </row>
    <row r="286" spans="3:12" x14ac:dyDescent="0.2">
      <c r="C286" s="210">
        <f t="shared" si="12"/>
        <v>2037</v>
      </c>
      <c r="D286" s="193">
        <v>283</v>
      </c>
      <c r="E286" s="439">
        <v>50072</v>
      </c>
      <c r="F286" s="126">
        <v>0.189</v>
      </c>
      <c r="G286" s="267" t="s">
        <v>58</v>
      </c>
      <c r="H286" s="41">
        <v>1E-3</v>
      </c>
      <c r="I286" s="826">
        <v>1.4200000000000001E-2</v>
      </c>
      <c r="J286">
        <f t="shared" si="13"/>
        <v>28</v>
      </c>
      <c r="K286" s="803">
        <f t="shared" si="14"/>
        <v>16405200</v>
      </c>
      <c r="L286" s="804">
        <f t="shared" si="15"/>
        <v>360914400</v>
      </c>
    </row>
    <row r="287" spans="3:12" x14ac:dyDescent="0.2">
      <c r="C287" s="210">
        <f t="shared" si="12"/>
        <v>2037</v>
      </c>
      <c r="D287" s="194">
        <v>284</v>
      </c>
      <c r="E287" s="439">
        <v>50100</v>
      </c>
      <c r="F287" s="127">
        <v>0.189</v>
      </c>
      <c r="G287" s="268" t="s">
        <v>58</v>
      </c>
      <c r="H287" s="41">
        <v>1E-3</v>
      </c>
      <c r="I287" s="826">
        <v>1.4200000000000001E-2</v>
      </c>
      <c r="J287">
        <f t="shared" si="13"/>
        <v>31</v>
      </c>
      <c r="K287" s="803">
        <f t="shared" si="14"/>
        <v>18162900</v>
      </c>
      <c r="L287" s="804">
        <f t="shared" si="15"/>
        <v>399583800</v>
      </c>
    </row>
    <row r="288" spans="3:12" x14ac:dyDescent="0.2">
      <c r="C288" s="210">
        <f t="shared" si="12"/>
        <v>2037</v>
      </c>
      <c r="D288" s="195">
        <v>285</v>
      </c>
      <c r="E288" s="439">
        <v>50131</v>
      </c>
      <c r="F288" s="122">
        <v>0.189</v>
      </c>
      <c r="G288" s="263" t="s">
        <v>58</v>
      </c>
      <c r="H288" s="41">
        <v>1E-3</v>
      </c>
      <c r="I288" s="826">
        <v>1.4200000000000001E-2</v>
      </c>
      <c r="J288">
        <f t="shared" si="13"/>
        <v>30</v>
      </c>
      <c r="K288" s="803">
        <f t="shared" si="14"/>
        <v>17577000</v>
      </c>
      <c r="L288" s="804">
        <f t="shared" si="15"/>
        <v>386694000</v>
      </c>
    </row>
    <row r="289" spans="3:12" x14ac:dyDescent="0.2">
      <c r="C289" s="210">
        <f t="shared" si="12"/>
        <v>2037</v>
      </c>
      <c r="D289" s="196">
        <v>286</v>
      </c>
      <c r="E289" s="439">
        <v>50161</v>
      </c>
      <c r="F289" s="122">
        <v>0.189</v>
      </c>
      <c r="G289" s="263" t="s">
        <v>58</v>
      </c>
      <c r="H289" s="41">
        <v>1E-3</v>
      </c>
      <c r="I289" s="826">
        <v>1.4200000000000001E-2</v>
      </c>
      <c r="J289">
        <f t="shared" si="13"/>
        <v>31</v>
      </c>
      <c r="K289" s="803">
        <f t="shared" si="14"/>
        <v>18162900</v>
      </c>
      <c r="L289" s="804">
        <f t="shared" si="15"/>
        <v>399583800</v>
      </c>
    </row>
    <row r="290" spans="3:12" x14ac:dyDescent="0.2">
      <c r="C290" s="210">
        <f t="shared" si="12"/>
        <v>2037</v>
      </c>
      <c r="D290" s="186">
        <v>287</v>
      </c>
      <c r="E290" s="439">
        <v>50192</v>
      </c>
      <c r="F290" s="40">
        <v>0.189</v>
      </c>
      <c r="G290" s="290" t="s">
        <v>58</v>
      </c>
      <c r="H290" s="41">
        <v>1E-3</v>
      </c>
      <c r="I290" s="826">
        <v>1.4200000000000001E-2</v>
      </c>
      <c r="J290">
        <f t="shared" si="13"/>
        <v>30</v>
      </c>
      <c r="K290" s="803">
        <f t="shared" si="14"/>
        <v>17577000</v>
      </c>
      <c r="L290" s="804">
        <f t="shared" si="15"/>
        <v>386694000</v>
      </c>
    </row>
    <row r="291" spans="3:12" x14ac:dyDescent="0.2">
      <c r="C291" s="210">
        <f t="shared" si="12"/>
        <v>2037</v>
      </c>
      <c r="D291" s="39">
        <v>288</v>
      </c>
      <c r="E291" s="439">
        <v>50222</v>
      </c>
      <c r="F291" s="46">
        <v>0.189</v>
      </c>
      <c r="G291" s="240" t="s">
        <v>58</v>
      </c>
      <c r="H291" s="41">
        <v>1E-3</v>
      </c>
      <c r="I291" s="826">
        <v>1.4200000000000001E-2</v>
      </c>
      <c r="J291">
        <f t="shared" si="13"/>
        <v>31</v>
      </c>
      <c r="K291" s="803">
        <f t="shared" si="14"/>
        <v>18162900</v>
      </c>
      <c r="L291" s="804">
        <f t="shared" si="15"/>
        <v>399583800</v>
      </c>
    </row>
    <row r="292" spans="3:12" x14ac:dyDescent="0.2">
      <c r="C292" s="210">
        <f t="shared" si="12"/>
        <v>2037</v>
      </c>
      <c r="D292" s="197">
        <v>289</v>
      </c>
      <c r="E292" s="439">
        <v>50253</v>
      </c>
      <c r="F292" s="85">
        <v>0.189</v>
      </c>
      <c r="G292" s="291" t="s">
        <v>58</v>
      </c>
      <c r="H292" s="41">
        <v>1E-3</v>
      </c>
      <c r="I292" s="826">
        <v>1.4200000000000001E-2</v>
      </c>
      <c r="J292">
        <f t="shared" si="13"/>
        <v>31</v>
      </c>
      <c r="K292" s="803">
        <f t="shared" si="14"/>
        <v>18162900</v>
      </c>
      <c r="L292" s="804">
        <f t="shared" si="15"/>
        <v>399583800</v>
      </c>
    </row>
    <row r="293" spans="3:12" x14ac:dyDescent="0.2">
      <c r="C293" s="210">
        <f t="shared" si="12"/>
        <v>2037</v>
      </c>
      <c r="D293" s="198">
        <v>290</v>
      </c>
      <c r="E293" s="439">
        <v>50284</v>
      </c>
      <c r="F293" s="84">
        <v>0.189</v>
      </c>
      <c r="G293" s="239" t="s">
        <v>58</v>
      </c>
      <c r="H293" s="41">
        <v>1E-3</v>
      </c>
      <c r="I293" s="826">
        <v>1.4200000000000001E-2</v>
      </c>
      <c r="J293">
        <f t="shared" si="13"/>
        <v>30</v>
      </c>
      <c r="K293" s="803">
        <f t="shared" si="14"/>
        <v>17577000</v>
      </c>
      <c r="L293" s="804">
        <f t="shared" si="15"/>
        <v>386694000</v>
      </c>
    </row>
    <row r="294" spans="3:12" x14ac:dyDescent="0.2">
      <c r="C294" s="210">
        <f t="shared" si="12"/>
        <v>2037</v>
      </c>
      <c r="D294" s="39">
        <v>291</v>
      </c>
      <c r="E294" s="439">
        <v>50314</v>
      </c>
      <c r="F294" s="46">
        <v>0.189</v>
      </c>
      <c r="G294" s="237" t="s">
        <v>58</v>
      </c>
      <c r="H294" s="41">
        <v>1E-3</v>
      </c>
      <c r="I294" s="826">
        <v>1.4200000000000001E-2</v>
      </c>
      <c r="J294">
        <f t="shared" si="13"/>
        <v>31</v>
      </c>
      <c r="K294" s="803">
        <f t="shared" si="14"/>
        <v>18162900</v>
      </c>
      <c r="L294" s="804">
        <f t="shared" si="15"/>
        <v>399583800</v>
      </c>
    </row>
    <row r="295" spans="3:12" x14ac:dyDescent="0.2">
      <c r="C295" s="210">
        <f t="shared" si="12"/>
        <v>2037</v>
      </c>
      <c r="D295" s="42">
        <v>292</v>
      </c>
      <c r="E295" s="439">
        <v>50345</v>
      </c>
      <c r="F295" s="47">
        <v>0.189</v>
      </c>
      <c r="G295" s="240" t="s">
        <v>58</v>
      </c>
      <c r="H295" s="41">
        <v>1E-3</v>
      </c>
      <c r="I295" s="826">
        <v>1.4200000000000001E-2</v>
      </c>
      <c r="J295">
        <f t="shared" si="13"/>
        <v>30</v>
      </c>
      <c r="K295" s="803">
        <f t="shared" si="14"/>
        <v>17577000</v>
      </c>
      <c r="L295" s="804">
        <f t="shared" si="15"/>
        <v>386694000</v>
      </c>
    </row>
    <row r="296" spans="3:12" x14ac:dyDescent="0.2">
      <c r="C296" s="210">
        <f t="shared" si="12"/>
        <v>2037</v>
      </c>
      <c r="D296" s="44">
        <v>293</v>
      </c>
      <c r="E296" s="439">
        <v>50375</v>
      </c>
      <c r="F296" s="51">
        <v>0.189</v>
      </c>
      <c r="G296" s="292" t="s">
        <v>58</v>
      </c>
      <c r="H296" s="41">
        <v>1E-3</v>
      </c>
      <c r="I296" s="826">
        <v>1.4200000000000001E-2</v>
      </c>
      <c r="J296">
        <f t="shared" si="13"/>
        <v>31</v>
      </c>
      <c r="K296" s="803">
        <f t="shared" si="14"/>
        <v>18162900</v>
      </c>
      <c r="L296" s="804">
        <f t="shared" si="15"/>
        <v>399583800</v>
      </c>
    </row>
    <row r="297" spans="3:12" x14ac:dyDescent="0.2">
      <c r="C297" s="210">
        <f t="shared" si="12"/>
        <v>2038</v>
      </c>
      <c r="D297" s="42">
        <v>294</v>
      </c>
      <c r="E297" s="439">
        <v>50406</v>
      </c>
      <c r="F297" s="47">
        <v>0.17799999999999999</v>
      </c>
      <c r="G297" s="240" t="s">
        <v>59</v>
      </c>
      <c r="H297" s="41">
        <v>1E-3</v>
      </c>
      <c r="I297" s="826">
        <v>1.4200000000000001E-2</v>
      </c>
      <c r="J297">
        <f t="shared" si="13"/>
        <v>31</v>
      </c>
      <c r="K297" s="803">
        <f t="shared" si="14"/>
        <v>17105800</v>
      </c>
      <c r="L297" s="804">
        <f t="shared" si="15"/>
        <v>376327600</v>
      </c>
    </row>
    <row r="298" spans="3:12" x14ac:dyDescent="0.2">
      <c r="C298" s="210">
        <f t="shared" si="12"/>
        <v>2038</v>
      </c>
      <c r="D298" s="44">
        <v>295</v>
      </c>
      <c r="E298" s="439">
        <v>50437</v>
      </c>
      <c r="F298" s="51">
        <v>0.17799999999999999</v>
      </c>
      <c r="G298" s="292" t="s">
        <v>59</v>
      </c>
      <c r="H298" s="41">
        <v>1E-3</v>
      </c>
      <c r="I298" s="826">
        <v>1.4200000000000001E-2</v>
      </c>
      <c r="J298">
        <f t="shared" si="13"/>
        <v>28</v>
      </c>
      <c r="K298" s="803">
        <f t="shared" si="14"/>
        <v>15450400</v>
      </c>
      <c r="L298" s="804">
        <f t="shared" si="15"/>
        <v>339908800</v>
      </c>
    </row>
    <row r="299" spans="3:12" x14ac:dyDescent="0.2">
      <c r="C299" s="210">
        <f t="shared" si="12"/>
        <v>2038</v>
      </c>
      <c r="D299" s="199">
        <v>296</v>
      </c>
      <c r="E299" s="439">
        <v>50465</v>
      </c>
      <c r="F299" s="200">
        <v>0.17799999999999999</v>
      </c>
      <c r="G299" s="240" t="s">
        <v>59</v>
      </c>
      <c r="H299" s="41">
        <v>1E-3</v>
      </c>
      <c r="I299" s="826">
        <v>1.4200000000000001E-2</v>
      </c>
      <c r="J299">
        <f t="shared" si="13"/>
        <v>31</v>
      </c>
      <c r="K299" s="803">
        <f t="shared" si="14"/>
        <v>17105800</v>
      </c>
      <c r="L299" s="804">
        <f t="shared" si="15"/>
        <v>376327600</v>
      </c>
    </row>
    <row r="300" spans="3:12" x14ac:dyDescent="0.2">
      <c r="C300" s="210">
        <f t="shared" si="12"/>
        <v>2038</v>
      </c>
      <c r="D300" s="201">
        <v>297</v>
      </c>
      <c r="E300" s="439">
        <v>50496</v>
      </c>
      <c r="F300" s="202">
        <v>0.17799999999999999</v>
      </c>
      <c r="G300" s="293" t="s">
        <v>59</v>
      </c>
      <c r="H300" s="41">
        <v>1E-3</v>
      </c>
      <c r="I300" s="826">
        <v>1.4200000000000001E-2</v>
      </c>
      <c r="J300">
        <f t="shared" si="13"/>
        <v>30</v>
      </c>
      <c r="K300" s="803">
        <f t="shared" si="14"/>
        <v>16554000</v>
      </c>
      <c r="L300" s="804">
        <f t="shared" si="15"/>
        <v>364188000</v>
      </c>
    </row>
    <row r="301" spans="3:12" x14ac:dyDescent="0.2">
      <c r="C301" s="210">
        <f t="shared" si="12"/>
        <v>2038</v>
      </c>
      <c r="D301" s="203">
        <v>298</v>
      </c>
      <c r="E301" s="439">
        <v>50526</v>
      </c>
      <c r="F301" s="112">
        <v>0.17799999999999999</v>
      </c>
      <c r="G301" s="294" t="s">
        <v>59</v>
      </c>
      <c r="H301" s="41">
        <v>1E-3</v>
      </c>
      <c r="I301" s="826">
        <v>1.4200000000000001E-2</v>
      </c>
      <c r="J301">
        <f t="shared" si="13"/>
        <v>31</v>
      </c>
      <c r="K301" s="803">
        <f t="shared" si="14"/>
        <v>17105800</v>
      </c>
      <c r="L301" s="804">
        <f t="shared" si="15"/>
        <v>376327600</v>
      </c>
    </row>
    <row r="302" spans="3:12" x14ac:dyDescent="0.2">
      <c r="C302" s="210">
        <f t="shared" si="12"/>
        <v>2038</v>
      </c>
      <c r="D302" s="204">
        <v>299</v>
      </c>
      <c r="E302" s="439">
        <v>50557</v>
      </c>
      <c r="F302" s="205">
        <v>0.17799999999999999</v>
      </c>
      <c r="G302" s="295" t="s">
        <v>59</v>
      </c>
      <c r="H302" s="41">
        <v>1E-3</v>
      </c>
      <c r="I302" s="826">
        <v>1.4200000000000001E-2</v>
      </c>
      <c r="J302">
        <f t="shared" si="13"/>
        <v>30</v>
      </c>
      <c r="K302" s="803">
        <f t="shared" si="14"/>
        <v>16554000</v>
      </c>
      <c r="L302" s="804">
        <f t="shared" si="15"/>
        <v>364188000</v>
      </c>
    </row>
    <row r="303" spans="3:12" x14ac:dyDescent="0.2">
      <c r="C303" s="210">
        <f t="shared" si="12"/>
        <v>2038</v>
      </c>
      <c r="D303" s="203">
        <v>300</v>
      </c>
      <c r="E303" s="439">
        <v>50587</v>
      </c>
      <c r="F303" s="202">
        <v>0.17799999999999999</v>
      </c>
      <c r="G303" s="293" t="s">
        <v>59</v>
      </c>
      <c r="H303" s="41">
        <v>1E-3</v>
      </c>
      <c r="I303" s="826">
        <v>1.4200000000000001E-2</v>
      </c>
      <c r="J303">
        <v>31</v>
      </c>
      <c r="K303" s="803">
        <f t="shared" si="14"/>
        <v>17105800</v>
      </c>
      <c r="L303" s="804">
        <f t="shared" si="15"/>
        <v>376327600</v>
      </c>
    </row>
  </sheetData>
  <mergeCells count="3">
    <mergeCell ref="D2:D3"/>
    <mergeCell ref="F2:G2"/>
    <mergeCell ref="E2:E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V185"/>
  <sheetViews>
    <sheetView topLeftCell="AC1" workbookViewId="0">
      <selection activeCell="AF176" sqref="AF176"/>
    </sheetView>
  </sheetViews>
  <sheetFormatPr baseColWidth="10" defaultColWidth="8" defaultRowHeight="15" customHeight="1" x14ac:dyDescent="0.25"/>
  <cols>
    <col min="1" max="1" width="42" style="1963" customWidth="1"/>
    <col min="2" max="2" width="17.875" style="1962" customWidth="1"/>
    <col min="3" max="4" width="16" style="1962" customWidth="1"/>
    <col min="5" max="5" width="12" style="1962" customWidth="1"/>
    <col min="6" max="6" width="67.625" style="1962" customWidth="1"/>
    <col min="7" max="7" width="30.625" style="1962" customWidth="1"/>
    <col min="8" max="8" width="32.375" style="1962" customWidth="1"/>
    <col min="9" max="9" width="12" style="1962" customWidth="1"/>
    <col min="10" max="10" width="13.125" style="1962" customWidth="1"/>
    <col min="11" max="11" width="17.125" style="1962" customWidth="1"/>
    <col min="12" max="12" width="13.125" style="1962" customWidth="1"/>
    <col min="13" max="13" width="13.875" style="1962" customWidth="1"/>
    <col min="14" max="14" width="18.5" style="1962" customWidth="1"/>
    <col min="15" max="15" width="25.125" style="1962" customWidth="1"/>
    <col min="16" max="17" width="11.625" style="1962" customWidth="1"/>
    <col min="18" max="18" width="10.625" style="1962" customWidth="1"/>
    <col min="19" max="19" width="16.5" style="1962" customWidth="1"/>
    <col min="20" max="20" width="10.625" style="1962" customWidth="1"/>
    <col min="21" max="21" width="14.375" style="1962" customWidth="1"/>
    <col min="22" max="22" width="20.875" style="1962" customWidth="1"/>
    <col min="23" max="23" width="13.625" style="1962" customWidth="1"/>
    <col min="24" max="26" width="18.125" style="1962" customWidth="1"/>
    <col min="27" max="27" width="23.125" style="1962" customWidth="1"/>
    <col min="28" max="28" width="20.125" style="1962" customWidth="1"/>
    <col min="29" max="29" width="20.5" style="1962" customWidth="1"/>
    <col min="30" max="31" width="18.5" style="1962" customWidth="1"/>
    <col min="32" max="32" width="17.5" style="1962" customWidth="1"/>
    <col min="33" max="33" width="20.625" style="1962" customWidth="1"/>
    <col min="34" max="34" width="18.625" style="1962" customWidth="1"/>
    <col min="35" max="35" width="18.125" style="1962" customWidth="1"/>
    <col min="36" max="36" width="23.5" style="1962" customWidth="1"/>
    <col min="37" max="37" width="19" style="1962" customWidth="1"/>
    <col min="38" max="38" width="21" style="1962" customWidth="1"/>
    <col min="39" max="39" width="19.125" style="1962" bestFit="1" customWidth="1"/>
    <col min="40" max="43" width="19.5" style="1962" customWidth="1"/>
    <col min="44" max="44" width="23.375" style="1962" customWidth="1"/>
    <col min="45" max="45" width="8" style="1962" customWidth="1"/>
    <col min="46" max="46" width="10" style="1962" bestFit="1" customWidth="1"/>
    <col min="47" max="47" width="15" style="1962" bestFit="1" customWidth="1"/>
    <col min="48" max="16384" width="8" style="1962"/>
  </cols>
  <sheetData>
    <row r="1" spans="1:48" ht="47.25" x14ac:dyDescent="0.25">
      <c r="A1" s="1990" t="s">
        <v>714</v>
      </c>
      <c r="B1" s="1988" t="s">
        <v>713</v>
      </c>
      <c r="C1" s="1988" t="s">
        <v>712</v>
      </c>
      <c r="D1" s="1988" t="s">
        <v>711</v>
      </c>
      <c r="E1" s="1988" t="s">
        <v>710</v>
      </c>
      <c r="F1" s="1988" t="s">
        <v>551</v>
      </c>
      <c r="G1" s="1988" t="s">
        <v>102</v>
      </c>
      <c r="H1" s="1988" t="s">
        <v>709</v>
      </c>
      <c r="I1" s="1988" t="s">
        <v>708</v>
      </c>
      <c r="J1" s="1988" t="s">
        <v>707</v>
      </c>
      <c r="K1" s="1988" t="s">
        <v>706</v>
      </c>
      <c r="L1" s="1988" t="s">
        <v>705</v>
      </c>
      <c r="M1" s="1988" t="s">
        <v>341</v>
      </c>
      <c r="N1" s="1988" t="s">
        <v>29</v>
      </c>
      <c r="O1" s="1988" t="s">
        <v>342</v>
      </c>
      <c r="P1" s="1988" t="s">
        <v>19</v>
      </c>
      <c r="Q1" s="1988" t="s">
        <v>230</v>
      </c>
      <c r="R1" s="1988" t="s">
        <v>232</v>
      </c>
      <c r="S1" s="1988" t="s">
        <v>338</v>
      </c>
      <c r="T1" s="1988" t="s">
        <v>704</v>
      </c>
      <c r="U1" s="1988" t="s">
        <v>337</v>
      </c>
      <c r="V1" s="1988" t="s">
        <v>703</v>
      </c>
      <c r="W1" s="1988" t="s">
        <v>702</v>
      </c>
      <c r="X1" s="1988" t="s">
        <v>701</v>
      </c>
      <c r="Y1" s="1988" t="s">
        <v>700</v>
      </c>
      <c r="Z1" s="1988" t="s">
        <v>699</v>
      </c>
      <c r="AA1" s="1988" t="s">
        <v>698</v>
      </c>
      <c r="AB1" s="1988" t="s">
        <v>697</v>
      </c>
      <c r="AC1" s="1989" t="s">
        <v>696</v>
      </c>
      <c r="AD1" s="1989" t="s">
        <v>695</v>
      </c>
      <c r="AE1" s="1988" t="s">
        <v>694</v>
      </c>
      <c r="AF1" s="1988" t="s">
        <v>693</v>
      </c>
      <c r="AG1" s="1988" t="s">
        <v>692</v>
      </c>
      <c r="AH1" s="1988" t="s">
        <v>691</v>
      </c>
      <c r="AI1" s="1988" t="s">
        <v>690</v>
      </c>
      <c r="AJ1" s="1988" t="s">
        <v>689</v>
      </c>
      <c r="AK1" s="1988" t="s">
        <v>688</v>
      </c>
      <c r="AL1" s="1988" t="s">
        <v>687</v>
      </c>
      <c r="AM1" s="1988" t="s">
        <v>686</v>
      </c>
      <c r="AN1" s="1988" t="s">
        <v>685</v>
      </c>
      <c r="AO1" s="1988" t="s">
        <v>684</v>
      </c>
      <c r="AP1" s="1988" t="s">
        <v>683</v>
      </c>
      <c r="AQ1" s="1988" t="s">
        <v>682</v>
      </c>
      <c r="AR1" s="1988" t="s">
        <v>681</v>
      </c>
    </row>
    <row r="2" spans="1:48" ht="14.25" hidden="1" customHeight="1" x14ac:dyDescent="0.25">
      <c r="A2" s="1969" t="s">
        <v>598</v>
      </c>
      <c r="B2" s="1969">
        <v>4326979</v>
      </c>
      <c r="C2" s="1969">
        <v>800642440</v>
      </c>
      <c r="D2" s="1969"/>
      <c r="E2" s="1969" t="s">
        <v>632</v>
      </c>
      <c r="F2" s="1969" t="s">
        <v>599</v>
      </c>
      <c r="G2" s="1969" t="s">
        <v>628</v>
      </c>
      <c r="H2" s="1969" t="str">
        <f>VLOOKUP(Diario_Documentos_TPL[[#This Row],[Centro Gestor]],Catalogo_Centro_Gestor[],2,FALSE)</f>
        <v>Gasoducto Corredor Chihuahua</v>
      </c>
      <c r="I2" s="1969">
        <v>2502</v>
      </c>
      <c r="J2" s="1972">
        <f>IF(YEAR(Diario_Documentos_TPL[[#This Row],[Fecha de Pago]])=1900, "SIN PAGO",YEAR(Diario_Documentos_TPL[[#This Row],[Fecha de Pago]]))</f>
        <v>2014</v>
      </c>
      <c r="K2" s="1973">
        <v>2014</v>
      </c>
      <c r="L2" s="1972">
        <f>IF(MONTH(Diario_Documentos_TPL[[#This Row],[Fecha de Pago]])=0, "SIN PAGO",MONTH(Diario_Documentos_TPL[[#This Row],[Fecha de Pago]]))</f>
        <v>4</v>
      </c>
      <c r="M2" s="1971">
        <v>3</v>
      </c>
      <c r="N2" s="1971" t="str">
        <f>VLOOKUP(Diario_Documentos_TPL[[#This Row],[Periodo del Servicio]],'Tablas (2)'!$L$3:$M$14,2,FALSE)</f>
        <v>MARZO</v>
      </c>
      <c r="O2" s="1985" t="s">
        <v>680</v>
      </c>
      <c r="P2" s="1971" t="s">
        <v>483</v>
      </c>
      <c r="Q2" s="1971" t="s">
        <v>165</v>
      </c>
      <c r="R2" s="1969">
        <v>2233</v>
      </c>
      <c r="S2" s="1969">
        <v>453882</v>
      </c>
      <c r="T2" s="1969" t="s">
        <v>627</v>
      </c>
      <c r="U2" s="1969">
        <v>2277</v>
      </c>
      <c r="V2" s="1969">
        <v>180002280</v>
      </c>
      <c r="W2" s="1970">
        <v>41733</v>
      </c>
      <c r="X2" s="1966">
        <f>Diario_Documentos_TPL[[#This Row],[Total Pasivo
(USD)]]/1.16</f>
        <v>4524319.7241379311</v>
      </c>
      <c r="Y2" s="1966">
        <f>Diario_Documentos_TPL[[#This Row],[Importe Pasivo
(USD)]]*0.16</f>
        <v>723891.15586206899</v>
      </c>
      <c r="Z2" s="1966">
        <v>5248210.88</v>
      </c>
      <c r="AA2" s="1966">
        <f>Diario_Documentos_TPL[[#This Row],[Total Pasivo
(MX)]]/1.16</f>
        <v>59264516.491379313</v>
      </c>
      <c r="AB2" s="1966">
        <f>Diario_Documentos_TPL[[#This Row],[Importe Pasivo
(MX)]]*0.16</f>
        <v>9482322.6386206895</v>
      </c>
      <c r="AC2" s="1966">
        <v>68746839.129999995</v>
      </c>
      <c r="AD2" s="1965">
        <f>IFERROR(Diario_Documentos_TPL[[#This Row],[Total Pasivo
(MX)]]/Diario_Documentos_TPL[[#This Row],[Total Pasivo
(USD)]],0)</f>
        <v>13.099099998436039</v>
      </c>
      <c r="AE2" s="1969">
        <v>140009896</v>
      </c>
      <c r="AF2" s="1968">
        <v>41752</v>
      </c>
      <c r="AG2" s="1967">
        <f>Diario_Documentos_TPL[[#This Row],[Total de Pago
(USD)]]/1.16</f>
        <v>4524319.7241379311</v>
      </c>
      <c r="AH2" s="1966">
        <f>Diario_Documentos_TPL[[#This Row],[Importe de Pago
(USD)]]*0.16</f>
        <v>723891.15586206899</v>
      </c>
      <c r="AI2" s="1966">
        <f>Diario_Documentos_TPL[[#This Row],[Total Pasivo
(USD)]]</f>
        <v>5248210.88</v>
      </c>
      <c r="AJ2" s="1966">
        <f>Diario_Documentos_TPL[[#This Row],[Total de Pago
(MX)]]/1.16</f>
        <v>59003010.81840001</v>
      </c>
      <c r="AK2" s="1966">
        <f>Diario_Documentos_TPL[[#This Row],[Importe de Pago
(MX)]]*0.16</f>
        <v>9440481.730944002</v>
      </c>
      <c r="AL2" s="1966">
        <f>Diario_Documentos_TPL[[#This Row],[Total de Pago
(USD)]]*Diario_Documentos_TPL[[#This Row],[T.C Pago]]</f>
        <v>68443492.549344003</v>
      </c>
      <c r="AM2" s="2017">
        <v>13.0413</v>
      </c>
      <c r="AN2" s="1965"/>
      <c r="AO2" s="1965"/>
      <c r="AP2" s="1965">
        <f>Diario_Documentos_TPL[[#This Row],[Importe de Pago
(MX)]]-Diario_Documentos_TPL[[#This Row],[Importe Pasivo
(MX)]]</f>
        <v>-261505.6729793027</v>
      </c>
      <c r="AQ2" s="1965">
        <f>Diario_Documentos_TPL[[#This Row],[Total_Paridad]]-Diario_Documentos_TPL[[#This Row],[Subtotal_Paridad]]</f>
        <v>-41840.907676689327</v>
      </c>
      <c r="AR2" s="1964">
        <f>Diario_Documentos_TPL[[#This Row],[Total de Pago
(MX)]]-Diario_Documentos_TPL[[#This Row],[Total Pasivo
(MX)]]</f>
        <v>-303346.58065599203</v>
      </c>
      <c r="AS2" s="1980"/>
      <c r="AT2" s="1980"/>
      <c r="AU2" s="1980"/>
      <c r="AV2" s="1980"/>
    </row>
    <row r="3" spans="1:48" ht="14.25" hidden="1" customHeight="1" x14ac:dyDescent="0.25">
      <c r="A3" s="1969" t="s">
        <v>598</v>
      </c>
      <c r="B3" s="1969">
        <v>4326979</v>
      </c>
      <c r="C3" s="1969">
        <v>800642440</v>
      </c>
      <c r="D3" s="1969"/>
      <c r="E3" s="1969" t="s">
        <v>632</v>
      </c>
      <c r="F3" s="1969" t="s">
        <v>599</v>
      </c>
      <c r="G3" s="1969" t="s">
        <v>628</v>
      </c>
      <c r="H3" s="1969" t="str">
        <f>VLOOKUP(Diario_Documentos_TPL[[#This Row],[Centro Gestor]],Catalogo_Centro_Gestor[],2,FALSE)</f>
        <v>Gasoducto Corredor Chihuahua</v>
      </c>
      <c r="I3" s="1969">
        <v>2502</v>
      </c>
      <c r="J3" s="1972">
        <f>IF(YEAR(Diario_Documentos_TPL[[#This Row],[Fecha de Pago]])=1900, "SIN PAGO",YEAR(Diario_Documentos_TPL[[#This Row],[Fecha de Pago]]))</f>
        <v>2014</v>
      </c>
      <c r="K3" s="1973">
        <v>2014</v>
      </c>
      <c r="L3" s="1972">
        <f>IF(MONTH(Diario_Documentos_TPL[[#This Row],[Fecha de Pago]])=0, "SIN PAGO",MONTH(Diario_Documentos_TPL[[#This Row],[Fecha de Pago]]))</f>
        <v>6</v>
      </c>
      <c r="M3" s="1971">
        <v>5</v>
      </c>
      <c r="N3" s="1971" t="str">
        <f>VLOOKUP(Diario_Documentos_TPL[[#This Row],[Periodo del Servicio]],'Tablas (2)'!$L$3:$M$14,2,FALSE)</f>
        <v>MAYO</v>
      </c>
      <c r="O3" s="1985" t="s">
        <v>679</v>
      </c>
      <c r="P3" s="1971" t="s">
        <v>483</v>
      </c>
      <c r="Q3" s="1971" t="s">
        <v>165</v>
      </c>
      <c r="R3" s="1969">
        <v>2233</v>
      </c>
      <c r="S3" s="1969">
        <v>453882</v>
      </c>
      <c r="T3" s="1969" t="s">
        <v>627</v>
      </c>
      <c r="U3" s="1969">
        <v>2277</v>
      </c>
      <c r="V3" s="1969">
        <v>180003913</v>
      </c>
      <c r="W3" s="1987">
        <v>41795</v>
      </c>
      <c r="X3" s="1966">
        <f>Diario_Documentos_TPL[[#This Row],[Total Pasivo
(USD)]]/1.16</f>
        <v>4524380.6293103453</v>
      </c>
      <c r="Y3" s="1966">
        <f>Diario_Documentos_TPL[[#This Row],[Importe Pasivo
(USD)]]*0.16</f>
        <v>723900.90068965522</v>
      </c>
      <c r="Z3" s="1966">
        <v>5248281.53</v>
      </c>
      <c r="AA3" s="1966">
        <f>Diario_Documentos_TPL[[#This Row],[Total Pasivo
(MX)]]/1.16</f>
        <v>58566749.93103449</v>
      </c>
      <c r="AB3" s="1966">
        <f>Diario_Documentos_TPL[[#This Row],[Importe Pasivo
(MX)]]*0.16</f>
        <v>9370679.9889655188</v>
      </c>
      <c r="AC3" s="1966">
        <v>67937429.920000002</v>
      </c>
      <c r="AD3" s="1965">
        <f>IFERROR(Diario_Documentos_TPL[[#This Row],[Total Pasivo
(MX)]]/Diario_Documentos_TPL[[#This Row],[Total Pasivo
(USD)]],0)</f>
        <v>12.944699999734961</v>
      </c>
      <c r="AE3" s="1969">
        <v>140015982</v>
      </c>
      <c r="AF3" s="1968">
        <v>41815</v>
      </c>
      <c r="AG3" s="1967">
        <f>Diario_Documentos_TPL[[#This Row],[Total de Pago
(USD)]]/1.16</f>
        <v>4524380.6293103453</v>
      </c>
      <c r="AH3" s="1966">
        <f>Diario_Documentos_TPL[[#This Row],[Importe de Pago
(USD)]]*0.16</f>
        <v>723900.90068965522</v>
      </c>
      <c r="AI3" s="1966">
        <f>Diario_Documentos_TPL[[#This Row],[Total Pasivo
(USD)]]</f>
        <v>5248281.53</v>
      </c>
      <c r="AJ3" s="1966">
        <f>Diario_Documentos_TPL[[#This Row],[Total de Pago
(MX)]]/1.16</f>
        <v>58842284.712558627</v>
      </c>
      <c r="AK3" s="1966">
        <f>Diario_Documentos_TPL[[#This Row],[Importe de Pago
(MX)]]*0.16</f>
        <v>9414765.5540093798</v>
      </c>
      <c r="AL3" s="1966">
        <f>Diario_Documentos_TPL[[#This Row],[Total de Pago
(USD)]]*Diario_Documentos_TPL[[#This Row],[T.C Pago]]</f>
        <v>68257050.266568005</v>
      </c>
      <c r="AM3" s="2017">
        <v>13.005599999999999</v>
      </c>
      <c r="AN3" s="1965"/>
      <c r="AO3" s="1965"/>
      <c r="AP3" s="1965">
        <f>Diario_Documentos_TPL[[#This Row],[Importe de Pago
(MX)]]-Diario_Documentos_TPL[[#This Row],[Importe Pasivo
(MX)]]</f>
        <v>275534.78152413666</v>
      </c>
      <c r="AQ3" s="1965">
        <f>Diario_Documentos_TPL[[#This Row],[Total_Paridad]]-Diario_Documentos_TPL[[#This Row],[Subtotal_Paridad]]</f>
        <v>44085.565043866634</v>
      </c>
      <c r="AR3" s="1964">
        <f>Diario_Documentos_TPL[[#This Row],[Total de Pago
(MX)]]-Diario_Documentos_TPL[[#This Row],[Total Pasivo
(MX)]]</f>
        <v>319620.3465680033</v>
      </c>
      <c r="AS3" s="1980"/>
      <c r="AT3" s="1980"/>
      <c r="AU3" s="1980"/>
      <c r="AV3" s="1980"/>
    </row>
    <row r="4" spans="1:48" ht="14.25" hidden="1" customHeight="1" x14ac:dyDescent="0.25">
      <c r="A4" s="1969" t="s">
        <v>598</v>
      </c>
      <c r="B4" s="1969">
        <v>4326979</v>
      </c>
      <c r="C4" s="1969">
        <v>800642440</v>
      </c>
      <c r="D4" s="1969"/>
      <c r="E4" s="1969" t="s">
        <v>632</v>
      </c>
      <c r="F4" s="1969" t="s">
        <v>599</v>
      </c>
      <c r="G4" s="1969" t="s">
        <v>628</v>
      </c>
      <c r="H4" s="1969" t="str">
        <f>VLOOKUP(Diario_Documentos_TPL[[#This Row],[Centro Gestor]],Catalogo_Centro_Gestor[],2,FALSE)</f>
        <v>Gasoducto Corredor Chihuahua</v>
      </c>
      <c r="I4" s="1969">
        <v>2502</v>
      </c>
      <c r="J4" s="1972">
        <f>IF(YEAR(Diario_Documentos_TPL[[#This Row],[Fecha de Pago]])=1900, "SIN PAGO",YEAR(Diario_Documentos_TPL[[#This Row],[Fecha de Pago]]))</f>
        <v>2014</v>
      </c>
      <c r="K4" s="1973">
        <v>2014</v>
      </c>
      <c r="L4" s="1972">
        <f>IF(MONTH(Diario_Documentos_TPL[[#This Row],[Fecha de Pago]])=0, "SIN PAGO",MONTH(Diario_Documentos_TPL[[#This Row],[Fecha de Pago]]))</f>
        <v>12</v>
      </c>
      <c r="M4" s="1971">
        <v>11</v>
      </c>
      <c r="N4" s="1971" t="str">
        <f>VLOOKUP(Diario_Documentos_TPL[[#This Row],[Periodo del Servicio]],'Tablas (2)'!$L$3:$M$14,2,FALSE)</f>
        <v>NOVIEMBRE</v>
      </c>
      <c r="O4" s="1985" t="s">
        <v>678</v>
      </c>
      <c r="P4" s="1971" t="s">
        <v>483</v>
      </c>
      <c r="Q4" s="1971" t="s">
        <v>165</v>
      </c>
      <c r="R4" s="1969">
        <v>2233</v>
      </c>
      <c r="S4" s="1969">
        <v>453882</v>
      </c>
      <c r="T4" s="1969" t="s">
        <v>627</v>
      </c>
      <c r="U4" s="1969">
        <v>2277</v>
      </c>
      <c r="V4" s="1969">
        <v>180008883</v>
      </c>
      <c r="W4" s="1987">
        <v>41976</v>
      </c>
      <c r="X4" s="1966">
        <f>Diario_Documentos_TPL[[#This Row],[Total Pasivo
(USD)]]/1.16</f>
        <v>4378109.0258620689</v>
      </c>
      <c r="Y4" s="1966">
        <f>Diario_Documentos_TPL[[#This Row],[Importe Pasivo
(USD)]]*0.16</f>
        <v>700497.44413793099</v>
      </c>
      <c r="Z4" s="1966">
        <v>5078606.47</v>
      </c>
      <c r="AA4" s="1966">
        <f>Diario_Documentos_TPL[[#This Row],[Total Pasivo
(MX)]]/1.16</f>
        <v>60970421.913793109</v>
      </c>
      <c r="AB4" s="1966">
        <f>Diario_Documentos_TPL[[#This Row],[Importe Pasivo
(MX)]]*0.16</f>
        <v>9755267.506206898</v>
      </c>
      <c r="AC4" s="1966">
        <v>70725689.420000002</v>
      </c>
      <c r="AD4" s="1965">
        <f>IFERROR(Diario_Documentos_TPL[[#This Row],[Total Pasivo
(MX)]]/Diario_Documentos_TPL[[#This Row],[Total Pasivo
(USD)]],0)</f>
        <v>13.926199999504984</v>
      </c>
      <c r="AE4" s="1969">
        <v>140033882</v>
      </c>
      <c r="AF4" s="1986">
        <v>41995</v>
      </c>
      <c r="AG4" s="1967">
        <f>Diario_Documentos_TPL[[#This Row],[Total de Pago
(USD)]]/1.16</f>
        <v>4378109.0258620689</v>
      </c>
      <c r="AH4" s="1966">
        <f>Diario_Documentos_TPL[[#This Row],[Importe de Pago
(USD)]]*0.16</f>
        <v>700497.44413793099</v>
      </c>
      <c r="AI4" s="1966">
        <f>Diario_Documentos_TPL[[#This Row],[Total Pasivo
(USD)]]</f>
        <v>5078606.47</v>
      </c>
      <c r="AJ4" s="1966">
        <f>Diario_Documentos_TPL[[#This Row],[Total de Pago
(MX)]]/1.16</f>
        <v>63728630.602253452</v>
      </c>
      <c r="AK4" s="1966">
        <f>Diario_Documentos_TPL[[#This Row],[Importe de Pago
(MX)]]*0.16</f>
        <v>10196580.896360552</v>
      </c>
      <c r="AL4" s="1966">
        <f>Diario_Documentos_TPL[[#This Row],[Total de Pago
(USD)]]*Diario_Documentos_TPL[[#This Row],[T.C Pago]]</f>
        <v>73925211.498613998</v>
      </c>
      <c r="AM4" s="2017">
        <v>14.5562</v>
      </c>
      <c r="AN4" s="1965"/>
      <c r="AO4" s="1965"/>
      <c r="AP4" s="1965">
        <f>Diario_Documentos_TPL[[#This Row],[Importe de Pago
(MX)]]-Diario_Documentos_TPL[[#This Row],[Importe Pasivo
(MX)]]</f>
        <v>2758208.6884603426</v>
      </c>
      <c r="AQ4" s="1965">
        <f>Diario_Documentos_TPL[[#This Row],[Total_Paridad]]-Diario_Documentos_TPL[[#This Row],[Subtotal_Paridad]]</f>
        <v>441313.39015365392</v>
      </c>
      <c r="AR4" s="1964">
        <f>Diario_Documentos_TPL[[#This Row],[Total de Pago
(MX)]]-Diario_Documentos_TPL[[#This Row],[Total Pasivo
(MX)]]</f>
        <v>3199522.0786139965</v>
      </c>
      <c r="AS4" s="1980"/>
      <c r="AT4" s="1980"/>
      <c r="AU4" s="1980"/>
      <c r="AV4" s="1980"/>
    </row>
    <row r="5" spans="1:48" ht="14.25" hidden="1" customHeight="1" x14ac:dyDescent="0.25">
      <c r="A5" s="1969" t="s">
        <v>598</v>
      </c>
      <c r="B5" s="1969">
        <v>4326979</v>
      </c>
      <c r="C5" s="1969">
        <v>800642440</v>
      </c>
      <c r="D5" s="1969"/>
      <c r="E5" s="1969" t="s">
        <v>632</v>
      </c>
      <c r="F5" s="1969" t="s">
        <v>599</v>
      </c>
      <c r="G5" s="1969" t="s">
        <v>628</v>
      </c>
      <c r="H5" s="1969" t="str">
        <f>VLOOKUP(Diario_Documentos_TPL[[#This Row],[Centro Gestor]],Catalogo_Centro_Gestor[],2,FALSE)</f>
        <v>Gasoducto Corredor Chihuahua</v>
      </c>
      <c r="I5" s="1969">
        <v>2502</v>
      </c>
      <c r="J5" s="1972">
        <f>IF(YEAR(Diario_Documentos_TPL[[#This Row],[Fecha de Pago]])=1900, "SIN PAGO",YEAR(Diario_Documentos_TPL[[#This Row],[Fecha de Pago]]))</f>
        <v>2014</v>
      </c>
      <c r="K5" s="1973">
        <v>2014</v>
      </c>
      <c r="L5" s="1972">
        <f>IF(MONTH(Diario_Documentos_TPL[[#This Row],[Fecha de Pago]])=0, "SIN PAGO",MONTH(Diario_Documentos_TPL[[#This Row],[Fecha de Pago]]))</f>
        <v>11</v>
      </c>
      <c r="M5" s="1971">
        <v>10</v>
      </c>
      <c r="N5" s="1971" t="str">
        <f>VLOOKUP(Diario_Documentos_TPL[[#This Row],[Periodo del Servicio]],'Tablas (2)'!$L$3:$M$14,2,FALSE)</f>
        <v>OCTUBRE</v>
      </c>
      <c r="O5" s="1985" t="s">
        <v>677</v>
      </c>
      <c r="P5" s="1971" t="s">
        <v>483</v>
      </c>
      <c r="Q5" s="1971" t="s">
        <v>165</v>
      </c>
      <c r="R5" s="1969">
        <v>2233</v>
      </c>
      <c r="S5" s="1969">
        <v>453882</v>
      </c>
      <c r="T5" s="1969" t="s">
        <v>627</v>
      </c>
      <c r="U5" s="1969">
        <v>2277</v>
      </c>
      <c r="V5" s="1969">
        <v>180008148</v>
      </c>
      <c r="W5" s="1987">
        <v>74819</v>
      </c>
      <c r="X5" s="1966">
        <f>Diario_Documentos_TPL[[#This Row],[Total Pasivo
(USD)]]/1.16</f>
        <v>4524177.4224137934</v>
      </c>
      <c r="Y5" s="1966">
        <f>Diario_Documentos_TPL[[#This Row],[Importe Pasivo
(USD)]]*0.16</f>
        <v>723868.38758620701</v>
      </c>
      <c r="Z5" s="1966">
        <v>5248045.8099999996</v>
      </c>
      <c r="AA5" s="1966">
        <f>Diario_Documentos_TPL[[#This Row],[Total Pasivo
(MX)]]/1.16</f>
        <v>60973696.379310347</v>
      </c>
      <c r="AB5" s="1966">
        <f>Diario_Documentos_TPL[[#This Row],[Importe Pasivo
(MX)]]*0.16</f>
        <v>9755791.4206896555</v>
      </c>
      <c r="AC5" s="1966">
        <v>70729487.799999997</v>
      </c>
      <c r="AD5" s="1965">
        <f>IFERROR(Diario_Documentos_TPL[[#This Row],[Total Pasivo
(MX)]]/Diario_Documentos_TPL[[#This Row],[Total Pasivo
(USD)]],0)</f>
        <v>13.477300000931205</v>
      </c>
      <c r="AE5" s="1969">
        <v>140031091</v>
      </c>
      <c r="AF5" s="1986">
        <v>41967</v>
      </c>
      <c r="AG5" s="1967">
        <f>Diario_Documentos_TPL[[#This Row],[Total de Pago
(USD)]]/1.16</f>
        <v>4524177.4224137934</v>
      </c>
      <c r="AH5" s="1966">
        <f>Diario_Documentos_TPL[[#This Row],[Importe de Pago
(USD)]]*0.16</f>
        <v>723868.38758620701</v>
      </c>
      <c r="AI5" s="1966">
        <f>Diario_Documentos_TPL[[#This Row],[Total Pasivo
(USD)]]</f>
        <v>5248045.8099999996</v>
      </c>
      <c r="AJ5" s="1966">
        <f>Diario_Documentos_TPL[[#This Row],[Total de Pago
(MX)]]/1.16</f>
        <v>61580840.985185333</v>
      </c>
      <c r="AK5" s="1966">
        <f>Diario_Documentos_TPL[[#This Row],[Importe de Pago
(MX)]]*0.16</f>
        <v>9852934.5576296542</v>
      </c>
      <c r="AL5" s="1966">
        <f>Diario_Documentos_TPL[[#This Row],[Total de Pago
(USD)]]*Diario_Documentos_TPL[[#This Row],[T.C Pago]]</f>
        <v>71433775.542814985</v>
      </c>
      <c r="AM5" s="2017">
        <v>13.611499999999999</v>
      </c>
      <c r="AN5" s="1965"/>
      <c r="AO5" s="1965"/>
      <c r="AP5" s="1965">
        <f>Diario_Documentos_TPL[[#This Row],[Importe de Pago
(MX)]]-Diario_Documentos_TPL[[#This Row],[Importe Pasivo
(MX)]]</f>
        <v>607144.60587498546</v>
      </c>
      <c r="AQ5" s="1965">
        <f>Diario_Documentos_TPL[[#This Row],[Total_Paridad]]-Diario_Documentos_TPL[[#This Row],[Subtotal_Paridad]]</f>
        <v>97143.136940002441</v>
      </c>
      <c r="AR5" s="1964">
        <f>Diario_Documentos_TPL[[#This Row],[Total de Pago
(MX)]]-Diario_Documentos_TPL[[#This Row],[Total Pasivo
(MX)]]</f>
        <v>704287.7428149879</v>
      </c>
      <c r="AS5" s="1980"/>
      <c r="AT5" s="1980"/>
      <c r="AU5" s="1980"/>
      <c r="AV5" s="1980"/>
    </row>
    <row r="6" spans="1:48" ht="14.25" hidden="1" customHeight="1" x14ac:dyDescent="0.25">
      <c r="A6" s="1969" t="s">
        <v>598</v>
      </c>
      <c r="B6" s="1969">
        <v>4326979</v>
      </c>
      <c r="C6" s="1969">
        <v>800642440</v>
      </c>
      <c r="D6" s="1969"/>
      <c r="E6" s="1969" t="s">
        <v>632</v>
      </c>
      <c r="F6" s="1969" t="s">
        <v>599</v>
      </c>
      <c r="G6" s="1969" t="s">
        <v>628</v>
      </c>
      <c r="H6" s="1969" t="str">
        <f>VLOOKUP(Diario_Documentos_TPL[[#This Row],[Centro Gestor]],Catalogo_Centro_Gestor[],2,FALSE)</f>
        <v>Gasoducto Corredor Chihuahua</v>
      </c>
      <c r="I6" s="1969">
        <v>2502</v>
      </c>
      <c r="J6" s="1972">
        <f>IF(YEAR(Diario_Documentos_TPL[[#This Row],[Fecha de Pago]])=1900, "SIN PAGO",YEAR(Diario_Documentos_TPL[[#This Row],[Fecha de Pago]]))</f>
        <v>2014</v>
      </c>
      <c r="K6" s="1973">
        <v>2014</v>
      </c>
      <c r="L6" s="1972">
        <f>IF(MONTH(Diario_Documentos_TPL[[#This Row],[Fecha de Pago]])=0, "SIN PAGO",MONTH(Diario_Documentos_TPL[[#This Row],[Fecha de Pago]]))</f>
        <v>10</v>
      </c>
      <c r="M6" s="1971">
        <v>9</v>
      </c>
      <c r="N6" s="1971" t="str">
        <f>VLOOKUP(Diario_Documentos_TPL[[#This Row],[Periodo del Servicio]],'Tablas (2)'!$L$3:$M$14,2,FALSE)</f>
        <v>SEPTIEMBRE</v>
      </c>
      <c r="O6" s="1985" t="s">
        <v>676</v>
      </c>
      <c r="P6" s="1971" t="s">
        <v>483</v>
      </c>
      <c r="Q6" s="1971" t="s">
        <v>165</v>
      </c>
      <c r="R6" s="1969">
        <v>2233</v>
      </c>
      <c r="S6" s="1969">
        <v>453882</v>
      </c>
      <c r="T6" s="1969" t="s">
        <v>627</v>
      </c>
      <c r="U6" s="1969">
        <v>2277</v>
      </c>
      <c r="V6" s="1969">
        <v>180007262</v>
      </c>
      <c r="W6" s="1987">
        <v>41920</v>
      </c>
      <c r="X6" s="1966">
        <f>Diario_Documentos_TPL[[#This Row],[Total Pasivo
(USD)]]/1.16</f>
        <v>4378286.0431034481</v>
      </c>
      <c r="Y6" s="1966">
        <f>Diario_Documentos_TPL[[#This Row],[Importe Pasivo
(USD)]]*0.16</f>
        <v>700525.76689655171</v>
      </c>
      <c r="Z6" s="1966">
        <v>5078811.8099999996</v>
      </c>
      <c r="AA6" s="1966">
        <f>Diario_Documentos_TPL[[#This Row],[Total Pasivo
(MX)]]/1.16</f>
        <v>58707999.72413794</v>
      </c>
      <c r="AB6" s="1966">
        <f>Diario_Documentos_TPL[[#This Row],[Importe Pasivo
(MX)]]*0.16</f>
        <v>9393279.9558620714</v>
      </c>
      <c r="AC6" s="1966">
        <v>68101279.680000007</v>
      </c>
      <c r="AD6" s="1965">
        <f>IFERROR(Diario_Documentos_TPL[[#This Row],[Total Pasivo
(MX)]]/Diario_Documentos_TPL[[#This Row],[Total Pasivo
(USD)]],0)</f>
        <v>13.408900000175437</v>
      </c>
      <c r="AE6" s="1969">
        <v>140027790</v>
      </c>
      <c r="AF6" s="1986">
        <v>41934</v>
      </c>
      <c r="AG6" s="1967">
        <f>Diario_Documentos_TPL[[#This Row],[Total de Pago
(USD)]]/1.16</f>
        <v>4378286.0431034481</v>
      </c>
      <c r="AH6" s="1966">
        <f>Diario_Documentos_TPL[[#This Row],[Importe de Pago
(USD)]]*0.16</f>
        <v>700525.76689655171</v>
      </c>
      <c r="AI6" s="1966">
        <f>Diario_Documentos_TPL[[#This Row],[Total Pasivo
(USD)]]</f>
        <v>5078811.8099999996</v>
      </c>
      <c r="AJ6" s="1966">
        <f>Diario_Documentos_TPL[[#This Row],[Total de Pago
(MX)]]/1.16</f>
        <v>59263166.393635347</v>
      </c>
      <c r="AK6" s="1966">
        <f>Diario_Documentos_TPL[[#This Row],[Importe de Pago
(MX)]]*0.16</f>
        <v>9482106.6229816563</v>
      </c>
      <c r="AL6" s="1966">
        <f>Diario_Documentos_TPL[[#This Row],[Total de Pago
(USD)]]*Diario_Documentos_TPL[[#This Row],[T.C Pago]]</f>
        <v>68745273.016617</v>
      </c>
      <c r="AM6" s="2017">
        <v>13.5357</v>
      </c>
      <c r="AN6" s="1965"/>
      <c r="AO6" s="1965"/>
      <c r="AP6" s="1965">
        <f>Diario_Documentos_TPL[[#This Row],[Importe de Pago
(MX)]]-Diario_Documentos_TPL[[#This Row],[Importe Pasivo
(MX)]]</f>
        <v>555166.66949740797</v>
      </c>
      <c r="AQ6" s="1965">
        <f>Diario_Documentos_TPL[[#This Row],[Total_Paridad]]-Diario_Documentos_TPL[[#This Row],[Subtotal_Paridad]]</f>
        <v>88826.667119584978</v>
      </c>
      <c r="AR6" s="1964">
        <f>Diario_Documentos_TPL[[#This Row],[Total de Pago
(MX)]]-Diario_Documentos_TPL[[#This Row],[Total Pasivo
(MX)]]</f>
        <v>643993.33661699295</v>
      </c>
      <c r="AS6" s="1980"/>
      <c r="AT6" s="1980"/>
      <c r="AU6" s="1980"/>
      <c r="AV6" s="1980"/>
    </row>
    <row r="7" spans="1:48" ht="14.25" hidden="1" customHeight="1" x14ac:dyDescent="0.25">
      <c r="A7" s="1969" t="s">
        <v>598</v>
      </c>
      <c r="B7" s="1969">
        <v>4326979</v>
      </c>
      <c r="C7" s="1969">
        <v>800642440</v>
      </c>
      <c r="D7" s="1969"/>
      <c r="E7" s="1969" t="s">
        <v>632</v>
      </c>
      <c r="F7" s="1969" t="s">
        <v>599</v>
      </c>
      <c r="G7" s="1969" t="s">
        <v>628</v>
      </c>
      <c r="H7" s="1969" t="str">
        <f>VLOOKUP(Diario_Documentos_TPL[[#This Row],[Centro Gestor]],Catalogo_Centro_Gestor[],2,FALSE)</f>
        <v>Gasoducto Corredor Chihuahua</v>
      </c>
      <c r="I7" s="1969">
        <v>2502</v>
      </c>
      <c r="J7" s="1972">
        <f>IF(YEAR(Diario_Documentos_TPL[[#This Row],[Fecha de Pago]])=1900, "SIN PAGO",YEAR(Diario_Documentos_TPL[[#This Row],[Fecha de Pago]]))</f>
        <v>2015</v>
      </c>
      <c r="K7" s="1973">
        <v>2014</v>
      </c>
      <c r="L7" s="1972">
        <f>IF(MONTH(Diario_Documentos_TPL[[#This Row],[Fecha de Pago]])=0, "SIN PAGO",MONTH(Diario_Documentos_TPL[[#This Row],[Fecha de Pago]]))</f>
        <v>1</v>
      </c>
      <c r="M7" s="1971">
        <v>12</v>
      </c>
      <c r="N7" s="1971" t="str">
        <f>VLOOKUP(Diario_Documentos_TPL[[#This Row],[Periodo del Servicio]],'Tablas (2)'!$L$3:$M$14,2,FALSE)</f>
        <v>DICIEMBRE</v>
      </c>
      <c r="O7" s="1985" t="s">
        <v>675</v>
      </c>
      <c r="P7" s="1971" t="s">
        <v>483</v>
      </c>
      <c r="Q7" s="1971" t="s">
        <v>165</v>
      </c>
      <c r="R7" s="1969">
        <v>2233</v>
      </c>
      <c r="S7" s="1969">
        <v>453882</v>
      </c>
      <c r="T7" s="1969" t="s">
        <v>627</v>
      </c>
      <c r="U7" s="1969">
        <v>2277</v>
      </c>
      <c r="V7" s="1969">
        <v>180000060</v>
      </c>
      <c r="W7" s="1970">
        <v>42012</v>
      </c>
      <c r="X7" s="1966">
        <f>Diario_Documentos_TPL[[#This Row],[Total Pasivo
(USD)]]/1.16</f>
        <v>4524111.0775862066</v>
      </c>
      <c r="Y7" s="1966">
        <f>Diario_Documentos_TPL[[#This Row],[Importe Pasivo
(USD)]]*0.16</f>
        <v>723857.77241379302</v>
      </c>
      <c r="Z7" s="1966">
        <v>5247968.8499999996</v>
      </c>
      <c r="AA7" s="1966">
        <f>Diario_Documentos_TPL[[#This Row],[Total Pasivo
(MX)]]/1.16</f>
        <v>67173548.862068981</v>
      </c>
      <c r="AB7" s="1966">
        <f>Diario_Documentos_TPL[[#This Row],[Importe Pasivo
(MX)]]*0.16</f>
        <v>10747767.817931037</v>
      </c>
      <c r="AC7" s="1966">
        <v>77921316.680000007</v>
      </c>
      <c r="AD7" s="1965">
        <f>IFERROR(Diario_Documentos_TPL[[#This Row],[Total Pasivo
(MX)]]/Diario_Documentos_TPL[[#This Row],[Total Pasivo
(USD)]],0)</f>
        <v>14.847899998491799</v>
      </c>
      <c r="AE7" s="1969">
        <v>140001797</v>
      </c>
      <c r="AF7" s="1968">
        <v>42030</v>
      </c>
      <c r="AG7" s="1967">
        <f>Diario_Documentos_TPL[[#This Row],[Total de Pago
(USD)]]/1.16</f>
        <v>4524111.0775862066</v>
      </c>
      <c r="AH7" s="1966">
        <f>Diario_Documentos_TPL[[#This Row],[Importe de Pago
(USD)]]*0.16</f>
        <v>723857.77241379302</v>
      </c>
      <c r="AI7" s="1966">
        <f>Diario_Documentos_TPL[[#This Row],[Total Pasivo
(USD)]]</f>
        <v>5247968.8499999996</v>
      </c>
      <c r="AJ7" s="1966">
        <f>Diario_Documentos_TPL[[#This Row],[Total de Pago
(MX)]]/1.16</f>
        <v>66106311.065689661</v>
      </c>
      <c r="AK7" s="1966">
        <f>Diario_Documentos_TPL[[#This Row],[Importe de Pago
(MX)]]*0.16</f>
        <v>10577009.770510346</v>
      </c>
      <c r="AL7" s="1966">
        <f>Diario_Documentos_TPL[[#This Row],[Total de Pago
(USD)]]*Diario_Documentos_TPL[[#This Row],[T.C Pago]]</f>
        <v>76683320.836199999</v>
      </c>
      <c r="AM7" s="2017">
        <v>14.612</v>
      </c>
      <c r="AN7" s="1965"/>
      <c r="AO7" s="1965"/>
      <c r="AP7" s="1965">
        <f>Diario_Documentos_TPL[[#This Row],[Importe de Pago
(MX)]]-Diario_Documentos_TPL[[#This Row],[Importe Pasivo
(MX)]]</f>
        <v>-1067237.7963793203</v>
      </c>
      <c r="AQ7" s="1965">
        <f>Diario_Documentos_TPL[[#This Row],[Total_Paridad]]-Diario_Documentos_TPL[[#This Row],[Subtotal_Paridad]]</f>
        <v>-170758.04742068797</v>
      </c>
      <c r="AR7" s="1964">
        <f>Diario_Documentos_TPL[[#This Row],[Total de Pago
(MX)]]-Diario_Documentos_TPL[[#This Row],[Total Pasivo
(MX)]]</f>
        <v>-1237995.8438000083</v>
      </c>
      <c r="AS7" s="1980"/>
      <c r="AT7" s="1980"/>
      <c r="AU7" s="1980"/>
      <c r="AV7" s="1980"/>
    </row>
    <row r="8" spans="1:48" ht="14.25" hidden="1" customHeight="1" x14ac:dyDescent="0.25">
      <c r="A8" s="1969" t="s">
        <v>598</v>
      </c>
      <c r="B8" s="1969">
        <v>4326979</v>
      </c>
      <c r="C8" s="1969">
        <v>800642440</v>
      </c>
      <c r="D8" s="1969"/>
      <c r="E8" s="1969" t="s">
        <v>632</v>
      </c>
      <c r="F8" s="1969" t="s">
        <v>599</v>
      </c>
      <c r="G8" s="1969" t="s">
        <v>628</v>
      </c>
      <c r="H8" s="1969" t="str">
        <f>VLOOKUP(Diario_Documentos_TPL[[#This Row],[Centro Gestor]],Catalogo_Centro_Gestor[],2,FALSE)</f>
        <v>Gasoducto Corredor Chihuahua</v>
      </c>
      <c r="I8" s="1969">
        <v>2502</v>
      </c>
      <c r="J8" s="1972">
        <f>IF(YEAR(Diario_Documentos_TPL[[#This Row],[Fecha de Pago]])=1900, "SIN PAGO",YEAR(Diario_Documentos_TPL[[#This Row],[Fecha de Pago]]))</f>
        <v>2015</v>
      </c>
      <c r="K8" s="1973">
        <v>2015</v>
      </c>
      <c r="L8" s="1972">
        <f>IF(MONTH(Diario_Documentos_TPL[[#This Row],[Fecha de Pago]])=0, "SIN PAGO",MONTH(Diario_Documentos_TPL[[#This Row],[Fecha de Pago]]))</f>
        <v>5</v>
      </c>
      <c r="M8" s="1971">
        <v>4</v>
      </c>
      <c r="N8" s="1971" t="str">
        <f>VLOOKUP(Diario_Documentos_TPL[[#This Row],[Periodo del Servicio]],'Tablas (2)'!$L$3:$M$14,2,FALSE)</f>
        <v>ABRIL</v>
      </c>
      <c r="O8" s="1985" t="s">
        <v>674</v>
      </c>
      <c r="P8" s="1971" t="s">
        <v>483</v>
      </c>
      <c r="Q8" s="1971" t="s">
        <v>165</v>
      </c>
      <c r="R8" s="1969">
        <v>2233</v>
      </c>
      <c r="S8" s="1969">
        <v>453882</v>
      </c>
      <c r="T8" s="1969" t="s">
        <v>627</v>
      </c>
      <c r="U8" s="1969">
        <v>2277</v>
      </c>
      <c r="V8" s="1969">
        <v>180003186</v>
      </c>
      <c r="W8" s="1987">
        <v>42136</v>
      </c>
      <c r="X8" s="1966">
        <f>Diario_Documentos_TPL[[#This Row],[Total Pasivo
(USD)]]/1.16</f>
        <v>4630073.0172413802</v>
      </c>
      <c r="Y8" s="1966">
        <f>Diario_Documentos_TPL[[#This Row],[Importe Pasivo
(USD)]]*0.16</f>
        <v>740811.68275862082</v>
      </c>
      <c r="Z8" s="1966">
        <v>5370884.7000000002</v>
      </c>
      <c r="AA8" s="1966">
        <f>Diario_Documentos_TPL[[#This Row],[Total Pasivo
(MX)]]/1.16</f>
        <v>70110417.646551728</v>
      </c>
      <c r="AB8" s="1966">
        <f>Diario_Documentos_TPL[[#This Row],[Importe Pasivo
(MX)]]*0.16</f>
        <v>11217666.823448276</v>
      </c>
      <c r="AC8" s="1966">
        <v>81328084.469999999</v>
      </c>
      <c r="AD8" s="1965">
        <f>IFERROR(Diario_Documentos_TPL[[#This Row],[Total Pasivo
(MX)]]/Diario_Documentos_TPL[[#This Row],[Total Pasivo
(USD)]],0)</f>
        <v>15.142399997899787</v>
      </c>
      <c r="AE8" s="1969">
        <v>140013422</v>
      </c>
      <c r="AF8" s="1968">
        <v>42150</v>
      </c>
      <c r="AG8" s="1967">
        <f>Diario_Documentos_TPL[[#This Row],[Total de Pago
(USD)]]/1.16</f>
        <v>4630073.0172413802</v>
      </c>
      <c r="AH8" s="1966">
        <f>Diario_Documentos_TPL[[#This Row],[Importe de Pago
(USD)]]*0.16</f>
        <v>740811.68275862082</v>
      </c>
      <c r="AI8" s="1966">
        <f>Diario_Documentos_TPL[[#This Row],[Total Pasivo
(USD)]]</f>
        <v>5370884.7000000002</v>
      </c>
      <c r="AJ8" s="1966">
        <f>Diario_Documentos_TPL[[#This Row],[Total de Pago
(MX)]]/1.16</f>
        <v>70802150.565051734</v>
      </c>
      <c r="AK8" s="1966">
        <f>Diario_Documentos_TPL[[#This Row],[Importe de Pago
(MX)]]*0.16</f>
        <v>11328344.090408279</v>
      </c>
      <c r="AL8" s="1966">
        <f>Diario_Documentos_TPL[[#This Row],[Total de Pago
(USD)]]*Diario_Documentos_TPL[[#This Row],[T.C Pago]]</f>
        <v>82130494.65546</v>
      </c>
      <c r="AM8" s="2017">
        <v>15.2918</v>
      </c>
      <c r="AN8" s="1965"/>
      <c r="AO8" s="1965"/>
      <c r="AP8" s="1965">
        <f>Diario_Documentos_TPL[[#This Row],[Importe de Pago
(MX)]]-Diario_Documentos_TPL[[#This Row],[Importe Pasivo
(MX)]]</f>
        <v>691732.9185000062</v>
      </c>
      <c r="AQ8" s="1965">
        <f>Diario_Documentos_TPL[[#This Row],[Total_Paridad]]-Diario_Documentos_TPL[[#This Row],[Subtotal_Paridad]]</f>
        <v>110677.26695999503</v>
      </c>
      <c r="AR8" s="1964">
        <f>Diario_Documentos_TPL[[#This Row],[Total de Pago
(MX)]]-Diario_Documentos_TPL[[#This Row],[Total Pasivo
(MX)]]</f>
        <v>802410.18546000123</v>
      </c>
      <c r="AS8" s="1980"/>
      <c r="AT8" s="1980"/>
      <c r="AU8" s="1980"/>
      <c r="AV8" s="1980"/>
    </row>
    <row r="9" spans="1:48" ht="14.25" hidden="1" customHeight="1" x14ac:dyDescent="0.25">
      <c r="A9" s="1969" t="s">
        <v>598</v>
      </c>
      <c r="B9" s="1969">
        <v>4326979</v>
      </c>
      <c r="C9" s="1969">
        <v>800642440</v>
      </c>
      <c r="D9" s="1969"/>
      <c r="E9" s="1969" t="s">
        <v>632</v>
      </c>
      <c r="F9" s="1969" t="s">
        <v>599</v>
      </c>
      <c r="G9" s="1969" t="s">
        <v>628</v>
      </c>
      <c r="H9" s="1969" t="str">
        <f>VLOOKUP(Diario_Documentos_TPL[[#This Row],[Centro Gestor]],Catalogo_Centro_Gestor[],2,FALSE)</f>
        <v>Gasoducto Corredor Chihuahua</v>
      </c>
      <c r="I9" s="1969">
        <v>2502</v>
      </c>
      <c r="J9" s="1972">
        <f>IF(YEAR(Diario_Documentos_TPL[[#This Row],[Fecha de Pago]])=1900, "SIN PAGO",YEAR(Diario_Documentos_TPL[[#This Row],[Fecha de Pago]]))</f>
        <v>2015</v>
      </c>
      <c r="K9" s="1973">
        <v>2015</v>
      </c>
      <c r="L9" s="1972">
        <f>IF(MONTH(Diario_Documentos_TPL[[#This Row],[Fecha de Pago]])=0, "SIN PAGO",MONTH(Diario_Documentos_TPL[[#This Row],[Fecha de Pago]]))</f>
        <v>9</v>
      </c>
      <c r="M9" s="1971">
        <v>8</v>
      </c>
      <c r="N9" s="1971" t="str">
        <f>VLOOKUP(Diario_Documentos_TPL[[#This Row],[Periodo del Servicio]],'Tablas (2)'!$L$3:$M$14,2,FALSE)</f>
        <v>AGOSTO</v>
      </c>
      <c r="O9" s="1985" t="s">
        <v>85</v>
      </c>
      <c r="P9" s="1971" t="s">
        <v>483</v>
      </c>
      <c r="Q9" s="1971" t="s">
        <v>165</v>
      </c>
      <c r="R9" s="1969">
        <v>7241</v>
      </c>
      <c r="S9" s="1969">
        <v>453882</v>
      </c>
      <c r="T9" s="1969" t="s">
        <v>627</v>
      </c>
      <c r="U9" s="1969">
        <v>2277</v>
      </c>
      <c r="V9" s="1969">
        <v>180006504</v>
      </c>
      <c r="W9" s="1970">
        <v>42258</v>
      </c>
      <c r="X9" s="1966">
        <f>Diario_Documentos_TPL[[#This Row],[Total Pasivo
(USD)]]/1.16</f>
        <v>534789.93000000005</v>
      </c>
      <c r="Y9" s="1966">
        <f>Diario_Documentos_TPL[[#This Row],[Importe Pasivo
(USD)]]*0.16</f>
        <v>85566.388800000015</v>
      </c>
      <c r="Z9" s="1966">
        <f>(524446.81+261.92+10081.2)*1.16</f>
        <v>620356.31880000001</v>
      </c>
      <c r="AA9" s="1966" t="e">
        <f>Diario_Documentos_TPL[[#This Row],[Total Pasivo
(MX)]]/1.16</f>
        <v>#REF!</v>
      </c>
      <c r="AB9" s="1966" t="e">
        <f>Diario_Documentos_TPL[[#This Row],[Importe Pasivo
(MX)]]*0.16</f>
        <v>#REF!</v>
      </c>
      <c r="AC9" s="1966" t="e">
        <f>16.7773*Diario_Documentos!#REF!</f>
        <v>#REF!</v>
      </c>
      <c r="AD9" s="1965">
        <f>IFERROR(Diario_Documentos_TPL[[#This Row],[Total Pasivo
(MX)]]/Diario_Documentos_TPL[[#This Row],[Total Pasivo
(USD)]],0)</f>
        <v>0</v>
      </c>
      <c r="AE9" s="1969">
        <v>140024631</v>
      </c>
      <c r="AF9" s="1968">
        <v>42269</v>
      </c>
      <c r="AG9" s="1967">
        <f>Diario_Documentos_TPL[[#This Row],[Total de Pago
(USD)]]/1.16</f>
        <v>534789.93000000005</v>
      </c>
      <c r="AH9" s="1966">
        <f>Diario_Documentos_TPL[[#This Row],[Importe de Pago
(USD)]]*0.16</f>
        <v>85566.388800000015</v>
      </c>
      <c r="AI9" s="1966">
        <f>Diario_Documentos_TPL[[#This Row],[Total Pasivo
(USD)]]</f>
        <v>620356.31880000001</v>
      </c>
      <c r="AJ9" s="1966">
        <f>Diario_Documentos_TPL[[#This Row],[Total de Pago
(MX)]]/1.16</f>
        <v>8844890.6522700004</v>
      </c>
      <c r="AK9" s="1966">
        <f>Diario_Documentos_TPL[[#This Row],[Importe de Pago
(MX)]]*0.16</f>
        <v>1415182.5043632002</v>
      </c>
      <c r="AL9" s="1966">
        <f>Diario_Documentos_TPL[[#This Row],[Total de Pago
(USD)]]*Diario_Documentos_TPL[[#This Row],[T.C Pago]]</f>
        <v>10260073.1566332</v>
      </c>
      <c r="AM9" s="2017">
        <v>16.539000000000001</v>
      </c>
      <c r="AN9" s="1965"/>
      <c r="AO9" s="1965"/>
      <c r="AP9" s="1965" t="e">
        <f>Diario_Documentos_TPL[[#This Row],[Importe de Pago
(MX)]]-Diario_Documentos_TPL[[#This Row],[Importe Pasivo
(MX)]]</f>
        <v>#REF!</v>
      </c>
      <c r="AQ9" s="1965" t="e">
        <f>Diario_Documentos_TPL[[#This Row],[Total_Paridad]]-Diario_Documentos_TPL[[#This Row],[Subtotal_Paridad]]</f>
        <v>#REF!</v>
      </c>
      <c r="AR9" s="1964" t="e">
        <f>Diario_Documentos_TPL[[#This Row],[Total de Pago
(MX)]]-Diario_Documentos_TPL[[#This Row],[Total Pasivo
(MX)]]</f>
        <v>#REF!</v>
      </c>
      <c r="AS9" s="1980"/>
      <c r="AT9" s="1980"/>
      <c r="AU9" s="1980"/>
      <c r="AV9" s="1980"/>
    </row>
    <row r="10" spans="1:48" ht="14.25" hidden="1" customHeight="1" x14ac:dyDescent="0.25">
      <c r="A10" s="1969" t="s">
        <v>598</v>
      </c>
      <c r="B10" s="1969">
        <v>4326979</v>
      </c>
      <c r="C10" s="1969">
        <v>800642440</v>
      </c>
      <c r="D10" s="1969"/>
      <c r="E10" s="1969" t="s">
        <v>632</v>
      </c>
      <c r="F10" s="1969" t="s">
        <v>599</v>
      </c>
      <c r="G10" s="1969" t="s">
        <v>628</v>
      </c>
      <c r="H10" s="1969" t="str">
        <f>VLOOKUP(Diario_Documentos_TPL[[#This Row],[Centro Gestor]],Catalogo_Centro_Gestor[],2,FALSE)</f>
        <v>Gasoducto Corredor Chihuahua</v>
      </c>
      <c r="I10" s="1969">
        <v>2502</v>
      </c>
      <c r="J10" s="1972">
        <f>IF(YEAR(Diario_Documentos_TPL[[#This Row],[Fecha de Pago]])=1900, "SIN PAGO",YEAR(Diario_Documentos_TPL[[#This Row],[Fecha de Pago]]))</f>
        <v>2015</v>
      </c>
      <c r="K10" s="1973">
        <v>2015</v>
      </c>
      <c r="L10" s="1972">
        <f>IF(MONTH(Diario_Documentos_TPL[[#This Row],[Fecha de Pago]])=0, "SIN PAGO",MONTH(Diario_Documentos_TPL[[#This Row],[Fecha de Pago]]))</f>
        <v>9</v>
      </c>
      <c r="M10" s="1971">
        <v>8</v>
      </c>
      <c r="N10" s="1971" t="str">
        <f>VLOOKUP(Diario_Documentos_TPL[[#This Row],[Periodo del Servicio]],'Tablas (2)'!$L$3:$M$14,2,FALSE)</f>
        <v>AGOSTO</v>
      </c>
      <c r="O10" s="1985" t="s">
        <v>85</v>
      </c>
      <c r="P10" s="1971" t="s">
        <v>483</v>
      </c>
      <c r="Q10" s="1971" t="s">
        <v>165</v>
      </c>
      <c r="R10" s="1969">
        <v>2233</v>
      </c>
      <c r="S10" s="1969">
        <v>453882</v>
      </c>
      <c r="T10" s="1969" t="s">
        <v>627</v>
      </c>
      <c r="U10" s="1969">
        <v>2277</v>
      </c>
      <c r="V10" s="1969">
        <v>180006504</v>
      </c>
      <c r="W10" s="1970">
        <v>42258</v>
      </c>
      <c r="X10" s="1966">
        <f>Diario_Documentos_TPL[[#This Row],[Total Pasivo
(USD)]]/1.16</f>
        <v>4095425.85</v>
      </c>
      <c r="Y10" s="1966">
        <f>Diario_Documentos_TPL[[#This Row],[Importe Pasivo
(USD)]]*0.16</f>
        <v>655268.13600000006</v>
      </c>
      <c r="Z10" s="1966">
        <f>(4016218.17+2005.78+77201.9)*1.16</f>
        <v>4750693.9859999996</v>
      </c>
      <c r="AA10" s="1966" t="e">
        <f>Diario_Documentos_TPL[[#This Row],[Total Pasivo
(MX)]]/1.16</f>
        <v>#REF!</v>
      </c>
      <c r="AB10" s="1966" t="e">
        <f>Diario_Documentos_TPL[[#This Row],[Importe Pasivo
(MX)]]*0.16</f>
        <v>#REF!</v>
      </c>
      <c r="AC10" s="1966" t="e">
        <f>16.7773*Diario_Documentos!#REF!</f>
        <v>#REF!</v>
      </c>
      <c r="AD10" s="1965">
        <f>IFERROR(Diario_Documentos_TPL[[#This Row],[Total Pasivo
(MX)]]/Diario_Documentos_TPL[[#This Row],[Total Pasivo
(USD)]],0)</f>
        <v>0</v>
      </c>
      <c r="AE10" s="1969">
        <v>140024631</v>
      </c>
      <c r="AF10" s="1968">
        <v>42269</v>
      </c>
      <c r="AG10" s="1967">
        <f>Diario_Documentos_TPL[[#This Row],[Total de Pago
(USD)]]/1.16</f>
        <v>4095425.85</v>
      </c>
      <c r="AH10" s="1966">
        <f>Diario_Documentos_TPL[[#This Row],[Importe de Pago
(USD)]]*0.16</f>
        <v>655268.13600000006</v>
      </c>
      <c r="AI10" s="1966">
        <f>Diario_Documentos_TPL[[#This Row],[Total Pasivo
(USD)]]</f>
        <v>4750693.9859999996</v>
      </c>
      <c r="AJ10" s="1966">
        <f>Diario_Documentos_TPL[[#This Row],[Total de Pago
(MX)]]/1.16</f>
        <v>67734248.133150011</v>
      </c>
      <c r="AK10" s="1966">
        <f>Diario_Documentos_TPL[[#This Row],[Importe de Pago
(MX)]]*0.16</f>
        <v>10837479.701304002</v>
      </c>
      <c r="AL10" s="1966">
        <f>Diario_Documentos_TPL[[#This Row],[Total de Pago
(USD)]]*Diario_Documentos_TPL[[#This Row],[T.C Pago]]</f>
        <v>78571727.834454</v>
      </c>
      <c r="AM10" s="2017">
        <v>16.539000000000001</v>
      </c>
      <c r="AN10" s="1965"/>
      <c r="AO10" s="1965"/>
      <c r="AP10" s="1965" t="e">
        <f>Diario_Documentos_TPL[[#This Row],[Importe de Pago
(MX)]]-Diario_Documentos_TPL[[#This Row],[Importe Pasivo
(MX)]]</f>
        <v>#REF!</v>
      </c>
      <c r="AQ10" s="1965" t="e">
        <f>Diario_Documentos_TPL[[#This Row],[Total_Paridad]]-Diario_Documentos_TPL[[#This Row],[Subtotal_Paridad]]</f>
        <v>#REF!</v>
      </c>
      <c r="AR10" s="1964" t="e">
        <f>Diario_Documentos_TPL[[#This Row],[Total de Pago
(MX)]]-Diario_Documentos_TPL[[#This Row],[Total Pasivo
(MX)]]</f>
        <v>#REF!</v>
      </c>
      <c r="AS10" s="1980"/>
      <c r="AT10" s="1980"/>
      <c r="AU10" s="1980"/>
      <c r="AV10" s="1980"/>
    </row>
    <row r="11" spans="1:48" ht="14.25" hidden="1" customHeight="1" x14ac:dyDescent="0.25">
      <c r="A11" s="1969" t="s">
        <v>598</v>
      </c>
      <c r="B11" s="1969">
        <v>4326979</v>
      </c>
      <c r="C11" s="1969">
        <v>800642440</v>
      </c>
      <c r="D11" s="1969"/>
      <c r="E11" s="1969" t="s">
        <v>632</v>
      </c>
      <c r="F11" s="1969" t="s">
        <v>599</v>
      </c>
      <c r="G11" s="1969" t="s">
        <v>628</v>
      </c>
      <c r="H11" s="1969" t="str">
        <f>VLOOKUP(Diario_Documentos_TPL[[#This Row],[Centro Gestor]],Catalogo_Centro_Gestor[],2,FALSE)</f>
        <v>Gasoducto Corredor Chihuahua</v>
      </c>
      <c r="I11" s="1969">
        <v>2502</v>
      </c>
      <c r="J11" s="1972">
        <f>IF(YEAR(Diario_Documentos_TPL[[#This Row],[Fecha de Pago]])=1900, "SIN PAGO",YEAR(Diario_Documentos_TPL[[#This Row],[Fecha de Pago]]))</f>
        <v>2015</v>
      </c>
      <c r="K11" s="1973">
        <v>2015</v>
      </c>
      <c r="L11" s="1972">
        <f>IF(MONTH(Diario_Documentos_TPL[[#This Row],[Fecha de Pago]])=0, "SIN PAGO",MONTH(Diario_Documentos_TPL[[#This Row],[Fecha de Pago]]))</f>
        <v>2</v>
      </c>
      <c r="M11" s="1971">
        <v>1</v>
      </c>
      <c r="N11" s="1971" t="str">
        <f>VLOOKUP(Diario_Documentos_TPL[[#This Row],[Periodo del Servicio]],'Tablas (2)'!$L$3:$M$14,2,FALSE)</f>
        <v>ENERO</v>
      </c>
      <c r="O11" s="1985" t="s">
        <v>673</v>
      </c>
      <c r="P11" s="1971" t="s">
        <v>483</v>
      </c>
      <c r="Q11" s="1971" t="s">
        <v>165</v>
      </c>
      <c r="R11" s="1969">
        <v>2233</v>
      </c>
      <c r="S11" s="1969">
        <v>453882</v>
      </c>
      <c r="T11" s="1969" t="s">
        <v>627</v>
      </c>
      <c r="U11" s="1969">
        <v>2277</v>
      </c>
      <c r="V11" s="1969">
        <v>180000641</v>
      </c>
      <c r="W11" s="1970">
        <v>42040</v>
      </c>
      <c r="X11" s="1966">
        <f>Diario_Documentos_TPL[[#This Row],[Total Pasivo
(USD)]]/1.16</f>
        <v>4629988.1465517245</v>
      </c>
      <c r="Y11" s="1966">
        <f>Diario_Documentos_TPL[[#This Row],[Importe Pasivo
(USD)]]*0.16</f>
        <v>740798.10344827594</v>
      </c>
      <c r="Z11" s="1966">
        <v>5370786.25</v>
      </c>
      <c r="AA11" s="1966">
        <f>Diario_Documentos_TPL[[#This Row],[Total Pasivo
(MX)]]/1.16</f>
        <v>68322883.077586219</v>
      </c>
      <c r="AB11" s="1966">
        <f>Diario_Documentos_TPL[[#This Row],[Importe Pasivo
(MX)]]*0.16</f>
        <v>10931661.292413795</v>
      </c>
      <c r="AC11" s="1966">
        <v>79254544.370000005</v>
      </c>
      <c r="AD11" s="1965">
        <f>IFERROR(Diario_Documentos_TPL[[#This Row],[Total Pasivo
(MX)]]/Diario_Documentos_TPL[[#This Row],[Total Pasivo
(USD)]],0)</f>
        <v>14.756599998743201</v>
      </c>
      <c r="AE11" s="1969">
        <v>140004579</v>
      </c>
      <c r="AF11" s="1968">
        <v>42059</v>
      </c>
      <c r="AG11" s="1967">
        <f>Diario_Documentos_TPL[[#This Row],[Total de Pago
(USD)]]/1.16</f>
        <v>4629988.1465517245</v>
      </c>
      <c r="AH11" s="1966">
        <f>Diario_Documentos_TPL[[#This Row],[Importe de Pago
(USD)]]*0.16</f>
        <v>740798.10344827594</v>
      </c>
      <c r="AI11" s="1966">
        <f>Diario_Documentos_TPL[[#This Row],[Total Pasivo
(USD)]]</f>
        <v>5370786.25</v>
      </c>
      <c r="AJ11" s="1966">
        <f>Diario_Documentos_TPL[[#This Row],[Total de Pago
(MX)]]/1.16</f>
        <v>69800312.300969839</v>
      </c>
      <c r="AK11" s="1966">
        <f>Diario_Documentos_TPL[[#This Row],[Importe de Pago
(MX)]]*0.16</f>
        <v>11168049.968155174</v>
      </c>
      <c r="AL11" s="1966">
        <f>Diario_Documentos_TPL[[#This Row],[Total de Pago
(USD)]]*Diario_Documentos_TPL[[#This Row],[T.C Pago]]</f>
        <v>80968362.269125</v>
      </c>
      <c r="AM11" s="2017">
        <v>15.075699999999999</v>
      </c>
      <c r="AN11" s="1965"/>
      <c r="AO11" s="1965"/>
      <c r="AP11" s="1965">
        <f>Diario_Documentos_TPL[[#This Row],[Importe de Pago
(MX)]]-Diario_Documentos_TPL[[#This Row],[Importe Pasivo
(MX)]]</f>
        <v>1477429.2233836204</v>
      </c>
      <c r="AQ11" s="1965">
        <f>Diario_Documentos_TPL[[#This Row],[Total_Paridad]]-Diario_Documentos_TPL[[#This Row],[Subtotal_Paridad]]</f>
        <v>236388.67574137449</v>
      </c>
      <c r="AR11" s="1964">
        <f>Diario_Documentos_TPL[[#This Row],[Total de Pago
(MX)]]-Diario_Documentos_TPL[[#This Row],[Total Pasivo
(MX)]]</f>
        <v>1713817.8991249949</v>
      </c>
      <c r="AS11" s="1980"/>
      <c r="AT11" s="1980"/>
      <c r="AU11" s="1980"/>
      <c r="AV11" s="1980"/>
    </row>
    <row r="12" spans="1:48" ht="14.25" hidden="1" customHeight="1" x14ac:dyDescent="0.25">
      <c r="A12" s="1969" t="s">
        <v>598</v>
      </c>
      <c r="B12" s="1969">
        <v>4326979</v>
      </c>
      <c r="C12" s="1969">
        <v>800642440</v>
      </c>
      <c r="D12" s="1969"/>
      <c r="E12" s="1969" t="s">
        <v>632</v>
      </c>
      <c r="F12" s="1969" t="s">
        <v>599</v>
      </c>
      <c r="G12" s="1969" t="s">
        <v>628</v>
      </c>
      <c r="H12" s="1969" t="str">
        <f>VLOOKUP(Diario_Documentos_TPL[[#This Row],[Centro Gestor]],Catalogo_Centro_Gestor[],2,FALSE)</f>
        <v>Gasoducto Corredor Chihuahua</v>
      </c>
      <c r="I12" s="1969">
        <v>2502</v>
      </c>
      <c r="J12" s="1972">
        <f>IF(YEAR(Diario_Documentos_TPL[[#This Row],[Fecha de Pago]])=1900, "SIN PAGO",YEAR(Diario_Documentos_TPL[[#This Row],[Fecha de Pago]]))</f>
        <v>2015</v>
      </c>
      <c r="K12" s="1973">
        <v>2015</v>
      </c>
      <c r="L12" s="1972">
        <f>IF(MONTH(Diario_Documentos_TPL[[#This Row],[Fecha de Pago]])=0, "SIN PAGO",MONTH(Diario_Documentos_TPL[[#This Row],[Fecha de Pago]]))</f>
        <v>3</v>
      </c>
      <c r="M12" s="1971">
        <v>2</v>
      </c>
      <c r="N12" s="1971" t="str">
        <f>VLOOKUP(Diario_Documentos_TPL[[#This Row],[Periodo del Servicio]],'Tablas (2)'!$L$3:$M$14,2,FALSE)</f>
        <v>FEBRERO</v>
      </c>
      <c r="O12" s="1985" t="s">
        <v>672</v>
      </c>
      <c r="P12" s="1971" t="s">
        <v>483</v>
      </c>
      <c r="Q12" s="1971" t="s">
        <v>165</v>
      </c>
      <c r="R12" s="1969">
        <v>2233</v>
      </c>
      <c r="S12" s="1969">
        <v>453882</v>
      </c>
      <c r="T12" s="1969" t="s">
        <v>627</v>
      </c>
      <c r="U12" s="1969">
        <v>2277</v>
      </c>
      <c r="V12" s="1969">
        <v>180001302</v>
      </c>
      <c r="W12" s="1970">
        <v>42067</v>
      </c>
      <c r="X12" s="1966">
        <f>Diario_Documentos_TPL[[#This Row],[Total Pasivo
(USD)]]/1.16</f>
        <v>4629789.4137931038</v>
      </c>
      <c r="Y12" s="1966">
        <f>Diario_Documentos_TPL[[#This Row],[Importe Pasivo
(USD)]]*0.16</f>
        <v>740766.30620689667</v>
      </c>
      <c r="Z12" s="1966">
        <v>5370555.7199999997</v>
      </c>
      <c r="AA12" s="1966">
        <f>Diario_Documentos_TPL[[#This Row],[Total Pasivo
(MX)]]/1.16</f>
        <v>69382950.103448287</v>
      </c>
      <c r="AB12" s="1966">
        <f>Diario_Documentos_TPL[[#This Row],[Importe Pasivo
(MX)]]*0.16</f>
        <v>11101272.016551726</v>
      </c>
      <c r="AC12" s="1966">
        <v>80484222.120000005</v>
      </c>
      <c r="AD12" s="1965">
        <f>IFERROR(Diario_Documentos_TPL[[#This Row],[Total Pasivo
(MX)]]/Diario_Documentos_TPL[[#This Row],[Total Pasivo
(USD)]],0)</f>
        <v>14.986199997939879</v>
      </c>
      <c r="AE12" s="1969">
        <v>140007295</v>
      </c>
      <c r="AF12" s="1968">
        <v>42086</v>
      </c>
      <c r="AG12" s="1967">
        <f>Diario_Documentos_TPL[[#This Row],[Total de Pago
(USD)]]/1.16</f>
        <v>4629789.4137931038</v>
      </c>
      <c r="AH12" s="1966">
        <f>Diario_Documentos_TPL[[#This Row],[Importe de Pago
(USD)]]*0.16</f>
        <v>740766.30620689667</v>
      </c>
      <c r="AI12" s="1966">
        <f>Diario_Documentos_TPL[[#This Row],[Total Pasivo
(USD)]]</f>
        <v>5370555.7199999997</v>
      </c>
      <c r="AJ12" s="1966">
        <f>Diario_Documentos_TPL[[#This Row],[Total de Pago
(MX)]]/1.16</f>
        <v>70817258.873379305</v>
      </c>
      <c r="AK12" s="1966">
        <f>Diario_Documentos_TPL[[#This Row],[Importe de Pago
(MX)]]*0.16</f>
        <v>11330761.41974069</v>
      </c>
      <c r="AL12" s="1966">
        <f>Diario_Documentos_TPL[[#This Row],[Total de Pago
(USD)]]*Diario_Documentos_TPL[[#This Row],[T.C Pago]]</f>
        <v>82148020.293119997</v>
      </c>
      <c r="AM12" s="2017">
        <v>15.295999999999999</v>
      </c>
      <c r="AN12" s="1965"/>
      <c r="AO12" s="1965"/>
      <c r="AP12" s="1965">
        <f>Diario_Documentos_TPL[[#This Row],[Importe de Pago
(MX)]]-Diario_Documentos_TPL[[#This Row],[Importe Pasivo
(MX)]]</f>
        <v>1434308.7699310184</v>
      </c>
      <c r="AQ12" s="1965">
        <f>Diario_Documentos_TPL[[#This Row],[Total_Paridad]]-Diario_Documentos_TPL[[#This Row],[Subtotal_Paridad]]</f>
        <v>229489.40318897367</v>
      </c>
      <c r="AR12" s="1964">
        <f>Diario_Documentos_TPL[[#This Row],[Total de Pago
(MX)]]-Diario_Documentos_TPL[[#This Row],[Total Pasivo
(MX)]]</f>
        <v>1663798.173119992</v>
      </c>
      <c r="AS12" s="1980"/>
      <c r="AT12" s="1980"/>
      <c r="AU12" s="1980"/>
      <c r="AV12" s="1980"/>
    </row>
    <row r="13" spans="1:48" ht="14.25" hidden="1" customHeight="1" x14ac:dyDescent="0.25">
      <c r="A13" s="1969" t="s">
        <v>598</v>
      </c>
      <c r="B13" s="1969">
        <v>4326979</v>
      </c>
      <c r="C13" s="1969">
        <v>800642440</v>
      </c>
      <c r="D13" s="1969"/>
      <c r="E13" s="1969" t="s">
        <v>632</v>
      </c>
      <c r="F13" s="1969" t="s">
        <v>599</v>
      </c>
      <c r="G13" s="1969" t="s">
        <v>628</v>
      </c>
      <c r="H13" s="1969" t="str">
        <f>VLOOKUP(Diario_Documentos_TPL[[#This Row],[Centro Gestor]],Catalogo_Centro_Gestor[],2,FALSE)</f>
        <v>Gasoducto Corredor Chihuahua</v>
      </c>
      <c r="I13" s="1969">
        <v>2502</v>
      </c>
      <c r="J13" s="1972">
        <f>IF(YEAR(Diario_Documentos_TPL[[#This Row],[Fecha de Pago]])=1900, "SIN PAGO",YEAR(Diario_Documentos_TPL[[#This Row],[Fecha de Pago]]))</f>
        <v>2015</v>
      </c>
      <c r="K13" s="1973">
        <v>2015</v>
      </c>
      <c r="L13" s="1972">
        <f>IF(MONTH(Diario_Documentos_TPL[[#This Row],[Fecha de Pago]])=0, "SIN PAGO",MONTH(Diario_Documentos_TPL[[#This Row],[Fecha de Pago]]))</f>
        <v>8</v>
      </c>
      <c r="M13" s="1971">
        <v>7</v>
      </c>
      <c r="N13" s="1971" t="str">
        <f>VLOOKUP(Diario_Documentos_TPL[[#This Row],[Periodo del Servicio]],'Tablas (2)'!$L$3:$M$14,2,FALSE)</f>
        <v>JULIO</v>
      </c>
      <c r="O13" s="1985" t="s">
        <v>671</v>
      </c>
      <c r="P13" s="1971" t="s">
        <v>483</v>
      </c>
      <c r="Q13" s="1971" t="s">
        <v>165</v>
      </c>
      <c r="R13" s="1969">
        <v>7241</v>
      </c>
      <c r="S13" s="1969">
        <v>453882</v>
      </c>
      <c r="T13" s="1969" t="s">
        <v>627</v>
      </c>
      <c r="U13" s="1969">
        <v>2277</v>
      </c>
      <c r="V13" s="1969">
        <v>180005792</v>
      </c>
      <c r="W13" s="1970">
        <v>42230</v>
      </c>
      <c r="X13" s="1966">
        <f>Diario_Documentos_TPL[[#This Row],[Total Pasivo
(USD)]]/1.16</f>
        <v>405.96551724131513</v>
      </c>
      <c r="Y13" s="1966">
        <f>Diario_Documentos_TPL[[#This Row],[Importe Pasivo
(USD)]]*0.16</f>
        <v>64.954482758610425</v>
      </c>
      <c r="Z13" s="1966">
        <f>5371026.64-Z12</f>
        <v>470.91999999992549</v>
      </c>
      <c r="AA13" s="1966" t="e">
        <f>Diario_Documentos_TPL[[#This Row],[Total Pasivo
(MX)]]/1.16</f>
        <v>#REF!</v>
      </c>
      <c r="AB13" s="1966" t="e">
        <f>Diario_Documentos_TPL[[#This Row],[Importe Pasivo
(MX)]]*0.16</f>
        <v>#REF!</v>
      </c>
      <c r="AC13" s="1966" t="e">
        <f>16.1129*Diario_Documentos!#REF!</f>
        <v>#REF!</v>
      </c>
      <c r="AD13" s="1965">
        <f>IFERROR(Diario_Documentos_TPL[[#This Row],[Total Pasivo
(MX)]]/Diario_Documentos_TPL[[#This Row],[Total Pasivo
(USD)]],0)</f>
        <v>0</v>
      </c>
      <c r="AE13" s="1969">
        <v>140021883</v>
      </c>
      <c r="AF13" s="1968">
        <v>42240</v>
      </c>
      <c r="AG13" s="1967">
        <f>Diario_Documentos_TPL[[#This Row],[Total de Pago
(USD)]]/1.16</f>
        <v>405.96551724131513</v>
      </c>
      <c r="AH13" s="1966">
        <f>Diario_Documentos_TPL[[#This Row],[Importe de Pago
(USD)]]*0.16</f>
        <v>64.954482758610425</v>
      </c>
      <c r="AI13" s="1966">
        <f>Diario_Documentos_TPL[[#This Row],[Total Pasivo
(USD)]]</f>
        <v>470.91999999992549</v>
      </c>
      <c r="AJ13" s="1966">
        <f>Diario_Documentos_TPL[[#This Row],[Total de Pago
(MX)]]/1.16</f>
        <v>6787.0127103437544</v>
      </c>
      <c r="AK13" s="1966">
        <f>Diario_Documentos_TPL[[#This Row],[Importe de Pago
(MX)]]*0.16</f>
        <v>1085.9220336550006</v>
      </c>
      <c r="AL13" s="1966">
        <f>Diario_Documentos_TPL[[#This Row],[Total de Pago
(USD)]]*Diario_Documentos_TPL[[#This Row],[T.C Pago]]</f>
        <v>7872.9347439987541</v>
      </c>
      <c r="AM13" s="2017">
        <v>16.7182</v>
      </c>
      <c r="AN13" s="1965"/>
      <c r="AO13" s="1965"/>
      <c r="AP13" s="1965" t="e">
        <f>Diario_Documentos_TPL[[#This Row],[Importe de Pago
(MX)]]-Diario_Documentos_TPL[[#This Row],[Importe Pasivo
(MX)]]</f>
        <v>#REF!</v>
      </c>
      <c r="AQ13" s="1965" t="e">
        <f>Diario_Documentos_TPL[[#This Row],[Total_Paridad]]-Diario_Documentos_TPL[[#This Row],[Subtotal_Paridad]]</f>
        <v>#REF!</v>
      </c>
      <c r="AR13" s="1964" t="e">
        <f>Diario_Documentos_TPL[[#This Row],[Total de Pago
(MX)]]-Diario_Documentos_TPL[[#This Row],[Total Pasivo
(MX)]]</f>
        <v>#REF!</v>
      </c>
      <c r="AS13" s="1980"/>
      <c r="AT13" s="1980"/>
      <c r="AU13" s="1980"/>
      <c r="AV13" s="1980"/>
    </row>
    <row r="14" spans="1:48" ht="14.25" hidden="1" customHeight="1" x14ac:dyDescent="0.25">
      <c r="A14" s="1969" t="s">
        <v>598</v>
      </c>
      <c r="B14" s="1969">
        <v>4326979</v>
      </c>
      <c r="C14" s="1969">
        <v>800642440</v>
      </c>
      <c r="D14" s="1969"/>
      <c r="E14" s="1969" t="s">
        <v>632</v>
      </c>
      <c r="F14" s="1969" t="s">
        <v>599</v>
      </c>
      <c r="G14" s="1969" t="s">
        <v>628</v>
      </c>
      <c r="H14" s="1969" t="str">
        <f>VLOOKUP(Diario_Documentos_TPL[[#This Row],[Centro Gestor]],Catalogo_Centro_Gestor[],2,FALSE)</f>
        <v>Gasoducto Corredor Chihuahua</v>
      </c>
      <c r="I14" s="1969">
        <v>2502</v>
      </c>
      <c r="J14" s="1972">
        <f>IF(YEAR(Diario_Documentos_TPL[[#This Row],[Fecha de Pago]])=1900, "SIN PAGO",YEAR(Diario_Documentos_TPL[[#This Row],[Fecha de Pago]]))</f>
        <v>2015</v>
      </c>
      <c r="K14" s="1973">
        <v>2015</v>
      </c>
      <c r="L14" s="1972">
        <f>IF(MONTH(Diario_Documentos_TPL[[#This Row],[Fecha de Pago]])=0, "SIN PAGO",MONTH(Diario_Documentos_TPL[[#This Row],[Fecha de Pago]]))</f>
        <v>8</v>
      </c>
      <c r="M14" s="1971">
        <v>7</v>
      </c>
      <c r="N14" s="1971" t="str">
        <f>VLOOKUP(Diario_Documentos_TPL[[#This Row],[Periodo del Servicio]],'Tablas (2)'!$L$3:$M$14,2,FALSE)</f>
        <v>JULIO</v>
      </c>
      <c r="O14" s="1985" t="s">
        <v>671</v>
      </c>
      <c r="P14" s="1971" t="s">
        <v>483</v>
      </c>
      <c r="Q14" s="1971" t="s">
        <v>165</v>
      </c>
      <c r="R14" s="1969">
        <v>2233</v>
      </c>
      <c r="S14" s="1969">
        <v>453882</v>
      </c>
      <c r="T14" s="1969" t="s">
        <v>627</v>
      </c>
      <c r="U14" s="1969">
        <v>2277</v>
      </c>
      <c r="V14" s="1969">
        <v>180005792</v>
      </c>
      <c r="W14" s="1970">
        <v>42230</v>
      </c>
      <c r="X14" s="1966">
        <f>Diario_Documentos_TPL[[#This Row],[Total Pasivo
(USD)]]/1.16</f>
        <v>4095407.8</v>
      </c>
      <c r="Y14" s="1966">
        <f>Diario_Documentos_TPL[[#This Row],[Importe Pasivo
(USD)]]*0.16</f>
        <v>655265.24800000002</v>
      </c>
      <c r="Z14" s="1966">
        <f>(4016218.17+1987.73+77201.9)*1.16</f>
        <v>4750673.0479999995</v>
      </c>
      <c r="AA14" s="1966" t="e">
        <f>Diario_Documentos_TPL[[#This Row],[Total Pasivo
(MX)]]/1.16</f>
        <v>#REF!</v>
      </c>
      <c r="AB14" s="1966" t="e">
        <f>Diario_Documentos_TPL[[#This Row],[Importe Pasivo
(MX)]]*0.16</f>
        <v>#REF!</v>
      </c>
      <c r="AC14" s="1966" t="e">
        <f>16.1129*Diario_Documentos!#REF!</f>
        <v>#REF!</v>
      </c>
      <c r="AD14" s="1965">
        <f>IFERROR(Diario_Documentos_TPL[[#This Row],[Total Pasivo
(MX)]]/Diario_Documentos_TPL[[#This Row],[Total Pasivo
(USD)]],0)</f>
        <v>0</v>
      </c>
      <c r="AE14" s="1969">
        <v>140021883</v>
      </c>
      <c r="AF14" s="1968">
        <v>42240</v>
      </c>
      <c r="AG14" s="1967">
        <f>Diario_Documentos_TPL[[#This Row],[Total de Pago
(USD)]]/1.16</f>
        <v>4095407.8</v>
      </c>
      <c r="AH14" s="1966">
        <f>Diario_Documentos_TPL[[#This Row],[Importe de Pago
(USD)]]*0.16</f>
        <v>655265.24800000002</v>
      </c>
      <c r="AI14" s="1966">
        <f>Diario_Documentos_TPL[[#This Row],[Total Pasivo
(USD)]]</f>
        <v>4750673.0479999995</v>
      </c>
      <c r="AJ14" s="1966">
        <f>Diario_Documentos_TPL[[#This Row],[Total de Pago
(MX)]]/1.16</f>
        <v>68467846.681960002</v>
      </c>
      <c r="AK14" s="1966">
        <f>Diario_Documentos_TPL[[#This Row],[Importe de Pago
(MX)]]*0.16</f>
        <v>10954855.469113601</v>
      </c>
      <c r="AL14" s="1966">
        <f>Diario_Documentos_TPL[[#This Row],[Total de Pago
(USD)]]*Diario_Documentos_TPL[[#This Row],[T.C Pago]]</f>
        <v>79422702.15107359</v>
      </c>
      <c r="AM14" s="2017">
        <v>16.7182</v>
      </c>
      <c r="AN14" s="1965"/>
      <c r="AO14" s="1965"/>
      <c r="AP14" s="1965" t="e">
        <f>Diario_Documentos_TPL[[#This Row],[Importe de Pago
(MX)]]-Diario_Documentos_TPL[[#This Row],[Importe Pasivo
(MX)]]</f>
        <v>#REF!</v>
      </c>
      <c r="AQ14" s="1965" t="e">
        <f>Diario_Documentos_TPL[[#This Row],[Total_Paridad]]-Diario_Documentos_TPL[[#This Row],[Subtotal_Paridad]]</f>
        <v>#REF!</v>
      </c>
      <c r="AR14" s="1964" t="e">
        <f>Diario_Documentos_TPL[[#This Row],[Total de Pago
(MX)]]-Diario_Documentos_TPL[[#This Row],[Total Pasivo
(MX)]]</f>
        <v>#REF!</v>
      </c>
      <c r="AS14" s="1980"/>
      <c r="AT14" s="1980"/>
      <c r="AU14" s="1980"/>
      <c r="AV14" s="1980"/>
    </row>
    <row r="15" spans="1:48" ht="14.25" hidden="1" customHeight="1" x14ac:dyDescent="0.25">
      <c r="A15" s="1969" t="s">
        <v>598</v>
      </c>
      <c r="B15" s="1969">
        <v>4326979</v>
      </c>
      <c r="C15" s="1969">
        <v>800642440</v>
      </c>
      <c r="D15" s="1969"/>
      <c r="E15" s="1969" t="s">
        <v>632</v>
      </c>
      <c r="F15" s="1969" t="s">
        <v>599</v>
      </c>
      <c r="G15" s="1969" t="s">
        <v>628</v>
      </c>
      <c r="H15" s="1969" t="str">
        <f>VLOOKUP(Diario_Documentos_TPL[[#This Row],[Centro Gestor]],Catalogo_Centro_Gestor[],2,FALSE)</f>
        <v>Gasoducto Corredor Chihuahua</v>
      </c>
      <c r="I15" s="1969">
        <v>2502</v>
      </c>
      <c r="J15" s="1972">
        <f>IF(YEAR(Diario_Documentos_TPL[[#This Row],[Fecha de Pago]])=1900, "SIN PAGO",YEAR(Diario_Documentos_TPL[[#This Row],[Fecha de Pago]]))</f>
        <v>2015</v>
      </c>
      <c r="K15" s="1973">
        <v>2015</v>
      </c>
      <c r="L15" s="1972">
        <f>IF(MONTH(Diario_Documentos_TPL[[#This Row],[Fecha de Pago]])=0, "SIN PAGO",MONTH(Diario_Documentos_TPL[[#This Row],[Fecha de Pago]]))</f>
        <v>7</v>
      </c>
      <c r="M15" s="1971">
        <v>6</v>
      </c>
      <c r="N15" s="1971" t="str">
        <f>VLOOKUP(Diario_Documentos_TPL[[#This Row],[Periodo del Servicio]],'Tablas (2)'!$L$3:$M$14,2,FALSE)</f>
        <v>JUNIO</v>
      </c>
      <c r="O15" s="1985" t="s">
        <v>670</v>
      </c>
      <c r="P15" s="1971" t="s">
        <v>483</v>
      </c>
      <c r="Q15" s="1971" t="s">
        <v>165</v>
      </c>
      <c r="R15" s="1969">
        <v>7241</v>
      </c>
      <c r="S15" s="1969">
        <v>453882</v>
      </c>
      <c r="T15" s="1969" t="s">
        <v>627</v>
      </c>
      <c r="U15" s="1969">
        <v>2277</v>
      </c>
      <c r="V15" s="1969">
        <v>180004848</v>
      </c>
      <c r="W15" s="1987">
        <v>42193</v>
      </c>
      <c r="X15" s="1966">
        <f>Diario_Documentos_TPL[[#This Row],[Total Pasivo
(USD)]]/1.16</f>
        <v>534731.26034482766</v>
      </c>
      <c r="Y15" s="1966">
        <f>Diario_Documentos_TPL[[#This Row],[Importe Pasivo
(USD)]]*0.16</f>
        <v>85557.001655172426</v>
      </c>
      <c r="Z15" s="1966">
        <f>5370961.31-Z14</f>
        <v>620288.2620000001</v>
      </c>
      <c r="AA15" s="1966" t="e">
        <f>Diario_Documentos_TPL[[#This Row],[Total Pasivo
(MX)]]/1.16</f>
        <v>#REF!</v>
      </c>
      <c r="AB15" s="1966" t="e">
        <f>Diario_Documentos_TPL[[#This Row],[Importe Pasivo
(MX)]]*0.16</f>
        <v>#REF!</v>
      </c>
      <c r="AC15" s="1966" t="e">
        <f>15.753*Diario_Documentos!#REF!</f>
        <v>#REF!</v>
      </c>
      <c r="AD15" s="1965">
        <f>IFERROR(Diario_Documentos_TPL[[#This Row],[Total Pasivo
(MX)]]/Diario_Documentos_TPL[[#This Row],[Total Pasivo
(USD)]],0)</f>
        <v>0</v>
      </c>
      <c r="AE15" s="1969">
        <v>140018903</v>
      </c>
      <c r="AF15" s="1968">
        <v>42208</v>
      </c>
      <c r="AG15" s="1967">
        <f>Diario_Documentos_TPL[[#This Row],[Total de Pago
(USD)]]/1.16</f>
        <v>534731.26034482766</v>
      </c>
      <c r="AH15" s="1966">
        <f>Diario_Documentos_TPL[[#This Row],[Importe de Pago
(USD)]]*0.16</f>
        <v>85557.001655172426</v>
      </c>
      <c r="AI15" s="1966">
        <f>Diario_Documentos_TPL[[#This Row],[Total Pasivo
(USD)]]</f>
        <v>620288.2620000001</v>
      </c>
      <c r="AJ15" s="1966">
        <f>Diario_Documentos_TPL[[#This Row],[Total de Pago
(MX)]]/1.16</f>
        <v>8541155.4752358645</v>
      </c>
      <c r="AK15" s="1966">
        <f>Diario_Documentos_TPL[[#This Row],[Importe de Pago
(MX)]]*0.16</f>
        <v>1366584.8760377383</v>
      </c>
      <c r="AL15" s="1966">
        <f>Diario_Documentos_TPL[[#This Row],[Total de Pago
(USD)]]*Diario_Documentos_TPL[[#This Row],[T.C Pago]]</f>
        <v>9907740.3512736019</v>
      </c>
      <c r="AM15" s="2017">
        <v>15.972799999999999</v>
      </c>
      <c r="AN15" s="1965"/>
      <c r="AO15" s="1965"/>
      <c r="AP15" s="1965" t="e">
        <f>Diario_Documentos_TPL[[#This Row],[Importe de Pago
(MX)]]-Diario_Documentos_TPL[[#This Row],[Importe Pasivo
(MX)]]</f>
        <v>#REF!</v>
      </c>
      <c r="AQ15" s="1965" t="e">
        <f>Diario_Documentos_TPL[[#This Row],[Total_Paridad]]-Diario_Documentos_TPL[[#This Row],[Subtotal_Paridad]]</f>
        <v>#REF!</v>
      </c>
      <c r="AR15" s="1964" t="e">
        <f>Diario_Documentos_TPL[[#This Row],[Total de Pago
(MX)]]-Diario_Documentos_TPL[[#This Row],[Total Pasivo
(MX)]]</f>
        <v>#REF!</v>
      </c>
      <c r="AS15" s="1980"/>
      <c r="AT15" s="1980"/>
      <c r="AU15" s="1980"/>
      <c r="AV15" s="1980"/>
    </row>
    <row r="16" spans="1:48" ht="14.25" hidden="1" customHeight="1" x14ac:dyDescent="0.25">
      <c r="A16" s="1969" t="s">
        <v>598</v>
      </c>
      <c r="B16" s="1969">
        <v>4326979</v>
      </c>
      <c r="C16" s="1969">
        <v>800642440</v>
      </c>
      <c r="D16" s="1969"/>
      <c r="E16" s="1969" t="s">
        <v>632</v>
      </c>
      <c r="F16" s="1969" t="s">
        <v>599</v>
      </c>
      <c r="G16" s="1969" t="s">
        <v>628</v>
      </c>
      <c r="H16" s="1969" t="str">
        <f>VLOOKUP(Diario_Documentos_TPL[[#This Row],[Centro Gestor]],Catalogo_Centro_Gestor[],2,FALSE)</f>
        <v>Gasoducto Corredor Chihuahua</v>
      </c>
      <c r="I16" s="1969">
        <v>2502</v>
      </c>
      <c r="J16" s="1972">
        <f>IF(YEAR(Diario_Documentos_TPL[[#This Row],[Fecha de Pago]])=1900, "SIN PAGO",YEAR(Diario_Documentos_TPL[[#This Row],[Fecha de Pago]]))</f>
        <v>2015</v>
      </c>
      <c r="K16" s="1973">
        <v>2015</v>
      </c>
      <c r="L16" s="1972">
        <f>IF(MONTH(Diario_Documentos_TPL[[#This Row],[Fecha de Pago]])=0, "SIN PAGO",MONTH(Diario_Documentos_TPL[[#This Row],[Fecha de Pago]]))</f>
        <v>7</v>
      </c>
      <c r="M16" s="1971">
        <v>6</v>
      </c>
      <c r="N16" s="1971" t="str">
        <f>VLOOKUP(Diario_Documentos_TPL[[#This Row],[Periodo del Servicio]],'Tablas (2)'!$L$3:$M$14,2,FALSE)</f>
        <v>JUNIO</v>
      </c>
      <c r="O16" s="1985" t="s">
        <v>670</v>
      </c>
      <c r="P16" s="1971" t="s">
        <v>483</v>
      </c>
      <c r="Q16" s="1971" t="s">
        <v>165</v>
      </c>
      <c r="R16" s="1969">
        <v>2233</v>
      </c>
      <c r="S16" s="1969">
        <v>453882</v>
      </c>
      <c r="T16" s="1969" t="s">
        <v>627</v>
      </c>
      <c r="U16" s="1969">
        <v>2277</v>
      </c>
      <c r="V16" s="1969">
        <v>180004848</v>
      </c>
      <c r="W16" s="1987">
        <v>42193</v>
      </c>
      <c r="X16" s="1966">
        <f>Diario_Documentos_TPL[[#This Row],[Total Pasivo
(USD)]]/1.16</f>
        <v>4095357.9899999998</v>
      </c>
      <c r="Y16" s="1966">
        <f>Diario_Documentos_TPL[[#This Row],[Importe Pasivo
(USD)]]*0.16</f>
        <v>655257.27839999995</v>
      </c>
      <c r="Z16" s="1966">
        <f>(4016218.17+1937.92+77201.9)*1.16</f>
        <v>4750615.2683999995</v>
      </c>
      <c r="AA16" s="1966" t="e">
        <f>Diario_Documentos_TPL[[#This Row],[Total Pasivo
(MX)]]/1.16</f>
        <v>#REF!</v>
      </c>
      <c r="AB16" s="1966" t="e">
        <f>Diario_Documentos_TPL[[#This Row],[Importe Pasivo
(MX)]]*0.16</f>
        <v>#REF!</v>
      </c>
      <c r="AC16" s="1966" t="e">
        <f>15.753*Diario_Documentos!#REF!</f>
        <v>#REF!</v>
      </c>
      <c r="AD16" s="1965">
        <f>IFERROR(Diario_Documentos_TPL[[#This Row],[Total Pasivo
(MX)]]/Diario_Documentos_TPL[[#This Row],[Total Pasivo
(USD)]],0)</f>
        <v>0</v>
      </c>
      <c r="AE16" s="1969">
        <v>140018903</v>
      </c>
      <c r="AF16" s="1968">
        <v>42208</v>
      </c>
      <c r="AG16" s="1967">
        <f>Diario_Documentos_TPL[[#This Row],[Total de Pago
(USD)]]/1.16</f>
        <v>4095357.9899999998</v>
      </c>
      <c r="AH16" s="1966">
        <f>Diario_Documentos_TPL[[#This Row],[Importe de Pago
(USD)]]*0.16</f>
        <v>655257.27839999995</v>
      </c>
      <c r="AI16" s="1966">
        <f>Diario_Documentos_TPL[[#This Row],[Total Pasivo
(USD)]]</f>
        <v>4750615.2683999995</v>
      </c>
      <c r="AJ16" s="1966">
        <f>Diario_Documentos_TPL[[#This Row],[Total de Pago
(MX)]]/1.16</f>
        <v>65414334.102671996</v>
      </c>
      <c r="AK16" s="1966">
        <f>Diario_Documentos_TPL[[#This Row],[Importe de Pago
(MX)]]*0.16</f>
        <v>10466293.45642752</v>
      </c>
      <c r="AL16" s="1966">
        <f>Diario_Documentos_TPL[[#This Row],[Total de Pago
(USD)]]*Diario_Documentos_TPL[[#This Row],[T.C Pago]]</f>
        <v>75880627.55909951</v>
      </c>
      <c r="AM16" s="2017">
        <v>15.972799999999999</v>
      </c>
      <c r="AN16" s="1965"/>
      <c r="AO16" s="1965"/>
      <c r="AP16" s="1965" t="e">
        <f>Diario_Documentos_TPL[[#This Row],[Importe de Pago
(MX)]]-Diario_Documentos_TPL[[#This Row],[Importe Pasivo
(MX)]]</f>
        <v>#REF!</v>
      </c>
      <c r="AQ16" s="1965" t="e">
        <f>Diario_Documentos_TPL[[#This Row],[Total_Paridad]]-Diario_Documentos_TPL[[#This Row],[Subtotal_Paridad]]</f>
        <v>#REF!</v>
      </c>
      <c r="AR16" s="1964" t="e">
        <f>Diario_Documentos_TPL[[#This Row],[Total de Pago
(MX)]]-Diario_Documentos_TPL[[#This Row],[Total Pasivo
(MX)]]</f>
        <v>#REF!</v>
      </c>
      <c r="AS16" s="1980"/>
      <c r="AT16" s="1980"/>
      <c r="AU16" s="1980"/>
      <c r="AV16" s="1980"/>
    </row>
    <row r="17" spans="1:48" ht="14.25" hidden="1" customHeight="1" x14ac:dyDescent="0.25">
      <c r="A17" s="1969" t="s">
        <v>598</v>
      </c>
      <c r="B17" s="1969">
        <v>4326979</v>
      </c>
      <c r="C17" s="1969">
        <v>800642440</v>
      </c>
      <c r="D17" s="1969"/>
      <c r="E17" s="1969" t="s">
        <v>632</v>
      </c>
      <c r="F17" s="1969" t="s">
        <v>599</v>
      </c>
      <c r="G17" s="1969" t="s">
        <v>628</v>
      </c>
      <c r="H17" s="1969" t="str">
        <f>VLOOKUP(Diario_Documentos_TPL[[#This Row],[Centro Gestor]],Catalogo_Centro_Gestor[],2,FALSE)</f>
        <v>Gasoducto Corredor Chihuahua</v>
      </c>
      <c r="I17" s="1969">
        <v>2502</v>
      </c>
      <c r="J17" s="1972">
        <f>IF(YEAR(Diario_Documentos_TPL[[#This Row],[Fecha de Pago]])=1900, "SIN PAGO",YEAR(Diario_Documentos_TPL[[#This Row],[Fecha de Pago]]))</f>
        <v>2015</v>
      </c>
      <c r="K17" s="1973">
        <v>2015</v>
      </c>
      <c r="L17" s="1972">
        <f>IF(MONTH(Diario_Documentos_TPL[[#This Row],[Fecha de Pago]])=0, "SIN PAGO",MONTH(Diario_Documentos_TPL[[#This Row],[Fecha de Pago]]))</f>
        <v>4</v>
      </c>
      <c r="M17" s="1971">
        <v>3</v>
      </c>
      <c r="N17" s="1971" t="str">
        <f>VLOOKUP(Diario_Documentos_TPL[[#This Row],[Periodo del Servicio]],'Tablas (2)'!$L$3:$M$14,2,FALSE)</f>
        <v>MARZO</v>
      </c>
      <c r="O17" s="1985" t="s">
        <v>669</v>
      </c>
      <c r="P17" s="1971" t="s">
        <v>483</v>
      </c>
      <c r="Q17" s="1971" t="s">
        <v>165</v>
      </c>
      <c r="R17" s="1969">
        <v>2233</v>
      </c>
      <c r="S17" s="1969">
        <v>453882</v>
      </c>
      <c r="T17" s="1969" t="s">
        <v>627</v>
      </c>
      <c r="U17" s="1969">
        <v>2277</v>
      </c>
      <c r="V17" s="1969">
        <v>180002400</v>
      </c>
      <c r="W17" s="1987">
        <v>42109</v>
      </c>
      <c r="X17" s="1966">
        <f>Diario_Documentos_TPL[[#This Row],[Total Pasivo
(USD)]]/1.16</f>
        <v>4629518.6724137934</v>
      </c>
      <c r="Y17" s="1966">
        <f>Diario_Documentos_TPL[[#This Row],[Importe Pasivo
(USD)]]*0.16</f>
        <v>740722.98758620699</v>
      </c>
      <c r="Z17" s="1966">
        <v>5370241.6600000001</v>
      </c>
      <c r="AA17" s="1966">
        <f>Diario_Documentos_TPL[[#This Row],[Total Pasivo
(MX)]]/1.16</f>
        <v>70807099.241379321</v>
      </c>
      <c r="AB17" s="1966">
        <f>Diario_Documentos_TPL[[#This Row],[Importe Pasivo
(MX)]]*0.16</f>
        <v>11329135.878620692</v>
      </c>
      <c r="AC17" s="1966">
        <v>82136235.120000005</v>
      </c>
      <c r="AD17" s="1965">
        <f>IFERROR(Diario_Documentos_TPL[[#This Row],[Total Pasivo
(MX)]]/Diario_Documentos_TPL[[#This Row],[Total Pasivo
(USD)]],0)</f>
        <v>15.29470000052102</v>
      </c>
      <c r="AE17" s="1969">
        <v>140010351</v>
      </c>
      <c r="AF17" s="1986">
        <v>42118</v>
      </c>
      <c r="AG17" s="1967">
        <f>Diario_Documentos_TPL[[#This Row],[Total de Pago
(USD)]]/1.16</f>
        <v>4629518.6724137934</v>
      </c>
      <c r="AH17" s="1966">
        <f>Diario_Documentos_TPL[[#This Row],[Importe de Pago
(USD)]]*0.16</f>
        <v>740722.98758620699</v>
      </c>
      <c r="AI17" s="1966">
        <f>Diario_Documentos_TPL[[#This Row],[Total Pasivo
(USD)]]</f>
        <v>5370241.6600000001</v>
      </c>
      <c r="AJ17" s="1966">
        <f>Diario_Documentos_TPL[[#This Row],[Total de Pago
(MX)]]/1.16</f>
        <v>71534396.622403458</v>
      </c>
      <c r="AK17" s="1966">
        <f>Diario_Documentos_TPL[[#This Row],[Importe de Pago
(MX)]]*0.16</f>
        <v>11445503.459584553</v>
      </c>
      <c r="AL17" s="1966">
        <f>Diario_Documentos_TPL[[#This Row],[Total de Pago
(USD)]]*Diario_Documentos_TPL[[#This Row],[T.C Pago]]</f>
        <v>82979900.081988007</v>
      </c>
      <c r="AM17" s="2017">
        <v>15.4518</v>
      </c>
      <c r="AN17" s="1965"/>
      <c r="AO17" s="1965"/>
      <c r="AP17" s="1965">
        <f>Diario_Documentos_TPL[[#This Row],[Importe de Pago
(MX)]]-Diario_Documentos_TPL[[#This Row],[Importe Pasivo
(MX)]]</f>
        <v>727297.38102413714</v>
      </c>
      <c r="AQ17" s="1965">
        <f>Diario_Documentos_TPL[[#This Row],[Total_Paridad]]-Diario_Documentos_TPL[[#This Row],[Subtotal_Paridad]]</f>
        <v>116367.58096386492</v>
      </c>
      <c r="AR17" s="1964">
        <f>Diario_Documentos_TPL[[#This Row],[Total de Pago
(MX)]]-Diario_Documentos_TPL[[#This Row],[Total Pasivo
(MX)]]</f>
        <v>843664.96198800206</v>
      </c>
      <c r="AS17" s="1980"/>
      <c r="AT17" s="1980"/>
      <c r="AU17" s="1980"/>
      <c r="AV17" s="1980"/>
    </row>
    <row r="18" spans="1:48" ht="14.25" hidden="1" customHeight="1" x14ac:dyDescent="0.25">
      <c r="A18" s="1969" t="s">
        <v>598</v>
      </c>
      <c r="B18" s="1969">
        <v>4326979</v>
      </c>
      <c r="C18" s="1969">
        <v>800642440</v>
      </c>
      <c r="D18" s="1969"/>
      <c r="E18" s="1969" t="s">
        <v>632</v>
      </c>
      <c r="F18" s="1969" t="s">
        <v>599</v>
      </c>
      <c r="G18" s="1969" t="s">
        <v>628</v>
      </c>
      <c r="H18" s="1969" t="str">
        <f>VLOOKUP(Diario_Documentos_TPL[[#This Row],[Centro Gestor]],Catalogo_Centro_Gestor[],2,FALSE)</f>
        <v>Gasoducto Corredor Chihuahua</v>
      </c>
      <c r="I18" s="1969">
        <v>2502</v>
      </c>
      <c r="J18" s="1972">
        <f>IF(YEAR(Diario_Documentos_TPL[[#This Row],[Fecha de Pago]])=1900, "SIN PAGO",YEAR(Diario_Documentos_TPL[[#This Row],[Fecha de Pago]]))</f>
        <v>2015</v>
      </c>
      <c r="K18" s="1973">
        <v>2015</v>
      </c>
      <c r="L18" s="1972">
        <f>IF(MONTH(Diario_Documentos_TPL[[#This Row],[Fecha de Pago]])=0, "SIN PAGO",MONTH(Diario_Documentos_TPL[[#This Row],[Fecha de Pago]]))</f>
        <v>6</v>
      </c>
      <c r="M18" s="1971">
        <v>5</v>
      </c>
      <c r="N18" s="1971" t="str">
        <f>VLOOKUP(Diario_Documentos_TPL[[#This Row],[Periodo del Servicio]],'Tablas (2)'!$L$3:$M$14,2,FALSE)</f>
        <v>MAYO</v>
      </c>
      <c r="O18" s="1985" t="s">
        <v>668</v>
      </c>
      <c r="P18" s="1971" t="s">
        <v>483</v>
      </c>
      <c r="Q18" s="1971" t="s">
        <v>165</v>
      </c>
      <c r="R18" s="1969">
        <v>2233</v>
      </c>
      <c r="S18" s="1969">
        <v>453882</v>
      </c>
      <c r="T18" s="1969" t="s">
        <v>627</v>
      </c>
      <c r="U18" s="1969">
        <v>2277</v>
      </c>
      <c r="V18" s="1969">
        <v>180003992</v>
      </c>
      <c r="W18" s="1970">
        <v>42163</v>
      </c>
      <c r="X18" s="1966">
        <f>Diario_Documentos_TPL[[#This Row],[Total Pasivo
(USD)]]/1.16</f>
        <v>4630209.6465517245</v>
      </c>
      <c r="Y18" s="1966">
        <f>Diario_Documentos_TPL[[#This Row],[Importe Pasivo
(USD)]]*0.16</f>
        <v>740833.54344827589</v>
      </c>
      <c r="Z18" s="1966">
        <v>5371043.1900000004</v>
      </c>
      <c r="AA18" s="1966">
        <f>Diario_Documentos_TPL[[#This Row],[Total Pasivo
(MX)]]/1.16</f>
        <v>71928917.784482762</v>
      </c>
      <c r="AB18" s="1966">
        <f>Diario_Documentos_TPL[[#This Row],[Importe Pasivo
(MX)]]*0.16</f>
        <v>11508626.845517242</v>
      </c>
      <c r="AC18" s="1966">
        <v>83437544.629999995</v>
      </c>
      <c r="AD18" s="1965">
        <f>IFERROR(Diario_Documentos_TPL[[#This Row],[Total Pasivo
(MX)]]/Diario_Documentos_TPL[[#This Row],[Total Pasivo
(USD)]],0)</f>
        <v>15.534699997450586</v>
      </c>
      <c r="AE18" s="1969">
        <v>140016134</v>
      </c>
      <c r="AF18" s="1986">
        <v>42178</v>
      </c>
      <c r="AG18" s="1967">
        <f>Diario_Documentos_TPL[[#This Row],[Total de Pago
(USD)]]/1.16</f>
        <v>4630209.6465517245</v>
      </c>
      <c r="AH18" s="1966">
        <f>Diario_Documentos_TPL[[#This Row],[Importe de Pago
(USD)]]*0.16</f>
        <v>740833.54344827589</v>
      </c>
      <c r="AI18" s="1966">
        <f>Diario_Documentos_TPL[[#This Row],[Total Pasivo
(USD)]]</f>
        <v>5371043.1900000004</v>
      </c>
      <c r="AJ18" s="1966">
        <f>Diario_Documentos_TPL[[#This Row],[Total de Pago
(MX)]]/1.16</f>
        <v>70969075.336556911</v>
      </c>
      <c r="AK18" s="1966">
        <f>Diario_Documentos_TPL[[#This Row],[Importe de Pago
(MX)]]*0.16</f>
        <v>11355052.053849107</v>
      </c>
      <c r="AL18" s="1966">
        <f>Diario_Documentos_TPL[[#This Row],[Total de Pago
(USD)]]*Diario_Documentos_TPL[[#This Row],[T.C Pago]]</f>
        <v>82324127.390406013</v>
      </c>
      <c r="AM18" s="2017">
        <v>15.327400000000001</v>
      </c>
      <c r="AN18" s="1965"/>
      <c r="AO18" s="1965"/>
      <c r="AP18" s="1965">
        <f>Diario_Documentos_TPL[[#This Row],[Importe de Pago
(MX)]]-Diario_Documentos_TPL[[#This Row],[Importe Pasivo
(MX)]]</f>
        <v>-959842.44792585075</v>
      </c>
      <c r="AQ18" s="1965">
        <f>Diario_Documentos_TPL[[#This Row],[Total_Paridad]]-Diario_Documentos_TPL[[#This Row],[Subtotal_Paridad]]</f>
        <v>-153574.79166813195</v>
      </c>
      <c r="AR18" s="1964">
        <f>Diario_Documentos_TPL[[#This Row],[Total de Pago
(MX)]]-Diario_Documentos_TPL[[#This Row],[Total Pasivo
(MX)]]</f>
        <v>-1113417.2395939827</v>
      </c>
      <c r="AS18" s="1980"/>
      <c r="AT18" s="1980"/>
      <c r="AU18" s="1980"/>
      <c r="AV18" s="1980"/>
    </row>
    <row r="19" spans="1:48" ht="14.25" hidden="1" customHeight="1" x14ac:dyDescent="0.25">
      <c r="A19" s="1969" t="s">
        <v>598</v>
      </c>
      <c r="B19" s="1969">
        <v>4326979</v>
      </c>
      <c r="C19" s="1969">
        <v>800642440</v>
      </c>
      <c r="D19" s="1969"/>
      <c r="E19" s="1969" t="s">
        <v>632</v>
      </c>
      <c r="F19" s="1969" t="s">
        <v>599</v>
      </c>
      <c r="G19" s="1969" t="s">
        <v>628</v>
      </c>
      <c r="H19" s="1969" t="str">
        <f>VLOOKUP(Diario_Documentos_TPL[[#This Row],[Centro Gestor]],Catalogo_Centro_Gestor[],2,FALSE)</f>
        <v>Gasoducto Corredor Chihuahua</v>
      </c>
      <c r="I19" s="1969">
        <v>2502</v>
      </c>
      <c r="J19" s="1972">
        <f>IF(YEAR(Diario_Documentos_TPL[[#This Row],[Fecha de Pago]])=1900, "SIN PAGO",YEAR(Diario_Documentos_TPL[[#This Row],[Fecha de Pago]]))</f>
        <v>2015</v>
      </c>
      <c r="K19" s="1973">
        <v>2015</v>
      </c>
      <c r="L19" s="1972">
        <f>IF(MONTH(Diario_Documentos_TPL[[#This Row],[Fecha de Pago]])=0, "SIN PAGO",MONTH(Diario_Documentos_TPL[[#This Row],[Fecha de Pago]]))</f>
        <v>12</v>
      </c>
      <c r="M19" s="1971">
        <v>11</v>
      </c>
      <c r="N19" s="1971" t="str">
        <f>VLOOKUP(Diario_Documentos_TPL[[#This Row],[Periodo del Servicio]],'Tablas (2)'!$L$3:$M$14,2,FALSE)</f>
        <v>NOVIEMBRE</v>
      </c>
      <c r="O19" s="1985" t="s">
        <v>667</v>
      </c>
      <c r="P19" s="1971" t="s">
        <v>483</v>
      </c>
      <c r="Q19" s="1971" t="s">
        <v>165</v>
      </c>
      <c r="R19" s="1969">
        <v>7241</v>
      </c>
      <c r="S19" s="1969">
        <v>453882</v>
      </c>
      <c r="T19" s="1969" t="s">
        <v>627</v>
      </c>
      <c r="U19" s="1969">
        <v>2277</v>
      </c>
      <c r="V19" s="1969">
        <v>180008733</v>
      </c>
      <c r="W19" s="1970">
        <v>42353</v>
      </c>
      <c r="X19" s="1966">
        <f>Diario_Documentos_TPL[[#This Row],[Total Pasivo
(USD)]]/1.16</f>
        <v>534757.31000000006</v>
      </c>
      <c r="Y19" s="1966">
        <f>Diario_Documentos_TPL[[#This Row],[Importe Pasivo
(USD)]]*0.16</f>
        <v>85561.169600000008</v>
      </c>
      <c r="Z19" s="1966">
        <f>(524446.81+229.3+10081.2)*1.16</f>
        <v>620318.47960000008</v>
      </c>
      <c r="AA19" s="1966" t="e">
        <f>Diario_Documentos_TPL[[#This Row],[Total Pasivo
(MX)]]/1.16</f>
        <v>#REF!</v>
      </c>
      <c r="AB19" s="1966" t="e">
        <f>Diario_Documentos_TPL[[#This Row],[Importe Pasivo
(MX)]]*0.16</f>
        <v>#REF!</v>
      </c>
      <c r="AC19" s="1966" t="e">
        <f>17.075*Diario_Documentos!#REF!</f>
        <v>#REF!</v>
      </c>
      <c r="AD19" s="1965">
        <f>IFERROR(Diario_Documentos_TPL[[#This Row],[Total Pasivo
(MX)]]/Diario_Documentos_TPL[[#This Row],[Total Pasivo
(USD)]],0)</f>
        <v>0</v>
      </c>
      <c r="AE19" s="1969">
        <v>140032689</v>
      </c>
      <c r="AF19" s="1968">
        <v>42362</v>
      </c>
      <c r="AG19" s="1967">
        <f>Diario_Documentos_TPL[[#This Row],[Total de Pago
(USD)]]/1.16</f>
        <v>534757.31000000006</v>
      </c>
      <c r="AH19" s="1966">
        <f>Diario_Documentos_TPL[[#This Row],[Importe de Pago
(USD)]]*0.16</f>
        <v>85561.169600000008</v>
      </c>
      <c r="AI19" s="1966">
        <f>Diario_Documentos_TPL[[#This Row],[Total Pasivo
(USD)]]</f>
        <v>620318.47960000008</v>
      </c>
      <c r="AJ19" s="1966">
        <f>Diario_Documentos_TPL[[#This Row],[Total de Pago
(MX)]]/1.16</f>
        <v>9189643.9451570027</v>
      </c>
      <c r="AK19" s="1966">
        <f>Diario_Documentos_TPL[[#This Row],[Importe de Pago
(MX)]]*0.16</f>
        <v>1470343.0312251204</v>
      </c>
      <c r="AL19" s="1966">
        <f>Diario_Documentos_TPL[[#This Row],[Total de Pago
(USD)]]*Diario_Documentos_TPL[[#This Row],[T.C Pago]]</f>
        <v>10659986.976382121</v>
      </c>
      <c r="AM19" s="2017">
        <v>17.184699999999999</v>
      </c>
      <c r="AN19" s="1965"/>
      <c r="AO19" s="1965"/>
      <c r="AP19" s="1965" t="e">
        <f>Diario_Documentos_TPL[[#This Row],[Importe de Pago
(MX)]]-Diario_Documentos_TPL[[#This Row],[Importe Pasivo
(MX)]]</f>
        <v>#REF!</v>
      </c>
      <c r="AQ19" s="1965" t="e">
        <f>Diario_Documentos_TPL[[#This Row],[Total_Paridad]]-Diario_Documentos_TPL[[#This Row],[Subtotal_Paridad]]</f>
        <v>#REF!</v>
      </c>
      <c r="AR19" s="1964" t="e">
        <f>Diario_Documentos_TPL[[#This Row],[Total de Pago
(MX)]]-Diario_Documentos_TPL[[#This Row],[Total Pasivo
(MX)]]</f>
        <v>#REF!</v>
      </c>
      <c r="AS19" s="1980"/>
      <c r="AT19" s="1980"/>
      <c r="AU19" s="1980"/>
      <c r="AV19" s="1980"/>
    </row>
    <row r="20" spans="1:48" ht="14.25" hidden="1" customHeight="1" x14ac:dyDescent="0.25">
      <c r="A20" s="1969" t="s">
        <v>598</v>
      </c>
      <c r="B20" s="1969">
        <v>4326979</v>
      </c>
      <c r="C20" s="1969">
        <v>800642440</v>
      </c>
      <c r="D20" s="1969"/>
      <c r="E20" s="1969" t="s">
        <v>632</v>
      </c>
      <c r="F20" s="1969" t="s">
        <v>599</v>
      </c>
      <c r="G20" s="1969" t="s">
        <v>628</v>
      </c>
      <c r="H20" s="1969" t="str">
        <f>VLOOKUP(Diario_Documentos_TPL[[#This Row],[Centro Gestor]],Catalogo_Centro_Gestor[],2,FALSE)</f>
        <v>Gasoducto Corredor Chihuahua</v>
      </c>
      <c r="I20" s="1969">
        <v>2502</v>
      </c>
      <c r="J20" s="1972">
        <f>IF(YEAR(Diario_Documentos_TPL[[#This Row],[Fecha de Pago]])=1900, "SIN PAGO",YEAR(Diario_Documentos_TPL[[#This Row],[Fecha de Pago]]))</f>
        <v>2015</v>
      </c>
      <c r="K20" s="1973">
        <v>2015</v>
      </c>
      <c r="L20" s="1972">
        <f>IF(MONTH(Diario_Documentos_TPL[[#This Row],[Fecha de Pago]])=0, "SIN PAGO",MONTH(Diario_Documentos_TPL[[#This Row],[Fecha de Pago]]))</f>
        <v>12</v>
      </c>
      <c r="M20" s="1971">
        <v>11</v>
      </c>
      <c r="N20" s="1971" t="str">
        <f>VLOOKUP(Diario_Documentos_TPL[[#This Row],[Periodo del Servicio]],'Tablas (2)'!$L$3:$M$14,2,FALSE)</f>
        <v>NOVIEMBRE</v>
      </c>
      <c r="O20" s="1985" t="s">
        <v>667</v>
      </c>
      <c r="P20" s="1971" t="s">
        <v>483</v>
      </c>
      <c r="Q20" s="1971" t="s">
        <v>165</v>
      </c>
      <c r="R20" s="1969">
        <v>2233</v>
      </c>
      <c r="S20" s="1969">
        <v>453882</v>
      </c>
      <c r="T20" s="1969" t="s">
        <v>627</v>
      </c>
      <c r="U20" s="1969">
        <v>2277</v>
      </c>
      <c r="V20" s="1969">
        <v>180008733</v>
      </c>
      <c r="W20" s="1970">
        <v>42353</v>
      </c>
      <c r="X20" s="1966">
        <f>Diario_Documentos_TPL[[#This Row],[Total Pasivo
(USD)]]/1.16</f>
        <v>4095184.69</v>
      </c>
      <c r="Y20" s="1966">
        <f>Diario_Documentos_TPL[[#This Row],[Importe Pasivo
(USD)]]*0.16</f>
        <v>655229.55039999995</v>
      </c>
      <c r="Z20" s="1966">
        <f>(4016218.17+1764.62+77201.9)*1.16</f>
        <v>4750414.2403999995</v>
      </c>
      <c r="AA20" s="1966" t="e">
        <f>Diario_Documentos_TPL[[#This Row],[Total Pasivo
(MX)]]/1.16</f>
        <v>#REF!</v>
      </c>
      <c r="AB20" s="1966" t="e">
        <f>Diario_Documentos_TPL[[#This Row],[Importe Pasivo
(MX)]]*0.16</f>
        <v>#REF!</v>
      </c>
      <c r="AC20" s="1966" t="e">
        <f>17.075*Diario_Documentos!#REF!</f>
        <v>#REF!</v>
      </c>
      <c r="AD20" s="1965">
        <f>IFERROR(Diario_Documentos_TPL[[#This Row],[Total Pasivo
(MX)]]/Diario_Documentos_TPL[[#This Row],[Total Pasivo
(USD)]],0)</f>
        <v>0</v>
      </c>
      <c r="AE20" s="1969">
        <v>140032689</v>
      </c>
      <c r="AF20" s="1968">
        <v>42362</v>
      </c>
      <c r="AG20" s="1967">
        <f>Diario_Documentos_TPL[[#This Row],[Total de Pago
(USD)]]/1.16</f>
        <v>4095184.69</v>
      </c>
      <c r="AH20" s="1966">
        <f>Diario_Documentos_TPL[[#This Row],[Importe de Pago
(USD)]]*0.16</f>
        <v>655229.55039999995</v>
      </c>
      <c r="AI20" s="1966">
        <f>Diario_Documentos_TPL[[#This Row],[Total Pasivo
(USD)]]</f>
        <v>4750414.2403999995</v>
      </c>
      <c r="AJ20" s="1966">
        <f>Diario_Documentos_TPL[[#This Row],[Total de Pago
(MX)]]/1.16</f>
        <v>70374520.342242986</v>
      </c>
      <c r="AK20" s="1966">
        <f>Diario_Documentos_TPL[[#This Row],[Importe de Pago
(MX)]]*0.16</f>
        <v>11259923.254758878</v>
      </c>
      <c r="AL20" s="1966">
        <f>Diario_Documentos_TPL[[#This Row],[Total de Pago
(USD)]]*Diario_Documentos_TPL[[#This Row],[T.C Pago]]</f>
        <v>81634443.597001866</v>
      </c>
      <c r="AM20" s="2017">
        <v>17.184699999999999</v>
      </c>
      <c r="AN20" s="1965"/>
      <c r="AO20" s="1965"/>
      <c r="AP20" s="1965" t="e">
        <f>Diario_Documentos_TPL[[#This Row],[Importe de Pago
(MX)]]-Diario_Documentos_TPL[[#This Row],[Importe Pasivo
(MX)]]</f>
        <v>#REF!</v>
      </c>
      <c r="AQ20" s="1965" t="e">
        <f>Diario_Documentos_TPL[[#This Row],[Total_Paridad]]-Diario_Documentos_TPL[[#This Row],[Subtotal_Paridad]]</f>
        <v>#REF!</v>
      </c>
      <c r="AR20" s="1964" t="e">
        <f>Diario_Documentos_TPL[[#This Row],[Total de Pago
(MX)]]-Diario_Documentos_TPL[[#This Row],[Total Pasivo
(MX)]]</f>
        <v>#REF!</v>
      </c>
      <c r="AS20" s="1980"/>
      <c r="AT20" s="1980"/>
      <c r="AU20" s="1980"/>
      <c r="AV20" s="1980"/>
    </row>
    <row r="21" spans="1:48" ht="14.25" hidden="1" customHeight="1" x14ac:dyDescent="0.25">
      <c r="A21" s="1969" t="s">
        <v>598</v>
      </c>
      <c r="B21" s="1969">
        <v>4326979</v>
      </c>
      <c r="C21" s="1969">
        <v>800642440</v>
      </c>
      <c r="D21" s="1969"/>
      <c r="E21" s="1969" t="s">
        <v>632</v>
      </c>
      <c r="F21" s="1969" t="s">
        <v>599</v>
      </c>
      <c r="G21" s="1969" t="s">
        <v>628</v>
      </c>
      <c r="H21" s="1969" t="str">
        <f>VLOOKUP(Diario_Documentos_TPL[[#This Row],[Centro Gestor]],Catalogo_Centro_Gestor[],2,FALSE)</f>
        <v>Gasoducto Corredor Chihuahua</v>
      </c>
      <c r="I21" s="1969">
        <v>2502</v>
      </c>
      <c r="J21" s="1972">
        <f>IF(YEAR(Diario_Documentos_TPL[[#This Row],[Fecha de Pago]])=1900, "SIN PAGO",YEAR(Diario_Documentos_TPL[[#This Row],[Fecha de Pago]]))</f>
        <v>2015</v>
      </c>
      <c r="K21" s="1973">
        <v>2015</v>
      </c>
      <c r="L21" s="1972">
        <f>IF(MONTH(Diario_Documentos_TPL[[#This Row],[Fecha de Pago]])=0, "SIN PAGO",MONTH(Diario_Documentos_TPL[[#This Row],[Fecha de Pago]]))</f>
        <v>11</v>
      </c>
      <c r="M21" s="1971">
        <v>10</v>
      </c>
      <c r="N21" s="1971" t="str">
        <f>VLOOKUP(Diario_Documentos_TPL[[#This Row],[Periodo del Servicio]],'Tablas (2)'!$L$3:$M$14,2,FALSE)</f>
        <v>OCTUBRE</v>
      </c>
      <c r="O21" s="1985" t="s">
        <v>666</v>
      </c>
      <c r="P21" s="1971" t="s">
        <v>483</v>
      </c>
      <c r="Q21" s="1971" t="s">
        <v>165</v>
      </c>
      <c r="R21" s="1969">
        <v>7241</v>
      </c>
      <c r="S21" s="1969">
        <v>453882</v>
      </c>
      <c r="T21" s="1969" t="s">
        <v>627</v>
      </c>
      <c r="U21" s="1969">
        <v>2277</v>
      </c>
      <c r="V21" s="1969">
        <v>180007768</v>
      </c>
      <c r="W21" s="1970" t="s">
        <v>665</v>
      </c>
      <c r="X21" s="1966">
        <f>Diario_Documentos_TPL[[#This Row],[Total Pasivo
(USD)]]/1.16</f>
        <v>534773.69000000006</v>
      </c>
      <c r="Y21" s="1966">
        <f>Diario_Documentos_TPL[[#This Row],[Importe Pasivo
(USD)]]*0.16</f>
        <v>85563.790400000013</v>
      </c>
      <c r="Z21" s="1966">
        <f>(524446.81+245.68+10081.2)*1.16</f>
        <v>620337.4804</v>
      </c>
      <c r="AA21" s="1966" t="e">
        <f>Diario_Documentos_TPL[[#This Row],[Total Pasivo
(MX)]]/1.16</f>
        <v>#REF!</v>
      </c>
      <c r="AB21" s="1966" t="e">
        <f>Diario_Documentos_TPL[[#This Row],[Importe Pasivo
(MX)]]*0.16</f>
        <v>#REF!</v>
      </c>
      <c r="AC21" s="1966" t="e">
        <f>16.5147*Diario_Documentos!#REF!</f>
        <v>#REF!</v>
      </c>
      <c r="AD21" s="1965">
        <f>IFERROR(Diario_Documentos_TPL[[#This Row],[Total Pasivo
(MX)]]/Diario_Documentos_TPL[[#This Row],[Total Pasivo
(USD)]],0)</f>
        <v>0</v>
      </c>
      <c r="AE21" s="1969">
        <v>140030028</v>
      </c>
      <c r="AF21" s="1968">
        <v>42332</v>
      </c>
      <c r="AG21" s="1967">
        <f>Diario_Documentos_TPL[[#This Row],[Total de Pago
(USD)]]/1.16</f>
        <v>534773.69000000006</v>
      </c>
      <c r="AH21" s="1966">
        <f>Diario_Documentos_TPL[[#This Row],[Importe de Pago
(USD)]]*0.16</f>
        <v>85563.790400000013</v>
      </c>
      <c r="AI21" s="1966">
        <f>Diario_Documentos_TPL[[#This Row],[Total Pasivo
(USD)]]</f>
        <v>620337.4804</v>
      </c>
      <c r="AJ21" s="1966">
        <f>Diario_Documentos_TPL[[#This Row],[Total de Pago
(MX)]]/1.16</f>
        <v>8830183.1692800019</v>
      </c>
      <c r="AK21" s="1966">
        <f>Diario_Documentos_TPL[[#This Row],[Importe de Pago
(MX)]]*0.16</f>
        <v>1412829.3070848004</v>
      </c>
      <c r="AL21" s="1966">
        <f>Diario_Documentos_TPL[[#This Row],[Total de Pago
(USD)]]*Diario_Documentos_TPL[[#This Row],[T.C Pago]]</f>
        <v>10243012.476364801</v>
      </c>
      <c r="AM21" s="2017">
        <v>16.512</v>
      </c>
      <c r="AN21" s="1965"/>
      <c r="AO21" s="1965"/>
      <c r="AP21" s="1965" t="e">
        <f>Diario_Documentos_TPL[[#This Row],[Importe de Pago
(MX)]]-Diario_Documentos_TPL[[#This Row],[Importe Pasivo
(MX)]]</f>
        <v>#REF!</v>
      </c>
      <c r="AQ21" s="1965" t="e">
        <f>Diario_Documentos_TPL[[#This Row],[Total_Paridad]]-Diario_Documentos_TPL[[#This Row],[Subtotal_Paridad]]</f>
        <v>#REF!</v>
      </c>
      <c r="AR21" s="1964" t="e">
        <f>Diario_Documentos_TPL[[#This Row],[Total de Pago
(MX)]]-Diario_Documentos_TPL[[#This Row],[Total Pasivo
(MX)]]</f>
        <v>#REF!</v>
      </c>
      <c r="AS21" s="1980"/>
      <c r="AT21" s="1980"/>
      <c r="AU21" s="1980"/>
      <c r="AV21" s="1980"/>
    </row>
    <row r="22" spans="1:48" ht="14.25" hidden="1" customHeight="1" x14ac:dyDescent="0.25">
      <c r="A22" s="1969" t="s">
        <v>598</v>
      </c>
      <c r="B22" s="1969">
        <v>4326979</v>
      </c>
      <c r="C22" s="1969">
        <v>800642440</v>
      </c>
      <c r="D22" s="1969"/>
      <c r="E22" s="1969" t="s">
        <v>632</v>
      </c>
      <c r="F22" s="1969" t="s">
        <v>599</v>
      </c>
      <c r="G22" s="1969" t="s">
        <v>628</v>
      </c>
      <c r="H22" s="1969" t="str">
        <f>VLOOKUP(Diario_Documentos_TPL[[#This Row],[Centro Gestor]],Catalogo_Centro_Gestor[],2,FALSE)</f>
        <v>Gasoducto Corredor Chihuahua</v>
      </c>
      <c r="I22" s="1969">
        <v>2502</v>
      </c>
      <c r="J22" s="1972">
        <f>IF(YEAR(Diario_Documentos_TPL[[#This Row],[Fecha de Pago]])=1900, "SIN PAGO",YEAR(Diario_Documentos_TPL[[#This Row],[Fecha de Pago]]))</f>
        <v>2015</v>
      </c>
      <c r="K22" s="1973">
        <v>2015</v>
      </c>
      <c r="L22" s="1972">
        <f>IF(MONTH(Diario_Documentos_TPL[[#This Row],[Fecha de Pago]])=0, "SIN PAGO",MONTH(Diario_Documentos_TPL[[#This Row],[Fecha de Pago]]))</f>
        <v>11</v>
      </c>
      <c r="M22" s="1971">
        <v>10</v>
      </c>
      <c r="N22" s="1971" t="str">
        <f>VLOOKUP(Diario_Documentos_TPL[[#This Row],[Periodo del Servicio]],'Tablas (2)'!$L$3:$M$14,2,FALSE)</f>
        <v>OCTUBRE</v>
      </c>
      <c r="O22" s="1985" t="s">
        <v>666</v>
      </c>
      <c r="P22" s="1971" t="s">
        <v>483</v>
      </c>
      <c r="Q22" s="1971" t="s">
        <v>165</v>
      </c>
      <c r="R22" s="1969">
        <v>2233</v>
      </c>
      <c r="S22" s="1969">
        <v>453882</v>
      </c>
      <c r="T22" s="1969" t="s">
        <v>627</v>
      </c>
      <c r="U22" s="1969">
        <v>2277</v>
      </c>
      <c r="V22" s="1969">
        <v>180007768</v>
      </c>
      <c r="W22" s="1970" t="s">
        <v>665</v>
      </c>
      <c r="X22" s="1966">
        <f>Diario_Documentos_TPL[[#This Row],[Total Pasivo
(USD)]]/1.16</f>
        <v>4095310.75</v>
      </c>
      <c r="Y22" s="1966">
        <f>Diario_Documentos_TPL[[#This Row],[Importe Pasivo
(USD)]]*0.16</f>
        <v>655249.72</v>
      </c>
      <c r="Z22" s="1966">
        <f>(4016218.17+1890.68+77201.9)*1.16</f>
        <v>4750560.47</v>
      </c>
      <c r="AA22" s="1966" t="e">
        <f>Diario_Documentos_TPL[[#This Row],[Total Pasivo
(MX)]]/1.16</f>
        <v>#REF!</v>
      </c>
      <c r="AB22" s="1966" t="e">
        <f>Diario_Documentos_TPL[[#This Row],[Importe Pasivo
(MX)]]*0.16</f>
        <v>#REF!</v>
      </c>
      <c r="AC22" s="1966" t="e">
        <f>16.5147*Diario_Documentos!#REF!</f>
        <v>#REF!</v>
      </c>
      <c r="AD22" s="1965">
        <f>IFERROR(Diario_Documentos_TPL[[#This Row],[Total Pasivo
(MX)]]/Diario_Documentos_TPL[[#This Row],[Total Pasivo
(USD)]],0)</f>
        <v>0</v>
      </c>
      <c r="AE22" s="1969">
        <v>140030028</v>
      </c>
      <c r="AF22" s="1968">
        <v>42332</v>
      </c>
      <c r="AG22" s="1967">
        <f>Diario_Documentos_TPL[[#This Row],[Total de Pago
(USD)]]/1.16</f>
        <v>4095310.75</v>
      </c>
      <c r="AH22" s="1966">
        <f>Diario_Documentos_TPL[[#This Row],[Importe de Pago
(USD)]]*0.16</f>
        <v>655249.72</v>
      </c>
      <c r="AI22" s="1966">
        <f>Diario_Documentos_TPL[[#This Row],[Total Pasivo
(USD)]]</f>
        <v>4750560.47</v>
      </c>
      <c r="AJ22" s="1966">
        <f>Diario_Documentos_TPL[[#This Row],[Total de Pago
(MX)]]/1.16</f>
        <v>67621771.104000002</v>
      </c>
      <c r="AK22" s="1966">
        <f>Diario_Documentos_TPL[[#This Row],[Importe de Pago
(MX)]]*0.16</f>
        <v>10819483.376640001</v>
      </c>
      <c r="AL22" s="1966">
        <f>Diario_Documentos_TPL[[#This Row],[Total de Pago
(USD)]]*Diario_Documentos_TPL[[#This Row],[T.C Pago]]</f>
        <v>78441254.480639994</v>
      </c>
      <c r="AM22" s="2017">
        <v>16.512</v>
      </c>
      <c r="AN22" s="1965"/>
      <c r="AO22" s="1965"/>
      <c r="AP22" s="1965" t="e">
        <f>Diario_Documentos_TPL[[#This Row],[Importe de Pago
(MX)]]-Diario_Documentos_TPL[[#This Row],[Importe Pasivo
(MX)]]</f>
        <v>#REF!</v>
      </c>
      <c r="AQ22" s="1965" t="e">
        <f>Diario_Documentos_TPL[[#This Row],[Total_Paridad]]-Diario_Documentos_TPL[[#This Row],[Subtotal_Paridad]]</f>
        <v>#REF!</v>
      </c>
      <c r="AR22" s="1964" t="e">
        <f>Diario_Documentos_TPL[[#This Row],[Total de Pago
(MX)]]-Diario_Documentos_TPL[[#This Row],[Total Pasivo
(MX)]]</f>
        <v>#REF!</v>
      </c>
      <c r="AS22" s="1980"/>
      <c r="AT22" s="1980"/>
      <c r="AU22" s="1980"/>
      <c r="AV22" s="1980"/>
    </row>
    <row r="23" spans="1:48" ht="14.25" hidden="1" customHeight="1" x14ac:dyDescent="0.25">
      <c r="A23" s="1969" t="s">
        <v>598</v>
      </c>
      <c r="B23" s="1969">
        <v>4326979</v>
      </c>
      <c r="C23" s="1969">
        <v>800642440</v>
      </c>
      <c r="D23" s="1969"/>
      <c r="E23" s="1969" t="s">
        <v>632</v>
      </c>
      <c r="F23" s="1969" t="s">
        <v>599</v>
      </c>
      <c r="G23" s="1969" t="s">
        <v>628</v>
      </c>
      <c r="H23" s="1969" t="str">
        <f>VLOOKUP(Diario_Documentos_TPL[[#This Row],[Centro Gestor]],Catalogo_Centro_Gestor[],2,FALSE)</f>
        <v>Gasoducto Corredor Chihuahua</v>
      </c>
      <c r="I23" s="1969">
        <v>2502</v>
      </c>
      <c r="J23" s="1972">
        <f>IF(YEAR(Diario_Documentos_TPL[[#This Row],[Fecha de Pago]])=1900, "SIN PAGO",YEAR(Diario_Documentos_TPL[[#This Row],[Fecha de Pago]]))</f>
        <v>2015</v>
      </c>
      <c r="K23" s="1973">
        <v>2015</v>
      </c>
      <c r="L23" s="1972">
        <f>IF(MONTH(Diario_Documentos_TPL[[#This Row],[Fecha de Pago]])=0, "SIN PAGO",MONTH(Diario_Documentos_TPL[[#This Row],[Fecha de Pago]]))</f>
        <v>10</v>
      </c>
      <c r="M23" s="1971">
        <v>9</v>
      </c>
      <c r="N23" s="1971" t="str">
        <f>VLOOKUP(Diario_Documentos_TPL[[#This Row],[Periodo del Servicio]],'Tablas (2)'!$L$3:$M$14,2,FALSE)</f>
        <v>SEPTIEMBRE</v>
      </c>
      <c r="O23" s="1985" t="s">
        <v>664</v>
      </c>
      <c r="P23" s="1971" t="s">
        <v>483</v>
      </c>
      <c r="Q23" s="1971" t="s">
        <v>165</v>
      </c>
      <c r="R23" s="1969">
        <v>7241</v>
      </c>
      <c r="S23" s="1969">
        <v>453882</v>
      </c>
      <c r="T23" s="1969" t="s">
        <v>627</v>
      </c>
      <c r="U23" s="1969">
        <v>2277</v>
      </c>
      <c r="V23" s="1969">
        <v>180007153</v>
      </c>
      <c r="W23" s="1970">
        <v>42285</v>
      </c>
      <c r="X23" s="1966">
        <f>Diario_Documentos_TPL[[#This Row],[Total Pasivo
(USD)]]/1.16</f>
        <v>534732.16000000015</v>
      </c>
      <c r="Y23" s="1966">
        <f>Diario_Documentos_TPL[[#This Row],[Importe Pasivo
(USD)]]*0.16</f>
        <v>85557.145600000033</v>
      </c>
      <c r="Z23" s="1966">
        <f>(524446.81+247.79+10037.56)*1.16</f>
        <v>620289.30560000008</v>
      </c>
      <c r="AA23" s="1966" t="e">
        <f>Diario_Documentos_TPL[[#This Row],[Total Pasivo
(MX)]]/1.16</f>
        <v>#REF!</v>
      </c>
      <c r="AB23" s="1966" t="e">
        <f>Diario_Documentos_TPL[[#This Row],[Importe Pasivo
(MX)]]*0.16</f>
        <v>#REF!</v>
      </c>
      <c r="AC23" s="1966" t="e">
        <f>Diario_Documentos!#REF!*16.6878</f>
        <v>#REF!</v>
      </c>
      <c r="AD23" s="1965">
        <f>IFERROR(Diario_Documentos_TPL[[#This Row],[Total Pasivo
(MX)]]/Diario_Documentos_TPL[[#This Row],[Total Pasivo
(USD)]],0)</f>
        <v>0</v>
      </c>
      <c r="AE23" s="1969">
        <v>140027370</v>
      </c>
      <c r="AF23" s="1968">
        <v>42303</v>
      </c>
      <c r="AG23" s="1967">
        <f>Diario_Documentos_TPL[[#This Row],[Total de Pago
(USD)]]/1.16</f>
        <v>534732.16000000015</v>
      </c>
      <c r="AH23" s="1966">
        <f>Diario_Documentos_TPL[[#This Row],[Importe de Pago
(USD)]]*0.16</f>
        <v>85557.145600000033</v>
      </c>
      <c r="AI23" s="1966">
        <f>Diario_Documentos_TPL[[#This Row],[Total Pasivo
(USD)]]</f>
        <v>620289.30560000008</v>
      </c>
      <c r="AJ23" s="1966">
        <f>Diario_Documentos_TPL[[#This Row],[Total de Pago
(MX)]]/1.16</f>
        <v>8838267.0333440024</v>
      </c>
      <c r="AK23" s="1966">
        <f>Diario_Documentos_TPL[[#This Row],[Importe de Pago
(MX)]]*0.16</f>
        <v>1414122.7253350404</v>
      </c>
      <c r="AL23" s="1966">
        <f>Diario_Documentos_TPL[[#This Row],[Total de Pago
(USD)]]*Diario_Documentos_TPL[[#This Row],[T.C Pago]]</f>
        <v>10252389.758679042</v>
      </c>
      <c r="AM23" s="2017">
        <v>16.528400000000001</v>
      </c>
      <c r="AN23" s="1965"/>
      <c r="AO23" s="1965"/>
      <c r="AP23" s="1965" t="e">
        <f>Diario_Documentos_TPL[[#This Row],[Importe de Pago
(MX)]]-Diario_Documentos_TPL[[#This Row],[Importe Pasivo
(MX)]]</f>
        <v>#REF!</v>
      </c>
      <c r="AQ23" s="1965" t="e">
        <f>Diario_Documentos_TPL[[#This Row],[Total_Paridad]]-Diario_Documentos_TPL[[#This Row],[Subtotal_Paridad]]</f>
        <v>#REF!</v>
      </c>
      <c r="AR23" s="1964" t="e">
        <f>Diario_Documentos_TPL[[#This Row],[Total de Pago
(MX)]]-Diario_Documentos_TPL[[#This Row],[Total Pasivo
(MX)]]</f>
        <v>#REF!</v>
      </c>
      <c r="AS23" s="1980"/>
      <c r="AT23" s="1980"/>
      <c r="AU23" s="1980"/>
      <c r="AV23" s="1980"/>
    </row>
    <row r="24" spans="1:48" ht="14.25" hidden="1" customHeight="1" x14ac:dyDescent="0.25">
      <c r="A24" s="1969" t="s">
        <v>598</v>
      </c>
      <c r="B24" s="1969">
        <v>4326979</v>
      </c>
      <c r="C24" s="1969">
        <v>800642440</v>
      </c>
      <c r="D24" s="1969"/>
      <c r="E24" s="1969" t="s">
        <v>632</v>
      </c>
      <c r="F24" s="1969" t="s">
        <v>599</v>
      </c>
      <c r="G24" s="1969" t="s">
        <v>628</v>
      </c>
      <c r="H24" s="1969" t="str">
        <f>VLOOKUP(Diario_Documentos_TPL[[#This Row],[Centro Gestor]],Catalogo_Centro_Gestor[],2,FALSE)</f>
        <v>Gasoducto Corredor Chihuahua</v>
      </c>
      <c r="I24" s="1969">
        <v>2502</v>
      </c>
      <c r="J24" s="1972">
        <f>IF(YEAR(Diario_Documentos_TPL[[#This Row],[Fecha de Pago]])=1900, "SIN PAGO",YEAR(Diario_Documentos_TPL[[#This Row],[Fecha de Pago]]))</f>
        <v>2015</v>
      </c>
      <c r="K24" s="1973">
        <v>2015</v>
      </c>
      <c r="L24" s="1972">
        <f>IF(MONTH(Diario_Documentos_TPL[[#This Row],[Fecha de Pago]])=0, "SIN PAGO",MONTH(Diario_Documentos_TPL[[#This Row],[Fecha de Pago]]))</f>
        <v>10</v>
      </c>
      <c r="M24" s="1971">
        <v>9</v>
      </c>
      <c r="N24" s="1971" t="str">
        <f>VLOOKUP(Diario_Documentos_TPL[[#This Row],[Periodo del Servicio]],'Tablas (2)'!$L$3:$M$14,2,FALSE)</f>
        <v>SEPTIEMBRE</v>
      </c>
      <c r="O24" s="1985" t="s">
        <v>664</v>
      </c>
      <c r="P24" s="1971" t="s">
        <v>483</v>
      </c>
      <c r="Q24" s="1971" t="s">
        <v>165</v>
      </c>
      <c r="R24" s="1969">
        <v>2233</v>
      </c>
      <c r="S24" s="1969">
        <v>453882</v>
      </c>
      <c r="T24" s="1969" t="s">
        <v>627</v>
      </c>
      <c r="U24" s="1969">
        <v>2277</v>
      </c>
      <c r="V24" s="1969">
        <v>180007153</v>
      </c>
      <c r="W24" s="1970">
        <v>42285</v>
      </c>
      <c r="X24" s="1966">
        <f>Diario_Documentos_TPL[[#This Row],[Total Pasivo
(USD)]]/1.16</f>
        <v>4095370.58</v>
      </c>
      <c r="Y24" s="1966">
        <f>Diario_Documentos_TPL[[#This Row],[Importe Pasivo
(USD)]]*0.16</f>
        <v>655259.29280000005</v>
      </c>
      <c r="Z24" s="1966">
        <f>(4016218.17+1906.87+77245.54)*1.16</f>
        <v>4750629.8728</v>
      </c>
      <c r="AA24" s="1966" t="e">
        <f>Diario_Documentos_TPL[[#This Row],[Total Pasivo
(MX)]]/1.16</f>
        <v>#REF!</v>
      </c>
      <c r="AB24" s="1966" t="e">
        <f>Diario_Documentos_TPL[[#This Row],[Importe Pasivo
(MX)]]*0.16</f>
        <v>#REF!</v>
      </c>
      <c r="AC24" s="1966" t="e">
        <f>Diario_Documentos!#REF!*16.6878</f>
        <v>#REF!</v>
      </c>
      <c r="AD24" s="1965">
        <f>IFERROR(Diario_Documentos_TPL[[#This Row],[Total Pasivo
(MX)]]/Diario_Documentos_TPL[[#This Row],[Total Pasivo
(USD)]],0)</f>
        <v>0</v>
      </c>
      <c r="AE24" s="1969">
        <v>140027370</v>
      </c>
      <c r="AF24" s="1968">
        <v>42303</v>
      </c>
      <c r="AG24" s="1967">
        <f>Diario_Documentos_TPL[[#This Row],[Total de Pago
(USD)]]/1.16</f>
        <v>4095370.58</v>
      </c>
      <c r="AH24" s="1966">
        <f>Diario_Documentos_TPL[[#This Row],[Importe de Pago
(USD)]]*0.16</f>
        <v>655259.29280000005</v>
      </c>
      <c r="AI24" s="1966">
        <f>Diario_Documentos_TPL[[#This Row],[Total Pasivo
(USD)]]</f>
        <v>4750629.8728</v>
      </c>
      <c r="AJ24" s="1966">
        <f>Diario_Documentos_TPL[[#This Row],[Total de Pago
(MX)]]/1.16</f>
        <v>67689923.094472006</v>
      </c>
      <c r="AK24" s="1966">
        <f>Diario_Documentos_TPL[[#This Row],[Importe de Pago
(MX)]]*0.16</f>
        <v>10830387.695115522</v>
      </c>
      <c r="AL24" s="1966">
        <f>Diario_Documentos_TPL[[#This Row],[Total de Pago
(USD)]]*Diario_Documentos_TPL[[#This Row],[T.C Pago]]</f>
        <v>78520310.789587528</v>
      </c>
      <c r="AM24" s="2017">
        <v>16.528400000000001</v>
      </c>
      <c r="AN24" s="1965"/>
      <c r="AO24" s="1965"/>
      <c r="AP24" s="1965" t="e">
        <f>Diario_Documentos_TPL[[#This Row],[Importe de Pago
(MX)]]-Diario_Documentos_TPL[[#This Row],[Importe Pasivo
(MX)]]</f>
        <v>#REF!</v>
      </c>
      <c r="AQ24" s="1965" t="e">
        <f>Diario_Documentos_TPL[[#This Row],[Total_Paridad]]-Diario_Documentos_TPL[[#This Row],[Subtotal_Paridad]]</f>
        <v>#REF!</v>
      </c>
      <c r="AR24" s="1964" t="e">
        <f>Diario_Documentos_TPL[[#This Row],[Total de Pago
(MX)]]-Diario_Documentos_TPL[[#This Row],[Total Pasivo
(MX)]]</f>
        <v>#REF!</v>
      </c>
      <c r="AS24" s="1980"/>
      <c r="AT24" s="1980"/>
      <c r="AU24" s="1980"/>
      <c r="AV24" s="1980"/>
    </row>
    <row r="25" spans="1:48" ht="14.25" hidden="1" customHeight="1" x14ac:dyDescent="0.25">
      <c r="A25" s="1969" t="s">
        <v>598</v>
      </c>
      <c r="B25" s="1969">
        <v>4326979</v>
      </c>
      <c r="C25" s="1969">
        <v>800642440</v>
      </c>
      <c r="D25" s="1969"/>
      <c r="E25" s="1969" t="s">
        <v>632</v>
      </c>
      <c r="F25" s="1969" t="s">
        <v>599</v>
      </c>
      <c r="G25" s="1969" t="s">
        <v>628</v>
      </c>
      <c r="H25" s="1969" t="str">
        <f>VLOOKUP(Diario_Documentos_TPL[[#This Row],[Centro Gestor]],Catalogo_Centro_Gestor[],2,FALSE)</f>
        <v>Gasoducto Corredor Chihuahua</v>
      </c>
      <c r="I25" s="1969">
        <v>2502</v>
      </c>
      <c r="J25" s="1972">
        <f>IF(YEAR(Diario_Documentos_TPL[[#This Row],[Fecha de Pago]])=1900, "SIN PAGO",YEAR(Diario_Documentos_TPL[[#This Row],[Fecha de Pago]]))</f>
        <v>2016</v>
      </c>
      <c r="K25" s="1973">
        <v>2015</v>
      </c>
      <c r="L25" s="1972">
        <f>IF(MONTH(Diario_Documentos_TPL[[#This Row],[Fecha de Pago]])=0, "SIN PAGO",MONTH(Diario_Documentos_TPL[[#This Row],[Fecha de Pago]]))</f>
        <v>1</v>
      </c>
      <c r="M25" s="1971">
        <v>12</v>
      </c>
      <c r="N25" s="1971" t="str">
        <f>VLOOKUP(Diario_Documentos_TPL[[#This Row],[Periodo del Servicio]],'Tablas (2)'!$L$3:$M$14,2,FALSE)</f>
        <v>DICIEMBRE</v>
      </c>
      <c r="O25" s="1971" t="s">
        <v>663</v>
      </c>
      <c r="P25" s="1971" t="s">
        <v>483</v>
      </c>
      <c r="Q25" s="1971" t="s">
        <v>165</v>
      </c>
      <c r="R25" s="1969">
        <v>7241</v>
      </c>
      <c r="S25" s="1969">
        <v>453882</v>
      </c>
      <c r="T25" s="1969" t="s">
        <v>627</v>
      </c>
      <c r="U25" s="1969">
        <v>2277</v>
      </c>
      <c r="V25" s="1969">
        <v>180000150</v>
      </c>
      <c r="W25" s="1970">
        <v>42383</v>
      </c>
      <c r="X25" s="1966">
        <f>Diario_Documentos_TPL[[#This Row],[Total Pasivo
(USD)]]/1.16</f>
        <v>534769.59</v>
      </c>
      <c r="Y25" s="1966">
        <f>Diario_Documentos_TPL[[#This Row],[Importe Pasivo
(USD)]]*0.16</f>
        <v>85563.134399999995</v>
      </c>
      <c r="Z25" s="1966">
        <f>(524446.81+241.58+10081.2)*1.16</f>
        <v>620332.72439999995</v>
      </c>
      <c r="AA25" s="1966" t="e">
        <f>Diario_Documentos_TPL[[#This Row],[Total Pasivo
(MX)]]/1.16</f>
        <v>#REF!</v>
      </c>
      <c r="AB25" s="1966" t="e">
        <f>Diario_Documentos_TPL[[#This Row],[Importe Pasivo
(MX)]]*0.16</f>
        <v>#REF!</v>
      </c>
      <c r="AC25" s="1966" t="e">
        <f>Diario_Documentos!#REF!*17.919</f>
        <v>#REF!</v>
      </c>
      <c r="AD25" s="1965">
        <f>IFERROR(Diario_Documentos_TPL[[#This Row],[Total Pasivo
(MX)]]/Diario_Documentos_TPL[[#This Row],[Total Pasivo
(USD)]],0)</f>
        <v>0</v>
      </c>
      <c r="AE25" s="1969">
        <v>140001929</v>
      </c>
      <c r="AF25" s="1968">
        <v>42394</v>
      </c>
      <c r="AG25" s="1967">
        <f>Diario_Documentos_TPL[[#This Row],[Total de Pago
(USD)]]/1.16</f>
        <v>534769.59</v>
      </c>
      <c r="AH25" s="1966">
        <f>Diario_Documentos_TPL[[#This Row],[Importe de Pago
(USD)]]*0.16</f>
        <v>85563.134399999995</v>
      </c>
      <c r="AI25" s="1966">
        <f>Diario_Documentos_TPL[[#This Row],[Total Pasivo
(USD)]]</f>
        <v>620332.72439999995</v>
      </c>
      <c r="AJ25" s="1966">
        <f>Diario_Documentos_TPL[[#This Row],[Total de Pago
(MX)]]/1.16</f>
        <v>9897729.4795560017</v>
      </c>
      <c r="AK25" s="1966">
        <f>Diario_Documentos_TPL[[#This Row],[Importe de Pago
(MX)]]*0.16</f>
        <v>1583636.7167289604</v>
      </c>
      <c r="AL25" s="1966">
        <f>Diario_Documentos_TPL[[#This Row],[Total de Pago
(USD)]]*Diario_Documentos_TPL[[#This Row],[T.C Pago]]</f>
        <v>11481366.196284961</v>
      </c>
      <c r="AM25" s="2017">
        <v>18.508400000000002</v>
      </c>
      <c r="AN25" s="1965"/>
      <c r="AO25" s="1965"/>
      <c r="AP25" s="1965" t="e">
        <f>Diario_Documentos_TPL[[#This Row],[Importe de Pago
(MX)]]-Diario_Documentos_TPL[[#This Row],[Importe Pasivo
(MX)]]</f>
        <v>#REF!</v>
      </c>
      <c r="AQ25" s="1965" t="e">
        <f>Diario_Documentos_TPL[[#This Row],[Total_Paridad]]-Diario_Documentos_TPL[[#This Row],[Subtotal_Paridad]]</f>
        <v>#REF!</v>
      </c>
      <c r="AR25" s="1964" t="e">
        <f>Diario_Documentos_TPL[[#This Row],[Total de Pago
(MX)]]-Diario_Documentos_TPL[[#This Row],[Total Pasivo
(MX)]]</f>
        <v>#REF!</v>
      </c>
      <c r="AS25" s="1980"/>
      <c r="AT25" s="1980"/>
      <c r="AU25" s="1980"/>
      <c r="AV25" s="1980"/>
    </row>
    <row r="26" spans="1:48" ht="14.25" hidden="1" customHeight="1" x14ac:dyDescent="0.25">
      <c r="A26" s="1969" t="s">
        <v>598</v>
      </c>
      <c r="B26" s="1969">
        <v>4326979</v>
      </c>
      <c r="C26" s="1969">
        <v>800642440</v>
      </c>
      <c r="D26" s="1969"/>
      <c r="E26" s="1969" t="s">
        <v>632</v>
      </c>
      <c r="F26" s="1969" t="s">
        <v>599</v>
      </c>
      <c r="G26" s="1969" t="s">
        <v>628</v>
      </c>
      <c r="H26" s="1969" t="str">
        <f>VLOOKUP(Diario_Documentos_TPL[[#This Row],[Centro Gestor]],Catalogo_Centro_Gestor[],2,FALSE)</f>
        <v>Gasoducto Corredor Chihuahua</v>
      </c>
      <c r="I26" s="1969">
        <v>2502</v>
      </c>
      <c r="J26" s="1972">
        <f>IF(YEAR(Diario_Documentos_TPL[[#This Row],[Fecha de Pago]])=1900, "SIN PAGO",YEAR(Diario_Documentos_TPL[[#This Row],[Fecha de Pago]]))</f>
        <v>2016</v>
      </c>
      <c r="K26" s="1973">
        <v>2015</v>
      </c>
      <c r="L26" s="1972">
        <f>IF(MONTH(Diario_Documentos_TPL[[#This Row],[Fecha de Pago]])=0, "SIN PAGO",MONTH(Diario_Documentos_TPL[[#This Row],[Fecha de Pago]]))</f>
        <v>1</v>
      </c>
      <c r="M26" s="1971">
        <v>12</v>
      </c>
      <c r="N26" s="1971" t="str">
        <f>VLOOKUP(Diario_Documentos_TPL[[#This Row],[Periodo del Servicio]],'Tablas (2)'!$L$3:$M$14,2,FALSE)</f>
        <v>DICIEMBRE</v>
      </c>
      <c r="O26" s="1971" t="s">
        <v>663</v>
      </c>
      <c r="P26" s="1971" t="s">
        <v>483</v>
      </c>
      <c r="Q26" s="1971" t="s">
        <v>165</v>
      </c>
      <c r="R26" s="1969">
        <v>2233</v>
      </c>
      <c r="S26" s="1969">
        <v>453882</v>
      </c>
      <c r="T26" s="1969" t="s">
        <v>627</v>
      </c>
      <c r="U26" s="1969">
        <v>2277</v>
      </c>
      <c r="V26" s="1969">
        <v>180000150</v>
      </c>
      <c r="W26" s="1970">
        <v>42383</v>
      </c>
      <c r="X26" s="1966">
        <f>Diario_Documentos_TPL[[#This Row],[Total Pasivo
(USD)]]/1.16</f>
        <v>4095279.1599999997</v>
      </c>
      <c r="Y26" s="1966">
        <f>Diario_Documentos_TPL[[#This Row],[Importe Pasivo
(USD)]]*0.16</f>
        <v>655244.66559999995</v>
      </c>
      <c r="Z26" s="1966">
        <f>(4016218.17+1859.09+77201.9)*1.16</f>
        <v>4750523.8255999992</v>
      </c>
      <c r="AA26" s="1966" t="e">
        <f>Diario_Documentos_TPL[[#This Row],[Total Pasivo
(MX)]]/1.16</f>
        <v>#REF!</v>
      </c>
      <c r="AB26" s="1966" t="e">
        <f>Diario_Documentos_TPL[[#This Row],[Importe Pasivo
(MX)]]*0.16</f>
        <v>#REF!</v>
      </c>
      <c r="AC26" s="1966" t="e">
        <f>Diario_Documentos!#REF!*17.919</f>
        <v>#REF!</v>
      </c>
      <c r="AD26" s="1965">
        <f>IFERROR(Diario_Documentos_TPL[[#This Row],[Total Pasivo
(MX)]]/Diario_Documentos_TPL[[#This Row],[Total Pasivo
(USD)]],0)</f>
        <v>0</v>
      </c>
      <c r="AE26" s="1969">
        <v>140001929</v>
      </c>
      <c r="AF26" s="1968">
        <v>42394</v>
      </c>
      <c r="AG26" s="1967">
        <f>Diario_Documentos_TPL[[#This Row],[Total de Pago
(USD)]]/1.16</f>
        <v>4095279.1599999997</v>
      </c>
      <c r="AH26" s="1966">
        <f>Diario_Documentos_TPL[[#This Row],[Importe de Pago
(USD)]]*0.16</f>
        <v>655244.66559999995</v>
      </c>
      <c r="AI26" s="1966">
        <f>Diario_Documentos_TPL[[#This Row],[Total Pasivo
(USD)]]</f>
        <v>4750523.8255999992</v>
      </c>
      <c r="AJ26" s="1966">
        <f>Diario_Documentos_TPL[[#This Row],[Total de Pago
(MX)]]/1.16</f>
        <v>75797064.804944009</v>
      </c>
      <c r="AK26" s="1966">
        <f>Diario_Documentos_TPL[[#This Row],[Importe de Pago
(MX)]]*0.16</f>
        <v>12127530.368791042</v>
      </c>
      <c r="AL26" s="1966">
        <f>Diario_Documentos_TPL[[#This Row],[Total de Pago
(USD)]]*Diario_Documentos_TPL[[#This Row],[T.C Pago]]</f>
        <v>87924595.173735037</v>
      </c>
      <c r="AM26" s="2017">
        <v>18.508400000000002</v>
      </c>
      <c r="AN26" s="1965"/>
      <c r="AO26" s="1965"/>
      <c r="AP26" s="1965" t="e">
        <f>Diario_Documentos_TPL[[#This Row],[Importe de Pago
(MX)]]-Diario_Documentos_TPL[[#This Row],[Importe Pasivo
(MX)]]</f>
        <v>#REF!</v>
      </c>
      <c r="AQ26" s="1965" t="e">
        <f>Diario_Documentos_TPL[[#This Row],[Total_Paridad]]-Diario_Documentos_TPL[[#This Row],[Subtotal_Paridad]]</f>
        <v>#REF!</v>
      </c>
      <c r="AR26" s="1964" t="e">
        <f>Diario_Documentos_TPL[[#This Row],[Total de Pago
(MX)]]-Diario_Documentos_TPL[[#This Row],[Total Pasivo
(MX)]]</f>
        <v>#REF!</v>
      </c>
      <c r="AS26" s="1980"/>
      <c r="AT26" s="1980"/>
      <c r="AU26" s="1980"/>
      <c r="AV26" s="1980"/>
    </row>
    <row r="27" spans="1:48" ht="14.25" hidden="1" customHeight="1" x14ac:dyDescent="0.25">
      <c r="A27" s="1969" t="s">
        <v>598</v>
      </c>
      <c r="B27" s="1969">
        <v>4326979</v>
      </c>
      <c r="C27" s="1969">
        <v>800642440</v>
      </c>
      <c r="D27" s="1969"/>
      <c r="E27" s="1969" t="s">
        <v>632</v>
      </c>
      <c r="F27" s="1969" t="s">
        <v>599</v>
      </c>
      <c r="G27" s="1969" t="s">
        <v>628</v>
      </c>
      <c r="H27" s="1969" t="str">
        <f>VLOOKUP(Diario_Documentos_TPL[[#This Row],[Centro Gestor]],Catalogo_Centro_Gestor[],2,FALSE)</f>
        <v>Gasoducto Corredor Chihuahua</v>
      </c>
      <c r="I27" s="1969">
        <v>2502</v>
      </c>
      <c r="J27" s="1972">
        <f>IF(YEAR(Diario_Documentos_TPL[[#This Row],[Fecha de Pago]])=1900, "SIN PAGO",YEAR(Diario_Documentos_TPL[[#This Row],[Fecha de Pago]]))</f>
        <v>2016</v>
      </c>
      <c r="K27" s="1973">
        <v>2016</v>
      </c>
      <c r="L27" s="1972">
        <f>IF(MONTH(Diario_Documentos_TPL[[#This Row],[Fecha de Pago]])=0, "SIN PAGO",MONTH(Diario_Documentos_TPL[[#This Row],[Fecha de Pago]]))</f>
        <v>5</v>
      </c>
      <c r="M27" s="1971">
        <v>4</v>
      </c>
      <c r="N27" s="1971" t="str">
        <f>VLOOKUP(Diario_Documentos_TPL[[#This Row],[Periodo del Servicio]],'Tablas (2)'!$L$3:$M$14,2,FALSE)</f>
        <v>ABRIL</v>
      </c>
      <c r="O27" s="1971" t="s">
        <v>662</v>
      </c>
      <c r="P27" s="1971" t="s">
        <v>483</v>
      </c>
      <c r="Q27" s="1971" t="s">
        <v>165</v>
      </c>
      <c r="R27" s="1969">
        <v>2233</v>
      </c>
      <c r="S27" s="1969">
        <v>453882</v>
      </c>
      <c r="T27" s="1969" t="s">
        <v>627</v>
      </c>
      <c r="U27" s="1969">
        <v>2277</v>
      </c>
      <c r="V27" s="1969">
        <v>180002905</v>
      </c>
      <c r="W27" s="1970">
        <v>42495</v>
      </c>
      <c r="X27" s="1966">
        <f>Diario_Documentos_TPL[[#This Row],[Total Pasivo
(USD)]]/1.16</f>
        <v>4192376.5000000005</v>
      </c>
      <c r="Y27" s="1966">
        <f>Diario_Documentos_TPL[[#This Row],[Importe Pasivo
(USD)]]*0.16</f>
        <v>670780.24000000011</v>
      </c>
      <c r="Z27" s="1966">
        <v>4863156.74</v>
      </c>
      <c r="AA27" s="1966">
        <f>Diario_Documentos_TPL[[#This Row],[Total Pasivo
(MX)]]/1.16</f>
        <v>73464690.362068966</v>
      </c>
      <c r="AB27" s="1966">
        <f>Diario_Documentos_TPL[[#This Row],[Importe Pasivo
(MX)]]*0.16</f>
        <v>11754350.457931034</v>
      </c>
      <c r="AC27" s="1966">
        <v>85219040.819999993</v>
      </c>
      <c r="AD27" s="1965">
        <f>IFERROR(Diario_Documentos_TPL[[#This Row],[Total Pasivo
(MX)]]/Diario_Documentos_TPL[[#This Row],[Total Pasivo
(USD)]],0)</f>
        <v>17.52340000046965</v>
      </c>
      <c r="AE27" s="1969">
        <v>140011726</v>
      </c>
      <c r="AF27" s="1968">
        <v>42513</v>
      </c>
      <c r="AG27" s="1967">
        <f>Diario_Documentos_TPL[[#This Row],[Total de Pago
(USD)]]/1.16</f>
        <v>4192376.5000000005</v>
      </c>
      <c r="AH27" s="1966">
        <f>Diario_Documentos_TPL[[#This Row],[Importe de Pago
(USD)]]*0.16</f>
        <v>670780.24000000011</v>
      </c>
      <c r="AI27" s="1966">
        <f>Diario_Documentos_TPL[[#This Row],[Total Pasivo
(USD)]]</f>
        <v>4863156.74</v>
      </c>
      <c r="AJ27" s="1966">
        <f>Diario_Documentos_TPL[[#This Row],[Total de Pago
(MX)]]/1.16</f>
        <v>77753910.757250011</v>
      </c>
      <c r="AK27" s="1966">
        <f>Diario_Documentos_TPL[[#This Row],[Importe de Pago
(MX)]]*0.16</f>
        <v>12440625.721160002</v>
      </c>
      <c r="AL27" s="1966">
        <f>Diario_Documentos_TPL[[#This Row],[Total de Pago
(USD)]]*Diario_Documentos_TPL[[#This Row],[T.C Pago]]</f>
        <v>90194536.478410006</v>
      </c>
      <c r="AM27" s="2017">
        <v>18.546500000000002</v>
      </c>
      <c r="AN27" s="1965"/>
      <c r="AO27" s="1965"/>
      <c r="AP27" s="1965">
        <f>Diario_Documentos_TPL[[#This Row],[Importe de Pago
(MX)]]-Diario_Documentos_TPL[[#This Row],[Importe Pasivo
(MX)]]</f>
        <v>4289220.3951810449</v>
      </c>
      <c r="AQ27" s="1965">
        <f>Diario_Documentos_TPL[[#This Row],[Total_Paridad]]-Diario_Documentos_TPL[[#This Row],[Subtotal_Paridad]]</f>
        <v>686275.26322896779</v>
      </c>
      <c r="AR27" s="1964">
        <f>Diario_Documentos_TPL[[#This Row],[Total de Pago
(MX)]]-Diario_Documentos_TPL[[#This Row],[Total Pasivo
(MX)]]</f>
        <v>4975495.6584100127</v>
      </c>
      <c r="AS27" s="1980"/>
      <c r="AT27" s="1980"/>
      <c r="AU27" s="1980"/>
      <c r="AV27" s="1980"/>
    </row>
    <row r="28" spans="1:48" ht="14.25" hidden="1" customHeight="1" x14ac:dyDescent="0.25">
      <c r="A28" s="1969" t="s">
        <v>598</v>
      </c>
      <c r="B28" s="1969">
        <v>4326979</v>
      </c>
      <c r="C28" s="1969">
        <v>800642440</v>
      </c>
      <c r="D28" s="1969"/>
      <c r="E28" s="1969" t="s">
        <v>632</v>
      </c>
      <c r="F28" s="1969" t="s">
        <v>599</v>
      </c>
      <c r="G28" s="1969" t="s">
        <v>628</v>
      </c>
      <c r="H28" s="1969" t="str">
        <f>VLOOKUP(Diario_Documentos_TPL[[#This Row],[Centro Gestor]],Catalogo_Centro_Gestor[],2,FALSE)</f>
        <v>Gasoducto Corredor Chihuahua</v>
      </c>
      <c r="I28" s="1969">
        <v>2502</v>
      </c>
      <c r="J28" s="1972">
        <f>IF(YEAR(Diario_Documentos_TPL[[#This Row],[Fecha de Pago]])=1900, "SIN PAGO",YEAR(Diario_Documentos_TPL[[#This Row],[Fecha de Pago]]))</f>
        <v>2016</v>
      </c>
      <c r="K28" s="1973">
        <v>2016</v>
      </c>
      <c r="L28" s="1972">
        <f>IF(MONTH(Diario_Documentos_TPL[[#This Row],[Fecha de Pago]])=0, "SIN PAGO",MONTH(Diario_Documentos_TPL[[#This Row],[Fecha de Pago]]))</f>
        <v>9</v>
      </c>
      <c r="M28" s="1971">
        <v>8</v>
      </c>
      <c r="N28" s="1971" t="str">
        <f>VLOOKUP(Diario_Documentos_TPL[[#This Row],[Periodo del Servicio]],'Tablas (2)'!$L$3:$M$14,2,FALSE)</f>
        <v>AGOSTO</v>
      </c>
      <c r="O28" s="1971" t="s">
        <v>198</v>
      </c>
      <c r="P28" s="1971" t="s">
        <v>483</v>
      </c>
      <c r="Q28" s="1971" t="s">
        <v>165</v>
      </c>
      <c r="R28" s="1969">
        <v>2233</v>
      </c>
      <c r="S28" s="1969">
        <v>453882</v>
      </c>
      <c r="T28" s="1969" t="s">
        <v>627</v>
      </c>
      <c r="U28" s="1969">
        <v>2277</v>
      </c>
      <c r="V28" s="1969">
        <v>180006205</v>
      </c>
      <c r="W28" s="1970">
        <v>42615</v>
      </c>
      <c r="X28" s="1966">
        <f>Diario_Documentos_TPL[[#This Row],[Total Pasivo
(USD)]]/1.16</f>
        <v>4211432.7500000009</v>
      </c>
      <c r="Y28" s="1966">
        <f>Diario_Documentos_TPL[[#This Row],[Importe Pasivo
(USD)]]*0.16</f>
        <v>673829.24000000011</v>
      </c>
      <c r="Z28" s="1966">
        <v>4885261.99</v>
      </c>
      <c r="AA28" s="1966">
        <f>Diario_Documentos_TPL[[#This Row],[Total Pasivo
(MX)]]/1.16</f>
        <v>79432254.241379321</v>
      </c>
      <c r="AB28" s="1966">
        <f>Diario_Documentos_TPL[[#This Row],[Importe Pasivo
(MX)]]*0.16</f>
        <v>12709160.678620692</v>
      </c>
      <c r="AC28" s="1966">
        <v>92141414.920000002</v>
      </c>
      <c r="AD28" s="1965">
        <f>IFERROR(Diario_Documentos_TPL[[#This Row],[Total Pasivo
(MX)]]/Diario_Documentos_TPL[[#This Row],[Total Pasivo
(USD)]],0)</f>
        <v>18.861100000084129</v>
      </c>
      <c r="AE28" s="1969">
        <v>140021538</v>
      </c>
      <c r="AF28" s="1968">
        <v>42635</v>
      </c>
      <c r="AG28" s="1967">
        <f>Diario_Documentos_TPL[[#This Row],[Total de Pago
(USD)]]/1.16</f>
        <v>4211432.7500000009</v>
      </c>
      <c r="AH28" s="1966">
        <f>Diario_Documentos_TPL[[#This Row],[Importe de Pago
(USD)]]*0.16</f>
        <v>673829.24000000011</v>
      </c>
      <c r="AI28" s="1966">
        <f>Diario_Documentos_TPL[[#This Row],[Total Pasivo
(USD)]]</f>
        <v>4885261.99</v>
      </c>
      <c r="AJ28" s="1966">
        <f>Diario_Documentos_TPL[[#This Row],[Total de Pago
(MX)]]/1.16</f>
        <v>83289505.496750027</v>
      </c>
      <c r="AK28" s="1966">
        <f>Diario_Documentos_TPL[[#This Row],[Importe de Pago
(MX)]]*0.16</f>
        <v>13326320.879480004</v>
      </c>
      <c r="AL28" s="1966">
        <f>Diario_Documentos_TPL[[#This Row],[Total de Pago
(USD)]]*Diario_Documentos_TPL[[#This Row],[T.C Pago]]</f>
        <v>96615826.376230016</v>
      </c>
      <c r="AM28" s="2017">
        <v>19.777000000000001</v>
      </c>
      <c r="AN28" s="1965"/>
      <c r="AO28" s="1965"/>
      <c r="AP28" s="1965">
        <f>Diario_Documentos_TPL[[#This Row],[Importe de Pago
(MX)]]-Diario_Documentos_TPL[[#This Row],[Importe Pasivo
(MX)]]</f>
        <v>3857251.2553707063</v>
      </c>
      <c r="AQ28" s="1965">
        <f>Diario_Documentos_TPL[[#This Row],[Total_Paridad]]-Diario_Documentos_TPL[[#This Row],[Subtotal_Paridad]]</f>
        <v>617160.20085930824</v>
      </c>
      <c r="AR28" s="1964">
        <f>Diario_Documentos_TPL[[#This Row],[Total de Pago
(MX)]]-Diario_Documentos_TPL[[#This Row],[Total Pasivo
(MX)]]</f>
        <v>4474411.4562300146</v>
      </c>
      <c r="AS28" s="1980"/>
      <c r="AT28" s="1980"/>
      <c r="AU28" s="1980"/>
      <c r="AV28" s="1980"/>
    </row>
    <row r="29" spans="1:48" ht="14.25" hidden="1" customHeight="1" x14ac:dyDescent="0.25">
      <c r="A29" s="1969" t="s">
        <v>598</v>
      </c>
      <c r="B29" s="1969">
        <v>4326979</v>
      </c>
      <c r="C29" s="1969">
        <v>800642440</v>
      </c>
      <c r="D29" s="1969"/>
      <c r="E29" s="1969" t="s">
        <v>632</v>
      </c>
      <c r="F29" s="1969" t="s">
        <v>599</v>
      </c>
      <c r="G29" s="1969" t="s">
        <v>628</v>
      </c>
      <c r="H29" s="1969" t="str">
        <f>VLOOKUP(Diario_Documentos_TPL[[#This Row],[Centro Gestor]],Catalogo_Centro_Gestor[],2,FALSE)</f>
        <v>Gasoducto Corredor Chihuahua</v>
      </c>
      <c r="I29" s="1969">
        <v>2502</v>
      </c>
      <c r="J29" s="1972">
        <f>IF(YEAR(Diario_Documentos_TPL[[#This Row],[Fecha de Pago]])=1900, "SIN PAGO",YEAR(Diario_Documentos_TPL[[#This Row],[Fecha de Pago]]))</f>
        <v>2016</v>
      </c>
      <c r="K29" s="1973">
        <v>2016</v>
      </c>
      <c r="L29" s="1972">
        <f>IF(MONTH(Diario_Documentos_TPL[[#This Row],[Fecha de Pago]])=0, "SIN PAGO",MONTH(Diario_Documentos_TPL[[#This Row],[Fecha de Pago]]))</f>
        <v>2</v>
      </c>
      <c r="M29" s="1971">
        <v>1</v>
      </c>
      <c r="N29" s="1971" t="str">
        <f>VLOOKUP(Diario_Documentos_TPL[[#This Row],[Periodo del Servicio]],'Tablas (2)'!$L$3:$M$14,2,FALSE)</f>
        <v>ENERO</v>
      </c>
      <c r="O29" s="1971" t="s">
        <v>206</v>
      </c>
      <c r="P29" s="1971" t="s">
        <v>483</v>
      </c>
      <c r="Q29" s="1971" t="s">
        <v>165</v>
      </c>
      <c r="R29" s="1969">
        <v>2233</v>
      </c>
      <c r="S29" s="1969">
        <v>453882</v>
      </c>
      <c r="T29" s="1969" t="s">
        <v>627</v>
      </c>
      <c r="U29" s="1969">
        <v>2277</v>
      </c>
      <c r="V29" s="1969">
        <v>180000617</v>
      </c>
      <c r="W29" s="1970">
        <v>42410</v>
      </c>
      <c r="X29" s="1966">
        <f>Diario_Documentos_TPL[[#This Row],[Total Pasivo
(USD)]]/1.16</f>
        <v>4629995.5000000009</v>
      </c>
      <c r="Y29" s="1966">
        <f>Diario_Documentos_TPL[[#This Row],[Importe Pasivo
(USD)]]*0.16</f>
        <v>740799.28000000014</v>
      </c>
      <c r="Z29" s="1966">
        <v>5370794.7800000003</v>
      </c>
      <c r="AA29" s="1966">
        <f>Diario_Documentos_TPL[[#This Row],[Total Pasivo
(MX)]]/1.16</f>
        <v>86561932.87068966</v>
      </c>
      <c r="AB29" s="1966">
        <f>Diario_Documentos_TPL[[#This Row],[Importe Pasivo
(MX)]]*0.16</f>
        <v>13849909.259310346</v>
      </c>
      <c r="AC29" s="1966">
        <v>100411842.13</v>
      </c>
      <c r="AD29" s="1965">
        <f>IFERROR(Diario_Documentos_TPL[[#This Row],[Total Pasivo
(MX)]]/Diario_Documentos_TPL[[#This Row],[Total Pasivo
(USD)]],0)</f>
        <v>18.695900000483725</v>
      </c>
      <c r="AE29" s="1969">
        <v>140004005</v>
      </c>
      <c r="AF29" s="1968">
        <v>42423</v>
      </c>
      <c r="AG29" s="1967">
        <f>Diario_Documentos_TPL[[#This Row],[Total de Pago
(USD)]]/1.16</f>
        <v>4629995.5000000009</v>
      </c>
      <c r="AH29" s="1966">
        <f>Diario_Documentos_TPL[[#This Row],[Importe de Pago
(USD)]]*0.16</f>
        <v>740799.28000000014</v>
      </c>
      <c r="AI29" s="1966">
        <f>Diario_Documentos_TPL[[#This Row],[Total Pasivo
(USD)]]</f>
        <v>5370794.7800000003</v>
      </c>
      <c r="AJ29" s="1966">
        <f>Diario_Documentos_TPL[[#This Row],[Total de Pago
(MX)]]/1.16</f>
        <v>84618723.757100001</v>
      </c>
      <c r="AK29" s="1966">
        <f>Diario_Documentos_TPL[[#This Row],[Importe de Pago
(MX)]]*0.16</f>
        <v>13538995.801136</v>
      </c>
      <c r="AL29" s="1966">
        <f>Diario_Documentos_TPL[[#This Row],[Total de Pago
(USD)]]*Diario_Documentos_TPL[[#This Row],[T.C Pago]]</f>
        <v>98157719.558236003</v>
      </c>
      <c r="AM29" s="2017">
        <v>18.276199999999999</v>
      </c>
      <c r="AN29" s="1965"/>
      <c r="AO29" s="1965"/>
      <c r="AP29" s="1965">
        <f>Diario_Documentos_TPL[[#This Row],[Importe de Pago
(MX)]]-Diario_Documentos_TPL[[#This Row],[Importe Pasivo
(MX)]]</f>
        <v>-1943209.1135896593</v>
      </c>
      <c r="AQ29" s="1965">
        <f>Diario_Documentos_TPL[[#This Row],[Total_Paridad]]-Diario_Documentos_TPL[[#This Row],[Subtotal_Paridad]]</f>
        <v>-310913.45817433298</v>
      </c>
      <c r="AR29" s="1964">
        <f>Diario_Documentos_TPL[[#This Row],[Total de Pago
(MX)]]-Diario_Documentos_TPL[[#This Row],[Total Pasivo
(MX)]]</f>
        <v>-2254122.5717639923</v>
      </c>
      <c r="AS29" s="1980"/>
      <c r="AT29" s="1980"/>
      <c r="AU29" s="1980"/>
      <c r="AV29" s="1980"/>
    </row>
    <row r="30" spans="1:48" ht="14.25" hidden="1" customHeight="1" x14ac:dyDescent="0.25">
      <c r="A30" s="1969" t="s">
        <v>598</v>
      </c>
      <c r="B30" s="1969">
        <v>4326979</v>
      </c>
      <c r="C30" s="1969">
        <v>800642440</v>
      </c>
      <c r="D30" s="1969"/>
      <c r="E30" s="1969" t="s">
        <v>632</v>
      </c>
      <c r="F30" s="1969" t="s">
        <v>599</v>
      </c>
      <c r="G30" s="1969" t="s">
        <v>628</v>
      </c>
      <c r="H30" s="1969" t="str">
        <f>VLOOKUP(Diario_Documentos_TPL[[#This Row],[Centro Gestor]],Catalogo_Centro_Gestor[],2,FALSE)</f>
        <v>Gasoducto Corredor Chihuahua</v>
      </c>
      <c r="I30" s="1969">
        <v>2502</v>
      </c>
      <c r="J30" s="1972">
        <f>IF(YEAR(Diario_Documentos_TPL[[#This Row],[Fecha de Pago]])=1900, "SIN PAGO",YEAR(Diario_Documentos_TPL[[#This Row],[Fecha de Pago]]))</f>
        <v>2016</v>
      </c>
      <c r="K30" s="1973">
        <v>2016</v>
      </c>
      <c r="L30" s="1972">
        <f>IF(MONTH(Diario_Documentos_TPL[[#This Row],[Fecha de Pago]])=0, "SIN PAGO",MONTH(Diario_Documentos_TPL[[#This Row],[Fecha de Pago]]))</f>
        <v>3</v>
      </c>
      <c r="M30" s="1971">
        <v>2</v>
      </c>
      <c r="N30" s="1971" t="str">
        <f>VLOOKUP(Diario_Documentos_TPL[[#This Row],[Periodo del Servicio]],'Tablas (2)'!$L$3:$M$14,2,FALSE)</f>
        <v>FEBRERO</v>
      </c>
      <c r="O30" s="1971" t="s">
        <v>161</v>
      </c>
      <c r="P30" s="1971" t="s">
        <v>483</v>
      </c>
      <c r="Q30" s="1971" t="s">
        <v>165</v>
      </c>
      <c r="R30" s="1969">
        <v>2233</v>
      </c>
      <c r="S30" s="1969">
        <v>453882</v>
      </c>
      <c r="T30" s="1969" t="s">
        <v>627</v>
      </c>
      <c r="U30" s="1969">
        <v>2277</v>
      </c>
      <c r="V30" s="1969">
        <v>180001250</v>
      </c>
      <c r="W30" s="1970">
        <v>42437</v>
      </c>
      <c r="X30" s="1966">
        <f>Diario_Documentos_TPL[[#This Row],[Total Pasivo
(USD)]]/1.16</f>
        <v>4192376.5000000005</v>
      </c>
      <c r="Y30" s="1966">
        <f>Diario_Documentos_TPL[[#This Row],[Importe Pasivo
(USD)]]*0.16</f>
        <v>670780.24000000011</v>
      </c>
      <c r="Z30" s="1966">
        <v>4863156.74</v>
      </c>
      <c r="AA30" s="1966">
        <f>Diario_Documentos_TPL[[#This Row],[Total Pasivo
(MX)]]/1.16</f>
        <v>74508172.87068966</v>
      </c>
      <c r="AB30" s="1966">
        <f>Diario_Documentos_TPL[[#This Row],[Importe Pasivo
(MX)]]*0.16</f>
        <v>11921307.659310346</v>
      </c>
      <c r="AC30" s="1966">
        <v>86429480.530000001</v>
      </c>
      <c r="AD30" s="1965">
        <f>IFERROR(Diario_Documentos_TPL[[#This Row],[Total Pasivo
(MX)]]/Diario_Documentos_TPL[[#This Row],[Total Pasivo
(USD)]],0)</f>
        <v>17.7722999999379</v>
      </c>
      <c r="AE30" s="1969">
        <v>140006667</v>
      </c>
      <c r="AF30" s="1968">
        <v>42451</v>
      </c>
      <c r="AG30" s="1967">
        <f>Diario_Documentos_TPL[[#This Row],[Total de Pago
(USD)]]/1.16</f>
        <v>4192376.5000000005</v>
      </c>
      <c r="AH30" s="1966">
        <f>Diario_Documentos_TPL[[#This Row],[Importe de Pago
(USD)]]*0.16</f>
        <v>670780.24000000011</v>
      </c>
      <c r="AI30" s="1966">
        <f>Diario_Documentos_TPL[[#This Row],[Total Pasivo
(USD)]]</f>
        <v>4863156.74</v>
      </c>
      <c r="AJ30" s="1966">
        <f>Diario_Documentos_TPL[[#This Row],[Total de Pago
(MX)]]/1.16</f>
        <v>72961605.180100009</v>
      </c>
      <c r="AK30" s="1966">
        <f>Diario_Documentos_TPL[[#This Row],[Importe de Pago
(MX)]]*0.16</f>
        <v>11673856.828816002</v>
      </c>
      <c r="AL30" s="1966">
        <f>Diario_Documentos_TPL[[#This Row],[Total de Pago
(USD)]]*Diario_Documentos_TPL[[#This Row],[T.C Pago]]</f>
        <v>84635462.008916005</v>
      </c>
      <c r="AM30" s="2017">
        <v>17.403400000000001</v>
      </c>
      <c r="AN30" s="1965"/>
      <c r="AO30" s="1965"/>
      <c r="AP30" s="1965">
        <f>Diario_Documentos_TPL[[#This Row],[Importe de Pago
(MX)]]-Diario_Documentos_TPL[[#This Row],[Importe Pasivo
(MX)]]</f>
        <v>-1546567.6905896515</v>
      </c>
      <c r="AQ30" s="1965">
        <f>Diario_Documentos_TPL[[#This Row],[Total_Paridad]]-Diario_Documentos_TPL[[#This Row],[Subtotal_Paridad]]</f>
        <v>-247450.83049434423</v>
      </c>
      <c r="AR30" s="1964">
        <f>Diario_Documentos_TPL[[#This Row],[Total de Pago
(MX)]]-Diario_Documentos_TPL[[#This Row],[Total Pasivo
(MX)]]</f>
        <v>-1794018.5210839957</v>
      </c>
      <c r="AS30" s="1980"/>
      <c r="AT30" s="1980"/>
      <c r="AU30" s="1980"/>
      <c r="AV30" s="1980"/>
    </row>
    <row r="31" spans="1:48" ht="14.25" hidden="1" customHeight="1" x14ac:dyDescent="0.25">
      <c r="A31" s="1969" t="s">
        <v>598</v>
      </c>
      <c r="B31" s="1969">
        <v>4326979</v>
      </c>
      <c r="C31" s="1969">
        <v>800642440</v>
      </c>
      <c r="D31" s="1969"/>
      <c r="E31" s="1969" t="s">
        <v>632</v>
      </c>
      <c r="F31" s="1969" t="s">
        <v>599</v>
      </c>
      <c r="G31" s="1969" t="s">
        <v>628</v>
      </c>
      <c r="H31" s="1969" t="str">
        <f>VLOOKUP(Diario_Documentos_TPL[[#This Row],[Centro Gestor]],Catalogo_Centro_Gestor[],2,FALSE)</f>
        <v>Gasoducto Corredor Chihuahua</v>
      </c>
      <c r="I31" s="1969">
        <v>2502</v>
      </c>
      <c r="J31" s="1972">
        <f>IF(YEAR(Diario_Documentos_TPL[[#This Row],[Fecha de Pago]])=1900, "SIN PAGO",YEAR(Diario_Documentos_TPL[[#This Row],[Fecha de Pago]]))</f>
        <v>2016</v>
      </c>
      <c r="K31" s="1973">
        <v>2016</v>
      </c>
      <c r="L31" s="1972">
        <f>IF(MONTH(Diario_Documentos_TPL[[#This Row],[Fecha de Pago]])=0, "SIN PAGO",MONTH(Diario_Documentos_TPL[[#This Row],[Fecha de Pago]]))</f>
        <v>8</v>
      </c>
      <c r="M31" s="1971">
        <v>7</v>
      </c>
      <c r="N31" s="1971" t="str">
        <f>VLOOKUP(Diario_Documentos_TPL[[#This Row],[Periodo del Servicio]],'Tablas (2)'!$L$3:$M$14,2,FALSE)</f>
        <v>JULIO</v>
      </c>
      <c r="O31" s="1971" t="s">
        <v>197</v>
      </c>
      <c r="P31" s="1971" t="s">
        <v>483</v>
      </c>
      <c r="Q31" s="1971" t="s">
        <v>165</v>
      </c>
      <c r="R31" s="1969">
        <v>2233</v>
      </c>
      <c r="S31" s="1969">
        <v>453882</v>
      </c>
      <c r="T31" s="1969" t="s">
        <v>627</v>
      </c>
      <c r="U31" s="1969">
        <v>2277</v>
      </c>
      <c r="V31" s="1969">
        <v>180005490</v>
      </c>
      <c r="W31" s="1970">
        <v>42585</v>
      </c>
      <c r="X31" s="1966">
        <f>Diario_Documentos_TPL[[#This Row],[Total Pasivo
(USD)]]/1.16</f>
        <v>4211432.7500000009</v>
      </c>
      <c r="Y31" s="1966">
        <f>Diario_Documentos_TPL[[#This Row],[Importe Pasivo
(USD)]]*0.16</f>
        <v>673829.24000000011</v>
      </c>
      <c r="Z31" s="1966">
        <v>4885261.99</v>
      </c>
      <c r="AA31" s="1966">
        <f>Diario_Documentos_TPL[[#This Row],[Total Pasivo
(MX)]]/1.16</f>
        <v>79387191.913793117</v>
      </c>
      <c r="AB31" s="1966">
        <f>Diario_Documentos_TPL[[#This Row],[Importe Pasivo
(MX)]]*0.16</f>
        <v>12701950.706206899</v>
      </c>
      <c r="AC31" s="1966">
        <v>92089142.620000005</v>
      </c>
      <c r="AD31" s="1965">
        <f>IFERROR(Diario_Documentos_TPL[[#This Row],[Total Pasivo
(MX)]]/Diario_Documentos_TPL[[#This Row],[Total Pasivo
(USD)]],0)</f>
        <v>18.850400000758199</v>
      </c>
      <c r="AE31" s="1969">
        <v>140019116</v>
      </c>
      <c r="AF31" s="1968">
        <v>42604</v>
      </c>
      <c r="AG31" s="1967">
        <f>Diario_Documentos_TPL[[#This Row],[Total de Pago
(USD)]]/1.16</f>
        <v>4211432.7500000009</v>
      </c>
      <c r="AH31" s="1966">
        <f>Diario_Documentos_TPL[[#This Row],[Importe de Pago
(USD)]]*0.16</f>
        <v>673829.24000000011</v>
      </c>
      <c r="AI31" s="1966">
        <f>Diario_Documentos_TPL[[#This Row],[Total Pasivo
(USD)]]</f>
        <v>4885261.99</v>
      </c>
      <c r="AJ31" s="1966">
        <f>Diario_Documentos_TPL[[#This Row],[Total de Pago
(MX)]]/1.16</f>
        <v>76156180.704800025</v>
      </c>
      <c r="AK31" s="1966">
        <f>Diario_Documentos_TPL[[#This Row],[Importe de Pago
(MX)]]*0.16</f>
        <v>12184988.912768004</v>
      </c>
      <c r="AL31" s="1966">
        <f>Diario_Documentos_TPL[[#This Row],[Total de Pago
(USD)]]*Diario_Documentos_TPL[[#This Row],[T.C Pago]]</f>
        <v>88341169.617568016</v>
      </c>
      <c r="AM31" s="2017">
        <v>18.083200000000001</v>
      </c>
      <c r="AN31" s="1965"/>
      <c r="AO31" s="1965"/>
      <c r="AP31" s="1965">
        <f>Diario_Documentos_TPL[[#This Row],[Importe de Pago
(MX)]]-Diario_Documentos_TPL[[#This Row],[Importe Pasivo
(MX)]]</f>
        <v>-3231011.2089930922</v>
      </c>
      <c r="AQ31" s="1965">
        <f>Diario_Documentos_TPL[[#This Row],[Total_Paridad]]-Diario_Documentos_TPL[[#This Row],[Subtotal_Paridad]]</f>
        <v>-516961.79343889654</v>
      </c>
      <c r="AR31" s="1964">
        <f>Diario_Documentos_TPL[[#This Row],[Total de Pago
(MX)]]-Diario_Documentos_TPL[[#This Row],[Total Pasivo
(MX)]]</f>
        <v>-3747973.0024319887</v>
      </c>
      <c r="AS31" s="1980"/>
      <c r="AT31" s="1980"/>
      <c r="AU31" s="1980"/>
      <c r="AV31" s="1980"/>
    </row>
    <row r="32" spans="1:48" ht="14.25" hidden="1" customHeight="1" x14ac:dyDescent="0.25">
      <c r="A32" s="1969" t="s">
        <v>598</v>
      </c>
      <c r="B32" s="1969">
        <v>4326979</v>
      </c>
      <c r="C32" s="1969">
        <v>800642440</v>
      </c>
      <c r="D32" s="1969"/>
      <c r="E32" s="1969" t="s">
        <v>632</v>
      </c>
      <c r="F32" s="1969" t="s">
        <v>599</v>
      </c>
      <c r="G32" s="1969" t="s">
        <v>628</v>
      </c>
      <c r="H32" s="1969" t="str">
        <f>VLOOKUP(Diario_Documentos_TPL[[#This Row],[Centro Gestor]],Catalogo_Centro_Gestor[],2,FALSE)</f>
        <v>Gasoducto Corredor Chihuahua</v>
      </c>
      <c r="I32" s="1969">
        <v>2502</v>
      </c>
      <c r="J32" s="1972">
        <f>IF(YEAR(Diario_Documentos_TPL[[#This Row],[Fecha de Pago]])=1900, "SIN PAGO",YEAR(Diario_Documentos_TPL[[#This Row],[Fecha de Pago]]))</f>
        <v>2016</v>
      </c>
      <c r="K32" s="1973">
        <v>2016</v>
      </c>
      <c r="L32" s="1972">
        <f>IF(MONTH(Diario_Documentos_TPL[[#This Row],[Fecha de Pago]])=0, "SIN PAGO",MONTH(Diario_Documentos_TPL[[#This Row],[Fecha de Pago]]))</f>
        <v>7</v>
      </c>
      <c r="M32" s="1971">
        <v>6</v>
      </c>
      <c r="N32" s="1971" t="str">
        <f>VLOOKUP(Diario_Documentos_TPL[[#This Row],[Periodo del Servicio]],'Tablas (2)'!$L$3:$M$14,2,FALSE)</f>
        <v>JUNIO</v>
      </c>
      <c r="O32" s="1971" t="s">
        <v>195</v>
      </c>
      <c r="P32" s="1971" t="s">
        <v>483</v>
      </c>
      <c r="Q32" s="1971" t="s">
        <v>165</v>
      </c>
      <c r="R32" s="1969">
        <v>2233</v>
      </c>
      <c r="S32" s="1969">
        <v>453882</v>
      </c>
      <c r="T32" s="1969" t="s">
        <v>627</v>
      </c>
      <c r="U32" s="1969">
        <v>2277</v>
      </c>
      <c r="V32" s="1969">
        <v>180004799</v>
      </c>
      <c r="W32" s="1970">
        <v>42559</v>
      </c>
      <c r="X32" s="1966">
        <f>Diario_Documentos_TPL[[#This Row],[Total Pasivo
(USD)]]/1.16</f>
        <v>4211432.7500000009</v>
      </c>
      <c r="Y32" s="1966">
        <f>Diario_Documentos_TPL[[#This Row],[Importe Pasivo
(USD)]]*0.16</f>
        <v>673829.24000000011</v>
      </c>
      <c r="Z32" s="1966">
        <v>4885261.99</v>
      </c>
      <c r="AA32" s="1966">
        <f>Diario_Documentos_TPL[[#This Row],[Total Pasivo
(MX)]]/1.16</f>
        <v>79242739.767241374</v>
      </c>
      <c r="AB32" s="1966">
        <f>Diario_Documentos_TPL[[#This Row],[Importe Pasivo
(MX)]]*0.16</f>
        <v>12678838.36275862</v>
      </c>
      <c r="AC32" s="1966">
        <v>91921578.129999995</v>
      </c>
      <c r="AD32" s="1965">
        <f>IFERROR(Diario_Documentos_TPL[[#This Row],[Total Pasivo
(MX)]]/Diario_Documentos_TPL[[#This Row],[Total Pasivo
(USD)]],0)</f>
        <v>18.816099999992016</v>
      </c>
      <c r="AE32" s="1969">
        <v>140016934</v>
      </c>
      <c r="AF32" s="1968">
        <v>42573</v>
      </c>
      <c r="AG32" s="1967">
        <f>Diario_Documentos_TPL[[#This Row],[Total de Pago
(USD)]]/1.16</f>
        <v>4211432.7500000009</v>
      </c>
      <c r="AH32" s="1966">
        <f>Diario_Documentos_TPL[[#This Row],[Importe de Pago
(USD)]]*0.16</f>
        <v>673829.24000000011</v>
      </c>
      <c r="AI32" s="1966">
        <f>Diario_Documentos_TPL[[#This Row],[Total Pasivo
(USD)]]</f>
        <v>4885261.99</v>
      </c>
      <c r="AJ32" s="1966">
        <f>Diario_Documentos_TPL[[#This Row],[Total de Pago
(MX)]]/1.16</f>
        <v>78218519.322475016</v>
      </c>
      <c r="AK32" s="1966">
        <f>Diario_Documentos_TPL[[#This Row],[Importe de Pago
(MX)]]*0.16</f>
        <v>12514963.091596004</v>
      </c>
      <c r="AL32" s="1966">
        <f>Diario_Documentos_TPL[[#This Row],[Total de Pago
(USD)]]*Diario_Documentos_TPL[[#This Row],[T.C Pago]]</f>
        <v>90733482.414071009</v>
      </c>
      <c r="AM32" s="2017">
        <v>18.572900000000001</v>
      </c>
      <c r="AN32" s="1965"/>
      <c r="AO32" s="1965"/>
      <c r="AP32" s="1965">
        <f>Diario_Documentos_TPL[[#This Row],[Importe de Pago
(MX)]]-Diario_Documentos_TPL[[#This Row],[Importe Pasivo
(MX)]]</f>
        <v>-1024220.4447663575</v>
      </c>
      <c r="AQ32" s="1965">
        <f>Diario_Documentos_TPL[[#This Row],[Total_Paridad]]-Diario_Documentos_TPL[[#This Row],[Subtotal_Paridad]]</f>
        <v>-163875.27116262913</v>
      </c>
      <c r="AR32" s="1964">
        <f>Diario_Documentos_TPL[[#This Row],[Total de Pago
(MX)]]-Diario_Documentos_TPL[[#This Row],[Total Pasivo
(MX)]]</f>
        <v>-1188095.7159289867</v>
      </c>
      <c r="AS32" s="1980"/>
      <c r="AT32" s="1980"/>
      <c r="AU32" s="1980"/>
      <c r="AV32" s="1980"/>
    </row>
    <row r="33" spans="1:48" ht="14.25" hidden="1" customHeight="1" x14ac:dyDescent="0.25">
      <c r="A33" s="1969" t="s">
        <v>598</v>
      </c>
      <c r="B33" s="1969">
        <v>4326979</v>
      </c>
      <c r="C33" s="1969">
        <v>800642440</v>
      </c>
      <c r="D33" s="1969"/>
      <c r="E33" s="1969" t="s">
        <v>632</v>
      </c>
      <c r="F33" s="1969" t="s">
        <v>599</v>
      </c>
      <c r="G33" s="1969" t="s">
        <v>628</v>
      </c>
      <c r="H33" s="1969" t="str">
        <f>VLOOKUP(Diario_Documentos_TPL[[#This Row],[Centro Gestor]],Catalogo_Centro_Gestor[],2,FALSE)</f>
        <v>Gasoducto Corredor Chihuahua</v>
      </c>
      <c r="I33" s="1969">
        <v>2502</v>
      </c>
      <c r="J33" s="1972">
        <f>IF(YEAR(Diario_Documentos_TPL[[#This Row],[Fecha de Pago]])=1900, "SIN PAGO",YEAR(Diario_Documentos_TPL[[#This Row],[Fecha de Pago]]))</f>
        <v>2016</v>
      </c>
      <c r="K33" s="1973">
        <v>2016</v>
      </c>
      <c r="L33" s="1972">
        <f>IF(MONTH(Diario_Documentos_TPL[[#This Row],[Fecha de Pago]])=0, "SIN PAGO",MONTH(Diario_Documentos_TPL[[#This Row],[Fecha de Pago]]))</f>
        <v>4</v>
      </c>
      <c r="M33" s="1971">
        <v>3</v>
      </c>
      <c r="N33" s="1971" t="str">
        <f>VLOOKUP(Diario_Documentos_TPL[[#This Row],[Periodo del Servicio]],'Tablas (2)'!$L$3:$M$14,2,FALSE)</f>
        <v>MARZO</v>
      </c>
      <c r="O33" s="1971" t="s">
        <v>661</v>
      </c>
      <c r="P33" s="1971" t="s">
        <v>483</v>
      </c>
      <c r="Q33" s="1971" t="s">
        <v>165</v>
      </c>
      <c r="R33" s="1969">
        <v>2233</v>
      </c>
      <c r="S33" s="1969">
        <v>453882</v>
      </c>
      <c r="T33" s="1969" t="s">
        <v>627</v>
      </c>
      <c r="U33" s="1969">
        <v>2277</v>
      </c>
      <c r="V33" s="1969">
        <v>180002132</v>
      </c>
      <c r="W33" s="1970">
        <v>42467</v>
      </c>
      <c r="X33" s="1966">
        <f>Diario_Documentos_TPL[[#This Row],[Total Pasivo
(USD)]]/1.16</f>
        <v>4192376.5000000005</v>
      </c>
      <c r="Y33" s="1966">
        <f>Diario_Documentos_TPL[[#This Row],[Importe Pasivo
(USD)]]*0.16</f>
        <v>670780.24000000011</v>
      </c>
      <c r="Z33" s="1966">
        <v>4863156.74</v>
      </c>
      <c r="AA33" s="1966">
        <f>Diario_Documentos_TPL[[#This Row],[Total Pasivo
(MX)]]/1.16</f>
        <v>74310711.93965517</v>
      </c>
      <c r="AB33" s="1966">
        <f>Diario_Documentos_TPL[[#This Row],[Importe Pasivo
(MX)]]*0.16</f>
        <v>11889713.910344828</v>
      </c>
      <c r="AC33" s="1966">
        <v>86200425.849999994</v>
      </c>
      <c r="AD33" s="1965">
        <f>IFERROR(Diario_Documentos_TPL[[#This Row],[Total Pasivo
(MX)]]/Diario_Documentos_TPL[[#This Row],[Total Pasivo
(USD)]],0)</f>
        <v>17.725200000442509</v>
      </c>
      <c r="AE33" s="1969">
        <v>140009205</v>
      </c>
      <c r="AF33" s="1968">
        <v>42485</v>
      </c>
      <c r="AG33" s="1967">
        <f>Diario_Documentos_TPL[[#This Row],[Total de Pago
(USD)]]/1.16</f>
        <v>4192376.5000000005</v>
      </c>
      <c r="AH33" s="1966">
        <f>Diario_Documentos_TPL[[#This Row],[Importe de Pago
(USD)]]*0.16</f>
        <v>670780.24000000011</v>
      </c>
      <c r="AI33" s="1966">
        <f>Diario_Documentos_TPL[[#This Row],[Total Pasivo
(USD)]]</f>
        <v>4863156.74</v>
      </c>
      <c r="AJ33" s="1966">
        <f>Diario_Documentos_TPL[[#This Row],[Total de Pago
(MX)]]/1.16</f>
        <v>73032037.105300009</v>
      </c>
      <c r="AK33" s="1966">
        <f>Diario_Documentos_TPL[[#This Row],[Importe de Pago
(MX)]]*0.16</f>
        <v>11685125.936848002</v>
      </c>
      <c r="AL33" s="1966">
        <f>Diario_Documentos_TPL[[#This Row],[Total de Pago
(USD)]]*Diario_Documentos_TPL[[#This Row],[T.C Pago]]</f>
        <v>84717163.042148009</v>
      </c>
      <c r="AM33" s="2017">
        <v>17.420200000000001</v>
      </c>
      <c r="AN33" s="1965"/>
      <c r="AO33" s="1965"/>
      <c r="AP33" s="1965">
        <f>Diario_Documentos_TPL[[#This Row],[Importe de Pago
(MX)]]-Diario_Documentos_TPL[[#This Row],[Importe Pasivo
(MX)]]</f>
        <v>-1278674.8343551606</v>
      </c>
      <c r="AQ33" s="1965">
        <f>Diario_Documentos_TPL[[#This Row],[Total_Paridad]]-Diario_Documentos_TPL[[#This Row],[Subtotal_Paridad]]</f>
        <v>-204587.9734968245</v>
      </c>
      <c r="AR33" s="1964">
        <f>Diario_Documentos_TPL[[#This Row],[Total de Pago
(MX)]]-Diario_Documentos_TPL[[#This Row],[Total Pasivo
(MX)]]</f>
        <v>-1483262.8078519851</v>
      </c>
      <c r="AS33" s="1980"/>
      <c r="AT33" s="1980"/>
      <c r="AU33" s="1980"/>
      <c r="AV33" s="1980"/>
    </row>
    <row r="34" spans="1:48" ht="14.25" hidden="1" customHeight="1" x14ac:dyDescent="0.25">
      <c r="A34" s="1969" t="s">
        <v>598</v>
      </c>
      <c r="B34" s="1969">
        <v>4326979</v>
      </c>
      <c r="C34" s="1969">
        <v>800642440</v>
      </c>
      <c r="D34" s="1969"/>
      <c r="E34" s="1969" t="s">
        <v>632</v>
      </c>
      <c r="F34" s="1969" t="s">
        <v>599</v>
      </c>
      <c r="G34" s="1969" t="s">
        <v>628</v>
      </c>
      <c r="H34" s="1969" t="str">
        <f>VLOOKUP(Diario_Documentos_TPL[[#This Row],[Centro Gestor]],Catalogo_Centro_Gestor[],2,FALSE)</f>
        <v>Gasoducto Corredor Chihuahua</v>
      </c>
      <c r="I34" s="1969">
        <v>2502</v>
      </c>
      <c r="J34" s="1972">
        <f>IF(YEAR(Diario_Documentos_TPL[[#This Row],[Fecha de Pago]])=1900, "SIN PAGO",YEAR(Diario_Documentos_TPL[[#This Row],[Fecha de Pago]]))</f>
        <v>2016</v>
      </c>
      <c r="K34" s="1973">
        <v>2016</v>
      </c>
      <c r="L34" s="1972">
        <f>IF(MONTH(Diario_Documentos_TPL[[#This Row],[Fecha de Pago]])=0, "SIN PAGO",MONTH(Diario_Documentos_TPL[[#This Row],[Fecha de Pago]]))</f>
        <v>6</v>
      </c>
      <c r="M34" s="1971">
        <v>5</v>
      </c>
      <c r="N34" s="1971" t="str">
        <f>VLOOKUP(Diario_Documentos_TPL[[#This Row],[Periodo del Servicio]],'Tablas (2)'!$L$3:$M$14,2,FALSE)</f>
        <v>MAYO</v>
      </c>
      <c r="O34" s="1971" t="s">
        <v>193</v>
      </c>
      <c r="P34" s="1971" t="s">
        <v>483</v>
      </c>
      <c r="Q34" s="1971" t="s">
        <v>165</v>
      </c>
      <c r="R34" s="1969">
        <v>2233</v>
      </c>
      <c r="S34" s="1969">
        <v>453882</v>
      </c>
      <c r="T34" s="1969" t="s">
        <v>627</v>
      </c>
      <c r="U34" s="1969">
        <v>2277</v>
      </c>
      <c r="V34" s="1969">
        <v>180003873</v>
      </c>
      <c r="W34" s="1970">
        <v>42528</v>
      </c>
      <c r="X34" s="1966">
        <f>Diario_Documentos_TPL[[#This Row],[Total Pasivo
(USD)]]/1.16</f>
        <v>4211432.7500000009</v>
      </c>
      <c r="Y34" s="1966">
        <f>Diario_Documentos_TPL[[#This Row],[Importe Pasivo
(USD)]]*0.16</f>
        <v>673829.24000000011</v>
      </c>
      <c r="Z34" s="1966">
        <v>4885261.99</v>
      </c>
      <c r="AA34" s="1966">
        <f>Diario_Documentos_TPL[[#This Row],[Total Pasivo
(MX)]]/1.16</f>
        <v>78451832.698275879</v>
      </c>
      <c r="AB34" s="1966">
        <f>Diario_Documentos_TPL[[#This Row],[Importe Pasivo
(MX)]]*0.16</f>
        <v>12552293.231724141</v>
      </c>
      <c r="AC34" s="1966">
        <v>91004125.930000007</v>
      </c>
      <c r="AD34" s="1965">
        <f>IFERROR(Diario_Documentos_TPL[[#This Row],[Total Pasivo
(MX)]]/Diario_Documentos_TPL[[#This Row],[Total Pasivo
(USD)]],0)</f>
        <v>18.628300000344506</v>
      </c>
      <c r="AE34" s="1969">
        <v>140014414</v>
      </c>
      <c r="AF34" s="1968">
        <v>42543</v>
      </c>
      <c r="AG34" s="1967">
        <f>Diario_Documentos_TPL[[#This Row],[Total de Pago
(USD)]]/1.16</f>
        <v>4211432.7500000009</v>
      </c>
      <c r="AH34" s="1966">
        <f>Diario_Documentos_TPL[[#This Row],[Importe de Pago
(USD)]]*0.16</f>
        <v>673829.24000000011</v>
      </c>
      <c r="AI34" s="1966">
        <f>Diario_Documentos_TPL[[#This Row],[Total Pasivo
(USD)]]</f>
        <v>4885261.99</v>
      </c>
      <c r="AJ34" s="1966">
        <f>Diario_Documentos_TPL[[#This Row],[Total de Pago
(MX)]]/1.16</f>
        <v>78568068.240725011</v>
      </c>
      <c r="AK34" s="1966">
        <f>Diario_Documentos_TPL[[#This Row],[Importe de Pago
(MX)]]*0.16</f>
        <v>12570890.918516003</v>
      </c>
      <c r="AL34" s="1966">
        <f>Diario_Documentos_TPL[[#This Row],[Total de Pago
(USD)]]*Diario_Documentos_TPL[[#This Row],[T.C Pago]]</f>
        <v>91138959.159241006</v>
      </c>
      <c r="AM34" s="2017">
        <v>18.655899999999999</v>
      </c>
      <c r="AN34" s="1965"/>
      <c r="AO34" s="1965"/>
      <c r="AP34" s="1965">
        <f>Diario_Documentos_TPL[[#This Row],[Importe de Pago
(MX)]]-Diario_Documentos_TPL[[#This Row],[Importe Pasivo
(MX)]]</f>
        <v>116235.54244913161</v>
      </c>
      <c r="AQ34" s="1965">
        <f>Diario_Documentos_TPL[[#This Row],[Total_Paridad]]-Diario_Documentos_TPL[[#This Row],[Subtotal_Paridad]]</f>
        <v>18597.686791867018</v>
      </c>
      <c r="AR34" s="1964">
        <f>Diario_Documentos_TPL[[#This Row],[Total de Pago
(MX)]]-Diario_Documentos_TPL[[#This Row],[Total Pasivo
(MX)]]</f>
        <v>134833.22924099863</v>
      </c>
      <c r="AS34" s="1980"/>
      <c r="AT34" s="1980"/>
      <c r="AU34" s="1980"/>
      <c r="AV34" s="1980"/>
    </row>
    <row r="35" spans="1:48" ht="14.25" hidden="1" customHeight="1" x14ac:dyDescent="0.25">
      <c r="A35" s="1969" t="s">
        <v>598</v>
      </c>
      <c r="B35" s="1969">
        <v>4326979</v>
      </c>
      <c r="C35" s="1969">
        <v>800642440</v>
      </c>
      <c r="D35" s="1969"/>
      <c r="E35" s="1969" t="s">
        <v>632</v>
      </c>
      <c r="F35" s="1969" t="s">
        <v>599</v>
      </c>
      <c r="G35" s="1969" t="s">
        <v>628</v>
      </c>
      <c r="H35" s="1969" t="str">
        <f>VLOOKUP(Diario_Documentos_TPL[[#This Row],[Centro Gestor]],Catalogo_Centro_Gestor[],2,FALSE)</f>
        <v>Gasoducto Corredor Chihuahua</v>
      </c>
      <c r="I35" s="1969">
        <v>2502</v>
      </c>
      <c r="J35" s="1972">
        <f>IF(YEAR(Diario_Documentos_TPL[[#This Row],[Fecha de Pago]])=1900, "SIN PAGO",YEAR(Diario_Documentos_TPL[[#This Row],[Fecha de Pago]]))</f>
        <v>2016</v>
      </c>
      <c r="K35" s="1973">
        <v>2016</v>
      </c>
      <c r="L35" s="1972">
        <f>IF(MONTH(Diario_Documentos_TPL[[#This Row],[Fecha de Pago]])=0, "SIN PAGO",MONTH(Diario_Documentos_TPL[[#This Row],[Fecha de Pago]]))</f>
        <v>12</v>
      </c>
      <c r="M35" s="1971">
        <v>11</v>
      </c>
      <c r="N35" s="1971" t="str">
        <f>VLOOKUP(Diario_Documentos_TPL[[#This Row],[Periodo del Servicio]],'Tablas (2)'!$L$3:$M$14,2,FALSE)</f>
        <v>NOVIEMBRE</v>
      </c>
      <c r="O35" s="1971" t="s">
        <v>202</v>
      </c>
      <c r="P35" s="1971" t="s">
        <v>483</v>
      </c>
      <c r="Q35" s="1971" t="s">
        <v>165</v>
      </c>
      <c r="R35" s="1969">
        <v>2233</v>
      </c>
      <c r="S35" s="1969">
        <v>453882</v>
      </c>
      <c r="T35" s="1969" t="s">
        <v>627</v>
      </c>
      <c r="U35" s="1969">
        <v>2277</v>
      </c>
      <c r="V35" s="1969">
        <v>180009445</v>
      </c>
      <c r="W35" s="1970">
        <v>42711</v>
      </c>
      <c r="X35" s="1966">
        <f>Diario_Documentos_TPL[[#This Row],[Total Pasivo
(USD)]]/1.16</f>
        <v>4211432.7586206896</v>
      </c>
      <c r="Y35" s="1966">
        <f>Diario_Documentos_TPL[[#This Row],[Importe Pasivo
(USD)]]*0.16</f>
        <v>673829.24137931038</v>
      </c>
      <c r="Z35" s="1966">
        <v>4885262</v>
      </c>
      <c r="AA35" s="1966">
        <f>Diario_Documentos_TPL[[#This Row],[Total Pasivo
(MX)]]/1.16</f>
        <v>86724771.37068966</v>
      </c>
      <c r="AB35" s="1966">
        <f>Diario_Documentos_TPL[[#This Row],[Importe Pasivo
(MX)]]*0.16</f>
        <v>13875963.419310346</v>
      </c>
      <c r="AC35" s="1966">
        <v>100600734.79000001</v>
      </c>
      <c r="AD35" s="1965">
        <f>IFERROR(Diario_Documentos_TPL[[#This Row],[Total Pasivo
(MX)]]/Diario_Documentos_TPL[[#This Row],[Total Pasivo
(USD)]],0)</f>
        <v>20.592700000532215</v>
      </c>
      <c r="AE35" s="1969">
        <v>140028802</v>
      </c>
      <c r="AF35" s="1968">
        <v>42731</v>
      </c>
      <c r="AG35" s="1967">
        <f>Diario_Documentos_TPL[[#This Row],[Total de Pago
(USD)]]/1.16</f>
        <v>4211432.7586206896</v>
      </c>
      <c r="AH35" s="1966">
        <f>Diario_Documentos_TPL[[#This Row],[Importe de Pago
(USD)]]*0.16</f>
        <v>673829.24137931038</v>
      </c>
      <c r="AI35" s="1966">
        <f>Diario_Documentos_TPL[[#This Row],[Total Pasivo
(USD)]]</f>
        <v>4885262</v>
      </c>
      <c r="AJ35" s="1966">
        <f>Diario_Documentos_TPL[[#This Row],[Total de Pago
(MX)]]/1.16</f>
        <v>86869644.655344829</v>
      </c>
      <c r="AK35" s="1966">
        <f>Diario_Documentos_TPL[[#This Row],[Importe de Pago
(MX)]]*0.16</f>
        <v>13899143.144855173</v>
      </c>
      <c r="AL35" s="1966">
        <f>Diario_Documentos_TPL[[#This Row],[Total de Pago
(USD)]]*Diario_Documentos_TPL[[#This Row],[T.C Pago]]</f>
        <v>100768787.8002</v>
      </c>
      <c r="AM35" s="2017">
        <v>20.627099999999999</v>
      </c>
      <c r="AN35" s="1965"/>
      <c r="AO35" s="1965"/>
      <c r="AP35" s="1965">
        <f>Diario_Documentos_TPL[[#This Row],[Importe de Pago
(MX)]]-Diario_Documentos_TPL[[#This Row],[Importe Pasivo
(MX)]]</f>
        <v>144873.28465516865</v>
      </c>
      <c r="AQ35" s="1965">
        <f>Diario_Documentos_TPL[[#This Row],[Total_Paridad]]-Diario_Documentos_TPL[[#This Row],[Subtotal_Paridad]]</f>
        <v>23179.725544825196</v>
      </c>
      <c r="AR35" s="1964">
        <f>Diario_Documentos_TPL[[#This Row],[Total de Pago
(MX)]]-Diario_Documentos_TPL[[#This Row],[Total Pasivo
(MX)]]</f>
        <v>168053.01019999385</v>
      </c>
      <c r="AS35" s="1980"/>
      <c r="AT35" s="1980"/>
      <c r="AU35" s="1980"/>
      <c r="AV35" s="1980"/>
    </row>
    <row r="36" spans="1:48" ht="14.25" hidden="1" customHeight="1" x14ac:dyDescent="0.25">
      <c r="A36" s="1969" t="s">
        <v>598</v>
      </c>
      <c r="B36" s="1969">
        <v>4326979</v>
      </c>
      <c r="C36" s="1969">
        <v>800642440</v>
      </c>
      <c r="D36" s="1969"/>
      <c r="E36" s="1969" t="s">
        <v>632</v>
      </c>
      <c r="F36" s="1969" t="s">
        <v>599</v>
      </c>
      <c r="G36" s="1969" t="s">
        <v>628</v>
      </c>
      <c r="H36" s="1969" t="str">
        <f>VLOOKUP(Diario_Documentos_TPL[[#This Row],[Centro Gestor]],Catalogo_Centro_Gestor[],2,FALSE)</f>
        <v>Gasoducto Corredor Chihuahua</v>
      </c>
      <c r="I36" s="1969">
        <v>2502</v>
      </c>
      <c r="J36" s="1972">
        <f>IF(YEAR(Diario_Documentos_TPL[[#This Row],[Fecha de Pago]])=1900, "SIN PAGO",YEAR(Diario_Documentos_TPL[[#This Row],[Fecha de Pago]]))</f>
        <v>2016</v>
      </c>
      <c r="K36" s="1973">
        <v>2016</v>
      </c>
      <c r="L36" s="1972">
        <f>IF(MONTH(Diario_Documentos_TPL[[#This Row],[Fecha de Pago]])=0, "SIN PAGO",MONTH(Diario_Documentos_TPL[[#This Row],[Fecha de Pago]]))</f>
        <v>12</v>
      </c>
      <c r="M36" s="1971">
        <v>10</v>
      </c>
      <c r="N36" s="1971" t="str">
        <f>VLOOKUP(Diario_Documentos_TPL[[#This Row],[Periodo del Servicio]],'Tablas (2)'!$L$3:$M$14,2,FALSE)</f>
        <v>OCTUBRE</v>
      </c>
      <c r="O36" s="1971" t="s">
        <v>660</v>
      </c>
      <c r="P36" s="1971" t="s">
        <v>483</v>
      </c>
      <c r="Q36" s="1971" t="s">
        <v>165</v>
      </c>
      <c r="R36" s="1969">
        <v>2233</v>
      </c>
      <c r="S36" s="1969">
        <v>453882</v>
      </c>
      <c r="T36" s="1969" t="s">
        <v>627</v>
      </c>
      <c r="U36" s="1969">
        <v>2277</v>
      </c>
      <c r="V36" s="1969">
        <v>180008420</v>
      </c>
      <c r="W36" s="1970">
        <v>42689</v>
      </c>
      <c r="X36" s="1966">
        <f>Diario_Documentos_TPL[[#This Row],[Total Pasivo
(USD)]]/1.16</f>
        <v>4211432.7500000009</v>
      </c>
      <c r="Y36" s="1966">
        <f>Diario_Documentos_TPL[[#This Row],[Importe Pasivo
(USD)]]*0.16</f>
        <v>673829.24000000011</v>
      </c>
      <c r="Z36" s="1966">
        <v>4885261.99</v>
      </c>
      <c r="AA36" s="1966">
        <f>Diario_Documentos_TPL[[#This Row],[Total Pasivo
(MX)]]/1.16</f>
        <v>88655291.956896558</v>
      </c>
      <c r="AB36" s="1966">
        <f>Diario_Documentos_TPL[[#This Row],[Importe Pasivo
(MX)]]*0.16</f>
        <v>14184846.713103449</v>
      </c>
      <c r="AC36" s="1966">
        <v>102840138.67</v>
      </c>
      <c r="AD36" s="1965">
        <f>IFERROR(Diario_Documentos_TPL[[#This Row],[Total Pasivo
(MX)]]/Diario_Documentos_TPL[[#This Row],[Total Pasivo
(USD)]],0)</f>
        <v>21.051099998426082</v>
      </c>
      <c r="AE36" s="1969">
        <v>140027236</v>
      </c>
      <c r="AF36" s="1968">
        <v>42709</v>
      </c>
      <c r="AG36" s="1967">
        <f>Diario_Documentos_TPL[[#This Row],[Total de Pago
(USD)]]/1.16</f>
        <v>4211432.7500000009</v>
      </c>
      <c r="AH36" s="1966">
        <f>Diario_Documentos_TPL[[#This Row],[Importe de Pago
(USD)]]*0.16</f>
        <v>673829.24000000011</v>
      </c>
      <c r="AI36" s="1966">
        <f>Diario_Documentos_TPL[[#This Row],[Total Pasivo
(USD)]]</f>
        <v>4885261.99</v>
      </c>
      <c r="AJ36" s="1966">
        <f>Diario_Documentos_TPL[[#This Row],[Total de Pago
(MX)]]/1.16</f>
        <v>86818264.997975007</v>
      </c>
      <c r="AK36" s="1966">
        <f>Diario_Documentos_TPL[[#This Row],[Importe de Pago
(MX)]]*0.16</f>
        <v>13890922.399676001</v>
      </c>
      <c r="AL36" s="1966">
        <f>Diario_Documentos_TPL[[#This Row],[Total de Pago
(USD)]]*Diario_Documentos_TPL[[#This Row],[T.C Pago]]</f>
        <v>100709187.397651</v>
      </c>
      <c r="AM36" s="2017">
        <v>20.614899999999999</v>
      </c>
      <c r="AN36" s="1965"/>
      <c r="AO36" s="1965"/>
      <c r="AP36" s="1965">
        <f>Diario_Documentos_TPL[[#This Row],[Importe de Pago
(MX)]]-Diario_Documentos_TPL[[#This Row],[Importe Pasivo
(MX)]]</f>
        <v>-1837026.9589215517</v>
      </c>
      <c r="AQ36" s="1965">
        <f>Diario_Documentos_TPL[[#This Row],[Total_Paridad]]-Diario_Documentos_TPL[[#This Row],[Subtotal_Paridad]]</f>
        <v>-293924.31342744827</v>
      </c>
      <c r="AR36" s="1964">
        <f>Diario_Documentos_TPL[[#This Row],[Total de Pago
(MX)]]-Diario_Documentos_TPL[[#This Row],[Total Pasivo
(MX)]]</f>
        <v>-2130951.272349</v>
      </c>
      <c r="AS36" s="1980"/>
      <c r="AT36" s="1980"/>
      <c r="AU36" s="1980"/>
      <c r="AV36" s="1980"/>
    </row>
    <row r="37" spans="1:48" ht="14.25" hidden="1" customHeight="1" x14ac:dyDescent="0.25">
      <c r="A37" s="1969" t="s">
        <v>598</v>
      </c>
      <c r="B37" s="1969">
        <v>4326979</v>
      </c>
      <c r="C37" s="1969">
        <v>800642440</v>
      </c>
      <c r="D37" s="1969"/>
      <c r="E37" s="1969" t="s">
        <v>632</v>
      </c>
      <c r="F37" s="1969" t="s">
        <v>599</v>
      </c>
      <c r="G37" s="1969" t="s">
        <v>628</v>
      </c>
      <c r="H37" s="1969" t="str">
        <f>VLOOKUP(Diario_Documentos_TPL[[#This Row],[Centro Gestor]],Catalogo_Centro_Gestor[],2,FALSE)</f>
        <v>Gasoducto Corredor Chihuahua</v>
      </c>
      <c r="I37" s="1969">
        <v>2502</v>
      </c>
      <c r="J37" s="1972">
        <f>IF(YEAR(Diario_Documentos_TPL[[#This Row],[Fecha de Pago]])=1900, "SIN PAGO",YEAR(Diario_Documentos_TPL[[#This Row],[Fecha de Pago]]))</f>
        <v>2016</v>
      </c>
      <c r="K37" s="1973">
        <v>2016</v>
      </c>
      <c r="L37" s="1972">
        <f>IF(MONTH(Diario_Documentos_TPL[[#This Row],[Fecha de Pago]])=0, "SIN PAGO",MONTH(Diario_Documentos_TPL[[#This Row],[Fecha de Pago]]))</f>
        <v>10</v>
      </c>
      <c r="M37" s="1971">
        <v>9</v>
      </c>
      <c r="N37" s="1971" t="str">
        <f>VLOOKUP(Diario_Documentos_TPL[[#This Row],[Periodo del Servicio]],'Tablas (2)'!$L$3:$M$14,2,FALSE)</f>
        <v>SEPTIEMBRE</v>
      </c>
      <c r="O37" s="1971" t="s">
        <v>659</v>
      </c>
      <c r="P37" s="1971" t="s">
        <v>483</v>
      </c>
      <c r="Q37" s="1971" t="s">
        <v>165</v>
      </c>
      <c r="R37" s="1969">
        <v>2233</v>
      </c>
      <c r="S37" s="1969">
        <v>453882</v>
      </c>
      <c r="T37" s="1969" t="s">
        <v>627</v>
      </c>
      <c r="U37" s="1969">
        <v>2277</v>
      </c>
      <c r="V37" s="1969">
        <v>180007436</v>
      </c>
      <c r="W37" s="1970">
        <v>42650</v>
      </c>
      <c r="X37" s="1966">
        <f>Diario_Documentos_TPL[[#This Row],[Total Pasivo
(USD)]]/1.16</f>
        <v>4211432.7500000009</v>
      </c>
      <c r="Y37" s="1966">
        <f>Diario_Documentos_TPL[[#This Row],[Importe Pasivo
(USD)]]*0.16</f>
        <v>673829.24000000011</v>
      </c>
      <c r="Z37" s="1966">
        <v>4885261.99</v>
      </c>
      <c r="AA37" s="1966">
        <f>Diario_Documentos_TPL[[#This Row],[Total Pasivo
(MX)]]/1.16</f>
        <v>81092822.172413796</v>
      </c>
      <c r="AB37" s="1966">
        <f>Diario_Documentos_TPL[[#This Row],[Importe Pasivo
(MX)]]*0.16</f>
        <v>12974851.547586208</v>
      </c>
      <c r="AC37" s="1966">
        <v>94067673.719999999</v>
      </c>
      <c r="AD37" s="1965">
        <f>IFERROR(Diario_Documentos_TPL[[#This Row],[Total Pasivo
(MX)]]/Diario_Documentos_TPL[[#This Row],[Total Pasivo
(USD)]],0)</f>
        <v>19.255399999540249</v>
      </c>
      <c r="AE37" s="1969">
        <v>140023864</v>
      </c>
      <c r="AF37" s="1968">
        <v>42668</v>
      </c>
      <c r="AG37" s="1967">
        <f>Diario_Documentos_TPL[[#This Row],[Total de Pago
(USD)]]/1.16</f>
        <v>4211432.7500000009</v>
      </c>
      <c r="AH37" s="1966">
        <f>Diario_Documentos_TPL[[#This Row],[Importe de Pago
(USD)]]*0.16</f>
        <v>673829.24000000011</v>
      </c>
      <c r="AI37" s="1966">
        <f>Diario_Documentos_TPL[[#This Row],[Total Pasivo
(USD)]]</f>
        <v>4885261.99</v>
      </c>
      <c r="AJ37" s="1966">
        <f>Diario_Documentos_TPL[[#This Row],[Total de Pago
(MX)]]/1.16</f>
        <v>78535219.065275013</v>
      </c>
      <c r="AK37" s="1966">
        <f>Diario_Documentos_TPL[[#This Row],[Importe de Pago
(MX)]]*0.16</f>
        <v>12565635.050444003</v>
      </c>
      <c r="AL37" s="1966">
        <f>Diario_Documentos_TPL[[#This Row],[Total de Pago
(USD)]]*Diario_Documentos_TPL[[#This Row],[T.C Pago]]</f>
        <v>91100854.115719005</v>
      </c>
      <c r="AM37" s="2017">
        <v>18.648099999999999</v>
      </c>
      <c r="AN37" s="1965"/>
      <c r="AO37" s="1965"/>
      <c r="AP37" s="1965">
        <f>Diario_Documentos_TPL[[#This Row],[Importe de Pago
(MX)]]-Diario_Documentos_TPL[[#This Row],[Importe Pasivo
(MX)]]</f>
        <v>-2557603.1071387827</v>
      </c>
      <c r="AQ37" s="1965">
        <f>Diario_Documentos_TPL[[#This Row],[Total_Paridad]]-Diario_Documentos_TPL[[#This Row],[Subtotal_Paridad]]</f>
        <v>-409216.4971422106</v>
      </c>
      <c r="AR37" s="1964">
        <f>Diario_Documentos_TPL[[#This Row],[Total de Pago
(MX)]]-Diario_Documentos_TPL[[#This Row],[Total Pasivo
(MX)]]</f>
        <v>-2966819.6042809933</v>
      </c>
      <c r="AS37" s="1980"/>
      <c r="AT37" s="1980"/>
      <c r="AU37" s="1980"/>
      <c r="AV37" s="1980"/>
    </row>
    <row r="38" spans="1:48" ht="14.25" hidden="1" customHeight="1" x14ac:dyDescent="0.25">
      <c r="A38" s="1969" t="s">
        <v>598</v>
      </c>
      <c r="B38" s="1969">
        <v>4326979</v>
      </c>
      <c r="C38" s="1969">
        <v>800642440</v>
      </c>
      <c r="D38" s="1969"/>
      <c r="E38" s="1969" t="s">
        <v>632</v>
      </c>
      <c r="F38" s="1969" t="s">
        <v>599</v>
      </c>
      <c r="G38" s="1969" t="s">
        <v>628</v>
      </c>
      <c r="H38" s="1969" t="str">
        <f>VLOOKUP(Diario_Documentos_TPL[[#This Row],[Centro Gestor]],Catalogo_Centro_Gestor[],2,FALSE)</f>
        <v>Gasoducto Corredor Chihuahua</v>
      </c>
      <c r="I38" s="1969">
        <v>2502</v>
      </c>
      <c r="J38" s="1972">
        <f>IF(YEAR(Diario_Documentos_TPL[[#This Row],[Fecha de Pago]])=1900, "SIN PAGO",YEAR(Diario_Documentos_TPL[[#This Row],[Fecha de Pago]]))</f>
        <v>2017</v>
      </c>
      <c r="K38" s="1973">
        <v>2016</v>
      </c>
      <c r="L38" s="1972">
        <f>IF(MONTH(Diario_Documentos_TPL[[#This Row],[Fecha de Pago]])=0, "SIN PAGO",MONTH(Diario_Documentos_TPL[[#This Row],[Fecha de Pago]]))</f>
        <v>1</v>
      </c>
      <c r="M38" s="1971">
        <v>12</v>
      </c>
      <c r="N38" s="1971" t="str">
        <f>VLOOKUP(Diario_Documentos_TPL[[#This Row],[Periodo del Servicio]],'Tablas (2)'!$L$3:$M$14,2,FALSE)</f>
        <v>DICIEMBRE</v>
      </c>
      <c r="O38" s="1971" t="s">
        <v>203</v>
      </c>
      <c r="P38" s="1971" t="s">
        <v>483</v>
      </c>
      <c r="Q38" s="1971" t="s">
        <v>165</v>
      </c>
      <c r="R38" s="1969">
        <v>2233</v>
      </c>
      <c r="S38" s="1969">
        <v>453882</v>
      </c>
      <c r="T38" s="1969" t="s">
        <v>627</v>
      </c>
      <c r="U38" s="1969">
        <v>2277</v>
      </c>
      <c r="V38" s="1969">
        <v>180000164</v>
      </c>
      <c r="W38" s="1970">
        <v>42745</v>
      </c>
      <c r="X38" s="1966">
        <f>Diario_Documentos_TPL[[#This Row],[Total Pasivo
(USD)]]/1.16</f>
        <v>4211432.7500000009</v>
      </c>
      <c r="Y38" s="1966">
        <f>Diario_Documentos_TPL[[#This Row],[Importe Pasivo
(USD)]]*0.16</f>
        <v>673829.24000000011</v>
      </c>
      <c r="Z38" s="1966">
        <v>4885261.99</v>
      </c>
      <c r="AA38" s="1966">
        <f>Diario_Documentos_TPL[[#This Row],[Total Pasivo
(MX)]]/1.16</f>
        <v>89764162.206896558</v>
      </c>
      <c r="AB38" s="1966">
        <f>Diario_Documentos_TPL[[#This Row],[Importe Pasivo
(MX)]]*0.16</f>
        <v>14362265.953103449</v>
      </c>
      <c r="AC38" s="1966">
        <v>104126428.16</v>
      </c>
      <c r="AD38" s="1965">
        <f>IFERROR(Diario_Documentos_TPL[[#This Row],[Total Pasivo
(MX)]]/Diario_Documentos_TPL[[#This Row],[Total Pasivo
(USD)]],0)</f>
        <v>21.314400000070414</v>
      </c>
      <c r="AE38" s="1971">
        <v>140001475</v>
      </c>
      <c r="AF38" s="1968">
        <v>42759</v>
      </c>
      <c r="AG38" s="1967">
        <f>Diario_Documentos_TPL[[#This Row],[Total de Pago
(USD)]]/1.16</f>
        <v>4211432.7500000009</v>
      </c>
      <c r="AH38" s="1966">
        <f>Diario_Documentos_TPL[[#This Row],[Importe de Pago
(USD)]]*0.16</f>
        <v>673829.24000000011</v>
      </c>
      <c r="AI38" s="1966">
        <f>Diario_Documentos_TPL[[#This Row],[Total Pasivo
(USD)]]</f>
        <v>4885261.99</v>
      </c>
      <c r="AJ38" s="1966">
        <f>Diario_Documentos_TPL[[#This Row],[Total de Pago
(MX)]]/1.16</f>
        <v>91388932.961549997</v>
      </c>
      <c r="AK38" s="1966">
        <f>Diario_Documentos_TPL[[#This Row],[Importe de Pago
(MX)]]*0.16</f>
        <v>14622229.273847999</v>
      </c>
      <c r="AL38" s="1966">
        <f>Diario_Documentos_TPL[[#This Row],[Total de Pago
(USD)]]*Diario_Documentos_TPL[[#This Row],[T.C Pago]]</f>
        <v>106011162.23539799</v>
      </c>
      <c r="AM38" s="2017">
        <v>21.700199999999999</v>
      </c>
      <c r="AN38" s="1965"/>
      <c r="AO38" s="1965"/>
      <c r="AP38" s="1965">
        <f>Diario_Documentos_TPL[[#This Row],[Importe de Pago
(MX)]]-Diario_Documentos_TPL[[#This Row],[Importe Pasivo
(MX)]]</f>
        <v>1624770.7546534389</v>
      </c>
      <c r="AQ38" s="1965">
        <f>Diario_Documentos_TPL[[#This Row],[Total_Paridad]]-Diario_Documentos_TPL[[#This Row],[Subtotal_Paridad]]</f>
        <v>259963.32074455917</v>
      </c>
      <c r="AR38" s="1964">
        <f>Diario_Documentos_TPL[[#This Row],[Total de Pago
(MX)]]-Diario_Documentos_TPL[[#This Row],[Total Pasivo
(MX)]]</f>
        <v>1884734.0753979981</v>
      </c>
      <c r="AS38" s="1980"/>
      <c r="AT38" s="1980"/>
      <c r="AU38" s="1980"/>
      <c r="AV38" s="1980"/>
    </row>
    <row r="39" spans="1:48" ht="14.25" hidden="1" customHeight="1" x14ac:dyDescent="0.25">
      <c r="A39" s="1969" t="s">
        <v>598</v>
      </c>
      <c r="B39" s="1969">
        <v>4326979</v>
      </c>
      <c r="C39" s="1969">
        <v>800642440</v>
      </c>
      <c r="D39" s="1969"/>
      <c r="E39" s="1969" t="s">
        <v>632</v>
      </c>
      <c r="F39" s="1969" t="s">
        <v>599</v>
      </c>
      <c r="G39" s="1969" t="s">
        <v>628</v>
      </c>
      <c r="H39" s="1969" t="str">
        <f>VLOOKUP(Diario_Documentos_TPL[[#This Row],[Centro Gestor]],Catalogo_Centro_Gestor[],2,FALSE)</f>
        <v>Gasoducto Corredor Chihuahua</v>
      </c>
      <c r="I39" s="1969">
        <v>2502</v>
      </c>
      <c r="J39" s="1972">
        <f>IF(YEAR(Diario_Documentos_TPL[[#This Row],[Fecha de Pago]])=1900, "SIN PAGO",YEAR(Diario_Documentos_TPL[[#This Row],[Fecha de Pago]]))</f>
        <v>2017</v>
      </c>
      <c r="K39" s="1973">
        <v>2017</v>
      </c>
      <c r="L39" s="1972">
        <f>IF(MONTH(Diario_Documentos_TPL[[#This Row],[Fecha de Pago]])=0, "SIN PAGO",MONTH(Diario_Documentos_TPL[[#This Row],[Fecha de Pago]]))</f>
        <v>5</v>
      </c>
      <c r="M39" s="1971">
        <v>4</v>
      </c>
      <c r="N39" s="1971" t="str">
        <f>VLOOKUP(Diario_Documentos_TPL[[#This Row],[Periodo del Servicio]],'Tablas (2)'!$L$3:$M$14,2,FALSE)</f>
        <v>ABRIL</v>
      </c>
      <c r="O39" s="1971" t="s">
        <v>658</v>
      </c>
      <c r="P39" s="1971" t="s">
        <v>483</v>
      </c>
      <c r="Q39" s="1971" t="s">
        <v>165</v>
      </c>
      <c r="R39" s="1969">
        <v>7256</v>
      </c>
      <c r="S39" s="1969">
        <v>453882</v>
      </c>
      <c r="T39" s="1969" t="s">
        <v>627</v>
      </c>
      <c r="U39" s="1969">
        <v>2277</v>
      </c>
      <c r="V39" s="1969">
        <v>180001718</v>
      </c>
      <c r="W39" s="1970">
        <v>42863</v>
      </c>
      <c r="X39" s="1966">
        <f>Diario_Documentos_TPL[[#This Row],[Total Pasivo
(USD)]]/1.16</f>
        <v>4240081.9655172415</v>
      </c>
      <c r="Y39" s="1966">
        <f>Diario_Documentos_TPL[[#This Row],[Importe Pasivo
(USD)]]*0.16</f>
        <v>678413.11448275868</v>
      </c>
      <c r="Z39" s="1966">
        <v>4918495.08</v>
      </c>
      <c r="AA39" s="1966">
        <f>Diario_Documentos_TPL[[#This Row],[Total Pasivo
(MX)]]/1.16</f>
        <v>80569613.400000006</v>
      </c>
      <c r="AB39" s="1966">
        <f>Diario_Documentos_TPL[[#This Row],[Importe Pasivo
(MX)]]*0.16</f>
        <v>12891138.144000001</v>
      </c>
      <c r="AC39" s="1966">
        <v>93460751.544</v>
      </c>
      <c r="AD39" s="2017">
        <f>IFERROR(Diario_Documentos_TPL[[#This Row],[Total Pasivo
(MX)]]/Diario_Documentos_TPL[[#This Row],[Total Pasivo
(USD)]],0)</f>
        <v>19.001899976282989</v>
      </c>
      <c r="AE39" s="1971">
        <v>140008852</v>
      </c>
      <c r="AF39" s="1968">
        <v>42878</v>
      </c>
      <c r="AG39" s="1967">
        <f>Diario_Documentos_TPL[[#This Row],[Total de Pago
(USD)]]/1.16</f>
        <v>4240081.9655172415</v>
      </c>
      <c r="AH39" s="1966">
        <f>Diario_Documentos_TPL[[#This Row],[Importe de Pago
(USD)]]*0.16</f>
        <v>678413.11448275868</v>
      </c>
      <c r="AI39" s="1966">
        <f>Diario_Documentos_TPL[[#This Row],[Total Pasivo
(USD)]]</f>
        <v>4918495.08</v>
      </c>
      <c r="AJ39" s="1966">
        <f>Diario_Documentos_TPL[[#This Row],[Total de Pago
(MX)]]/1.16</f>
        <v>79229747.59945862</v>
      </c>
      <c r="AK39" s="1966">
        <f>Diario_Documentos_TPL[[#This Row],[Importe de Pago
(MX)]]*0.16</f>
        <v>12676759.61591338</v>
      </c>
      <c r="AL39" s="1966">
        <f>Diario_Documentos_TPL[[#This Row],[Total de Pago
(USD)]]*Diario_Documentos_TPL[[#This Row],[T.C Pago]]</f>
        <v>91906507.215371996</v>
      </c>
      <c r="AM39" s="2017">
        <v>18.6859</v>
      </c>
      <c r="AN39" s="1965"/>
      <c r="AO39" s="1965"/>
      <c r="AP39" s="1965">
        <f>Diario_Documentos_TPL[[#This Row],[Importe de Pago
(MX)]]-Diario_Documentos_TPL[[#This Row],[Importe Pasivo
(MX)]]</f>
        <v>-1339865.800541386</v>
      </c>
      <c r="AQ39" s="1965">
        <f>Diario_Documentos_TPL[[#This Row],[Total_Paridad]]-Diario_Documentos_TPL[[#This Row],[Subtotal_Paridad]]</f>
        <v>-214378.52808661759</v>
      </c>
      <c r="AR39" s="1964">
        <f>Diario_Documentos_TPL[[#This Row],[Total de Pago
(MX)]]-Diario_Documentos_TPL[[#This Row],[Total Pasivo
(MX)]]</f>
        <v>-1554244.3286280036</v>
      </c>
      <c r="AS39" s="1980"/>
      <c r="AT39" s="1980"/>
      <c r="AU39" s="1980"/>
      <c r="AV39" s="1980"/>
    </row>
    <row r="40" spans="1:48" ht="14.25" hidden="1" customHeight="1" x14ac:dyDescent="0.25">
      <c r="A40" s="1969" t="s">
        <v>598</v>
      </c>
      <c r="B40" s="1969">
        <v>4326979</v>
      </c>
      <c r="C40" s="1969">
        <v>800762390</v>
      </c>
      <c r="D40" s="1969"/>
      <c r="E40" s="1969" t="s">
        <v>632</v>
      </c>
      <c r="F40" s="1969" t="s">
        <v>599</v>
      </c>
      <c r="G40" s="1969" t="s">
        <v>628</v>
      </c>
      <c r="H40" s="1969" t="str">
        <f>VLOOKUP(Diario_Documentos_TPL[[#This Row],[Centro Gestor]],Catalogo_Centro_Gestor[],2,FALSE)</f>
        <v>Jefatura GRPN</v>
      </c>
      <c r="I40" s="1969">
        <v>2502</v>
      </c>
      <c r="J40" s="1972">
        <f>IF(YEAR(Diario_Documentos_TPL[[#This Row],[Fecha de Pago]])=1900, "SIN PAGO",YEAR(Diario_Documentos_TPL[[#This Row],[Fecha de Pago]]))</f>
        <v>2017</v>
      </c>
      <c r="K40" s="1973">
        <v>2017</v>
      </c>
      <c r="L40" s="1972">
        <f>IF(MONTH(Diario_Documentos_TPL[[#This Row],[Fecha de Pago]])=0, "SIN PAGO",MONTH(Diario_Documentos_TPL[[#This Row],[Fecha de Pago]]))</f>
        <v>5</v>
      </c>
      <c r="M40" s="1971">
        <v>4</v>
      </c>
      <c r="N40" s="1971" t="str">
        <f>VLOOKUP(Diario_Documentos_TPL[[#This Row],[Periodo del Servicio]],'Tablas (2)'!$L$3:$M$14,2,FALSE)</f>
        <v>ABRIL</v>
      </c>
      <c r="O40" s="1971" t="s">
        <v>658</v>
      </c>
      <c r="P40" s="1971" t="s">
        <v>483</v>
      </c>
      <c r="Q40" s="1971" t="s">
        <v>165</v>
      </c>
      <c r="R40" s="1969">
        <v>7241</v>
      </c>
      <c r="S40" s="1969">
        <v>453882</v>
      </c>
      <c r="T40" s="1969" t="s">
        <v>627</v>
      </c>
      <c r="U40" s="1969">
        <v>2044</v>
      </c>
      <c r="V40" s="1969">
        <v>180001720</v>
      </c>
      <c r="W40" s="1970">
        <v>42863</v>
      </c>
      <c r="X40" s="1966">
        <f>Diario_Documentos_TPL[[#This Row],[Total Pasivo
(USD)]]/1.16</f>
        <v>421463.35344827588</v>
      </c>
      <c r="Y40" s="1966">
        <f>Diario_Documentos_TPL[[#This Row],[Importe Pasivo
(USD)]]*0.16</f>
        <v>67434.136551724136</v>
      </c>
      <c r="Z40" s="1966">
        <v>488897.49</v>
      </c>
      <c r="AA40" s="1966">
        <f>Diario_Documentos_TPL[[#This Row],[Total Pasivo
(MX)]]/1.16</f>
        <v>8008604.4913793113</v>
      </c>
      <c r="AB40" s="1966">
        <f>Diario_Documentos_TPL[[#This Row],[Importe Pasivo
(MX)]]*0.16</f>
        <v>1281376.7186206898</v>
      </c>
      <c r="AC40" s="1966">
        <v>9289981.2100000009</v>
      </c>
      <c r="AD40" s="2017">
        <f>IFERROR(Diario_Documentos_TPL[[#This Row],[Total Pasivo
(MX)]]/Diario_Documentos_TPL[[#This Row],[Total Pasivo
(USD)]],0)</f>
        <v>19.001899989300419</v>
      </c>
      <c r="AE40" s="1971">
        <v>140008852</v>
      </c>
      <c r="AF40" s="1968">
        <v>42878</v>
      </c>
      <c r="AG40" s="1967">
        <f>Diario_Documentos_TPL[[#This Row],[Total de Pago
(USD)]]/1.16</f>
        <v>421463.35344827588</v>
      </c>
      <c r="AH40" s="1966">
        <f>Diario_Documentos_TPL[[#This Row],[Importe de Pago
(USD)]]*0.16</f>
        <v>67434.136551724136</v>
      </c>
      <c r="AI40" s="1966">
        <f>Diario_Documentos_TPL[[#This Row],[Total Pasivo
(USD)]]</f>
        <v>488897.49</v>
      </c>
      <c r="AJ40" s="1966">
        <f>Diario_Documentos_TPL[[#This Row],[Total de Pago
(MX)]]/1.16</f>
        <v>7875422.0761991385</v>
      </c>
      <c r="AK40" s="1966">
        <f>Diario_Documentos_TPL[[#This Row],[Importe de Pago
(MX)]]*0.16</f>
        <v>1260067.5321918621</v>
      </c>
      <c r="AL40" s="1966">
        <f>Diario_Documentos_TPL[[#This Row],[Total de Pago
(USD)]]*Diario_Documentos_TPL[[#This Row],[T.C Pago]]</f>
        <v>9135489.608391</v>
      </c>
      <c r="AM40" s="2017">
        <v>18.6859</v>
      </c>
      <c r="AN40" s="1965"/>
      <c r="AO40" s="1965"/>
      <c r="AP40" s="1965">
        <f>Diario_Documentos_TPL[[#This Row],[Importe de Pago
(MX)]]-Diario_Documentos_TPL[[#This Row],[Importe Pasivo
(MX)]]</f>
        <v>-133182.41518017277</v>
      </c>
      <c r="AQ40" s="1965">
        <f>Diario_Documentos_TPL[[#This Row],[Total_Paridad]]-Diario_Documentos_TPL[[#This Row],[Subtotal_Paridad]]</f>
        <v>-21309.186428828165</v>
      </c>
      <c r="AR40" s="1964">
        <f>Diario_Documentos_TPL[[#This Row],[Total de Pago
(MX)]]-Diario_Documentos_TPL[[#This Row],[Total Pasivo
(MX)]]</f>
        <v>-154491.60160900094</v>
      </c>
      <c r="AS40" s="1980"/>
      <c r="AT40" s="1980"/>
      <c r="AU40" s="1980"/>
      <c r="AV40" s="1980"/>
    </row>
    <row r="41" spans="1:48" ht="14.25" hidden="1" customHeight="1" x14ac:dyDescent="0.25">
      <c r="A41" s="1969" t="s">
        <v>598</v>
      </c>
      <c r="B41" s="1969">
        <v>4326979</v>
      </c>
      <c r="C41" s="1969">
        <v>800642440</v>
      </c>
      <c r="D41" s="1969"/>
      <c r="E41" s="1969" t="s">
        <v>632</v>
      </c>
      <c r="F41" s="1969" t="s">
        <v>599</v>
      </c>
      <c r="G41" s="1969" t="s">
        <v>628</v>
      </c>
      <c r="H41" s="1969" t="str">
        <f>VLOOKUP(Diario_Documentos_TPL[[#This Row],[Centro Gestor]],Catalogo_Centro_Gestor[],2,FALSE)</f>
        <v>Gasoducto Corredor Chihuahua</v>
      </c>
      <c r="I41" s="1969">
        <v>2502</v>
      </c>
      <c r="J41" s="1972">
        <f>IF(YEAR(Diario_Documentos_TPL[[#This Row],[Fecha de Pago]])=1900, "SIN PAGO",YEAR(Diario_Documentos_TPL[[#This Row],[Fecha de Pago]]))</f>
        <v>2017</v>
      </c>
      <c r="K41" s="1973">
        <v>2017</v>
      </c>
      <c r="L41" s="1972">
        <f>IF(MONTH(Diario_Documentos_TPL[[#This Row],[Fecha de Pago]])=0, "SIN PAGO",MONTH(Diario_Documentos_TPL[[#This Row],[Fecha de Pago]]))</f>
        <v>10</v>
      </c>
      <c r="M41" s="1971">
        <v>8</v>
      </c>
      <c r="N41" s="1971" t="str">
        <f>VLOOKUP(Diario_Documentos_TPL[[#This Row],[Periodo del Servicio]],'Tablas (2)'!$L$3:$M$14,2,FALSE)</f>
        <v>AGOSTO</v>
      </c>
      <c r="O41" s="1971" t="s">
        <v>657</v>
      </c>
      <c r="P41" s="1971" t="s">
        <v>483</v>
      </c>
      <c r="Q41" s="1971" t="s">
        <v>165</v>
      </c>
      <c r="R41" s="1969">
        <v>7256</v>
      </c>
      <c r="S41" s="1969">
        <v>453882</v>
      </c>
      <c r="T41" s="1969" t="s">
        <v>627</v>
      </c>
      <c r="U41" s="1969">
        <v>2277</v>
      </c>
      <c r="V41" s="1969">
        <v>180003022</v>
      </c>
      <c r="W41" s="1970">
        <v>42991</v>
      </c>
      <c r="X41" s="1966">
        <f>Diario_Documentos_TPL[[#This Row],[Total Pasivo
(USD)]]/1.16</f>
        <v>4240081.9568965519</v>
      </c>
      <c r="Y41" s="1966">
        <f>Diario_Documentos_TPL[[#This Row],[Importe Pasivo
(USD)]]*0.16</f>
        <v>678413.1131034483</v>
      </c>
      <c r="Z41" s="1966">
        <v>4918495.07</v>
      </c>
      <c r="AA41" s="1966">
        <f>Diario_Documentos_TPL[[#This Row],[Total Pasivo
(MX)]]/1.16</f>
        <v>74813278.077586204</v>
      </c>
      <c r="AB41" s="1966">
        <f>Diario_Documentos_TPL[[#This Row],[Importe Pasivo
(MX)]]*0.16</f>
        <v>11970124.492413793</v>
      </c>
      <c r="AC41" s="1966">
        <v>86783402.569999993</v>
      </c>
      <c r="AD41" s="2017">
        <f>IFERROR(Diario_Documentos_TPL[[#This Row],[Total Pasivo
(MX)]]/Diario_Documentos_TPL[[#This Row],[Total Pasivo
(USD)]],0)</f>
        <v>17.644300001301005</v>
      </c>
      <c r="AE41" s="1969">
        <v>140016907</v>
      </c>
      <c r="AF41" s="1968">
        <v>43010</v>
      </c>
      <c r="AG41" s="1967">
        <f>Diario_Documentos_TPL[[#This Row],[Total de Pago
(USD)]]/1.16</f>
        <v>4240081.9568965519</v>
      </c>
      <c r="AH41" s="1966">
        <f>Diario_Documentos_TPL[[#This Row],[Importe de Pago
(USD)]]*0.16</f>
        <v>678413.1131034483</v>
      </c>
      <c r="AI41" s="1966">
        <f>Diario_Documentos_TPL[[#This Row],[Total Pasivo
(USD)]]</f>
        <v>4918495.07</v>
      </c>
      <c r="AJ41" s="1966">
        <f>Diario_Documentos_TPL[[#This Row],[Total de Pago
(MX)]]/1.16</f>
        <v>77160587.443407774</v>
      </c>
      <c r="AK41" s="1966">
        <f>Diario_Documentos_TPL[[#This Row],[Importe de Pago
(MX)]]*0.16</f>
        <v>12345693.990945244</v>
      </c>
      <c r="AL41" s="1966">
        <f>Diario_Documentos_TPL[[#This Row],[Total de Pago
(USD)]]*Diario_Documentos_TPL[[#This Row],[T.C Pago]]</f>
        <v>89506281.434353009</v>
      </c>
      <c r="AM41" s="2017">
        <v>18.197900000000001</v>
      </c>
      <c r="AN41" s="1965"/>
      <c r="AO41" s="1965"/>
      <c r="AP41" s="1965">
        <f>Diario_Documentos_TPL[[#This Row],[Importe de Pago
(MX)]]-Diario_Documentos_TPL[[#This Row],[Importe Pasivo
(MX)]]</f>
        <v>2347309.3658215702</v>
      </c>
      <c r="AQ41" s="1965">
        <f>Diario_Documentos_TPL[[#This Row],[Total_Paridad]]-Diario_Documentos_TPL[[#This Row],[Subtotal_Paridad]]</f>
        <v>375569.49853144586</v>
      </c>
      <c r="AR41" s="1964">
        <f>Diario_Documentos_TPL[[#This Row],[Total de Pago
(MX)]]-Diario_Documentos_TPL[[#This Row],[Total Pasivo
(MX)]]</f>
        <v>2722878.864353016</v>
      </c>
      <c r="AS41" s="1980"/>
      <c r="AT41" s="1980"/>
      <c r="AU41" s="1980"/>
      <c r="AV41" s="1980"/>
    </row>
    <row r="42" spans="1:48" ht="14.25" hidden="1" customHeight="1" x14ac:dyDescent="0.25">
      <c r="A42" s="1969" t="s">
        <v>598</v>
      </c>
      <c r="B42" s="1969">
        <v>4326979</v>
      </c>
      <c r="C42" s="1969">
        <v>800762390</v>
      </c>
      <c r="D42" s="1969"/>
      <c r="E42" s="1969" t="s">
        <v>632</v>
      </c>
      <c r="F42" s="1969" t="s">
        <v>599</v>
      </c>
      <c r="G42" s="1969" t="s">
        <v>628</v>
      </c>
      <c r="H42" s="1969" t="str">
        <f>VLOOKUP(Diario_Documentos_TPL[[#This Row],[Centro Gestor]],Catalogo_Centro_Gestor[],2,FALSE)</f>
        <v>Jefatura GRPN</v>
      </c>
      <c r="I42" s="1969">
        <v>2502</v>
      </c>
      <c r="J42" s="1972">
        <f>IF(YEAR(Diario_Documentos_TPL[[#This Row],[Fecha de Pago]])=1900, "SIN PAGO",YEAR(Diario_Documentos_TPL[[#This Row],[Fecha de Pago]]))</f>
        <v>2017</v>
      </c>
      <c r="K42" s="1973">
        <v>2017</v>
      </c>
      <c r="L42" s="1972">
        <f>IF(MONTH(Diario_Documentos_TPL[[#This Row],[Fecha de Pago]])=0, "SIN PAGO",MONTH(Diario_Documentos_TPL[[#This Row],[Fecha de Pago]]))</f>
        <v>10</v>
      </c>
      <c r="M42" s="1971">
        <v>8</v>
      </c>
      <c r="N42" s="1971" t="str">
        <f>VLOOKUP(Diario_Documentos_TPL[[#This Row],[Periodo del Servicio]],'Tablas (2)'!$L$3:$M$14,2,FALSE)</f>
        <v>AGOSTO</v>
      </c>
      <c r="O42" s="1971" t="s">
        <v>657</v>
      </c>
      <c r="P42" s="1971" t="s">
        <v>483</v>
      </c>
      <c r="Q42" s="1971" t="s">
        <v>165</v>
      </c>
      <c r="R42" s="1969">
        <v>7241</v>
      </c>
      <c r="S42" s="1969">
        <v>453882</v>
      </c>
      <c r="T42" s="1969" t="s">
        <v>627</v>
      </c>
      <c r="U42" s="1969">
        <v>2044</v>
      </c>
      <c r="V42" s="1969">
        <v>180003020</v>
      </c>
      <c r="W42" s="1970">
        <v>42991</v>
      </c>
      <c r="X42" s="1966">
        <f>Diario_Documentos_TPL[[#This Row],[Total Pasivo
(USD)]]/1.16</f>
        <v>421560.70689655171</v>
      </c>
      <c r="Y42" s="1966">
        <f>Diario_Documentos_TPL[[#This Row],[Importe Pasivo
(USD)]]*0.16</f>
        <v>67449.713103448274</v>
      </c>
      <c r="Z42" s="1966">
        <v>489010.42</v>
      </c>
      <c r="AA42" s="1966">
        <f>Diario_Documentos_TPL[[#This Row],[Total Pasivo
(MX)]]/1.16</f>
        <v>7438143.5775862085</v>
      </c>
      <c r="AB42" s="1966">
        <f>Diario_Documentos_TPL[[#This Row],[Importe Pasivo
(MX)]]*0.16</f>
        <v>1190102.9724137934</v>
      </c>
      <c r="AC42" s="1966">
        <v>8628246.5500000007</v>
      </c>
      <c r="AD42" s="2017">
        <f>IFERROR(Diario_Documentos_TPL[[#This Row],[Total Pasivo
(MX)]]/Diario_Documentos_TPL[[#This Row],[Total Pasivo
(USD)]],0)</f>
        <v>17.644299992625925</v>
      </c>
      <c r="AE42" s="1969">
        <v>140016907</v>
      </c>
      <c r="AF42" s="1968">
        <v>43010</v>
      </c>
      <c r="AG42" s="1967">
        <f>Diario_Documentos_TPL[[#This Row],[Total de Pago
(USD)]]/1.16</f>
        <v>421560.70689655171</v>
      </c>
      <c r="AH42" s="1966">
        <f>Diario_Documentos_TPL[[#This Row],[Importe de Pago
(USD)]]*0.16</f>
        <v>67449.713103448274</v>
      </c>
      <c r="AI42" s="1966">
        <f>Diario_Documentos_TPL[[#This Row],[Total Pasivo
(USD)]]</f>
        <v>489010.42</v>
      </c>
      <c r="AJ42" s="1966">
        <f>Diario_Documentos_TPL[[#This Row],[Total de Pago
(MX)]]/1.16</f>
        <v>7671519.5880327588</v>
      </c>
      <c r="AK42" s="1966">
        <f>Diario_Documentos_TPL[[#This Row],[Importe de Pago
(MX)]]*0.16</f>
        <v>1227443.1340852415</v>
      </c>
      <c r="AL42" s="1966">
        <f>Diario_Documentos_TPL[[#This Row],[Total de Pago
(USD)]]*Diario_Documentos_TPL[[#This Row],[T.C Pago]]</f>
        <v>8898962.7221179996</v>
      </c>
      <c r="AM42" s="2017">
        <v>18.197900000000001</v>
      </c>
      <c r="AN42" s="1965"/>
      <c r="AO42" s="1965"/>
      <c r="AP42" s="1965">
        <f>Diario_Documentos_TPL[[#This Row],[Importe de Pago
(MX)]]-Diario_Documentos_TPL[[#This Row],[Importe Pasivo
(MX)]]</f>
        <v>233376.01044655032</v>
      </c>
      <c r="AQ42" s="1965">
        <f>Diario_Documentos_TPL[[#This Row],[Total_Paridad]]-Diario_Documentos_TPL[[#This Row],[Subtotal_Paridad]]</f>
        <v>37340.161671448499</v>
      </c>
      <c r="AR42" s="1964">
        <f>Diario_Documentos_TPL[[#This Row],[Total de Pago
(MX)]]-Diario_Documentos_TPL[[#This Row],[Total Pasivo
(MX)]]</f>
        <v>270716.17211799882</v>
      </c>
      <c r="AS42" s="1980"/>
      <c r="AT42" s="1980"/>
      <c r="AU42" s="1980"/>
      <c r="AV42" s="1980"/>
    </row>
    <row r="43" spans="1:48" ht="14.25" hidden="1" customHeight="1" x14ac:dyDescent="0.25">
      <c r="A43" s="1969" t="s">
        <v>598</v>
      </c>
      <c r="B43" s="1969">
        <v>4326979</v>
      </c>
      <c r="C43" s="1969">
        <v>800832451</v>
      </c>
      <c r="D43" s="1969"/>
      <c r="E43" s="1969" t="s">
        <v>632</v>
      </c>
      <c r="F43" s="1969" t="s">
        <v>599</v>
      </c>
      <c r="G43" s="1969" t="s">
        <v>628</v>
      </c>
      <c r="H43" s="1969" t="str">
        <f>VLOOKUP(Diario_Documentos_TPL[[#This Row],[Centro Gestor]],Catalogo_Centro_Gestor[],2,FALSE)</f>
        <v>Gas. Corredor Chihuahua</v>
      </c>
      <c r="I43" s="1969" t="s">
        <v>630</v>
      </c>
      <c r="J43" s="1972">
        <f>IF(YEAR(Diario_Documentos_TPL[[#This Row],[Fecha de Pago]])=1900, "SIN PAGO",YEAR(Diario_Documentos_TPL[[#This Row],[Fecha de Pago]]))</f>
        <v>2018</v>
      </c>
      <c r="K43" s="1971">
        <v>2017</v>
      </c>
      <c r="L43" s="1972">
        <f>IF(MONTH(Diario_Documentos_TPL[[#This Row],[Fecha de Pago]])=0, "SIN PAGO",MONTH(Diario_Documentos_TPL[[#This Row],[Fecha de Pago]]))</f>
        <v>1</v>
      </c>
      <c r="M43" s="1971">
        <v>12</v>
      </c>
      <c r="N43" s="1971" t="str">
        <f>VLOOKUP(Diario_Documentos_TPL[[#This Row],[Periodo del Servicio]],'Tablas (2)'!$L$3:$M$14,2,FALSE)</f>
        <v>DICIEMBRE</v>
      </c>
      <c r="O43" s="1971" t="s">
        <v>647</v>
      </c>
      <c r="P43" s="1971" t="s">
        <v>340</v>
      </c>
      <c r="Q43" s="1971" t="s">
        <v>165</v>
      </c>
      <c r="R43" s="1969" t="s">
        <v>343</v>
      </c>
      <c r="S43" s="1969">
        <v>453857</v>
      </c>
      <c r="T43" s="1969" t="s">
        <v>629</v>
      </c>
      <c r="U43" s="1969" t="s">
        <v>221</v>
      </c>
      <c r="V43" s="1969">
        <v>180000007</v>
      </c>
      <c r="W43" s="1970">
        <v>43108</v>
      </c>
      <c r="X43" s="1966">
        <f>Diario_Documentos_TPL[[#This Row],[Total Pasivo
(USD)]]/1.16</f>
        <v>419348.75862068968</v>
      </c>
      <c r="Y43" s="1966">
        <f>Diario_Documentos_TPL[[#This Row],[Importe Pasivo
(USD)]]*0.16</f>
        <v>67095.801379310346</v>
      </c>
      <c r="Z43" s="1966">
        <v>486444.56</v>
      </c>
      <c r="AA43" s="1966">
        <f>Diario_Documentos_TPL[[#This Row],[Total Pasivo
(MX)]]/1.16</f>
        <v>8069402.3534482764</v>
      </c>
      <c r="AB43" s="1966">
        <f>Diario_Documentos_TPL[[#This Row],[Importe Pasivo
(MX)]]*0.16</f>
        <v>1291104.3765517243</v>
      </c>
      <c r="AC43" s="1966">
        <v>9360506.7300000004</v>
      </c>
      <c r="AD43" s="2017">
        <f>IFERROR(Diario_Documentos_TPL[[#This Row],[Total Pasivo
(MX)]]/Diario_Documentos_TPL[[#This Row],[Total Pasivo
(USD)]],0)</f>
        <v>19.242699990313387</v>
      </c>
      <c r="AE43" s="1969">
        <v>140000272</v>
      </c>
      <c r="AF43" s="1968">
        <v>43124</v>
      </c>
      <c r="AG43" s="1967">
        <f>Diario_Documentos_TPL[[#This Row],[Total de Pago
(USD)]]/1.16</f>
        <v>419348.75862068968</v>
      </c>
      <c r="AH43" s="1966">
        <f>Diario_Documentos_TPL[[#This Row],[Importe de Pago
(USD)]]*0.16</f>
        <v>67095.801379310346</v>
      </c>
      <c r="AI43" s="1966">
        <f>Diario_Documentos_TPL[[#This Row],[Total Pasivo
(USD)]]</f>
        <v>486444.56</v>
      </c>
      <c r="AJ43" s="1966">
        <f>Diario_Documentos_TPL[[#This Row],[Total de Pago
(MX)]]/1.16</f>
        <v>7846770.101558622</v>
      </c>
      <c r="AK43" s="1966">
        <f>Diario_Documentos_TPL[[#This Row],[Importe de Pago
(MX)]]*0.16</f>
        <v>1255483.2162493796</v>
      </c>
      <c r="AL43" s="1966">
        <f>Diario_Documentos_TPL[[#This Row],[Total de Pago
(USD)]]*Diario_Documentos_TPL[[#This Row],[T.C Pago]]</f>
        <v>9102253.3178080004</v>
      </c>
      <c r="AM43" s="2018">
        <v>18.7118</v>
      </c>
      <c r="AN43" s="1975"/>
      <c r="AO43" s="1975"/>
      <c r="AP43" s="1975">
        <f>Diario_Documentos_TPL[[#This Row],[Importe de Pago
(MX)]]-Diario_Documentos_TPL[[#This Row],[Importe Pasivo
(MX)]]</f>
        <v>-222632.25188965444</v>
      </c>
      <c r="AQ43" s="1975">
        <f>Diario_Documentos_TPL[[#This Row],[Total_Paridad]]-Diario_Documentos_TPL[[#This Row],[Subtotal_Paridad]]</f>
        <v>-35621.160302345641</v>
      </c>
      <c r="AR43" s="1964">
        <f>Diario_Documentos_TPL[[#This Row],[Total de Pago
(MX)]]-Diario_Documentos_TPL[[#This Row],[Total Pasivo
(MX)]]</f>
        <v>-258253.41219200008</v>
      </c>
      <c r="AS43" s="1980"/>
      <c r="AT43" s="1980"/>
      <c r="AU43" s="1980"/>
      <c r="AV43" s="1980"/>
    </row>
    <row r="44" spans="1:48" ht="14.25" hidden="1" customHeight="1" x14ac:dyDescent="0.25">
      <c r="A44" s="1969" t="s">
        <v>598</v>
      </c>
      <c r="B44" s="1969">
        <v>4326979</v>
      </c>
      <c r="C44" s="1969">
        <v>800762390</v>
      </c>
      <c r="D44" s="1969"/>
      <c r="E44" s="1969" t="s">
        <v>632</v>
      </c>
      <c r="F44" s="1969" t="s">
        <v>599</v>
      </c>
      <c r="G44" s="1969" t="s">
        <v>628</v>
      </c>
      <c r="H44" s="1969" t="str">
        <f>VLOOKUP(Diario_Documentos_TPL[[#This Row],[Centro Gestor]],Catalogo_Centro_Gestor[],2,FALSE)</f>
        <v>Jefatura GRPN</v>
      </c>
      <c r="I44" s="1969">
        <v>2502</v>
      </c>
      <c r="J44" s="1972">
        <f>IF(YEAR(Diario_Documentos_TPL[[#This Row],[Fecha de Pago]])=1900, "SIN PAGO",YEAR(Diario_Documentos_TPL[[#This Row],[Fecha de Pago]]))</f>
        <v>2016</v>
      </c>
      <c r="K44" s="1973">
        <v>2016</v>
      </c>
      <c r="L44" s="1972">
        <f>IF(MONTH(Diario_Documentos_TPL[[#This Row],[Fecha de Pago]])=0, "SIN PAGO",MONTH(Diario_Documentos_TPL[[#This Row],[Fecha de Pago]]))</f>
        <v>5</v>
      </c>
      <c r="M44" s="1971">
        <v>4</v>
      </c>
      <c r="N44" s="1971" t="str">
        <f>VLOOKUP(Diario_Documentos_TPL[[#This Row],[Periodo del Servicio]],'Tablas (2)'!$L$3:$M$14,2,FALSE)</f>
        <v>ABRIL</v>
      </c>
      <c r="O44" s="1971" t="s">
        <v>662</v>
      </c>
      <c r="P44" s="1971" t="s">
        <v>483</v>
      </c>
      <c r="Q44" s="1971" t="s">
        <v>165</v>
      </c>
      <c r="R44" s="1969">
        <v>7241</v>
      </c>
      <c r="S44" s="1969">
        <v>453882</v>
      </c>
      <c r="T44" s="1969" t="s">
        <v>627</v>
      </c>
      <c r="U44" s="1969">
        <v>2044</v>
      </c>
      <c r="V44" s="1969">
        <v>180002889</v>
      </c>
      <c r="W44" s="1970">
        <v>42495</v>
      </c>
      <c r="X44" s="1966">
        <f>Diario_Documentos_TPL[[#This Row],[Total Pasivo
(USD)]]/1.16</f>
        <v>437599.36206896557</v>
      </c>
      <c r="Y44" s="1966">
        <f>Diario_Documentos_TPL[[#This Row],[Importe Pasivo
(USD)]]*0.16</f>
        <v>70015.897931034488</v>
      </c>
      <c r="Z44" s="1966">
        <v>507615.26</v>
      </c>
      <c r="AA44" s="1966">
        <f>Diario_Documentos_TPL[[#This Row],[Total Pasivo
(MX)]]/1.16</f>
        <v>7668228.6551724141</v>
      </c>
      <c r="AB44" s="1966">
        <f>Diario_Documentos_TPL[[#This Row],[Importe Pasivo
(MX)]]*0.16</f>
        <v>1226916.5848275863</v>
      </c>
      <c r="AC44" s="1966">
        <v>8895145.2400000002</v>
      </c>
      <c r="AD44" s="1965">
        <f>IFERROR(Diario_Documentos_TPL[[#This Row],[Total Pasivo
(MX)]]/Diario_Documentos_TPL[[#This Row],[Total Pasivo
(USD)]],0)</f>
        <v>17.523399986044549</v>
      </c>
      <c r="AE44" s="1969">
        <v>140011726</v>
      </c>
      <c r="AF44" s="1968">
        <v>42513</v>
      </c>
      <c r="AG44" s="1967">
        <f>Diario_Documentos_TPL[[#This Row],[Total de Pago
(USD)]]/1.16</f>
        <v>437599.36206896557</v>
      </c>
      <c r="AH44" s="1966">
        <f>Diario_Documentos_TPL[[#This Row],[Importe de Pago
(USD)]]*0.16</f>
        <v>70015.897931034488</v>
      </c>
      <c r="AI44" s="1966">
        <f>Diario_Documentos_TPL[[#This Row],[Total Pasivo
(USD)]]</f>
        <v>507615.26</v>
      </c>
      <c r="AJ44" s="1966">
        <f>Diario_Documentos_TPL[[#This Row],[Total de Pago
(MX)]]/1.16</f>
        <v>8115936.5686120708</v>
      </c>
      <c r="AK44" s="1966">
        <f>Diario_Documentos_TPL[[#This Row],[Importe de Pago
(MX)]]*0.16</f>
        <v>1298549.8509779314</v>
      </c>
      <c r="AL44" s="1966">
        <f>Diario_Documentos_TPL[[#This Row],[Total de Pago
(USD)]]*Diario_Documentos_TPL[[#This Row],[T.C Pago]]</f>
        <v>9414486.4195900019</v>
      </c>
      <c r="AM44" s="2017">
        <v>18.546500000000002</v>
      </c>
      <c r="AN44" s="1965"/>
      <c r="AO44" s="1965"/>
      <c r="AP44" s="1965">
        <f>Diario_Documentos_TPL[[#This Row],[Importe de Pago
(MX)]]-Diario_Documentos_TPL[[#This Row],[Importe Pasivo
(MX)]]</f>
        <v>447707.91343965661</v>
      </c>
      <c r="AQ44" s="1965">
        <f>Diario_Documentos_TPL[[#This Row],[Total_Paridad]]-Diario_Documentos_TPL[[#This Row],[Subtotal_Paridad]]</f>
        <v>71633.266150345095</v>
      </c>
      <c r="AR44" s="1964">
        <f>Diario_Documentos_TPL[[#This Row],[Total de Pago
(MX)]]-Diario_Documentos_TPL[[#This Row],[Total Pasivo
(MX)]]</f>
        <v>519341.1795900017</v>
      </c>
      <c r="AS44" s="1980"/>
      <c r="AT44" s="1980"/>
      <c r="AU44" s="1980"/>
      <c r="AV44" s="1980"/>
    </row>
    <row r="45" spans="1:48" ht="14.25" hidden="1" customHeight="1" x14ac:dyDescent="0.25">
      <c r="A45" s="1969" t="s">
        <v>598</v>
      </c>
      <c r="B45" s="1969">
        <v>4326979</v>
      </c>
      <c r="C45" s="1969">
        <v>800762390</v>
      </c>
      <c r="D45" s="1969"/>
      <c r="E45" s="1969" t="s">
        <v>632</v>
      </c>
      <c r="F45" s="1969" t="s">
        <v>599</v>
      </c>
      <c r="G45" s="1969" t="s">
        <v>628</v>
      </c>
      <c r="H45" s="1969" t="str">
        <f>VLOOKUP(Diario_Documentos_TPL[[#This Row],[Centro Gestor]],Catalogo_Centro_Gestor[],2,FALSE)</f>
        <v>Jefatura GRPN</v>
      </c>
      <c r="I45" s="1969">
        <v>2502</v>
      </c>
      <c r="J45" s="1972">
        <f>IF(YEAR(Diario_Documentos_TPL[[#This Row],[Fecha de Pago]])=1900, "SIN PAGO",YEAR(Diario_Documentos_TPL[[#This Row],[Fecha de Pago]]))</f>
        <v>2016</v>
      </c>
      <c r="K45" s="1973">
        <v>2016</v>
      </c>
      <c r="L45" s="1972">
        <f>IF(MONTH(Diario_Documentos_TPL[[#This Row],[Fecha de Pago]])=0, "SIN PAGO",MONTH(Diario_Documentos_TPL[[#This Row],[Fecha de Pago]]))</f>
        <v>9</v>
      </c>
      <c r="M45" s="1971">
        <v>8</v>
      </c>
      <c r="N45" s="1971" t="str">
        <f>VLOOKUP(Diario_Documentos_TPL[[#This Row],[Periodo del Servicio]],'Tablas (2)'!$L$3:$M$14,2,FALSE)</f>
        <v>AGOSTO</v>
      </c>
      <c r="O45" s="1971" t="s">
        <v>198</v>
      </c>
      <c r="P45" s="1971" t="s">
        <v>483</v>
      </c>
      <c r="Q45" s="1971" t="s">
        <v>165</v>
      </c>
      <c r="R45" s="1969">
        <v>7241</v>
      </c>
      <c r="S45" s="1969">
        <v>453882</v>
      </c>
      <c r="T45" s="1969" t="s">
        <v>627</v>
      </c>
      <c r="U45" s="1969">
        <v>2044</v>
      </c>
      <c r="V45" s="1971">
        <v>180006198</v>
      </c>
      <c r="W45" s="1970">
        <v>42615</v>
      </c>
      <c r="X45" s="1966">
        <f>Diario_Documentos_TPL[[#This Row],[Total Pasivo
(USD)]]/1.16</f>
        <v>418658.5</v>
      </c>
      <c r="Y45" s="1966">
        <f>Diario_Documentos_TPL[[#This Row],[Importe Pasivo
(USD)]]*0.16</f>
        <v>66985.36</v>
      </c>
      <c r="Z45" s="1966">
        <v>485643.86</v>
      </c>
      <c r="AA45" s="1966">
        <f>Diario_Documentos_TPL[[#This Row],[Total Pasivo
(MX)]]/1.16</f>
        <v>7896359.8275862075</v>
      </c>
      <c r="AB45" s="1966">
        <f>Diario_Documentos_TPL[[#This Row],[Importe Pasivo
(MX)]]*0.16</f>
        <v>1263417.5724137933</v>
      </c>
      <c r="AC45" s="1966">
        <v>9159777.4000000004</v>
      </c>
      <c r="AD45" s="1965">
        <f>IFERROR(Diario_Documentos_TPL[[#This Row],[Total Pasivo
(MX)]]/Diario_Documentos_TPL[[#This Row],[Total Pasivo
(USD)]],0)</f>
        <v>18.861099983844131</v>
      </c>
      <c r="AE45" s="1971">
        <v>140021538</v>
      </c>
      <c r="AF45" s="1968">
        <v>42635</v>
      </c>
      <c r="AG45" s="1967">
        <f>Diario_Documentos_TPL[[#This Row],[Total de Pago
(USD)]]/1.16</f>
        <v>418658.5</v>
      </c>
      <c r="AH45" s="1966">
        <f>Diario_Documentos_TPL[[#This Row],[Importe de Pago
(USD)]]*0.16</f>
        <v>66985.36</v>
      </c>
      <c r="AI45" s="1966">
        <f>Diario_Documentos_TPL[[#This Row],[Total Pasivo
(USD)]]</f>
        <v>485643.86</v>
      </c>
      <c r="AJ45" s="1966">
        <f>Diario_Documentos_TPL[[#This Row],[Total de Pago
(MX)]]/1.16</f>
        <v>8279809.1545000002</v>
      </c>
      <c r="AK45" s="1966">
        <f>Diario_Documentos_TPL[[#This Row],[Importe de Pago
(MX)]]*0.16</f>
        <v>1324769.46472</v>
      </c>
      <c r="AL45" s="1966">
        <f>Diario_Documentos_TPL[[#This Row],[Total de Pago
(USD)]]*Diario_Documentos_TPL[[#This Row],[T.C Pago]]</f>
        <v>9604578.6192199998</v>
      </c>
      <c r="AM45" s="2017">
        <v>19.777000000000001</v>
      </c>
      <c r="AN45" s="1965"/>
      <c r="AO45" s="1965"/>
      <c r="AP45" s="1965">
        <f>Diario_Documentos_TPL[[#This Row],[Importe de Pago
(MX)]]-Diario_Documentos_TPL[[#This Row],[Importe Pasivo
(MX)]]</f>
        <v>383449.32691379264</v>
      </c>
      <c r="AQ45" s="1965">
        <f>Diario_Documentos_TPL[[#This Row],[Total_Paridad]]-Diario_Documentos_TPL[[#This Row],[Subtotal_Paridad]]</f>
        <v>61351.892306206748</v>
      </c>
      <c r="AR45" s="1964">
        <f>Diario_Documentos_TPL[[#This Row],[Total de Pago
(MX)]]-Diario_Documentos_TPL[[#This Row],[Total Pasivo
(MX)]]</f>
        <v>444801.21921999939</v>
      </c>
      <c r="AS45" s="1980"/>
      <c r="AT45" s="1980"/>
      <c r="AU45" s="1980"/>
      <c r="AV45" s="1980"/>
    </row>
    <row r="46" spans="1:48" ht="14.25" hidden="1" customHeight="1" x14ac:dyDescent="0.25">
      <c r="A46" s="1969" t="s">
        <v>598</v>
      </c>
      <c r="B46" s="1969">
        <v>4326979</v>
      </c>
      <c r="C46" s="1969">
        <v>800762390</v>
      </c>
      <c r="D46" s="1969"/>
      <c r="E46" s="1969" t="s">
        <v>632</v>
      </c>
      <c r="F46" s="1969" t="s">
        <v>599</v>
      </c>
      <c r="G46" s="1969" t="s">
        <v>628</v>
      </c>
      <c r="H46" s="1969" t="str">
        <f>VLOOKUP(Diario_Documentos_TPL[[#This Row],[Centro Gestor]],Catalogo_Centro_Gestor[],2,FALSE)</f>
        <v>Jefatura GRPN</v>
      </c>
      <c r="I46" s="1969">
        <v>2502</v>
      </c>
      <c r="J46" s="1972">
        <f>IF(YEAR(Diario_Documentos_TPL[[#This Row],[Fecha de Pago]])=1900, "SIN PAGO",YEAR(Diario_Documentos_TPL[[#This Row],[Fecha de Pago]]))</f>
        <v>2016</v>
      </c>
      <c r="K46" s="1973">
        <v>2016</v>
      </c>
      <c r="L46" s="1972">
        <f>IF(MONTH(Diario_Documentos_TPL[[#This Row],[Fecha de Pago]])=0, "SIN PAGO",MONTH(Diario_Documentos_TPL[[#This Row],[Fecha de Pago]]))</f>
        <v>3</v>
      </c>
      <c r="M46" s="1971">
        <v>2</v>
      </c>
      <c r="N46" s="1971" t="str">
        <f>VLOOKUP(Diario_Documentos_TPL[[#This Row],[Periodo del Servicio]],'Tablas (2)'!$L$3:$M$14,2,FALSE)</f>
        <v>FEBRERO</v>
      </c>
      <c r="O46" s="1971" t="s">
        <v>161</v>
      </c>
      <c r="P46" s="1971" t="s">
        <v>483</v>
      </c>
      <c r="Q46" s="1971" t="s">
        <v>165</v>
      </c>
      <c r="R46" s="1969">
        <v>7241</v>
      </c>
      <c r="S46" s="1969">
        <v>453882</v>
      </c>
      <c r="T46" s="1969" t="s">
        <v>627</v>
      </c>
      <c r="U46" s="1969">
        <v>2044</v>
      </c>
      <c r="V46" s="1971">
        <v>180001249</v>
      </c>
      <c r="W46" s="1970">
        <v>42437</v>
      </c>
      <c r="X46" s="1966">
        <f>Diario_Documentos_TPL[[#This Row],[Total Pasivo
(USD)]]/1.16</f>
        <v>437457.25</v>
      </c>
      <c r="Y46" s="1966">
        <f>Diario_Documentos_TPL[[#This Row],[Importe Pasivo
(USD)]]*0.16</f>
        <v>69993.16</v>
      </c>
      <c r="Z46" s="1966">
        <v>507450.41</v>
      </c>
      <c r="AA46" s="1966">
        <f>Diario_Documentos_TPL[[#This Row],[Total Pasivo
(MX)]]/1.16</f>
        <v>7774621.4827586208</v>
      </c>
      <c r="AB46" s="1966">
        <f>Diario_Documentos_TPL[[#This Row],[Importe Pasivo
(MX)]]*0.16</f>
        <v>1243939.4372413794</v>
      </c>
      <c r="AC46" s="1966">
        <v>9018560.9199999999</v>
      </c>
      <c r="AD46" s="1965">
        <f>IFERROR(Diario_Documentos_TPL[[#This Row],[Total Pasivo
(MX)]]/Diario_Documentos_TPL[[#This Row],[Total Pasivo
(USD)]],0)</f>
        <v>17.772299996762246</v>
      </c>
      <c r="AE46" s="1971">
        <v>140006667</v>
      </c>
      <c r="AF46" s="1968">
        <v>42451</v>
      </c>
      <c r="AG46" s="1967">
        <f>Diario_Documentos_TPL[[#This Row],[Total de Pago
(USD)]]/1.16</f>
        <v>437457.25</v>
      </c>
      <c r="AH46" s="1966">
        <f>Diario_Documentos_TPL[[#This Row],[Importe de Pago
(USD)]]*0.16</f>
        <v>69993.16</v>
      </c>
      <c r="AI46" s="1966">
        <f>Diario_Documentos_TPL[[#This Row],[Total Pasivo
(USD)]]</f>
        <v>507450.41</v>
      </c>
      <c r="AJ46" s="1966">
        <f>Diario_Documentos_TPL[[#This Row],[Total de Pago
(MX)]]/1.16</f>
        <v>7613243.5046500005</v>
      </c>
      <c r="AK46" s="1966">
        <f>Diario_Documentos_TPL[[#This Row],[Importe de Pago
(MX)]]*0.16</f>
        <v>1218118.960744</v>
      </c>
      <c r="AL46" s="1966">
        <f>Diario_Documentos_TPL[[#This Row],[Total de Pago
(USD)]]*Diario_Documentos_TPL[[#This Row],[T.C Pago]]</f>
        <v>8831362.4653939996</v>
      </c>
      <c r="AM46" s="2017">
        <v>17.403400000000001</v>
      </c>
      <c r="AN46" s="1965"/>
      <c r="AO46" s="1965"/>
      <c r="AP46" s="1965">
        <f>Diario_Documentos_TPL[[#This Row],[Importe de Pago
(MX)]]-Diario_Documentos_TPL[[#This Row],[Importe Pasivo
(MX)]]</f>
        <v>-161377.97810862027</v>
      </c>
      <c r="AQ46" s="1965">
        <f>Diario_Documentos_TPL[[#This Row],[Total_Paridad]]-Diario_Documentos_TPL[[#This Row],[Subtotal_Paridad]]</f>
        <v>-25820.476497380063</v>
      </c>
      <c r="AR46" s="1964">
        <f>Diario_Documentos_TPL[[#This Row],[Total de Pago
(MX)]]-Diario_Documentos_TPL[[#This Row],[Total Pasivo
(MX)]]</f>
        <v>-187198.45460600033</v>
      </c>
      <c r="AS46" s="1980"/>
      <c r="AT46" s="1980"/>
      <c r="AU46" s="1980"/>
      <c r="AV46" s="1980"/>
    </row>
    <row r="47" spans="1:48" ht="14.25" hidden="1" customHeight="1" x14ac:dyDescent="0.25">
      <c r="A47" s="1969" t="s">
        <v>598</v>
      </c>
      <c r="B47" s="1969">
        <v>4326979</v>
      </c>
      <c r="C47" s="1969">
        <v>800762390</v>
      </c>
      <c r="D47" s="1969"/>
      <c r="E47" s="1969" t="s">
        <v>632</v>
      </c>
      <c r="F47" s="1969" t="s">
        <v>599</v>
      </c>
      <c r="G47" s="1969" t="s">
        <v>628</v>
      </c>
      <c r="H47" s="1969" t="str">
        <f>VLOOKUP(Diario_Documentos_TPL[[#This Row],[Centro Gestor]],Catalogo_Centro_Gestor[],2,FALSE)</f>
        <v>Jefatura GRPN</v>
      </c>
      <c r="I47" s="1969">
        <v>2502</v>
      </c>
      <c r="J47" s="1972">
        <f>IF(YEAR(Diario_Documentos_TPL[[#This Row],[Fecha de Pago]])=1900, "SIN PAGO",YEAR(Diario_Documentos_TPL[[#This Row],[Fecha de Pago]]))</f>
        <v>2016</v>
      </c>
      <c r="K47" s="1973">
        <v>2016</v>
      </c>
      <c r="L47" s="1972">
        <f>IF(MONTH(Diario_Documentos_TPL[[#This Row],[Fecha de Pago]])=0, "SIN PAGO",MONTH(Diario_Documentos_TPL[[#This Row],[Fecha de Pago]]))</f>
        <v>8</v>
      </c>
      <c r="M47" s="1971">
        <v>7</v>
      </c>
      <c r="N47" s="1971" t="str">
        <f>VLOOKUP(Diario_Documentos_TPL[[#This Row],[Periodo del Servicio]],'Tablas (2)'!$L$3:$M$14,2,FALSE)</f>
        <v>JULIO</v>
      </c>
      <c r="O47" s="1971" t="s">
        <v>197</v>
      </c>
      <c r="P47" s="1971" t="s">
        <v>483</v>
      </c>
      <c r="Q47" s="1971" t="s">
        <v>165</v>
      </c>
      <c r="R47" s="1969">
        <v>7241</v>
      </c>
      <c r="S47" s="1969">
        <v>453882</v>
      </c>
      <c r="T47" s="1969" t="s">
        <v>627</v>
      </c>
      <c r="U47" s="1969">
        <v>2044</v>
      </c>
      <c r="V47" s="1971">
        <v>180005432</v>
      </c>
      <c r="W47" s="1970">
        <v>42585</v>
      </c>
      <c r="X47" s="1966">
        <f>Diario_Documentos_TPL[[#This Row],[Total Pasivo
(USD)]]/1.16</f>
        <v>418679.36206896557</v>
      </c>
      <c r="Y47" s="1966">
        <f>Diario_Documentos_TPL[[#This Row],[Importe Pasivo
(USD)]]*0.16</f>
        <v>66988.69793103449</v>
      </c>
      <c r="Z47" s="1966">
        <v>485668.06</v>
      </c>
      <c r="AA47" s="1966">
        <f>Diario_Documentos_TPL[[#This Row],[Total Pasivo
(MX)]]/1.16</f>
        <v>7892273.4482758623</v>
      </c>
      <c r="AB47" s="1966">
        <f>Diario_Documentos_TPL[[#This Row],[Importe Pasivo
(MX)]]*0.16</f>
        <v>1262763.7517241379</v>
      </c>
      <c r="AC47" s="1966">
        <v>9155037.1999999993</v>
      </c>
      <c r="AD47" s="1965">
        <f>IFERROR(Diario_Documentos_TPL[[#This Row],[Total Pasivo
(MX)]]/Diario_Documentos_TPL[[#This Row],[Total Pasivo
(USD)]],0)</f>
        <v>18.850400003656816</v>
      </c>
      <c r="AE47" s="1971">
        <v>140019116</v>
      </c>
      <c r="AF47" s="1968">
        <v>42604</v>
      </c>
      <c r="AG47" s="1967">
        <f>Diario_Documentos_TPL[[#This Row],[Total de Pago
(USD)]]/1.16</f>
        <v>418679.36206896557</v>
      </c>
      <c r="AH47" s="1966">
        <f>Diario_Documentos_TPL[[#This Row],[Importe de Pago
(USD)]]*0.16</f>
        <v>66988.69793103449</v>
      </c>
      <c r="AI47" s="1966">
        <f>Diario_Documentos_TPL[[#This Row],[Total Pasivo
(USD)]]</f>
        <v>485668.06</v>
      </c>
      <c r="AJ47" s="1966">
        <f>Diario_Documentos_TPL[[#This Row],[Total de Pago
(MX)]]/1.16</f>
        <v>7571062.640165519</v>
      </c>
      <c r="AK47" s="1966">
        <f>Diario_Documentos_TPL[[#This Row],[Importe de Pago
(MX)]]*0.16</f>
        <v>1211370.022426483</v>
      </c>
      <c r="AL47" s="1966">
        <f>Diario_Documentos_TPL[[#This Row],[Total de Pago
(USD)]]*Diario_Documentos_TPL[[#This Row],[T.C Pago]]</f>
        <v>8782432.6625920013</v>
      </c>
      <c r="AM47" s="2017">
        <v>18.083200000000001</v>
      </c>
      <c r="AN47" s="1965"/>
      <c r="AO47" s="1965"/>
      <c r="AP47" s="1965">
        <f>Diario_Documentos_TPL[[#This Row],[Importe de Pago
(MX)]]-Diario_Documentos_TPL[[#This Row],[Importe Pasivo
(MX)]]</f>
        <v>-321210.80811034329</v>
      </c>
      <c r="AQ47" s="1965">
        <f>Diario_Documentos_TPL[[#This Row],[Total_Paridad]]-Diario_Documentos_TPL[[#This Row],[Subtotal_Paridad]]</f>
        <v>-51393.729297654703</v>
      </c>
      <c r="AR47" s="1964">
        <f>Diario_Documentos_TPL[[#This Row],[Total de Pago
(MX)]]-Diario_Documentos_TPL[[#This Row],[Total Pasivo
(MX)]]</f>
        <v>-372604.537407998</v>
      </c>
      <c r="AS47" s="1980"/>
      <c r="AT47" s="1980"/>
      <c r="AU47" s="1980"/>
      <c r="AV47" s="1980"/>
    </row>
    <row r="48" spans="1:48" ht="14.25" hidden="1" customHeight="1" x14ac:dyDescent="0.25">
      <c r="A48" s="1969" t="s">
        <v>598</v>
      </c>
      <c r="B48" s="1969">
        <v>4326979</v>
      </c>
      <c r="C48" s="1969">
        <v>800762390</v>
      </c>
      <c r="D48" s="1969"/>
      <c r="E48" s="1969" t="s">
        <v>632</v>
      </c>
      <c r="F48" s="1969" t="s">
        <v>599</v>
      </c>
      <c r="G48" s="1969" t="s">
        <v>628</v>
      </c>
      <c r="H48" s="1969" t="str">
        <f>VLOOKUP(Diario_Documentos_TPL[[#This Row],[Centro Gestor]],Catalogo_Centro_Gestor[],2,FALSE)</f>
        <v>Jefatura GRPN</v>
      </c>
      <c r="I48" s="1969">
        <v>2502</v>
      </c>
      <c r="J48" s="1972">
        <f>IF(YEAR(Diario_Documentos_TPL[[#This Row],[Fecha de Pago]])=1900, "SIN PAGO",YEAR(Diario_Documentos_TPL[[#This Row],[Fecha de Pago]]))</f>
        <v>2016</v>
      </c>
      <c r="K48" s="1973">
        <v>2016</v>
      </c>
      <c r="L48" s="1972">
        <f>IF(MONTH(Diario_Documentos_TPL[[#This Row],[Fecha de Pago]])=0, "SIN PAGO",MONTH(Diario_Documentos_TPL[[#This Row],[Fecha de Pago]]))</f>
        <v>7</v>
      </c>
      <c r="M48" s="1971">
        <v>6</v>
      </c>
      <c r="N48" s="1971" t="str">
        <f>VLOOKUP(Diario_Documentos_TPL[[#This Row],[Periodo del Servicio]],'Tablas (2)'!$L$3:$M$14,2,FALSE)</f>
        <v>JUNIO</v>
      </c>
      <c r="O48" s="1971" t="s">
        <v>195</v>
      </c>
      <c r="P48" s="1971" t="s">
        <v>483</v>
      </c>
      <c r="Q48" s="1971" t="s">
        <v>165</v>
      </c>
      <c r="R48" s="1969">
        <v>7241</v>
      </c>
      <c r="S48" s="1969">
        <v>453882</v>
      </c>
      <c r="T48" s="1969" t="s">
        <v>627</v>
      </c>
      <c r="U48" s="1969">
        <v>2044</v>
      </c>
      <c r="V48" s="1971">
        <v>180004782</v>
      </c>
      <c r="W48" s="1970">
        <v>42559</v>
      </c>
      <c r="X48" s="1966">
        <f>Diario_Documentos_TPL[[#This Row],[Total Pasivo
(USD)]]/1.16</f>
        <v>418553.06034482759</v>
      </c>
      <c r="Y48" s="1966">
        <f>Diario_Documentos_TPL[[#This Row],[Importe Pasivo
(USD)]]*0.16</f>
        <v>66968.489655172423</v>
      </c>
      <c r="Z48" s="1966">
        <v>485521.55</v>
      </c>
      <c r="AA48" s="1966">
        <f>Diario_Documentos_TPL[[#This Row],[Total Pasivo
(MX)]]/1.16</f>
        <v>7875536.2413793104</v>
      </c>
      <c r="AB48" s="1966">
        <f>Diario_Documentos_TPL[[#This Row],[Importe Pasivo
(MX)]]*0.16</f>
        <v>1260085.7986206897</v>
      </c>
      <c r="AC48" s="1966">
        <v>9135622.0399999991</v>
      </c>
      <c r="AD48" s="1965">
        <f>IFERROR(Diario_Documentos_TPL[[#This Row],[Total Pasivo
(MX)]]/Diario_Documentos_TPL[[#This Row],[Total Pasivo
(USD)]],0)</f>
        <v>18.816100006271604</v>
      </c>
      <c r="AE48" s="1971">
        <v>140016934</v>
      </c>
      <c r="AF48" s="1968">
        <v>42573</v>
      </c>
      <c r="AG48" s="1967">
        <f>Diario_Documentos_TPL[[#This Row],[Total de Pago
(USD)]]/1.16</f>
        <v>418553.06034482759</v>
      </c>
      <c r="AH48" s="1966">
        <f>Diario_Documentos_TPL[[#This Row],[Importe de Pago
(USD)]]*0.16</f>
        <v>66968.489655172423</v>
      </c>
      <c r="AI48" s="1966">
        <f>Diario_Documentos_TPL[[#This Row],[Total Pasivo
(USD)]]</f>
        <v>485521.55</v>
      </c>
      <c r="AJ48" s="1966">
        <f>Diario_Documentos_TPL[[#This Row],[Total de Pago
(MX)]]/1.16</f>
        <v>7773744.134478448</v>
      </c>
      <c r="AK48" s="1966">
        <f>Diario_Documentos_TPL[[#This Row],[Importe de Pago
(MX)]]*0.16</f>
        <v>1243799.0615165518</v>
      </c>
      <c r="AL48" s="1966">
        <f>Diario_Documentos_TPL[[#This Row],[Total de Pago
(USD)]]*Diario_Documentos_TPL[[#This Row],[T.C Pago]]</f>
        <v>9017543.1959949993</v>
      </c>
      <c r="AM48" s="2017">
        <v>18.572900000000001</v>
      </c>
      <c r="AN48" s="1965"/>
      <c r="AO48" s="1965"/>
      <c r="AP48" s="1965">
        <f>Diario_Documentos_TPL[[#This Row],[Importe de Pago
(MX)]]-Diario_Documentos_TPL[[#This Row],[Importe Pasivo
(MX)]]</f>
        <v>-101792.10690086242</v>
      </c>
      <c r="AQ48" s="1965">
        <f>Diario_Documentos_TPL[[#This Row],[Total_Paridad]]-Diario_Documentos_TPL[[#This Row],[Subtotal_Paridad]]</f>
        <v>-16286.737104137428</v>
      </c>
      <c r="AR48" s="1964">
        <f>Diario_Documentos_TPL[[#This Row],[Total de Pago
(MX)]]-Diario_Documentos_TPL[[#This Row],[Total Pasivo
(MX)]]</f>
        <v>-118078.84400499985</v>
      </c>
      <c r="AS48" s="1980"/>
      <c r="AT48" s="1980"/>
      <c r="AU48" s="1980"/>
      <c r="AV48" s="1980"/>
    </row>
    <row r="49" spans="1:48" ht="14.25" hidden="1" customHeight="1" x14ac:dyDescent="0.25">
      <c r="A49" s="1969" t="s">
        <v>598</v>
      </c>
      <c r="B49" s="1969">
        <v>4326979</v>
      </c>
      <c r="C49" s="1969">
        <v>800762390</v>
      </c>
      <c r="D49" s="1969"/>
      <c r="E49" s="1969" t="s">
        <v>632</v>
      </c>
      <c r="F49" s="1969" t="s">
        <v>599</v>
      </c>
      <c r="G49" s="1969" t="s">
        <v>628</v>
      </c>
      <c r="H49" s="1969" t="str">
        <f>VLOOKUP(Diario_Documentos_TPL[[#This Row],[Centro Gestor]],Catalogo_Centro_Gestor[],2,FALSE)</f>
        <v>Jefatura GRPN</v>
      </c>
      <c r="I49" s="1969">
        <v>2502</v>
      </c>
      <c r="J49" s="1972">
        <f>IF(YEAR(Diario_Documentos_TPL[[#This Row],[Fecha de Pago]])=1900, "SIN PAGO",YEAR(Diario_Documentos_TPL[[#This Row],[Fecha de Pago]]))</f>
        <v>2016</v>
      </c>
      <c r="K49" s="1973">
        <v>2016</v>
      </c>
      <c r="L49" s="1972">
        <f>IF(MONTH(Diario_Documentos_TPL[[#This Row],[Fecha de Pago]])=0, "SIN PAGO",MONTH(Diario_Documentos_TPL[[#This Row],[Fecha de Pago]]))</f>
        <v>4</v>
      </c>
      <c r="M49" s="1971">
        <v>3</v>
      </c>
      <c r="N49" s="1971" t="str">
        <f>VLOOKUP(Diario_Documentos_TPL[[#This Row],[Periodo del Servicio]],'Tablas (2)'!$L$3:$M$14,2,FALSE)</f>
        <v>MARZO</v>
      </c>
      <c r="O49" s="1971" t="s">
        <v>661</v>
      </c>
      <c r="P49" s="1971" t="s">
        <v>483</v>
      </c>
      <c r="Q49" s="1971" t="s">
        <v>165</v>
      </c>
      <c r="R49" s="1969">
        <v>7241</v>
      </c>
      <c r="S49" s="1969">
        <v>453882</v>
      </c>
      <c r="T49" s="1969" t="s">
        <v>627</v>
      </c>
      <c r="U49" s="1969">
        <v>2044</v>
      </c>
      <c r="V49" s="1971">
        <v>180002056</v>
      </c>
      <c r="W49" s="1970">
        <v>42467</v>
      </c>
      <c r="X49" s="1966">
        <f>Diario_Documentos_TPL[[#This Row],[Total Pasivo
(USD)]]/1.16</f>
        <v>437640.9224137931</v>
      </c>
      <c r="Y49" s="1966">
        <f>Diario_Documentos_TPL[[#This Row],[Importe Pasivo
(USD)]]*0.16</f>
        <v>70022.5475862069</v>
      </c>
      <c r="Z49" s="1966">
        <v>507663.47</v>
      </c>
      <c r="AA49" s="1966">
        <f>Diario_Documentos_TPL[[#This Row],[Total Pasivo
(MX)]]/1.16</f>
        <v>7757272.8793103443</v>
      </c>
      <c r="AB49" s="1966">
        <f>Diario_Documentos_TPL[[#This Row],[Importe Pasivo
(MX)]]*0.16</f>
        <v>1241163.6606896552</v>
      </c>
      <c r="AC49" s="1966">
        <v>8998436.5399999991</v>
      </c>
      <c r="AD49" s="1965">
        <f>IFERROR(Diario_Documentos_TPL[[#This Row],[Total Pasivo
(MX)]]/Diario_Documentos_TPL[[#This Row],[Total Pasivo
(USD)]],0)</f>
        <v>17.725200003065023</v>
      </c>
      <c r="AE49" s="1971">
        <v>140009205</v>
      </c>
      <c r="AF49" s="1968">
        <v>42485</v>
      </c>
      <c r="AG49" s="1967">
        <f>Diario_Documentos_TPL[[#This Row],[Total de Pago
(USD)]]/1.16</f>
        <v>437640.9224137931</v>
      </c>
      <c r="AH49" s="1966">
        <f>Diario_Documentos_TPL[[#This Row],[Importe de Pago
(USD)]]*0.16</f>
        <v>70022.5475862069</v>
      </c>
      <c r="AI49" s="1966">
        <f>Diario_Documentos_TPL[[#This Row],[Total Pasivo
(USD)]]</f>
        <v>507663.47</v>
      </c>
      <c r="AJ49" s="1966">
        <f>Diario_Documentos_TPL[[#This Row],[Total de Pago
(MX)]]/1.16</f>
        <v>7623792.3966327589</v>
      </c>
      <c r="AK49" s="1966">
        <f>Diario_Documentos_TPL[[#This Row],[Importe de Pago
(MX)]]*0.16</f>
        <v>1219806.7834612415</v>
      </c>
      <c r="AL49" s="1966">
        <f>Diario_Documentos_TPL[[#This Row],[Total de Pago
(USD)]]*Diario_Documentos_TPL[[#This Row],[T.C Pago]]</f>
        <v>8843599.180094</v>
      </c>
      <c r="AM49" s="2017">
        <v>17.420200000000001</v>
      </c>
      <c r="AN49" s="1965"/>
      <c r="AO49" s="1965"/>
      <c r="AP49" s="1965">
        <f>Diario_Documentos_TPL[[#This Row],[Importe de Pago
(MX)]]-Diario_Documentos_TPL[[#This Row],[Importe Pasivo
(MX)]]</f>
        <v>-133480.48267758545</v>
      </c>
      <c r="AQ49" s="1965">
        <f>Diario_Documentos_TPL[[#This Row],[Total_Paridad]]-Diario_Documentos_TPL[[#This Row],[Subtotal_Paridad]]</f>
        <v>-21356.877228413709</v>
      </c>
      <c r="AR49" s="1964">
        <f>Diario_Documentos_TPL[[#This Row],[Total de Pago
(MX)]]-Diario_Documentos_TPL[[#This Row],[Total Pasivo
(MX)]]</f>
        <v>-154837.35990599915</v>
      </c>
      <c r="AS49" s="1980"/>
      <c r="AT49" s="1980"/>
      <c r="AU49" s="1980"/>
      <c r="AV49" s="1980"/>
    </row>
    <row r="50" spans="1:48" ht="14.25" hidden="1" customHeight="1" x14ac:dyDescent="0.25">
      <c r="A50" s="1969" t="s">
        <v>598</v>
      </c>
      <c r="B50" s="1969">
        <v>4326979</v>
      </c>
      <c r="C50" s="1969">
        <v>800762390</v>
      </c>
      <c r="D50" s="1969"/>
      <c r="E50" s="1969" t="s">
        <v>632</v>
      </c>
      <c r="F50" s="1969" t="s">
        <v>599</v>
      </c>
      <c r="G50" s="1969" t="s">
        <v>628</v>
      </c>
      <c r="H50" s="1969" t="str">
        <f>VLOOKUP(Diario_Documentos_TPL[[#This Row],[Centro Gestor]],Catalogo_Centro_Gestor[],2,FALSE)</f>
        <v>Jefatura GRPN</v>
      </c>
      <c r="I50" s="1969">
        <v>2502</v>
      </c>
      <c r="J50" s="1972">
        <f>IF(YEAR(Diario_Documentos_TPL[[#This Row],[Fecha de Pago]])=1900, "SIN PAGO",YEAR(Diario_Documentos_TPL[[#This Row],[Fecha de Pago]]))</f>
        <v>2016</v>
      </c>
      <c r="K50" s="1973">
        <v>2016</v>
      </c>
      <c r="L50" s="1972">
        <f>IF(MONTH(Diario_Documentos_TPL[[#This Row],[Fecha de Pago]])=0, "SIN PAGO",MONTH(Diario_Documentos_TPL[[#This Row],[Fecha de Pago]]))</f>
        <v>6</v>
      </c>
      <c r="M50" s="1971">
        <v>5</v>
      </c>
      <c r="N50" s="1971" t="str">
        <f>VLOOKUP(Diario_Documentos_TPL[[#This Row],[Periodo del Servicio]],'Tablas (2)'!$L$3:$M$14,2,FALSE)</f>
        <v>MAYO</v>
      </c>
      <c r="O50" s="1971" t="s">
        <v>193</v>
      </c>
      <c r="P50" s="1971" t="s">
        <v>483</v>
      </c>
      <c r="Q50" s="1971" t="s">
        <v>165</v>
      </c>
      <c r="R50" s="1969">
        <v>7241</v>
      </c>
      <c r="S50" s="1969">
        <v>453882</v>
      </c>
      <c r="T50" s="1969" t="s">
        <v>627</v>
      </c>
      <c r="U50" s="1969">
        <v>2044</v>
      </c>
      <c r="V50" s="1971">
        <v>180003843</v>
      </c>
      <c r="W50" s="1970">
        <v>42528</v>
      </c>
      <c r="X50" s="1966">
        <f>Diario_Documentos_TPL[[#This Row],[Total Pasivo
(USD)]]/1.16</f>
        <v>418602.37931034487</v>
      </c>
      <c r="Y50" s="1966">
        <f>Diario_Documentos_TPL[[#This Row],[Importe Pasivo
(USD)]]*0.16</f>
        <v>66976.380689655183</v>
      </c>
      <c r="Z50" s="1966">
        <v>485578.76</v>
      </c>
      <c r="AA50" s="1966">
        <f>Diario_Documentos_TPL[[#This Row],[Total Pasivo
(MX)]]/1.16</f>
        <v>7797850.6982758632</v>
      </c>
      <c r="AB50" s="1966">
        <f>Diario_Documentos_TPL[[#This Row],[Importe Pasivo
(MX)]]*0.16</f>
        <v>1247656.111724138</v>
      </c>
      <c r="AC50" s="1966">
        <v>9045506.8100000005</v>
      </c>
      <c r="AD50" s="1965">
        <f>IFERROR(Diario_Documentos_TPL[[#This Row],[Total Pasivo
(MX)]]/Diario_Documentos_TPL[[#This Row],[Total Pasivo
(USD)]],0)</f>
        <v>18.628299989892476</v>
      </c>
      <c r="AE50" s="1971">
        <v>140014414</v>
      </c>
      <c r="AF50" s="1968">
        <v>42543</v>
      </c>
      <c r="AG50" s="1967">
        <f>Diario_Documentos_TPL[[#This Row],[Total de Pago
(USD)]]/1.16</f>
        <v>418602.37931034487</v>
      </c>
      <c r="AH50" s="1966">
        <f>Diario_Documentos_TPL[[#This Row],[Importe de Pago
(USD)]]*0.16</f>
        <v>66976.380689655183</v>
      </c>
      <c r="AI50" s="1966">
        <f>Diario_Documentos_TPL[[#This Row],[Total Pasivo
(USD)]]</f>
        <v>485578.76</v>
      </c>
      <c r="AJ50" s="1966">
        <f>Diario_Documentos_TPL[[#This Row],[Total de Pago
(MX)]]/1.16</f>
        <v>7809404.1281758621</v>
      </c>
      <c r="AK50" s="1966">
        <f>Diario_Documentos_TPL[[#This Row],[Importe de Pago
(MX)]]*0.16</f>
        <v>1249504.6605081379</v>
      </c>
      <c r="AL50" s="1966">
        <f>Diario_Documentos_TPL[[#This Row],[Total de Pago
(USD)]]*Diario_Documentos_TPL[[#This Row],[T.C Pago]]</f>
        <v>9058908.7886839993</v>
      </c>
      <c r="AM50" s="2017">
        <v>18.655899999999999</v>
      </c>
      <c r="AN50" s="1965"/>
      <c r="AO50" s="1965"/>
      <c r="AP50" s="1965">
        <f>Diario_Documentos_TPL[[#This Row],[Importe de Pago
(MX)]]-Diario_Documentos_TPL[[#This Row],[Importe Pasivo
(MX)]]</f>
        <v>11553.429899998941</v>
      </c>
      <c r="AQ50" s="1965">
        <f>Diario_Documentos_TPL[[#This Row],[Total_Paridad]]-Diario_Documentos_TPL[[#This Row],[Subtotal_Paridad]]</f>
        <v>1848.5487839998677</v>
      </c>
      <c r="AR50" s="1964">
        <f>Diario_Documentos_TPL[[#This Row],[Total de Pago
(MX)]]-Diario_Documentos_TPL[[#This Row],[Total Pasivo
(MX)]]</f>
        <v>13401.978683998808</v>
      </c>
      <c r="AS50" s="1980"/>
      <c r="AT50" s="1980"/>
      <c r="AU50" s="1980"/>
      <c r="AV50" s="1980"/>
    </row>
    <row r="51" spans="1:48" ht="14.25" hidden="1" customHeight="1" x14ac:dyDescent="0.25">
      <c r="A51" s="1969" t="s">
        <v>598</v>
      </c>
      <c r="B51" s="1969">
        <v>4326979</v>
      </c>
      <c r="C51" s="1969">
        <v>800762390</v>
      </c>
      <c r="D51" s="1969"/>
      <c r="E51" s="1969" t="s">
        <v>632</v>
      </c>
      <c r="F51" s="1969" t="s">
        <v>599</v>
      </c>
      <c r="G51" s="1969" t="s">
        <v>628</v>
      </c>
      <c r="H51" s="1969" t="str">
        <f>VLOOKUP(Diario_Documentos_TPL[[#This Row],[Centro Gestor]],Catalogo_Centro_Gestor[],2,FALSE)</f>
        <v>Jefatura GRPN</v>
      </c>
      <c r="I51" s="1969">
        <v>2502</v>
      </c>
      <c r="J51" s="1972">
        <f>IF(YEAR(Diario_Documentos_TPL[[#This Row],[Fecha de Pago]])=1900, "SIN PAGO",YEAR(Diario_Documentos_TPL[[#This Row],[Fecha de Pago]]))</f>
        <v>2016</v>
      </c>
      <c r="K51" s="1973">
        <v>2016</v>
      </c>
      <c r="L51" s="1972">
        <f>IF(MONTH(Diario_Documentos_TPL[[#This Row],[Fecha de Pago]])=0, "SIN PAGO",MONTH(Diario_Documentos_TPL[[#This Row],[Fecha de Pago]]))</f>
        <v>12</v>
      </c>
      <c r="M51" s="1971">
        <v>11</v>
      </c>
      <c r="N51" s="1971" t="str">
        <f>VLOOKUP(Diario_Documentos_TPL[[#This Row],[Periodo del Servicio]],'Tablas (2)'!$L$3:$M$14,2,FALSE)</f>
        <v>NOVIEMBRE</v>
      </c>
      <c r="O51" s="1971" t="s">
        <v>202</v>
      </c>
      <c r="P51" s="1971" t="s">
        <v>483</v>
      </c>
      <c r="Q51" s="1971" t="s">
        <v>165</v>
      </c>
      <c r="R51" s="1969">
        <v>7241</v>
      </c>
      <c r="S51" s="1969">
        <v>453882</v>
      </c>
      <c r="T51" s="1969" t="s">
        <v>627</v>
      </c>
      <c r="U51" s="1969">
        <v>2044</v>
      </c>
      <c r="V51" s="1971">
        <v>180008855</v>
      </c>
      <c r="W51" s="1970">
        <v>42711</v>
      </c>
      <c r="X51" s="1966">
        <f>Diario_Documentos_TPL[[#This Row],[Total Pasivo
(USD)]]/1.16</f>
        <v>418446.62931034487</v>
      </c>
      <c r="Y51" s="1966">
        <f>Diario_Documentos_TPL[[#This Row],[Importe Pasivo
(USD)]]*0.16</f>
        <v>66951.460689655185</v>
      </c>
      <c r="Z51" s="1966">
        <v>485398.09</v>
      </c>
      <c r="AA51" s="1966">
        <f>Diario_Documentos_TPL[[#This Row],[Total Pasivo
(MX)]]/1.16</f>
        <v>8616945.9051724151</v>
      </c>
      <c r="AB51" s="1966">
        <f>Diario_Documentos_TPL[[#This Row],[Importe Pasivo
(MX)]]*0.16</f>
        <v>1378711.3448275866</v>
      </c>
      <c r="AC51" s="1966">
        <v>9995657.25</v>
      </c>
      <c r="AD51" s="1965">
        <f>IFERROR(Diario_Documentos_TPL[[#This Row],[Total Pasivo
(MX)]]/Diario_Documentos_TPL[[#This Row],[Total Pasivo
(USD)]],0)</f>
        <v>20.592700004237759</v>
      </c>
      <c r="AE51" s="1971">
        <v>140028802</v>
      </c>
      <c r="AF51" s="1968">
        <v>42731</v>
      </c>
      <c r="AG51" s="1967">
        <f>Diario_Documentos_TPL[[#This Row],[Total de Pago
(USD)]]/1.16</f>
        <v>418446.62931034487</v>
      </c>
      <c r="AH51" s="1966">
        <f>Diario_Documentos_TPL[[#This Row],[Importe de Pago
(USD)]]*0.16</f>
        <v>66951.460689655185</v>
      </c>
      <c r="AI51" s="1966">
        <f>Diario_Documentos_TPL[[#This Row],[Total Pasivo
(USD)]]</f>
        <v>485398.09</v>
      </c>
      <c r="AJ51" s="1966">
        <f>Diario_Documentos_TPL[[#This Row],[Total de Pago
(MX)]]/1.16</f>
        <v>8631340.4674474131</v>
      </c>
      <c r="AK51" s="1966">
        <f>Diario_Documentos_TPL[[#This Row],[Importe de Pago
(MX)]]*0.16</f>
        <v>1381014.4747915862</v>
      </c>
      <c r="AL51" s="1966">
        <f>Diario_Documentos_TPL[[#This Row],[Total de Pago
(USD)]]*Diario_Documentos_TPL[[#This Row],[T.C Pago]]</f>
        <v>10012354.942239</v>
      </c>
      <c r="AM51" s="2017">
        <v>20.627099999999999</v>
      </c>
      <c r="AN51" s="1965"/>
      <c r="AO51" s="1965"/>
      <c r="AP51" s="1965">
        <f>Diario_Documentos_TPL[[#This Row],[Importe de Pago
(MX)]]-Diario_Documentos_TPL[[#This Row],[Importe Pasivo
(MX)]]</f>
        <v>14394.562274998054</v>
      </c>
      <c r="AQ51" s="1965">
        <f>Diario_Documentos_TPL[[#This Row],[Total_Paridad]]-Diario_Documentos_TPL[[#This Row],[Subtotal_Paridad]]</f>
        <v>2303.1299640014768</v>
      </c>
      <c r="AR51" s="1964">
        <f>Diario_Documentos_TPL[[#This Row],[Total de Pago
(MX)]]-Diario_Documentos_TPL[[#This Row],[Total Pasivo
(MX)]]</f>
        <v>16697.692238999531</v>
      </c>
      <c r="AS51" s="1980"/>
      <c r="AT51" s="1980"/>
      <c r="AU51" s="1980"/>
      <c r="AV51" s="1980"/>
    </row>
    <row r="52" spans="1:48" ht="14.25" hidden="1" customHeight="1" x14ac:dyDescent="0.25">
      <c r="A52" s="1969" t="s">
        <v>598</v>
      </c>
      <c r="B52" s="1969">
        <v>4326979</v>
      </c>
      <c r="C52" s="1969">
        <v>800762390</v>
      </c>
      <c r="D52" s="1969"/>
      <c r="E52" s="1969" t="s">
        <v>632</v>
      </c>
      <c r="F52" s="1969" t="s">
        <v>599</v>
      </c>
      <c r="G52" s="1969" t="s">
        <v>628</v>
      </c>
      <c r="H52" s="1969" t="str">
        <f>VLOOKUP(Diario_Documentos_TPL[[#This Row],[Centro Gestor]],Catalogo_Centro_Gestor[],2,FALSE)</f>
        <v>Jefatura GRPN</v>
      </c>
      <c r="I52" s="1969">
        <v>2502</v>
      </c>
      <c r="J52" s="1972">
        <f>IF(YEAR(Diario_Documentos_TPL[[#This Row],[Fecha de Pago]])=1900, "SIN PAGO",YEAR(Diario_Documentos_TPL[[#This Row],[Fecha de Pago]]))</f>
        <v>2016</v>
      </c>
      <c r="K52" s="1973">
        <v>2016</v>
      </c>
      <c r="L52" s="1972">
        <f>IF(MONTH(Diario_Documentos_TPL[[#This Row],[Fecha de Pago]])=0, "SIN PAGO",MONTH(Diario_Documentos_TPL[[#This Row],[Fecha de Pago]]))</f>
        <v>12</v>
      </c>
      <c r="M52" s="1971">
        <v>10</v>
      </c>
      <c r="N52" s="1971" t="str">
        <f>VLOOKUP(Diario_Documentos_TPL[[#This Row],[Periodo del Servicio]],'Tablas (2)'!$L$3:$M$14,2,FALSE)</f>
        <v>OCTUBRE</v>
      </c>
      <c r="O52" s="1971" t="s">
        <v>660</v>
      </c>
      <c r="P52" s="1971" t="s">
        <v>483</v>
      </c>
      <c r="Q52" s="1971" t="s">
        <v>165</v>
      </c>
      <c r="R52" s="1969">
        <v>7241</v>
      </c>
      <c r="S52" s="1969">
        <v>453882</v>
      </c>
      <c r="T52" s="1969" t="s">
        <v>627</v>
      </c>
      <c r="U52" s="1969">
        <v>2044</v>
      </c>
      <c r="V52" s="1971">
        <v>180008093</v>
      </c>
      <c r="W52" s="1970">
        <v>42689</v>
      </c>
      <c r="X52" s="1966">
        <f>Diario_Documentos_TPL[[#This Row],[Total Pasivo
(USD)]]/1.16</f>
        <v>418526.06034482759</v>
      </c>
      <c r="Y52" s="1966">
        <f>Diario_Documentos_TPL[[#This Row],[Importe Pasivo
(USD)]]*0.16</f>
        <v>66964.169655172416</v>
      </c>
      <c r="Z52" s="1966">
        <v>485490.23</v>
      </c>
      <c r="AA52" s="1966">
        <f>Diario_Documentos_TPL[[#This Row],[Total Pasivo
(MX)]]/1.16</f>
        <v>8810433.9482758641</v>
      </c>
      <c r="AB52" s="1966">
        <f>Diario_Documentos_TPL[[#This Row],[Importe Pasivo
(MX)]]*0.16</f>
        <v>1409669.4317241383</v>
      </c>
      <c r="AC52" s="1966">
        <v>10220103.380000001</v>
      </c>
      <c r="AD52" s="1965">
        <f>IFERROR(Diario_Documentos_TPL[[#This Row],[Total Pasivo
(MX)]]/Diario_Documentos_TPL[[#This Row],[Total Pasivo
(USD)]],0)</f>
        <v>21.051099998448993</v>
      </c>
      <c r="AE52" s="1971">
        <v>140027236</v>
      </c>
      <c r="AF52" s="1968">
        <v>42709</v>
      </c>
      <c r="AG52" s="1967">
        <f>Diario_Documentos_TPL[[#This Row],[Total de Pago
(USD)]]/1.16</f>
        <v>418526.06034482759</v>
      </c>
      <c r="AH52" s="1966">
        <f>Diario_Documentos_TPL[[#This Row],[Importe de Pago
(USD)]]*0.16</f>
        <v>66964.169655172416</v>
      </c>
      <c r="AI52" s="1966">
        <f>Diario_Documentos_TPL[[#This Row],[Total Pasivo
(USD)]]</f>
        <v>485490.23</v>
      </c>
      <c r="AJ52" s="1966">
        <f>Diario_Documentos_TPL[[#This Row],[Total de Pago
(MX)]]/1.16</f>
        <v>8627872.8814025857</v>
      </c>
      <c r="AK52" s="1966">
        <f>Diario_Documentos_TPL[[#This Row],[Importe de Pago
(MX)]]*0.16</f>
        <v>1380459.6610244138</v>
      </c>
      <c r="AL52" s="1966">
        <f>Diario_Documentos_TPL[[#This Row],[Total de Pago
(USD)]]*Diario_Documentos_TPL[[#This Row],[T.C Pago]]</f>
        <v>10008332.542427</v>
      </c>
      <c r="AM52" s="2017">
        <v>20.614899999999999</v>
      </c>
      <c r="AN52" s="1965"/>
      <c r="AO52" s="1965"/>
      <c r="AP52" s="1965">
        <f>Diario_Documentos_TPL[[#This Row],[Importe de Pago
(MX)]]-Diario_Documentos_TPL[[#This Row],[Importe Pasivo
(MX)]]</f>
        <v>-182561.06687327847</v>
      </c>
      <c r="AQ52" s="1965">
        <f>Diario_Documentos_TPL[[#This Row],[Total_Paridad]]-Diario_Documentos_TPL[[#This Row],[Subtotal_Paridad]]</f>
        <v>-29209.770699722692</v>
      </c>
      <c r="AR52" s="1964">
        <f>Diario_Documentos_TPL[[#This Row],[Total de Pago
(MX)]]-Diario_Documentos_TPL[[#This Row],[Total Pasivo
(MX)]]</f>
        <v>-211770.83757300116</v>
      </c>
      <c r="AS52" s="1980"/>
      <c r="AT52" s="1980"/>
      <c r="AU52" s="1980"/>
      <c r="AV52" s="1980"/>
    </row>
    <row r="53" spans="1:48" ht="14.25" hidden="1" customHeight="1" x14ac:dyDescent="0.25">
      <c r="A53" s="1969" t="s">
        <v>598</v>
      </c>
      <c r="B53" s="1969">
        <v>4326979</v>
      </c>
      <c r="C53" s="1969">
        <v>800762390</v>
      </c>
      <c r="D53" s="1969"/>
      <c r="E53" s="1969" t="s">
        <v>632</v>
      </c>
      <c r="F53" s="1969" t="s">
        <v>599</v>
      </c>
      <c r="G53" s="1969" t="s">
        <v>628</v>
      </c>
      <c r="H53" s="1969" t="str">
        <f>VLOOKUP(Diario_Documentos_TPL[[#This Row],[Centro Gestor]],Catalogo_Centro_Gestor[],2,FALSE)</f>
        <v>Jefatura GRPN</v>
      </c>
      <c r="I53" s="1969">
        <v>2502</v>
      </c>
      <c r="J53" s="1972">
        <f>IF(YEAR(Diario_Documentos_TPL[[#This Row],[Fecha de Pago]])=1900, "SIN PAGO",YEAR(Diario_Documentos_TPL[[#This Row],[Fecha de Pago]]))</f>
        <v>2016</v>
      </c>
      <c r="K53" s="1973">
        <v>2016</v>
      </c>
      <c r="L53" s="1972">
        <f>IF(MONTH(Diario_Documentos_TPL[[#This Row],[Fecha de Pago]])=0, "SIN PAGO",MONTH(Diario_Documentos_TPL[[#This Row],[Fecha de Pago]]))</f>
        <v>10</v>
      </c>
      <c r="M53" s="1971">
        <v>9</v>
      </c>
      <c r="N53" s="1971" t="str">
        <f>VLOOKUP(Diario_Documentos_TPL[[#This Row],[Periodo del Servicio]],'Tablas (2)'!$L$3:$M$14,2,FALSE)</f>
        <v>SEPTIEMBRE</v>
      </c>
      <c r="O53" s="1971" t="s">
        <v>659</v>
      </c>
      <c r="P53" s="1971" t="s">
        <v>483</v>
      </c>
      <c r="Q53" s="1971" t="s">
        <v>165</v>
      </c>
      <c r="R53" s="1969">
        <v>7241</v>
      </c>
      <c r="S53" s="1969">
        <v>453882</v>
      </c>
      <c r="T53" s="1969" t="s">
        <v>627</v>
      </c>
      <c r="U53" s="1969">
        <v>2044</v>
      </c>
      <c r="V53" s="1969">
        <v>180007049</v>
      </c>
      <c r="W53" s="1970">
        <v>42650</v>
      </c>
      <c r="X53" s="1966">
        <f>Diario_Documentos_TPL[[#This Row],[Total Pasivo
(USD)]]/1.16</f>
        <v>418518.5172413793</v>
      </c>
      <c r="Y53" s="1966">
        <f>Diario_Documentos_TPL[[#This Row],[Importe Pasivo
(USD)]]*0.16</f>
        <v>66962.962758620692</v>
      </c>
      <c r="Z53" s="1966">
        <v>485481.48</v>
      </c>
      <c r="AA53" s="1966">
        <f>Diario_Documentos_TPL[[#This Row],[Total Pasivo
(MX)]]/1.16</f>
        <v>8058741.4568965519</v>
      </c>
      <c r="AB53" s="1966">
        <f>Diario_Documentos_TPL[[#This Row],[Importe Pasivo
(MX)]]*0.16</f>
        <v>1289398.6331034484</v>
      </c>
      <c r="AC53" s="1966">
        <v>9348140.0899999999</v>
      </c>
      <c r="AD53" s="1965">
        <f>IFERROR(Diario_Documentos_TPL[[#This Row],[Total Pasivo
(MX)]]/Diario_Documentos_TPL[[#This Row],[Total Pasivo
(USD)]],0)</f>
        <v>19.255400000016479</v>
      </c>
      <c r="AE53" s="1969">
        <v>140023864</v>
      </c>
      <c r="AF53" s="1968">
        <v>42668</v>
      </c>
      <c r="AG53" s="1967">
        <f>Diario_Documentos_TPL[[#This Row],[Total de Pago
(USD)]]/1.16</f>
        <v>418518.5172413793</v>
      </c>
      <c r="AH53" s="1966">
        <f>Diario_Documentos_TPL[[#This Row],[Importe de Pago
(USD)]]*0.16</f>
        <v>66962.962758620692</v>
      </c>
      <c r="AI53" s="1966">
        <f>Diario_Documentos_TPL[[#This Row],[Total Pasivo
(USD)]]</f>
        <v>485481.48</v>
      </c>
      <c r="AJ53" s="1966">
        <f>Diario_Documentos_TPL[[#This Row],[Total de Pago
(MX)]]/1.16</f>
        <v>7804575.1613689652</v>
      </c>
      <c r="AK53" s="1966">
        <f>Diario_Documentos_TPL[[#This Row],[Importe de Pago
(MX)]]*0.16</f>
        <v>1248732.0258190345</v>
      </c>
      <c r="AL53" s="1966">
        <f>Diario_Documentos_TPL[[#This Row],[Total de Pago
(USD)]]*Diario_Documentos_TPL[[#This Row],[T.C Pago]]</f>
        <v>9053307.1871879995</v>
      </c>
      <c r="AM53" s="2017">
        <v>18.648099999999999</v>
      </c>
      <c r="AN53" s="1965"/>
      <c r="AO53" s="1965"/>
      <c r="AP53" s="1965">
        <f>Diario_Documentos_TPL[[#This Row],[Importe de Pago
(MX)]]-Diario_Documentos_TPL[[#This Row],[Importe Pasivo
(MX)]]</f>
        <v>-254166.29552758671</v>
      </c>
      <c r="AQ53" s="1965">
        <f>Diario_Documentos_TPL[[#This Row],[Total_Paridad]]-Diario_Documentos_TPL[[#This Row],[Subtotal_Paridad]]</f>
        <v>-40666.607284413651</v>
      </c>
      <c r="AR53" s="1964">
        <f>Diario_Documentos_TPL[[#This Row],[Total de Pago
(MX)]]-Diario_Documentos_TPL[[#This Row],[Total Pasivo
(MX)]]</f>
        <v>-294832.90281200036</v>
      </c>
      <c r="AS53" s="1980"/>
      <c r="AT53" s="1980"/>
      <c r="AU53" s="1980"/>
      <c r="AV53" s="1980"/>
    </row>
    <row r="54" spans="1:48" ht="14.25" hidden="1" customHeight="1" x14ac:dyDescent="0.25">
      <c r="A54" s="1969" t="s">
        <v>598</v>
      </c>
      <c r="B54" s="1969">
        <v>4326979</v>
      </c>
      <c r="C54" s="1969">
        <v>800762390</v>
      </c>
      <c r="D54" s="1969"/>
      <c r="E54" s="1969" t="s">
        <v>632</v>
      </c>
      <c r="F54" s="1969" t="s">
        <v>599</v>
      </c>
      <c r="G54" s="1969" t="s">
        <v>628</v>
      </c>
      <c r="H54" s="1969" t="str">
        <f>VLOOKUP(Diario_Documentos_TPL[[#This Row],[Centro Gestor]],Catalogo_Centro_Gestor[],2,FALSE)</f>
        <v>Jefatura GRPN</v>
      </c>
      <c r="I54" s="1969">
        <v>2502</v>
      </c>
      <c r="J54" s="1972">
        <f>IF(YEAR(Diario_Documentos_TPL[[#This Row],[Fecha de Pago]])=1900, "SIN PAGO",YEAR(Diario_Documentos_TPL[[#This Row],[Fecha de Pago]]))</f>
        <v>2017</v>
      </c>
      <c r="K54" s="1973">
        <v>2016</v>
      </c>
      <c r="L54" s="1972">
        <f>IF(MONTH(Diario_Documentos_TPL[[#This Row],[Fecha de Pago]])=0, "SIN PAGO",MONTH(Diario_Documentos_TPL[[#This Row],[Fecha de Pago]]))</f>
        <v>1</v>
      </c>
      <c r="M54" s="1971">
        <v>12</v>
      </c>
      <c r="N54" s="1971" t="str">
        <f>VLOOKUP(Diario_Documentos_TPL[[#This Row],[Periodo del Servicio]],'Tablas (2)'!$L$3:$M$14,2,FALSE)</f>
        <v>DICIEMBRE</v>
      </c>
      <c r="O54" s="1971" t="s">
        <v>203</v>
      </c>
      <c r="P54" s="1971" t="s">
        <v>483</v>
      </c>
      <c r="Q54" s="1971" t="s">
        <v>165</v>
      </c>
      <c r="R54" s="1969">
        <v>7241</v>
      </c>
      <c r="S54" s="1969">
        <v>453882</v>
      </c>
      <c r="T54" s="1969" t="s">
        <v>627</v>
      </c>
      <c r="U54" s="1969">
        <v>2044</v>
      </c>
      <c r="V54" s="1969">
        <v>180000165</v>
      </c>
      <c r="W54" s="1970">
        <v>42745</v>
      </c>
      <c r="X54" s="1966">
        <f>Diario_Documentos_TPL[[#This Row],[Total Pasivo
(USD)]]/1.16</f>
        <v>418498.37931034487</v>
      </c>
      <c r="Y54" s="1966">
        <f>Diario_Documentos_TPL[[#This Row],[Importe Pasivo
(USD)]]*0.16</f>
        <v>66959.740689655184</v>
      </c>
      <c r="Z54" s="1966">
        <v>485458.12</v>
      </c>
      <c r="AA54" s="1966">
        <f>Diario_Documentos_TPL[[#This Row],[Total Pasivo
(MX)]]/1.16</f>
        <v>8541551.9224137943</v>
      </c>
      <c r="AB54" s="1966">
        <f>Diario_Documentos_TPL[[#This Row],[Importe Pasivo
(MX)]]*0.16</f>
        <v>1366648.3075862071</v>
      </c>
      <c r="AC54" s="1966">
        <v>9908200.2300000004</v>
      </c>
      <c r="AD54" s="1965">
        <f>IFERROR(Diario_Documentos_TPL[[#This Row],[Total Pasivo
(MX)]]/Diario_Documentos_TPL[[#This Row],[Total Pasivo
(USD)]],0)</f>
        <v>20.41000000164793</v>
      </c>
      <c r="AE54" s="1971">
        <v>140001475</v>
      </c>
      <c r="AF54" s="1968">
        <v>42759</v>
      </c>
      <c r="AG54" s="1967">
        <f>Diario_Documentos_TPL[[#This Row],[Total de Pago
(USD)]]/1.16</f>
        <v>418498.37931034487</v>
      </c>
      <c r="AH54" s="1966">
        <f>Diario_Documentos_TPL[[#This Row],[Importe de Pago
(USD)]]*0.16</f>
        <v>66959.740689655184</v>
      </c>
      <c r="AI54" s="1966">
        <f>Diario_Documentos_TPL[[#This Row],[Total Pasivo
(USD)]]</f>
        <v>485458.12</v>
      </c>
      <c r="AJ54" s="1966">
        <f>Diario_Documentos_TPL[[#This Row],[Total de Pago
(MX)]]/1.16</f>
        <v>9081498.5307103451</v>
      </c>
      <c r="AK54" s="1966">
        <f>Diario_Documentos_TPL[[#This Row],[Importe de Pago
(MX)]]*0.16</f>
        <v>1453039.7649136554</v>
      </c>
      <c r="AL54" s="1966">
        <f>Diario_Documentos_TPL[[#This Row],[Total de Pago
(USD)]]*Diario_Documentos_TPL[[#This Row],[T.C Pago]]</f>
        <v>10534538.295623999</v>
      </c>
      <c r="AM54" s="2017">
        <v>21.700199999999999</v>
      </c>
      <c r="AN54" s="1965"/>
      <c r="AO54" s="1965"/>
      <c r="AP54" s="1965">
        <f>Diario_Documentos_TPL[[#This Row],[Importe de Pago
(MX)]]-Diario_Documentos_TPL[[#This Row],[Importe Pasivo
(MX)]]</f>
        <v>539946.60829655081</v>
      </c>
      <c r="AQ54" s="1965">
        <f>Diario_Documentos_TPL[[#This Row],[Total_Paridad]]-Diario_Documentos_TPL[[#This Row],[Subtotal_Paridad]]</f>
        <v>86391.457327447832</v>
      </c>
      <c r="AR54" s="1964">
        <f>Diario_Documentos_TPL[[#This Row],[Total de Pago
(MX)]]-Diario_Documentos_TPL[[#This Row],[Total Pasivo
(MX)]]</f>
        <v>626338.06562399864</v>
      </c>
      <c r="AS54" s="1980"/>
      <c r="AT54" s="1980"/>
      <c r="AU54" s="1980"/>
      <c r="AV54" s="1980"/>
    </row>
    <row r="55" spans="1:48" ht="14.25" hidden="1" customHeight="1" x14ac:dyDescent="0.25">
      <c r="A55" s="1969" t="s">
        <v>598</v>
      </c>
      <c r="B55" s="1969">
        <v>4326979</v>
      </c>
      <c r="C55" s="1969">
        <v>800832451</v>
      </c>
      <c r="D55" s="1969"/>
      <c r="E55" s="1969" t="s">
        <v>632</v>
      </c>
      <c r="F55" s="1969" t="s">
        <v>599</v>
      </c>
      <c r="G55" s="1969" t="s">
        <v>628</v>
      </c>
      <c r="H55" s="1969" t="str">
        <f>VLOOKUP(Diario_Documentos_TPL[[#This Row],[Centro Gestor]],Catalogo_Centro_Gestor[],2,FALSE)</f>
        <v>Gas. Corredor Chihuahua</v>
      </c>
      <c r="I55" s="1969" t="s">
        <v>630</v>
      </c>
      <c r="J55" s="1972">
        <f>IF(YEAR(Diario_Documentos_TPL[[#This Row],[Fecha de Pago]])=1900, "SIN PAGO",YEAR(Diario_Documentos_TPL[[#This Row],[Fecha de Pago]]))</f>
        <v>2018</v>
      </c>
      <c r="K55" s="1973">
        <v>2017</v>
      </c>
      <c r="L55" s="1972">
        <f>IF(MONTH(Diario_Documentos_TPL[[#This Row],[Fecha de Pago]])=0, "SIN PAGO",MONTH(Diario_Documentos_TPL[[#This Row],[Fecha de Pago]]))</f>
        <v>1</v>
      </c>
      <c r="M55" s="1971">
        <v>12</v>
      </c>
      <c r="N55" s="1971" t="str">
        <f>VLOOKUP(Diario_Documentos_TPL[[#This Row],[Periodo del Servicio]],'Tablas (2)'!$L$3:$M$14,2,FALSE)</f>
        <v>DICIEMBRE</v>
      </c>
      <c r="O55" s="1971" t="s">
        <v>647</v>
      </c>
      <c r="P55" s="1971" t="s">
        <v>340</v>
      </c>
      <c r="Q55" s="1971" t="s">
        <v>165</v>
      </c>
      <c r="R55" s="1969" t="s">
        <v>343</v>
      </c>
      <c r="S55" s="1969">
        <v>453857</v>
      </c>
      <c r="T55" s="1969" t="s">
        <v>629</v>
      </c>
      <c r="U55" s="1969" t="s">
        <v>221</v>
      </c>
      <c r="V55" s="1969">
        <v>180000006</v>
      </c>
      <c r="W55" s="1970">
        <v>43108</v>
      </c>
      <c r="X55" s="1966">
        <f>Diario_Documentos_TPL[[#This Row],[Total Pasivo
(USD)]]/1.16</f>
        <v>4240081.9655172415</v>
      </c>
      <c r="Y55" s="1966">
        <f>Diario_Documentos_TPL[[#This Row],[Importe Pasivo
(USD)]]*0.16</f>
        <v>678413.11448275868</v>
      </c>
      <c r="Z55" s="1966">
        <v>4918495.08</v>
      </c>
      <c r="AA55" s="1966">
        <f>Diario_Documentos_TPL[[#This Row],[Total Pasivo
(MX)]]/1.16</f>
        <v>81590625.232758626</v>
      </c>
      <c r="AB55" s="1966">
        <f>Diario_Documentos_TPL[[#This Row],[Importe Pasivo
(MX)]]*0.16</f>
        <v>13054500.037241381</v>
      </c>
      <c r="AC55" s="1966">
        <v>94645125.269999996</v>
      </c>
      <c r="AD55" s="2017">
        <f>IFERROR(Diario_Documentos_TPL[[#This Row],[Total Pasivo
(MX)]]/Diario_Documentos_TPL[[#This Row],[Total Pasivo
(USD)]],0)</f>
        <v>19.242699998797193</v>
      </c>
      <c r="AE55" s="1969">
        <v>140000272</v>
      </c>
      <c r="AF55" s="1968">
        <v>43124</v>
      </c>
      <c r="AG55" s="1967">
        <f>Diario_Documentos_TPL[[#This Row],[Total de Pago
(USD)]]/1.16</f>
        <v>4240081.9655172415</v>
      </c>
      <c r="AH55" s="1966">
        <f>Diario_Documentos_TPL[[#This Row],[Importe de Pago
(USD)]]*0.16</f>
        <v>678413.11448275868</v>
      </c>
      <c r="AI55" s="1966">
        <f>Diario_Documentos_TPL[[#This Row],[Total Pasivo
(USD)]]</f>
        <v>4918495.08</v>
      </c>
      <c r="AJ55" s="1966">
        <f>Diario_Documentos_TPL[[#This Row],[Total de Pago
(MX)]]/1.16</f>
        <v>79339565.722365528</v>
      </c>
      <c r="AK55" s="1966">
        <f>Diario_Documentos_TPL[[#This Row],[Importe de Pago
(MX)]]*0.16</f>
        <v>12694330.515578484</v>
      </c>
      <c r="AL55" s="1966">
        <f>Diario_Documentos_TPL[[#This Row],[Total de Pago
(USD)]]*Diario_Documentos_TPL[[#This Row],[T.C Pago]]</f>
        <v>92033896.237944007</v>
      </c>
      <c r="AM55" s="2018">
        <v>18.7118</v>
      </c>
      <c r="AN55" s="1975"/>
      <c r="AO55" s="1975"/>
      <c r="AP55" s="1975">
        <f>Diario_Documentos_TPL[[#This Row],[Importe de Pago
(MX)]]-Diario_Documentos_TPL[[#This Row],[Importe Pasivo
(MX)]]</f>
        <v>-2251059.510393098</v>
      </c>
      <c r="AQ55" s="1975">
        <f>Diario_Documentos_TPL[[#This Row],[Total_Paridad]]-Diario_Documentos_TPL[[#This Row],[Subtotal_Paridad]]</f>
        <v>-360169.52166289091</v>
      </c>
      <c r="AR55" s="1964">
        <f>Diario_Documentos_TPL[[#This Row],[Total de Pago
(MX)]]-Diario_Documentos_TPL[[#This Row],[Total Pasivo
(MX)]]</f>
        <v>-2611229.0320559889</v>
      </c>
      <c r="AS55" s="1980"/>
      <c r="AT55" s="1980"/>
      <c r="AU55" s="1980"/>
      <c r="AV55" s="1980"/>
    </row>
    <row r="56" spans="1:48" ht="14.25" hidden="1" customHeight="1" x14ac:dyDescent="0.25">
      <c r="A56" s="1969" t="s">
        <v>598</v>
      </c>
      <c r="B56" s="1969">
        <v>4326979</v>
      </c>
      <c r="C56" s="1969">
        <v>800832773</v>
      </c>
      <c r="D56" s="1969"/>
      <c r="E56" s="1969" t="s">
        <v>632</v>
      </c>
      <c r="F56" s="1969" t="s">
        <v>599</v>
      </c>
      <c r="G56" s="1969" t="s">
        <v>628</v>
      </c>
      <c r="H56" s="1969" t="str">
        <f>VLOOKUP(Diario_Documentos_TPL[[#This Row],[Centro Gestor]],Catalogo_Centro_Gestor[],2,FALSE)</f>
        <v>Gas. Corredor Chihuahua</v>
      </c>
      <c r="I56" s="1969" t="s">
        <v>630</v>
      </c>
      <c r="J56" s="1972">
        <f>IF(YEAR(Diario_Documentos_TPL[[#This Row],[Fecha de Pago]])=1900, "SIN PAGO",YEAR(Diario_Documentos_TPL[[#This Row],[Fecha de Pago]]))</f>
        <v>2018</v>
      </c>
      <c r="K56" s="1971">
        <v>2017</v>
      </c>
      <c r="L56" s="1972">
        <f>IF(MONTH(Diario_Documentos_TPL[[#This Row],[Fecha de Pago]])=0, "SIN PAGO",MONTH(Diario_Documentos_TPL[[#This Row],[Fecha de Pago]]))</f>
        <v>1</v>
      </c>
      <c r="M56" s="1971">
        <v>12</v>
      </c>
      <c r="N56" s="1971" t="str">
        <f>VLOOKUP(Diario_Documentos_TPL[[#This Row],[Periodo del Servicio]],'Tablas (2)'!$L$3:$M$14,2,FALSE)</f>
        <v>DICIEMBRE</v>
      </c>
      <c r="O56" s="1971" t="s">
        <v>647</v>
      </c>
      <c r="P56" s="1971" t="s">
        <v>470</v>
      </c>
      <c r="Q56" s="1971" t="s">
        <v>165</v>
      </c>
      <c r="R56" s="1969" t="s">
        <v>646</v>
      </c>
      <c r="S56" s="1969">
        <v>453858</v>
      </c>
      <c r="T56" s="1969" t="s">
        <v>629</v>
      </c>
      <c r="U56" s="1969" t="s">
        <v>221</v>
      </c>
      <c r="V56" s="1969">
        <v>180000012</v>
      </c>
      <c r="W56" s="1970">
        <v>43108</v>
      </c>
      <c r="X56" s="1966">
        <f>Diario_Documentos_TPL[[#This Row],[Total Pasivo
(USD)]]/1.16</f>
        <v>2109.2068965517242</v>
      </c>
      <c r="Y56" s="1966">
        <f>Diario_Documentos_TPL[[#This Row],[Importe Pasivo
(USD)]]*0.16</f>
        <v>337.47310344827588</v>
      </c>
      <c r="Z56" s="1966">
        <v>2446.6799999999998</v>
      </c>
      <c r="AA56" s="1966">
        <f>Diario_Documentos_TPL[[#This Row],[Total Pasivo
(MX)]]/1.16</f>
        <v>40586.836206896558</v>
      </c>
      <c r="AB56" s="1966">
        <f>Diario_Documentos_TPL[[#This Row],[Importe Pasivo
(MX)]]*0.16</f>
        <v>6493.8937931034498</v>
      </c>
      <c r="AC56" s="1966">
        <v>47080.73</v>
      </c>
      <c r="AD56" s="2017">
        <f>IFERROR(Diario_Documentos_TPL[[#This Row],[Total Pasivo
(MX)]]/Diario_Documentos_TPL[[#This Row],[Total Pasivo
(USD)]],0)</f>
        <v>19.242700312259881</v>
      </c>
      <c r="AE56" s="1969">
        <v>140000272</v>
      </c>
      <c r="AF56" s="1968">
        <v>43124</v>
      </c>
      <c r="AG56" s="1966">
        <f>Diario_Documentos_TPL[[#This Row],[Total de Pago
(USD)]]/1.16</f>
        <v>2109.2068965517242</v>
      </c>
      <c r="AH56" s="1966">
        <f>Diario_Documentos_TPL[[#This Row],[Importe de Pago
(USD)]]*0.16</f>
        <v>337.47310344827588</v>
      </c>
      <c r="AI56" s="1966">
        <f>Diario_Documentos_TPL[[#This Row],[Total Pasivo
(USD)]]</f>
        <v>2446.6799999999998</v>
      </c>
      <c r="AJ56" s="1966">
        <f>Diario_Documentos_TPL[[#This Row],[Total de Pago
(MX)]]/1.16</f>
        <v>39467.057606896553</v>
      </c>
      <c r="AK56" s="1966">
        <f>Diario_Documentos_TPL[[#This Row],[Importe de Pago
(MX)]]*0.16</f>
        <v>6314.7292171034487</v>
      </c>
      <c r="AL56" s="1966">
        <f>Diario_Documentos_TPL[[#This Row],[Total de Pago
(USD)]]*Diario_Documentos_TPL[[#This Row],[T.C Pago]]</f>
        <v>45781.786823999995</v>
      </c>
      <c r="AM56" s="2018">
        <v>18.7118</v>
      </c>
      <c r="AN56" s="1975"/>
      <c r="AO56" s="1975"/>
      <c r="AP56" s="1975">
        <f>Diario_Documentos_TPL[[#This Row],[Importe de Pago
(MX)]]-Diario_Documentos_TPL[[#This Row],[Importe Pasivo
(MX)]]</f>
        <v>-1119.7786000000051</v>
      </c>
      <c r="AQ56" s="1975">
        <f>Diario_Documentos_TPL[[#This Row],[Total_Paridad]]-Diario_Documentos_TPL[[#This Row],[Subtotal_Paridad]]</f>
        <v>-179.16457600000285</v>
      </c>
      <c r="AR56" s="1964">
        <f>Diario_Documentos_TPL[[#This Row],[Total de Pago
(MX)]]-Diario_Documentos_TPL[[#This Row],[Total Pasivo
(MX)]]</f>
        <v>-1298.943176000008</v>
      </c>
      <c r="AS56" s="1980"/>
      <c r="AT56" s="1980"/>
      <c r="AU56" s="1980"/>
      <c r="AV56" s="1980"/>
    </row>
    <row r="57" spans="1:48" ht="14.25" hidden="1" customHeight="1" x14ac:dyDescent="0.25">
      <c r="A57" s="1969" t="s">
        <v>598</v>
      </c>
      <c r="B57" s="1969">
        <v>4326979</v>
      </c>
      <c r="C57" s="1969">
        <v>800762390</v>
      </c>
      <c r="D57" s="1969"/>
      <c r="E57" s="1969" t="s">
        <v>632</v>
      </c>
      <c r="F57" s="1969" t="s">
        <v>599</v>
      </c>
      <c r="G57" s="1969" t="s">
        <v>628</v>
      </c>
      <c r="H57" s="1969" t="str">
        <f>VLOOKUP(Diario_Documentos_TPL[[#This Row],[Centro Gestor]],Catalogo_Centro_Gestor[],2,FALSE)</f>
        <v>Jefatura GRPN</v>
      </c>
      <c r="I57" s="1969">
        <v>2502</v>
      </c>
      <c r="J57" s="1972">
        <f>IF(YEAR(Diario_Documentos_TPL[[#This Row],[Fecha de Pago]])=1900, "SIN PAGO",YEAR(Diario_Documentos_TPL[[#This Row],[Fecha de Pago]]))</f>
        <v>2017</v>
      </c>
      <c r="K57" s="1973">
        <v>2017</v>
      </c>
      <c r="L57" s="1972">
        <f>IF(MONTH(Diario_Documentos_TPL[[#This Row],[Fecha de Pago]])=0, "SIN PAGO",MONTH(Diario_Documentos_TPL[[#This Row],[Fecha de Pago]]))</f>
        <v>2</v>
      </c>
      <c r="M57" s="1971">
        <v>1</v>
      </c>
      <c r="N57" s="1971" t="str">
        <f>VLOOKUP(Diario_Documentos_TPL[[#This Row],[Periodo del Servicio]],'Tablas (2)'!$L$3:$M$14,2,FALSE)</f>
        <v>ENERO</v>
      </c>
      <c r="O57" s="1971" t="s">
        <v>653</v>
      </c>
      <c r="P57" s="1971" t="s">
        <v>483</v>
      </c>
      <c r="Q57" s="1971" t="s">
        <v>165</v>
      </c>
      <c r="R57" s="1969">
        <v>7241</v>
      </c>
      <c r="S57" s="1969">
        <v>453882</v>
      </c>
      <c r="T57" s="1969" t="s">
        <v>627</v>
      </c>
      <c r="U57" s="1969">
        <v>2044</v>
      </c>
      <c r="V57" s="1969">
        <v>180000652</v>
      </c>
      <c r="W57" s="1970">
        <v>42787</v>
      </c>
      <c r="X57" s="1966">
        <f>Diario_Documentos_TPL[[#This Row],[Total Pasivo
(USD)]]/1.16</f>
        <v>421242.47413793107</v>
      </c>
      <c r="Y57" s="1966">
        <f>Diario_Documentos_TPL[[#This Row],[Importe Pasivo
(USD)]]*0.16</f>
        <v>67398.795862068975</v>
      </c>
      <c r="Z57" s="1966">
        <v>488641.27</v>
      </c>
      <c r="AA57" s="1966">
        <f>Diario_Documentos_TPL[[#This Row],[Total Pasivo
(MX)]]/1.16</f>
        <v>8597558.8965517245</v>
      </c>
      <c r="AB57" s="1966">
        <f>Diario_Documentos_TPL[[#This Row],[Importe Pasivo
(MX)]]*0.16</f>
        <v>1375609.423448276</v>
      </c>
      <c r="AC57" s="1966">
        <v>9973168.3200000003</v>
      </c>
      <c r="AD57" s="2017">
        <f>IFERROR(Diario_Documentos_TPL[[#This Row],[Total Pasivo
(MX)]]/Diario_Documentos_TPL[[#This Row],[Total Pasivo
(USD)]],0)</f>
        <v>20.409999998567457</v>
      </c>
      <c r="AE57" s="1971">
        <v>140003756</v>
      </c>
      <c r="AF57" s="1968">
        <v>42793</v>
      </c>
      <c r="AG57" s="1967">
        <f>Diario_Documentos_TPL[[#This Row],[Total de Pago
(USD)]]/1.16</f>
        <v>421242.47413793107</v>
      </c>
      <c r="AH57" s="1966">
        <f>Diario_Documentos_TPL[[#This Row],[Importe de Pago
(USD)]]*0.16</f>
        <v>67398.795862068975</v>
      </c>
      <c r="AI57" s="1966">
        <f>Diario_Documentos_TPL[[#This Row],[Total Pasivo
(USD)]]</f>
        <v>488641.27</v>
      </c>
      <c r="AJ57" s="1966">
        <f>Diario_Documentos_TPL[[#This Row],[Total de Pago
(MX)]]/1.16</f>
        <v>8298940.1072387947</v>
      </c>
      <c r="AK57" s="1966">
        <f>Diario_Documentos_TPL[[#This Row],[Importe de Pago
(MX)]]*0.16</f>
        <v>1327830.4171582072</v>
      </c>
      <c r="AL57" s="1966">
        <f>Diario_Documentos_TPL[[#This Row],[Total de Pago
(USD)]]*Diario_Documentos_TPL[[#This Row],[T.C Pago]]</f>
        <v>9626770.5243970007</v>
      </c>
      <c r="AM57" s="2017">
        <v>19.7011</v>
      </c>
      <c r="AN57" s="1965"/>
      <c r="AO57" s="1965"/>
      <c r="AP57" s="1965">
        <f>Diario_Documentos_TPL[[#This Row],[Importe de Pago
(MX)]]-Diario_Documentos_TPL[[#This Row],[Importe Pasivo
(MX)]]</f>
        <v>-298618.78931292985</v>
      </c>
      <c r="AQ57" s="1965">
        <f>Diario_Documentos_TPL[[#This Row],[Total_Paridad]]-Diario_Documentos_TPL[[#This Row],[Subtotal_Paridad]]</f>
        <v>-47779.006290069781</v>
      </c>
      <c r="AR57" s="1964">
        <f>Diario_Documentos_TPL[[#This Row],[Total de Pago
(MX)]]-Diario_Documentos_TPL[[#This Row],[Total Pasivo
(MX)]]</f>
        <v>-346397.79560299963</v>
      </c>
      <c r="AS57" s="1980"/>
      <c r="AT57" s="1980"/>
      <c r="AU57" s="1980"/>
      <c r="AV57" s="1980"/>
    </row>
    <row r="58" spans="1:48" ht="14.25" hidden="1" customHeight="1" x14ac:dyDescent="0.25">
      <c r="A58" s="1969" t="s">
        <v>598</v>
      </c>
      <c r="B58" s="1969">
        <v>4326979</v>
      </c>
      <c r="C58" s="1969">
        <v>800808521</v>
      </c>
      <c r="D58" s="1969"/>
      <c r="E58" s="1969" t="s">
        <v>632</v>
      </c>
      <c r="F58" s="1969" t="s">
        <v>599</v>
      </c>
      <c r="G58" s="1969" t="s">
        <v>628</v>
      </c>
      <c r="H58" s="1969" t="str">
        <f>VLOOKUP(Diario_Documentos_TPL[[#This Row],[Centro Gestor]],Catalogo_Centro_Gestor[],2,FALSE)</f>
        <v>Gasoducto Corredor Chihuahua</v>
      </c>
      <c r="I58" s="1969">
        <v>2502</v>
      </c>
      <c r="J58" s="1972">
        <f>IF(YEAR(Diario_Documentos_TPL[[#This Row],[Fecha de Pago]])=1900, "SIN PAGO",YEAR(Diario_Documentos_TPL[[#This Row],[Fecha de Pago]]))</f>
        <v>2017</v>
      </c>
      <c r="K58" s="1973">
        <v>2017</v>
      </c>
      <c r="L58" s="1972">
        <f>IF(MONTH(Diario_Documentos_TPL[[#This Row],[Fecha de Pago]])=0, "SIN PAGO",MONTH(Diario_Documentos_TPL[[#This Row],[Fecha de Pago]]))</f>
        <v>2</v>
      </c>
      <c r="M58" s="1971">
        <v>1</v>
      </c>
      <c r="N58" s="1971" t="str">
        <f>VLOOKUP(Diario_Documentos_TPL[[#This Row],[Periodo del Servicio]],'Tablas (2)'!$L$3:$M$14,2,FALSE)</f>
        <v>ENERO</v>
      </c>
      <c r="O58" s="1971" t="s">
        <v>653</v>
      </c>
      <c r="P58" s="1971" t="s">
        <v>483</v>
      </c>
      <c r="Q58" s="1971" t="s">
        <v>165</v>
      </c>
      <c r="R58" s="1969">
        <v>7256</v>
      </c>
      <c r="S58" s="1969">
        <v>468084</v>
      </c>
      <c r="T58" s="1969" t="s">
        <v>627</v>
      </c>
      <c r="U58" s="1969">
        <v>2277</v>
      </c>
      <c r="V58" s="1969">
        <v>180000660</v>
      </c>
      <c r="W58" s="1970">
        <v>42787</v>
      </c>
      <c r="X58" s="1966">
        <f>Diario_Documentos_TPL[[#This Row],[Total Pasivo
(USD)]]/1.16</f>
        <v>4240081.9568965519</v>
      </c>
      <c r="Y58" s="1966">
        <f>Diario_Documentos_TPL[[#This Row],[Importe Pasivo
(USD)]]*0.16</f>
        <v>678413.1131034483</v>
      </c>
      <c r="Z58" s="1966">
        <v>4918495.07</v>
      </c>
      <c r="AA58" s="1966">
        <f>Diario_Documentos_TPL[[#This Row],[Total Pasivo
(MX)]]/1.16</f>
        <v>86720700.232758626</v>
      </c>
      <c r="AB58" s="1966">
        <f>Diario_Documentos_TPL[[#This Row],[Importe Pasivo
(MX)]]*0.16</f>
        <v>13875312.037241381</v>
      </c>
      <c r="AC58" s="1966">
        <v>100596012.27</v>
      </c>
      <c r="AD58" s="2017">
        <f>IFERROR(Diario_Documentos_TPL[[#This Row],[Total Pasivo
(MX)]]/Diario_Documentos_TPL[[#This Row],[Total Pasivo
(USD)]],0)</f>
        <v>20.452600000267967</v>
      </c>
      <c r="AE58" s="1971">
        <v>140003756</v>
      </c>
      <c r="AF58" s="1968">
        <v>42793</v>
      </c>
      <c r="AG58" s="1967">
        <f>Diario_Documentos_TPL[[#This Row],[Total de Pago
(USD)]]/1.16</f>
        <v>4240081.9568965519</v>
      </c>
      <c r="AH58" s="1966">
        <f>Diario_Documentos_TPL[[#This Row],[Importe de Pago
(USD)]]*0.16</f>
        <v>678413.1131034483</v>
      </c>
      <c r="AI58" s="1966">
        <f>Diario_Documentos_TPL[[#This Row],[Total Pasivo
(USD)]]</f>
        <v>4918495.07</v>
      </c>
      <c r="AJ58" s="1966">
        <f>Diario_Documentos_TPL[[#This Row],[Total de Pago
(MX)]]/1.16</f>
        <v>83534278.641014665</v>
      </c>
      <c r="AK58" s="1966">
        <f>Diario_Documentos_TPL[[#This Row],[Importe de Pago
(MX)]]*0.16</f>
        <v>13365484.582562346</v>
      </c>
      <c r="AL58" s="1966">
        <f>Diario_Documentos_TPL[[#This Row],[Total de Pago
(USD)]]*Diario_Documentos_TPL[[#This Row],[T.C Pago]]</f>
        <v>96899763.223577008</v>
      </c>
      <c r="AM58" s="2017">
        <v>19.7011</v>
      </c>
      <c r="AN58" s="1965"/>
      <c r="AO58" s="1965"/>
      <c r="AP58" s="1965">
        <f>Diario_Documentos_TPL[[#This Row],[Importe de Pago
(MX)]]-Diario_Documentos_TPL[[#This Row],[Importe Pasivo
(MX)]]</f>
        <v>-3186421.591743961</v>
      </c>
      <c r="AQ58" s="1965">
        <f>Diario_Documentos_TPL[[#This Row],[Total_Paridad]]-Diario_Documentos_TPL[[#This Row],[Subtotal_Paridad]]</f>
        <v>-509827.4546790272</v>
      </c>
      <c r="AR58" s="1964">
        <f>Diario_Documentos_TPL[[#This Row],[Total de Pago
(MX)]]-Diario_Documentos_TPL[[#This Row],[Total Pasivo
(MX)]]</f>
        <v>-3696249.0464229882</v>
      </c>
      <c r="AS58" s="1980"/>
      <c r="AT58" s="1980"/>
      <c r="AU58" s="1980"/>
      <c r="AV58" s="1980"/>
    </row>
    <row r="59" spans="1:48" ht="14.25" hidden="1" customHeight="1" x14ac:dyDescent="0.25">
      <c r="A59" s="1969" t="s">
        <v>598</v>
      </c>
      <c r="B59" s="1969">
        <v>4326979</v>
      </c>
      <c r="C59" s="1969">
        <v>800762390</v>
      </c>
      <c r="D59" s="1969"/>
      <c r="E59" s="1969" t="s">
        <v>632</v>
      </c>
      <c r="F59" s="1969" t="s">
        <v>599</v>
      </c>
      <c r="G59" s="1969" t="s">
        <v>628</v>
      </c>
      <c r="H59" s="1969" t="str">
        <f>VLOOKUP(Diario_Documentos_TPL[[#This Row],[Centro Gestor]],Catalogo_Centro_Gestor[],2,FALSE)</f>
        <v>Jefatura GRPN</v>
      </c>
      <c r="I59" s="1969">
        <v>2502</v>
      </c>
      <c r="J59" s="1972">
        <f>IF(YEAR(Diario_Documentos_TPL[[#This Row],[Fecha de Pago]])=1900, "SIN PAGO",YEAR(Diario_Documentos_TPL[[#This Row],[Fecha de Pago]]))</f>
        <v>2017</v>
      </c>
      <c r="K59" s="1973">
        <v>2017</v>
      </c>
      <c r="L59" s="1972">
        <f>IF(MONTH(Diario_Documentos_TPL[[#This Row],[Fecha de Pago]])=0, "SIN PAGO",MONTH(Diario_Documentos_TPL[[#This Row],[Fecha de Pago]]))</f>
        <v>3</v>
      </c>
      <c r="M59" s="1971">
        <v>2</v>
      </c>
      <c r="N59" s="1971" t="str">
        <f>VLOOKUP(Diario_Documentos_TPL[[#This Row],[Periodo del Servicio]],'Tablas (2)'!$L$3:$M$14,2,FALSE)</f>
        <v>FEBRERO</v>
      </c>
      <c r="O59" s="1971" t="s">
        <v>652</v>
      </c>
      <c r="P59" s="1971" t="s">
        <v>483</v>
      </c>
      <c r="Q59" s="1971" t="s">
        <v>165</v>
      </c>
      <c r="R59" s="1969">
        <v>7241</v>
      </c>
      <c r="S59" s="1969">
        <v>453882</v>
      </c>
      <c r="T59" s="1969" t="s">
        <v>627</v>
      </c>
      <c r="U59" s="1969">
        <v>2044</v>
      </c>
      <c r="V59" s="1969">
        <v>180000999</v>
      </c>
      <c r="W59" s="1970">
        <v>42803</v>
      </c>
      <c r="X59" s="1966">
        <f>Diario_Documentos_TPL[[#This Row],[Total Pasivo
(USD)]]/1.16</f>
        <v>421105.68103448278</v>
      </c>
      <c r="Y59" s="1966">
        <f>Diario_Documentos_TPL[[#This Row],[Importe Pasivo
(USD)]]*0.16</f>
        <v>67376.908965517243</v>
      </c>
      <c r="Z59" s="1966">
        <v>488482.59</v>
      </c>
      <c r="AA59" s="1966">
        <f>Diario_Documentos_TPL[[#This Row],[Total Pasivo
(MX)]]/1.16</f>
        <v>8220404.0000000009</v>
      </c>
      <c r="AB59" s="1966">
        <f>Diario_Documentos_TPL[[#This Row],[Importe Pasivo
(MX)]]*0.16</f>
        <v>1315264.6400000001</v>
      </c>
      <c r="AC59" s="1966">
        <v>9535668.6400000006</v>
      </c>
      <c r="AD59" s="2017">
        <f>IFERROR(Diario_Documentos_TPL[[#This Row],[Total Pasivo
(MX)]]/Diario_Documentos_TPL[[#This Row],[Total Pasivo
(USD)]],0)</f>
        <v>19.521000001248765</v>
      </c>
      <c r="AE59" s="1971">
        <v>140005602</v>
      </c>
      <c r="AF59" s="1968">
        <v>42818</v>
      </c>
      <c r="AG59" s="1967">
        <f>Diario_Documentos_TPL[[#This Row],[Total de Pago
(USD)]]/1.16</f>
        <v>421105.68103448278</v>
      </c>
      <c r="AH59" s="1966">
        <f>Diario_Documentos_TPL[[#This Row],[Importe de Pago
(USD)]]*0.16</f>
        <v>67376.908965517243</v>
      </c>
      <c r="AI59" s="1966">
        <f>Diario_Documentos_TPL[[#This Row],[Total Pasivo
(USD)]]</f>
        <v>488482.59</v>
      </c>
      <c r="AJ59" s="1966">
        <f>Diario_Documentos_TPL[[#This Row],[Total de Pago
(MX)]]/1.16</f>
        <v>8036254.4851577589</v>
      </c>
      <c r="AK59" s="1966">
        <f>Diario_Documentos_TPL[[#This Row],[Importe de Pago
(MX)]]*0.16</f>
        <v>1285800.7176252415</v>
      </c>
      <c r="AL59" s="1966">
        <f>Diario_Documentos_TPL[[#This Row],[Total de Pago
(USD)]]*Diario_Documentos_TPL[[#This Row],[T.C Pago]]</f>
        <v>9322055.2027829997</v>
      </c>
      <c r="AM59" s="2017">
        <v>19.0837</v>
      </c>
      <c r="AN59" s="1965"/>
      <c r="AO59" s="1965"/>
      <c r="AP59" s="1965">
        <f>Diario_Documentos_TPL[[#This Row],[Importe de Pago
(MX)]]-Diario_Documentos_TPL[[#This Row],[Importe Pasivo
(MX)]]</f>
        <v>-184149.514842242</v>
      </c>
      <c r="AQ59" s="1965">
        <f>Diario_Documentos_TPL[[#This Row],[Total_Paridad]]-Diario_Documentos_TPL[[#This Row],[Subtotal_Paridad]]</f>
        <v>-29463.922374758869</v>
      </c>
      <c r="AR59" s="1964">
        <f>Diario_Documentos_TPL[[#This Row],[Total de Pago
(MX)]]-Diario_Documentos_TPL[[#This Row],[Total Pasivo
(MX)]]</f>
        <v>-213613.43721700087</v>
      </c>
      <c r="AS59" s="1980"/>
      <c r="AT59" s="1980"/>
      <c r="AU59" s="1980"/>
      <c r="AV59" s="1980"/>
    </row>
    <row r="60" spans="1:48" ht="14.25" hidden="1" customHeight="1" x14ac:dyDescent="0.25">
      <c r="A60" s="1969" t="s">
        <v>598</v>
      </c>
      <c r="B60" s="1969">
        <v>4326979</v>
      </c>
      <c r="C60" s="1969">
        <v>800808521</v>
      </c>
      <c r="D60" s="1969"/>
      <c r="E60" s="1969" t="s">
        <v>632</v>
      </c>
      <c r="F60" s="1969" t="s">
        <v>599</v>
      </c>
      <c r="G60" s="1969" t="s">
        <v>628</v>
      </c>
      <c r="H60" s="1969" t="str">
        <f>VLOOKUP(Diario_Documentos_TPL[[#This Row],[Centro Gestor]],Catalogo_Centro_Gestor[],2,FALSE)</f>
        <v>Gasoducto Corredor Chihuahua</v>
      </c>
      <c r="I60" s="1969">
        <v>2502</v>
      </c>
      <c r="J60" s="1972">
        <f>IF(YEAR(Diario_Documentos_TPL[[#This Row],[Fecha de Pago]])=1900, "SIN PAGO",YEAR(Diario_Documentos_TPL[[#This Row],[Fecha de Pago]]))</f>
        <v>2017</v>
      </c>
      <c r="K60" s="1973">
        <v>2017</v>
      </c>
      <c r="L60" s="1972">
        <f>IF(MONTH(Diario_Documentos_TPL[[#This Row],[Fecha de Pago]])=0, "SIN PAGO",MONTH(Diario_Documentos_TPL[[#This Row],[Fecha de Pago]]))</f>
        <v>3</v>
      </c>
      <c r="M60" s="1971">
        <v>2</v>
      </c>
      <c r="N60" s="1971" t="str">
        <f>VLOOKUP(Diario_Documentos_TPL[[#This Row],[Periodo del Servicio]],'Tablas (2)'!$L$3:$M$14,2,FALSE)</f>
        <v>FEBRERO</v>
      </c>
      <c r="O60" s="1971" t="s">
        <v>652</v>
      </c>
      <c r="P60" s="1971" t="s">
        <v>483</v>
      </c>
      <c r="Q60" s="1971" t="s">
        <v>165</v>
      </c>
      <c r="R60" s="1969">
        <v>7256</v>
      </c>
      <c r="S60" s="1969">
        <v>468084</v>
      </c>
      <c r="T60" s="1969" t="s">
        <v>627</v>
      </c>
      <c r="U60" s="1969">
        <v>2277</v>
      </c>
      <c r="V60" s="1969">
        <v>180001000</v>
      </c>
      <c r="W60" s="1970">
        <v>42803</v>
      </c>
      <c r="X60" s="1966">
        <f>Diario_Documentos_TPL[[#This Row],[Total Pasivo
(USD)]]/1.16</f>
        <v>4240081.9568965519</v>
      </c>
      <c r="Y60" s="1966">
        <f>Diario_Documentos_TPL[[#This Row],[Importe Pasivo
(USD)]]*0.16</f>
        <v>678413.1131034483</v>
      </c>
      <c r="Z60" s="1966">
        <v>4918495.07</v>
      </c>
      <c r="AA60" s="1966">
        <f>Diario_Documentos_TPL[[#This Row],[Total Pasivo
(MX)]]/1.16</f>
        <v>82770639.879310355</v>
      </c>
      <c r="AB60" s="1966">
        <f>Diario_Documentos_TPL[[#This Row],[Importe Pasivo
(MX)]]*0.16</f>
        <v>13243302.380689656</v>
      </c>
      <c r="AC60" s="1966">
        <v>96013942.260000005</v>
      </c>
      <c r="AD60" s="2017">
        <f>IFERROR(Diario_Documentos_TPL[[#This Row],[Total Pasivo
(MX)]]/Diario_Documentos_TPL[[#This Row],[Total Pasivo
(USD)]],0)</f>
        <v>19.520999999701129</v>
      </c>
      <c r="AE60" s="1971">
        <v>140005602</v>
      </c>
      <c r="AF60" s="1968">
        <v>42818</v>
      </c>
      <c r="AG60" s="1967">
        <f>Diario_Documentos_TPL[[#This Row],[Total de Pago
(USD)]]/1.16</f>
        <v>4240081.9568965519</v>
      </c>
      <c r="AH60" s="1966">
        <f>Diario_Documentos_TPL[[#This Row],[Importe de Pago
(USD)]]*0.16</f>
        <v>678413.1131034483</v>
      </c>
      <c r="AI60" s="1966">
        <f>Diario_Documentos_TPL[[#This Row],[Total Pasivo
(USD)]]</f>
        <v>4918495.07</v>
      </c>
      <c r="AJ60" s="1966">
        <f>Diario_Documentos_TPL[[#This Row],[Total de Pago
(MX)]]/1.16</f>
        <v>80916452.040826738</v>
      </c>
      <c r="AK60" s="1966">
        <f>Diario_Documentos_TPL[[#This Row],[Importe de Pago
(MX)]]*0.16</f>
        <v>12946632.326532278</v>
      </c>
      <c r="AL60" s="1966">
        <f>Diario_Documentos_TPL[[#This Row],[Total de Pago
(USD)]]*Diario_Documentos_TPL[[#This Row],[T.C Pago]]</f>
        <v>93863084.367359012</v>
      </c>
      <c r="AM60" s="2017">
        <v>19.0837</v>
      </c>
      <c r="AN60" s="1965"/>
      <c r="AO60" s="1965"/>
      <c r="AP60" s="1965">
        <f>Diario_Documentos_TPL[[#This Row],[Importe de Pago
(MX)]]-Diario_Documentos_TPL[[#This Row],[Importe Pasivo
(MX)]]</f>
        <v>-1854187.8384836167</v>
      </c>
      <c r="AQ60" s="1965">
        <f>Diario_Documentos_TPL[[#This Row],[Total_Paridad]]-Diario_Documentos_TPL[[#This Row],[Subtotal_Paridad]]</f>
        <v>-296670.05415737629</v>
      </c>
      <c r="AR60" s="1964">
        <f>Diario_Documentos_TPL[[#This Row],[Total de Pago
(MX)]]-Diario_Documentos_TPL[[#This Row],[Total Pasivo
(MX)]]</f>
        <v>-2150857.892640993</v>
      </c>
      <c r="AS60" s="1980"/>
      <c r="AT60" s="1980"/>
      <c r="AU60" s="1980"/>
      <c r="AV60" s="1980"/>
    </row>
    <row r="61" spans="1:48" ht="14.25" hidden="1" customHeight="1" x14ac:dyDescent="0.25">
      <c r="A61" s="1969" t="s">
        <v>598</v>
      </c>
      <c r="B61" s="1969">
        <v>4326979</v>
      </c>
      <c r="C61" s="1969">
        <v>800642440</v>
      </c>
      <c r="D61" s="1969"/>
      <c r="E61" s="1969" t="s">
        <v>632</v>
      </c>
      <c r="F61" s="1969" t="s">
        <v>599</v>
      </c>
      <c r="G61" s="1969" t="s">
        <v>628</v>
      </c>
      <c r="H61" s="1969" t="str">
        <f>VLOOKUP(Diario_Documentos_TPL[[#This Row],[Centro Gestor]],Catalogo_Centro_Gestor[],2,FALSE)</f>
        <v>Gasoducto Corredor Chihuahua</v>
      </c>
      <c r="I61" s="1969">
        <v>2502</v>
      </c>
      <c r="J61" s="1972">
        <f>IF(YEAR(Diario_Documentos_TPL[[#This Row],[Fecha de Pago]])=1900, "SIN PAGO",YEAR(Diario_Documentos_TPL[[#This Row],[Fecha de Pago]]))</f>
        <v>2017</v>
      </c>
      <c r="K61" s="1973">
        <v>2017</v>
      </c>
      <c r="L61" s="1972">
        <f>IF(MONTH(Diario_Documentos_TPL[[#This Row],[Fecha de Pago]])=0, "SIN PAGO",MONTH(Diario_Documentos_TPL[[#This Row],[Fecha de Pago]]))</f>
        <v>8</v>
      </c>
      <c r="M61" s="1971">
        <v>7</v>
      </c>
      <c r="N61" s="1971" t="str">
        <f>VLOOKUP(Diario_Documentos_TPL[[#This Row],[Periodo del Servicio]],'Tablas (2)'!$L$3:$M$14,2,FALSE)</f>
        <v>JULIO</v>
      </c>
      <c r="O61" s="1971" t="s">
        <v>656</v>
      </c>
      <c r="P61" s="1971" t="s">
        <v>483</v>
      </c>
      <c r="Q61" s="1971" t="s">
        <v>165</v>
      </c>
      <c r="R61" s="1969">
        <v>7256</v>
      </c>
      <c r="S61" s="1969">
        <v>453882</v>
      </c>
      <c r="T61" s="1969" t="s">
        <v>627</v>
      </c>
      <c r="U61" s="1969">
        <v>2277</v>
      </c>
      <c r="V61" s="1969">
        <v>180002686</v>
      </c>
      <c r="W61" s="1970">
        <v>42951</v>
      </c>
      <c r="X61" s="1966">
        <f>Diario_Documentos_TPL[[#This Row],[Total Pasivo
(USD)]]/1.16</f>
        <v>4240081.9655172415</v>
      </c>
      <c r="Y61" s="1966">
        <f>Diario_Documentos_TPL[[#This Row],[Importe Pasivo
(USD)]]*0.16</f>
        <v>678413.11448275868</v>
      </c>
      <c r="Z61" s="1966">
        <v>4918495.08</v>
      </c>
      <c r="AA61" s="1966">
        <f>Diario_Documentos_TPL[[#This Row],[Total Pasivo
(MX)]]/1.16</f>
        <v>75768568.689655185</v>
      </c>
      <c r="AB61" s="1966">
        <f>Diario_Documentos_TPL[[#This Row],[Importe Pasivo
(MX)]]*0.16</f>
        <v>12122970.99034483</v>
      </c>
      <c r="AC61" s="1966">
        <v>87891539.680000007</v>
      </c>
      <c r="AD61" s="2017">
        <f>IFERROR(Diario_Documentos_TPL[[#This Row],[Total Pasivo
(MX)]]/Diario_Documentos_TPL[[#This Row],[Total Pasivo
(USD)]],0)</f>
        <v>17.869599999681203</v>
      </c>
      <c r="AE61" s="1969">
        <v>140014528</v>
      </c>
      <c r="AF61" s="1968">
        <v>42971</v>
      </c>
      <c r="AG61" s="1967">
        <f>Diario_Documentos_TPL[[#This Row],[Total de Pago
(USD)]]/1.16</f>
        <v>4240081.9655172415</v>
      </c>
      <c r="AH61" s="1966">
        <f>Diario_Documentos_TPL[[#This Row],[Importe de Pago
(USD)]]*0.16</f>
        <v>678413.11448275868</v>
      </c>
      <c r="AI61" s="1966">
        <f>Diario_Documentos_TPL[[#This Row],[Total Pasivo
(USD)]]</f>
        <v>4918495.08</v>
      </c>
      <c r="AJ61" s="1966">
        <f>Diario_Documentos_TPL[[#This Row],[Total de Pago
(MX)]]/1.16</f>
        <v>74819638.347124144</v>
      </c>
      <c r="AK61" s="1966">
        <f>Diario_Documentos_TPL[[#This Row],[Importe de Pago
(MX)]]*0.16</f>
        <v>11971142.135539863</v>
      </c>
      <c r="AL61" s="1966">
        <f>Diario_Documentos_TPL[[#This Row],[Total de Pago
(USD)]]*Diario_Documentos_TPL[[#This Row],[T.C Pago]]</f>
        <v>86790780.482664004</v>
      </c>
      <c r="AM61" s="2017">
        <v>17.645800000000001</v>
      </c>
      <c r="AN61" s="1965"/>
      <c r="AO61" s="1965"/>
      <c r="AP61" s="1965">
        <f>Diario_Documentos_TPL[[#This Row],[Importe de Pago
(MX)]]-Diario_Documentos_TPL[[#This Row],[Importe Pasivo
(MX)]]</f>
        <v>-948930.34253104031</v>
      </c>
      <c r="AQ61" s="1965">
        <f>Diario_Documentos_TPL[[#This Row],[Total_Paridad]]-Diario_Documentos_TPL[[#This Row],[Subtotal_Paridad]]</f>
        <v>-151828.85480496287</v>
      </c>
      <c r="AR61" s="1964">
        <f>Diario_Documentos_TPL[[#This Row],[Total de Pago
(MX)]]-Diario_Documentos_TPL[[#This Row],[Total Pasivo
(MX)]]</f>
        <v>-1100759.1973360032</v>
      </c>
      <c r="AS61" s="1980"/>
      <c r="AT61" s="1980"/>
      <c r="AU61" s="1980"/>
      <c r="AV61" s="1980"/>
    </row>
    <row r="62" spans="1:48" ht="14.25" hidden="1" customHeight="1" x14ac:dyDescent="0.25">
      <c r="A62" s="1969" t="s">
        <v>598</v>
      </c>
      <c r="B62" s="1969">
        <v>4326979</v>
      </c>
      <c r="C62" s="1969">
        <v>800762390</v>
      </c>
      <c r="D62" s="1969"/>
      <c r="E62" s="1969" t="s">
        <v>632</v>
      </c>
      <c r="F62" s="1969" t="s">
        <v>599</v>
      </c>
      <c r="G62" s="1969" t="s">
        <v>628</v>
      </c>
      <c r="H62" s="1969" t="str">
        <f>VLOOKUP(Diario_Documentos_TPL[[#This Row],[Centro Gestor]],Catalogo_Centro_Gestor[],2,FALSE)</f>
        <v>Jefatura GRPN</v>
      </c>
      <c r="I62" s="1969">
        <v>2502</v>
      </c>
      <c r="J62" s="1972">
        <f>IF(YEAR(Diario_Documentos_TPL[[#This Row],[Fecha de Pago]])=1900, "SIN PAGO",YEAR(Diario_Documentos_TPL[[#This Row],[Fecha de Pago]]))</f>
        <v>2017</v>
      </c>
      <c r="K62" s="1973">
        <v>2017</v>
      </c>
      <c r="L62" s="1972">
        <f>IF(MONTH(Diario_Documentos_TPL[[#This Row],[Fecha de Pago]])=0, "SIN PAGO",MONTH(Diario_Documentos_TPL[[#This Row],[Fecha de Pago]]))</f>
        <v>8</v>
      </c>
      <c r="M62" s="1971">
        <v>7</v>
      </c>
      <c r="N62" s="1971" t="str">
        <f>VLOOKUP(Diario_Documentos_TPL[[#This Row],[Periodo del Servicio]],'Tablas (2)'!$L$3:$M$14,2,FALSE)</f>
        <v>JULIO</v>
      </c>
      <c r="O62" s="1971" t="s">
        <v>656</v>
      </c>
      <c r="P62" s="1971" t="s">
        <v>483</v>
      </c>
      <c r="Q62" s="1971" t="s">
        <v>165</v>
      </c>
      <c r="R62" s="1969">
        <v>7241</v>
      </c>
      <c r="S62" s="1969">
        <v>453882</v>
      </c>
      <c r="T62" s="1969" t="s">
        <v>627</v>
      </c>
      <c r="U62" s="1969">
        <v>2044</v>
      </c>
      <c r="V62" s="1969">
        <v>180002687</v>
      </c>
      <c r="W62" s="1970">
        <v>42951</v>
      </c>
      <c r="X62" s="1966">
        <f>Diario_Documentos_TPL[[#This Row],[Total Pasivo
(USD)]]/1.16</f>
        <v>421568.05172413797</v>
      </c>
      <c r="Y62" s="1966">
        <f>Diario_Documentos_TPL[[#This Row],[Importe Pasivo
(USD)]]*0.16</f>
        <v>67450.888275862075</v>
      </c>
      <c r="Z62" s="1966">
        <v>489018.94</v>
      </c>
      <c r="AA62" s="1966">
        <f>Diario_Documentos_TPL[[#This Row],[Total Pasivo
(MX)]]/1.16</f>
        <v>7533252.4568965519</v>
      </c>
      <c r="AB62" s="1966">
        <f>Diario_Documentos_TPL[[#This Row],[Importe Pasivo
(MX)]]*0.16</f>
        <v>1205320.3931034484</v>
      </c>
      <c r="AC62" s="1966">
        <v>8738572.8499999996</v>
      </c>
      <c r="AD62" s="2017">
        <f>IFERROR(Diario_Documentos_TPL[[#This Row],[Total Pasivo
(MX)]]/Diario_Documentos_TPL[[#This Row],[Total Pasivo
(USD)]],0)</f>
        <v>17.86959999954194</v>
      </c>
      <c r="AE62" s="1969">
        <v>140014528</v>
      </c>
      <c r="AF62" s="1968">
        <v>42971</v>
      </c>
      <c r="AG62" s="1967">
        <f>Diario_Documentos_TPL[[#This Row],[Total de Pago
(USD)]]/1.16</f>
        <v>421568.05172413797</v>
      </c>
      <c r="AH62" s="1966">
        <f>Diario_Documentos_TPL[[#This Row],[Importe de Pago
(USD)]]*0.16</f>
        <v>67450.888275862075</v>
      </c>
      <c r="AI62" s="1966">
        <f>Diario_Documentos_TPL[[#This Row],[Total Pasivo
(USD)]]</f>
        <v>489018.94</v>
      </c>
      <c r="AJ62" s="1966">
        <f>Diario_Documentos_TPL[[#This Row],[Total de Pago
(MX)]]/1.16</f>
        <v>7438905.5271137943</v>
      </c>
      <c r="AK62" s="1966">
        <f>Diario_Documentos_TPL[[#This Row],[Importe de Pago
(MX)]]*0.16</f>
        <v>1190224.8843382071</v>
      </c>
      <c r="AL62" s="1966">
        <f>Diario_Documentos_TPL[[#This Row],[Total de Pago
(USD)]]*Diario_Documentos_TPL[[#This Row],[T.C Pago]]</f>
        <v>8629130.411452001</v>
      </c>
      <c r="AM62" s="2017">
        <v>17.645800000000001</v>
      </c>
      <c r="AN62" s="1965"/>
      <c r="AO62" s="1965"/>
      <c r="AP62" s="1965">
        <f>Diario_Documentos_TPL[[#This Row],[Importe de Pago
(MX)]]-Diario_Documentos_TPL[[#This Row],[Importe Pasivo
(MX)]]</f>
        <v>-94346.929782757536</v>
      </c>
      <c r="AQ62" s="1965">
        <f>Diario_Documentos_TPL[[#This Row],[Total_Paridad]]-Diario_Documentos_TPL[[#This Row],[Subtotal_Paridad]]</f>
        <v>-15095.508765241131</v>
      </c>
      <c r="AR62" s="1964">
        <f>Diario_Documentos_TPL[[#This Row],[Total de Pago
(MX)]]-Diario_Documentos_TPL[[#This Row],[Total Pasivo
(MX)]]</f>
        <v>-109442.43854799867</v>
      </c>
      <c r="AS62" s="1980"/>
      <c r="AT62" s="1980"/>
      <c r="AU62" s="1980"/>
      <c r="AV62" s="1980"/>
    </row>
    <row r="63" spans="1:48" ht="14.25" hidden="1" customHeight="1" x14ac:dyDescent="0.25">
      <c r="A63" s="1969" t="s">
        <v>598</v>
      </c>
      <c r="B63" s="1969">
        <v>4326979</v>
      </c>
      <c r="C63" s="1969">
        <v>800642440</v>
      </c>
      <c r="D63" s="1969"/>
      <c r="E63" s="1969" t="s">
        <v>632</v>
      </c>
      <c r="F63" s="1969" t="s">
        <v>599</v>
      </c>
      <c r="G63" s="1969" t="s">
        <v>628</v>
      </c>
      <c r="H63" s="1969" t="str">
        <f>VLOOKUP(Diario_Documentos_TPL[[#This Row],[Centro Gestor]],Catalogo_Centro_Gestor[],2,FALSE)</f>
        <v>Gasoducto Corredor Chihuahua</v>
      </c>
      <c r="I63" s="1969">
        <v>2502</v>
      </c>
      <c r="J63" s="1972">
        <f>IF(YEAR(Diario_Documentos_TPL[[#This Row],[Fecha de Pago]])=1900, "SIN PAGO",YEAR(Diario_Documentos_TPL[[#This Row],[Fecha de Pago]]))</f>
        <v>2017</v>
      </c>
      <c r="K63" s="1973">
        <v>2017</v>
      </c>
      <c r="L63" s="1972">
        <f>IF(MONTH(Diario_Documentos_TPL[[#This Row],[Fecha de Pago]])=0, "SIN PAGO",MONTH(Diario_Documentos_TPL[[#This Row],[Fecha de Pago]]))</f>
        <v>7</v>
      </c>
      <c r="M63" s="1971">
        <v>6</v>
      </c>
      <c r="N63" s="1971" t="str">
        <f>VLOOKUP(Diario_Documentos_TPL[[#This Row],[Periodo del Servicio]],'Tablas (2)'!$L$3:$M$14,2,FALSE)</f>
        <v>JUNIO</v>
      </c>
      <c r="O63" s="1971" t="s">
        <v>655</v>
      </c>
      <c r="P63" s="1971" t="s">
        <v>483</v>
      </c>
      <c r="Q63" s="1971" t="s">
        <v>165</v>
      </c>
      <c r="R63" s="1969">
        <v>7256</v>
      </c>
      <c r="S63" s="1984">
        <v>453882</v>
      </c>
      <c r="T63" s="1969" t="s">
        <v>627</v>
      </c>
      <c r="U63" s="1969">
        <v>2277</v>
      </c>
      <c r="V63" s="1969">
        <v>180002447</v>
      </c>
      <c r="W63" s="1970">
        <v>42927</v>
      </c>
      <c r="X63" s="1966">
        <f>Diario_Documentos_TPL[[#This Row],[Total Pasivo
(USD)]]/1.16</f>
        <v>4240081.9482758623</v>
      </c>
      <c r="Y63" s="1966">
        <f>Diario_Documentos_TPL[[#This Row],[Importe Pasivo
(USD)]]*0.16</f>
        <v>678413.11172413803</v>
      </c>
      <c r="Z63" s="1966">
        <v>4918495.0599999996</v>
      </c>
      <c r="AA63" s="1966">
        <f>Diario_Documentos_TPL[[#This Row],[Total Pasivo
(MX)]]/1.16</f>
        <v>76912542.491379321</v>
      </c>
      <c r="AB63" s="1966">
        <f>Diario_Documentos_TPL[[#This Row],[Importe Pasivo
(MX)]]*0.16</f>
        <v>12306006.798620692</v>
      </c>
      <c r="AC63" s="1966">
        <v>89218549.290000007</v>
      </c>
      <c r="AD63" s="2017">
        <f>IFERROR(Diario_Documentos_TPL[[#This Row],[Total Pasivo
(MX)]]/Diario_Documentos_TPL[[#This Row],[Total Pasivo
(USD)]],0)</f>
        <v>18.139399999722681</v>
      </c>
      <c r="AE63" s="1969">
        <v>140012874</v>
      </c>
      <c r="AF63" s="1968">
        <v>42941</v>
      </c>
      <c r="AG63" s="1967">
        <f>Diario_Documentos_TPL[[#This Row],[Total de Pago
(USD)]]/1.16</f>
        <v>4240081.9482758623</v>
      </c>
      <c r="AH63" s="1966">
        <f>Diario_Documentos_TPL[[#This Row],[Importe de Pago
(USD)]]*0.16</f>
        <v>678413.11172413803</v>
      </c>
      <c r="AI63" s="1966">
        <f>Diario_Documentos_TPL[[#This Row],[Total Pasivo
(USD)]]</f>
        <v>4918495.0599999996</v>
      </c>
      <c r="AJ63" s="1966">
        <f>Diario_Documentos_TPL[[#This Row],[Total de Pago
(MX)]]/1.16</f>
        <v>74463471.159231037</v>
      </c>
      <c r="AK63" s="1966">
        <f>Diario_Documentos_TPL[[#This Row],[Importe de Pago
(MX)]]*0.16</f>
        <v>11914155.385476965</v>
      </c>
      <c r="AL63" s="1966">
        <f>Diario_Documentos_TPL[[#This Row],[Total de Pago
(USD)]]*Diario_Documentos_TPL[[#This Row],[T.C Pago]]</f>
        <v>86377626.544707999</v>
      </c>
      <c r="AM63" s="2017">
        <v>17.561800000000002</v>
      </c>
      <c r="AN63" s="1965"/>
      <c r="AO63" s="1965"/>
      <c r="AP63" s="1965">
        <f>Diario_Documentos_TPL[[#This Row],[Importe de Pago
(MX)]]-Diario_Documentos_TPL[[#This Row],[Importe Pasivo
(MX)]]</f>
        <v>-2449071.3321482837</v>
      </c>
      <c r="AQ63" s="1965">
        <f>Diario_Documentos_TPL[[#This Row],[Total_Paridad]]-Diario_Documentos_TPL[[#This Row],[Subtotal_Paridad]]</f>
        <v>-391851.4131437242</v>
      </c>
      <c r="AR63" s="1964">
        <f>Diario_Documentos_TPL[[#This Row],[Total de Pago
(MX)]]-Diario_Documentos_TPL[[#This Row],[Total Pasivo
(MX)]]</f>
        <v>-2840922.7452920079</v>
      </c>
      <c r="AS63" s="1980"/>
      <c r="AT63" s="1980"/>
      <c r="AU63" s="1980"/>
      <c r="AV63" s="1980"/>
    </row>
    <row r="64" spans="1:48" ht="14.25" hidden="1" customHeight="1" x14ac:dyDescent="0.25">
      <c r="A64" s="1969" t="s">
        <v>598</v>
      </c>
      <c r="B64" s="1969">
        <v>4326979</v>
      </c>
      <c r="C64" s="1969">
        <v>800762390</v>
      </c>
      <c r="D64" s="1969"/>
      <c r="E64" s="1969" t="s">
        <v>632</v>
      </c>
      <c r="F64" s="1969" t="s">
        <v>599</v>
      </c>
      <c r="G64" s="1969" t="s">
        <v>628</v>
      </c>
      <c r="H64" s="1969" t="str">
        <f>VLOOKUP(Diario_Documentos_TPL[[#This Row],[Centro Gestor]],Catalogo_Centro_Gestor[],2,FALSE)</f>
        <v>Jefatura GRPN</v>
      </c>
      <c r="I64" s="1969">
        <v>2502</v>
      </c>
      <c r="J64" s="1972">
        <f>IF(YEAR(Diario_Documentos_TPL[[#This Row],[Fecha de Pago]])=1900, "SIN PAGO",YEAR(Diario_Documentos_TPL[[#This Row],[Fecha de Pago]]))</f>
        <v>2017</v>
      </c>
      <c r="K64" s="1973">
        <v>2017</v>
      </c>
      <c r="L64" s="1972">
        <f>IF(MONTH(Diario_Documentos_TPL[[#This Row],[Fecha de Pago]])=0, "SIN PAGO",MONTH(Diario_Documentos_TPL[[#This Row],[Fecha de Pago]]))</f>
        <v>7</v>
      </c>
      <c r="M64" s="1971">
        <v>6</v>
      </c>
      <c r="N64" s="1971" t="str">
        <f>VLOOKUP(Diario_Documentos_TPL[[#This Row],[Periodo del Servicio]],'Tablas (2)'!$L$3:$M$14,2,FALSE)</f>
        <v>JUNIO</v>
      </c>
      <c r="O64" s="1971" t="s">
        <v>655</v>
      </c>
      <c r="P64" s="1971" t="s">
        <v>483</v>
      </c>
      <c r="Q64" s="1971" t="s">
        <v>165</v>
      </c>
      <c r="R64" s="1969">
        <v>7241</v>
      </c>
      <c r="S64" s="1969">
        <v>453882</v>
      </c>
      <c r="T64" s="1969" t="s">
        <v>627</v>
      </c>
      <c r="U64" s="1969">
        <v>2044</v>
      </c>
      <c r="V64" s="1969">
        <v>180002449</v>
      </c>
      <c r="W64" s="1970">
        <v>42927</v>
      </c>
      <c r="X64" s="1966">
        <f>Diario_Documentos_TPL[[#This Row],[Total Pasivo
(USD)]]/1.16</f>
        <v>421504.94827586209</v>
      </c>
      <c r="Y64" s="1966">
        <f>Diario_Documentos_TPL[[#This Row],[Importe Pasivo
(USD)]]*0.16</f>
        <v>67440.791724137933</v>
      </c>
      <c r="Z64" s="1966">
        <v>488945.74</v>
      </c>
      <c r="AA64" s="1966">
        <f>Diario_Documentos_TPL[[#This Row],[Total Pasivo
(MX)]]/1.16</f>
        <v>7645846.8620689651</v>
      </c>
      <c r="AB64" s="1966">
        <f>Diario_Documentos_TPL[[#This Row],[Importe Pasivo
(MX)]]*0.16</f>
        <v>1223335.4979310345</v>
      </c>
      <c r="AC64" s="1966">
        <v>8869182.3599999994</v>
      </c>
      <c r="AD64" s="2017">
        <f>IFERROR(Diario_Documentos_TPL[[#This Row],[Total Pasivo
(MX)]]/Diario_Documentos_TPL[[#This Row],[Total Pasivo
(USD)]],0)</f>
        <v>18.139400007861813</v>
      </c>
      <c r="AE64" s="1969">
        <v>140012874</v>
      </c>
      <c r="AF64" s="1968">
        <v>42941</v>
      </c>
      <c r="AG64" s="1967">
        <f>Diario_Documentos_TPL[[#This Row],[Total de Pago
(USD)]]/1.16</f>
        <v>421504.94827586209</v>
      </c>
      <c r="AH64" s="1966">
        <f>Diario_Documentos_TPL[[#This Row],[Importe de Pago
(USD)]]*0.16</f>
        <v>67440.791724137933</v>
      </c>
      <c r="AI64" s="1966">
        <f>Diario_Documentos_TPL[[#This Row],[Total Pasivo
(USD)]]</f>
        <v>488945.74</v>
      </c>
      <c r="AJ64" s="1966">
        <f>Diario_Documentos_TPL[[#This Row],[Total de Pago
(MX)]]/1.16</f>
        <v>7402385.6006310359</v>
      </c>
      <c r="AK64" s="1966">
        <f>Diario_Documentos_TPL[[#This Row],[Importe de Pago
(MX)]]*0.16</f>
        <v>1184381.6961009658</v>
      </c>
      <c r="AL64" s="1966">
        <f>Diario_Documentos_TPL[[#This Row],[Total de Pago
(USD)]]*Diario_Documentos_TPL[[#This Row],[T.C Pago]]</f>
        <v>8586767.296732001</v>
      </c>
      <c r="AM64" s="2017">
        <v>17.561800000000002</v>
      </c>
      <c r="AN64" s="1965"/>
      <c r="AO64" s="1965"/>
      <c r="AP64" s="1965">
        <f>Diario_Documentos_TPL[[#This Row],[Importe de Pago
(MX)]]-Diario_Documentos_TPL[[#This Row],[Importe Pasivo
(MX)]]</f>
        <v>-243461.26143792924</v>
      </c>
      <c r="AQ64" s="1965">
        <f>Diario_Documentos_TPL[[#This Row],[Total_Paridad]]-Diario_Documentos_TPL[[#This Row],[Subtotal_Paridad]]</f>
        <v>-38953.801830069162</v>
      </c>
      <c r="AR64" s="1964">
        <f>Diario_Documentos_TPL[[#This Row],[Total de Pago
(MX)]]-Diario_Documentos_TPL[[#This Row],[Total Pasivo
(MX)]]</f>
        <v>-282415.0632679984</v>
      </c>
      <c r="AS64" s="1980"/>
      <c r="AT64" s="1980"/>
      <c r="AU64" s="1980"/>
      <c r="AV64" s="1980"/>
    </row>
    <row r="65" spans="1:48" ht="14.25" hidden="1" customHeight="1" x14ac:dyDescent="0.25">
      <c r="A65" s="1969" t="s">
        <v>598</v>
      </c>
      <c r="B65" s="1969">
        <v>4326979</v>
      </c>
      <c r="C65" s="1969">
        <v>800762390</v>
      </c>
      <c r="D65" s="1969"/>
      <c r="E65" s="1969" t="s">
        <v>632</v>
      </c>
      <c r="F65" s="1969" t="s">
        <v>599</v>
      </c>
      <c r="G65" s="1969" t="s">
        <v>628</v>
      </c>
      <c r="H65" s="1969" t="str">
        <f>VLOOKUP(Diario_Documentos_TPL[[#This Row],[Centro Gestor]],Catalogo_Centro_Gestor[],2,FALSE)</f>
        <v>Jefatura GRPN</v>
      </c>
      <c r="I65" s="1969">
        <v>2502</v>
      </c>
      <c r="J65" s="1972">
        <f>IF(YEAR(Diario_Documentos_TPL[[#This Row],[Fecha de Pago]])=1900, "SIN PAGO",YEAR(Diario_Documentos_TPL[[#This Row],[Fecha de Pago]]))</f>
        <v>2017</v>
      </c>
      <c r="K65" s="1973">
        <v>2017</v>
      </c>
      <c r="L65" s="1972">
        <f>IF(MONTH(Diario_Documentos_TPL[[#This Row],[Fecha de Pago]])=0, "SIN PAGO",MONTH(Diario_Documentos_TPL[[#This Row],[Fecha de Pago]]))</f>
        <v>4</v>
      </c>
      <c r="M65" s="1971">
        <v>3</v>
      </c>
      <c r="N65" s="1971" t="str">
        <f>VLOOKUP(Diario_Documentos_TPL[[#This Row],[Periodo del Servicio]],'Tablas (2)'!$L$3:$M$14,2,FALSE)</f>
        <v>MARZO</v>
      </c>
      <c r="O65" s="1971" t="s">
        <v>651</v>
      </c>
      <c r="P65" s="1971" t="s">
        <v>483</v>
      </c>
      <c r="Q65" s="1971" t="s">
        <v>165</v>
      </c>
      <c r="R65" s="1969">
        <v>7241</v>
      </c>
      <c r="S65" s="1969">
        <v>453882</v>
      </c>
      <c r="T65" s="1969" t="s">
        <v>627</v>
      </c>
      <c r="U65" s="1969">
        <v>2044</v>
      </c>
      <c r="V65" s="1969">
        <v>180001395</v>
      </c>
      <c r="W65" s="1970">
        <v>42832</v>
      </c>
      <c r="X65" s="1966">
        <f>Diario_Documentos_TPL[[#This Row],[Total Pasivo
(USD)]]/1.16</f>
        <v>421457.28448275867</v>
      </c>
      <c r="Y65" s="1966">
        <f>Diario_Documentos_TPL[[#This Row],[Importe Pasivo
(USD)]]*0.16</f>
        <v>67433.165517241388</v>
      </c>
      <c r="Z65" s="1966">
        <v>488890.45</v>
      </c>
      <c r="AA65" s="1966">
        <f>Diario_Documentos_TPL[[#This Row],[Total Pasivo
(MX)]]/1.16</f>
        <v>7889343.1982758623</v>
      </c>
      <c r="AB65" s="1966">
        <f>Diario_Documentos_TPL[[#This Row],[Importe Pasivo
(MX)]]*0.16</f>
        <v>1262294.9117241381</v>
      </c>
      <c r="AC65" s="1966">
        <v>9151638.1099999994</v>
      </c>
      <c r="AD65" s="2017">
        <f>IFERROR(Diario_Documentos_TPL[[#This Row],[Total Pasivo
(MX)]]/Diario_Documentos_TPL[[#This Row],[Total Pasivo
(USD)]],0)</f>
        <v>18.719199996645465</v>
      </c>
      <c r="AE65" s="1971">
        <v>140007228</v>
      </c>
      <c r="AF65" s="1968">
        <v>42849</v>
      </c>
      <c r="AG65" s="1967">
        <f>Diario_Documentos_TPL[[#This Row],[Total de Pago
(USD)]]/1.16</f>
        <v>421457.28448275867</v>
      </c>
      <c r="AH65" s="1966">
        <f>Diario_Documentos_TPL[[#This Row],[Importe de Pago
(USD)]]*0.16</f>
        <v>67433.165517241388</v>
      </c>
      <c r="AI65" s="1966">
        <f>Diario_Documentos_TPL[[#This Row],[Total Pasivo
(USD)]]</f>
        <v>488890.45</v>
      </c>
      <c r="AJ65" s="1966">
        <f>Diario_Documentos_TPL[[#This Row],[Total de Pago
(MX)]]/1.16</f>
        <v>7931278.1994956909</v>
      </c>
      <c r="AK65" s="1966">
        <f>Diario_Documentos_TPL[[#This Row],[Importe de Pago
(MX)]]*0.16</f>
        <v>1269004.5119193105</v>
      </c>
      <c r="AL65" s="1966">
        <f>Diario_Documentos_TPL[[#This Row],[Total de Pago
(USD)]]*Diario_Documentos_TPL[[#This Row],[T.C Pago]]</f>
        <v>9200282.7114150003</v>
      </c>
      <c r="AM65" s="2017">
        <v>18.8187</v>
      </c>
      <c r="AN65" s="1965"/>
      <c r="AO65" s="1965"/>
      <c r="AP65" s="1965">
        <f>Diario_Documentos_TPL[[#This Row],[Importe de Pago
(MX)]]-Diario_Documentos_TPL[[#This Row],[Importe Pasivo
(MX)]]</f>
        <v>41935.001219828613</v>
      </c>
      <c r="AQ65" s="1965">
        <f>Diario_Documentos_TPL[[#This Row],[Total_Paridad]]-Diario_Documentos_TPL[[#This Row],[Subtotal_Paridad]]</f>
        <v>6709.6001951722428</v>
      </c>
      <c r="AR65" s="1964">
        <f>Diario_Documentos_TPL[[#This Row],[Total de Pago
(MX)]]-Diario_Documentos_TPL[[#This Row],[Total Pasivo
(MX)]]</f>
        <v>48644.601415000856</v>
      </c>
      <c r="AS65" s="1980"/>
      <c r="AT65" s="1980"/>
      <c r="AU65" s="1980"/>
      <c r="AV65" s="1980"/>
    </row>
    <row r="66" spans="1:48" ht="14.25" hidden="1" customHeight="1" x14ac:dyDescent="0.25">
      <c r="A66" s="1969" t="s">
        <v>598</v>
      </c>
      <c r="B66" s="1969">
        <v>4326979</v>
      </c>
      <c r="C66" s="1969">
        <v>800808521</v>
      </c>
      <c r="D66" s="1969"/>
      <c r="E66" s="1969" t="s">
        <v>632</v>
      </c>
      <c r="F66" s="1969" t="s">
        <v>599</v>
      </c>
      <c r="G66" s="1969" t="s">
        <v>628</v>
      </c>
      <c r="H66" s="1969" t="str">
        <f>VLOOKUP(Diario_Documentos_TPL[[#This Row],[Centro Gestor]],Catalogo_Centro_Gestor[],2,FALSE)</f>
        <v>Gasoducto Corredor Chihuahua</v>
      </c>
      <c r="I66" s="1969">
        <v>2502</v>
      </c>
      <c r="J66" s="1972">
        <f>IF(YEAR(Diario_Documentos_TPL[[#This Row],[Fecha de Pago]])=1900, "SIN PAGO",YEAR(Diario_Documentos_TPL[[#This Row],[Fecha de Pago]]))</f>
        <v>2017</v>
      </c>
      <c r="K66" s="1973">
        <v>2017</v>
      </c>
      <c r="L66" s="1972">
        <f>IF(MONTH(Diario_Documentos_TPL[[#This Row],[Fecha de Pago]])=0, "SIN PAGO",MONTH(Diario_Documentos_TPL[[#This Row],[Fecha de Pago]]))</f>
        <v>4</v>
      </c>
      <c r="M66" s="1971">
        <v>3</v>
      </c>
      <c r="N66" s="1971" t="str">
        <f>VLOOKUP(Diario_Documentos_TPL[[#This Row],[Periodo del Servicio]],'Tablas (2)'!$L$3:$M$14,2,FALSE)</f>
        <v>MARZO</v>
      </c>
      <c r="O66" s="1971" t="s">
        <v>651</v>
      </c>
      <c r="P66" s="1971" t="s">
        <v>483</v>
      </c>
      <c r="Q66" s="1971" t="s">
        <v>165</v>
      </c>
      <c r="R66" s="1969">
        <v>7256</v>
      </c>
      <c r="S66" s="1969">
        <v>468084</v>
      </c>
      <c r="T66" s="1969" t="s">
        <v>627</v>
      </c>
      <c r="U66" s="1969">
        <v>2277</v>
      </c>
      <c r="V66" s="1969">
        <v>180001393</v>
      </c>
      <c r="W66" s="1970">
        <v>42832</v>
      </c>
      <c r="X66" s="1966">
        <f>Diario_Documentos_TPL[[#This Row],[Total Pasivo
(USD)]]/1.16</f>
        <v>4240081.362068966</v>
      </c>
      <c r="Y66" s="1966">
        <f>Diario_Documentos_TPL[[#This Row],[Importe Pasivo
(USD)]]*0.16</f>
        <v>678413.01793103456</v>
      </c>
      <c r="Z66" s="1966">
        <v>4918494.38</v>
      </c>
      <c r="AA66" s="1966">
        <f>Diario_Documentos_TPL[[#This Row],[Total Pasivo
(MX)]]/1.16</f>
        <v>79370931.025862068</v>
      </c>
      <c r="AB66" s="1966">
        <f>Diario_Documentos_TPL[[#This Row],[Importe Pasivo
(MX)]]*0.16</f>
        <v>12699348.96413793</v>
      </c>
      <c r="AC66" s="1966">
        <v>92070279.989999995</v>
      </c>
      <c r="AD66" s="2017">
        <f>IFERROR(Diario_Documentos_TPL[[#This Row],[Total Pasivo
(MX)]]/Diario_Documentos_TPL[[#This Row],[Total Pasivo
(USD)]],0)</f>
        <v>18.719199998353968</v>
      </c>
      <c r="AE66" s="1971">
        <v>140007228</v>
      </c>
      <c r="AF66" s="1968">
        <v>42849</v>
      </c>
      <c r="AG66" s="1967">
        <f>Diario_Documentos_TPL[[#This Row],[Total de Pago
(USD)]]/1.16</f>
        <v>4240081.362068966</v>
      </c>
      <c r="AH66" s="1966">
        <f>Diario_Documentos_TPL[[#This Row],[Importe de Pago
(USD)]]*0.16</f>
        <v>678413.01793103456</v>
      </c>
      <c r="AI66" s="1966">
        <f>Diario_Documentos_TPL[[#This Row],[Total Pasivo
(USD)]]</f>
        <v>4918494.38</v>
      </c>
      <c r="AJ66" s="1966">
        <f>Diario_Documentos_TPL[[#This Row],[Total de Pago
(MX)]]/1.16</f>
        <v>79792819.128367245</v>
      </c>
      <c r="AK66" s="1966">
        <f>Diario_Documentos_TPL[[#This Row],[Importe de Pago
(MX)]]*0.16</f>
        <v>12766851.060538759</v>
      </c>
      <c r="AL66" s="1966">
        <f>Diario_Documentos_TPL[[#This Row],[Total de Pago
(USD)]]*Diario_Documentos_TPL[[#This Row],[T.C Pago]]</f>
        <v>92559670.188905999</v>
      </c>
      <c r="AM66" s="2017">
        <v>18.8187</v>
      </c>
      <c r="AN66" s="1965"/>
      <c r="AO66" s="1965"/>
      <c r="AP66" s="1965">
        <f>Diario_Documentos_TPL[[#This Row],[Importe de Pago
(MX)]]-Diario_Documentos_TPL[[#This Row],[Importe Pasivo
(MX)]]</f>
        <v>421888.10250517726</v>
      </c>
      <c r="AQ66" s="1965">
        <f>Diario_Documentos_TPL[[#This Row],[Total_Paridad]]-Diario_Documentos_TPL[[#This Row],[Subtotal_Paridad]]</f>
        <v>67502.096400827169</v>
      </c>
      <c r="AR66" s="1964">
        <f>Diario_Documentos_TPL[[#This Row],[Total de Pago
(MX)]]-Diario_Documentos_TPL[[#This Row],[Total Pasivo
(MX)]]</f>
        <v>489390.19890600443</v>
      </c>
      <c r="AS66" s="1980"/>
      <c r="AT66" s="1980"/>
      <c r="AU66" s="1980"/>
      <c r="AV66" s="1980"/>
    </row>
    <row r="67" spans="1:48" ht="14.25" hidden="1" customHeight="1" x14ac:dyDescent="0.25">
      <c r="A67" s="1969" t="s">
        <v>598</v>
      </c>
      <c r="B67" s="1969">
        <v>4326979</v>
      </c>
      <c r="C67" s="1969">
        <v>800642440</v>
      </c>
      <c r="D67" s="1969"/>
      <c r="E67" s="1969" t="s">
        <v>632</v>
      </c>
      <c r="F67" s="1969" t="s">
        <v>599</v>
      </c>
      <c r="G67" s="1969" t="s">
        <v>628</v>
      </c>
      <c r="H67" s="1969" t="str">
        <f>VLOOKUP(Diario_Documentos_TPL[[#This Row],[Centro Gestor]],Catalogo_Centro_Gestor[],2,FALSE)</f>
        <v>Gasoducto Corredor Chihuahua</v>
      </c>
      <c r="I67" s="1969">
        <v>2502</v>
      </c>
      <c r="J67" s="1972">
        <f>IF(YEAR(Diario_Documentos_TPL[[#This Row],[Fecha de Pago]])=1900, "SIN PAGO",YEAR(Diario_Documentos_TPL[[#This Row],[Fecha de Pago]]))</f>
        <v>2017</v>
      </c>
      <c r="K67" s="1973">
        <v>2017</v>
      </c>
      <c r="L67" s="1972">
        <f>IF(MONTH(Diario_Documentos_TPL[[#This Row],[Fecha de Pago]])=0, "SIN PAGO",MONTH(Diario_Documentos_TPL[[#This Row],[Fecha de Pago]]))</f>
        <v>6</v>
      </c>
      <c r="M67" s="1971">
        <v>5</v>
      </c>
      <c r="N67" s="1971" t="str">
        <f>VLOOKUP(Diario_Documentos_TPL[[#This Row],[Periodo del Servicio]],'Tablas (2)'!$L$3:$M$14,2,FALSE)</f>
        <v>MAYO</v>
      </c>
      <c r="O67" s="1971" t="s">
        <v>654</v>
      </c>
      <c r="P67" s="1971" t="s">
        <v>483</v>
      </c>
      <c r="Q67" s="1971" t="s">
        <v>165</v>
      </c>
      <c r="R67" s="1969">
        <v>7256</v>
      </c>
      <c r="S67" s="1969">
        <v>468084</v>
      </c>
      <c r="T67" s="1969" t="s">
        <v>627</v>
      </c>
      <c r="U67" s="1969">
        <v>2277</v>
      </c>
      <c r="V67" s="1969">
        <v>180002088</v>
      </c>
      <c r="W67" s="1970">
        <v>42895</v>
      </c>
      <c r="X67" s="1966">
        <f>Diario_Documentos_TPL[[#This Row],[Total Pasivo
(USD)]]/1.16</f>
        <v>4240081.9655172415</v>
      </c>
      <c r="Y67" s="1966">
        <f>Diario_Documentos_TPL[[#This Row],[Importe Pasivo
(USD)]]*0.16</f>
        <v>678413.11448275868</v>
      </c>
      <c r="Z67" s="1966">
        <v>4918495.08</v>
      </c>
      <c r="AA67" s="1966">
        <f>Diario_Documentos_TPL[[#This Row],[Total Pasivo
(MX)]]/1.16</f>
        <v>77287365.950000003</v>
      </c>
      <c r="AB67" s="1966">
        <f>Diario_Documentos_TPL[[#This Row],[Importe Pasivo
(MX)]]*0.16</f>
        <v>12365978.552000001</v>
      </c>
      <c r="AC67" s="1966">
        <v>89653344.502000004</v>
      </c>
      <c r="AD67" s="2017">
        <f>IFERROR(Diario_Documentos_TPL[[#This Row],[Total Pasivo
(MX)]]/Diario_Documentos_TPL[[#This Row],[Total Pasivo
(USD)]],0)</f>
        <v>18.227799976166693</v>
      </c>
      <c r="AE67" s="1971">
        <v>140010960</v>
      </c>
      <c r="AF67" s="1968">
        <v>42912</v>
      </c>
      <c r="AG67" s="1967">
        <f>Diario_Documentos_TPL[[#This Row],[Total de Pago
(USD)]]/1.16</f>
        <v>4240081.9655172415</v>
      </c>
      <c r="AH67" s="1966">
        <f>Diario_Documentos_TPL[[#This Row],[Importe de Pago
(USD)]]*0.16</f>
        <v>678413.11448275868</v>
      </c>
      <c r="AI67" s="1966">
        <f>Diario_Documentos_TPL[[#This Row],[Total Pasivo
(USD)]]</f>
        <v>4918495.08</v>
      </c>
      <c r="AJ67" s="1966">
        <f>Diario_Documentos_TPL[[#This Row],[Total de Pago
(MX)]]/1.16</f>
        <v>76859965.788931027</v>
      </c>
      <c r="AK67" s="1966">
        <f>Diario_Documentos_TPL[[#This Row],[Importe de Pago
(MX)]]*0.16</f>
        <v>12297594.526228964</v>
      </c>
      <c r="AL67" s="1966">
        <f>Diario_Documentos_TPL[[#This Row],[Total de Pago
(USD)]]*Diario_Documentos_TPL[[#This Row],[T.C Pago]]</f>
        <v>89157560.315159991</v>
      </c>
      <c r="AM67" s="2017">
        <v>18.126999999999999</v>
      </c>
      <c r="AN67" s="1965"/>
      <c r="AO67" s="1965"/>
      <c r="AP67" s="1965">
        <f>Diario_Documentos_TPL[[#This Row],[Importe de Pago
(MX)]]-Diario_Documentos_TPL[[#This Row],[Importe Pasivo
(MX)]]</f>
        <v>-427400.16106897593</v>
      </c>
      <c r="AQ67" s="1965">
        <f>Diario_Documentos_TPL[[#This Row],[Total_Paridad]]-Diario_Documentos_TPL[[#This Row],[Subtotal_Paridad]]</f>
        <v>-68384.025771036744</v>
      </c>
      <c r="AR67" s="1964">
        <f>Diario_Documentos_TPL[[#This Row],[Total de Pago
(MX)]]-Diario_Documentos_TPL[[#This Row],[Total Pasivo
(MX)]]</f>
        <v>-495784.18684001267</v>
      </c>
      <c r="AS67" s="1980"/>
      <c r="AT67" s="1980"/>
      <c r="AU67" s="1980"/>
      <c r="AV67" s="1980"/>
    </row>
    <row r="68" spans="1:48" ht="14.25" hidden="1" customHeight="1" x14ac:dyDescent="0.25">
      <c r="A68" s="1969" t="s">
        <v>598</v>
      </c>
      <c r="B68" s="1969">
        <v>4326979</v>
      </c>
      <c r="C68" s="1969">
        <v>800762390</v>
      </c>
      <c r="D68" s="1969"/>
      <c r="E68" s="1969" t="s">
        <v>632</v>
      </c>
      <c r="F68" s="1969" t="s">
        <v>599</v>
      </c>
      <c r="G68" s="1969" t="s">
        <v>628</v>
      </c>
      <c r="H68" s="1969" t="str">
        <f>VLOOKUP(Diario_Documentos_TPL[[#This Row],[Centro Gestor]],Catalogo_Centro_Gestor[],2,FALSE)</f>
        <v>Jefatura GRPN</v>
      </c>
      <c r="I68" s="1969">
        <v>2502</v>
      </c>
      <c r="J68" s="1972">
        <f>IF(YEAR(Diario_Documentos_TPL[[#This Row],[Fecha de Pago]])=1900, "SIN PAGO",YEAR(Diario_Documentos_TPL[[#This Row],[Fecha de Pago]]))</f>
        <v>2017</v>
      </c>
      <c r="K68" s="1973">
        <v>2017</v>
      </c>
      <c r="L68" s="1972">
        <f>IF(MONTH(Diario_Documentos_TPL[[#This Row],[Fecha de Pago]])=0, "SIN PAGO",MONTH(Diario_Documentos_TPL[[#This Row],[Fecha de Pago]]))</f>
        <v>6</v>
      </c>
      <c r="M68" s="1971">
        <v>5</v>
      </c>
      <c r="N68" s="1971" t="str">
        <f>VLOOKUP(Diario_Documentos_TPL[[#This Row],[Periodo del Servicio]],'Tablas (2)'!$L$3:$M$14,2,FALSE)</f>
        <v>MAYO</v>
      </c>
      <c r="O68" s="1971" t="s">
        <v>654</v>
      </c>
      <c r="P68" s="1971" t="s">
        <v>483</v>
      </c>
      <c r="Q68" s="1971" t="s">
        <v>165</v>
      </c>
      <c r="R68" s="1969">
        <v>7241</v>
      </c>
      <c r="S68" s="1969">
        <v>453882</v>
      </c>
      <c r="T68" s="1969" t="s">
        <v>627</v>
      </c>
      <c r="U68" s="1969">
        <v>2044</v>
      </c>
      <c r="V68" s="1969">
        <v>180002089</v>
      </c>
      <c r="W68" s="1970">
        <v>42895</v>
      </c>
      <c r="X68" s="1966">
        <f>Diario_Documentos_TPL[[#This Row],[Total Pasivo
(USD)]]/1.16</f>
        <v>421529.61206896551</v>
      </c>
      <c r="Y68" s="1966">
        <f>Diario_Documentos_TPL[[#This Row],[Importe Pasivo
(USD)]]*0.16</f>
        <v>67444.737931034484</v>
      </c>
      <c r="Z68" s="1966">
        <v>488974.35</v>
      </c>
      <c r="AA68" s="1966">
        <f>Diario_Documentos_TPL[[#This Row],[Total Pasivo
(MX)]]/1.16</f>
        <v>7683557.4655172424</v>
      </c>
      <c r="AB68" s="1966">
        <f>Diario_Documentos_TPL[[#This Row],[Importe Pasivo
(MX)]]*0.16</f>
        <v>1229369.1944827589</v>
      </c>
      <c r="AC68" s="1966">
        <v>8912926.6600000001</v>
      </c>
      <c r="AD68" s="2017">
        <f>IFERROR(Diario_Documentos_TPL[[#This Row],[Total Pasivo
(MX)]]/Diario_Documentos_TPL[[#This Row],[Total Pasivo
(USD)]],0)</f>
        <v>18.22780000627845</v>
      </c>
      <c r="AE68" s="1971">
        <v>140010960</v>
      </c>
      <c r="AF68" s="1968">
        <v>42912</v>
      </c>
      <c r="AG68" s="1967">
        <f>Diario_Documentos_TPL[[#This Row],[Total de Pago
(USD)]]/1.16</f>
        <v>421529.61206896551</v>
      </c>
      <c r="AH68" s="1966">
        <f>Diario_Documentos_TPL[[#This Row],[Importe de Pago
(USD)]]*0.16</f>
        <v>67444.737931034484</v>
      </c>
      <c r="AI68" s="1966">
        <f>Diario_Documentos_TPL[[#This Row],[Total Pasivo
(USD)]]</f>
        <v>488974.35</v>
      </c>
      <c r="AJ68" s="1966">
        <f>Diario_Documentos_TPL[[#This Row],[Total de Pago
(MX)]]/1.16</f>
        <v>7641067.277974138</v>
      </c>
      <c r="AK68" s="1966">
        <f>Diario_Documentos_TPL[[#This Row],[Importe de Pago
(MX)]]*0.16</f>
        <v>1222570.764475862</v>
      </c>
      <c r="AL68" s="1966">
        <f>Diario_Documentos_TPL[[#This Row],[Total de Pago
(USD)]]*Diario_Documentos_TPL[[#This Row],[T.C Pago]]</f>
        <v>8863638.0424499996</v>
      </c>
      <c r="AM68" s="2017">
        <v>18.126999999999999</v>
      </c>
      <c r="AN68" s="1965"/>
      <c r="AO68" s="1965"/>
      <c r="AP68" s="1965">
        <f>Diario_Documentos_TPL[[#This Row],[Importe de Pago
(MX)]]-Diario_Documentos_TPL[[#This Row],[Importe Pasivo
(MX)]]</f>
        <v>-42490.187543104403</v>
      </c>
      <c r="AQ68" s="1965">
        <f>Diario_Documentos_TPL[[#This Row],[Total_Paridad]]-Diario_Documentos_TPL[[#This Row],[Subtotal_Paridad]]</f>
        <v>-6798.4300068961456</v>
      </c>
      <c r="AR68" s="1964">
        <f>Diario_Documentos_TPL[[#This Row],[Total de Pago
(MX)]]-Diario_Documentos_TPL[[#This Row],[Total Pasivo
(MX)]]</f>
        <v>-49288.617550000548</v>
      </c>
      <c r="AS68" s="1980"/>
      <c r="AT68" s="1980"/>
      <c r="AU68" s="1980"/>
      <c r="AV68" s="1980"/>
    </row>
    <row r="69" spans="1:48" ht="14.25" hidden="1" customHeight="1" x14ac:dyDescent="0.25">
      <c r="A69" s="1969" t="s">
        <v>598</v>
      </c>
      <c r="B69" s="1969">
        <v>4326979</v>
      </c>
      <c r="C69" s="1969">
        <v>800832451</v>
      </c>
      <c r="D69" s="1969"/>
      <c r="E69" s="1969" t="s">
        <v>632</v>
      </c>
      <c r="F69" s="1969" t="s">
        <v>599</v>
      </c>
      <c r="G69" s="1969" t="s">
        <v>628</v>
      </c>
      <c r="H69" s="1969" t="str">
        <f>VLOOKUP(Diario_Documentos_TPL[[#This Row],[Centro Gestor]],Catalogo_Centro_Gestor[],2,FALSE)</f>
        <v>Gas. Corredor Chihuahua</v>
      </c>
      <c r="I69" s="1969" t="s">
        <v>630</v>
      </c>
      <c r="J69" s="1972">
        <f>IF(YEAR(Diario_Documentos_TPL[[#This Row],[Fecha de Pago]])=1900, "SIN PAGO",YEAR(Diario_Documentos_TPL[[#This Row],[Fecha de Pago]]))</f>
        <v>2017</v>
      </c>
      <c r="K69" s="1973">
        <v>2017</v>
      </c>
      <c r="L69" s="1972">
        <f>IF(MONTH(Diario_Documentos_TPL[[#This Row],[Fecha de Pago]])=0, "SIN PAGO",MONTH(Diario_Documentos_TPL[[#This Row],[Fecha de Pago]]))</f>
        <v>12</v>
      </c>
      <c r="M69" s="1971">
        <v>11</v>
      </c>
      <c r="N69" s="1971" t="str">
        <f>VLOOKUP(Diario_Documentos_TPL[[#This Row],[Periodo del Servicio]],'Tablas (2)'!$L$3:$M$14,2,FALSE)</f>
        <v>NOVIEMBRE</v>
      </c>
      <c r="O69" s="1971" t="s">
        <v>650</v>
      </c>
      <c r="P69" s="1971" t="s">
        <v>340</v>
      </c>
      <c r="Q69" s="1971" t="s">
        <v>165</v>
      </c>
      <c r="R69" s="1969" t="s">
        <v>343</v>
      </c>
      <c r="S69" s="1969">
        <v>453857</v>
      </c>
      <c r="T69" s="1969" t="s">
        <v>629</v>
      </c>
      <c r="U69" s="1969" t="s">
        <v>221</v>
      </c>
      <c r="V69" s="1969">
        <v>180001071</v>
      </c>
      <c r="W69" s="1970">
        <v>43080</v>
      </c>
      <c r="X69" s="1966">
        <f>Diario_Documentos_TPL[[#This Row],[Total Pasivo
(USD)]]/1.16</f>
        <v>419348.75862068968</v>
      </c>
      <c r="Y69" s="1966">
        <f>Diario_Documentos_TPL[[#This Row],[Importe Pasivo
(USD)]]*0.16</f>
        <v>67095.801379310346</v>
      </c>
      <c r="Z69" s="1966">
        <v>486444.56</v>
      </c>
      <c r="AA69" s="1966">
        <f>Diario_Documentos_TPL[[#This Row],[Total Pasivo
(MX)]]/1.16</f>
        <v>7938901.0238275873</v>
      </c>
      <c r="AB69" s="1966">
        <f>Diario_Documentos_TPL[[#This Row],[Importe Pasivo
(MX)]]*0.16</f>
        <v>1270224.163812414</v>
      </c>
      <c r="AC69" s="1966">
        <v>9209125.1876400001</v>
      </c>
      <c r="AD69" s="2017">
        <f>IFERROR(Diario_Documentos_TPL[[#This Row],[Total Pasivo
(MX)]]/Diario_Documentos_TPL[[#This Row],[Total Pasivo
(USD)]],0)</f>
        <v>18.9315</v>
      </c>
      <c r="AE69" s="1969">
        <v>140001354</v>
      </c>
      <c r="AF69" s="1968">
        <v>43091</v>
      </c>
      <c r="AG69" s="1967">
        <f>Diario_Documentos_TPL[[#This Row],[Total de Pago
(USD)]]/1.16</f>
        <v>419348.75862068968</v>
      </c>
      <c r="AH69" s="1966">
        <f>Diario_Documentos_TPL[[#This Row],[Importe de Pago
(USD)]]*0.16</f>
        <v>67095.801379310346</v>
      </c>
      <c r="AI69" s="1966">
        <f>Diario_Documentos_TPL[[#This Row],[Total Pasivo
(USD)]]</f>
        <v>486444.56</v>
      </c>
      <c r="AJ69" s="1966">
        <f>Diario_Documentos_TPL[[#This Row],[Total de Pago
(MX)]]/1.16</f>
        <v>8063699.2143931035</v>
      </c>
      <c r="AK69" s="1966">
        <f>Diario_Documentos_TPL[[#This Row],[Importe de Pago
(MX)]]*0.16</f>
        <v>1290191.8743028967</v>
      </c>
      <c r="AL69" s="1966">
        <f>Diario_Documentos_TPL[[#This Row],[Total de Pago
(USD)]]*Diario_Documentos_TPL[[#This Row],[T.C Pago]]</f>
        <v>9353891.0886959992</v>
      </c>
      <c r="AM69" s="2018">
        <v>19.229099999999999</v>
      </c>
      <c r="AN69" s="1975"/>
      <c r="AO69" s="1975"/>
      <c r="AP69" s="1975">
        <f>Diario_Documentos_TPL[[#This Row],[Importe de Pago
(MX)]]-Diario_Documentos_TPL[[#This Row],[Importe Pasivo
(MX)]]</f>
        <v>124798.19056551624</v>
      </c>
      <c r="AQ69" s="1975">
        <f>Diario_Documentos_TPL[[#This Row],[Total_Paridad]]-Diario_Documentos_TPL[[#This Row],[Subtotal_Paridad]]</f>
        <v>19967.710490482859</v>
      </c>
      <c r="AR69" s="1964">
        <f>Diario_Documentos_TPL[[#This Row],[Total de Pago
(MX)]]-Diario_Documentos_TPL[[#This Row],[Total Pasivo
(MX)]]</f>
        <v>144765.9010559991</v>
      </c>
      <c r="AS69" s="1980"/>
      <c r="AT69" s="1980"/>
      <c r="AU69" s="1980"/>
      <c r="AV69" s="1980"/>
    </row>
    <row r="70" spans="1:48" ht="14.25" hidden="1" customHeight="1" x14ac:dyDescent="0.25">
      <c r="A70" s="1969" t="s">
        <v>598</v>
      </c>
      <c r="B70" s="1969">
        <v>4326979</v>
      </c>
      <c r="C70" s="1969">
        <v>800832451</v>
      </c>
      <c r="D70" s="1969"/>
      <c r="E70" s="1969" t="s">
        <v>632</v>
      </c>
      <c r="F70" s="1969" t="s">
        <v>599</v>
      </c>
      <c r="G70" s="1969" t="s">
        <v>628</v>
      </c>
      <c r="H70" s="1969" t="str">
        <f>VLOOKUP(Diario_Documentos_TPL[[#This Row],[Centro Gestor]],Catalogo_Centro_Gestor[],2,FALSE)</f>
        <v>Gas. Corredor Chihuahua</v>
      </c>
      <c r="I70" s="1969">
        <v>2502</v>
      </c>
      <c r="J70" s="1972">
        <f>IF(YEAR(Diario_Documentos_TPL[[#This Row],[Fecha de Pago]])=1900, "SIN PAGO",YEAR(Diario_Documentos_TPL[[#This Row],[Fecha de Pago]]))</f>
        <v>2017</v>
      </c>
      <c r="K70" s="1973">
        <v>2017</v>
      </c>
      <c r="L70" s="1972">
        <f>IF(MONTH(Diario_Documentos_TPL[[#This Row],[Fecha de Pago]])=0, "SIN PAGO",MONTH(Diario_Documentos_TPL[[#This Row],[Fecha de Pago]]))</f>
        <v>12</v>
      </c>
      <c r="M70" s="1971">
        <v>11</v>
      </c>
      <c r="N70" s="1971" t="str">
        <f>VLOOKUP(Diario_Documentos_TPL[[#This Row],[Periodo del Servicio]],'Tablas (2)'!$L$3:$M$14,2,FALSE)</f>
        <v>NOVIEMBRE</v>
      </c>
      <c r="O70" s="1971" t="s">
        <v>650</v>
      </c>
      <c r="P70" s="1971" t="s">
        <v>340</v>
      </c>
      <c r="Q70" s="1971" t="s">
        <v>165</v>
      </c>
      <c r="R70" s="1969" t="s">
        <v>343</v>
      </c>
      <c r="S70" s="1969">
        <v>453857</v>
      </c>
      <c r="T70" s="1969" t="s">
        <v>629</v>
      </c>
      <c r="U70" s="1969" t="s">
        <v>221</v>
      </c>
      <c r="V70" s="1969">
        <v>180001070</v>
      </c>
      <c r="W70" s="1970">
        <v>43080</v>
      </c>
      <c r="X70" s="1966">
        <f>Diario_Documentos_TPL[[#This Row],[Total Pasivo
(USD)]]/1.16</f>
        <v>4240081.9655172415</v>
      </c>
      <c r="Y70" s="1966">
        <f>Diario_Documentos_TPL[[#This Row],[Importe Pasivo
(USD)]]*0.16</f>
        <v>678413.11448275868</v>
      </c>
      <c r="Z70" s="1966">
        <v>4918495.08</v>
      </c>
      <c r="AA70" s="1966">
        <f>Diario_Documentos_TPL[[#This Row],[Total Pasivo
(MX)]]/1.16</f>
        <v>80271111.730189666</v>
      </c>
      <c r="AB70" s="1966">
        <f>Diario_Documentos_TPL[[#This Row],[Importe Pasivo
(MX)]]*0.16</f>
        <v>12843377.876830347</v>
      </c>
      <c r="AC70" s="1966">
        <v>93114489.607020006</v>
      </c>
      <c r="AD70" s="2017">
        <f>IFERROR(Diario_Documentos_TPL[[#This Row],[Total Pasivo
(MX)]]/Diario_Documentos_TPL[[#This Row],[Total Pasivo
(USD)]],0)</f>
        <v>18.9315</v>
      </c>
      <c r="AE70" s="1969">
        <v>140001354</v>
      </c>
      <c r="AF70" s="1968">
        <v>43091</v>
      </c>
      <c r="AG70" s="1967">
        <f>Diario_Documentos_TPL[[#This Row],[Total de Pago
(USD)]]/1.16</f>
        <v>4240081.9655172415</v>
      </c>
      <c r="AH70" s="1966">
        <f>Diario_Documentos_TPL[[#This Row],[Importe de Pago
(USD)]]*0.16</f>
        <v>678413.11448275868</v>
      </c>
      <c r="AI70" s="1966">
        <f>Diario_Documentos_TPL[[#This Row],[Total Pasivo
(USD)]]</f>
        <v>4918495.08</v>
      </c>
      <c r="AJ70" s="1966">
        <f>Diario_Documentos_TPL[[#This Row],[Total de Pago
(MX)]]/1.16</f>
        <v>81532960.123127595</v>
      </c>
      <c r="AK70" s="1966">
        <f>Diario_Documentos_TPL[[#This Row],[Importe de Pago
(MX)]]*0.16</f>
        <v>13045273.619700415</v>
      </c>
      <c r="AL70" s="1966">
        <f>Diario_Documentos_TPL[[#This Row],[Total de Pago
(USD)]]*Diario_Documentos_TPL[[#This Row],[T.C Pago]]</f>
        <v>94578233.742827997</v>
      </c>
      <c r="AM70" s="2018">
        <v>19.229099999999999</v>
      </c>
      <c r="AN70" s="1975"/>
      <c r="AO70" s="1975"/>
      <c r="AP70" s="1975">
        <f>Diario_Documentos_TPL[[#This Row],[Importe de Pago
(MX)]]-Diario_Documentos_TPL[[#This Row],[Importe Pasivo
(MX)]]</f>
        <v>1261848.3929379284</v>
      </c>
      <c r="AQ70" s="1975">
        <f>Diario_Documentos_TPL[[#This Row],[Total_Paridad]]-Diario_Documentos_TPL[[#This Row],[Subtotal_Paridad]]</f>
        <v>201895.74287006259</v>
      </c>
      <c r="AR70" s="1964">
        <f>Diario_Documentos_TPL[[#This Row],[Total de Pago
(MX)]]-Diario_Documentos_TPL[[#This Row],[Total Pasivo
(MX)]]</f>
        <v>1463744.135807991</v>
      </c>
      <c r="AS70" s="1980"/>
      <c r="AT70" s="1980"/>
      <c r="AU70" s="1980"/>
      <c r="AV70" s="1980"/>
    </row>
    <row r="71" spans="1:48" ht="14.25" hidden="1" customHeight="1" x14ac:dyDescent="0.25">
      <c r="A71" s="1969" t="s">
        <v>598</v>
      </c>
      <c r="B71" s="1969">
        <v>4326979</v>
      </c>
      <c r="C71" s="1969">
        <v>800832773</v>
      </c>
      <c r="D71" s="1969"/>
      <c r="E71" s="1969" t="s">
        <v>632</v>
      </c>
      <c r="F71" s="1969" t="s">
        <v>599</v>
      </c>
      <c r="G71" s="1969" t="s">
        <v>628</v>
      </c>
      <c r="H71" s="1969" t="str">
        <f>VLOOKUP(Diario_Documentos_TPL[[#This Row],[Centro Gestor]],Catalogo_Centro_Gestor[],2,FALSE)</f>
        <v>Gas. Corredor Chihuahua</v>
      </c>
      <c r="I71" s="1969" t="s">
        <v>630</v>
      </c>
      <c r="J71" s="1972">
        <f>IF(YEAR(Diario_Documentos_TPL[[#This Row],[Fecha de Pago]])=1900, "SIN PAGO",YEAR(Diario_Documentos_TPL[[#This Row],[Fecha de Pago]]))</f>
        <v>2017</v>
      </c>
      <c r="K71" s="1973">
        <v>2017</v>
      </c>
      <c r="L71" s="1972">
        <f>IF(MONTH(Diario_Documentos_TPL[[#This Row],[Fecha de Pago]])=0, "SIN PAGO",MONTH(Diario_Documentos_TPL[[#This Row],[Fecha de Pago]]))</f>
        <v>12</v>
      </c>
      <c r="M71" s="1971">
        <v>11</v>
      </c>
      <c r="N71" s="1971" t="str">
        <f>VLOOKUP(Diario_Documentos_TPL[[#This Row],[Periodo del Servicio]],'Tablas (2)'!$L$3:$M$14,2,FALSE)</f>
        <v>NOVIEMBRE</v>
      </c>
      <c r="O71" s="1971" t="s">
        <v>650</v>
      </c>
      <c r="P71" s="1971" t="s">
        <v>470</v>
      </c>
      <c r="Q71" s="1971" t="s">
        <v>165</v>
      </c>
      <c r="R71" s="1969" t="s">
        <v>646</v>
      </c>
      <c r="S71" s="1969">
        <v>453858</v>
      </c>
      <c r="T71" s="1969" t="s">
        <v>629</v>
      </c>
      <c r="U71" s="1969" t="s">
        <v>221</v>
      </c>
      <c r="V71" s="1969">
        <v>180001072</v>
      </c>
      <c r="W71" s="1970">
        <v>43080</v>
      </c>
      <c r="X71" s="1966">
        <f>Diario_Documentos_TPL[[#This Row],[Total Pasivo
(USD)]]/1.16</f>
        <v>2094.0172413793102</v>
      </c>
      <c r="Y71" s="1966">
        <f>Diario_Documentos_TPL[[#This Row],[Importe Pasivo
(USD)]]*0.16</f>
        <v>335.04275862068965</v>
      </c>
      <c r="Z71" s="1966">
        <v>2429.06</v>
      </c>
      <c r="AA71" s="1966">
        <f>Diario_Documentos_TPL[[#This Row],[Total Pasivo
(MX)]]/1.16</f>
        <v>39642.887405172412</v>
      </c>
      <c r="AB71" s="1966">
        <f>Diario_Documentos_TPL[[#This Row],[Importe Pasivo
(MX)]]*0.16</f>
        <v>6342.8619848275857</v>
      </c>
      <c r="AC71" s="1966">
        <v>45985.749389999997</v>
      </c>
      <c r="AD71" s="2017">
        <f>IFERROR(Diario_Documentos_TPL[[#This Row],[Total Pasivo
(MX)]]/Diario_Documentos_TPL[[#This Row],[Total Pasivo
(USD)]],0)</f>
        <v>18.9315</v>
      </c>
      <c r="AE71" s="1969">
        <v>140001354</v>
      </c>
      <c r="AF71" s="1968">
        <v>43091</v>
      </c>
      <c r="AG71" s="1966">
        <f>Diario_Documentos_TPL[[#This Row],[Total de Pago
(USD)]]/1.16</f>
        <v>2094.0172413793102</v>
      </c>
      <c r="AH71" s="1966">
        <f>Diario_Documentos_TPL[[#This Row],[Importe de Pago
(USD)]]*0.16</f>
        <v>335.04275862068965</v>
      </c>
      <c r="AI71" s="1966">
        <f>Diario_Documentos_TPL[[#This Row],[Total Pasivo
(USD)]]</f>
        <v>2429.06</v>
      </c>
      <c r="AJ71" s="1966">
        <f>Diario_Documentos_TPL[[#This Row],[Total de Pago
(MX)]]/1.16</f>
        <v>40266.066936206895</v>
      </c>
      <c r="AK71" s="1966">
        <f>Diario_Documentos_TPL[[#This Row],[Importe de Pago
(MX)]]*0.16</f>
        <v>6442.5707097931036</v>
      </c>
      <c r="AL71" s="1966">
        <f>Diario_Documentos_TPL[[#This Row],[Total de Pago
(USD)]]*Diario_Documentos_TPL[[#This Row],[T.C Pago]]</f>
        <v>46708.637645999996</v>
      </c>
      <c r="AM71" s="2018">
        <v>19.229099999999999</v>
      </c>
      <c r="AN71" s="1975"/>
      <c r="AO71" s="1975"/>
      <c r="AP71" s="1975">
        <f>Diario_Documentos_TPL[[#This Row],[Importe de Pago
(MX)]]-Diario_Documentos_TPL[[#This Row],[Importe Pasivo
(MX)]]</f>
        <v>623.17953103448235</v>
      </c>
      <c r="AQ71" s="1975">
        <f>Diario_Documentos_TPL[[#This Row],[Total_Paridad]]-Diario_Documentos_TPL[[#This Row],[Subtotal_Paridad]]</f>
        <v>99.708724965516012</v>
      </c>
      <c r="AR71" s="1964">
        <f>Diario_Documentos_TPL[[#This Row],[Total de Pago
(MX)]]-Diario_Documentos_TPL[[#This Row],[Total Pasivo
(MX)]]</f>
        <v>722.88825599999836</v>
      </c>
      <c r="AS71" s="1980"/>
      <c r="AT71" s="1980"/>
      <c r="AU71" s="1980"/>
      <c r="AV71" s="1980"/>
    </row>
    <row r="72" spans="1:48" ht="14.25" hidden="1" customHeight="1" x14ac:dyDescent="0.25">
      <c r="A72" s="1969" t="s">
        <v>598</v>
      </c>
      <c r="B72" s="1969">
        <v>4326979</v>
      </c>
      <c r="C72" s="1969">
        <v>800832451</v>
      </c>
      <c r="D72" s="1969"/>
      <c r="E72" s="1969" t="s">
        <v>632</v>
      </c>
      <c r="F72" s="1969" t="s">
        <v>599</v>
      </c>
      <c r="G72" s="1969" t="s">
        <v>628</v>
      </c>
      <c r="H72" s="1969" t="str">
        <f>VLOOKUP(Diario_Documentos_TPL[[#This Row],[Centro Gestor]],Catalogo_Centro_Gestor[],2,FALSE)</f>
        <v>Gas. Corredor Chihuahua</v>
      </c>
      <c r="I72" s="1969">
        <v>2502</v>
      </c>
      <c r="J72" s="1972">
        <f>IF(YEAR(Diario_Documentos_TPL[[#This Row],[Fecha de Pago]])=1900, "SIN PAGO",YEAR(Diario_Documentos_TPL[[#This Row],[Fecha de Pago]]))</f>
        <v>2017</v>
      </c>
      <c r="K72" s="1973">
        <v>2017</v>
      </c>
      <c r="L72" s="1972">
        <f>IF(MONTH(Diario_Documentos_TPL[[#This Row],[Fecha de Pago]])=0, "SIN PAGO",MONTH(Diario_Documentos_TPL[[#This Row],[Fecha de Pago]]))</f>
        <v>11</v>
      </c>
      <c r="M72" s="1971">
        <v>10</v>
      </c>
      <c r="N72" s="1971" t="str">
        <f>VLOOKUP(Diario_Documentos_TPL[[#This Row],[Periodo del Servicio]],'Tablas (2)'!$L$3:$M$14,2,FALSE)</f>
        <v>OCTUBRE</v>
      </c>
      <c r="O72" s="1971" t="s">
        <v>649</v>
      </c>
      <c r="P72" s="1971" t="s">
        <v>340</v>
      </c>
      <c r="Q72" s="1971" t="s">
        <v>165</v>
      </c>
      <c r="R72" s="1969" t="s">
        <v>343</v>
      </c>
      <c r="S72" s="1969">
        <v>453857</v>
      </c>
      <c r="T72" s="1969" t="s">
        <v>629</v>
      </c>
      <c r="U72" s="1969" t="s">
        <v>221</v>
      </c>
      <c r="V72" s="1969">
        <v>180000529</v>
      </c>
      <c r="W72" s="1970">
        <v>43052</v>
      </c>
      <c r="X72" s="1966">
        <f>Diario_Documentos_TPL[[#This Row],[Total Pasivo
(USD)]]/1.16</f>
        <v>419348.76</v>
      </c>
      <c r="Y72" s="1966">
        <f>Diario_Documentos_TPL[[#This Row],[Importe Pasivo
(USD)]]*0.16</f>
        <v>67095.801600000006</v>
      </c>
      <c r="Z72" s="1966">
        <v>486444.56159999996</v>
      </c>
      <c r="AA72" s="1966">
        <f>Diario_Documentos_TPL[[#This Row],[Total Pasivo
(MX)]]/1.16</f>
        <v>6901179.1624137936</v>
      </c>
      <c r="AB72" s="1966">
        <f>Diario_Documentos_TPL[[#This Row],[Importe Pasivo
(MX)]]*0.16</f>
        <v>1104188.6659862071</v>
      </c>
      <c r="AC72" s="1966">
        <v>8005367.8284</v>
      </c>
      <c r="AD72" s="2017">
        <f>IFERROR(Diario_Documentos_TPL[[#This Row],[Total Pasivo
(MX)]]/Diario_Documentos_TPL[[#This Row],[Total Pasivo
(USD)]],0)</f>
        <v>16.456896551724139</v>
      </c>
      <c r="AE72" s="1969">
        <v>140000942</v>
      </c>
      <c r="AF72" s="1968">
        <v>43069</v>
      </c>
      <c r="AG72" s="1967">
        <f>Diario_Documentos_TPL[[#This Row],[Total de Pago
(USD)]]/1.16</f>
        <v>419348.76</v>
      </c>
      <c r="AH72" s="1966">
        <f>Diario_Documentos_TPL[[#This Row],[Importe de Pago
(USD)]]*0.16</f>
        <v>67095.801600000006</v>
      </c>
      <c r="AI72" s="1966">
        <f>Diario_Documentos_TPL[[#This Row],[Total Pasivo
(USD)]]</f>
        <v>486444.56159999996</v>
      </c>
      <c r="AJ72" s="1966">
        <f>Diario_Documentos_TPL[[#This Row],[Total de Pago
(MX)]]/1.16</f>
        <v>7793512.8348479997</v>
      </c>
      <c r="AK72" s="1966">
        <f>Diario_Documentos_TPL[[#This Row],[Importe de Pago
(MX)]]*0.16</f>
        <v>1246962.0535756799</v>
      </c>
      <c r="AL72" s="1966">
        <f>Diario_Documentos_TPL[[#This Row],[Total de Pago
(USD)]]*Diario_Documentos_TPL[[#This Row],[T.C Pago]]</f>
        <v>9040474.8884236794</v>
      </c>
      <c r="AM72" s="2017">
        <v>18.584800000000001</v>
      </c>
      <c r="AN72" s="1965"/>
      <c r="AO72" s="1965"/>
      <c r="AP72" s="1965">
        <f>Diario_Documentos_TPL[[#This Row],[Importe de Pago
(MX)]]-Diario_Documentos_TPL[[#This Row],[Importe Pasivo
(MX)]]</f>
        <v>892333.67243420612</v>
      </c>
      <c r="AQ72" s="1965">
        <f>Diario_Documentos_TPL[[#This Row],[Total_Paridad]]-Diario_Documentos_TPL[[#This Row],[Subtotal_Paridad]]</f>
        <v>142773.38758947328</v>
      </c>
      <c r="AR72" s="1964">
        <f>Diario_Documentos_TPL[[#This Row],[Total de Pago
(MX)]]-Diario_Documentos_TPL[[#This Row],[Total Pasivo
(MX)]]</f>
        <v>1035107.0600236794</v>
      </c>
      <c r="AS72" s="1980"/>
      <c r="AT72" s="1980"/>
      <c r="AU72" s="1980"/>
      <c r="AV72" s="1980"/>
    </row>
    <row r="73" spans="1:48" ht="14.25" hidden="1" customHeight="1" x14ac:dyDescent="0.25">
      <c r="A73" s="1969" t="s">
        <v>598</v>
      </c>
      <c r="B73" s="1969">
        <v>4326979</v>
      </c>
      <c r="C73" s="1969">
        <v>800832451</v>
      </c>
      <c r="D73" s="1969"/>
      <c r="E73" s="1969" t="s">
        <v>632</v>
      </c>
      <c r="F73" s="1969" t="s">
        <v>599</v>
      </c>
      <c r="G73" s="1969" t="s">
        <v>628</v>
      </c>
      <c r="H73" s="1969" t="str">
        <f>VLOOKUP(Diario_Documentos_TPL[[#This Row],[Centro Gestor]],Catalogo_Centro_Gestor[],2,FALSE)</f>
        <v>Gas. Corredor Chihuahua</v>
      </c>
      <c r="I73" s="1969">
        <v>2502</v>
      </c>
      <c r="J73" s="1972">
        <f>IF(YEAR(Diario_Documentos_TPL[[#This Row],[Fecha de Pago]])=1900, "SIN PAGO",YEAR(Diario_Documentos_TPL[[#This Row],[Fecha de Pago]]))</f>
        <v>2017</v>
      </c>
      <c r="K73" s="1973">
        <v>2017</v>
      </c>
      <c r="L73" s="1972">
        <f>IF(MONTH(Diario_Documentos_TPL[[#This Row],[Fecha de Pago]])=0, "SIN PAGO",MONTH(Diario_Documentos_TPL[[#This Row],[Fecha de Pago]]))</f>
        <v>11</v>
      </c>
      <c r="M73" s="1971">
        <v>10</v>
      </c>
      <c r="N73" s="1971" t="str">
        <f>VLOOKUP(Diario_Documentos_TPL[[#This Row],[Periodo del Servicio]],'Tablas (2)'!$L$3:$M$14,2,FALSE)</f>
        <v>OCTUBRE</v>
      </c>
      <c r="O73" s="1971" t="s">
        <v>649</v>
      </c>
      <c r="P73" s="1971" t="s">
        <v>483</v>
      </c>
      <c r="Q73" s="1971" t="s">
        <v>165</v>
      </c>
      <c r="R73" s="1969" t="s">
        <v>343</v>
      </c>
      <c r="S73" s="1969">
        <v>453857</v>
      </c>
      <c r="T73" s="1969" t="s">
        <v>629</v>
      </c>
      <c r="U73" s="1969" t="s">
        <v>221</v>
      </c>
      <c r="V73" s="1969">
        <v>180000528</v>
      </c>
      <c r="W73" s="1970">
        <v>43052</v>
      </c>
      <c r="X73" s="1966">
        <f>Diario_Documentos_TPL[[#This Row],[Total Pasivo
(USD)]]/1.16</f>
        <v>4240081.96</v>
      </c>
      <c r="Y73" s="1966">
        <f>Diario_Documentos_TPL[[#This Row],[Importe Pasivo
(USD)]]*0.16</f>
        <v>678413.11360000004</v>
      </c>
      <c r="Z73" s="1966">
        <v>4918495.0735999998</v>
      </c>
      <c r="AA73" s="1966">
        <f>Diario_Documentos_TPL[[#This Row],[Total Pasivo
(MX)]]/1.16</f>
        <v>69778590.186551735</v>
      </c>
      <c r="AB73" s="1966">
        <f>Diario_Documentos_TPL[[#This Row],[Importe Pasivo
(MX)]]*0.16</f>
        <v>11164574.429848278</v>
      </c>
      <c r="AC73" s="1966">
        <v>80943164.616400003</v>
      </c>
      <c r="AD73" s="2017">
        <f>IFERROR(Diario_Documentos_TPL[[#This Row],[Total Pasivo
(MX)]]/Diario_Documentos_TPL[[#This Row],[Total Pasivo
(USD)]],0)</f>
        <v>16.456896551724139</v>
      </c>
      <c r="AE73" s="1969">
        <v>140000942</v>
      </c>
      <c r="AF73" s="1968">
        <v>43069</v>
      </c>
      <c r="AG73" s="1967">
        <f>Diario_Documentos_TPL[[#This Row],[Total de Pago
(USD)]]/1.16</f>
        <v>4240081.96</v>
      </c>
      <c r="AH73" s="1966">
        <f>Diario_Documentos_TPL[[#This Row],[Importe de Pago
(USD)]]*0.16</f>
        <v>678413.11360000004</v>
      </c>
      <c r="AI73" s="1966">
        <f>Diario_Documentos_TPL[[#This Row],[Total Pasivo
(USD)]]</f>
        <v>4918495.0735999998</v>
      </c>
      <c r="AJ73" s="1966">
        <f>Diario_Documentos_TPL[[#This Row],[Total de Pago
(MX)]]/1.16</f>
        <v>78801075.210207999</v>
      </c>
      <c r="AK73" s="1966">
        <f>Diario_Documentos_TPL[[#This Row],[Importe de Pago
(MX)]]*0.16</f>
        <v>12608172.033633281</v>
      </c>
      <c r="AL73" s="1966">
        <f>Diario_Documentos_TPL[[#This Row],[Total de Pago
(USD)]]*Diario_Documentos_TPL[[#This Row],[T.C Pago]]</f>
        <v>91409247.243841276</v>
      </c>
      <c r="AM73" s="2017">
        <v>18.584800000000001</v>
      </c>
      <c r="AN73" s="1965"/>
      <c r="AO73" s="1965"/>
      <c r="AP73" s="1965">
        <f>Diario_Documentos_TPL[[#This Row],[Importe de Pago
(MX)]]-Diario_Documentos_TPL[[#This Row],[Importe Pasivo
(MX)]]</f>
        <v>9022485.0236562639</v>
      </c>
      <c r="AQ73" s="1965">
        <f>Diario_Documentos_TPL[[#This Row],[Total_Paridad]]-Diario_Documentos_TPL[[#This Row],[Subtotal_Paridad]]</f>
        <v>1443597.6037850082</v>
      </c>
      <c r="AR73" s="1964">
        <f>Diario_Documentos_TPL[[#This Row],[Total de Pago
(MX)]]-Diario_Documentos_TPL[[#This Row],[Total Pasivo
(MX)]]</f>
        <v>10466082.627441272</v>
      </c>
      <c r="AS73" s="1980"/>
      <c r="AT73" s="1980"/>
      <c r="AU73" s="1980"/>
      <c r="AV73" s="1980"/>
    </row>
    <row r="74" spans="1:48" ht="14.25" hidden="1" customHeight="1" x14ac:dyDescent="0.25">
      <c r="A74" s="1969" t="s">
        <v>598</v>
      </c>
      <c r="B74" s="1969">
        <v>4326979</v>
      </c>
      <c r="C74" s="1969">
        <v>800832773</v>
      </c>
      <c r="D74" s="1969"/>
      <c r="E74" s="1969" t="s">
        <v>632</v>
      </c>
      <c r="F74" s="1969" t="s">
        <v>599</v>
      </c>
      <c r="G74" s="1969" t="s">
        <v>628</v>
      </c>
      <c r="H74" s="1969" t="str">
        <f>VLOOKUP(Diario_Documentos_TPL[[#This Row],[Centro Gestor]],Catalogo_Centro_Gestor[],2,FALSE)</f>
        <v>Gas. Corredor Chihuahua</v>
      </c>
      <c r="I74" s="1969">
        <v>2502</v>
      </c>
      <c r="J74" s="1972">
        <f>IF(YEAR(Diario_Documentos_TPL[[#This Row],[Fecha de Pago]])=1900, "SIN PAGO",YEAR(Diario_Documentos_TPL[[#This Row],[Fecha de Pago]]))</f>
        <v>2017</v>
      </c>
      <c r="K74" s="1973">
        <v>2017</v>
      </c>
      <c r="L74" s="1972">
        <f>IF(MONTH(Diario_Documentos_TPL[[#This Row],[Fecha de Pago]])=0, "SIN PAGO",MONTH(Diario_Documentos_TPL[[#This Row],[Fecha de Pago]]))</f>
        <v>11</v>
      </c>
      <c r="M74" s="1971">
        <v>10</v>
      </c>
      <c r="N74" s="1971" t="str">
        <f>VLOOKUP(Diario_Documentos_TPL[[#This Row],[Periodo del Servicio]],'Tablas (2)'!$L$3:$M$14,2,FALSE)</f>
        <v>OCTUBRE</v>
      </c>
      <c r="O74" s="1971" t="s">
        <v>649</v>
      </c>
      <c r="P74" s="1971" t="s">
        <v>470</v>
      </c>
      <c r="Q74" s="1971" t="s">
        <v>165</v>
      </c>
      <c r="R74" s="1969" t="s">
        <v>646</v>
      </c>
      <c r="S74" s="1969">
        <v>453858</v>
      </c>
      <c r="T74" s="1969" t="s">
        <v>629</v>
      </c>
      <c r="U74" s="1969" t="s">
        <v>221</v>
      </c>
      <c r="V74" s="1969">
        <v>180000533</v>
      </c>
      <c r="W74" s="1970">
        <v>43052</v>
      </c>
      <c r="X74" s="1966">
        <f>Diario_Documentos_TPL[[#This Row],[Total Pasivo
(USD)]]/1.16</f>
        <v>716.9</v>
      </c>
      <c r="Y74" s="1966">
        <f>Diario_Documentos_TPL[[#This Row],[Importe Pasivo
(USD)]]*0.16</f>
        <v>114.70399999999999</v>
      </c>
      <c r="Z74" s="1966">
        <v>831.60399999999993</v>
      </c>
      <c r="AA74" s="1966">
        <f>Diario_Documentos_TPL[[#This Row],[Total Pasivo
(MX)]]/1.16</f>
        <v>11797.949137931035</v>
      </c>
      <c r="AB74" s="1966">
        <f>Diario_Documentos_TPL[[#This Row],[Importe Pasivo
(MX)]]*0.16</f>
        <v>1887.6718620689655</v>
      </c>
      <c r="AC74" s="1966">
        <v>13685.620999999999</v>
      </c>
      <c r="AD74" s="2017">
        <f>IFERROR(Diario_Documentos_TPL[[#This Row],[Total Pasivo
(MX)]]/Diario_Documentos_TPL[[#This Row],[Total Pasivo
(USD)]],0)</f>
        <v>16.456896551724139</v>
      </c>
      <c r="AE74" s="1969">
        <v>140000942</v>
      </c>
      <c r="AF74" s="1968">
        <v>43069</v>
      </c>
      <c r="AG74" s="1966">
        <f>Diario_Documentos_TPL[[#This Row],[Total de Pago
(USD)]]/1.16</f>
        <v>716.9</v>
      </c>
      <c r="AH74" s="1966">
        <f>Diario_Documentos_TPL[[#This Row],[Importe de Pago
(USD)]]*0.16</f>
        <v>114.70399999999999</v>
      </c>
      <c r="AI74" s="1966">
        <f>Diario_Documentos_TPL[[#This Row],[Total Pasivo
(USD)]]</f>
        <v>831.60399999999993</v>
      </c>
      <c r="AJ74" s="1966">
        <f>Diario_Documentos_TPL[[#This Row],[Total de Pago
(MX)]]/1.16</f>
        <v>13323.443120000002</v>
      </c>
      <c r="AK74" s="1966">
        <f>Diario_Documentos_TPL[[#This Row],[Importe de Pago
(MX)]]*0.16</f>
        <v>2131.7508992000003</v>
      </c>
      <c r="AL74" s="1966">
        <f>Diario_Documentos_TPL[[#This Row],[Total de Pago
(USD)]]*Diario_Documentos_TPL[[#This Row],[T.C Pago]]</f>
        <v>15455.1940192</v>
      </c>
      <c r="AM74" s="2017">
        <v>18.584800000000001</v>
      </c>
      <c r="AN74" s="1965"/>
      <c r="AO74" s="1965"/>
      <c r="AP74" s="1965">
        <f>Diario_Documentos_TPL[[#This Row],[Importe de Pago
(MX)]]-Diario_Documentos_TPL[[#This Row],[Importe Pasivo
(MX)]]</f>
        <v>1525.4939820689669</v>
      </c>
      <c r="AQ74" s="1965">
        <f>Diario_Documentos_TPL[[#This Row],[Total_Paridad]]-Diario_Documentos_TPL[[#This Row],[Subtotal_Paridad]]</f>
        <v>244.07903713103406</v>
      </c>
      <c r="AR74" s="1964">
        <f>Diario_Documentos_TPL[[#This Row],[Total de Pago
(MX)]]-Diario_Documentos_TPL[[#This Row],[Total Pasivo
(MX)]]</f>
        <v>1769.573019200001</v>
      </c>
      <c r="AS74" s="1980"/>
      <c r="AT74" s="1980"/>
      <c r="AU74" s="1980"/>
      <c r="AV74" s="1980"/>
    </row>
    <row r="75" spans="1:48" ht="14.25" hidden="1" customHeight="1" x14ac:dyDescent="0.25">
      <c r="A75" s="1969" t="s">
        <v>598</v>
      </c>
      <c r="B75" s="1969">
        <v>4326979</v>
      </c>
      <c r="C75" s="1969">
        <v>800832451</v>
      </c>
      <c r="D75" s="1969"/>
      <c r="E75" s="1969" t="s">
        <v>632</v>
      </c>
      <c r="F75" s="1969" t="s">
        <v>599</v>
      </c>
      <c r="G75" s="1969" t="s">
        <v>628</v>
      </c>
      <c r="H75" s="1969" t="str">
        <f>VLOOKUP(Diario_Documentos_TPL[[#This Row],[Centro Gestor]],Catalogo_Centro_Gestor[],2,FALSE)</f>
        <v>Gas. Corredor Chihuahua</v>
      </c>
      <c r="I75" s="1969">
        <v>2502</v>
      </c>
      <c r="J75" s="1972">
        <f>IF(YEAR(Diario_Documentos_TPL[[#This Row],[Fecha de Pago]])=1900, "SIN PAGO",YEAR(Diario_Documentos_TPL[[#This Row],[Fecha de Pago]]))</f>
        <v>2017</v>
      </c>
      <c r="K75" s="1973">
        <v>2017</v>
      </c>
      <c r="L75" s="1972">
        <f>IF(MONTH(Diario_Documentos_TPL[[#This Row],[Fecha de Pago]])=0, "SIN PAGO",MONTH(Diario_Documentos_TPL[[#This Row],[Fecha de Pago]]))</f>
        <v>10</v>
      </c>
      <c r="M75" s="1971">
        <v>9</v>
      </c>
      <c r="N75" s="1971" t="str">
        <f>VLOOKUP(Diario_Documentos_TPL[[#This Row],[Periodo del Servicio]],'Tablas (2)'!$L$3:$M$14,2,FALSE)</f>
        <v>SEPTIEMBRE</v>
      </c>
      <c r="O75" s="1971" t="s">
        <v>648</v>
      </c>
      <c r="P75" s="1971" t="s">
        <v>483</v>
      </c>
      <c r="Q75" s="1971" t="s">
        <v>165</v>
      </c>
      <c r="R75" s="1969" t="s">
        <v>343</v>
      </c>
      <c r="S75" s="1969">
        <v>453857</v>
      </c>
      <c r="T75" s="1969" t="s">
        <v>629</v>
      </c>
      <c r="U75" s="1969" t="s">
        <v>221</v>
      </c>
      <c r="V75" s="1969">
        <v>180000078</v>
      </c>
      <c r="W75" s="1970">
        <v>43013</v>
      </c>
      <c r="X75" s="1966">
        <f>Diario_Documentos_TPL[[#This Row],[Total Pasivo
(USD)]]/1.16</f>
        <v>4659430.72</v>
      </c>
      <c r="Y75" s="1966">
        <f>Diario_Documentos_TPL[[#This Row],[Importe Pasivo
(USD)]]*0.16</f>
        <v>745508.91519999993</v>
      </c>
      <c r="Z75" s="1966">
        <v>5404939.6351999994</v>
      </c>
      <c r="AA75" s="1966">
        <f>Diario_Documentos_TPL[[#This Row],[Total Pasivo
(MX)]]/1.16</f>
        <v>73150250.578565523</v>
      </c>
      <c r="AB75" s="1966">
        <f>Diario_Documentos_TPL[[#This Row],[Importe Pasivo
(MX)]]*0.16</f>
        <v>11704040.092570484</v>
      </c>
      <c r="AC75" s="1966">
        <v>84854290.671136007</v>
      </c>
      <c r="AD75" s="2017">
        <f>IFERROR(Diario_Documentos_TPL[[#This Row],[Total Pasivo
(MX)]]/Diario_Documentos_TPL[[#This Row],[Total Pasivo
(USD)]],0)</f>
        <v>15.69939655172414</v>
      </c>
      <c r="AE75" s="1969">
        <v>140000420</v>
      </c>
      <c r="AF75" s="1968">
        <v>43032</v>
      </c>
      <c r="AG75" s="1967">
        <f>Diario_Documentos_TPL[[#This Row],[Total de Pago
(USD)]]/1.16</f>
        <v>4659430.72</v>
      </c>
      <c r="AH75" s="1966">
        <f>Diario_Documentos_TPL[[#This Row],[Importe de Pago
(USD)]]*0.16</f>
        <v>745508.91519999993</v>
      </c>
      <c r="AI75" s="1966">
        <f>Diario_Documentos_TPL[[#This Row],[Total Pasivo
(USD)]]</f>
        <v>5404939.6351999994</v>
      </c>
      <c r="AJ75" s="1966">
        <f>Diario_Documentos_TPL[[#This Row],[Total de Pago
(MX)]]/1.16</f>
        <v>88566459.125760004</v>
      </c>
      <c r="AK75" s="1966">
        <f>Diario_Documentos_TPL[[#This Row],[Importe de Pago
(MX)]]*0.16</f>
        <v>14170633.460121602</v>
      </c>
      <c r="AL75" s="1966">
        <f>Diario_Documentos_TPL[[#This Row],[Total de Pago
(USD)]]*Diario_Documentos_TPL[[#This Row],[T.C Pago]]</f>
        <v>102737092.58588159</v>
      </c>
      <c r="AM75" s="2017">
        <v>19.007999999999999</v>
      </c>
      <c r="AN75" s="1965"/>
      <c r="AO75" s="1965"/>
      <c r="AP75" s="1965">
        <f>Diario_Documentos_TPL[[#This Row],[Importe de Pago
(MX)]]-Diario_Documentos_TPL[[#This Row],[Importe Pasivo
(MX)]]</f>
        <v>15416208.547194481</v>
      </c>
      <c r="AQ75" s="1965">
        <f>Diario_Documentos_TPL[[#This Row],[Total_Paridad]]-Diario_Documentos_TPL[[#This Row],[Subtotal_Paridad]]</f>
        <v>2466593.3675511032</v>
      </c>
      <c r="AR75" s="1964">
        <f>Diario_Documentos_TPL[[#This Row],[Total de Pago
(MX)]]-Diario_Documentos_TPL[[#This Row],[Total Pasivo
(MX)]]</f>
        <v>17882801.914745584</v>
      </c>
      <c r="AS75" s="1980"/>
      <c r="AT75" s="1980"/>
      <c r="AU75" s="1980"/>
      <c r="AV75" s="1980"/>
    </row>
    <row r="76" spans="1:48" ht="14.25" hidden="1" customHeight="1" x14ac:dyDescent="0.25">
      <c r="A76" s="1969" t="s">
        <v>598</v>
      </c>
      <c r="B76" s="1969">
        <v>4326979</v>
      </c>
      <c r="C76" s="1969">
        <v>800832773</v>
      </c>
      <c r="D76" s="1969"/>
      <c r="E76" s="1969" t="s">
        <v>632</v>
      </c>
      <c r="F76" s="1969" t="s">
        <v>599</v>
      </c>
      <c r="G76" s="1969" t="s">
        <v>628</v>
      </c>
      <c r="H76" s="1969" t="str">
        <f>VLOOKUP(Diario_Documentos_TPL[[#This Row],[Centro Gestor]],Catalogo_Centro_Gestor[],2,FALSE)</f>
        <v>Gas. Corredor Chihuahua</v>
      </c>
      <c r="I76" s="1969">
        <v>2502</v>
      </c>
      <c r="J76" s="1972">
        <f>IF(YEAR(Diario_Documentos_TPL[[#This Row],[Fecha de Pago]])=1900, "SIN PAGO",YEAR(Diario_Documentos_TPL[[#This Row],[Fecha de Pago]]))</f>
        <v>2017</v>
      </c>
      <c r="K76" s="1973">
        <v>2017</v>
      </c>
      <c r="L76" s="1972">
        <f>IF(MONTH(Diario_Documentos_TPL[[#This Row],[Fecha de Pago]])=0, "SIN PAGO",MONTH(Diario_Documentos_TPL[[#This Row],[Fecha de Pago]]))</f>
        <v>10</v>
      </c>
      <c r="M76" s="1971">
        <v>9</v>
      </c>
      <c r="N76" s="1971" t="str">
        <f>VLOOKUP(Diario_Documentos_TPL[[#This Row],[Periodo del Servicio]],'Tablas (2)'!$L$3:$M$14,2,FALSE)</f>
        <v>SEPTIEMBRE</v>
      </c>
      <c r="O76" s="1971" t="s">
        <v>648</v>
      </c>
      <c r="P76" s="1971" t="s">
        <v>483</v>
      </c>
      <c r="Q76" s="1971" t="s">
        <v>165</v>
      </c>
      <c r="R76" s="1969" t="s">
        <v>646</v>
      </c>
      <c r="S76" s="1969">
        <v>453858</v>
      </c>
      <c r="T76" s="1969" t="s">
        <v>629</v>
      </c>
      <c r="U76" s="1969" t="s">
        <v>221</v>
      </c>
      <c r="V76" s="1969">
        <v>180000079</v>
      </c>
      <c r="W76" s="1970">
        <v>43013</v>
      </c>
      <c r="X76" s="1966">
        <f>Diario_Documentos_TPL[[#This Row],[Total Pasivo
(USD)]]/1.16</f>
        <v>1540.1</v>
      </c>
      <c r="Y76" s="1966">
        <f>Diario_Documentos_TPL[[#This Row],[Importe Pasivo
(USD)]]*0.16</f>
        <v>246.416</v>
      </c>
      <c r="Z76" s="1966">
        <v>1786.5159999999998</v>
      </c>
      <c r="AA76" s="1966">
        <f>Diario_Documentos_TPL[[#This Row],[Total Pasivo
(MX)]]/1.16</f>
        <v>24178.64062931035</v>
      </c>
      <c r="AB76" s="1966">
        <f>Diario_Documentos_TPL[[#This Row],[Importe Pasivo
(MX)]]*0.16</f>
        <v>3868.5825006896562</v>
      </c>
      <c r="AC76" s="1966">
        <v>28047.223130000002</v>
      </c>
      <c r="AD76" s="2017">
        <f>IFERROR(Diario_Documentos_TPL[[#This Row],[Total Pasivo
(MX)]]/Diario_Documentos_TPL[[#This Row],[Total Pasivo
(USD)]],0)</f>
        <v>15.69939655172414</v>
      </c>
      <c r="AE76" s="1969">
        <v>140000420</v>
      </c>
      <c r="AF76" s="1968">
        <v>43032</v>
      </c>
      <c r="AG76" s="1966">
        <f>Diario_Documentos_TPL[[#This Row],[Total de Pago
(USD)]]/1.16</f>
        <v>1540.1</v>
      </c>
      <c r="AH76" s="1966">
        <f>Diario_Documentos_TPL[[#This Row],[Importe de Pago
(USD)]]*0.16</f>
        <v>246.416</v>
      </c>
      <c r="AI76" s="1966">
        <f>Diario_Documentos_TPL[[#This Row],[Total Pasivo
(USD)]]</f>
        <v>1786.5159999999998</v>
      </c>
      <c r="AJ76" s="1966">
        <f>Diario_Documentos_TPL[[#This Row],[Total de Pago
(MX)]]/1.16</f>
        <v>29274.220799999999</v>
      </c>
      <c r="AK76" s="1966">
        <f>Diario_Documentos_TPL[[#This Row],[Importe de Pago
(MX)]]*0.16</f>
        <v>4683.8753280000001</v>
      </c>
      <c r="AL76" s="1966">
        <f>Diario_Documentos_TPL[[#This Row],[Total de Pago
(USD)]]*Diario_Documentos_TPL[[#This Row],[T.C Pago]]</f>
        <v>33958.096127999997</v>
      </c>
      <c r="AM76" s="2017">
        <v>19.007999999999999</v>
      </c>
      <c r="AN76" s="1965"/>
      <c r="AO76" s="1965"/>
      <c r="AP76" s="1965">
        <f>Diario_Documentos_TPL[[#This Row],[Importe de Pago
(MX)]]-Diario_Documentos_TPL[[#This Row],[Importe Pasivo
(MX)]]</f>
        <v>5095.5801706896491</v>
      </c>
      <c r="AQ76" s="1965">
        <f>Diario_Documentos_TPL[[#This Row],[Total_Paridad]]-Diario_Documentos_TPL[[#This Row],[Subtotal_Paridad]]</f>
        <v>815.29282731034618</v>
      </c>
      <c r="AR76" s="1964">
        <f>Diario_Documentos_TPL[[#This Row],[Total de Pago
(MX)]]-Diario_Documentos_TPL[[#This Row],[Total Pasivo
(MX)]]</f>
        <v>5910.8729979999953</v>
      </c>
      <c r="AS76" s="1980"/>
      <c r="AT76" s="1980"/>
      <c r="AU76" s="1980"/>
      <c r="AV76" s="1980"/>
    </row>
    <row r="77" spans="1:48" ht="14.25" hidden="1" customHeight="1" x14ac:dyDescent="0.25">
      <c r="A77" s="1969" t="s">
        <v>598</v>
      </c>
      <c r="B77" s="1969">
        <v>4326979</v>
      </c>
      <c r="C77" s="1969">
        <v>800832451</v>
      </c>
      <c r="D77" s="1969"/>
      <c r="E77" s="1969" t="s">
        <v>632</v>
      </c>
      <c r="F77" s="1969" t="s">
        <v>599</v>
      </c>
      <c r="G77" s="1969" t="s">
        <v>628</v>
      </c>
      <c r="H77" s="1969" t="str">
        <f>VLOOKUP(Diario_Documentos_TPL[[#This Row],[Centro Gestor]],Catalogo_Centro_Gestor[],2,FALSE)</f>
        <v>Gas. Corredor Chihuahua</v>
      </c>
      <c r="I77" s="1969" t="s">
        <v>630</v>
      </c>
      <c r="J77" s="1973">
        <f>IF(YEAR(Diario_Documentos_TPL[[#This Row],[Fecha de Pago]])=1900, "SIN PAGO",YEAR(Diario_Documentos_TPL[[#This Row],[Fecha de Pago]]))</f>
        <v>2018</v>
      </c>
      <c r="K77" s="1971">
        <v>2018</v>
      </c>
      <c r="L77" s="1973">
        <f>IF(MONTH(Diario_Documentos_TPL[[#This Row],[Fecha de Pago]])=0, "SIN PAGO",MONTH(Diario_Documentos_TPL[[#This Row],[Fecha de Pago]]))</f>
        <v>5</v>
      </c>
      <c r="M77" s="1971">
        <v>4</v>
      </c>
      <c r="N77" s="1971" t="str">
        <f>VLOOKUP(Diario_Documentos_TPL[[#This Row],[Periodo del Servicio]],'Tablas (2)'!$L$3:$M$14,2,FALSE)</f>
        <v>ABRIL</v>
      </c>
      <c r="O77" s="1971" t="s">
        <v>642</v>
      </c>
      <c r="P77" s="1971" t="s">
        <v>340</v>
      </c>
      <c r="Q77" s="1971" t="s">
        <v>165</v>
      </c>
      <c r="R77" s="1969">
        <v>2233</v>
      </c>
      <c r="S77" s="1969">
        <v>453882</v>
      </c>
      <c r="T77" s="1969" t="s">
        <v>629</v>
      </c>
      <c r="U77" s="1969" t="s">
        <v>221</v>
      </c>
      <c r="V77" s="1969">
        <v>180001643</v>
      </c>
      <c r="W77" s="1970">
        <v>43231</v>
      </c>
      <c r="X77" s="1966">
        <f>Diario_Documentos_TPL[[#This Row],[Total Pasivo
(USD)]]/1.16</f>
        <v>4240081.9655172415</v>
      </c>
      <c r="Y77" s="1966">
        <f>Diario_Documentos_TPL[[#This Row],[Importe Pasivo
(USD)]]*0.16</f>
        <v>678413.11448275868</v>
      </c>
      <c r="Z77" s="1966">
        <v>4918495.08</v>
      </c>
      <c r="AA77" s="1966">
        <f>Diario_Documentos_TPL[[#This Row],[Total Pasivo
(MX)]]/1.16</f>
        <v>82845689.5</v>
      </c>
      <c r="AB77" s="1966">
        <f>Diario_Documentos_TPL[[#This Row],[Importe Pasivo
(MX)]]*0.16</f>
        <v>13255310.32</v>
      </c>
      <c r="AC77" s="1966">
        <v>96100999.819999993</v>
      </c>
      <c r="AD77" s="2017">
        <f>IFERROR(Diario_Documentos_TPL[[#This Row],[Total Pasivo
(MX)]]/Diario_Documentos_TPL[[#This Row],[Total Pasivo
(USD)]],0)</f>
        <v>19.538700000082137</v>
      </c>
      <c r="AE77" s="1969">
        <v>140002815</v>
      </c>
      <c r="AF77" s="1968">
        <v>43249</v>
      </c>
      <c r="AG77" s="1967">
        <f>Diario_Documentos_TPL[[#This Row],[Total de Pago
(USD)]]/1.16</f>
        <v>4240081.9655172415</v>
      </c>
      <c r="AH77" s="1966">
        <f>Diario_Documentos_TPL[[#This Row],[Importe de Pago
(USD)]]*0.16</f>
        <v>678413.11448275868</v>
      </c>
      <c r="AI77" s="1966">
        <f>Diario_Documentos_TPL[[#This Row],[Total Pasivo
(USD)]]</f>
        <v>4918495.08</v>
      </c>
      <c r="AJ77" s="1966">
        <f>ROUND(Diario_Documentos_TPL[[#This Row],[Total de Pago
(MX)]]/1.16,2)</f>
        <v>82939395.310000002</v>
      </c>
      <c r="AK77" s="1966">
        <f>Diario_Documentos_TPL[[#This Row],[Importe de Pago
(MX)]]*0.16</f>
        <v>13270303.249600001</v>
      </c>
      <c r="AL77" s="1966">
        <f>ROUND(Diario_Documentos_TPL[[#This Row],[Total de Pago
(USD)]]*Diario_Documentos_TPL[[#This Row],[T.C Pago]],2)</f>
        <v>96209698.560000002</v>
      </c>
      <c r="AM77" s="2018">
        <v>19.5608</v>
      </c>
      <c r="AN77" s="1975"/>
      <c r="AO77" s="1975"/>
      <c r="AP77" s="1975">
        <f>Diario_Documentos_TPL[[#This Row],[Importe de Pago
(MX)]]-Diario_Documentos_TPL[[#This Row],[Importe Pasivo
(MX)]]</f>
        <v>93705.810000002384</v>
      </c>
      <c r="AQ77" s="1975">
        <f>Diario_Documentos_TPL[[#This Row],[Total_Paridad]]-Diario_Documentos_TPL[[#This Row],[Subtotal_Paridad]]</f>
        <v>14992.930000007153</v>
      </c>
      <c r="AR77" s="1964">
        <f>Diario_Documentos_TPL[[#This Row],[Total de Pago
(MX)]]-Diario_Documentos_TPL[[#This Row],[Total Pasivo
(MX)]]</f>
        <v>108698.74000000954</v>
      </c>
      <c r="AS77" s="1980"/>
      <c r="AT77" s="1980"/>
      <c r="AU77" s="1980"/>
      <c r="AV77" s="1980"/>
    </row>
    <row r="78" spans="1:48" ht="14.25" hidden="1" customHeight="1" x14ac:dyDescent="0.25">
      <c r="A78" s="1969" t="s">
        <v>598</v>
      </c>
      <c r="B78" s="1969">
        <v>4326979</v>
      </c>
      <c r="C78" s="1969">
        <v>800832451</v>
      </c>
      <c r="D78" s="1969"/>
      <c r="E78" s="1969" t="s">
        <v>632</v>
      </c>
      <c r="F78" s="1969" t="s">
        <v>599</v>
      </c>
      <c r="G78" s="1969" t="s">
        <v>628</v>
      </c>
      <c r="H78" s="1969" t="str">
        <f>VLOOKUP(Diario_Documentos_TPL[[#This Row],[Centro Gestor]],Catalogo_Centro_Gestor[],2,FALSE)</f>
        <v>CC NORTE II</v>
      </c>
      <c r="I78" s="1969" t="s">
        <v>630</v>
      </c>
      <c r="J78" s="1973">
        <f>IF(YEAR(Diario_Documentos_TPL[[#This Row],[Fecha de Pago]])=1900, "SIN PAGO",YEAR(Diario_Documentos_TPL[[#This Row],[Fecha de Pago]]))</f>
        <v>2018</v>
      </c>
      <c r="K78" s="1971">
        <v>2018</v>
      </c>
      <c r="L78" s="1973">
        <f>IF(MONTH(Diario_Documentos_TPL[[#This Row],[Fecha de Pago]])=0, "SIN PAGO",MONTH(Diario_Documentos_TPL[[#This Row],[Fecha de Pago]]))</f>
        <v>5</v>
      </c>
      <c r="M78" s="1971">
        <v>4</v>
      </c>
      <c r="N78" s="1971" t="str">
        <f>VLOOKUP(Diario_Documentos_TPL[[#This Row],[Periodo del Servicio]],'Tablas (2)'!$L$3:$M$14,2,FALSE)</f>
        <v>ABRIL</v>
      </c>
      <c r="O78" s="1971" t="s">
        <v>642</v>
      </c>
      <c r="P78" s="1971" t="s">
        <v>340</v>
      </c>
      <c r="Q78" s="1971" t="s">
        <v>165</v>
      </c>
      <c r="R78" s="1969">
        <v>7249</v>
      </c>
      <c r="S78" s="1969">
        <v>468079</v>
      </c>
      <c r="T78" s="1969" t="s">
        <v>629</v>
      </c>
      <c r="U78" s="1969" t="s">
        <v>238</v>
      </c>
      <c r="V78" s="1969">
        <v>180001644</v>
      </c>
      <c r="W78" s="1970">
        <v>43231</v>
      </c>
      <c r="X78" s="1966">
        <f>Diario_Documentos_TPL[[#This Row],[Total Pasivo
(USD)]]/1.16</f>
        <v>419348.75862068968</v>
      </c>
      <c r="Y78" s="1966">
        <f>Diario_Documentos_TPL[[#This Row],[Importe Pasivo
(USD)]]*0.16</f>
        <v>67095.801379310346</v>
      </c>
      <c r="Z78" s="1966">
        <v>486444.56</v>
      </c>
      <c r="AA78" s="1966">
        <f>Diario_Documentos_TPL[[#This Row],[Total Pasivo
(MX)]]/1.16</f>
        <v>8193529.5900620688</v>
      </c>
      <c r="AB78" s="1966">
        <f>Diario_Documentos_TPL[[#This Row],[Importe Pasivo
(MX)]]*0.16</f>
        <v>1310964.7344099311</v>
      </c>
      <c r="AC78" s="1966">
        <f>Diario_Documentos_TPL[[#This Row],[Total Pasivo
(USD)]]* 19.5387</f>
        <v>9504494.324471999</v>
      </c>
      <c r="AD78" s="2017">
        <f>IFERROR(Diario_Documentos_TPL[[#This Row],[Total Pasivo
(MX)]]/Diario_Documentos_TPL[[#This Row],[Total Pasivo
(USD)]],0)</f>
        <v>19.538699999999999</v>
      </c>
      <c r="AE78" s="1969">
        <v>140002815</v>
      </c>
      <c r="AF78" s="1968">
        <v>43249</v>
      </c>
      <c r="AG78" s="1967">
        <f>Diario_Documentos_TPL[[#This Row],[Total de Pago
(USD)]]/1.16</f>
        <v>419348.75862068968</v>
      </c>
      <c r="AH78" s="1966">
        <f>Diario_Documentos_TPL[[#This Row],[Importe de Pago
(USD)]]*0.16</f>
        <v>67095.801379310346</v>
      </c>
      <c r="AI78" s="1966">
        <f>Diario_Documentos_TPL[[#This Row],[Total Pasivo
(USD)]]</f>
        <v>486444.56</v>
      </c>
      <c r="AJ78" s="1966">
        <f>ROUND(Diario_Documentos_TPL[[#This Row],[Total de Pago
(MX)]]/1.16,2)</f>
        <v>8202797.2000000002</v>
      </c>
      <c r="AK78" s="1966">
        <f>Diario_Documentos_TPL[[#This Row],[Importe de Pago
(MX)]]*0.16</f>
        <v>1312447.5520000001</v>
      </c>
      <c r="AL78" s="1966">
        <f>ROUND(Diario_Documentos_TPL[[#This Row],[Total de Pago
(USD)]]*Diario_Documentos_TPL[[#This Row],[T.C Pago]],2)</f>
        <v>9515244.75</v>
      </c>
      <c r="AM78" s="2018">
        <v>19.5608</v>
      </c>
      <c r="AN78" s="1975"/>
      <c r="AO78" s="1975"/>
      <c r="AP78" s="1975">
        <f>Diario_Documentos_TPL[[#This Row],[Importe de Pago
(MX)]]-Diario_Documentos_TPL[[#This Row],[Importe Pasivo
(MX)]]</f>
        <v>9267.609937931411</v>
      </c>
      <c r="AQ78" s="1975">
        <f>Diario_Documentos_TPL[[#This Row],[Total_Paridad]]-Diario_Documentos_TPL[[#This Row],[Subtotal_Paridad]]</f>
        <v>1482.8155900696293</v>
      </c>
      <c r="AR78" s="1964">
        <f>Diario_Documentos_TPL[[#This Row],[Total de Pago
(MX)]]-Diario_Documentos_TPL[[#This Row],[Total Pasivo
(MX)]]</f>
        <v>10750.42552800104</v>
      </c>
      <c r="AS78" s="1980"/>
      <c r="AT78" s="1980"/>
      <c r="AU78" s="1980"/>
      <c r="AV78" s="1980"/>
    </row>
    <row r="79" spans="1:48" ht="14.25" hidden="1" customHeight="1" x14ac:dyDescent="0.25">
      <c r="A79" s="1969" t="s">
        <v>598</v>
      </c>
      <c r="B79" s="1969">
        <v>4326979</v>
      </c>
      <c r="C79" s="1969">
        <v>800832773</v>
      </c>
      <c r="D79" s="1969"/>
      <c r="E79" s="1969" t="s">
        <v>632</v>
      </c>
      <c r="F79" s="1969" t="s">
        <v>599</v>
      </c>
      <c r="G79" s="1969" t="s">
        <v>628</v>
      </c>
      <c r="H79" s="1969" t="str">
        <f>VLOOKUP(Diario_Documentos_TPL[[#This Row],[Centro Gestor]],Catalogo_Centro_Gestor[],2,FALSE)</f>
        <v>CC NORTE II</v>
      </c>
      <c r="I79" s="1969" t="s">
        <v>630</v>
      </c>
      <c r="J79" s="1973">
        <f>IF(YEAR(Diario_Documentos_TPL[[#This Row],[Fecha de Pago]])=1900, "SIN PAGO",YEAR(Diario_Documentos_TPL[[#This Row],[Fecha de Pago]]))</f>
        <v>2018</v>
      </c>
      <c r="K79" s="1971">
        <v>2018</v>
      </c>
      <c r="L79" s="1973">
        <f>IF(MONTH(Diario_Documentos_TPL[[#This Row],[Fecha de Pago]])=0, "SIN PAGO",MONTH(Diario_Documentos_TPL[[#This Row],[Fecha de Pago]]))</f>
        <v>5</v>
      </c>
      <c r="M79" s="1971">
        <v>4</v>
      </c>
      <c r="N79" s="1971" t="str">
        <f>VLOOKUP(Diario_Documentos_TPL[[#This Row],[Periodo del Servicio]],'Tablas (2)'!$L$3:$M$14,2,FALSE)</f>
        <v>ABRIL</v>
      </c>
      <c r="O79" s="1971" t="s">
        <v>642</v>
      </c>
      <c r="P79" s="1971" t="s">
        <v>470</v>
      </c>
      <c r="Q79" s="1971" t="s">
        <v>165</v>
      </c>
      <c r="R79" s="1969">
        <v>7237</v>
      </c>
      <c r="S79" s="1969">
        <v>468074</v>
      </c>
      <c r="T79" s="1969" t="s">
        <v>629</v>
      </c>
      <c r="U79" s="1969" t="s">
        <v>238</v>
      </c>
      <c r="V79" s="1969">
        <v>180001645</v>
      </c>
      <c r="W79" s="1970">
        <v>43231</v>
      </c>
      <c r="X79" s="1966">
        <f>Diario_Documentos_TPL[[#This Row],[Total Pasivo
(USD)]]/1.16</f>
        <v>2165.7068965517242</v>
      </c>
      <c r="Y79" s="1966">
        <f>Diario_Documentos_TPL[[#This Row],[Importe Pasivo
(USD)]]*0.16</f>
        <v>346.5131034482759</v>
      </c>
      <c r="Z79" s="1966">
        <v>2512.2199999999998</v>
      </c>
      <c r="AA79" s="1966">
        <f>Diario_Documentos_TPL[[#This Row],[Total Pasivo
(MX)]]/1.16</f>
        <v>42315.09482758621</v>
      </c>
      <c r="AB79" s="1966">
        <f>Diario_Documentos_TPL[[#This Row],[Importe Pasivo
(MX)]]*0.16</f>
        <v>6770.4151724137937</v>
      </c>
      <c r="AC79" s="1966">
        <v>49085.51</v>
      </c>
      <c r="AD79" s="2017">
        <f>IFERROR(Diario_Documentos_TPL[[#This Row],[Total Pasivo
(MX)]]/Diario_Documentos_TPL[[#This Row],[Total Pasivo
(USD)]],0)</f>
        <v>19.538698840069742</v>
      </c>
      <c r="AE79" s="1969">
        <v>140002815</v>
      </c>
      <c r="AF79" s="1968">
        <v>43249</v>
      </c>
      <c r="AG79" s="1967">
        <f>Diario_Documentos_TPL[[#This Row],[Total de Pago
(USD)]]/1.16</f>
        <v>2165.7068965517242</v>
      </c>
      <c r="AH79" s="1966">
        <f>Diario_Documentos_TPL[[#This Row],[Importe de Pago
(USD)]]*0.16</f>
        <v>346.5131034482759</v>
      </c>
      <c r="AI79" s="1966">
        <f>Diario_Documentos_TPL[[#This Row],[Total Pasivo
(USD)]]</f>
        <v>2512.2199999999998</v>
      </c>
      <c r="AJ79" s="1966">
        <f>ROUND(Diario_Documentos_TPL[[#This Row],[Total de Pago
(MX)]]/1.16,2)</f>
        <v>42362.96</v>
      </c>
      <c r="AK79" s="1966">
        <f>Diario_Documentos_TPL[[#This Row],[Importe de Pago
(MX)]]*0.16</f>
        <v>6778.0735999999997</v>
      </c>
      <c r="AL79" s="1966">
        <f>ROUND(Diario_Documentos_TPL[[#This Row],[Total de Pago
(USD)]]*Diario_Documentos_TPL[[#This Row],[T.C Pago]],2)</f>
        <v>49141.03</v>
      </c>
      <c r="AM79" s="2018">
        <v>19.5608</v>
      </c>
      <c r="AN79" s="1975"/>
      <c r="AO79" s="1975"/>
      <c r="AP79" s="1975">
        <f>Diario_Documentos_TPL[[#This Row],[Importe de Pago
(MX)]]-Diario_Documentos_TPL[[#This Row],[Importe Pasivo
(MX)]]</f>
        <v>47.865172413788969</v>
      </c>
      <c r="AQ79" s="1975">
        <f>Diario_Documentos_TPL[[#This Row],[Total_Paridad]]-Diario_Documentos_TPL[[#This Row],[Subtotal_Paridad]]</f>
        <v>7.6548275862078299</v>
      </c>
      <c r="AR79" s="1964">
        <f>Diario_Documentos_TPL[[#This Row],[Total de Pago
(MX)]]-Diario_Documentos_TPL[[#This Row],[Total Pasivo
(MX)]]</f>
        <v>55.519999999996799</v>
      </c>
      <c r="AS79" s="1980"/>
      <c r="AT79" s="1980"/>
      <c r="AU79" s="1980"/>
      <c r="AV79" s="1980"/>
    </row>
    <row r="80" spans="1:48" ht="14.25" hidden="1" customHeight="1" x14ac:dyDescent="0.25">
      <c r="A80" s="1969" t="s">
        <v>598</v>
      </c>
      <c r="B80" s="1969">
        <v>4326979</v>
      </c>
      <c r="C80" s="1969">
        <v>800832451</v>
      </c>
      <c r="D80" s="1969"/>
      <c r="E80" s="1969" t="s">
        <v>632</v>
      </c>
      <c r="F80" s="1969" t="s">
        <v>599</v>
      </c>
      <c r="G80" s="1969" t="s">
        <v>628</v>
      </c>
      <c r="H80" s="1969" t="str">
        <f>VLOOKUP(Diario_Documentos_TPL[[#This Row],[Centro Gestor]],Catalogo_Centro_Gestor[],2,FALSE)</f>
        <v>Gas. Corredor Chihuahua</v>
      </c>
      <c r="I80" s="1969" t="s">
        <v>630</v>
      </c>
      <c r="J80" s="1973">
        <f>IF(YEAR(Diario_Documentos_TPL[[#This Row],[Fecha de Pago]])=1900, "SIN PAGO",YEAR(Diario_Documentos_TPL[[#This Row],[Fecha de Pago]]))</f>
        <v>2018</v>
      </c>
      <c r="K80" s="1971">
        <v>2018</v>
      </c>
      <c r="L80" s="1973">
        <f>IF(MONTH(Diario_Documentos_TPL[[#This Row],[Fecha de Pago]])=0, "SIN PAGO",MONTH(Diario_Documentos_TPL[[#This Row],[Fecha de Pago]]))</f>
        <v>9</v>
      </c>
      <c r="M80" s="1971">
        <v>8</v>
      </c>
      <c r="N80" s="1971" t="str">
        <f>VLOOKUP(Diario_Documentos_TPL[[#This Row],[Periodo del Servicio]],'Tablas (2)'!$L$3:$M$14,2,FALSE)</f>
        <v>AGOSTO</v>
      </c>
      <c r="O80" s="1971" t="s">
        <v>291</v>
      </c>
      <c r="P80" s="1971" t="s">
        <v>340</v>
      </c>
      <c r="Q80" s="1971" t="s">
        <v>165</v>
      </c>
      <c r="R80" s="1969">
        <v>2233</v>
      </c>
      <c r="S80" s="1969">
        <v>453851</v>
      </c>
      <c r="T80" s="1969" t="s">
        <v>629</v>
      </c>
      <c r="U80" s="1969" t="s">
        <v>221</v>
      </c>
      <c r="V80" s="1969">
        <v>180003707</v>
      </c>
      <c r="W80" s="1970">
        <v>43353</v>
      </c>
      <c r="X80" s="1966">
        <f>Diario_Documentos_TPL[[#This Row],[Total Pasivo
(USD)]]/1.16</f>
        <v>4193487.6800000006</v>
      </c>
      <c r="Y80" s="1966">
        <f>Diario_Documentos_TPL[[#This Row],[Importe Pasivo
(USD)]]*0.16</f>
        <v>670958.02880000009</v>
      </c>
      <c r="Z80" s="1966">
        <f>4193487.68*1.16</f>
        <v>4864445.7088000001</v>
      </c>
      <c r="AA80" s="1966">
        <f>Diario_Documentos_TPL[[#This Row],[Total Pasivo
(MX)]]/1.16</f>
        <v>81163276.651328012</v>
      </c>
      <c r="AB80" s="1966">
        <f>Diario_Documentos_TPL[[#This Row],[Importe Pasivo
(MX)]]*0.16</f>
        <v>12986124.264212482</v>
      </c>
      <c r="AC80" s="1966">
        <v>94149400.915540487</v>
      </c>
      <c r="AD80" s="2017">
        <f>IFERROR(Diario_Documentos_TPL[[#This Row],[Total Pasivo
(MX)]]/Diario_Documentos_TPL[[#This Row],[Total Pasivo
(USD)]],0)</f>
        <v>19.354600000000001</v>
      </c>
      <c r="AE80" s="1969">
        <v>140005105</v>
      </c>
      <c r="AF80" s="1970">
        <v>43369</v>
      </c>
      <c r="AG80" s="1967">
        <f>Diario_Documentos_TPL[[#This Row],[Total de Pago
(USD)]]/1.16</f>
        <v>4193487.6800000006</v>
      </c>
      <c r="AH80" s="1966">
        <f>Diario_Documentos_TPL[[#This Row],[Importe de Pago
(USD)]]*0.16</f>
        <v>670958.02880000009</v>
      </c>
      <c r="AI80" s="1966">
        <f>Diario_Documentos_TPL[[#This Row],[Total Pasivo
(USD)]]</f>
        <v>4864445.7088000001</v>
      </c>
      <c r="AJ80" s="1966">
        <f>ROUND(Diario_Documentos_TPL[[#This Row],[Total de Pago
(MX)]]/1.16,2)</f>
        <v>79053952.340000004</v>
      </c>
      <c r="AK80" s="1966">
        <f>Diario_Documentos_TPL[[#This Row],[Importe de Pago
(MX)]]*0.16</f>
        <v>12648632.374400001</v>
      </c>
      <c r="AL80" s="1966">
        <f>ROUND(Diario_Documentos_TPL[[#This Row],[Total de Pago
(USD)]]*Diario_Documentos_TPL[[#This Row],[T.C Pago]],2)</f>
        <v>91702584.719999999</v>
      </c>
      <c r="AM80" s="2018">
        <v>18.851600000000001</v>
      </c>
      <c r="AN80" s="1975"/>
      <c r="AO80" s="1975"/>
      <c r="AP80" s="1975">
        <f>Diario_Documentos_TPL[[#This Row],[Importe de Pago
(MX)]]-Diario_Documentos_TPL[[#This Row],[Importe Pasivo
(MX)]]</f>
        <v>-2109324.3113280088</v>
      </c>
      <c r="AQ80" s="1975">
        <f>Diario_Documentos_TPL[[#This Row],[Total_Paridad]]-Diario_Documentos_TPL[[#This Row],[Subtotal_Paridad]]</f>
        <v>-337491.884212479</v>
      </c>
      <c r="AR80" s="1964">
        <f>Diario_Documentos_TPL[[#This Row],[Total de Pago
(MX)]]-Diario_Documentos_TPL[[#This Row],[Total Pasivo
(MX)]]</f>
        <v>-2446816.1955404878</v>
      </c>
      <c r="AS80" s="1980"/>
      <c r="AT80" s="1980"/>
      <c r="AU80" s="1980"/>
      <c r="AV80" s="1980"/>
    </row>
    <row r="81" spans="1:48" ht="14.25" hidden="1" customHeight="1" x14ac:dyDescent="0.25">
      <c r="A81" s="1969" t="s">
        <v>598</v>
      </c>
      <c r="B81" s="1969">
        <v>4326979</v>
      </c>
      <c r="C81" s="1969">
        <v>800832451</v>
      </c>
      <c r="D81" s="1969"/>
      <c r="E81" s="1969" t="s">
        <v>632</v>
      </c>
      <c r="F81" s="1969" t="s">
        <v>599</v>
      </c>
      <c r="G81" s="1969" t="s">
        <v>628</v>
      </c>
      <c r="H81" s="1969" t="str">
        <f>VLOOKUP(Diario_Documentos_TPL[[#This Row],[Centro Gestor]],Catalogo_Centro_Gestor[],2,FALSE)</f>
        <v>CC NORTE II</v>
      </c>
      <c r="I81" s="1969" t="s">
        <v>630</v>
      </c>
      <c r="J81" s="1973">
        <f>IF(YEAR(Diario_Documentos_TPL[[#This Row],[Fecha de Pago]])=1900, "SIN PAGO",YEAR(Diario_Documentos_TPL[[#This Row],[Fecha de Pago]]))</f>
        <v>2018</v>
      </c>
      <c r="K81" s="1971">
        <v>2018</v>
      </c>
      <c r="L81" s="1973">
        <f>IF(MONTH(Diario_Documentos_TPL[[#This Row],[Fecha de Pago]])=0, "SIN PAGO",MONTH(Diario_Documentos_TPL[[#This Row],[Fecha de Pago]]))</f>
        <v>9</v>
      </c>
      <c r="M81" s="1971">
        <v>8</v>
      </c>
      <c r="N81" s="1971" t="str">
        <f>VLOOKUP(Diario_Documentos_TPL[[#This Row],[Periodo del Servicio]],'Tablas (2)'!$L$3:$M$14,2,FALSE)</f>
        <v>AGOSTO</v>
      </c>
      <c r="O81" s="1971" t="s">
        <v>291</v>
      </c>
      <c r="P81" s="1971" t="s">
        <v>340</v>
      </c>
      <c r="Q81" s="1971" t="s">
        <v>165</v>
      </c>
      <c r="R81" s="1969">
        <v>7249</v>
      </c>
      <c r="S81" s="1969">
        <v>468079</v>
      </c>
      <c r="T81" s="1969" t="s">
        <v>629</v>
      </c>
      <c r="U81" s="1969" t="s">
        <v>238</v>
      </c>
      <c r="V81" s="1969">
        <v>180003708</v>
      </c>
      <c r="W81" s="1970">
        <v>43353</v>
      </c>
      <c r="X81" s="1966">
        <f>Diario_Documentos_TPL[[#This Row],[Total Pasivo
(USD)]]/1.16</f>
        <v>465943.06896551722</v>
      </c>
      <c r="Y81" s="1966">
        <f>Diario_Documentos_TPL[[#This Row],[Importe Pasivo
(USD)]]*0.16</f>
        <v>74550.89103448276</v>
      </c>
      <c r="Z81" s="1966">
        <v>540493.96</v>
      </c>
      <c r="AA81" s="1966">
        <f>Diario_Documentos_TPL[[#This Row],[Total Pasivo
(MX)]]/1.16</f>
        <v>9018141.7226</v>
      </c>
      <c r="AB81" s="1966">
        <f>Diario_Documentos_TPL[[#This Row],[Importe Pasivo
(MX)]]*0.16</f>
        <v>1442902.6756160001</v>
      </c>
      <c r="AC81" s="1966">
        <v>10461044.398216</v>
      </c>
      <c r="AD81" s="2017">
        <f>IFERROR(Diario_Documentos_TPL[[#This Row],[Total Pasivo
(MX)]]/Diario_Documentos_TPL[[#This Row],[Total Pasivo
(USD)]],0)</f>
        <v>19.354600000000001</v>
      </c>
      <c r="AE81" s="1969">
        <v>140005105</v>
      </c>
      <c r="AF81" s="1970">
        <v>43369</v>
      </c>
      <c r="AG81" s="1967">
        <f>Diario_Documentos_TPL[[#This Row],[Total de Pago
(USD)]]/1.16</f>
        <v>465943.06896551722</v>
      </c>
      <c r="AH81" s="1966">
        <f>Diario_Documentos_TPL[[#This Row],[Importe de Pago
(USD)]]*0.16</f>
        <v>74550.89103448276</v>
      </c>
      <c r="AI81" s="1966">
        <f>Diario_Documentos_TPL[[#This Row],[Total Pasivo
(USD)]]</f>
        <v>540493.96</v>
      </c>
      <c r="AJ81" s="1966">
        <f>ROUND(Diario_Documentos_TPL[[#This Row],[Total de Pago
(MX)]]/1.16,2)</f>
        <v>8783772.3599999994</v>
      </c>
      <c r="AK81" s="1966">
        <f>Diario_Documentos_TPL[[#This Row],[Importe de Pago
(MX)]]*0.16</f>
        <v>1405403.5776</v>
      </c>
      <c r="AL81" s="1966">
        <f>ROUND(Diario_Documentos_TPL[[#This Row],[Total de Pago
(USD)]]*Diario_Documentos_TPL[[#This Row],[T.C Pago]],2)</f>
        <v>10189175.939999999</v>
      </c>
      <c r="AM81" s="2018">
        <v>18.851600000000001</v>
      </c>
      <c r="AN81" s="1975"/>
      <c r="AO81" s="1975"/>
      <c r="AP81" s="1975">
        <f>Diario_Documentos_TPL[[#This Row],[Importe de Pago
(MX)]]-Diario_Documentos_TPL[[#This Row],[Importe Pasivo
(MX)]]</f>
        <v>-234369.36260000058</v>
      </c>
      <c r="AQ81" s="1975">
        <f>Diario_Documentos_TPL[[#This Row],[Total_Paridad]]-Diario_Documentos_TPL[[#This Row],[Subtotal_Paridad]]</f>
        <v>-37499.095615999773</v>
      </c>
      <c r="AR81" s="1964">
        <f>Diario_Documentos_TPL[[#This Row],[Total de Pago
(MX)]]-Diario_Documentos_TPL[[#This Row],[Total Pasivo
(MX)]]</f>
        <v>-271868.45821600035</v>
      </c>
      <c r="AS81" s="1980"/>
      <c r="AT81" s="1980"/>
      <c r="AU81" s="1980"/>
      <c r="AV81" s="1980"/>
    </row>
    <row r="82" spans="1:48" ht="14.25" hidden="1" customHeight="1" x14ac:dyDescent="0.25">
      <c r="A82" s="1969" t="s">
        <v>598</v>
      </c>
      <c r="B82" s="1969">
        <v>4326979</v>
      </c>
      <c r="C82" s="1969">
        <v>800832773</v>
      </c>
      <c r="D82" s="1969"/>
      <c r="E82" s="1969" t="s">
        <v>632</v>
      </c>
      <c r="F82" s="1969" t="s">
        <v>599</v>
      </c>
      <c r="G82" s="1969" t="s">
        <v>628</v>
      </c>
      <c r="H82" s="1969" t="str">
        <f>VLOOKUP(Diario_Documentos_TPL[[#This Row],[Centro Gestor]],Catalogo_Centro_Gestor[],2,FALSE)</f>
        <v>CC NORTE II</v>
      </c>
      <c r="I82" s="1969" t="s">
        <v>630</v>
      </c>
      <c r="J82" s="1972">
        <f>IF(YEAR(Diario_Documentos_TPL[[#This Row],[Fecha de Pago]])=1900, "SIN PAGO",YEAR(Diario_Documentos_TPL[[#This Row],[Fecha de Pago]]))</f>
        <v>2018</v>
      </c>
      <c r="K82" s="1971">
        <v>2018</v>
      </c>
      <c r="L82" s="1972">
        <f>IF(MONTH(Diario_Documentos_TPL[[#This Row],[Fecha de Pago]])=0, "SIN PAGO",MONTH(Diario_Documentos_TPL[[#This Row],[Fecha de Pago]]))</f>
        <v>9</v>
      </c>
      <c r="M82" s="1971">
        <v>8</v>
      </c>
      <c r="N82" s="1971" t="str">
        <f>VLOOKUP(Diario_Documentos_TPL[[#This Row],[Periodo del Servicio]],'Tablas (2)'!$L$3:$M$14,2,FALSE)</f>
        <v>AGOSTO</v>
      </c>
      <c r="O82" s="1971" t="s">
        <v>637</v>
      </c>
      <c r="P82" s="1971" t="s">
        <v>470</v>
      </c>
      <c r="Q82" s="1971" t="s">
        <v>165</v>
      </c>
      <c r="R82" s="1969">
        <v>7237</v>
      </c>
      <c r="S82" s="1969">
        <v>468074</v>
      </c>
      <c r="T82" s="1969" t="s">
        <v>629</v>
      </c>
      <c r="U82" s="1969" t="s">
        <v>238</v>
      </c>
      <c r="V82" s="1969">
        <v>180003709</v>
      </c>
      <c r="W82" s="1970">
        <v>43353</v>
      </c>
      <c r="X82" s="1966">
        <f>Diario_Documentos_TPL[[#This Row],[Total Pasivo
(USD)]]/1.16</f>
        <v>2332.9568965517242</v>
      </c>
      <c r="Y82" s="1966">
        <f>Diario_Documentos_TPL[[#This Row],[Importe Pasivo
(USD)]]*0.16</f>
        <v>373.27310344827589</v>
      </c>
      <c r="Z82" s="1966">
        <v>2706.23</v>
      </c>
      <c r="AA82" s="1966">
        <f>Diario_Documentos_TPL[[#This Row],[Total Pasivo
(MX)]]/1.16</f>
        <v>45153.447550000012</v>
      </c>
      <c r="AB82" s="1966">
        <f>Diario_Documentos_TPL[[#This Row],[Importe Pasivo
(MX)]]*0.16</f>
        <v>7224.5516080000016</v>
      </c>
      <c r="AC82" s="1966">
        <v>52377.999158000006</v>
      </c>
      <c r="AD82" s="2017">
        <f>IFERROR(Diario_Documentos_TPL[[#This Row],[Total Pasivo
(MX)]]/Diario_Documentos_TPL[[#This Row],[Total Pasivo
(USD)]],0)</f>
        <v>19.354600000000001</v>
      </c>
      <c r="AE82" s="1969">
        <v>140005105</v>
      </c>
      <c r="AF82" s="1970">
        <v>43369</v>
      </c>
      <c r="AG82" s="1967">
        <f>Diario_Documentos_TPL[[#This Row],[Total de Pago
(USD)]]/1.16</f>
        <v>2332.9568965517242</v>
      </c>
      <c r="AH82" s="1966">
        <f>Diario_Documentos_TPL[[#This Row],[Importe de Pago
(USD)]]*0.16</f>
        <v>373.27310344827589</v>
      </c>
      <c r="AI82" s="1966">
        <f>Diario_Documentos_TPL[[#This Row],[Total Pasivo
(USD)]]</f>
        <v>2706.23</v>
      </c>
      <c r="AJ82" s="1966">
        <f>ROUND(Diario_Documentos_TPL[[#This Row],[Total de Pago
(MX)]]/1.16,2)</f>
        <v>43979.97</v>
      </c>
      <c r="AK82" s="1966">
        <f>Diario_Documentos_TPL[[#This Row],[Importe de Pago
(MX)]]*0.16</f>
        <v>7036.7952000000005</v>
      </c>
      <c r="AL82" s="1966">
        <f>ROUND(Diario_Documentos_TPL[[#This Row],[Total de Pago
(USD)]]*Diario_Documentos_TPL[[#This Row],[T.C Pago]],2)</f>
        <v>51016.77</v>
      </c>
      <c r="AM82" s="2018">
        <v>18.851600000000001</v>
      </c>
      <c r="AN82" s="1975"/>
      <c r="AO82" s="1975"/>
      <c r="AP82" s="1975">
        <f>Diario_Documentos_TPL[[#This Row],[Importe de Pago
(MX)]]-Diario_Documentos_TPL[[#This Row],[Importe Pasivo
(MX)]]</f>
        <v>-1173.4775500000105</v>
      </c>
      <c r="AQ82" s="1975">
        <f>Diario_Documentos_TPL[[#This Row],[Total_Paridad]]-Diario_Documentos_TPL[[#This Row],[Subtotal_Paridad]]</f>
        <v>-187.75160799999867</v>
      </c>
      <c r="AR82" s="1964">
        <f>Diario_Documentos_TPL[[#This Row],[Total de Pago
(MX)]]-Diario_Documentos_TPL[[#This Row],[Total Pasivo
(MX)]]</f>
        <v>-1361.2291580000092</v>
      </c>
      <c r="AS82" s="1980"/>
      <c r="AT82" s="1980"/>
      <c r="AU82" s="1980"/>
      <c r="AV82" s="1980"/>
    </row>
    <row r="83" spans="1:48" ht="14.25" hidden="1" customHeight="1" x14ac:dyDescent="0.25">
      <c r="A83" s="1969" t="s">
        <v>598</v>
      </c>
      <c r="B83" s="1969">
        <v>4326979</v>
      </c>
      <c r="C83" s="1969">
        <v>800832773</v>
      </c>
      <c r="D83" s="1969"/>
      <c r="E83" s="1969" t="s">
        <v>632</v>
      </c>
      <c r="F83" s="1969" t="s">
        <v>599</v>
      </c>
      <c r="G83" s="1969" t="s">
        <v>628</v>
      </c>
      <c r="H83" s="1969" t="str">
        <f>VLOOKUP(Diario_Documentos_TPL[[#This Row],[Centro Gestor]],Catalogo_Centro_Gestor[],2,FALSE)</f>
        <v>CC NORTE II</v>
      </c>
      <c r="I83" s="1969" t="s">
        <v>630</v>
      </c>
      <c r="J83" s="1972">
        <f>IF(YEAR(Diario_Documentos_TPL[[#This Row],[Fecha de Pago]])=1900, "SIN PAGO",YEAR(Diario_Documentos_TPL[[#This Row],[Fecha de Pago]]))</f>
        <v>2018</v>
      </c>
      <c r="K83" s="1973">
        <v>2018</v>
      </c>
      <c r="L83" s="1972">
        <f>IF(MONTH(Diario_Documentos_TPL[[#This Row],[Fecha de Pago]])=0, "SIN PAGO",MONTH(Diario_Documentos_TPL[[#This Row],[Fecha de Pago]]))</f>
        <v>10</v>
      </c>
      <c r="M83" s="1971">
        <v>8</v>
      </c>
      <c r="N83" s="1971" t="s">
        <v>553</v>
      </c>
      <c r="O83" s="2012" t="s">
        <v>745</v>
      </c>
      <c r="P83" s="1971" t="s">
        <v>470</v>
      </c>
      <c r="Q83" s="1971" t="s">
        <v>165</v>
      </c>
      <c r="R83" s="1969">
        <v>7237</v>
      </c>
      <c r="S83" s="1969">
        <v>468074</v>
      </c>
      <c r="T83" s="1969" t="s">
        <v>629</v>
      </c>
      <c r="U83" s="1969" t="s">
        <v>238</v>
      </c>
      <c r="V83" s="1969">
        <v>180004162</v>
      </c>
      <c r="W83" s="1970">
        <v>43391</v>
      </c>
      <c r="X83" s="1966">
        <f>Diario_Documentos_TPL[[#This Row],[Total Pasivo
(USD)]]/1.16</f>
        <v>3011.8</v>
      </c>
      <c r="Y83" s="1966">
        <f>Diario_Documentos_TPL[[#This Row],[Importe Pasivo
(USD)]]*0.16</f>
        <v>481.88800000000003</v>
      </c>
      <c r="Z83" s="1966">
        <v>3493.6880000000001</v>
      </c>
      <c r="AA83" s="1966">
        <f>Diario_Documentos_TPL[[#This Row],[Total Pasivo
(MX)]]/1.16</f>
        <v>56529.38</v>
      </c>
      <c r="AB83" s="1966">
        <f>Diario_Documentos_TPL[[#This Row],[Importe Pasivo
(MX)]]*0.16</f>
        <v>9044.7008000000005</v>
      </c>
      <c r="AC83" s="1966">
        <v>65574.080799999996</v>
      </c>
      <c r="AD83" s="2017">
        <f>IFERROR(Diario_Documentos_TPL[[#This Row],[Total Pasivo
(MX)]]/Diario_Documentos_TPL[[#This Row],[Total Pasivo
(USD)]],0)</f>
        <v>18.769300750381831</v>
      </c>
      <c r="AE83" s="1969">
        <v>140005736</v>
      </c>
      <c r="AF83" s="1970">
        <v>43402</v>
      </c>
      <c r="AG83" s="1967">
        <f>Diario_Documentos_TPL[[#This Row],[Total de Pago
(USD)]]/1.16</f>
        <v>3011.8</v>
      </c>
      <c r="AH83" s="1966">
        <f>Diario_Documentos_TPL[[#This Row],[Importe de Pago
(USD)]]*0.16</f>
        <v>481.88800000000003</v>
      </c>
      <c r="AI83" s="1966">
        <f>Diario_Documentos_TPL[[#This Row],[Total Pasivo
(USD)]]</f>
        <v>3493.6880000000001</v>
      </c>
      <c r="AJ83" s="1966">
        <f>ROUND(Diario_Documentos_TPL[[#This Row],[Total de Pago
(MX)]]/1.16,2)</f>
        <v>58544.28</v>
      </c>
      <c r="AK83" s="1966">
        <f>Diario_Documentos_TPL[[#This Row],[Importe de Pago
(MX)]]*0.16</f>
        <v>9367.0848000000005</v>
      </c>
      <c r="AL83" s="1966">
        <f>ROUND(Diario_Documentos_TPL[[#This Row],[Total de Pago
(USD)]]*Diario_Documentos_TPL[[#This Row],[T.C Pago]],2)</f>
        <v>67911.360000000001</v>
      </c>
      <c r="AM83" s="2018">
        <v>19.438300000000002</v>
      </c>
      <c r="AN83" s="1975"/>
      <c r="AO83" s="1975"/>
      <c r="AP83" s="1965">
        <v>-1490.1567500000165</v>
      </c>
      <c r="AQ83" s="1965">
        <v>-238.42387999999482</v>
      </c>
      <c r="AR83" s="1964">
        <v>-1728.5806300000113</v>
      </c>
      <c r="AS83" s="1980"/>
      <c r="AT83" s="1980"/>
      <c r="AU83" s="1980"/>
      <c r="AV83" s="1980"/>
    </row>
    <row r="84" spans="1:48" ht="14.25" hidden="1" customHeight="1" x14ac:dyDescent="0.25">
      <c r="A84" s="1969" t="s">
        <v>598</v>
      </c>
      <c r="B84" s="1969">
        <v>4326979</v>
      </c>
      <c r="C84" s="1969">
        <v>800832773</v>
      </c>
      <c r="D84" s="1969"/>
      <c r="E84" s="1969" t="s">
        <v>632</v>
      </c>
      <c r="F84" s="1969" t="s">
        <v>599</v>
      </c>
      <c r="G84" s="1969" t="s">
        <v>628</v>
      </c>
      <c r="H84" s="1969" t="str">
        <f>VLOOKUP(Diario_Documentos_TPL[[#This Row],[Centro Gestor]],Catalogo_Centro_Gestor[],2,FALSE)</f>
        <v>CC NORTE II</v>
      </c>
      <c r="I84" s="1969" t="s">
        <v>630</v>
      </c>
      <c r="J84" s="1972">
        <f>IF(YEAR(Diario_Documentos_TPL[[#This Row],[Fecha de Pago]])=1900, "SIN PAGO",YEAR(Diario_Documentos_TPL[[#This Row],[Fecha de Pago]]))</f>
        <v>2018</v>
      </c>
      <c r="K84" s="1971">
        <v>2018</v>
      </c>
      <c r="L84" s="1972">
        <f>IF(MONTH(Diario_Documentos_TPL[[#This Row],[Fecha de Pago]])=0, "SIN PAGO",MONTH(Diario_Documentos_TPL[[#This Row],[Fecha de Pago]]))</f>
        <v>9</v>
      </c>
      <c r="M84" s="1971">
        <v>8</v>
      </c>
      <c r="N84" s="1971" t="str">
        <f>VLOOKUP(Diario_Documentos_TPL[[#This Row],[Periodo del Servicio]],'Tablas (2)'!$L$3:$M$14,2,FALSE)</f>
        <v>AGOSTO</v>
      </c>
      <c r="O84" s="1971" t="s">
        <v>637</v>
      </c>
      <c r="P84" s="1971" t="s">
        <v>470</v>
      </c>
      <c r="Q84" s="1971" t="s">
        <v>165</v>
      </c>
      <c r="R84" s="1969">
        <v>7237</v>
      </c>
      <c r="S84" s="1969">
        <v>468074</v>
      </c>
      <c r="T84" s="1969" t="s">
        <v>629</v>
      </c>
      <c r="U84" s="1969" t="s">
        <v>238</v>
      </c>
      <c r="V84" s="1969">
        <v>180003710</v>
      </c>
      <c r="W84" s="1970">
        <v>43353</v>
      </c>
      <c r="X84" s="1966">
        <f>Diario_Documentos_TPL[[#This Row],[Total Pasivo
(USD)]]/1.16</f>
        <v>2962.5431034482763</v>
      </c>
      <c r="Y84" s="1966">
        <f>Diario_Documentos_TPL[[#This Row],[Importe Pasivo
(USD)]]*0.16</f>
        <v>474.0068965517242</v>
      </c>
      <c r="Z84" s="1966">
        <v>3436.55</v>
      </c>
      <c r="AA84" s="1966">
        <f>Diario_Documentos_TPL[[#This Row],[Total Pasivo
(MX)]]/1.16</f>
        <v>57338.836750000017</v>
      </c>
      <c r="AB84" s="1966">
        <f>Diario_Documentos_TPL[[#This Row],[Importe Pasivo
(MX)]]*0.16</f>
        <v>9174.213880000003</v>
      </c>
      <c r="AC84" s="1966">
        <v>66513.050630000012</v>
      </c>
      <c r="AD84" s="2017">
        <f>IFERROR(Diario_Documentos_TPL[[#This Row],[Total Pasivo
(MX)]]/Diario_Documentos_TPL[[#This Row],[Total Pasivo
(USD)]],0)</f>
        <v>19.354600000000001</v>
      </c>
      <c r="AE84" s="1969">
        <v>140005105</v>
      </c>
      <c r="AF84" s="1970">
        <v>43369</v>
      </c>
      <c r="AG84" s="1967">
        <f>Diario_Documentos_TPL[[#This Row],[Total de Pago
(USD)]]/1.16</f>
        <v>2962.5431034482763</v>
      </c>
      <c r="AH84" s="1966">
        <f>Diario_Documentos_TPL[[#This Row],[Importe de Pago
(USD)]]*0.16</f>
        <v>474.0068965517242</v>
      </c>
      <c r="AI84" s="1966">
        <f>Diario_Documentos_TPL[[#This Row],[Total Pasivo
(USD)]]</f>
        <v>3436.55</v>
      </c>
      <c r="AJ84" s="1966">
        <f>ROUND(Diario_Documentos_TPL[[#This Row],[Total de Pago
(MX)]]/1.16,2)</f>
        <v>55848.68</v>
      </c>
      <c r="AK84" s="1966">
        <f>Diario_Documentos_TPL[[#This Row],[Importe de Pago
(MX)]]*0.16</f>
        <v>8935.7888000000003</v>
      </c>
      <c r="AL84" s="1966">
        <f>ROUND(Diario_Documentos_TPL[[#This Row],[Total de Pago
(USD)]]*Diario_Documentos_TPL[[#This Row],[T.C Pago]],2)</f>
        <v>64784.47</v>
      </c>
      <c r="AM84" s="2018">
        <v>18.851600000000001</v>
      </c>
      <c r="AN84" s="1975"/>
      <c r="AO84" s="1975"/>
      <c r="AP84" s="1975">
        <f>Diario_Documentos_TPL[[#This Row],[Importe de Pago
(MX)]]-Diario_Documentos_TPL[[#This Row],[Importe Pasivo
(MX)]]</f>
        <v>-1490.1567500000165</v>
      </c>
      <c r="AQ84" s="1975">
        <f>Diario_Documentos_TPL[[#This Row],[Total_Paridad]]-Diario_Documentos_TPL[[#This Row],[Subtotal_Paridad]]</f>
        <v>-238.42387999999482</v>
      </c>
      <c r="AR84" s="1964">
        <f>Diario_Documentos_TPL[[#This Row],[Total de Pago
(MX)]]-Diario_Documentos_TPL[[#This Row],[Total Pasivo
(MX)]]</f>
        <v>-1728.5806300000113</v>
      </c>
      <c r="AS84" s="1980"/>
      <c r="AT84" s="1980"/>
      <c r="AU84" s="1980"/>
      <c r="AV84" s="1980"/>
    </row>
    <row r="85" spans="1:48" ht="14.25" hidden="1" customHeight="1" x14ac:dyDescent="0.25">
      <c r="A85" s="1969" t="s">
        <v>598</v>
      </c>
      <c r="B85" s="1969">
        <v>4326979</v>
      </c>
      <c r="C85" s="1969">
        <v>800861096</v>
      </c>
      <c r="D85" s="1969"/>
      <c r="E85" s="1969" t="s">
        <v>632</v>
      </c>
      <c r="F85" s="1969" t="s">
        <v>631</v>
      </c>
      <c r="G85" s="1969" t="s">
        <v>628</v>
      </c>
      <c r="H85" s="1969" t="str">
        <f>VLOOKUP(Diario_Documentos_TPL[[#This Row],[Centro Gestor]],Catalogo_Centro_Gestor[],2,FALSE)</f>
        <v>Gas. Corredor Chihuahua</v>
      </c>
      <c r="I85" s="1969" t="s">
        <v>630</v>
      </c>
      <c r="J85" s="1973">
        <f>IF(YEAR(Diario_Documentos_TPL[[#This Row],[Fecha de Pago]])=1900, "SIN PAGO",YEAR(Diario_Documentos_TPL[[#This Row],[Fecha de Pago]]))</f>
        <v>2018</v>
      </c>
      <c r="K85" s="1971">
        <v>2018</v>
      </c>
      <c r="L85" s="1973">
        <f>IF(MONTH(Diario_Documentos_TPL[[#This Row],[Fecha de Pago]])=0, "SIN PAGO",MONTH(Diario_Documentos_TPL[[#This Row],[Fecha de Pago]]))</f>
        <v>9</v>
      </c>
      <c r="M85" s="1971">
        <v>8</v>
      </c>
      <c r="N85" s="1971" t="str">
        <f>VLOOKUP(Diario_Documentos_TPL[[#This Row],[Periodo del Servicio]],'Tablas (2)'!$L$3:$M$14,2,FALSE)</f>
        <v>AGOSTO</v>
      </c>
      <c r="O85" s="1971" t="s">
        <v>292</v>
      </c>
      <c r="P85" s="1971" t="s">
        <v>340</v>
      </c>
      <c r="Q85" s="1971" t="s">
        <v>165</v>
      </c>
      <c r="R85" s="1969">
        <v>2233</v>
      </c>
      <c r="S85" s="1969">
        <v>453851</v>
      </c>
      <c r="T85" s="1969" t="s">
        <v>629</v>
      </c>
      <c r="U85" s="1969" t="s">
        <v>221</v>
      </c>
      <c r="V85" s="1969">
        <v>180003729</v>
      </c>
      <c r="W85" s="2167" t="s">
        <v>746</v>
      </c>
      <c r="X85" s="1966">
        <f>Diario_Documentos_TPL[[#This Row],[Total Pasivo
(USD)]]/1.16</f>
        <v>447053.49137931038</v>
      </c>
      <c r="Y85" s="1966">
        <f>Diario_Documentos_TPL[[#This Row],[Importe Pasivo
(USD)]]*0.16</f>
        <v>71528.558620689655</v>
      </c>
      <c r="Z85" s="1966">
        <v>518582.05</v>
      </c>
      <c r="AA85" s="1966">
        <f>Diario_Documentos_TPL[[#This Row],[Total Pasivo
(MX)]]/1.16</f>
        <v>8601040.9482758623</v>
      </c>
      <c r="AB85" s="1966">
        <f>Diario_Documentos_TPL[[#This Row],[Importe Pasivo
(MX)]]*0.16</f>
        <v>1376166.551724138</v>
      </c>
      <c r="AC85" s="1966">
        <v>9977207.5</v>
      </c>
      <c r="AD85" s="2017">
        <f>IFERROR(Diario_Documentos_TPL[[#This Row],[Total Pasivo
(MX)]]/Diario_Documentos_TPL[[#This Row],[Total Pasivo
(USD)]],0)</f>
        <v>19.239400013941864</v>
      </c>
      <c r="AE85" s="1969">
        <v>140005105</v>
      </c>
      <c r="AF85" s="1970">
        <v>43369</v>
      </c>
      <c r="AG85" s="1967">
        <f>Diario_Documentos_TPL[[#This Row],[Total de Pago
(USD)]]/1.16</f>
        <v>447053.49137931038</v>
      </c>
      <c r="AH85" s="1966">
        <f>Diario_Documentos_TPL[[#This Row],[Importe de Pago
(USD)]]*0.16</f>
        <v>71528.558620689655</v>
      </c>
      <c r="AI85" s="1966">
        <f>Diario_Documentos_TPL[[#This Row],[Total Pasivo
(USD)]]</f>
        <v>518582.05</v>
      </c>
      <c r="AJ85" s="1966">
        <f>ROUND(Diario_Documentos_TPL[[#This Row],[Total de Pago
(MX)]]/1.16,2)</f>
        <v>8427673.5899999999</v>
      </c>
      <c r="AK85" s="1966">
        <f>Diario_Documentos_TPL[[#This Row],[Importe de Pago
(MX)]]*0.16</f>
        <v>1348427.7744</v>
      </c>
      <c r="AL85" s="1966">
        <f>ROUND(Diario_Documentos_TPL[[#This Row],[Total de Pago
(USD)]]*Diario_Documentos_TPL[[#This Row],[T.C Pago]],2)</f>
        <v>9776101.3699999992</v>
      </c>
      <c r="AM85" s="2018">
        <v>18.851600000000001</v>
      </c>
      <c r="AN85" s="1975"/>
      <c r="AO85" s="1975"/>
      <c r="AP85" s="1975">
        <f>Diario_Documentos_TPL[[#This Row],[Importe de Pago
(MX)]]-Diario_Documentos_TPL[[#This Row],[Importe Pasivo
(MX)]]</f>
        <v>-173367.35827586241</v>
      </c>
      <c r="AQ85" s="1975">
        <f>Diario_Documentos_TPL[[#This Row],[Total_Paridad]]-Diario_Documentos_TPL[[#This Row],[Subtotal_Paridad]]</f>
        <v>-27738.771724138409</v>
      </c>
      <c r="AR85" s="1964">
        <f>Diario_Documentos_TPL[[#This Row],[Total de Pago
(MX)]]-Diario_Documentos_TPL[[#This Row],[Total Pasivo
(MX)]]</f>
        <v>-201106.13000000082</v>
      </c>
      <c r="AS85" s="1980"/>
      <c r="AT85" s="1980"/>
      <c r="AU85" s="1980"/>
      <c r="AV85" s="1980"/>
    </row>
    <row r="86" spans="1:48" ht="14.25" hidden="1" customHeight="1" x14ac:dyDescent="0.25">
      <c r="A86" s="1969" t="s">
        <v>598</v>
      </c>
      <c r="B86" s="1969">
        <v>4326979</v>
      </c>
      <c r="C86" s="1969">
        <v>800869674</v>
      </c>
      <c r="D86" s="1969"/>
      <c r="E86" s="1969" t="s">
        <v>632</v>
      </c>
      <c r="F86" s="1969" t="s">
        <v>599</v>
      </c>
      <c r="G86" s="1969" t="s">
        <v>628</v>
      </c>
      <c r="H86" s="1969" t="str">
        <f>VLOOKUP(Diario_Documentos_TPL[[#This Row],[Centro Gestor]],Catalogo_Centro_Gestor[],2,FALSE)</f>
        <v>Gas. Corredor Chihuahua</v>
      </c>
      <c r="I86" s="1969" t="s">
        <v>630</v>
      </c>
      <c r="J86" s="1973">
        <f>IF(YEAR(Diario_Documentos_TPL[[#This Row],[Fecha de Pago]])=1900, "SIN PAGO",YEAR(Diario_Documentos_TPL[[#This Row],[Fecha de Pago]]))</f>
        <v>2019</v>
      </c>
      <c r="K86" s="1971">
        <v>2018</v>
      </c>
      <c r="L86" s="1973">
        <f>IF(MONTH(Diario_Documentos_TPL[[#This Row],[Fecha de Pago]])=0, "SIN PAGO",MONTH(Diario_Documentos_TPL[[#This Row],[Fecha de Pago]]))</f>
        <v>1</v>
      </c>
      <c r="M86" s="1971">
        <v>12</v>
      </c>
      <c r="N86" s="1971" t="str">
        <f>VLOOKUP(Diario_Documentos_TPL[[#This Row],[Periodo del Servicio]],'Tablas (2)'!$L$3:$M$14,2,FALSE)</f>
        <v>DICIEMBRE</v>
      </c>
      <c r="O86" s="1971" t="s">
        <v>635</v>
      </c>
      <c r="P86" s="1971" t="s">
        <v>340</v>
      </c>
      <c r="Q86" s="1971" t="s">
        <v>165</v>
      </c>
      <c r="R86" s="1969">
        <v>2280</v>
      </c>
      <c r="S86" s="1969">
        <v>453851</v>
      </c>
      <c r="T86" s="1969" t="s">
        <v>629</v>
      </c>
      <c r="U86" s="1969" t="s">
        <v>221</v>
      </c>
      <c r="V86" s="1969">
        <v>180000020</v>
      </c>
      <c r="W86" s="1970">
        <v>43473</v>
      </c>
      <c r="X86" s="1966">
        <f>Diario_Documentos_TPL[[#This Row],[Total Pasivo
(USD)]]/1.16</f>
        <v>465952.06896551728</v>
      </c>
      <c r="Y86" s="1966">
        <f>Diario_Documentos_TPL[[#This Row],[Importe Pasivo
(USD)]]*0.16</f>
        <v>74552.331034482762</v>
      </c>
      <c r="Z86" s="1966">
        <v>540504.4</v>
      </c>
      <c r="AA86" s="1966">
        <f>Diario_Documentos_TPL[[#This Row],[Total Pasivo
(MX)]]/1.16</f>
        <v>9081499.0086206906</v>
      </c>
      <c r="AB86" s="1966">
        <f>Diario_Documentos_TPL[[#This Row],[Importe Pasivo
(MX)]]*0.16</f>
        <v>1453039.8413793105</v>
      </c>
      <c r="AC86" s="1966">
        <v>10534538.85</v>
      </c>
      <c r="AD86" s="2017">
        <f>IFERROR(Diario_Documentos_TPL[[#This Row],[Total Pasivo
(MX)]]/Diario_Documentos_TPL[[#This Row],[Total Pasivo
(USD)]],0)</f>
        <v>19.490199987271147</v>
      </c>
      <c r="AE86" s="1969">
        <v>140000363</v>
      </c>
      <c r="AF86" s="1970">
        <v>43493</v>
      </c>
      <c r="AG86" s="1967">
        <f>Diario_Documentos_TPL[[#This Row],[Total de Pago
(USD)]]/1.16</f>
        <v>465952.06896551728</v>
      </c>
      <c r="AH86" s="1966">
        <f>Diario_Documentos_TPL[[#This Row],[Importe de Pago
(USD)]]*0.16</f>
        <v>74552.331034482762</v>
      </c>
      <c r="AI86" s="1966">
        <f>Diario_Documentos_TPL[[#This Row],[Total Pasivo
(USD)]]</f>
        <v>540504.4</v>
      </c>
      <c r="AJ86" s="1966">
        <f>ROUND(Diario_Documentos_TPL[[#This Row],[Total de Pago
(MX)]]/1.16,2)</f>
        <v>8846519.3900000006</v>
      </c>
      <c r="AK86" s="1966">
        <f>Diario_Documentos_TPL[[#This Row],[Importe de Pago
(MX)]]*0.16</f>
        <v>1415443.1024000002</v>
      </c>
      <c r="AL86" s="1966">
        <f>ROUND(Diario_Documentos_TPL[[#This Row],[Total de Pago
(USD)]]*Diario_Documentos_TPL[[#This Row],[T.C Pago]],2)</f>
        <v>10261962.49</v>
      </c>
      <c r="AM86" s="2018">
        <v>18.985900000000001</v>
      </c>
      <c r="AN86" s="1975"/>
      <c r="AO86" s="1975"/>
      <c r="AP86" s="1975">
        <f>Diario_Documentos_TPL[[#This Row],[Importe de Pago
(MX)]]-Diario_Documentos_TPL[[#This Row],[Importe Pasivo
(MX)]]</f>
        <v>-234979.61862068996</v>
      </c>
      <c r="AQ86" s="1975">
        <f>Diario_Documentos_TPL[[#This Row],[Total_Paridad]]-Diario_Documentos_TPL[[#This Row],[Subtotal_Paridad]]</f>
        <v>-37596.741379309446</v>
      </c>
      <c r="AR86" s="1964">
        <f>Diario_Documentos_TPL[[#This Row],[Total de Pago
(MX)]]-Diario_Documentos_TPL[[#This Row],[Total Pasivo
(MX)]]</f>
        <v>-272576.3599999994</v>
      </c>
      <c r="AS86" s="1980"/>
      <c r="AT86" s="1980"/>
      <c r="AU86" s="1980"/>
      <c r="AV86" s="1980"/>
    </row>
    <row r="87" spans="1:48" ht="14.25" hidden="1" customHeight="1" x14ac:dyDescent="0.25">
      <c r="A87" s="1969" t="s">
        <v>598</v>
      </c>
      <c r="B87" s="1969">
        <v>4326979</v>
      </c>
      <c r="C87" s="1969">
        <v>800869674</v>
      </c>
      <c r="D87" s="1969"/>
      <c r="E87" s="1969" t="s">
        <v>632</v>
      </c>
      <c r="F87" s="1969" t="s">
        <v>599</v>
      </c>
      <c r="G87" s="1969" t="s">
        <v>628</v>
      </c>
      <c r="H87" s="1969" t="str">
        <f>VLOOKUP(Diario_Documentos_TPL[[#This Row],[Centro Gestor]],Catalogo_Centro_Gestor[],2,FALSE)</f>
        <v>Gas. Corredor Chihuahua</v>
      </c>
      <c r="I87" s="1969" t="s">
        <v>630</v>
      </c>
      <c r="J87" s="1973">
        <f>IF(YEAR(Diario_Documentos_TPL[[#This Row],[Fecha de Pago]])=1900, "SIN PAGO",YEAR(Diario_Documentos_TPL[[#This Row],[Fecha de Pago]]))</f>
        <v>2018</v>
      </c>
      <c r="K87" s="1973">
        <v>2018</v>
      </c>
      <c r="L87" s="1973">
        <f>IF(MONTH(Diario_Documentos_TPL[[#This Row],[Fecha de Pago]])=0, "SIN PAGO",MONTH(Diario_Documentos_TPL[[#This Row],[Fecha de Pago]]))</f>
        <v>1</v>
      </c>
      <c r="M87" s="1971">
        <v>12</v>
      </c>
      <c r="N87" s="1971" t="str">
        <f>VLOOKUP(Diario_Documentos_TPL[[#This Row],[Periodo del Servicio]],'Tablas (2)'!$L$3:$M$14,2,FALSE)</f>
        <v>DICIEMBRE</v>
      </c>
      <c r="O87" s="1971" t="s">
        <v>635</v>
      </c>
      <c r="P87" s="1971" t="s">
        <v>340</v>
      </c>
      <c r="Q87" s="1971" t="s">
        <v>165</v>
      </c>
      <c r="R87" s="1969">
        <v>2280</v>
      </c>
      <c r="S87" s="1969">
        <v>453851</v>
      </c>
      <c r="T87" s="1969" t="s">
        <v>629</v>
      </c>
      <c r="U87" s="1969" t="s">
        <v>221</v>
      </c>
      <c r="V87" s="1969">
        <v>180000019</v>
      </c>
      <c r="W87" s="1970">
        <v>43473</v>
      </c>
      <c r="X87" s="1976">
        <f>Diario_Documentos_TPL[[#This Row],[Total Pasivo
(USD)]]/1.16</f>
        <v>4193478.6551724141</v>
      </c>
      <c r="Y87" s="1976">
        <f>Diario_Documentos_TPL[[#This Row],[Importe Pasivo
(USD)]]*0.16</f>
        <v>670956.58482758631</v>
      </c>
      <c r="Z87" s="1976">
        <v>4864435.24</v>
      </c>
      <c r="AA87" s="1976">
        <f>Diario_Documentos_TPL[[#This Row],[Total Pasivo
(MX)]]/1.16</f>
        <v>81731737.681034476</v>
      </c>
      <c r="AB87" s="1976">
        <f>Diario_Documentos_TPL[[#This Row],[Importe Pasivo
(MX)]]*0.16</f>
        <v>13077078.028965516</v>
      </c>
      <c r="AC87" s="1976">
        <v>94808815.709999993</v>
      </c>
      <c r="AD87" s="2017">
        <f>IFERROR(Diario_Documentos_TPL[[#This Row],[Total Pasivo
(MX)]]/Diario_Documentos_TPL[[#This Row],[Total Pasivo
(USD)]],0)</f>
        <v>19.490199999044492</v>
      </c>
      <c r="AE87" s="1969">
        <v>140000363</v>
      </c>
      <c r="AF87" s="1970">
        <v>43128</v>
      </c>
      <c r="AG87" s="1976">
        <f>Diario_Documentos_TPL[[#This Row],[Total de Pago
(USD)]]/1.16</f>
        <v>4193478.6551724141</v>
      </c>
      <c r="AH87" s="1976">
        <f>Diario_Documentos_TPL[[#This Row],[Importe de Pago
(USD)]]*0.16</f>
        <v>670956.58482758631</v>
      </c>
      <c r="AI87" s="1976">
        <f>Diario_Documentos_TPL[[#This Row],[Total Pasivo
(USD)]]</f>
        <v>4864435.24</v>
      </c>
      <c r="AJ87" s="1976">
        <f>ROUND(Diario_Documentos_TPL[[#This Row],[Total de Pago
(MX)]]/1.16,2)</f>
        <v>79616966.400000006</v>
      </c>
      <c r="AK87" s="1976">
        <f>Diario_Documentos_TPL[[#This Row],[Importe de Pago
(MX)]]*0.16</f>
        <v>12738714.624000002</v>
      </c>
      <c r="AL87" s="1976">
        <f>ROUND(Diario_Documentos_TPL[[#This Row],[Total de Pago
(USD)]]*Diario_Documentos_TPL[[#This Row],[T.C Pago]],2)</f>
        <v>92355681.019999996</v>
      </c>
      <c r="AM87" s="2018">
        <v>18.985900000000001</v>
      </c>
      <c r="AN87" s="1975"/>
      <c r="AO87" s="1975"/>
      <c r="AP87" s="1965">
        <f>Diario_Documentos_TPL[[#This Row],[Importe de Pago
(MX)]]-Diario_Documentos_TPL[[#This Row],[Importe Pasivo
(MX)]]</f>
        <v>-2114771.2810344696</v>
      </c>
      <c r="AQ87" s="1965">
        <f>Diario_Documentos_TPL[[#This Row],[Total_Paridad]]-Diario_Documentos_TPL[[#This Row],[Subtotal_Paridad]]</f>
        <v>-338363.40896552801</v>
      </c>
      <c r="AR87" s="1964">
        <f>Diario_Documentos_TPL[[#This Row],[Total de Pago
(MX)]]-Diario_Documentos_TPL[[#This Row],[Total Pasivo
(MX)]]</f>
        <v>-2453134.6899999976</v>
      </c>
      <c r="AS87" s="1980"/>
      <c r="AT87" s="1980"/>
      <c r="AU87" s="1980"/>
      <c r="AV87" s="1980"/>
    </row>
    <row r="88" spans="1:48" ht="14.25" hidden="1" customHeight="1" x14ac:dyDescent="0.25">
      <c r="A88" s="1969" t="s">
        <v>598</v>
      </c>
      <c r="B88" s="1969">
        <v>4326979</v>
      </c>
      <c r="C88" s="1969">
        <v>800869678</v>
      </c>
      <c r="D88" s="1969"/>
      <c r="E88" s="1969" t="s">
        <v>632</v>
      </c>
      <c r="F88" s="1969" t="s">
        <v>599</v>
      </c>
      <c r="G88" s="1969" t="s">
        <v>628</v>
      </c>
      <c r="H88" s="1969" t="str">
        <f>VLOOKUP(Diario_Documentos_TPL[[#This Row],[Centro Gestor]],Catalogo_Centro_Gestor[],2,FALSE)</f>
        <v>Gas. Corredor Chihuahua</v>
      </c>
      <c r="I88" s="1969" t="s">
        <v>630</v>
      </c>
      <c r="J88" s="1972">
        <f>IF(YEAR(Diario_Documentos_TPL[[#This Row],[Fecha de Pago]])=1900, "SIN PAGO",YEAR(Diario_Documentos_TPL[[#This Row],[Fecha de Pago]]))</f>
        <v>2018</v>
      </c>
      <c r="K88" s="1971">
        <v>2018</v>
      </c>
      <c r="L88" s="1972">
        <f>IF(MONTH(Diario_Documentos_TPL[[#This Row],[Fecha de Pago]])=0, "SIN PAGO",MONTH(Diario_Documentos_TPL[[#This Row],[Fecha de Pago]]))</f>
        <v>1</v>
      </c>
      <c r="M88" s="1971">
        <v>12</v>
      </c>
      <c r="N88" s="1971" t="str">
        <f>VLOOKUP(Diario_Documentos_TPL[[#This Row],[Periodo del Servicio]],'Tablas (2)'!$L$3:$M$14,2,FALSE)</f>
        <v>DICIEMBRE</v>
      </c>
      <c r="O88" s="1971" t="s">
        <v>383</v>
      </c>
      <c r="P88" s="1971" t="s">
        <v>470</v>
      </c>
      <c r="Q88" s="1971" t="s">
        <v>165</v>
      </c>
      <c r="R88" s="1969">
        <v>2281</v>
      </c>
      <c r="S88" s="1969">
        <v>453659</v>
      </c>
      <c r="T88" s="1969" t="s">
        <v>629</v>
      </c>
      <c r="U88" s="1969" t="s">
        <v>221</v>
      </c>
      <c r="V88" s="1969">
        <v>180000025</v>
      </c>
      <c r="W88" s="1970">
        <v>43473</v>
      </c>
      <c r="X88" s="1966">
        <f>Diario_Documentos_TPL[[#This Row],[Total Pasivo
(USD)]]/1.16</f>
        <v>5375.7327586206902</v>
      </c>
      <c r="Y88" s="1966">
        <f>Diario_Documentos_TPL[[#This Row],[Importe Pasivo
(USD)]]*0.16</f>
        <v>860.11724137931049</v>
      </c>
      <c r="Z88" s="1966">
        <v>6235.85</v>
      </c>
      <c r="AA88" s="1966">
        <f>Diario_Documentos_TPL[[#This Row],[Total Pasivo
(MX)]]/1.16</f>
        <v>104774.10344827587</v>
      </c>
      <c r="AB88" s="1966">
        <f>Diario_Documentos_TPL[[#This Row],[Importe Pasivo
(MX)]]*0.16</f>
        <v>16763.85655172414</v>
      </c>
      <c r="AC88" s="1966">
        <v>121537.96</v>
      </c>
      <c r="AD88" s="2017">
        <f>IFERROR(Diario_Documentos_TPL[[#This Row],[Total Pasivo
(MX)]]/Diario_Documentos_TPL[[#This Row],[Total Pasivo
(USD)]],0)</f>
        <v>19.490199411467561</v>
      </c>
      <c r="AE88" s="1969">
        <v>140000363</v>
      </c>
      <c r="AF88" s="1970">
        <v>43128</v>
      </c>
      <c r="AG88" s="1967">
        <f>Diario_Documentos_TPL[[#This Row],[Total de Pago
(USD)]]/1.16</f>
        <v>5375.7327586206902</v>
      </c>
      <c r="AH88" s="1966">
        <f>Diario_Documentos_TPL[[#This Row],[Importe de Pago
(USD)]]*0.16</f>
        <v>860.11724137931049</v>
      </c>
      <c r="AI88" s="1966">
        <f>Diario_Documentos_TPL[[#This Row],[Total Pasivo
(USD)]]</f>
        <v>6235.85</v>
      </c>
      <c r="AJ88" s="1966">
        <f>ROUND(Diario_Documentos_TPL[[#This Row],[Total de Pago
(MX)]]/1.16,2)</f>
        <v>102063.12</v>
      </c>
      <c r="AK88" s="1966">
        <f>Diario_Documentos_TPL[[#This Row],[Importe de Pago
(MX)]]*0.16</f>
        <v>16330.099199999999</v>
      </c>
      <c r="AL88" s="1966">
        <f>ROUND(Diario_Documentos_TPL[[#This Row],[Total de Pago
(USD)]]*Diario_Documentos_TPL[[#This Row],[T.C Pago]],2)</f>
        <v>118393.22</v>
      </c>
      <c r="AM88" s="2018">
        <v>18.985900000000001</v>
      </c>
      <c r="AN88" s="1975"/>
      <c r="AO88" s="1975"/>
      <c r="AP88" s="1975">
        <f>Diario_Documentos_TPL[[#This Row],[Importe de Pago
(MX)]]-Diario_Documentos_TPL[[#This Row],[Importe Pasivo
(MX)]]</f>
        <v>-2710.9834482758743</v>
      </c>
      <c r="AQ88" s="1975">
        <f>Diario_Documentos_TPL[[#This Row],[Total_Paridad]]-Diario_Documentos_TPL[[#This Row],[Subtotal_Paridad]]</f>
        <v>-433.75655172413099</v>
      </c>
      <c r="AR88" s="1964">
        <f>Diario_Documentos_TPL[[#This Row],[Total de Pago
(MX)]]-Diario_Documentos_TPL[[#This Row],[Total Pasivo
(MX)]]</f>
        <v>-3144.7400000000052</v>
      </c>
      <c r="AS88" s="1980"/>
      <c r="AT88" s="1980"/>
      <c r="AU88" s="1980"/>
      <c r="AV88" s="1980"/>
    </row>
    <row r="89" spans="1:48" ht="14.25" hidden="1" customHeight="1" x14ac:dyDescent="0.25">
      <c r="A89" s="1969" t="s">
        <v>598</v>
      </c>
      <c r="B89" s="1969">
        <v>4326976</v>
      </c>
      <c r="C89" s="1969">
        <v>800869676</v>
      </c>
      <c r="D89" s="1969"/>
      <c r="E89" s="1969" t="s">
        <v>632</v>
      </c>
      <c r="F89" s="1969" t="s">
        <v>631</v>
      </c>
      <c r="G89" s="1969" t="s">
        <v>628</v>
      </c>
      <c r="H89" s="1969" t="str">
        <f>VLOOKUP(Diario_Documentos_TPL[[#This Row],[Centro Gestor]],Catalogo_Centro_Gestor[],2,FALSE)</f>
        <v>Gas. Corredor Chihuahua</v>
      </c>
      <c r="I89" s="1969" t="s">
        <v>630</v>
      </c>
      <c r="J89" s="1973">
        <f>IF(YEAR(Diario_Documentos_TPL[[#This Row],[Fecha de Pago]])=1900, "SIN PAGO",YEAR(Diario_Documentos_TPL[[#This Row],[Fecha de Pago]]))</f>
        <v>2019</v>
      </c>
      <c r="K89" s="1973">
        <v>2018</v>
      </c>
      <c r="L89" s="1973">
        <f>IF(MONTH(Diario_Documentos_TPL[[#This Row],[Fecha de Pago]])=0, "SIN PAGO",MONTH(Diario_Documentos_TPL[[#This Row],[Fecha de Pago]]))</f>
        <v>1</v>
      </c>
      <c r="M89" s="1971">
        <v>12</v>
      </c>
      <c r="N89" s="1971" t="str">
        <f>VLOOKUP(Diario_Documentos_TPL[[#This Row],[Periodo del Servicio]],'Tablas (2)'!$L$3:$M$14,2,FALSE)</f>
        <v>DICIEMBRE</v>
      </c>
      <c r="O89" s="1971" t="s">
        <v>385</v>
      </c>
      <c r="P89" s="1971" t="s">
        <v>340</v>
      </c>
      <c r="Q89" s="1971" t="s">
        <v>165</v>
      </c>
      <c r="R89" s="1969">
        <v>2280</v>
      </c>
      <c r="S89" s="1969">
        <v>453851</v>
      </c>
      <c r="T89" s="1969" t="s">
        <v>629</v>
      </c>
      <c r="U89" s="1969" t="s">
        <v>221</v>
      </c>
      <c r="V89" s="1969">
        <v>180000021</v>
      </c>
      <c r="W89" s="1970">
        <v>43108</v>
      </c>
      <c r="X89" s="1976">
        <f>Diario_Documentos_TPL[[#This Row],[Total Pasivo
(USD)]]/1.16</f>
        <v>447053.49137931038</v>
      </c>
      <c r="Y89" s="1976">
        <f>Diario_Documentos_TPL[[#This Row],[Importe Pasivo
(USD)]]*0.16</f>
        <v>71528.558620689655</v>
      </c>
      <c r="Z89" s="1976">
        <v>518582.05</v>
      </c>
      <c r="AA89" s="1976">
        <f>Diario_Documentos_TPL[[#This Row],[Total Pasivo
(MX)]]/1.16</f>
        <v>8713161.956896551</v>
      </c>
      <c r="AB89" s="1976">
        <f>Diario_Documentos_TPL[[#This Row],[Importe Pasivo
(MX)]]*0.16</f>
        <v>1394105.9131034482</v>
      </c>
      <c r="AC89" s="1976">
        <v>10107267.869999999</v>
      </c>
      <c r="AD89" s="2017">
        <f>IFERROR(Diario_Documentos_TPL[[#This Row],[Total Pasivo
(MX)]]/Diario_Documentos_TPL[[#This Row],[Total Pasivo
(USD)]],0)</f>
        <v>19.490199998245213</v>
      </c>
      <c r="AE89" s="1969">
        <v>140000363</v>
      </c>
      <c r="AF89" s="1970">
        <v>43493</v>
      </c>
      <c r="AG89" s="1977">
        <f>Diario_Documentos_TPL[[#This Row],[Total de Pago
(USD)]]/1.16</f>
        <v>447053.49137931038</v>
      </c>
      <c r="AH89" s="1977">
        <f>Diario_Documentos_TPL[[#This Row],[Importe de Pago
(USD)]]*0.16</f>
        <v>71528.558620689655</v>
      </c>
      <c r="AI89" s="1976">
        <f>Diario_Documentos_TPL[[#This Row],[Total Pasivo
(USD)]]</f>
        <v>518582.05</v>
      </c>
      <c r="AJ89" s="1976">
        <f>ROUND(Diario_Documentos_TPL[[#This Row],[Total de Pago
(MX)]]/1.16,2)</f>
        <v>8487712.8800000008</v>
      </c>
      <c r="AK89" s="1976">
        <f>Diario_Documentos_TPL[[#This Row],[Importe de Pago
(MX)]]*0.16</f>
        <v>1358034.0608000001</v>
      </c>
      <c r="AL89" s="1976">
        <f>ROUND(Diario_Documentos_TPL[[#This Row],[Total de Pago
(USD)]]*Diario_Documentos_TPL[[#This Row],[T.C Pago]],2)</f>
        <v>9845746.9399999995</v>
      </c>
      <c r="AM89" s="2018">
        <v>18.985900000000001</v>
      </c>
      <c r="AN89" s="1975"/>
      <c r="AO89" s="1975"/>
      <c r="AP89" s="1965">
        <f>Diario_Documentos_TPL[[#This Row],[Importe de Pago
(MX)]]-Diario_Documentos_TPL[[#This Row],[Importe Pasivo
(MX)]]</f>
        <v>-225449.07689655013</v>
      </c>
      <c r="AQ89" s="1965">
        <f>Diario_Documentos_TPL[[#This Row],[Total_Paridad]]-Diario_Documentos_TPL[[#This Row],[Subtotal_Paridad]]</f>
        <v>-36071.853103449568</v>
      </c>
      <c r="AR89" s="1964">
        <f>Diario_Documentos_TPL[[#This Row],[Total de Pago
(MX)]]-Diario_Documentos_TPL[[#This Row],[Total Pasivo
(MX)]]</f>
        <v>-261520.9299999997</v>
      </c>
      <c r="AS89" s="1980"/>
      <c r="AT89" s="1980"/>
      <c r="AU89" s="1980"/>
      <c r="AV89" s="1980"/>
    </row>
    <row r="90" spans="1:48" ht="14.25" hidden="1" customHeight="1" x14ac:dyDescent="0.25">
      <c r="A90" s="1969" t="s">
        <v>598</v>
      </c>
      <c r="B90" s="1969">
        <v>4326979</v>
      </c>
      <c r="C90" s="1969">
        <v>800832451</v>
      </c>
      <c r="D90" s="1969"/>
      <c r="E90" s="1969" t="s">
        <v>632</v>
      </c>
      <c r="F90" s="1969" t="s">
        <v>599</v>
      </c>
      <c r="G90" s="1969" t="s">
        <v>628</v>
      </c>
      <c r="H90" s="1969" t="str">
        <f>VLOOKUP(Diario_Documentos_TPL[[#This Row],[Centro Gestor]],Catalogo_Centro_Gestor[],2,FALSE)</f>
        <v>Gas. Corredor Chihuahua</v>
      </c>
      <c r="I90" s="1969" t="s">
        <v>630</v>
      </c>
      <c r="J90" s="1972">
        <f>IF(YEAR(Diario_Documentos_TPL[[#This Row],[Fecha de Pago]])=1900, "SIN PAGO",YEAR(Diario_Documentos_TPL[[#This Row],[Fecha de Pago]]))</f>
        <v>2018</v>
      </c>
      <c r="K90" s="1971">
        <v>2018</v>
      </c>
      <c r="L90" s="1972">
        <f>IF(MONTH(Diario_Documentos_TPL[[#This Row],[Fecha de Pago]])=0, "SIN PAGO",MONTH(Diario_Documentos_TPL[[#This Row],[Fecha de Pago]]))</f>
        <v>2</v>
      </c>
      <c r="M90" s="1971">
        <v>1</v>
      </c>
      <c r="N90" s="1971" t="str">
        <f>VLOOKUP(Diario_Documentos_TPL[[#This Row],[Periodo del Servicio]],'Tablas (2)'!$L$3:$M$14,2,FALSE)</f>
        <v>ENERO</v>
      </c>
      <c r="O90" s="1971" t="s">
        <v>644</v>
      </c>
      <c r="P90" s="1971" t="s">
        <v>340</v>
      </c>
      <c r="Q90" s="1971" t="s">
        <v>165</v>
      </c>
      <c r="R90" s="1969">
        <v>2233</v>
      </c>
      <c r="S90" s="1969">
        <v>453882</v>
      </c>
      <c r="T90" s="1969" t="s">
        <v>629</v>
      </c>
      <c r="U90" s="1969" t="s">
        <v>221</v>
      </c>
      <c r="V90" s="1969">
        <v>180000297</v>
      </c>
      <c r="W90" s="1970">
        <v>43143</v>
      </c>
      <c r="X90" s="1966">
        <f>Diario_Documentos_TPL[[#This Row],[Total Pasivo
(USD)]]/1.16</f>
        <v>4240081.9655172415</v>
      </c>
      <c r="Y90" s="1966">
        <f>Diario_Documentos_TPL[[#This Row],[Importe Pasivo
(USD)]]*0.16</f>
        <v>678413.11448275868</v>
      </c>
      <c r="Z90" s="1966">
        <v>4918495.08</v>
      </c>
      <c r="AA90" s="1966">
        <f>Diario_Documentos_TPL[[#This Row],[Total Pasivo
(MX)]]/1.16</f>
        <v>80059107.637931034</v>
      </c>
      <c r="AB90" s="1966">
        <f>Diario_Documentos_TPL[[#This Row],[Importe Pasivo
(MX)]]*0.16</f>
        <v>12809457.222068965</v>
      </c>
      <c r="AC90" s="1966">
        <v>92868564.859999999</v>
      </c>
      <c r="AD90" s="2017">
        <f>IFERROR(Diario_Documentos_TPL[[#This Row],[Total Pasivo
(MX)]]/Diario_Documentos_TPL[[#This Row],[Total Pasivo
(USD)]],0)</f>
        <v>18.881500001419134</v>
      </c>
      <c r="AE90" s="1969">
        <v>140000923</v>
      </c>
      <c r="AF90" s="1968">
        <v>43158</v>
      </c>
      <c r="AG90" s="1967">
        <f>Diario_Documentos_TPL[[#This Row],[Total de Pago
(USD)]]/1.16</f>
        <v>4240081.9655172415</v>
      </c>
      <c r="AH90" s="1966">
        <f>Diario_Documentos_TPL[[#This Row],[Importe de Pago
(USD)]]*0.16</f>
        <v>678413.11448275868</v>
      </c>
      <c r="AI90" s="1966">
        <f>Diario_Documentos_TPL[[#This Row],[Total Pasivo
(USD)]]</f>
        <v>4918495.08</v>
      </c>
      <c r="AJ90" s="1966">
        <f>ROUND(Diario_Documentos_TPL[[#This Row],[Total de Pago
(MX)]]/1.16,2)</f>
        <v>78720937.769999996</v>
      </c>
      <c r="AK90" s="1966">
        <f>ROUND(Diario_Documentos_TPL[[#This Row],[Importe de Pago
(MX)]]*0.16,2)</f>
        <v>12595350.039999999</v>
      </c>
      <c r="AL90" s="1966">
        <f>ROUND(Diario_Documentos_TPL[[#This Row],[Total de Pago
(USD)]]*Diario_Documentos_TPL[[#This Row],[T.C Pago]],2)</f>
        <v>91316287.810000002</v>
      </c>
      <c r="AM90" s="2018">
        <v>18.565899999999999</v>
      </c>
      <c r="AN90" s="1975"/>
      <c r="AO90" s="1975"/>
      <c r="AP90" s="1975">
        <f>Diario_Documentos_TPL[[#This Row],[Importe de Pago
(MX)]]-Diario_Documentos_TPL[[#This Row],[Importe Pasivo
(MX)]]</f>
        <v>-1338169.8679310381</v>
      </c>
      <c r="AQ90" s="1975">
        <f>Diario_Documentos_TPL[[#This Row],[Total_Paridad]]-Diario_Documentos_TPL[[#This Row],[Subtotal_Paridad]]</f>
        <v>-214107.18206895888</v>
      </c>
      <c r="AR90" s="1964">
        <f>Diario_Documentos_TPL[[#This Row],[Total de Pago
(MX)]]-Diario_Documentos_TPL[[#This Row],[Total Pasivo
(MX)]]</f>
        <v>-1552277.049999997</v>
      </c>
      <c r="AS90" s="1980"/>
      <c r="AT90" s="1980"/>
      <c r="AU90" s="1980"/>
      <c r="AV90" s="1980"/>
    </row>
    <row r="91" spans="1:48" ht="14.25" hidden="1" customHeight="1" x14ac:dyDescent="0.25">
      <c r="A91" s="1969" t="s">
        <v>598</v>
      </c>
      <c r="B91" s="1969">
        <v>4326979</v>
      </c>
      <c r="C91" s="1969">
        <v>800832451</v>
      </c>
      <c r="D91" s="1969"/>
      <c r="E91" s="1969" t="s">
        <v>632</v>
      </c>
      <c r="F91" s="1969" t="s">
        <v>599</v>
      </c>
      <c r="G91" s="1969" t="s">
        <v>628</v>
      </c>
      <c r="H91" s="1969" t="str">
        <f>VLOOKUP(Diario_Documentos_TPL[[#This Row],[Centro Gestor]],Catalogo_Centro_Gestor[],2,FALSE)</f>
        <v>Gas. Corredor Chihuahua</v>
      </c>
      <c r="I91" s="1969" t="s">
        <v>630</v>
      </c>
      <c r="J91" s="1972">
        <f>IF(YEAR(Diario_Documentos_TPL[[#This Row],[Fecha de Pago]])=1900, "SIN PAGO",YEAR(Diario_Documentos_TPL[[#This Row],[Fecha de Pago]]))</f>
        <v>2018</v>
      </c>
      <c r="K91" s="1971">
        <v>2018</v>
      </c>
      <c r="L91" s="1972">
        <f>IF(MONTH(Diario_Documentos_TPL[[#This Row],[Fecha de Pago]])=0, "SIN PAGO",MONTH(Diario_Documentos_TPL[[#This Row],[Fecha de Pago]]))</f>
        <v>2</v>
      </c>
      <c r="M91" s="1971">
        <v>1</v>
      </c>
      <c r="N91" s="1971" t="str">
        <f>VLOOKUP(Diario_Documentos_TPL[[#This Row],[Periodo del Servicio]],'Tablas (2)'!$L$3:$M$14,2,FALSE)</f>
        <v>ENERO</v>
      </c>
      <c r="O91" s="1971" t="s">
        <v>644</v>
      </c>
      <c r="P91" s="1971" t="s">
        <v>340</v>
      </c>
      <c r="Q91" s="1971" t="s">
        <v>165</v>
      </c>
      <c r="R91" s="1969">
        <v>2233</v>
      </c>
      <c r="S91" s="1969">
        <v>453882</v>
      </c>
      <c r="T91" s="1969" t="s">
        <v>629</v>
      </c>
      <c r="U91" s="1969" t="s">
        <v>221</v>
      </c>
      <c r="V91" s="1969">
        <v>180000298</v>
      </c>
      <c r="W91" s="1970">
        <v>43143</v>
      </c>
      <c r="X91" s="1966">
        <f>Diario_Documentos_TPL[[#This Row],[Total Pasivo
(USD)]]/1.16</f>
        <v>419348.75862068968</v>
      </c>
      <c r="Y91" s="1966">
        <f>Diario_Documentos_TPL[[#This Row],[Importe Pasivo
(USD)]]*0.16</f>
        <v>67095.801379310346</v>
      </c>
      <c r="Z91" s="1966">
        <v>486444.56</v>
      </c>
      <c r="AA91" s="1966">
        <f>Diario_Documentos_TPL[[#This Row],[Total Pasivo
(MX)]]/1.16</f>
        <v>7917933.5862068981</v>
      </c>
      <c r="AB91" s="1966">
        <f>Diario_Documentos_TPL[[#This Row],[Importe Pasivo
(MX)]]*0.16</f>
        <v>1266869.3737931037</v>
      </c>
      <c r="AC91" s="1966">
        <v>9184802.9600000009</v>
      </c>
      <c r="AD91" s="2017">
        <f>IFERROR(Diario_Documentos_TPL[[#This Row],[Total Pasivo
(MX)]]/Diario_Documentos_TPL[[#This Row],[Total Pasivo
(USD)]],0)</f>
        <v>18.881500000740065</v>
      </c>
      <c r="AE91" s="1969">
        <v>140000923</v>
      </c>
      <c r="AF91" s="1968">
        <v>43158</v>
      </c>
      <c r="AG91" s="1967">
        <f>Diario_Documentos_TPL[[#This Row],[Total de Pago
(USD)]]/1.16</f>
        <v>419348.75862068968</v>
      </c>
      <c r="AH91" s="1966">
        <f>Diario_Documentos_TPL[[#This Row],[Importe de Pago
(USD)]]*0.16</f>
        <v>67095.801379310346</v>
      </c>
      <c r="AI91" s="1966">
        <f>Diario_Documentos_TPL[[#This Row],[Total Pasivo
(USD)]]</f>
        <v>486444.56</v>
      </c>
      <c r="AJ91" s="1966">
        <f>ROUND(Diario_Documentos_TPL[[#This Row],[Total de Pago
(MX)]]/1.16,2)</f>
        <v>7785587.1200000001</v>
      </c>
      <c r="AK91" s="1966">
        <f>ROUND(Diario_Documentos_TPL[[#This Row],[Importe de Pago
(MX)]]*0.16,2)</f>
        <v>1245693.94</v>
      </c>
      <c r="AL91" s="1966">
        <f>ROUND(Diario_Documentos_TPL[[#This Row],[Total de Pago
(USD)]]*Diario_Documentos_TPL[[#This Row],[T.C Pago]],2)</f>
        <v>9031281.0600000005</v>
      </c>
      <c r="AM91" s="2018">
        <v>18.565899999999999</v>
      </c>
      <c r="AN91" s="1975"/>
      <c r="AO91" s="1975"/>
      <c r="AP91" s="1975">
        <f>Diario_Documentos_TPL[[#This Row],[Importe de Pago
(MX)]]-Diario_Documentos_TPL[[#This Row],[Importe Pasivo
(MX)]]</f>
        <v>-132346.46620689798</v>
      </c>
      <c r="AQ91" s="1975">
        <f>Diario_Documentos_TPL[[#This Row],[Total_Paridad]]-Diario_Documentos_TPL[[#This Row],[Subtotal_Paridad]]</f>
        <v>-21175.433793102391</v>
      </c>
      <c r="AR91" s="1964">
        <f>Diario_Documentos_TPL[[#This Row],[Total de Pago
(MX)]]-Diario_Documentos_TPL[[#This Row],[Total Pasivo
(MX)]]</f>
        <v>-153521.90000000037</v>
      </c>
      <c r="AS91" s="1980"/>
      <c r="AT91" s="1980"/>
      <c r="AU91" s="1980"/>
      <c r="AV91" s="1980"/>
    </row>
    <row r="92" spans="1:48" ht="14.25" hidden="1" customHeight="1" x14ac:dyDescent="0.25">
      <c r="A92" s="1969" t="s">
        <v>598</v>
      </c>
      <c r="B92" s="1969">
        <v>4326979</v>
      </c>
      <c r="C92" s="1969">
        <v>800832773</v>
      </c>
      <c r="D92" s="1969"/>
      <c r="E92" s="1969" t="s">
        <v>632</v>
      </c>
      <c r="F92" s="1969" t="s">
        <v>599</v>
      </c>
      <c r="G92" s="1969" t="s">
        <v>628</v>
      </c>
      <c r="H92" s="1969" t="str">
        <f>VLOOKUP(Diario_Documentos_TPL[[#This Row],[Centro Gestor]],Catalogo_Centro_Gestor[],2,FALSE)</f>
        <v>Gas. Corredor Chihuahua</v>
      </c>
      <c r="I92" s="1969" t="s">
        <v>630</v>
      </c>
      <c r="J92" s="1972">
        <f>IF(YEAR(Diario_Documentos_TPL[[#This Row],[Fecha de Pago]])=1900, "SIN PAGO",YEAR(Diario_Documentos_TPL[[#This Row],[Fecha de Pago]]))</f>
        <v>2018</v>
      </c>
      <c r="K92" s="1971">
        <v>2018</v>
      </c>
      <c r="L92" s="1972">
        <f>IF(MONTH(Diario_Documentos_TPL[[#This Row],[Fecha de Pago]])=0, "SIN PAGO",MONTH(Diario_Documentos_TPL[[#This Row],[Fecha de Pago]]))</f>
        <v>2</v>
      </c>
      <c r="M92" s="1971">
        <v>1</v>
      </c>
      <c r="N92" s="1971" t="str">
        <f>VLOOKUP(Diario_Documentos_TPL[[#This Row],[Periodo del Servicio]],'Tablas (2)'!$L$3:$M$14,2,FALSE)</f>
        <v>ENERO</v>
      </c>
      <c r="O92" s="1971" t="s">
        <v>644</v>
      </c>
      <c r="P92" s="1971" t="s">
        <v>470</v>
      </c>
      <c r="Q92" s="1971" t="s">
        <v>165</v>
      </c>
      <c r="R92" s="1969">
        <v>2233</v>
      </c>
      <c r="S92" s="1969">
        <v>453888</v>
      </c>
      <c r="T92" s="1969" t="s">
        <v>629</v>
      </c>
      <c r="U92" s="1969" t="s">
        <v>221</v>
      </c>
      <c r="V92" s="1969">
        <v>180000299</v>
      </c>
      <c r="W92" s="1970">
        <v>43143</v>
      </c>
      <c r="X92" s="1966">
        <f>Diario_Documentos_TPL[[#This Row],[Total Pasivo
(USD)]]/1.16</f>
        <v>2063.1982758620688</v>
      </c>
      <c r="Y92" s="1966">
        <f>Diario_Documentos_TPL[[#This Row],[Importe Pasivo
(USD)]]*0.16</f>
        <v>330.11172413793105</v>
      </c>
      <c r="Z92" s="1966">
        <v>2393.31</v>
      </c>
      <c r="AA92" s="1966">
        <f>Diario_Documentos_TPL[[#This Row],[Total Pasivo
(MX)]]/1.16</f>
        <v>38956.275862068964</v>
      </c>
      <c r="AB92" s="1966">
        <f>Diario_Documentos_TPL[[#This Row],[Importe Pasivo
(MX)]]*0.16</f>
        <v>6233.0041379310342</v>
      </c>
      <c r="AC92" s="1966">
        <v>45189.279999999999</v>
      </c>
      <c r="AD92" s="2017">
        <f>IFERROR(Diario_Documentos_TPL[[#This Row],[Total Pasivo
(MX)]]/Diario_Documentos_TPL[[#This Row],[Total Pasivo
(USD)]],0)</f>
        <v>18.881498844696257</v>
      </c>
      <c r="AE92" s="1969">
        <v>140000923</v>
      </c>
      <c r="AF92" s="1968">
        <v>43158</v>
      </c>
      <c r="AG92" s="1967">
        <f>Diario_Documentos_TPL[[#This Row],[Total de Pago
(USD)]]/1.16</f>
        <v>2063.1982758620688</v>
      </c>
      <c r="AH92" s="1966">
        <f>Diario_Documentos_TPL[[#This Row],[Importe de Pago
(USD)]]*0.16</f>
        <v>330.11172413793105</v>
      </c>
      <c r="AI92" s="1966">
        <f>Diario_Documentos_TPL[[#This Row],[Total Pasivo
(USD)]]</f>
        <v>2393.31</v>
      </c>
      <c r="AJ92" s="1966">
        <f>ROUND(Diario_Documentos_TPL[[#This Row],[Total de Pago
(MX)]]/1.16,2)</f>
        <v>38305.129999999997</v>
      </c>
      <c r="AK92" s="1966">
        <f>ROUND(Diario_Documentos_TPL[[#This Row],[Importe de Pago
(MX)]]*0.16,2)</f>
        <v>6128.82</v>
      </c>
      <c r="AL92" s="1966">
        <f>ROUND(Diario_Documentos_TPL[[#This Row],[Total de Pago
(USD)]]*Diario_Documentos_TPL[[#This Row],[T.C Pago]],2)</f>
        <v>44433.95</v>
      </c>
      <c r="AM92" s="2018">
        <v>18.565899999999999</v>
      </c>
      <c r="AN92" s="1975"/>
      <c r="AO92" s="1975"/>
      <c r="AP92" s="1975">
        <f>Diario_Documentos_TPL[[#This Row],[Importe de Pago
(MX)]]-Diario_Documentos_TPL[[#This Row],[Importe Pasivo
(MX)]]</f>
        <v>-651.14586206896638</v>
      </c>
      <c r="AQ92" s="1975">
        <f>Diario_Documentos_TPL[[#This Row],[Total_Paridad]]-Diario_Documentos_TPL[[#This Row],[Subtotal_Paridad]]</f>
        <v>-104.18413793103537</v>
      </c>
      <c r="AR92" s="1964">
        <f>Diario_Documentos_TPL[[#This Row],[Total de Pago
(MX)]]-Diario_Documentos_TPL[[#This Row],[Total Pasivo
(MX)]]</f>
        <v>-755.33000000000175</v>
      </c>
      <c r="AS92" s="1980"/>
      <c r="AT92" s="1980"/>
      <c r="AU92" s="1980"/>
      <c r="AV92" s="1980"/>
    </row>
    <row r="93" spans="1:48" ht="14.25" hidden="1" customHeight="1" x14ac:dyDescent="0.25">
      <c r="A93" s="1969" t="s">
        <v>598</v>
      </c>
      <c r="B93" s="1969">
        <v>4326979</v>
      </c>
      <c r="C93" s="1969">
        <v>800832773</v>
      </c>
      <c r="D93" s="1969"/>
      <c r="E93" s="1969" t="s">
        <v>632</v>
      </c>
      <c r="F93" s="1969" t="s">
        <v>599</v>
      </c>
      <c r="G93" s="1969" t="s">
        <v>628</v>
      </c>
      <c r="H93" s="1969" t="str">
        <f>VLOOKUP(Diario_Documentos_TPL[[#This Row],[Centro Gestor]],Catalogo_Centro_Gestor[],2,FALSE)</f>
        <v>CC NORTE II</v>
      </c>
      <c r="I93" s="1969" t="s">
        <v>630</v>
      </c>
      <c r="J93" s="1972">
        <f>IF(YEAR(Diario_Documentos_TPL[[#This Row],[Fecha de Pago]])=1900, "SIN PAGO",YEAR(Diario_Documentos_TPL[[#This Row],[Fecha de Pago]]))</f>
        <v>2018</v>
      </c>
      <c r="K93" s="1971">
        <v>2018</v>
      </c>
      <c r="L93" s="1972">
        <f>IF(MONTH(Diario_Documentos_TPL[[#This Row],[Fecha de Pago]])=0, "SIN PAGO",MONTH(Diario_Documentos_TPL[[#This Row],[Fecha de Pago]]))</f>
        <v>3</v>
      </c>
      <c r="M93" s="1971">
        <v>2</v>
      </c>
      <c r="N93" s="1971" t="str">
        <f>VLOOKUP(Diario_Documentos_TPL[[#This Row],[Periodo del Servicio]],'Tablas (2)'!$L$3:$M$14,2,FALSE)</f>
        <v>FEBRERO</v>
      </c>
      <c r="O93" s="1971" t="s">
        <v>645</v>
      </c>
      <c r="P93" s="1971" t="s">
        <v>470</v>
      </c>
      <c r="Q93" s="1971" t="s">
        <v>165</v>
      </c>
      <c r="R93" s="1969">
        <v>7237</v>
      </c>
      <c r="S93" s="1969">
        <v>468074</v>
      </c>
      <c r="T93" s="1969" t="s">
        <v>629</v>
      </c>
      <c r="U93" s="1969" t="s">
        <v>238</v>
      </c>
      <c r="V93" s="1969">
        <v>180000775</v>
      </c>
      <c r="W93" s="1970">
        <v>43172</v>
      </c>
      <c r="X93" s="1966">
        <f>Diario_Documentos_TPL[[#This Row],[Total Pasivo
(USD)]]/1.16</f>
        <v>1960.8017241379314</v>
      </c>
      <c r="Y93" s="1966">
        <f>Diario_Documentos_TPL[[#This Row],[Importe Pasivo
(USD)]]*0.16</f>
        <v>313.72827586206904</v>
      </c>
      <c r="Z93" s="1966">
        <v>2274.5300000000002</v>
      </c>
      <c r="AA93" s="1966">
        <f>Diario_Documentos_TPL[[#This Row],[Total Pasivo
(MX)]]/1.16</f>
        <v>36434.043103448275</v>
      </c>
      <c r="AB93" s="1966">
        <f>Diario_Documentos_TPL[[#This Row],[Importe Pasivo
(MX)]]*0.16</f>
        <v>5829.4468965517244</v>
      </c>
      <c r="AC93" s="1966">
        <v>42263.49</v>
      </c>
      <c r="AD93" s="2017">
        <f>IFERROR(Diario_Documentos_TPL[[#This Row],[Total Pasivo
(MX)]]/Diario_Documentos_TPL[[#This Row],[Total Pasivo
(USD)]],0)</f>
        <v>18.581196994543927</v>
      </c>
      <c r="AE93" s="1969">
        <v>140001644</v>
      </c>
      <c r="AF93" s="1968">
        <v>43182</v>
      </c>
      <c r="AG93" s="1967">
        <f>Diario_Documentos_TPL[[#This Row],[Total de Pago
(USD)]]/1.16</f>
        <v>1960.8017241379314</v>
      </c>
      <c r="AH93" s="1966">
        <f>Diario_Documentos_TPL[[#This Row],[Importe de Pago
(USD)]]*0.16</f>
        <v>313.72827586206904</v>
      </c>
      <c r="AI93" s="1966">
        <f>Diario_Documentos_TPL[[#This Row],[Total Pasivo
(USD)]]</f>
        <v>2274.5300000000002</v>
      </c>
      <c r="AJ93" s="1966">
        <f>ROUND(Diario_Documentos_TPL[[#This Row],[Total de Pago
(MX)]]/1.16,2)</f>
        <v>36471.11</v>
      </c>
      <c r="AK93" s="1966">
        <f>Diario_Documentos_TPL[[#This Row],[Importe de Pago
(MX)]]*0.16</f>
        <v>5835.3775999999998</v>
      </c>
      <c r="AL93" s="1966">
        <f>ROUND(Diario_Documentos_TPL[[#This Row],[Total de Pago
(USD)]]*Diario_Documentos_TPL[[#This Row],[T.C Pago]],2)</f>
        <v>42306.49</v>
      </c>
      <c r="AM93" s="2018">
        <v>18.600100000000001</v>
      </c>
      <c r="AN93" s="1975"/>
      <c r="AO93" s="1975"/>
      <c r="AP93" s="1975">
        <f>Diario_Documentos_TPL[[#This Row],[Importe de Pago
(MX)]]-Diario_Documentos_TPL[[#This Row],[Importe Pasivo
(MX)]]</f>
        <v>37.066896551725222</v>
      </c>
      <c r="AQ93" s="1975">
        <f>Diario_Documentos_TPL[[#This Row],[Total_Paridad]]-Diario_Documentos_TPL[[#This Row],[Subtotal_Paridad]]</f>
        <v>5.9331034482747782</v>
      </c>
      <c r="AR93" s="1964">
        <f>Diario_Documentos_TPL[[#This Row],[Total de Pago
(MX)]]-Diario_Documentos_TPL[[#This Row],[Total Pasivo
(MX)]]</f>
        <v>43</v>
      </c>
      <c r="AS93" s="1980"/>
      <c r="AT93" s="1980"/>
      <c r="AU93" s="1980"/>
      <c r="AV93" s="1980"/>
    </row>
    <row r="94" spans="1:48" ht="14.25" hidden="1" customHeight="1" x14ac:dyDescent="0.25">
      <c r="A94" s="1969" t="s">
        <v>598</v>
      </c>
      <c r="B94" s="1969">
        <v>4326979</v>
      </c>
      <c r="C94" s="1969">
        <v>800832451</v>
      </c>
      <c r="D94" s="1969"/>
      <c r="E94" s="1969" t="s">
        <v>632</v>
      </c>
      <c r="F94" s="1969" t="s">
        <v>599</v>
      </c>
      <c r="G94" s="1969" t="s">
        <v>628</v>
      </c>
      <c r="H94" s="1969" t="str">
        <f>VLOOKUP(Diario_Documentos_TPL[[#This Row],[Centro Gestor]],Catalogo_Centro_Gestor[],2,FALSE)</f>
        <v>Gas. Corredor Chihuahua</v>
      </c>
      <c r="I94" s="1969" t="s">
        <v>630</v>
      </c>
      <c r="J94" s="1972">
        <f>IF(YEAR(Diario_Documentos_TPL[[#This Row],[Fecha de Pago]])=1900, "SIN PAGO",YEAR(Diario_Documentos_TPL[[#This Row],[Fecha de Pago]]))</f>
        <v>2018</v>
      </c>
      <c r="K94" s="1971">
        <v>2018</v>
      </c>
      <c r="L94" s="1972">
        <f>IF(MONTH(Diario_Documentos_TPL[[#This Row],[Fecha de Pago]])=0, "SIN PAGO",MONTH(Diario_Documentos_TPL[[#This Row],[Fecha de Pago]]))</f>
        <v>3</v>
      </c>
      <c r="M94" s="1971">
        <v>2</v>
      </c>
      <c r="N94" s="1971" t="str">
        <f>VLOOKUP(Diario_Documentos_TPL[[#This Row],[Periodo del Servicio]],'Tablas (2)'!$L$3:$M$14,2,FALSE)</f>
        <v>FEBRERO</v>
      </c>
      <c r="O94" s="1971" t="s">
        <v>645</v>
      </c>
      <c r="P94" s="1971" t="s">
        <v>340</v>
      </c>
      <c r="Q94" s="1971" t="s">
        <v>165</v>
      </c>
      <c r="R94" s="1969">
        <v>2233</v>
      </c>
      <c r="S94" s="1969">
        <v>453882</v>
      </c>
      <c r="T94" s="1969" t="s">
        <v>629</v>
      </c>
      <c r="U94" s="1969" t="s">
        <v>221</v>
      </c>
      <c r="V94" s="1969">
        <v>180000774</v>
      </c>
      <c r="W94" s="1970">
        <v>43172</v>
      </c>
      <c r="X94" s="1966">
        <f>Diario_Documentos_TPL[[#This Row],[Total Pasivo
(USD)]]/1.16</f>
        <v>4240081.96</v>
      </c>
      <c r="Y94" s="1966">
        <f>Diario_Documentos_TPL[[#This Row],[Importe Pasivo
(USD)]]*0.16</f>
        <v>678413.11360000004</v>
      </c>
      <c r="Z94" s="1966">
        <f>4240081.96*1.16</f>
        <v>4918495.0735999998</v>
      </c>
      <c r="AA94" s="1966">
        <f>Diario_Documentos_TPL[[#This Row],[Total Pasivo
(MX)]]/1.16</f>
        <v>78785810.915151998</v>
      </c>
      <c r="AB94" s="1966">
        <f>Diario_Documentos_TPL[[#This Row],[Importe Pasivo
(MX)]]*0.16</f>
        <v>12605729.746424319</v>
      </c>
      <c r="AC94" s="1966">
        <f>Diario_Documentos_TPL[[#This Row],[Total Pasivo
(USD)]]* 18.5812</f>
        <v>91391540.661576316</v>
      </c>
      <c r="AD94" s="2017">
        <f>IFERROR(Diario_Documentos_TPL[[#This Row],[Total Pasivo
(MX)]]/Diario_Documentos_TPL[[#This Row],[Total Pasivo
(USD)]],0)</f>
        <v>18.581199999999999</v>
      </c>
      <c r="AE94" s="1969">
        <v>140001644</v>
      </c>
      <c r="AF94" s="1968">
        <v>43182</v>
      </c>
      <c r="AG94" s="1967">
        <f>Diario_Documentos_TPL[[#This Row],[Total de Pago
(USD)]]/1.16</f>
        <v>4240081.96</v>
      </c>
      <c r="AH94" s="1966">
        <f>Diario_Documentos_TPL[[#This Row],[Importe de Pago
(USD)]]*0.16</f>
        <v>678413.11360000004</v>
      </c>
      <c r="AI94" s="1966">
        <f>Diario_Documentos_TPL[[#This Row],[Total Pasivo
(USD)]]</f>
        <v>4918495.0735999998</v>
      </c>
      <c r="AJ94" s="1966">
        <f>ROUND(Diario_Documentos_TPL[[#This Row],[Total de Pago
(MX)]]/1.16,2)</f>
        <v>78865948.469999999</v>
      </c>
      <c r="AK94" s="1966">
        <f>Diario_Documentos_TPL[[#This Row],[Importe de Pago
(MX)]]*0.16</f>
        <v>12618551.7552</v>
      </c>
      <c r="AL94" s="1966">
        <f>ROUND(Diario_Documentos_TPL[[#This Row],[Total de Pago
(USD)]]*Diario_Documentos_TPL[[#This Row],[T.C Pago]],2)</f>
        <v>91484500.219999999</v>
      </c>
      <c r="AM94" s="2018">
        <v>18.600100000000001</v>
      </c>
      <c r="AN94" s="1975"/>
      <c r="AO94" s="1975"/>
      <c r="AP94" s="1975">
        <f>Diario_Documentos_TPL[[#This Row],[Importe de Pago
(MX)]]-Diario_Documentos_TPL[[#This Row],[Importe Pasivo
(MX)]]</f>
        <v>80137.554848000407</v>
      </c>
      <c r="AQ94" s="1975">
        <f>Diario_Documentos_TPL[[#This Row],[Total_Paridad]]-Diario_Documentos_TPL[[#This Row],[Subtotal_Paridad]]</f>
        <v>12822.00357568264</v>
      </c>
      <c r="AR94" s="1964">
        <f>Diario_Documentos_TPL[[#This Row],[Total de Pago
(MX)]]-Diario_Documentos_TPL[[#This Row],[Total Pasivo
(MX)]]</f>
        <v>92959.558423683047</v>
      </c>
      <c r="AS94" s="1980"/>
      <c r="AT94" s="1980"/>
      <c r="AU94" s="1980"/>
      <c r="AV94" s="1980"/>
    </row>
    <row r="95" spans="1:48" ht="14.25" hidden="1" customHeight="1" x14ac:dyDescent="0.25">
      <c r="A95" s="1969" t="s">
        <v>598</v>
      </c>
      <c r="B95" s="1969">
        <v>4326979</v>
      </c>
      <c r="C95" s="1969">
        <v>800832451</v>
      </c>
      <c r="D95" s="1969"/>
      <c r="E95" s="1969" t="s">
        <v>632</v>
      </c>
      <c r="F95" s="1969" t="s">
        <v>599</v>
      </c>
      <c r="G95" s="1969" t="s">
        <v>628</v>
      </c>
      <c r="H95" s="1969" t="str">
        <f>VLOOKUP(Diario_Documentos_TPL[[#This Row],[Centro Gestor]],Catalogo_Centro_Gestor[],2,FALSE)</f>
        <v>CC NORTE II</v>
      </c>
      <c r="I95" s="1969" t="s">
        <v>630</v>
      </c>
      <c r="J95" s="1972">
        <f>IF(YEAR(Diario_Documentos_TPL[[#This Row],[Fecha de Pago]])=1900, "SIN PAGO",YEAR(Diario_Documentos_TPL[[#This Row],[Fecha de Pago]]))</f>
        <v>2018</v>
      </c>
      <c r="K95" s="1971">
        <v>2018</v>
      </c>
      <c r="L95" s="1972">
        <f>IF(MONTH(Diario_Documentos_TPL[[#This Row],[Fecha de Pago]])=0, "SIN PAGO",MONTH(Diario_Documentos_TPL[[#This Row],[Fecha de Pago]]))</f>
        <v>3</v>
      </c>
      <c r="M95" s="1971">
        <v>2</v>
      </c>
      <c r="N95" s="1971" t="str">
        <f>VLOOKUP(Diario_Documentos_TPL[[#This Row],[Periodo del Servicio]],'Tablas (2)'!$L$3:$M$14,2,FALSE)</f>
        <v>FEBRERO</v>
      </c>
      <c r="O95" s="1971" t="s">
        <v>645</v>
      </c>
      <c r="P95" s="1971" t="s">
        <v>340</v>
      </c>
      <c r="Q95" s="1971" t="s">
        <v>165</v>
      </c>
      <c r="R95" s="1969">
        <v>7249</v>
      </c>
      <c r="S95" s="1969">
        <v>468079</v>
      </c>
      <c r="T95" s="1969" t="s">
        <v>629</v>
      </c>
      <c r="U95" s="1969" t="s">
        <v>238</v>
      </c>
      <c r="V95" s="1969">
        <v>180000774</v>
      </c>
      <c r="W95" s="1970">
        <v>43172</v>
      </c>
      <c r="X95" s="1966">
        <f>Diario_Documentos_TPL[[#This Row],[Total Pasivo
(USD)]]/1.16</f>
        <v>419348.76</v>
      </c>
      <c r="Y95" s="1966">
        <f>Diario_Documentos_TPL[[#This Row],[Importe Pasivo
(USD)]]*0.16</f>
        <v>67095.801600000006</v>
      </c>
      <c r="Z95" s="1966">
        <v>486444.56159999996</v>
      </c>
      <c r="AA95" s="1966">
        <f>Diario_Documentos_TPL[[#This Row],[Total Pasivo
(MX)]]/1.16</f>
        <v>7792003.1793120001</v>
      </c>
      <c r="AB95" s="1966">
        <f>Diario_Documentos_TPL[[#This Row],[Importe Pasivo
(MX)]]*0.16</f>
        <v>1246720.50868992</v>
      </c>
      <c r="AC95" s="1966">
        <f>Diario_Documentos_TPL[[#This Row],[Total Pasivo
(USD)]]* 18.5812</f>
        <v>9038723.6880019195</v>
      </c>
      <c r="AD95" s="2017">
        <f>IFERROR(Diario_Documentos_TPL[[#This Row],[Total Pasivo
(MX)]]/Diario_Documentos_TPL[[#This Row],[Total Pasivo
(USD)]],0)</f>
        <v>18.581199999999999</v>
      </c>
      <c r="AE95" s="1969">
        <v>140001644</v>
      </c>
      <c r="AF95" s="1968">
        <v>43182</v>
      </c>
      <c r="AG95" s="1967">
        <f>Diario_Documentos_TPL[[#This Row],[Total de Pago
(USD)]]/1.16</f>
        <v>419348.76</v>
      </c>
      <c r="AH95" s="1966">
        <f>Diario_Documentos_TPL[[#This Row],[Importe de Pago
(USD)]]*0.16</f>
        <v>67095.801600000006</v>
      </c>
      <c r="AI95" s="1966">
        <f>Diario_Documentos_TPL[[#This Row],[Total Pasivo
(USD)]]</f>
        <v>486444.56159999996</v>
      </c>
      <c r="AJ95" s="1966">
        <f>ROUND(Diario_Documentos_TPL[[#This Row],[Total de Pago
(MX)]]/1.16,2)</f>
        <v>7799928.8700000001</v>
      </c>
      <c r="AK95" s="1966">
        <f>Diario_Documentos_TPL[[#This Row],[Importe de Pago
(MX)]]*0.16</f>
        <v>1247988.6192000001</v>
      </c>
      <c r="AL95" s="1966">
        <f>ROUND(Diario_Documentos_TPL[[#This Row],[Total de Pago
(USD)]]*Diario_Documentos_TPL[[#This Row],[T.C Pago]],2)</f>
        <v>9047917.4900000002</v>
      </c>
      <c r="AM95" s="2018">
        <v>18.600100000000001</v>
      </c>
      <c r="AN95" s="1975"/>
      <c r="AO95" s="1975"/>
      <c r="AP95" s="1975">
        <f>Diario_Documentos_TPL[[#This Row],[Importe de Pago
(MX)]]-Diario_Documentos_TPL[[#This Row],[Importe Pasivo
(MX)]]</f>
        <v>7925.6906880000606</v>
      </c>
      <c r="AQ95" s="1975">
        <f>Diario_Documentos_TPL[[#This Row],[Total_Paridad]]-Diario_Documentos_TPL[[#This Row],[Subtotal_Paridad]]</f>
        <v>1268.1113100806251</v>
      </c>
      <c r="AR95" s="1964">
        <f>Diario_Documentos_TPL[[#This Row],[Total de Pago
(MX)]]-Diario_Documentos_TPL[[#This Row],[Total Pasivo
(MX)]]</f>
        <v>9193.8019980806857</v>
      </c>
      <c r="AS95" s="1980"/>
      <c r="AT95" s="1980"/>
      <c r="AU95" s="1980"/>
      <c r="AV95" s="1980"/>
    </row>
    <row r="96" spans="1:48" ht="14.25" hidden="1" customHeight="1" x14ac:dyDescent="0.25">
      <c r="A96" s="1969" t="s">
        <v>598</v>
      </c>
      <c r="B96" s="1969">
        <v>4326979</v>
      </c>
      <c r="C96" s="1969">
        <v>800832451</v>
      </c>
      <c r="D96" s="1969"/>
      <c r="E96" s="1969" t="s">
        <v>632</v>
      </c>
      <c r="F96" s="1969" t="s">
        <v>599</v>
      </c>
      <c r="G96" s="1969" t="s">
        <v>628</v>
      </c>
      <c r="H96" s="1969" t="str">
        <f>VLOOKUP(Diario_Documentos_TPL[[#This Row],[Centro Gestor]],Catalogo_Centro_Gestor[],2,FALSE)</f>
        <v>Gas. Corredor Chihuahua</v>
      </c>
      <c r="I96" s="1969" t="s">
        <v>630</v>
      </c>
      <c r="J96" s="1973">
        <f>IF(YEAR(Diario_Documentos_TPL[[#This Row],[Fecha de Pago]])=1900, "SIN PAGO",YEAR(Diario_Documentos_TPL[[#This Row],[Fecha de Pago]]))</f>
        <v>2018</v>
      </c>
      <c r="K96" s="1971">
        <v>2018</v>
      </c>
      <c r="L96" s="1973">
        <f>IF(MONTH(Diario_Documentos_TPL[[#This Row],[Fecha de Pago]])=0, "SIN PAGO",MONTH(Diario_Documentos_TPL[[#This Row],[Fecha de Pago]]))</f>
        <v>8</v>
      </c>
      <c r="M96" s="1971">
        <v>7</v>
      </c>
      <c r="N96" s="1971" t="str">
        <f>VLOOKUP(Diario_Documentos_TPL[[#This Row],[Periodo del Servicio]],'Tablas (2)'!$L$3:$M$14,2,FALSE)</f>
        <v>JULIO</v>
      </c>
      <c r="O96" s="1971" t="s">
        <v>286</v>
      </c>
      <c r="P96" s="1971" t="s">
        <v>340</v>
      </c>
      <c r="Q96" s="1971" t="s">
        <v>165</v>
      </c>
      <c r="R96" s="1969">
        <v>2233</v>
      </c>
      <c r="S96" s="1969">
        <v>453851</v>
      </c>
      <c r="T96" s="1969" t="s">
        <v>629</v>
      </c>
      <c r="U96" s="1969" t="s">
        <v>221</v>
      </c>
      <c r="V96" s="1969">
        <v>180003357</v>
      </c>
      <c r="W96" s="1970">
        <v>43326</v>
      </c>
      <c r="X96" s="1966">
        <f>Diario_Documentos_TPL[[#This Row],[Total Pasivo
(USD)]]/1.16</f>
        <v>4193487.6465517245</v>
      </c>
      <c r="Y96" s="1966">
        <f>Diario_Documentos_TPL[[#This Row],[Importe Pasivo
(USD)]]*0.16</f>
        <v>670958.02344827598</v>
      </c>
      <c r="Z96" s="1966">
        <v>4864445.67</v>
      </c>
      <c r="AA96" s="1966">
        <f>Diario_Documentos_TPL[[#This Row],[Total Pasivo
(MX)]]/1.16</f>
        <v>79371398.732758626</v>
      </c>
      <c r="AB96" s="1966">
        <f>Diario_Documentos_TPL[[#This Row],[Importe Pasivo
(MX)]]*0.16</f>
        <v>12699423.79724138</v>
      </c>
      <c r="AC96" s="1966">
        <v>92070822.530000001</v>
      </c>
      <c r="AD96" s="2017">
        <f>IFERROR(Diario_Documentos_TPL[[#This Row],[Total Pasivo
(MX)]]/Diario_Documentos_TPL[[#This Row],[Total Pasivo
(USD)]],0)</f>
        <v>18.927300000042965</v>
      </c>
      <c r="AE96" s="1969">
        <v>140004467</v>
      </c>
      <c r="AF96" s="1970">
        <v>43340</v>
      </c>
      <c r="AG96" s="1967">
        <f>Diario_Documentos_TPL[[#This Row],[Total de Pago
(USD)]]/1.16</f>
        <v>4193487.6465517245</v>
      </c>
      <c r="AH96" s="1966">
        <f>Diario_Documentos_TPL[[#This Row],[Importe de Pago
(USD)]]*0.16</f>
        <v>670958.02344827598</v>
      </c>
      <c r="AI96" s="1966">
        <f>Diario_Documentos_TPL[[#This Row],[Total Pasivo
(USD)]]</f>
        <v>4864445.67</v>
      </c>
      <c r="AJ96" s="1966">
        <f>ROUND(Diario_Documentos_TPL[[#This Row],[Total de Pago
(MX)]]/1.16,2)</f>
        <v>78979726.980000004</v>
      </c>
      <c r="AK96" s="1966">
        <f>Diario_Documentos_TPL[[#This Row],[Importe de Pago
(MX)]]*0.16</f>
        <v>12636756.3168</v>
      </c>
      <c r="AL96" s="1966">
        <f>ROUND(Diario_Documentos_TPL[[#This Row],[Total de Pago
(USD)]]*Diario_Documentos_TPL[[#This Row],[T.C Pago]],2)</f>
        <v>91616483.299999997</v>
      </c>
      <c r="AM96" s="2018">
        <v>18.8339</v>
      </c>
      <c r="AN96" s="1975"/>
      <c r="AO96" s="1975"/>
      <c r="AP96" s="1975">
        <f>Diario_Documentos_TPL[[#This Row],[Importe de Pago
(MX)]]-Diario_Documentos_TPL[[#This Row],[Importe Pasivo
(MX)]]</f>
        <v>-391671.75275862217</v>
      </c>
      <c r="AQ96" s="1975">
        <f>Diario_Documentos_TPL[[#This Row],[Total_Paridad]]-Diario_Documentos_TPL[[#This Row],[Subtotal_Paridad]]</f>
        <v>-62667.477241382003</v>
      </c>
      <c r="AR96" s="1964">
        <f>Diario_Documentos_TPL[[#This Row],[Total de Pago
(MX)]]-Diario_Documentos_TPL[[#This Row],[Total Pasivo
(MX)]]</f>
        <v>-454339.23000000417</v>
      </c>
      <c r="AS96" s="1980"/>
      <c r="AT96" s="1980"/>
      <c r="AU96" s="1980"/>
      <c r="AV96" s="1980"/>
    </row>
    <row r="97" spans="1:48" ht="14.25" hidden="1" customHeight="1" x14ac:dyDescent="0.25">
      <c r="A97" s="1969" t="s">
        <v>598</v>
      </c>
      <c r="B97" s="1969">
        <v>4326979</v>
      </c>
      <c r="C97" s="1969">
        <v>800832451</v>
      </c>
      <c r="D97" s="1969"/>
      <c r="E97" s="1969" t="s">
        <v>632</v>
      </c>
      <c r="F97" s="1969" t="s">
        <v>599</v>
      </c>
      <c r="G97" s="1969" t="s">
        <v>628</v>
      </c>
      <c r="H97" s="1969" t="str">
        <f>VLOOKUP(Diario_Documentos_TPL[[#This Row],[Centro Gestor]],Catalogo_Centro_Gestor[],2,FALSE)</f>
        <v>CC NORTE II</v>
      </c>
      <c r="I97" s="1969" t="s">
        <v>630</v>
      </c>
      <c r="J97" s="1973">
        <f>IF(YEAR(Diario_Documentos_TPL[[#This Row],[Fecha de Pago]])=1900, "SIN PAGO",YEAR(Diario_Documentos_TPL[[#This Row],[Fecha de Pago]]))</f>
        <v>2018</v>
      </c>
      <c r="K97" s="1971">
        <v>2018</v>
      </c>
      <c r="L97" s="1973">
        <f>IF(MONTH(Diario_Documentos_TPL[[#This Row],[Fecha de Pago]])=0, "SIN PAGO",MONTH(Diario_Documentos_TPL[[#This Row],[Fecha de Pago]]))</f>
        <v>8</v>
      </c>
      <c r="M97" s="1971">
        <v>7</v>
      </c>
      <c r="N97" s="1971" t="str">
        <f>VLOOKUP(Diario_Documentos_TPL[[#This Row],[Periodo del Servicio]],'Tablas (2)'!$L$3:$M$14,2,FALSE)</f>
        <v>JULIO</v>
      </c>
      <c r="O97" s="1971" t="s">
        <v>286</v>
      </c>
      <c r="P97" s="1971" t="s">
        <v>340</v>
      </c>
      <c r="Q97" s="1971" t="s">
        <v>165</v>
      </c>
      <c r="R97" s="1969">
        <v>7249</v>
      </c>
      <c r="S97" s="1969">
        <v>468079</v>
      </c>
      <c r="T97" s="1969" t="s">
        <v>629</v>
      </c>
      <c r="U97" s="1969" t="s">
        <v>238</v>
      </c>
      <c r="V97" s="1969">
        <v>180003358</v>
      </c>
      <c r="W97" s="1970">
        <v>43326</v>
      </c>
      <c r="X97" s="1966">
        <f>Diario_Documentos_TPL[[#This Row],[Total Pasivo
(USD)]]/1.16</f>
        <v>465943.06896551722</v>
      </c>
      <c r="Y97" s="1966">
        <f>Diario_Documentos_TPL[[#This Row],[Importe Pasivo
(USD)]]*0.16</f>
        <v>74550.89103448276</v>
      </c>
      <c r="Z97" s="1966">
        <v>540493.96</v>
      </c>
      <c r="AA97" s="1966">
        <f>Diario_Documentos_TPL[[#This Row],[Total Pasivo
(MX)]]/1.16</f>
        <v>8819044.25</v>
      </c>
      <c r="AB97" s="1966">
        <f>Diario_Documentos_TPL[[#This Row],[Importe Pasivo
(MX)]]*0.16</f>
        <v>1411047.08</v>
      </c>
      <c r="AC97" s="1966">
        <v>10230091.33</v>
      </c>
      <c r="AD97" s="2017">
        <f>IFERROR(Diario_Documentos_TPL[[#This Row],[Total Pasivo
(MX)]]/Diario_Documentos_TPL[[#This Row],[Total Pasivo
(USD)]],0)</f>
        <v>18.927300001650345</v>
      </c>
      <c r="AE97" s="1969">
        <v>140004467</v>
      </c>
      <c r="AF97" s="1970">
        <v>43340</v>
      </c>
      <c r="AG97" s="1967">
        <f>Diario_Documentos_TPL[[#This Row],[Total de Pago
(USD)]]/1.16</f>
        <v>465943.06896551722</v>
      </c>
      <c r="AH97" s="1966">
        <f>Diario_Documentos_TPL[[#This Row],[Importe de Pago
(USD)]]*0.16</f>
        <v>74550.89103448276</v>
      </c>
      <c r="AI97" s="1966">
        <f>Diario_Documentos_TPL[[#This Row],[Total Pasivo
(USD)]]</f>
        <v>540493.96</v>
      </c>
      <c r="AJ97" s="1966">
        <f>ROUND(Diario_Documentos_TPL[[#This Row],[Total de Pago
(MX)]]/1.16,2)</f>
        <v>8775525.1600000001</v>
      </c>
      <c r="AK97" s="1966">
        <f>Diario_Documentos_TPL[[#This Row],[Importe de Pago
(MX)]]*0.16</f>
        <v>1404084.0256000001</v>
      </c>
      <c r="AL97" s="1966">
        <f>ROUND(Diario_Documentos_TPL[[#This Row],[Total de Pago
(USD)]]*Diario_Documentos_TPL[[#This Row],[T.C Pago]],2)</f>
        <v>10179609.189999999</v>
      </c>
      <c r="AM97" s="2018">
        <v>18.8339</v>
      </c>
      <c r="AN97" s="1975"/>
      <c r="AO97" s="1975"/>
      <c r="AP97" s="1975">
        <f>Diario_Documentos_TPL[[#This Row],[Importe de Pago
(MX)]]-Diario_Documentos_TPL[[#This Row],[Importe Pasivo
(MX)]]</f>
        <v>-43519.089999999851</v>
      </c>
      <c r="AQ97" s="1975">
        <f>Diario_Documentos_TPL[[#This Row],[Total_Paridad]]-Diario_Documentos_TPL[[#This Row],[Subtotal_Paridad]]</f>
        <v>-6963.0500000007451</v>
      </c>
      <c r="AR97" s="1964">
        <f>Diario_Documentos_TPL[[#This Row],[Total de Pago
(MX)]]-Diario_Documentos_TPL[[#This Row],[Total Pasivo
(MX)]]</f>
        <v>-50482.140000000596</v>
      </c>
      <c r="AS97" s="1980"/>
      <c r="AT97" s="1980"/>
      <c r="AU97" s="1980"/>
      <c r="AV97" s="1980"/>
    </row>
    <row r="98" spans="1:48" ht="14.25" hidden="1" customHeight="1" x14ac:dyDescent="0.25">
      <c r="A98" s="1969" t="s">
        <v>598</v>
      </c>
      <c r="B98" s="1969">
        <v>4326979</v>
      </c>
      <c r="C98" s="1969">
        <v>800832773</v>
      </c>
      <c r="D98" s="1969"/>
      <c r="E98" s="1969" t="s">
        <v>632</v>
      </c>
      <c r="F98" s="1969" t="s">
        <v>599</v>
      </c>
      <c r="G98" s="1969" t="s">
        <v>628</v>
      </c>
      <c r="H98" s="1969" t="str">
        <f>VLOOKUP(Diario_Documentos_TPL[[#This Row],[Centro Gestor]],Catalogo_Centro_Gestor[],2,FALSE)</f>
        <v>CC NORTE II</v>
      </c>
      <c r="I98" s="1969" t="s">
        <v>630</v>
      </c>
      <c r="J98" s="1973">
        <f>IF(YEAR(Diario_Documentos_TPL[[#This Row],[Fecha de Pago]])=1900, "SIN PAGO",YEAR(Diario_Documentos_TPL[[#This Row],[Fecha de Pago]]))</f>
        <v>2018</v>
      </c>
      <c r="K98" s="1971">
        <v>2018</v>
      </c>
      <c r="L98" s="1973">
        <f>IF(MONTH(Diario_Documentos_TPL[[#This Row],[Fecha de Pago]])=0, "SIN PAGO",MONTH(Diario_Documentos_TPL[[#This Row],[Fecha de Pago]]))</f>
        <v>8</v>
      </c>
      <c r="M98" s="1971">
        <v>7</v>
      </c>
      <c r="N98" s="1971" t="str">
        <f>VLOOKUP(Diario_Documentos_TPL[[#This Row],[Periodo del Servicio]],'Tablas (2)'!$L$3:$M$14,2,FALSE)</f>
        <v>JULIO</v>
      </c>
      <c r="O98" s="1971" t="s">
        <v>286</v>
      </c>
      <c r="P98" s="1971" t="s">
        <v>470</v>
      </c>
      <c r="Q98" s="1971" t="s">
        <v>165</v>
      </c>
      <c r="R98" s="1969">
        <v>7237</v>
      </c>
      <c r="S98" s="1969">
        <v>468074</v>
      </c>
      <c r="T98" s="1969" t="s">
        <v>629</v>
      </c>
      <c r="U98" s="1969" t="s">
        <v>238</v>
      </c>
      <c r="V98" s="1969">
        <v>180003359</v>
      </c>
      <c r="W98" s="1970">
        <v>43326</v>
      </c>
      <c r="X98" s="1966">
        <f>Diario_Documentos_TPL[[#This Row],[Total Pasivo
(USD)]]/1.16</f>
        <v>2333.6724137931037</v>
      </c>
      <c r="Y98" s="1966">
        <f>Diario_Documentos_TPL[[#This Row],[Importe Pasivo
(USD)]]*0.16</f>
        <v>373.38758620689663</v>
      </c>
      <c r="Z98" s="1966">
        <v>2707.06</v>
      </c>
      <c r="AA98" s="1966">
        <f>Diario_Documentos_TPL[[#This Row],[Total Pasivo
(MX)]]/1.16</f>
        <v>44170.112068965522</v>
      </c>
      <c r="AB98" s="1966">
        <f>Diario_Documentos_TPL[[#This Row],[Importe Pasivo
(MX)]]*0.16</f>
        <v>7067.2179310344836</v>
      </c>
      <c r="AC98" s="1966">
        <v>51237.33</v>
      </c>
      <c r="AD98" s="2017">
        <f>IFERROR(Diario_Documentos_TPL[[#This Row],[Total Pasivo
(MX)]]/Diario_Documentos_TPL[[#This Row],[Total Pasivo
(USD)]],0)</f>
        <v>18.927297510952844</v>
      </c>
      <c r="AE98" s="1969">
        <v>140004467</v>
      </c>
      <c r="AF98" s="1970">
        <v>43340</v>
      </c>
      <c r="AG98" s="1967">
        <f>Diario_Documentos_TPL[[#This Row],[Total de Pago
(USD)]]/1.16</f>
        <v>2333.6724137931037</v>
      </c>
      <c r="AH98" s="1966">
        <f>Diario_Documentos_TPL[[#This Row],[Importe de Pago
(USD)]]*0.16</f>
        <v>373.38758620689663</v>
      </c>
      <c r="AI98" s="1966">
        <f>Diario_Documentos_TPL[[#This Row],[Total Pasivo
(USD)]]</f>
        <v>2707.06</v>
      </c>
      <c r="AJ98" s="1966">
        <f>ROUND(Diario_Documentos_TPL[[#This Row],[Total de Pago
(MX)]]/1.16,2)</f>
        <v>43952.160000000003</v>
      </c>
      <c r="AK98" s="1966">
        <f>Diario_Documentos_TPL[[#This Row],[Importe de Pago
(MX)]]*0.16</f>
        <v>7032.3456000000006</v>
      </c>
      <c r="AL98" s="1966">
        <f>ROUND(Diario_Documentos_TPL[[#This Row],[Total de Pago
(USD)]]*Diario_Documentos_TPL[[#This Row],[T.C Pago]],2)</f>
        <v>50984.5</v>
      </c>
      <c r="AM98" s="2018">
        <v>18.8339</v>
      </c>
      <c r="AN98" s="1975"/>
      <c r="AO98" s="1975"/>
      <c r="AP98" s="1975">
        <f>Diario_Documentos_TPL[[#This Row],[Importe de Pago
(MX)]]-Diario_Documentos_TPL[[#This Row],[Importe Pasivo
(MX)]]</f>
        <v>-217.95206896551827</v>
      </c>
      <c r="AQ98" s="1975">
        <f>Diario_Documentos_TPL[[#This Row],[Total_Paridad]]-Diario_Documentos_TPL[[#This Row],[Subtotal_Paridad]]</f>
        <v>-34.877931034483481</v>
      </c>
      <c r="AR98" s="1964">
        <f>Diario_Documentos_TPL[[#This Row],[Total de Pago
(MX)]]-Diario_Documentos_TPL[[#This Row],[Total Pasivo
(MX)]]</f>
        <v>-252.83000000000175</v>
      </c>
      <c r="AS98" s="1980"/>
      <c r="AT98" s="1980"/>
      <c r="AU98" s="1980"/>
      <c r="AV98" s="1980"/>
    </row>
    <row r="99" spans="1:48" ht="14.25" hidden="1" customHeight="1" x14ac:dyDescent="0.25">
      <c r="A99" s="1969" t="s">
        <v>598</v>
      </c>
      <c r="B99" s="1969">
        <v>4326979</v>
      </c>
      <c r="C99" s="1969">
        <v>800832773</v>
      </c>
      <c r="D99" s="1969"/>
      <c r="E99" s="1969" t="s">
        <v>632</v>
      </c>
      <c r="F99" s="1969" t="s">
        <v>599</v>
      </c>
      <c r="G99" s="1969" t="s">
        <v>628</v>
      </c>
      <c r="H99" s="1969" t="str">
        <f>VLOOKUP(Diario_Documentos_TPL[[#This Row],[Centro Gestor]],Catalogo_Centro_Gestor[],2,FALSE)</f>
        <v>CC NORTE II</v>
      </c>
      <c r="I99" s="1969" t="s">
        <v>630</v>
      </c>
      <c r="J99" s="1972">
        <f>IF(YEAR(Diario_Documentos_TPL[[#This Row],[Fecha de Pago]])=1900, "SIN PAGO",YEAR(Diario_Documentos_TPL[[#This Row],[Fecha de Pago]]))</f>
        <v>2018</v>
      </c>
      <c r="K99" s="1971">
        <v>2018</v>
      </c>
      <c r="L99" s="1972">
        <f>IF(MONTH(Diario_Documentos_TPL[[#This Row],[Fecha de Pago]])=0, "SIN PAGO",MONTH(Diario_Documentos_TPL[[#This Row],[Fecha de Pago]]))</f>
        <v>8</v>
      </c>
      <c r="M99" s="1971">
        <v>7</v>
      </c>
      <c r="N99" s="1971" t="str">
        <f>VLOOKUP(Diario_Documentos_TPL[[#This Row],[Periodo del Servicio]],'Tablas (2)'!$L$3:$M$14,2,FALSE)</f>
        <v>JULIO</v>
      </c>
      <c r="O99" s="1971" t="s">
        <v>638</v>
      </c>
      <c r="P99" s="1971" t="s">
        <v>470</v>
      </c>
      <c r="Q99" s="1971" t="s">
        <v>165</v>
      </c>
      <c r="R99" s="1969">
        <v>7237</v>
      </c>
      <c r="S99" s="1969">
        <v>468074</v>
      </c>
      <c r="T99" s="1969" t="s">
        <v>629</v>
      </c>
      <c r="U99" s="1969" t="s">
        <v>238</v>
      </c>
      <c r="V99" s="1969">
        <v>180003408</v>
      </c>
      <c r="W99" s="1970">
        <v>43329</v>
      </c>
      <c r="X99" s="1966">
        <f>Diario_Documentos_TPL[[#This Row],[Total Pasivo
(USD)]]/1.16</f>
        <v>3488.8275862068967</v>
      </c>
      <c r="Y99" s="1966">
        <f>Diario_Documentos_TPL[[#This Row],[Importe Pasivo
(USD)]]*0.16</f>
        <v>558.21241379310345</v>
      </c>
      <c r="Z99" s="1966">
        <v>4047.04</v>
      </c>
      <c r="AA99" s="1966">
        <f>Diario_Documentos_TPL[[#This Row],[Total Pasivo
(MX)]]/1.16</f>
        <v>67103.767241379304</v>
      </c>
      <c r="AB99" s="1966">
        <f>Diario_Documentos_TPL[[#This Row],[Importe Pasivo
(MX)]]*0.16</f>
        <v>10736.602758620689</v>
      </c>
      <c r="AC99" s="1966">
        <v>77840.37</v>
      </c>
      <c r="AD99" s="2017">
        <f>IFERROR(Diario_Documentos_TPL[[#This Row],[Total Pasivo
(MX)]]/Diario_Documentos_TPL[[#This Row],[Total Pasivo
(USD)]],0)</f>
        <v>19.233901814659603</v>
      </c>
      <c r="AE99" s="1969">
        <v>140004683</v>
      </c>
      <c r="AF99" s="1970">
        <v>43329</v>
      </c>
      <c r="AG99" s="1967">
        <f>Diario_Documentos_TPL[[#This Row],[Total de Pago
(USD)]]/1.16</f>
        <v>3488.8275862068967</v>
      </c>
      <c r="AH99" s="1966">
        <f>Diario_Documentos_TPL[[#This Row],[Importe de Pago
(USD)]]*0.16</f>
        <v>558.21241379310345</v>
      </c>
      <c r="AI99" s="1966">
        <f>Diario_Documentos_TPL[[#This Row],[Total Pasivo
(USD)]]</f>
        <v>4047.04</v>
      </c>
      <c r="AJ99" s="1966">
        <f>ROUND(Diario_Documentos_TPL[[#This Row],[Total de Pago
(MX)]]/1.16,2)</f>
        <v>67103.759999999995</v>
      </c>
      <c r="AK99" s="1966">
        <f>Diario_Documentos_TPL[[#This Row],[Importe de Pago
(MX)]]*0.16</f>
        <v>10736.6016</v>
      </c>
      <c r="AL99" s="1966">
        <f>ROUND(Diario_Documentos_TPL[[#This Row],[Total de Pago
(USD)]]*Diario_Documentos_TPL[[#This Row],[T.C Pago]],2)</f>
        <v>77840.36</v>
      </c>
      <c r="AM99" s="2018">
        <v>19.233899999999998</v>
      </c>
      <c r="AN99" s="1975"/>
      <c r="AO99" s="1975"/>
      <c r="AP99" s="1975">
        <f>Diario_Documentos_TPL[[#This Row],[Importe de Pago
(MX)]]-Diario_Documentos_TPL[[#This Row],[Importe Pasivo
(MX)]]</f>
        <v>-7.2413793095620349E-3</v>
      </c>
      <c r="AQ99" s="1975">
        <f>Diario_Documentos_TPL[[#This Row],[Total_Paridad]]-Diario_Documentos_TPL[[#This Row],[Subtotal_Paridad]]</f>
        <v>-2.7586206851992756E-3</v>
      </c>
      <c r="AR99" s="1964">
        <f>Diario_Documentos_TPL[[#This Row],[Total de Pago
(MX)]]-Diario_Documentos_TPL[[#This Row],[Total Pasivo
(MX)]]</f>
        <v>-9.9999999947613105E-3</v>
      </c>
      <c r="AS99" s="1980"/>
      <c r="AT99" s="1980"/>
      <c r="AU99" s="1980"/>
      <c r="AV99" s="1980"/>
    </row>
    <row r="100" spans="1:48" ht="14.25" hidden="1" customHeight="1" x14ac:dyDescent="0.25">
      <c r="A100" s="1969" t="s">
        <v>598</v>
      </c>
      <c r="B100" s="1969">
        <v>4326979</v>
      </c>
      <c r="C100" s="1969">
        <v>800832773</v>
      </c>
      <c r="D100" s="1969"/>
      <c r="E100" s="1969" t="s">
        <v>632</v>
      </c>
      <c r="F100" s="1969" t="s">
        <v>599</v>
      </c>
      <c r="G100" s="1969" t="s">
        <v>628</v>
      </c>
      <c r="H100" s="1969" t="str">
        <f>VLOOKUP(Diario_Documentos_TPL[[#This Row],[Centro Gestor]],Catalogo_Centro_Gestor[],2,FALSE)</f>
        <v>CC NORTE II</v>
      </c>
      <c r="I100" s="1969" t="s">
        <v>630</v>
      </c>
      <c r="J100" s="1972">
        <f>IF(YEAR(Diario_Documentos_TPL[[#This Row],[Fecha de Pago]])=1900, "SIN PAGO",YEAR(Diario_Documentos_TPL[[#This Row],[Fecha de Pago]]))</f>
        <v>2018</v>
      </c>
      <c r="K100" s="1971">
        <v>2018</v>
      </c>
      <c r="L100" s="1972">
        <f>IF(MONTH(Diario_Documentos_TPL[[#This Row],[Fecha de Pago]])=0, "SIN PAGO",MONTH(Diario_Documentos_TPL[[#This Row],[Fecha de Pago]]))</f>
        <v>10</v>
      </c>
      <c r="M100" s="1971">
        <v>7</v>
      </c>
      <c r="N100" s="1971" t="str">
        <f>VLOOKUP(Diario_Documentos_TPL[[#This Row],[Periodo del Servicio]],'Tablas (2)'!$L$3:$M$14,2,FALSE)</f>
        <v>JULIO</v>
      </c>
      <c r="O100" s="2012" t="s">
        <v>744</v>
      </c>
      <c r="P100" s="1971" t="s">
        <v>470</v>
      </c>
      <c r="Q100" s="1971" t="s">
        <v>165</v>
      </c>
      <c r="R100" s="1969">
        <v>7237</v>
      </c>
      <c r="S100" s="1969">
        <v>468074</v>
      </c>
      <c r="T100" s="1969" t="s">
        <v>629</v>
      </c>
      <c r="U100" s="1969" t="s">
        <v>238</v>
      </c>
      <c r="V100" s="1969">
        <v>180004162</v>
      </c>
      <c r="W100" s="1970">
        <v>43391</v>
      </c>
      <c r="X100" s="1966">
        <f>Diario_Documentos_TPL[[#This Row],[Total Pasivo
(USD)]]/1.16</f>
        <v>2357.21</v>
      </c>
      <c r="Y100" s="1966">
        <f>Diario_Documentos_TPL[[#This Row],[Importe Pasivo
(USD)]]*0.16</f>
        <v>377.15360000000004</v>
      </c>
      <c r="Z100" s="1966">
        <v>2734.3635999999997</v>
      </c>
      <c r="AA100" s="1966">
        <f>Diario_Documentos_TPL[[#This Row],[Total Pasivo
(MX)]]/1.16</f>
        <v>44243.181034482761</v>
      </c>
      <c r="AB100" s="1966">
        <f>Diario_Documentos_TPL[[#This Row],[Importe Pasivo
(MX)]]*0.16</f>
        <v>7078.908965517242</v>
      </c>
      <c r="AC100" s="1966">
        <v>51322.09</v>
      </c>
      <c r="AD100" s="2017">
        <f>IFERROR(Diario_Documentos_TPL[[#This Row],[Total Pasivo
(MX)]]/Diario_Documentos_TPL[[#This Row],[Total Pasivo
(USD)]],0)</f>
        <v>18.769299737606222</v>
      </c>
      <c r="AE100" s="1969">
        <v>140005736</v>
      </c>
      <c r="AF100" s="1970">
        <v>43402</v>
      </c>
      <c r="AG100" s="1967">
        <f>Diario_Documentos_TPL[[#This Row],[Total de Pago
(USD)]]/1.16</f>
        <v>2357.21</v>
      </c>
      <c r="AH100" s="1966">
        <f>Diario_Documentos_TPL[[#This Row],[Importe de Pago
(USD)]]*0.16</f>
        <v>377.15360000000004</v>
      </c>
      <c r="AI100" s="1966">
        <f>Diario_Documentos_TPL[[#This Row],[Total Pasivo
(USD)]]</f>
        <v>2734.3635999999997</v>
      </c>
      <c r="AJ100" s="1966">
        <f>ROUND(Diario_Documentos_TPL[[#This Row],[Total de Pago
(MX)]]/1.16,2)</f>
        <v>45820.160000000003</v>
      </c>
      <c r="AK100" s="1966">
        <f>Diario_Documentos_TPL[[#This Row],[Importe de Pago
(MX)]]*0.16</f>
        <v>7331.2256000000007</v>
      </c>
      <c r="AL100" s="1966">
        <f>ROUND(Diario_Documentos_TPL[[#This Row],[Total de Pago
(USD)]]*Diario_Documentos_TPL[[#This Row],[T.C Pago]],2)</f>
        <v>53151.38</v>
      </c>
      <c r="AM100" s="2018">
        <v>19.438300000000002</v>
      </c>
      <c r="AN100" s="1975"/>
      <c r="AO100" s="1975"/>
      <c r="AP100" s="1975">
        <f>Diario_Documentos_TPL[[#This Row],[Importe de Pago
(MX)]]-Diario_Documentos_TPL[[#This Row],[Importe Pasivo
(MX)]]</f>
        <v>1576.9789655172426</v>
      </c>
      <c r="AQ100" s="1975">
        <f>Diario_Documentos_TPL[[#This Row],[Total_Paridad]]-Diario_Documentos_TPL[[#This Row],[Subtotal_Paridad]]</f>
        <v>252.31103448275826</v>
      </c>
      <c r="AR100" s="1964">
        <f>Diario_Documentos_TPL[[#This Row],[Total de Pago
(MX)]]-Diario_Documentos_TPL[[#This Row],[Total Pasivo
(MX)]]</f>
        <v>1829.2900000000009</v>
      </c>
      <c r="AS100" s="1980"/>
      <c r="AT100" s="1980"/>
      <c r="AU100" s="1980"/>
      <c r="AV100" s="1980"/>
    </row>
    <row r="101" spans="1:48" ht="14.25" hidden="1" customHeight="1" x14ac:dyDescent="0.25">
      <c r="A101" s="1969" t="s">
        <v>598</v>
      </c>
      <c r="B101" s="1969">
        <v>4326979</v>
      </c>
      <c r="C101" s="1969">
        <v>800861096</v>
      </c>
      <c r="D101" s="1969"/>
      <c r="E101" s="1969" t="s">
        <v>632</v>
      </c>
      <c r="F101" s="1969" t="s">
        <v>631</v>
      </c>
      <c r="G101" s="1969" t="s">
        <v>628</v>
      </c>
      <c r="H101" s="1969" t="str">
        <f>VLOOKUP(Diario_Documentos_TPL[[#This Row],[Centro Gestor]],Catalogo_Centro_Gestor[],2,FALSE)</f>
        <v>Gas. Corredor Chihuahua</v>
      </c>
      <c r="I101" s="1969" t="s">
        <v>630</v>
      </c>
      <c r="J101" s="1973">
        <f>IF(YEAR(Diario_Documentos_TPL[[#This Row],[Fecha de Pago]])=1900, "SIN PAGO",YEAR(Diario_Documentos_TPL[[#This Row],[Fecha de Pago]]))</f>
        <v>2018</v>
      </c>
      <c r="K101" s="1971">
        <v>2018</v>
      </c>
      <c r="L101" s="1973">
        <f>IF(MONTH(Diario_Documentos_TPL[[#This Row],[Fecha de Pago]])=0, "SIN PAGO",MONTH(Diario_Documentos_TPL[[#This Row],[Fecha de Pago]]))</f>
        <v>9</v>
      </c>
      <c r="M101" s="1971">
        <v>7</v>
      </c>
      <c r="N101" s="1971" t="str">
        <f>VLOOKUP(Diario_Documentos_TPL[[#This Row],[Periodo del Servicio]],'Tablas (2)'!$L$3:$M$14,2,FALSE)</f>
        <v>JULIO</v>
      </c>
      <c r="O101" s="1971" t="s">
        <v>289</v>
      </c>
      <c r="P101" s="1971" t="s">
        <v>340</v>
      </c>
      <c r="Q101" s="1971" t="s">
        <v>165</v>
      </c>
      <c r="R101" s="1969">
        <v>2233</v>
      </c>
      <c r="S101" s="1969">
        <v>453851</v>
      </c>
      <c r="T101" s="1969" t="s">
        <v>629</v>
      </c>
      <c r="U101" s="1969" t="s">
        <v>221</v>
      </c>
      <c r="V101" s="1969">
        <v>180003411</v>
      </c>
      <c r="W101" s="1970">
        <v>43329</v>
      </c>
      <c r="X101" s="1966">
        <f>Diario_Documentos_TPL[[#This Row],[Total Pasivo
(USD)]]/1.16</f>
        <v>447053.49137931038</v>
      </c>
      <c r="Y101" s="1966">
        <f>Diario_Documentos_TPL[[#This Row],[Importe Pasivo
(USD)]]*0.16</f>
        <v>71528.558620689655</v>
      </c>
      <c r="Z101" s="1966">
        <v>518582.05</v>
      </c>
      <c r="AA101" s="1966">
        <f>Diario_Documentos_TPL[[#This Row],[Total Pasivo
(MX)]]/1.16</f>
        <v>8598582.1465517245</v>
      </c>
      <c r="AB101" s="1966">
        <f>Diario_Documentos_TPL[[#This Row],[Importe Pasivo
(MX)]]*0.16</f>
        <v>1375773.143448276</v>
      </c>
      <c r="AC101" s="1966">
        <v>9974355.2899999991</v>
      </c>
      <c r="AD101" s="2017">
        <f>IFERROR(Diario_Documentos_TPL[[#This Row],[Total Pasivo
(MX)]]/Diario_Documentos_TPL[[#This Row],[Total Pasivo
(USD)]],0)</f>
        <v>19.233899997117138</v>
      </c>
      <c r="AE101" s="1969">
        <v>140004683</v>
      </c>
      <c r="AF101" s="1970">
        <v>43348</v>
      </c>
      <c r="AG101" s="1967">
        <f>Diario_Documentos_TPL[[#This Row],[Total de Pago
(USD)]]/1.16</f>
        <v>447053.49137931038</v>
      </c>
      <c r="AH101" s="1966">
        <f>Diario_Documentos_TPL[[#This Row],[Importe de Pago
(USD)]]*0.16</f>
        <v>71528.558620689655</v>
      </c>
      <c r="AI101" s="1966">
        <f>Diario_Documentos_TPL[[#This Row],[Total Pasivo
(USD)]]</f>
        <v>518582.05</v>
      </c>
      <c r="AJ101" s="1966">
        <f>ROUND(Diario_Documentos_TPL[[#This Row],[Total de Pago
(MX)]]/1.16,2)</f>
        <v>8589551.6600000001</v>
      </c>
      <c r="AK101" s="1966">
        <f>Diario_Documentos_TPL[[#This Row],[Importe de Pago
(MX)]]*0.16</f>
        <v>1374328.2656</v>
      </c>
      <c r="AL101" s="1966">
        <f>ROUND(Diario_Documentos_TPL[[#This Row],[Total de Pago
(USD)]]*Diario_Documentos_TPL[[#This Row],[T.C Pago]],2)</f>
        <v>9963879.9299999997</v>
      </c>
      <c r="AM101" s="2018">
        <v>19.213699999999999</v>
      </c>
      <c r="AN101" s="1975"/>
      <c r="AO101" s="1975"/>
      <c r="AP101" s="1975">
        <f>Diario_Documentos_TPL[[#This Row],[Importe de Pago
(MX)]]-Diario_Documentos_TPL[[#This Row],[Importe Pasivo
(MX)]]</f>
        <v>-9030.4865517243743</v>
      </c>
      <c r="AQ101" s="1975">
        <f>Diario_Documentos_TPL[[#This Row],[Total_Paridad]]-Diario_Documentos_TPL[[#This Row],[Subtotal_Paridad]]</f>
        <v>-1444.8734482750297</v>
      </c>
      <c r="AR101" s="1964">
        <f>Diario_Documentos_TPL[[#This Row],[Total de Pago
(MX)]]-Diario_Documentos_TPL[[#This Row],[Total Pasivo
(MX)]]</f>
        <v>-10475.359999999404</v>
      </c>
      <c r="AS101" s="1980"/>
      <c r="AT101" s="1980"/>
      <c r="AU101" s="1980"/>
      <c r="AV101" s="1980"/>
    </row>
    <row r="102" spans="1:48" ht="14.25" hidden="1" customHeight="1" x14ac:dyDescent="0.25">
      <c r="A102" s="1969" t="s">
        <v>598</v>
      </c>
      <c r="B102" s="1969">
        <v>4326979</v>
      </c>
      <c r="C102" s="1969">
        <v>800832451</v>
      </c>
      <c r="D102" s="1969"/>
      <c r="E102" s="1969" t="s">
        <v>632</v>
      </c>
      <c r="F102" s="1969" t="s">
        <v>599</v>
      </c>
      <c r="G102" s="1969" t="s">
        <v>628</v>
      </c>
      <c r="H102" s="1969" t="str">
        <f>VLOOKUP(Diario_Documentos_TPL[[#This Row],[Centro Gestor]],Catalogo_Centro_Gestor[],2,FALSE)</f>
        <v>Gas. Corredor Chihuahua</v>
      </c>
      <c r="I102" s="1969" t="s">
        <v>630</v>
      </c>
      <c r="J102" s="1973">
        <f>IF(YEAR(Diario_Documentos_TPL[[#This Row],[Fecha de Pago]])=1900, "SIN PAGO",YEAR(Diario_Documentos_TPL[[#This Row],[Fecha de Pago]]))</f>
        <v>2018</v>
      </c>
      <c r="K102" s="1971">
        <v>2018</v>
      </c>
      <c r="L102" s="1973">
        <f>IF(MONTH(Diario_Documentos_TPL[[#This Row],[Fecha de Pago]])=0, "SIN PAGO",MONTH(Diario_Documentos_TPL[[#This Row],[Fecha de Pago]]))</f>
        <v>7</v>
      </c>
      <c r="M102" s="1971">
        <v>6</v>
      </c>
      <c r="N102" s="1971" t="str">
        <f>VLOOKUP(Diario_Documentos_TPL[[#This Row],[Periodo del Servicio]],'Tablas (2)'!$L$3:$M$14,2,FALSE)</f>
        <v>JUNIO</v>
      </c>
      <c r="O102" s="1971" t="s">
        <v>265</v>
      </c>
      <c r="P102" s="1971" t="s">
        <v>340</v>
      </c>
      <c r="Q102" s="1971" t="s">
        <v>165</v>
      </c>
      <c r="R102" s="1969">
        <v>2233</v>
      </c>
      <c r="S102" s="1969">
        <v>453882</v>
      </c>
      <c r="T102" s="1969" t="s">
        <v>629</v>
      </c>
      <c r="U102" s="1969" t="s">
        <v>221</v>
      </c>
      <c r="V102" s="1969">
        <v>180002692</v>
      </c>
      <c r="W102" s="1970">
        <v>43292</v>
      </c>
      <c r="X102" s="1966">
        <f>Diario_Documentos_TPL[[#This Row],[Total Pasivo
(USD)]]/1.16</f>
        <v>4193487.65</v>
      </c>
      <c r="Y102" s="1966">
        <f>Diario_Documentos_TPL[[#This Row],[Importe Pasivo
(USD)]]*0.16</f>
        <v>670958.02399999998</v>
      </c>
      <c r="Z102" s="1966">
        <f>4193487.65*1.16</f>
        <v>4864445.6739999996</v>
      </c>
      <c r="AA102" s="1966">
        <f>Diario_Documentos_TPL[[#This Row],[Total Pasivo
(MX)]]/1.16</f>
        <v>79910677.36498405</v>
      </c>
      <c r="AB102" s="1966">
        <f>Diario_Documentos_TPL[[#This Row],[Importe Pasivo
(MX)]]*0.16</f>
        <v>12785708.378397448</v>
      </c>
      <c r="AC102" s="1966">
        <f>Diario_Documentos_TPL[[#This Row],[Total Pasivo
(USD)]]*AD105</f>
        <v>92696385.7433815</v>
      </c>
      <c r="AD102" s="2017">
        <f>IFERROR(Diario_Documentos_TPL[[#This Row],[Total Pasivo
(MX)]]/Diario_Documentos_TPL[[#This Row],[Total Pasivo
(USD)]],0)</f>
        <v>19.055899059338845</v>
      </c>
      <c r="AE102" s="1969">
        <v>140003897</v>
      </c>
      <c r="AF102" s="1970">
        <v>43307</v>
      </c>
      <c r="AG102" s="1967">
        <f>Diario_Documentos_TPL[[#This Row],[Total de Pago
(USD)]]/1.16</f>
        <v>4193487.65</v>
      </c>
      <c r="AH102" s="1966">
        <f>Diario_Documentos_TPL[[#This Row],[Importe de Pago
(USD)]]*0.16</f>
        <v>670958.02399999998</v>
      </c>
      <c r="AI102" s="1966">
        <f>Diario_Documentos_TPL[[#This Row],[Total Pasivo
(USD)]]</f>
        <v>4864445.6739999996</v>
      </c>
      <c r="AJ102" s="1966">
        <f>ROUND(Diario_Documentos_TPL[[#This Row],[Total de Pago
(MX)]]/1.16,2)</f>
        <v>79049758.290000007</v>
      </c>
      <c r="AK102" s="1966">
        <f>Diario_Documentos_TPL[[#This Row],[Importe de Pago
(MX)]]*0.16</f>
        <v>12647961.326400001</v>
      </c>
      <c r="AL102" s="1966">
        <f>ROUND(Diario_Documentos_TPL[[#This Row],[Total de Pago
(USD)]]*Diario_Documentos_TPL[[#This Row],[T.C Pago]],2)</f>
        <v>91697719.620000005</v>
      </c>
      <c r="AM102" s="2018">
        <v>18.8506</v>
      </c>
      <c r="AN102" s="1975"/>
      <c r="AO102" s="1975"/>
      <c r="AP102" s="1975">
        <f>Diario_Documentos_TPL[[#This Row],[Importe de Pago
(MX)]]-Diario_Documentos_TPL[[#This Row],[Importe Pasivo
(MX)]]</f>
        <v>-860919.07498404384</v>
      </c>
      <c r="AQ102" s="1975">
        <f>Diario_Documentos_TPL[[#This Row],[Total_Paridad]]-Diario_Documentos_TPL[[#This Row],[Subtotal_Paridad]]</f>
        <v>-137747.04839745164</v>
      </c>
      <c r="AR102" s="1964">
        <f>Diario_Documentos_TPL[[#This Row],[Total de Pago
(MX)]]-Diario_Documentos_TPL[[#This Row],[Total Pasivo
(MX)]]</f>
        <v>-998666.12338149548</v>
      </c>
      <c r="AS102" s="1980"/>
      <c r="AT102" s="1980"/>
      <c r="AU102" s="1980"/>
      <c r="AV102" s="1980"/>
    </row>
    <row r="103" spans="1:48" ht="14.25" hidden="1" customHeight="1" x14ac:dyDescent="0.25">
      <c r="A103" s="1969" t="s">
        <v>598</v>
      </c>
      <c r="B103" s="1969">
        <v>4326979</v>
      </c>
      <c r="C103" s="1969">
        <v>800832451</v>
      </c>
      <c r="D103" s="1969"/>
      <c r="E103" s="1969" t="s">
        <v>632</v>
      </c>
      <c r="F103" s="1969" t="s">
        <v>599</v>
      </c>
      <c r="G103" s="1969" t="s">
        <v>628</v>
      </c>
      <c r="H103" s="1969" t="str">
        <f>VLOOKUP(Diario_Documentos_TPL[[#This Row],[Centro Gestor]],Catalogo_Centro_Gestor[],2,FALSE)</f>
        <v>CC NORTE II</v>
      </c>
      <c r="I103" s="1969" t="s">
        <v>630</v>
      </c>
      <c r="J103" s="1973">
        <f>IF(YEAR(Diario_Documentos_TPL[[#This Row],[Fecha de Pago]])=1900, "SIN PAGO",YEAR(Diario_Documentos_TPL[[#This Row],[Fecha de Pago]]))</f>
        <v>2018</v>
      </c>
      <c r="K103" s="1971">
        <v>2018</v>
      </c>
      <c r="L103" s="1973">
        <f>IF(MONTH(Diario_Documentos_TPL[[#This Row],[Fecha de Pago]])=0, "SIN PAGO",MONTH(Diario_Documentos_TPL[[#This Row],[Fecha de Pago]]))</f>
        <v>7</v>
      </c>
      <c r="M103" s="1971">
        <v>6</v>
      </c>
      <c r="N103" s="1971" t="str">
        <f>VLOOKUP(Diario_Documentos_TPL[[#This Row],[Periodo del Servicio]],'Tablas (2)'!$L$3:$M$14,2,FALSE)</f>
        <v>JUNIO</v>
      </c>
      <c r="O103" s="1971" t="s">
        <v>265</v>
      </c>
      <c r="P103" s="1971" t="s">
        <v>340</v>
      </c>
      <c r="Q103" s="1971" t="s">
        <v>165</v>
      </c>
      <c r="R103" s="1969">
        <v>7249</v>
      </c>
      <c r="S103" s="1969">
        <v>468079</v>
      </c>
      <c r="T103" s="1969" t="s">
        <v>629</v>
      </c>
      <c r="U103" s="1969" t="s">
        <v>238</v>
      </c>
      <c r="V103" s="1969">
        <v>180002692</v>
      </c>
      <c r="W103" s="1970">
        <v>43292</v>
      </c>
      <c r="X103" s="1966">
        <f>Diario_Documentos_TPL[[#This Row],[Total Pasivo
(USD)]]/1.16</f>
        <v>465943.07000000007</v>
      </c>
      <c r="Y103" s="1966">
        <f>Diario_Documentos_TPL[[#This Row],[Importe Pasivo
(USD)]]*0.16</f>
        <v>74550.891200000013</v>
      </c>
      <c r="Z103" s="1966">
        <f>465943.07*1.16</f>
        <v>540493.96120000002</v>
      </c>
      <c r="AA103" s="1966">
        <f>Diario_Documentos_TPL[[#This Row],[Total Pasivo
(MX)]]/1.16</f>
        <v>8925745.2318410017</v>
      </c>
      <c r="AB103" s="1966">
        <f>Diario_Documentos_TPL[[#This Row],[Importe Pasivo
(MX)]]*0.16</f>
        <v>1428119.2370945604</v>
      </c>
      <c r="AC103" s="1966">
        <f>Diario_Documentos_TPL[[#This Row],[Total Pasivo
(USD)]]* 19.1563</f>
        <v>10353864.46893556</v>
      </c>
      <c r="AD103" s="2017">
        <f>IFERROR(Diario_Documentos_TPL[[#This Row],[Total Pasivo
(MX)]]/Diario_Documentos_TPL[[#This Row],[Total Pasivo
(USD)]],0)</f>
        <v>19.156300000000002</v>
      </c>
      <c r="AE103" s="1969">
        <v>140003897</v>
      </c>
      <c r="AF103" s="1970">
        <v>43307</v>
      </c>
      <c r="AG103" s="1967">
        <f>Diario_Documentos_TPL[[#This Row],[Total de Pago
(USD)]]/1.16</f>
        <v>465943.07000000007</v>
      </c>
      <c r="AH103" s="1966">
        <f>Diario_Documentos_TPL[[#This Row],[Importe de Pago
(USD)]]*0.16</f>
        <v>74550.891200000013</v>
      </c>
      <c r="AI103" s="1966">
        <f>Diario_Documentos_TPL[[#This Row],[Total Pasivo
(USD)]]</f>
        <v>540493.96120000002</v>
      </c>
      <c r="AJ103" s="1966">
        <f>ROUND(Diario_Documentos_TPL[[#This Row],[Total de Pago
(MX)]]/1.16,2)</f>
        <v>8783306.4299999997</v>
      </c>
      <c r="AK103" s="1966">
        <f>Diario_Documentos_TPL[[#This Row],[Importe de Pago
(MX)]]*0.16</f>
        <v>1405329.0288</v>
      </c>
      <c r="AL103" s="1966">
        <f>ROUND(Diario_Documentos_TPL[[#This Row],[Total de Pago
(USD)]]*Diario_Documentos_TPL[[#This Row],[T.C Pago]],2)</f>
        <v>10188635.460000001</v>
      </c>
      <c r="AM103" s="2018">
        <v>18.8506</v>
      </c>
      <c r="AN103" s="1975"/>
      <c r="AO103" s="1975"/>
      <c r="AP103" s="1975">
        <f>Diario_Documentos_TPL[[#This Row],[Importe de Pago
(MX)]]-Diario_Documentos_TPL[[#This Row],[Importe Pasivo
(MX)]]</f>
        <v>-142438.80184100196</v>
      </c>
      <c r="AQ103" s="1975">
        <f>Diario_Documentos_TPL[[#This Row],[Total_Paridad]]-Diario_Documentos_TPL[[#This Row],[Subtotal_Paridad]]</f>
        <v>-22790.207094557583</v>
      </c>
      <c r="AR103" s="1964">
        <f>Diario_Documentos_TPL[[#This Row],[Total de Pago
(MX)]]-Diario_Documentos_TPL[[#This Row],[Total Pasivo
(MX)]]</f>
        <v>-165229.00893555954</v>
      </c>
      <c r="AS103" s="1980"/>
      <c r="AT103" s="1980"/>
      <c r="AU103" s="1980"/>
      <c r="AV103" s="1980"/>
    </row>
    <row r="104" spans="1:48" ht="14.25" hidden="1" customHeight="1" x14ac:dyDescent="0.25">
      <c r="A104" s="1969" t="s">
        <v>598</v>
      </c>
      <c r="B104" s="1969">
        <v>4326979</v>
      </c>
      <c r="C104" s="1969">
        <v>800832773</v>
      </c>
      <c r="D104" s="1969"/>
      <c r="E104" s="1969" t="s">
        <v>632</v>
      </c>
      <c r="F104" s="1969" t="s">
        <v>599</v>
      </c>
      <c r="G104" s="1969" t="s">
        <v>628</v>
      </c>
      <c r="H104" s="1969" t="str">
        <f>VLOOKUP(Diario_Documentos_TPL[[#This Row],[Centro Gestor]],Catalogo_Centro_Gestor[],2,FALSE)</f>
        <v>CC NORTE II</v>
      </c>
      <c r="I104" s="1969" t="s">
        <v>630</v>
      </c>
      <c r="J104" s="1973">
        <f>IF(YEAR(Diario_Documentos_TPL[[#This Row],[Fecha de Pago]])=1900, "SIN PAGO",YEAR(Diario_Documentos_TPL[[#This Row],[Fecha de Pago]]))</f>
        <v>2018</v>
      </c>
      <c r="K104" s="1971">
        <v>2018</v>
      </c>
      <c r="L104" s="1973">
        <f>IF(MONTH(Diario_Documentos_TPL[[#This Row],[Fecha de Pago]])=0, "SIN PAGO",MONTH(Diario_Documentos_TPL[[#This Row],[Fecha de Pago]]))</f>
        <v>7</v>
      </c>
      <c r="M104" s="1971">
        <v>6</v>
      </c>
      <c r="N104" s="1971" t="str">
        <f>VLOOKUP(Diario_Documentos_TPL[[#This Row],[Periodo del Servicio]],'Tablas (2)'!$L$3:$M$14,2,FALSE)</f>
        <v>JUNIO</v>
      </c>
      <c r="O104" s="1971" t="s">
        <v>265</v>
      </c>
      <c r="P104" s="1971" t="s">
        <v>470</v>
      </c>
      <c r="Q104" s="1971" t="s">
        <v>165</v>
      </c>
      <c r="R104" s="1969">
        <v>7237</v>
      </c>
      <c r="S104" s="1969">
        <v>468074</v>
      </c>
      <c r="T104" s="1969" t="s">
        <v>629</v>
      </c>
      <c r="U104" s="1969" t="s">
        <v>238</v>
      </c>
      <c r="V104" s="1969">
        <v>180002695</v>
      </c>
      <c r="W104" s="1970">
        <v>43292</v>
      </c>
      <c r="X104" s="1966">
        <f>Diario_Documentos_TPL[[#This Row],[Total Pasivo
(USD)]]/1.16</f>
        <v>2264.33</v>
      </c>
      <c r="Y104" s="1966">
        <f>Diario_Documentos_TPL[[#This Row],[Importe Pasivo
(USD)]]*0.16</f>
        <v>362.2928</v>
      </c>
      <c r="Z104" s="1966">
        <f>2264.33*1.16</f>
        <v>2626.6227999999996</v>
      </c>
      <c r="AA104" s="1966">
        <v>50316.51</v>
      </c>
      <c r="AB104" s="1966">
        <f>Diario_Documentos_TPL[[#This Row],[Importe Pasivo
(MX)]]*0.16</f>
        <v>8050.6416000000008</v>
      </c>
      <c r="AC104" s="1966">
        <f>50316.51</f>
        <v>50316.51</v>
      </c>
      <c r="AD104" s="2017">
        <f>IFERROR(Diario_Documentos_TPL[[#This Row],[Total Pasivo
(MX)]]/Diario_Documentos_TPL[[#This Row],[Total Pasivo
(USD)]],0)</f>
        <v>19.156351646684865</v>
      </c>
      <c r="AE104" s="1969">
        <v>140003897</v>
      </c>
      <c r="AF104" s="1970">
        <v>43307</v>
      </c>
      <c r="AG104" s="1967">
        <f>Diario_Documentos_TPL[[#This Row],[Total de Pago
(USD)]]/1.16</f>
        <v>2264.33</v>
      </c>
      <c r="AH104" s="1966">
        <f>Diario_Documentos_TPL[[#This Row],[Importe de Pago
(USD)]]*0.16</f>
        <v>362.2928</v>
      </c>
      <c r="AI104" s="1966">
        <f>Diario_Documentos_TPL[[#This Row],[Total Pasivo
(USD)]]</f>
        <v>2626.6227999999996</v>
      </c>
      <c r="AJ104" s="1966">
        <f>ROUND(Diario_Documentos_TPL[[#This Row],[Total de Pago
(MX)]]/1.16,2)</f>
        <v>42683.98</v>
      </c>
      <c r="AK104" s="1966">
        <f>Diario_Documentos_TPL[[#This Row],[Importe de Pago
(MX)]]*0.16</f>
        <v>6829.4368000000004</v>
      </c>
      <c r="AL104" s="1966">
        <f>ROUND(Diario_Documentos_TPL[[#This Row],[Total de Pago
(USD)]]*Diario_Documentos_TPL[[#This Row],[T.C Pago]],2)</f>
        <v>49513.42</v>
      </c>
      <c r="AM104" s="2018">
        <v>18.8506</v>
      </c>
      <c r="AN104" s="1975"/>
      <c r="AO104" s="1975"/>
      <c r="AP104" s="1975">
        <f>Diario_Documentos_TPL[[#This Row],[Importe de Pago
(MX)]]-Diario_Documentos_TPL[[#This Row],[Importe Pasivo
(MX)]]</f>
        <v>-7632.5299999999988</v>
      </c>
      <c r="AQ104" s="1975">
        <f>Diario_Documentos_TPL[[#This Row],[Total_Paridad]]-Diario_Documentos_TPL[[#This Row],[Subtotal_Paridad]]</f>
        <v>6829.4399999999951</v>
      </c>
      <c r="AR104" s="1964">
        <f>Diario_Documentos_TPL[[#This Row],[Total de Pago
(MX)]]-Diario_Documentos_TPL[[#This Row],[Total Pasivo
(MX)]]</f>
        <v>-803.09000000000378</v>
      </c>
      <c r="AS104" s="1980"/>
      <c r="AT104" s="1980"/>
      <c r="AU104" s="1980"/>
      <c r="AV104" s="1980"/>
    </row>
    <row r="105" spans="1:48" ht="14.25" hidden="1" customHeight="1" x14ac:dyDescent="0.25">
      <c r="A105" s="1969" t="s">
        <v>598</v>
      </c>
      <c r="B105" s="1969">
        <v>4326979</v>
      </c>
      <c r="C105" s="1969">
        <v>800832773</v>
      </c>
      <c r="D105" s="1969"/>
      <c r="E105" s="1969" t="s">
        <v>632</v>
      </c>
      <c r="F105" s="1969" t="s">
        <v>599</v>
      </c>
      <c r="G105" s="1969" t="s">
        <v>628</v>
      </c>
      <c r="H105" s="1969" t="str">
        <f>VLOOKUP(Diario_Documentos_TPL[[#This Row],[Centro Gestor]],Catalogo_Centro_Gestor[],2,FALSE)</f>
        <v>CC NORTE II</v>
      </c>
      <c r="I105" s="1969" t="s">
        <v>630</v>
      </c>
      <c r="J105" s="1972">
        <f>IF(YEAR(Diario_Documentos_TPL[[#This Row],[Fecha de Pago]])=1900, "SIN PAGO",YEAR(Diario_Documentos_TPL[[#This Row],[Fecha de Pago]]))</f>
        <v>2018</v>
      </c>
      <c r="K105" s="1973">
        <v>2018</v>
      </c>
      <c r="L105" s="1972">
        <f>IF(MONTH(Diario_Documentos_TPL[[#This Row],[Fecha de Pago]])=0, "SIN PAGO",MONTH(Diario_Documentos_TPL[[#This Row],[Fecha de Pago]]))</f>
        <v>7</v>
      </c>
      <c r="M105" s="1971">
        <v>6</v>
      </c>
      <c r="N105" s="1971" t="str">
        <f>VLOOKUP(Diario_Documentos_TPL[[#This Row],[Periodo del Servicio]],'Tablas (2)'!$L$3:$M$14,2,FALSE)</f>
        <v>JUNIO</v>
      </c>
      <c r="O105" s="1971" t="s">
        <v>639</v>
      </c>
      <c r="P105" s="1971" t="s">
        <v>470</v>
      </c>
      <c r="Q105" s="1971" t="s">
        <v>165</v>
      </c>
      <c r="R105" s="1969">
        <v>7237</v>
      </c>
      <c r="S105" s="1969">
        <v>468074</v>
      </c>
      <c r="T105" s="1969" t="s">
        <v>629</v>
      </c>
      <c r="U105" s="1969" t="s">
        <v>238</v>
      </c>
      <c r="V105" s="1969">
        <v>180002732</v>
      </c>
      <c r="W105" s="1970">
        <v>43293</v>
      </c>
      <c r="X105" s="1976">
        <f>Diario_Documentos_TPL[[#This Row],[Total Pasivo
(USD)]]/1.16</f>
        <v>3428.4396551724139</v>
      </c>
      <c r="Y105" s="1976">
        <f>Diario_Documentos_TPL[[#This Row],[Importe Pasivo
(USD)]]*0.16</f>
        <v>548.55034482758629</v>
      </c>
      <c r="Z105" s="1976">
        <v>3976.99</v>
      </c>
      <c r="AA105" s="1976">
        <f>Diario_Documentos_TPL[[#This Row],[Total Pasivo
(MX)]]/1.16</f>
        <v>65332</v>
      </c>
      <c r="AB105" s="1976">
        <f>Diario_Documentos_TPL[[#This Row],[Importe Pasivo
(MX)]]*0.16</f>
        <v>10453.120000000001</v>
      </c>
      <c r="AC105" s="1976">
        <v>75785.119999999995</v>
      </c>
      <c r="AD105" s="2017">
        <f>IFERROR(Diario_Documentos_TPL[[#This Row],[Total Pasivo
(MX)]]/Diario_Documentos_TPL[[#This Row],[Total Pasivo
(USD)]],0)</f>
        <v>19.055899059338845</v>
      </c>
      <c r="AE105" s="1969">
        <v>140003972</v>
      </c>
      <c r="AF105" s="1970">
        <v>43311</v>
      </c>
      <c r="AG105" s="1977">
        <f>Diario_Documentos_TPL[[#This Row],[Total de Pago
(USD)]]/1.16</f>
        <v>3428.4396551724139</v>
      </c>
      <c r="AH105" s="1977">
        <f>Diario_Documentos_TPL[[#This Row],[Importe de Pago
(USD)]]*0.16</f>
        <v>548.55034482758629</v>
      </c>
      <c r="AI105" s="1983">
        <f>Diario_Documentos_TPL[[#This Row],[Total Pasivo
(USD)]]</f>
        <v>3976.99</v>
      </c>
      <c r="AJ105" s="1976">
        <f>ROUND(Diario_Documentos_TPL[[#This Row],[Total de Pago
(MX)]]/1.16,2)</f>
        <v>64628.15</v>
      </c>
      <c r="AK105" s="1976">
        <f>Diario_Documentos_TPL[[#This Row],[Importe de Pago
(MX)]]*0.16</f>
        <v>10340.504000000001</v>
      </c>
      <c r="AL105" s="1983">
        <f>ROUND(Diario_Documentos_TPL[[#This Row],[Total de Pago
(USD)]]*Diario_Documentos_TPL[[#This Row],[T.C Pago]],2)</f>
        <v>74968.649999999994</v>
      </c>
      <c r="AM105" s="2018">
        <v>18.8506</v>
      </c>
      <c r="AN105" s="1975"/>
      <c r="AO105" s="1975"/>
      <c r="AP105" s="1965">
        <f>Diario_Documentos_TPL[[#This Row],[Importe de Pago
(MX)]]-Diario_Documentos_TPL[[#This Row],[Importe Pasivo
(MX)]]</f>
        <v>-703.84999999999854</v>
      </c>
      <c r="AQ105" s="1965">
        <f>Diario_Documentos_TPL[[#This Row],[Total_Paridad]]-Diario_Documentos_TPL[[#This Row],[Subtotal_Paridad]]</f>
        <v>-112.62000000000262</v>
      </c>
      <c r="AR105" s="1964">
        <f>Diario_Documentos_TPL[[#This Row],[Total de Pago
(MX)]]-Diario_Documentos_TPL[[#This Row],[Total Pasivo
(MX)]]</f>
        <v>-816.47000000000116</v>
      </c>
      <c r="AS105" s="1982"/>
      <c r="AT105" s="1980"/>
      <c r="AU105" s="1980"/>
      <c r="AV105" s="1980"/>
    </row>
    <row r="106" spans="1:48" ht="14.25" hidden="1" customHeight="1" x14ac:dyDescent="0.25">
      <c r="A106" s="1969" t="s">
        <v>598</v>
      </c>
      <c r="B106" s="1969">
        <v>4326979</v>
      </c>
      <c r="C106" s="1969">
        <v>800832773</v>
      </c>
      <c r="D106" s="1969"/>
      <c r="E106" s="1969" t="s">
        <v>632</v>
      </c>
      <c r="F106" s="1969" t="s">
        <v>599</v>
      </c>
      <c r="G106" s="1969" t="s">
        <v>628</v>
      </c>
      <c r="H106" s="1969" t="str">
        <f>VLOOKUP(Diario_Documentos_TPL[[#This Row],[Centro Gestor]],Catalogo_Centro_Gestor[],2,FALSE)</f>
        <v>CC NORTE II</v>
      </c>
      <c r="I106" s="1969" t="s">
        <v>630</v>
      </c>
      <c r="J106" s="1972">
        <f>IF(YEAR(Diario_Documentos_TPL[[#This Row],[Fecha de Pago]])=1900, "SIN PAGO",YEAR(Diario_Documentos_TPL[[#This Row],[Fecha de Pago]]))</f>
        <v>2018</v>
      </c>
      <c r="K106" s="1971">
        <v>2018</v>
      </c>
      <c r="L106" s="1972">
        <f>IF(MONTH(Diario_Documentos_TPL[[#This Row],[Fecha de Pago]])=0, "SIN PAGO",MONTH(Diario_Documentos_TPL[[#This Row],[Fecha de Pago]]))</f>
        <v>10</v>
      </c>
      <c r="M106" s="1971">
        <v>6</v>
      </c>
      <c r="N106" s="1971" t="str">
        <f>VLOOKUP(Diario_Documentos_TPL[[#This Row],[Periodo del Servicio]],'Tablas (2)'!$L$3:$M$14,2,FALSE)</f>
        <v>JUNIO</v>
      </c>
      <c r="O106" s="2012" t="s">
        <v>743</v>
      </c>
      <c r="P106" s="1971" t="s">
        <v>470</v>
      </c>
      <c r="Q106" s="1971" t="s">
        <v>165</v>
      </c>
      <c r="R106" s="1969">
        <v>7237</v>
      </c>
      <c r="S106" s="1969">
        <v>468074</v>
      </c>
      <c r="T106" s="1969" t="s">
        <v>629</v>
      </c>
      <c r="U106" s="1969" t="s">
        <v>238</v>
      </c>
      <c r="V106" s="1969">
        <v>180004162</v>
      </c>
      <c r="W106" s="1970">
        <v>43391</v>
      </c>
      <c r="X106" s="1966">
        <f>Diario_Documentos_TPL[[#This Row],[Total Pasivo
(USD)]]/1.16</f>
        <v>295.65517241379308</v>
      </c>
      <c r="Y106" s="1966">
        <f>Diario_Documentos_TPL[[#This Row],[Importe Pasivo
(USD)]]*0.16</f>
        <v>47.304827586206891</v>
      </c>
      <c r="Z106" s="1966">
        <v>342.96</v>
      </c>
      <c r="AA106" s="1966">
        <f>Diario_Documentos_TPL[[#This Row],[Total Pasivo
(MX)]]/1.16</f>
        <v>4794.3362068965525</v>
      </c>
      <c r="AB106" s="1966">
        <f>Diario_Documentos_TPL[[#This Row],[Importe Pasivo
(MX)]]*0.16</f>
        <v>767.09379310344843</v>
      </c>
      <c r="AC106" s="1966">
        <v>5561.43</v>
      </c>
      <c r="AD106" s="2017">
        <f>IFERROR(Diario_Documentos_TPL[[#This Row],[Total Pasivo
(MX)]]/Diario_Documentos_TPL[[#This Row],[Total Pasivo
(USD)]],0)</f>
        <v>16.215972708187547</v>
      </c>
      <c r="AE106" s="1969">
        <v>140005736</v>
      </c>
      <c r="AF106" s="1970">
        <v>43402</v>
      </c>
      <c r="AG106" s="1967">
        <f>Diario_Documentos_TPL[[#This Row],[Total de Pago
(USD)]]/1.16</f>
        <v>295.65517241379308</v>
      </c>
      <c r="AH106" s="1966">
        <f>Diario_Documentos_TPL[[#This Row],[Importe de Pago
(USD)]]*0.16</f>
        <v>47.304827586206891</v>
      </c>
      <c r="AI106" s="1966">
        <f>Diario_Documentos_TPL[[#This Row],[Total Pasivo
(USD)]]</f>
        <v>342.96</v>
      </c>
      <c r="AJ106" s="1966">
        <f>ROUND(Diario_Documentos_TPL[[#This Row],[Total de Pago
(MX)]]/1.16,2)</f>
        <v>5759.07</v>
      </c>
      <c r="AK106" s="1966">
        <f>Diario_Documentos_TPL[[#This Row],[Importe de Pago
(MX)]]*0.16</f>
        <v>921.45119999999997</v>
      </c>
      <c r="AL106" s="1966">
        <f>ROUND(Diario_Documentos_TPL[[#This Row],[Total de Pago
(USD)]]*Diario_Documentos_TPL[[#This Row],[T.C Pago]],2)</f>
        <v>6680.52</v>
      </c>
      <c r="AM106" s="2018">
        <v>19.478999999999999</v>
      </c>
      <c r="AN106" s="1975"/>
      <c r="AO106" s="1975"/>
      <c r="AP106" s="1975">
        <f>Diario_Documentos_TPL[[#This Row],[Importe de Pago
(MX)]]-Diario_Documentos_TPL[[#This Row],[Importe Pasivo
(MX)]]</f>
        <v>964.73379310344717</v>
      </c>
      <c r="AQ106" s="1975">
        <f>Diario_Documentos_TPL[[#This Row],[Total_Paridad]]-Diario_Documentos_TPL[[#This Row],[Subtotal_Paridad]]</f>
        <v>154.35620689655298</v>
      </c>
      <c r="AR106" s="1964">
        <f>Diario_Documentos_TPL[[#This Row],[Total de Pago
(MX)]]-Diario_Documentos_TPL[[#This Row],[Total Pasivo
(MX)]]</f>
        <v>1119.0900000000001</v>
      </c>
      <c r="AS106" s="1982"/>
      <c r="AT106" s="1980"/>
      <c r="AU106" s="1980"/>
      <c r="AV106" s="1980"/>
    </row>
    <row r="107" spans="1:48" ht="14.25" hidden="1" customHeight="1" x14ac:dyDescent="0.25">
      <c r="A107" s="1969" t="s">
        <v>598</v>
      </c>
      <c r="B107" s="1969">
        <v>4326979</v>
      </c>
      <c r="C107" s="1969">
        <v>800832451</v>
      </c>
      <c r="D107" s="1969"/>
      <c r="E107" s="1969" t="s">
        <v>632</v>
      </c>
      <c r="F107" s="1969" t="s">
        <v>631</v>
      </c>
      <c r="G107" s="1969" t="s">
        <v>628</v>
      </c>
      <c r="H107" s="1969" t="str">
        <f>VLOOKUP(Diario_Documentos_TPL[[#This Row],[Centro Gestor]],Catalogo_Centro_Gestor[],2,FALSE)</f>
        <v>Gas. Corredor Chihuahua</v>
      </c>
      <c r="I107" s="1969" t="s">
        <v>630</v>
      </c>
      <c r="J107" s="1973">
        <f>IF(YEAR(Diario_Documentos_TPL[[#This Row],[Fecha de Pago]])=1900, "SIN PAGO",YEAR(Diario_Documentos_TPL[[#This Row],[Fecha de Pago]]))</f>
        <v>2018</v>
      </c>
      <c r="K107" s="1971">
        <v>2018</v>
      </c>
      <c r="L107" s="1973">
        <f>IF(MONTH(Diario_Documentos_TPL[[#This Row],[Fecha de Pago]])=0, "SIN PAGO",MONTH(Diario_Documentos_TPL[[#This Row],[Fecha de Pago]]))</f>
        <v>7</v>
      </c>
      <c r="M107" s="1971">
        <v>6</v>
      </c>
      <c r="N107" s="1971" t="str">
        <f>VLOOKUP(Diario_Documentos_TPL[[#This Row],[Periodo del Servicio]],'Tablas (2)'!$L$3:$M$14,2,FALSE)</f>
        <v>JUNIO</v>
      </c>
      <c r="O107" s="1971" t="s">
        <v>284</v>
      </c>
      <c r="P107" s="1971" t="s">
        <v>340</v>
      </c>
      <c r="Q107" s="1971" t="s">
        <v>165</v>
      </c>
      <c r="R107" s="1969">
        <v>2233</v>
      </c>
      <c r="S107" s="1969">
        <v>453882</v>
      </c>
      <c r="T107" s="1969" t="s">
        <v>629</v>
      </c>
      <c r="U107" s="1969" t="s">
        <v>221</v>
      </c>
      <c r="V107" s="1969">
        <v>180002692</v>
      </c>
      <c r="W107" s="1970">
        <v>43292</v>
      </c>
      <c r="X107" s="1966">
        <f>Diario_Documentos_TPL[[#This Row],[Total Pasivo
(USD)]]/1.16</f>
        <v>447053.49</v>
      </c>
      <c r="Y107" s="1966">
        <f>Diario_Documentos_TPL[[#This Row],[Importe Pasivo
(USD)]]*0.16</f>
        <v>71528.558399999994</v>
      </c>
      <c r="Z107" s="1966">
        <f>447053.49*1.16</f>
        <v>518582.04839999997</v>
      </c>
      <c r="AA107" s="1966">
        <f>Diario_Documentos_TPL[[#This Row],[Total Pasivo
(MX)]]/1.16</f>
        <v>8519006.6293103453</v>
      </c>
      <c r="AB107" s="1966">
        <f>Diario_Documentos_TPL[[#This Row],[Importe Pasivo
(MX)]]*0.16</f>
        <v>1363041.0606896554</v>
      </c>
      <c r="AC107" s="1966">
        <v>9882047.6899999995</v>
      </c>
      <c r="AD107" s="2017">
        <f>IFERROR(Diario_Documentos_TPL[[#This Row],[Total Pasivo
(MX)]]/Diario_Documentos_TPL[[#This Row],[Total Pasivo
(USD)]],0)</f>
        <v>19.05590006535984</v>
      </c>
      <c r="AE107" s="1969">
        <v>140003901</v>
      </c>
      <c r="AF107" s="1970">
        <v>43307</v>
      </c>
      <c r="AG107" s="1967">
        <f>Diario_Documentos_TPL[[#This Row],[Total de Pago
(USD)]]/1.16</f>
        <v>447053.49</v>
      </c>
      <c r="AH107" s="1966">
        <f>Diario_Documentos_TPL[[#This Row],[Importe de Pago
(USD)]]*0.16</f>
        <v>71528.558399999994</v>
      </c>
      <c r="AI107" s="1966">
        <f>Diario_Documentos_TPL[[#This Row],[Total Pasivo
(USD)]]</f>
        <v>518582.04839999997</v>
      </c>
      <c r="AJ107" s="1966">
        <f>ROUND(Diario_Documentos_TPL[[#This Row],[Total de Pago
(MX)]]/1.16,2)</f>
        <v>8427226.5199999996</v>
      </c>
      <c r="AK107" s="1966">
        <f>Diario_Documentos_TPL[[#This Row],[Importe de Pago
(MX)]]*0.16</f>
        <v>1348356.2431999999</v>
      </c>
      <c r="AL107" s="1966">
        <f>ROUND(Diario_Documentos_TPL[[#This Row],[Total de Pago
(USD)]]*Diario_Documentos_TPL[[#This Row],[T.C Pago]],2)</f>
        <v>9775582.7599999998</v>
      </c>
      <c r="AM107" s="2018">
        <v>18.8506</v>
      </c>
      <c r="AN107" s="1975"/>
      <c r="AO107" s="1975"/>
      <c r="AP107" s="1975">
        <f>Diario_Documentos_TPL[[#This Row],[Importe de Pago
(MX)]]-Diario_Documentos_TPL[[#This Row],[Importe Pasivo
(MX)]]</f>
        <v>-91780.109310345724</v>
      </c>
      <c r="AQ107" s="1975">
        <f>Diario_Documentos_TPL[[#This Row],[Total_Paridad]]-Diario_Documentos_TPL[[#This Row],[Subtotal_Paridad]]</f>
        <v>-14684.820689653978</v>
      </c>
      <c r="AR107" s="1964">
        <f>Diario_Documentos_TPL[[#This Row],[Total de Pago
(MX)]]-Diario_Documentos_TPL[[#This Row],[Total Pasivo
(MX)]]</f>
        <v>-106464.9299999997</v>
      </c>
      <c r="AS107" s="1982"/>
      <c r="AT107" s="1980"/>
      <c r="AU107" s="1980"/>
      <c r="AV107" s="1980"/>
    </row>
    <row r="108" spans="1:48" ht="14.25" hidden="1" customHeight="1" x14ac:dyDescent="0.25">
      <c r="A108" s="1969" t="s">
        <v>598</v>
      </c>
      <c r="B108" s="1969">
        <v>4326979</v>
      </c>
      <c r="C108" s="1969">
        <v>800832451</v>
      </c>
      <c r="D108" s="1969"/>
      <c r="E108" s="1969" t="s">
        <v>632</v>
      </c>
      <c r="F108" s="1969" t="s">
        <v>599</v>
      </c>
      <c r="G108" s="1969" t="s">
        <v>628</v>
      </c>
      <c r="H108" s="1969" t="str">
        <f>VLOOKUP(Diario_Documentos_TPL[[#This Row],[Centro Gestor]],Catalogo_Centro_Gestor[],2,FALSE)</f>
        <v>Gas. Corredor Chihuahua</v>
      </c>
      <c r="I108" s="1969" t="s">
        <v>630</v>
      </c>
      <c r="J108" s="1972">
        <f>IF(YEAR(Diario_Documentos_TPL[[#This Row],[Fecha de Pago]])=1900, "SIN PAGO",YEAR(Diario_Documentos_TPL[[#This Row],[Fecha de Pago]]))</f>
        <v>2018</v>
      </c>
      <c r="K108" s="1971">
        <v>2018</v>
      </c>
      <c r="L108" s="1972">
        <f>IF(MONTH(Diario_Documentos_TPL[[#This Row],[Fecha de Pago]])=0, "SIN PAGO",MONTH(Diario_Documentos_TPL[[#This Row],[Fecha de Pago]]))</f>
        <v>4</v>
      </c>
      <c r="M108" s="1971">
        <v>3</v>
      </c>
      <c r="N108" s="1971" t="str">
        <f>VLOOKUP(Diario_Documentos_TPL[[#This Row],[Periodo del Servicio]],'Tablas (2)'!$L$3:$M$14,2,FALSE)</f>
        <v>MARZO</v>
      </c>
      <c r="O108" s="1971" t="s">
        <v>643</v>
      </c>
      <c r="P108" s="1971" t="s">
        <v>340</v>
      </c>
      <c r="Q108" s="1971" t="s">
        <v>165</v>
      </c>
      <c r="R108" s="1969">
        <v>2233</v>
      </c>
      <c r="S108" s="1969">
        <v>453882</v>
      </c>
      <c r="T108" s="1969" t="s">
        <v>629</v>
      </c>
      <c r="U108" s="1969" t="s">
        <v>221</v>
      </c>
      <c r="V108" s="1969">
        <v>180001054</v>
      </c>
      <c r="W108" s="1970">
        <v>43200</v>
      </c>
      <c r="X108" s="1966">
        <f>Diario_Documentos_TPL[[#This Row],[Total Pasivo
(USD)]]/1.16</f>
        <v>3655243.0689655175</v>
      </c>
      <c r="Y108" s="1966">
        <f>Diario_Documentos_TPL[[#This Row],[Importe Pasivo
(USD)]]*0.16</f>
        <v>584838.89103448286</v>
      </c>
      <c r="Z108" s="1966">
        <v>4240081.96</v>
      </c>
      <c r="AA108" s="1966">
        <f>Diario_Documentos_TPL[[#This Row],[Total Pasivo
(MX)]]/1.16</f>
        <v>66850009.439655177</v>
      </c>
      <c r="AB108" s="1966">
        <f>Diario_Documentos_TPL[[#This Row],[Importe Pasivo
(MX)]]*0.16</f>
        <v>10696001.510344829</v>
      </c>
      <c r="AC108" s="1966">
        <v>77546010.950000003</v>
      </c>
      <c r="AD108" s="2017">
        <f>IFERROR(Diario_Documentos_TPL[[#This Row],[Total Pasivo
(MX)]]/Diario_Documentos_TPL[[#This Row],[Total Pasivo
(USD)]],0)</f>
        <v>18.288799999988679</v>
      </c>
      <c r="AE108" s="1969">
        <v>140002251</v>
      </c>
      <c r="AF108" s="1968">
        <v>43216</v>
      </c>
      <c r="AG108" s="1967">
        <f>Diario_Documentos_TPL[[#This Row],[Total de Pago
(USD)]]/1.16</f>
        <v>3655243.0689655175</v>
      </c>
      <c r="AH108" s="1966">
        <f>Diario_Documentos_TPL[[#This Row],[Importe de Pago
(USD)]]*0.16</f>
        <v>584838.89103448286</v>
      </c>
      <c r="AI108" s="1966">
        <f>Diario_Documentos_TPL[[#This Row],[Total Pasivo
(USD)]]</f>
        <v>4240081.96</v>
      </c>
      <c r="AJ108" s="1966">
        <f>ROUND(Diario_Documentos_TPL[[#This Row],[Total de Pago
(MX)]]/1.16,2)</f>
        <v>68769377.579999998</v>
      </c>
      <c r="AK108" s="1966">
        <f>Diario_Documentos_TPL[[#This Row],[Importe de Pago
(MX)]]*0.16</f>
        <v>11003100.412799999</v>
      </c>
      <c r="AL108" s="1966">
        <f>ROUND(Diario_Documentos_TPL[[#This Row],[Total de Pago
(USD)]]*Diario_Documentos_TPL[[#This Row],[T.C Pago]],2)</f>
        <v>79772477.989999995</v>
      </c>
      <c r="AM108" s="2018">
        <v>18.8139</v>
      </c>
      <c r="AN108" s="1975"/>
      <c r="AO108" s="1975"/>
      <c r="AP108" s="1975">
        <f>Diario_Documentos_TPL[[#This Row],[Importe de Pago
(MX)]]-Diario_Documentos_TPL[[#This Row],[Importe Pasivo
(MX)]]</f>
        <v>1919368.1403448209</v>
      </c>
      <c r="AQ108" s="1975">
        <f>Diario_Documentos_TPL[[#This Row],[Total_Paridad]]-Diario_Documentos_TPL[[#This Row],[Subtotal_Paridad]]</f>
        <v>307098.89965517074</v>
      </c>
      <c r="AR108" s="1964">
        <f>Diario_Documentos_TPL[[#This Row],[Total de Pago
(MX)]]-Diario_Documentos_TPL[[#This Row],[Total Pasivo
(MX)]]</f>
        <v>2226467.0399999917</v>
      </c>
      <c r="AS108" s="1980"/>
      <c r="AT108" s="1980"/>
      <c r="AU108" s="1980"/>
      <c r="AV108" s="1980"/>
    </row>
    <row r="109" spans="1:48" ht="14.25" hidden="1" customHeight="1" x14ac:dyDescent="0.25">
      <c r="A109" s="1969" t="s">
        <v>598</v>
      </c>
      <c r="B109" s="1969">
        <v>4326979</v>
      </c>
      <c r="C109" s="1969">
        <v>800832451</v>
      </c>
      <c r="D109" s="1969"/>
      <c r="E109" s="1969" t="s">
        <v>632</v>
      </c>
      <c r="F109" s="1969" t="s">
        <v>599</v>
      </c>
      <c r="G109" s="1969" t="s">
        <v>628</v>
      </c>
      <c r="H109" s="1969" t="str">
        <f>VLOOKUP(Diario_Documentos_TPL[[#This Row],[Centro Gestor]],Catalogo_Centro_Gestor[],2,FALSE)</f>
        <v>CC NORTE II</v>
      </c>
      <c r="I109" s="1969" t="s">
        <v>630</v>
      </c>
      <c r="J109" s="1972">
        <f>IF(YEAR(Diario_Documentos_TPL[[#This Row],[Fecha de Pago]])=1900, "SIN PAGO",YEAR(Diario_Documentos_TPL[[#This Row],[Fecha de Pago]]))</f>
        <v>2018</v>
      </c>
      <c r="K109" s="1971">
        <v>2018</v>
      </c>
      <c r="L109" s="1972">
        <f>IF(MONTH(Diario_Documentos_TPL[[#This Row],[Fecha de Pago]])=0, "SIN PAGO",MONTH(Diario_Documentos_TPL[[#This Row],[Fecha de Pago]]))</f>
        <v>4</v>
      </c>
      <c r="M109" s="1971">
        <v>3</v>
      </c>
      <c r="N109" s="1971" t="str">
        <f>VLOOKUP(Diario_Documentos_TPL[[#This Row],[Periodo del Servicio]],'Tablas (2)'!$L$3:$M$14,2,FALSE)</f>
        <v>MARZO</v>
      </c>
      <c r="O109" s="1971" t="s">
        <v>643</v>
      </c>
      <c r="P109" s="1971" t="s">
        <v>340</v>
      </c>
      <c r="Q109" s="1971" t="s">
        <v>165</v>
      </c>
      <c r="R109" s="1969">
        <v>7249</v>
      </c>
      <c r="S109" s="1969">
        <v>468079</v>
      </c>
      <c r="T109" s="1969" t="s">
        <v>629</v>
      </c>
      <c r="U109" s="1969" t="s">
        <v>238</v>
      </c>
      <c r="V109" s="1969">
        <v>180001054</v>
      </c>
      <c r="W109" s="1970">
        <v>43200</v>
      </c>
      <c r="X109" s="1966">
        <f>Diario_Documentos_TPL[[#This Row],[Total Pasivo
(USD)]]/1.16</f>
        <v>419348.75862068968</v>
      </c>
      <c r="Y109" s="1966">
        <f>Diario_Documentos_TPL[[#This Row],[Importe Pasivo
(USD)]]*0.16</f>
        <v>67095.801379310346</v>
      </c>
      <c r="Z109" s="1966">
        <v>486444.56</v>
      </c>
      <c r="AA109" s="1966">
        <f>Diario_Documentos_TPL[[#This Row],[Total Pasivo
(MX)]]/1.16</f>
        <v>7669385.5766620683</v>
      </c>
      <c r="AB109" s="1966">
        <f>Diario_Documentos_TPL[[#This Row],[Importe Pasivo
(MX)]]*0.16</f>
        <v>1227101.6922659311</v>
      </c>
      <c r="AC109" s="1966">
        <v>8896487.2689279988</v>
      </c>
      <c r="AD109" s="2017">
        <f>IFERROR(Diario_Documentos_TPL[[#This Row],[Total Pasivo
(MX)]]/Diario_Documentos_TPL[[#This Row],[Total Pasivo
(USD)]],0)</f>
        <v>18.288799999999998</v>
      </c>
      <c r="AE109" s="1969">
        <v>140002251</v>
      </c>
      <c r="AF109" s="1968">
        <v>43216</v>
      </c>
      <c r="AG109" s="1967">
        <f>Diario_Documentos_TPL[[#This Row],[Total de Pago
(USD)]]/1.16</f>
        <v>419348.75862068968</v>
      </c>
      <c r="AH109" s="1966">
        <f>Diario_Documentos_TPL[[#This Row],[Importe de Pago
(USD)]]*0.16</f>
        <v>67095.801379310346</v>
      </c>
      <c r="AI109" s="1966">
        <f>Diario_Documentos_TPL[[#This Row],[Total Pasivo
(USD)]]</f>
        <v>486444.56</v>
      </c>
      <c r="AJ109" s="1966">
        <f>ROUND(Diario_Documentos_TPL[[#This Row],[Total de Pago
(MX)]]/1.16,2)</f>
        <v>7889585.6100000003</v>
      </c>
      <c r="AK109" s="1966">
        <f>Diario_Documentos_TPL[[#This Row],[Importe de Pago
(MX)]]*0.16</f>
        <v>1262333.6976000001</v>
      </c>
      <c r="AL109" s="1966">
        <f>ROUND(Diario_Documentos_TPL[[#This Row],[Total de Pago
(USD)]]*Diario_Documentos_TPL[[#This Row],[T.C Pago]],2)</f>
        <v>9151919.3100000005</v>
      </c>
      <c r="AM109" s="2018">
        <v>18.8139</v>
      </c>
      <c r="AN109" s="1975"/>
      <c r="AO109" s="1975"/>
      <c r="AP109" s="1975">
        <f>Diario_Documentos_TPL[[#This Row],[Importe de Pago
(MX)]]-Diario_Documentos_TPL[[#This Row],[Importe Pasivo
(MX)]]</f>
        <v>220200.03333793208</v>
      </c>
      <c r="AQ109" s="1975">
        <f>Diario_Documentos_TPL[[#This Row],[Total_Paridad]]-Diario_Documentos_TPL[[#This Row],[Subtotal_Paridad]]</f>
        <v>35232.007734069601</v>
      </c>
      <c r="AR109" s="1964">
        <f>Diario_Documentos_TPL[[#This Row],[Total de Pago
(MX)]]-Diario_Documentos_TPL[[#This Row],[Total Pasivo
(MX)]]</f>
        <v>255432.04107200168</v>
      </c>
      <c r="AS109" s="1980"/>
      <c r="AT109" s="1980"/>
      <c r="AU109" s="1980"/>
      <c r="AV109" s="1980"/>
    </row>
    <row r="110" spans="1:48" ht="14.25" hidden="1" customHeight="1" x14ac:dyDescent="0.25">
      <c r="A110" s="1969" t="s">
        <v>598</v>
      </c>
      <c r="B110" s="1969">
        <v>4326979</v>
      </c>
      <c r="C110" s="1969">
        <v>800832773</v>
      </c>
      <c r="D110" s="1969"/>
      <c r="E110" s="1969" t="s">
        <v>632</v>
      </c>
      <c r="F110" s="1969" t="s">
        <v>599</v>
      </c>
      <c r="G110" s="1969" t="s">
        <v>628</v>
      </c>
      <c r="H110" s="1969" t="str">
        <f>VLOOKUP(Diario_Documentos_TPL[[#This Row],[Centro Gestor]],Catalogo_Centro_Gestor[],2,FALSE)</f>
        <v>CC NORTE II</v>
      </c>
      <c r="I110" s="1969" t="s">
        <v>630</v>
      </c>
      <c r="J110" s="1972">
        <f>IF(YEAR(Diario_Documentos_TPL[[#This Row],[Fecha de Pago]])=1900, "SIN PAGO",YEAR(Diario_Documentos_TPL[[#This Row],[Fecha de Pago]]))</f>
        <v>2018</v>
      </c>
      <c r="K110" s="1971">
        <v>2018</v>
      </c>
      <c r="L110" s="1972">
        <f>IF(MONTH(Diario_Documentos_TPL[[#This Row],[Fecha de Pago]])=0, "SIN PAGO",MONTH(Diario_Documentos_TPL[[#This Row],[Fecha de Pago]]))</f>
        <v>4</v>
      </c>
      <c r="M110" s="1971">
        <v>3</v>
      </c>
      <c r="N110" s="1971" t="str">
        <f>VLOOKUP(Diario_Documentos_TPL[[#This Row],[Periodo del Servicio]],'Tablas (2)'!$L$3:$M$14,2,FALSE)</f>
        <v>MARZO</v>
      </c>
      <c r="O110" s="1971" t="s">
        <v>643</v>
      </c>
      <c r="P110" s="1971" t="s">
        <v>470</v>
      </c>
      <c r="Q110" s="1971" t="s">
        <v>165</v>
      </c>
      <c r="R110" s="1969">
        <v>7237</v>
      </c>
      <c r="S110" s="1969">
        <v>468074</v>
      </c>
      <c r="T110" s="1969" t="s">
        <v>629</v>
      </c>
      <c r="U110" s="1969" t="s">
        <v>238</v>
      </c>
      <c r="V110" s="1969">
        <v>180001055</v>
      </c>
      <c r="W110" s="1970">
        <v>43200</v>
      </c>
      <c r="X110" s="1966">
        <f>Diario_Documentos_TPL[[#This Row],[Total Pasivo
(USD)]]/1.16</f>
        <v>2179.1120689655172</v>
      </c>
      <c r="Y110" s="1966">
        <f>Diario_Documentos_TPL[[#This Row],[Importe Pasivo
(USD)]]*0.16</f>
        <v>348.65793103448277</v>
      </c>
      <c r="Z110" s="1966">
        <v>2527.77</v>
      </c>
      <c r="AA110" s="1966">
        <f>Diario_Documentos_TPL[[#This Row],[Total Pasivo
(MX)]]/1.16</f>
        <v>39853.34482758621</v>
      </c>
      <c r="AB110" s="1966">
        <f>Diario_Documentos_TPL[[#This Row],[Importe Pasivo
(MX)]]*0.16</f>
        <v>6376.5351724137936</v>
      </c>
      <c r="AC110" s="1966">
        <v>46229.88</v>
      </c>
      <c r="AD110" s="2017">
        <f>IFERROR(Diario_Documentos_TPL[[#This Row],[Total Pasivo
(MX)]]/Diario_Documentos_TPL[[#This Row],[Total Pasivo
(USD)]],0)</f>
        <v>18.288800009494533</v>
      </c>
      <c r="AE110" s="1969">
        <v>140002251</v>
      </c>
      <c r="AF110" s="1968">
        <v>43216</v>
      </c>
      <c r="AG110" s="1967">
        <f>Diario_Documentos_TPL[[#This Row],[Total de Pago
(USD)]]/1.16</f>
        <v>2179.1120689655172</v>
      </c>
      <c r="AH110" s="1966">
        <f>Diario_Documentos_TPL[[#This Row],[Importe de Pago
(USD)]]*0.16</f>
        <v>348.65793103448277</v>
      </c>
      <c r="AI110" s="1966">
        <f>Diario_Documentos_TPL[[#This Row],[Total Pasivo
(USD)]]</f>
        <v>2527.77</v>
      </c>
      <c r="AJ110" s="1966">
        <f>ROUND(Diario_Documentos_TPL[[#This Row],[Total de Pago
(MX)]]/1.16,2)</f>
        <v>40997.589999999997</v>
      </c>
      <c r="AK110" s="1966">
        <f>Diario_Documentos_TPL[[#This Row],[Importe de Pago
(MX)]]*0.16</f>
        <v>6559.6143999999995</v>
      </c>
      <c r="AL110" s="1966">
        <f>ROUND(Diario_Documentos_TPL[[#This Row],[Total de Pago
(USD)]]*Diario_Documentos_TPL[[#This Row],[T.C Pago]],2)</f>
        <v>47557.21</v>
      </c>
      <c r="AM110" s="2018">
        <v>18.8139</v>
      </c>
      <c r="AN110" s="1975"/>
      <c r="AO110" s="1975"/>
      <c r="AP110" s="1975">
        <f>Diario_Documentos_TPL[[#This Row],[Importe de Pago
(MX)]]-Diario_Documentos_TPL[[#This Row],[Importe Pasivo
(MX)]]</f>
        <v>1144.2451724137863</v>
      </c>
      <c r="AQ110" s="1975">
        <f>Diario_Documentos_TPL[[#This Row],[Total_Paridad]]-Diario_Documentos_TPL[[#This Row],[Subtotal_Paridad]]</f>
        <v>183.0848275862154</v>
      </c>
      <c r="AR110" s="1964">
        <f>Diario_Documentos_TPL[[#This Row],[Total de Pago
(MX)]]-Diario_Documentos_TPL[[#This Row],[Total Pasivo
(MX)]]</f>
        <v>1327.3300000000017</v>
      </c>
      <c r="AS110" s="1980"/>
      <c r="AT110" s="1980"/>
      <c r="AU110" s="1980"/>
      <c r="AV110" s="1980"/>
    </row>
    <row r="111" spans="1:48" ht="14.25" hidden="1" customHeight="1" x14ac:dyDescent="0.25">
      <c r="A111" s="1969" t="s">
        <v>598</v>
      </c>
      <c r="B111" s="1969">
        <v>4326979</v>
      </c>
      <c r="C111" s="1969">
        <v>800832451</v>
      </c>
      <c r="D111" s="1969"/>
      <c r="E111" s="1969" t="s">
        <v>632</v>
      </c>
      <c r="F111" s="1969" t="s">
        <v>599</v>
      </c>
      <c r="G111" s="1969" t="s">
        <v>628</v>
      </c>
      <c r="H111" s="1969" t="str">
        <f>VLOOKUP(Diario_Documentos_TPL[[#This Row],[Centro Gestor]],Catalogo_Centro_Gestor[],2,FALSE)</f>
        <v>Gas. Corredor Chihuahua</v>
      </c>
      <c r="I111" s="1969" t="s">
        <v>630</v>
      </c>
      <c r="J111" s="1973">
        <f>IF(YEAR(Diario_Documentos_TPL[[#This Row],[Fecha de Pago]])=1900, "SIN PAGO",YEAR(Diario_Documentos_TPL[[#This Row],[Fecha de Pago]]))</f>
        <v>2018</v>
      </c>
      <c r="K111" s="1971">
        <v>2018</v>
      </c>
      <c r="L111" s="1973">
        <f>IF(MONTH(Diario_Documentos_TPL[[#This Row],[Fecha de Pago]])=0, "SIN PAGO",MONTH(Diario_Documentos_TPL[[#This Row],[Fecha de Pago]]))</f>
        <v>6</v>
      </c>
      <c r="M111" s="1971">
        <v>5</v>
      </c>
      <c r="N111" s="1971" t="str">
        <f>VLOOKUP(Diario_Documentos_TPL[[#This Row],[Periodo del Servicio]],'Tablas (2)'!$L$3:$M$14,2,FALSE)</f>
        <v>MAYO</v>
      </c>
      <c r="O111" s="1971" t="s">
        <v>264</v>
      </c>
      <c r="P111" s="1971" t="s">
        <v>340</v>
      </c>
      <c r="Q111" s="1971" t="s">
        <v>165</v>
      </c>
      <c r="R111" s="1969">
        <v>2233</v>
      </c>
      <c r="S111" s="1969">
        <v>453882</v>
      </c>
      <c r="T111" s="1969" t="s">
        <v>629</v>
      </c>
      <c r="U111" s="1969" t="s">
        <v>221</v>
      </c>
      <c r="V111" s="1969">
        <v>180002127</v>
      </c>
      <c r="W111" s="1970">
        <v>43263</v>
      </c>
      <c r="X111" s="1966">
        <f>Diario_Documentos_TPL[[#This Row],[Total Pasivo
(USD)]]/1.16</f>
        <v>4240081.9568965519</v>
      </c>
      <c r="Y111" s="1966">
        <f>Diario_Documentos_TPL[[#This Row],[Importe Pasivo
(USD)]]*0.16</f>
        <v>678413.1131034483</v>
      </c>
      <c r="Z111" s="1966">
        <v>4918495.07</v>
      </c>
      <c r="AA111" s="1966">
        <f>Diario_Documentos_TPL[[#This Row],[Total Pasivo
(MX)]]/1.16</f>
        <v>87040826.482758626</v>
      </c>
      <c r="AB111" s="1966">
        <f>Diario_Documentos_TPL[[#This Row],[Importe Pasivo
(MX)]]*0.16</f>
        <v>13926532.23724138</v>
      </c>
      <c r="AC111" s="1966">
        <v>100967358.72</v>
      </c>
      <c r="AD111" s="2017">
        <f>IFERROR(Diario_Documentos_TPL[[#This Row],[Total Pasivo
(MX)]]/Diario_Documentos_TPL[[#This Row],[Total Pasivo
(USD)]],0)</f>
        <v>20.528100014950304</v>
      </c>
      <c r="AE111" s="1969">
        <v>140003298</v>
      </c>
      <c r="AF111" s="1970">
        <v>43276</v>
      </c>
      <c r="AG111" s="1967">
        <f>Diario_Documentos_TPL[[#This Row],[Total de Pago
(USD)]]/1.16</f>
        <v>4240081.9568965519</v>
      </c>
      <c r="AH111" s="1966">
        <f>Diario_Documentos_TPL[[#This Row],[Importe de Pago
(USD)]]*0.16</f>
        <v>678413.1131034483</v>
      </c>
      <c r="AI111" s="1966">
        <f>Diario_Documentos_TPL[[#This Row],[Total Pasivo
(USD)]]</f>
        <v>4918495.07</v>
      </c>
      <c r="AJ111" s="1966">
        <f>ROUND(Diario_Documentos_TPL[[#This Row],[Total de Pago
(MX)]]/1.16,2)</f>
        <v>86365805.370000005</v>
      </c>
      <c r="AK111" s="1966">
        <f>Diario_Documentos_TPL[[#This Row],[Importe de Pago
(MX)]]*0.16</f>
        <v>13818528.859200001</v>
      </c>
      <c r="AL111" s="1966">
        <f>ROUND(Diario_Documentos_TPL[[#This Row],[Total de Pago
(USD)]]*Diario_Documentos_TPL[[#This Row],[T.C Pago]],2)</f>
        <v>100184334.23</v>
      </c>
      <c r="AM111" s="2018">
        <v>20.3689</v>
      </c>
      <c r="AN111" s="1975"/>
      <c r="AO111" s="1975"/>
      <c r="AP111" s="1975">
        <f>Diario_Documentos_TPL[[#This Row],[Importe de Pago
(MX)]]-Diario_Documentos_TPL[[#This Row],[Importe Pasivo
(MX)]]</f>
        <v>-675021.11275862157</v>
      </c>
      <c r="AQ111" s="1975">
        <f>Diario_Documentos_TPL[[#This Row],[Total_Paridad]]-Diario_Documentos_TPL[[#This Row],[Subtotal_Paridad]]</f>
        <v>-108003.37724137306</v>
      </c>
      <c r="AR111" s="1964">
        <f>Diario_Documentos_TPL[[#This Row],[Total de Pago
(MX)]]-Diario_Documentos_TPL[[#This Row],[Total Pasivo
(MX)]]</f>
        <v>-783024.48999999464</v>
      </c>
      <c r="AS111" s="1980"/>
      <c r="AT111" s="1980"/>
      <c r="AU111" s="1980"/>
      <c r="AV111" s="1980"/>
    </row>
    <row r="112" spans="1:48" ht="14.25" hidden="1" customHeight="1" x14ac:dyDescent="0.25">
      <c r="A112" s="1969" t="s">
        <v>598</v>
      </c>
      <c r="B112" s="1969">
        <v>4326979</v>
      </c>
      <c r="C112" s="1969">
        <v>800832451</v>
      </c>
      <c r="D112" s="1969"/>
      <c r="E112" s="1969" t="s">
        <v>632</v>
      </c>
      <c r="F112" s="1969" t="s">
        <v>599</v>
      </c>
      <c r="G112" s="1969" t="s">
        <v>628</v>
      </c>
      <c r="H112" s="1969" t="str">
        <f>VLOOKUP(Diario_Documentos_TPL[[#This Row],[Centro Gestor]],Catalogo_Centro_Gestor[],2,FALSE)</f>
        <v>CC NORTE II</v>
      </c>
      <c r="I112" s="1969" t="s">
        <v>630</v>
      </c>
      <c r="J112" s="1973">
        <f>IF(YEAR(Diario_Documentos_TPL[[#This Row],[Fecha de Pago]])=1900, "SIN PAGO",YEAR(Diario_Documentos_TPL[[#This Row],[Fecha de Pago]]))</f>
        <v>2018</v>
      </c>
      <c r="K112" s="1971">
        <v>2018</v>
      </c>
      <c r="L112" s="1973">
        <f>IF(MONTH(Diario_Documentos_TPL[[#This Row],[Fecha de Pago]])=0, "SIN PAGO",MONTH(Diario_Documentos_TPL[[#This Row],[Fecha de Pago]]))</f>
        <v>6</v>
      </c>
      <c r="M112" s="1971">
        <v>5</v>
      </c>
      <c r="N112" s="1971" t="str">
        <f>VLOOKUP(Diario_Documentos_TPL[[#This Row],[Periodo del Servicio]],'Tablas (2)'!$L$3:$M$14,2,FALSE)</f>
        <v>MAYO</v>
      </c>
      <c r="O112" s="1971" t="s">
        <v>264</v>
      </c>
      <c r="P112" s="1971" t="s">
        <v>340</v>
      </c>
      <c r="Q112" s="1971" t="s">
        <v>165</v>
      </c>
      <c r="R112" s="1969">
        <v>7249</v>
      </c>
      <c r="S112" s="1969">
        <v>468079</v>
      </c>
      <c r="T112" s="1969" t="s">
        <v>629</v>
      </c>
      <c r="U112" s="1969" t="s">
        <v>238</v>
      </c>
      <c r="V112" s="1969">
        <v>180002128</v>
      </c>
      <c r="W112" s="1970">
        <v>43263</v>
      </c>
      <c r="X112" s="1966">
        <f>Diario_Documentos_TPL[[#This Row],[Total Pasivo
(USD)]]/1.16</f>
        <v>419348.75862068968</v>
      </c>
      <c r="Y112" s="1966">
        <f>Diario_Documentos_TPL[[#This Row],[Importe Pasivo
(USD)]]*0.16</f>
        <v>67095.801379310346</v>
      </c>
      <c r="Z112" s="1966">
        <v>486444.56</v>
      </c>
      <c r="AA112" s="1966">
        <f>Diario_Documentos_TPL[[#This Row],[Total Pasivo
(MX)]]/1.16</f>
        <v>8608433.2758620698</v>
      </c>
      <c r="AB112" s="1966">
        <f>Diario_Documentos_TPL[[#This Row],[Importe Pasivo
(MX)]]*0.16</f>
        <v>1377349.3241379312</v>
      </c>
      <c r="AC112" s="1966">
        <v>9985782.5999999996</v>
      </c>
      <c r="AD112" s="2017">
        <f>IFERROR(Diario_Documentos_TPL[[#This Row],[Total Pasivo
(MX)]]/Diario_Documentos_TPL[[#This Row],[Total Pasivo
(USD)]],0)</f>
        <v>20.528100057280938</v>
      </c>
      <c r="AE112" s="1969">
        <v>140003298</v>
      </c>
      <c r="AF112" s="1970">
        <v>43276</v>
      </c>
      <c r="AG112" s="1967">
        <f>Diario_Documentos_TPL[[#This Row],[Total de Pago
(USD)]]/1.16</f>
        <v>419348.75862068968</v>
      </c>
      <c r="AH112" s="1966">
        <f>Diario_Documentos_TPL[[#This Row],[Importe de Pago
(USD)]]*0.16</f>
        <v>67095.801379310346</v>
      </c>
      <c r="AI112" s="1966">
        <f>Diario_Documentos_TPL[[#This Row],[Total Pasivo
(USD)]]</f>
        <v>486444.56</v>
      </c>
      <c r="AJ112" s="1966">
        <f>ROUND(Diario_Documentos_TPL[[#This Row],[Total de Pago
(MX)]]/1.16,2)</f>
        <v>8541672.9299999997</v>
      </c>
      <c r="AK112" s="1966">
        <f>Diario_Documentos_TPL[[#This Row],[Importe de Pago
(MX)]]*0.16</f>
        <v>1366667.6687999999</v>
      </c>
      <c r="AL112" s="1966">
        <f>ROUND(Diario_Documentos_TPL[[#This Row],[Total de Pago
(USD)]]*Diario_Documentos_TPL[[#This Row],[T.C Pago]],2)</f>
        <v>9908340.5999999996</v>
      </c>
      <c r="AM112" s="2018">
        <v>20.3689</v>
      </c>
      <c r="AN112" s="1975"/>
      <c r="AO112" s="1975"/>
      <c r="AP112" s="1975">
        <f>Diario_Documentos_TPL[[#This Row],[Importe de Pago
(MX)]]-Diario_Documentos_TPL[[#This Row],[Importe Pasivo
(MX)]]</f>
        <v>-66760.345862070099</v>
      </c>
      <c r="AQ112" s="1975">
        <f>Diario_Documentos_TPL[[#This Row],[Total_Paridad]]-Diario_Documentos_TPL[[#This Row],[Subtotal_Paridad]]</f>
        <v>-10681.654137929901</v>
      </c>
      <c r="AR112" s="1964">
        <f>Diario_Documentos_TPL[[#This Row],[Total de Pago
(MX)]]-Diario_Documentos_TPL[[#This Row],[Total Pasivo
(MX)]]</f>
        <v>-77442</v>
      </c>
      <c r="AS112" s="1980"/>
      <c r="AT112" s="1980"/>
      <c r="AU112" s="1980"/>
      <c r="AV112" s="1980"/>
    </row>
    <row r="113" spans="1:48" ht="14.25" hidden="1" customHeight="1" x14ac:dyDescent="0.25">
      <c r="A113" s="1969" t="s">
        <v>598</v>
      </c>
      <c r="B113" s="1969">
        <v>4326979</v>
      </c>
      <c r="C113" s="1969">
        <v>800832773</v>
      </c>
      <c r="D113" s="1969"/>
      <c r="E113" s="1969" t="s">
        <v>632</v>
      </c>
      <c r="F113" s="1969" t="s">
        <v>599</v>
      </c>
      <c r="G113" s="1969" t="s">
        <v>628</v>
      </c>
      <c r="H113" s="1969" t="str">
        <f>VLOOKUP(Diario_Documentos_TPL[[#This Row],[Centro Gestor]],Catalogo_Centro_Gestor[],2,FALSE)</f>
        <v>CC NORTE II</v>
      </c>
      <c r="I113" s="1969" t="s">
        <v>630</v>
      </c>
      <c r="J113" s="1973">
        <f>IF(YEAR(Diario_Documentos_TPL[[#This Row],[Fecha de Pago]])=1900, "SIN PAGO",YEAR(Diario_Documentos_TPL[[#This Row],[Fecha de Pago]]))</f>
        <v>2018</v>
      </c>
      <c r="K113" s="1971">
        <v>2018</v>
      </c>
      <c r="L113" s="1973">
        <f>IF(MONTH(Diario_Documentos_TPL[[#This Row],[Fecha de Pago]])=0, "SIN PAGO",MONTH(Diario_Documentos_TPL[[#This Row],[Fecha de Pago]]))</f>
        <v>6</v>
      </c>
      <c r="M113" s="1971">
        <v>5</v>
      </c>
      <c r="N113" s="1971" t="str">
        <f>VLOOKUP(Diario_Documentos_TPL[[#This Row],[Periodo del Servicio]],'Tablas (2)'!$L$3:$M$14,2,FALSE)</f>
        <v>MAYO</v>
      </c>
      <c r="O113" s="1971" t="s">
        <v>641</v>
      </c>
      <c r="P113" s="1971" t="s">
        <v>470</v>
      </c>
      <c r="Q113" s="1971" t="s">
        <v>165</v>
      </c>
      <c r="R113" s="1969">
        <v>7237</v>
      </c>
      <c r="S113" s="1969">
        <v>468074</v>
      </c>
      <c r="T113" s="1969" t="s">
        <v>629</v>
      </c>
      <c r="U113" s="1969" t="s">
        <v>238</v>
      </c>
      <c r="V113" s="1969">
        <v>180002129</v>
      </c>
      <c r="W113" s="1970">
        <v>43263</v>
      </c>
      <c r="X113" s="1966">
        <f>Diario_Documentos_TPL[[#This Row],[Total Pasivo
(USD)]]/1.16</f>
        <v>2319.65</v>
      </c>
      <c r="Y113" s="1966">
        <f>Diario_Documentos_TPL[[#This Row],[Importe Pasivo
(USD)]]*0.16</f>
        <v>371.14400000000001</v>
      </c>
      <c r="Z113" s="1966">
        <v>2690.7939999999999</v>
      </c>
      <c r="AA113" s="1966">
        <f>Diario_Documentos_TPL[[#This Row],[Total Pasivo
(MX)]]/1.16</f>
        <v>47618.01</v>
      </c>
      <c r="AB113" s="1966">
        <f>Diario_Documentos_TPL[[#This Row],[Importe Pasivo
(MX)]]*0.16</f>
        <v>7618.8816000000006</v>
      </c>
      <c r="AC113" s="1966">
        <v>55236.891599999995</v>
      </c>
      <c r="AD113" s="2017">
        <f>IFERROR(Diario_Documentos_TPL[[#This Row],[Total Pasivo
(MX)]]/Diario_Documentos_TPL[[#This Row],[Total Pasivo
(USD)]],0)</f>
        <v>20.528101222167138</v>
      </c>
      <c r="AE113" s="1969">
        <v>140003298</v>
      </c>
      <c r="AF113" s="1970">
        <v>43276</v>
      </c>
      <c r="AG113" s="1967">
        <f>Diario_Documentos_TPL[[#This Row],[Total de Pago
(USD)]]/1.16</f>
        <v>2319.65</v>
      </c>
      <c r="AH113" s="1966">
        <f>Diario_Documentos_TPL[[#This Row],[Importe de Pago
(USD)]]*0.16</f>
        <v>371.14400000000001</v>
      </c>
      <c r="AI113" s="1966">
        <f>Diario_Documentos_TPL[[#This Row],[Total Pasivo
(USD)]]</f>
        <v>2690.7939999999999</v>
      </c>
      <c r="AJ113" s="1966">
        <f>ROUND(Diario_Documentos_TPL[[#This Row],[Total de Pago
(MX)]]/1.16,2)</f>
        <v>47248.72</v>
      </c>
      <c r="AK113" s="1966">
        <f>Diario_Documentos_TPL[[#This Row],[Importe de Pago
(MX)]]*0.16</f>
        <v>7559.7952000000005</v>
      </c>
      <c r="AL113" s="1966">
        <f>ROUND(Diario_Documentos_TPL[[#This Row],[Total de Pago
(USD)]]*Diario_Documentos_TPL[[#This Row],[T.C Pago]],2)</f>
        <v>54808.51</v>
      </c>
      <c r="AM113" s="2018">
        <v>20.3689</v>
      </c>
      <c r="AN113" s="1975"/>
      <c r="AO113" s="1975"/>
      <c r="AP113" s="1975">
        <f>Diario_Documentos_TPL[[#This Row],[Importe de Pago
(MX)]]-Diario_Documentos_TPL[[#This Row],[Importe Pasivo
(MX)]]</f>
        <v>-369.29000000000087</v>
      </c>
      <c r="AQ113" s="1975">
        <f>Diario_Documentos_TPL[[#This Row],[Total_Paridad]]-Diario_Documentos_TPL[[#This Row],[Subtotal_Paridad]]</f>
        <v>-59.091599999992468</v>
      </c>
      <c r="AR113" s="1964">
        <f>Diario_Documentos_TPL[[#This Row],[Total de Pago
(MX)]]-Diario_Documentos_TPL[[#This Row],[Total Pasivo
(MX)]]</f>
        <v>-428.38159999999334</v>
      </c>
      <c r="AS113" s="1980"/>
      <c r="AT113" s="1980"/>
      <c r="AU113" s="1980"/>
      <c r="AV113" s="1980"/>
    </row>
    <row r="114" spans="1:48" ht="14.25" hidden="1" customHeight="1" x14ac:dyDescent="0.25">
      <c r="A114" s="1969" t="s">
        <v>598</v>
      </c>
      <c r="B114" s="1969">
        <v>4326979</v>
      </c>
      <c r="C114" s="1969">
        <v>800832773</v>
      </c>
      <c r="D114" s="1969"/>
      <c r="E114" s="1969" t="s">
        <v>632</v>
      </c>
      <c r="F114" s="1969" t="s">
        <v>599</v>
      </c>
      <c r="G114" s="1969" t="s">
        <v>628</v>
      </c>
      <c r="H114" s="1969" t="str">
        <f>VLOOKUP(Diario_Documentos_TPL[[#This Row],[Centro Gestor]],Catalogo_Centro_Gestor[],2,FALSE)</f>
        <v>CC NORTE II</v>
      </c>
      <c r="I114" s="1969" t="s">
        <v>630</v>
      </c>
      <c r="J114" s="1972">
        <f>IF(YEAR(Diario_Documentos_TPL[[#This Row],[Fecha de Pago]])=1900, "SIN PAGO",YEAR(Diario_Documentos_TPL[[#This Row],[Fecha de Pago]]))</f>
        <v>2018</v>
      </c>
      <c r="K114" s="1971">
        <v>2018</v>
      </c>
      <c r="L114" s="1972">
        <f>IF(MONTH(Diario_Documentos_TPL[[#This Row],[Fecha de Pago]])=0, "SIN PAGO",MONTH(Diario_Documentos_TPL[[#This Row],[Fecha de Pago]]))</f>
        <v>7</v>
      </c>
      <c r="M114" s="1971">
        <v>5</v>
      </c>
      <c r="N114" s="1971" t="str">
        <f>VLOOKUP(Diario_Documentos_TPL[[#This Row],[Periodo del Servicio]],'Tablas (2)'!$L$3:$M$14,2,FALSE)</f>
        <v>MAYO</v>
      </c>
      <c r="O114" s="1971" t="s">
        <v>640</v>
      </c>
      <c r="P114" s="1971" t="s">
        <v>470</v>
      </c>
      <c r="Q114" s="1971" t="s">
        <v>165</v>
      </c>
      <c r="R114" s="1969">
        <v>7237</v>
      </c>
      <c r="S114" s="1969">
        <v>468074</v>
      </c>
      <c r="T114" s="1969" t="s">
        <v>629</v>
      </c>
      <c r="U114" s="1969" t="s">
        <v>238</v>
      </c>
      <c r="V114" s="1969">
        <v>180002697</v>
      </c>
      <c r="W114" s="1970">
        <v>43292</v>
      </c>
      <c r="X114" s="1966">
        <f>Diario_Documentos_TPL[[#This Row],[Total Pasivo
(USD)]]/1.16</f>
        <v>2076.87</v>
      </c>
      <c r="Y114" s="1966">
        <f>Diario_Documentos_TPL[[#This Row],[Importe Pasivo
(USD)]]*0.16</f>
        <v>332.29919999999998</v>
      </c>
      <c r="Z114" s="1966">
        <v>2409.1691999999998</v>
      </c>
      <c r="AA114" s="1966">
        <f>Diario_Documentos_TPL[[#This Row],[Total Pasivo
(MX)]]/1.16</f>
        <v>39785.14</v>
      </c>
      <c r="AB114" s="1966">
        <f>Diario_Documentos_TPL[[#This Row],[Importe Pasivo
(MX)]]*0.16</f>
        <v>6365.6224000000002</v>
      </c>
      <c r="AC114" s="1966">
        <v>46150.7624</v>
      </c>
      <c r="AD114" s="2017">
        <f>IFERROR(Diario_Documentos_TPL[[#This Row],[Total Pasivo
(MX)]]/Diario_Documentos_TPL[[#This Row],[Total Pasivo
(USD)]],0)</f>
        <v>19.156297697978207</v>
      </c>
      <c r="AE114" s="1969">
        <v>140003972</v>
      </c>
      <c r="AF114" s="1970">
        <v>43311</v>
      </c>
      <c r="AG114" s="1967">
        <f>Diario_Documentos_TPL[[#This Row],[Total de Pago
(USD)]]/1.16</f>
        <v>2076.87</v>
      </c>
      <c r="AH114" s="1966">
        <f>Diario_Documentos_TPL[[#This Row],[Importe de Pago
(USD)]]*0.16</f>
        <v>332.29919999999998</v>
      </c>
      <c r="AI114" s="1966">
        <f>Diario_Documentos_TPL[[#This Row],[Total Pasivo
(USD)]]</f>
        <v>2409.1691999999998</v>
      </c>
      <c r="AJ114" s="1966">
        <f>ROUND(Diario_Documentos_TPL[[#This Row],[Total de Pago
(MX)]]/1.16,2)</f>
        <v>38678.379999999997</v>
      </c>
      <c r="AK114" s="1966">
        <f>Diario_Documentos_TPL[[#This Row],[Importe de Pago
(MX)]]*0.16</f>
        <v>6188.5407999999998</v>
      </c>
      <c r="AL114" s="1966">
        <f>ROUND(Diario_Documentos_TPL[[#This Row],[Total de Pago
(USD)]]*Diario_Documentos_TPL[[#This Row],[T.C Pago]],2)</f>
        <v>44866.92</v>
      </c>
      <c r="AM114" s="2018">
        <v>18.6234</v>
      </c>
      <c r="AN114" s="1975"/>
      <c r="AO114" s="1975"/>
      <c r="AP114" s="1975">
        <f>Diario_Documentos_TPL[[#This Row],[Importe de Pago
(MX)]]-Diario_Documentos_TPL[[#This Row],[Importe Pasivo
(MX)]]</f>
        <v>-1106.760000000002</v>
      </c>
      <c r="AQ114" s="1975">
        <f>Diario_Documentos_TPL[[#This Row],[Total_Paridad]]-Diario_Documentos_TPL[[#This Row],[Subtotal_Paridad]]</f>
        <v>-177.08239999999932</v>
      </c>
      <c r="AR114" s="1964">
        <f>Diario_Documentos_TPL[[#This Row],[Total de Pago
(MX)]]-Diario_Documentos_TPL[[#This Row],[Total Pasivo
(MX)]]</f>
        <v>-1283.8424000000014</v>
      </c>
      <c r="AS114" s="1980"/>
      <c r="AT114" s="1980"/>
      <c r="AU114" s="1980"/>
      <c r="AV114" s="1980"/>
    </row>
    <row r="115" spans="1:48" ht="14.25" hidden="1" customHeight="1" x14ac:dyDescent="0.25">
      <c r="A115" s="1969" t="s">
        <v>598</v>
      </c>
      <c r="B115" s="1969">
        <v>4326979</v>
      </c>
      <c r="C115" s="1969">
        <v>800832773</v>
      </c>
      <c r="D115" s="1969"/>
      <c r="E115" s="1969" t="s">
        <v>632</v>
      </c>
      <c r="F115" s="1969" t="s">
        <v>599</v>
      </c>
      <c r="G115" s="1969" t="s">
        <v>628</v>
      </c>
      <c r="H115" s="1969" t="str">
        <f>VLOOKUP(Diario_Documentos_TPL[[#This Row],[Centro Gestor]],Catalogo_Centro_Gestor[],2,FALSE)</f>
        <v>CC NORTE II</v>
      </c>
      <c r="I115" s="1969" t="s">
        <v>630</v>
      </c>
      <c r="J115" s="1972">
        <f>IF(YEAR(Diario_Documentos_TPL[[#This Row],[Fecha de Pago]])=1900, "SIN PAGO",YEAR(Diario_Documentos_TPL[[#This Row],[Fecha de Pago]]))</f>
        <v>2018</v>
      </c>
      <c r="K115" s="1971">
        <v>2018</v>
      </c>
      <c r="L115" s="1972">
        <f>IF(MONTH(Diario_Documentos_TPL[[#This Row],[Fecha de Pago]])=0, "SIN PAGO",MONTH(Diario_Documentos_TPL[[#This Row],[Fecha de Pago]]))</f>
        <v>10</v>
      </c>
      <c r="M115" s="1971">
        <v>5</v>
      </c>
      <c r="N115" s="1971" t="str">
        <f>VLOOKUP(Diario_Documentos_TPL[[#This Row],[Periodo del Servicio]],'Tablas (2)'!$L$3:$M$14,2,FALSE)</f>
        <v>MAYO</v>
      </c>
      <c r="O115" s="2012" t="s">
        <v>742</v>
      </c>
      <c r="P115" s="1971" t="s">
        <v>470</v>
      </c>
      <c r="Q115" s="1971" t="s">
        <v>165</v>
      </c>
      <c r="R115" s="1969">
        <v>7237</v>
      </c>
      <c r="S115" s="1969">
        <v>468074</v>
      </c>
      <c r="T115" s="1969" t="s">
        <v>629</v>
      </c>
      <c r="U115" s="1969" t="s">
        <v>238</v>
      </c>
      <c r="V115" s="1969">
        <v>180004162</v>
      </c>
      <c r="W115" s="1970">
        <v>43391</v>
      </c>
      <c r="X115" s="1966">
        <f>Diario_Documentos_TPL[[#This Row],[Total Pasivo
(USD)]]/1.16</f>
        <v>118.44000000000001</v>
      </c>
      <c r="Y115" s="1966">
        <f>Diario_Documentos_TPL[[#This Row],[Importe Pasivo
(USD)]]*0.16</f>
        <v>18.950400000000002</v>
      </c>
      <c r="Z115" s="1966">
        <v>137.3904</v>
      </c>
      <c r="AA115" s="1966">
        <f>Diario_Documentos_TPL[[#This Row],[Total Pasivo
(MX)]]/1.16</f>
        <v>2223.04</v>
      </c>
      <c r="AB115" s="1966">
        <f>Diario_Documentos_TPL[[#This Row],[Importe Pasivo
(MX)]]*0.16</f>
        <v>355.68639999999999</v>
      </c>
      <c r="AC115" s="1966">
        <v>2578.7263999999996</v>
      </c>
      <c r="AD115" s="2017">
        <f>IFERROR(Diario_Documentos_TPL[[#This Row],[Total Pasivo
(MX)]]/Diario_Documentos_TPL[[#This Row],[Total Pasivo
(USD)]],0)</f>
        <v>18.769334684228298</v>
      </c>
      <c r="AE115" s="1969">
        <v>140005736</v>
      </c>
      <c r="AF115" s="1970">
        <v>43402</v>
      </c>
      <c r="AG115" s="1967">
        <f>Diario_Documentos_TPL[[#This Row],[Total de Pago
(USD)]]/1.16</f>
        <v>118.44000000000001</v>
      </c>
      <c r="AH115" s="1966">
        <f>Diario_Documentos_TPL[[#This Row],[Importe de Pago
(USD)]]*0.16</f>
        <v>18.950400000000002</v>
      </c>
      <c r="AI115" s="1966">
        <f>Diario_Documentos_TPL[[#This Row],[Total Pasivo
(USD)]]</f>
        <v>137.3904</v>
      </c>
      <c r="AJ115" s="1966">
        <f>ROUND(Diario_Documentos_TPL[[#This Row],[Total de Pago
(MX)]]/1.16,2)</f>
        <v>2223.0300000000002</v>
      </c>
      <c r="AK115" s="1966">
        <f>Diario_Documentos_TPL[[#This Row],[Importe de Pago
(MX)]]*0.16</f>
        <v>355.68480000000005</v>
      </c>
      <c r="AL115" s="1966">
        <f>ROUND(Diario_Documentos_TPL[[#This Row],[Total de Pago
(USD)]]*Diario_Documentos_TPL[[#This Row],[T.C Pago]],2)</f>
        <v>2578.7199999999998</v>
      </c>
      <c r="AM115" s="2018">
        <v>18.769300000000001</v>
      </c>
      <c r="AN115" s="1975"/>
      <c r="AO115" s="1975"/>
      <c r="AP115" s="1975">
        <f>Diario_Documentos_TPL[[#This Row],[Importe de Pago
(MX)]]-Diario_Documentos_TPL[[#This Row],[Importe Pasivo
(MX)]]</f>
        <v>-9.9999999997635314E-3</v>
      </c>
      <c r="AQ115" s="1975">
        <f>Diario_Documentos_TPL[[#This Row],[Total_Paridad]]-Diario_Documentos_TPL[[#This Row],[Subtotal_Paridad]]</f>
        <v>3.6000000000058208E-3</v>
      </c>
      <c r="AR115" s="1964">
        <f>Diario_Documentos_TPL[[#This Row],[Total de Pago
(MX)]]-Diario_Documentos_TPL[[#This Row],[Total Pasivo
(MX)]]</f>
        <v>-6.3999999997577106E-3</v>
      </c>
      <c r="AS115" s="1980"/>
      <c r="AT115" s="1980"/>
      <c r="AU115" s="1980"/>
      <c r="AV115" s="1980"/>
    </row>
    <row r="116" spans="1:48" ht="14.25" hidden="1" customHeight="1" x14ac:dyDescent="0.25">
      <c r="A116" s="1969" t="s">
        <v>598</v>
      </c>
      <c r="B116" s="1969">
        <v>4326979</v>
      </c>
      <c r="C116" s="1969">
        <v>800832451</v>
      </c>
      <c r="D116" s="1969"/>
      <c r="E116" s="1969" t="s">
        <v>632</v>
      </c>
      <c r="F116" s="1969" t="s">
        <v>631</v>
      </c>
      <c r="G116" s="1969" t="s">
        <v>628</v>
      </c>
      <c r="H116" s="1969" t="str">
        <f>VLOOKUP(Diario_Documentos_TPL[[#This Row],[Centro Gestor]],Catalogo_Centro_Gestor[],2,FALSE)</f>
        <v>Gas. Corredor Chihuahua</v>
      </c>
      <c r="I116" s="1969" t="s">
        <v>630</v>
      </c>
      <c r="J116" s="1973">
        <f>IF(YEAR(Diario_Documentos_TPL[[#This Row],[Fecha de Pago]])=1900, "SIN PAGO",YEAR(Diario_Documentos_TPL[[#This Row],[Fecha de Pago]]))</f>
        <v>2018</v>
      </c>
      <c r="K116" s="1971">
        <v>2018</v>
      </c>
      <c r="L116" s="1973">
        <f>IF(MONTH(Diario_Documentos_TPL[[#This Row],[Fecha de Pago]])=0, "SIN PAGO",MONTH(Diario_Documentos_TPL[[#This Row],[Fecha de Pago]]))</f>
        <v>7</v>
      </c>
      <c r="M116" s="1971">
        <v>5</v>
      </c>
      <c r="N116" s="1971" t="str">
        <f>VLOOKUP(Diario_Documentos_TPL[[#This Row],[Periodo del Servicio]],'Tablas (2)'!$L$3:$M$14,2,FALSE)</f>
        <v>MAYO</v>
      </c>
      <c r="O116" s="1971" t="s">
        <v>283</v>
      </c>
      <c r="P116" s="1971" t="s">
        <v>340</v>
      </c>
      <c r="Q116" s="1971" t="s">
        <v>165</v>
      </c>
      <c r="R116" s="1969">
        <v>2233</v>
      </c>
      <c r="S116" s="1969">
        <v>453882</v>
      </c>
      <c r="T116" s="1969" t="s">
        <v>629</v>
      </c>
      <c r="U116" s="1969" t="s">
        <v>221</v>
      </c>
      <c r="V116" s="1969">
        <v>180002688</v>
      </c>
      <c r="W116" s="1970">
        <v>43292</v>
      </c>
      <c r="X116" s="1966">
        <f>Diario_Documentos_TPL[[#This Row],[Total Pasivo
(USD)]]/1.16</f>
        <v>360527.01</v>
      </c>
      <c r="Y116" s="1966">
        <f>Diario_Documentos_TPL[[#This Row],[Importe Pasivo
(USD)]]*0.16</f>
        <v>57684.321600000003</v>
      </c>
      <c r="Z116" s="1966">
        <f>360527.01*1.16</f>
        <v>418211.33159999998</v>
      </c>
      <c r="AA116" s="1966">
        <f>Diario_Documentos_TPL[[#This Row],[Total Pasivo
(MX)]]/1.16</f>
        <v>6906363.5344827594</v>
      </c>
      <c r="AB116" s="1966">
        <f>Diario_Documentos_TPL[[#This Row],[Importe Pasivo
(MX)]]*0.16</f>
        <v>1105018.1655172415</v>
      </c>
      <c r="AC116" s="1978">
        <v>8011381.7000000002</v>
      </c>
      <c r="AD116" s="2017">
        <f>IFERROR(Diario_Documentos_TPL[[#This Row],[Total Pasivo
(MX)]]/Diario_Documentos_TPL[[#This Row],[Total Pasivo
(USD)]],0)</f>
        <v>19.156299924609698</v>
      </c>
      <c r="AE116" s="1969">
        <v>140003811</v>
      </c>
      <c r="AF116" s="1970">
        <v>43304</v>
      </c>
      <c r="AG116" s="1967">
        <f>Diario_Documentos_TPL[[#This Row],[Total de Pago
(USD)]]/1.16</f>
        <v>360527.01</v>
      </c>
      <c r="AH116" s="1966">
        <f>Diario_Documentos_TPL[[#This Row],[Importe de Pago
(USD)]]*0.16</f>
        <v>57684.321600000003</v>
      </c>
      <c r="AI116" s="1966">
        <f>Diario_Documentos_TPL[[#This Row],[Total Pasivo
(USD)]]</f>
        <v>418211.33159999998</v>
      </c>
      <c r="AJ116" s="1966">
        <f>ROUND(Diario_Documentos_TPL[[#This Row],[Total de Pago
(MX)]]/1.16,2)</f>
        <v>6878494.8300000001</v>
      </c>
      <c r="AK116" s="1966">
        <f>Diario_Documentos_TPL[[#This Row],[Importe de Pago
(MX)]]*0.16</f>
        <v>1100559.1728000001</v>
      </c>
      <c r="AL116" s="1966">
        <f>ROUND(Diario_Documentos_TPL[[#This Row],[Total de Pago
(USD)]]*Diario_Documentos_TPL[[#This Row],[T.C Pago]],2)</f>
        <v>7979054</v>
      </c>
      <c r="AM116" s="2018">
        <v>19.079000000000001</v>
      </c>
      <c r="AN116" s="1975"/>
      <c r="AO116" s="1975"/>
      <c r="AP116" s="1975">
        <f>Diario_Documentos_TPL[[#This Row],[Importe de Pago
(MX)]]-Diario_Documentos_TPL[[#This Row],[Importe Pasivo
(MX)]]</f>
        <v>-27868.704482759349</v>
      </c>
      <c r="AQ116" s="1975">
        <f>Diario_Documentos_TPL[[#This Row],[Total_Paridad]]-Diario_Documentos_TPL[[#This Row],[Subtotal_Paridad]]</f>
        <v>-4458.9955172408372</v>
      </c>
      <c r="AR116" s="1964">
        <f>Diario_Documentos_TPL[[#This Row],[Total de Pago
(MX)]]-Diario_Documentos_TPL[[#This Row],[Total Pasivo
(MX)]]</f>
        <v>-32327.700000000186</v>
      </c>
      <c r="AS116" s="1980"/>
      <c r="AT116" s="1980"/>
      <c r="AU116" s="1980"/>
      <c r="AV116" s="1980"/>
    </row>
    <row r="117" spans="1:48" ht="14.25" hidden="1" customHeight="1" x14ac:dyDescent="0.25">
      <c r="A117" s="1969" t="s">
        <v>598</v>
      </c>
      <c r="B117" s="1969">
        <v>4326979</v>
      </c>
      <c r="C117" s="1969">
        <v>800869674</v>
      </c>
      <c r="D117" s="1969"/>
      <c r="E117" s="1969" t="s">
        <v>632</v>
      </c>
      <c r="F117" s="1969" t="s">
        <v>599</v>
      </c>
      <c r="G117" s="1969" t="s">
        <v>628</v>
      </c>
      <c r="H117" s="1969" t="str">
        <f>VLOOKUP(Diario_Documentos_TPL[[#This Row],[Centro Gestor]],Catalogo_Centro_Gestor[],2,FALSE)</f>
        <v>Gas. Corredor Chihuahua</v>
      </c>
      <c r="I117" s="1969" t="s">
        <v>630</v>
      </c>
      <c r="J117" s="1973">
        <f>IF(YEAR(Diario_Documentos_TPL[[#This Row],[Fecha de Pago]])=1900, "SIN PAGO",YEAR(Diario_Documentos_TPL[[#This Row],[Fecha de Pago]]))</f>
        <v>2019</v>
      </c>
      <c r="K117" s="1971">
        <v>2018</v>
      </c>
      <c r="L117" s="1973">
        <f>IF(MONTH(Diario_Documentos_TPL[[#This Row],[Fecha de Pago]])=0, "SIN PAGO",MONTH(Diario_Documentos_TPL[[#This Row],[Fecha de Pago]]))</f>
        <v>1</v>
      </c>
      <c r="M117" s="1971">
        <v>11</v>
      </c>
      <c r="N117" s="1971" t="str">
        <f>VLOOKUP(Diario_Documentos_TPL[[#This Row],[Periodo del Servicio]],'Tablas (2)'!$L$3:$M$14,2,FALSE)</f>
        <v>NOVIEMBRE</v>
      </c>
      <c r="O117" s="1971" t="s">
        <v>380</v>
      </c>
      <c r="P117" s="1971" t="s">
        <v>340</v>
      </c>
      <c r="Q117" s="1971" t="s">
        <v>165</v>
      </c>
      <c r="R117" s="1969">
        <v>2280</v>
      </c>
      <c r="S117" s="1969">
        <v>453851</v>
      </c>
      <c r="T117" s="1969" t="s">
        <v>629</v>
      </c>
      <c r="U117" s="2064" t="s">
        <v>221</v>
      </c>
      <c r="V117" s="1969">
        <v>180005001</v>
      </c>
      <c r="W117" s="1970">
        <v>43451</v>
      </c>
      <c r="X117" s="1966">
        <f>Diario_Documentos_TPL[[#This Row],[Total Pasivo
(USD)]]/1.16</f>
        <v>465943.06896551722</v>
      </c>
      <c r="Y117" s="1966">
        <f>Diario_Documentos_TPL[[#This Row],[Importe Pasivo
(USD)]]*0.16</f>
        <v>74550.89103448276</v>
      </c>
      <c r="Z117" s="1966">
        <v>540493.96</v>
      </c>
      <c r="AA117" s="1966">
        <f>Diario_Documentos_TPL[[#This Row],[Total Pasivo
(MX)]]/1.16</f>
        <v>9438422.3706896547</v>
      </c>
      <c r="AB117" s="1966">
        <f>Diario_Documentos_TPL[[#This Row],[Importe Pasivo
(MX)]]*0.16</f>
        <v>1510147.5793103448</v>
      </c>
      <c r="AC117" s="1966">
        <v>10948569.949999999</v>
      </c>
      <c r="AD117" s="2017">
        <f>IFERROR(Diario_Documentos_TPL[[#This Row],[Total Pasivo
(MX)]]/Diario_Documentos_TPL[[#This Row],[Total Pasivo
(USD)]],0)</f>
        <v>20.256599999748378</v>
      </c>
      <c r="AE117" s="1969">
        <v>140000067</v>
      </c>
      <c r="AF117" s="1968">
        <v>43469</v>
      </c>
      <c r="AG117" s="1967">
        <f>Diario_Documentos_TPL[[#This Row],[Total de Pago
(USD)]]/1.16</f>
        <v>465943.06896551722</v>
      </c>
      <c r="AH117" s="1966">
        <f>Diario_Documentos_TPL[[#This Row],[Importe de Pago
(USD)]]*0.16</f>
        <v>74550.89103448276</v>
      </c>
      <c r="AI117" s="1966">
        <f>Diario_Documentos_TPL[[#This Row],[Total Pasivo
(USD)]]</f>
        <v>540493.96</v>
      </c>
      <c r="AJ117" s="1966">
        <f>ROUND(Diario_Documentos_TPL[[#This Row],[Total de Pago
(MX)]]/1.16,2)</f>
        <v>9126799.6500000004</v>
      </c>
      <c r="AK117" s="1966">
        <f>Diario_Documentos_TPL[[#This Row],[Importe de Pago
(MX)]]*0.16</f>
        <v>1460287.9440000001</v>
      </c>
      <c r="AL117" s="1966">
        <f>ROUND(Diario_Documentos_TPL[[#This Row],[Total de Pago
(USD)]]*Diario_Documentos_TPL[[#This Row],[T.C Pago]],2)</f>
        <v>10587087.59</v>
      </c>
      <c r="AM117" s="2017">
        <v>19.587800000000001</v>
      </c>
      <c r="AN117" s="1975"/>
      <c r="AO117" s="1975"/>
      <c r="AP117" s="1975">
        <f>Diario_Documentos_TPL[[#This Row],[Importe de Pago
(MX)]]-Diario_Documentos_TPL[[#This Row],[Importe Pasivo
(MX)]]</f>
        <v>-311622.72068965435</v>
      </c>
      <c r="AQ117" s="1975">
        <f>Diario_Documentos_TPL[[#This Row],[Total_Paridad]]-Diario_Documentos_TPL[[#This Row],[Subtotal_Paridad]]</f>
        <v>-49859.639310345054</v>
      </c>
      <c r="AR117" s="1964">
        <f>Diario_Documentos_TPL[[#This Row],[Total de Pago
(MX)]]-Diario_Documentos_TPL[[#This Row],[Total Pasivo
(MX)]]</f>
        <v>-361482.3599999994</v>
      </c>
      <c r="AS117" s="1980"/>
      <c r="AT117" s="1980"/>
      <c r="AU117" s="1980"/>
      <c r="AV117" s="1980"/>
    </row>
    <row r="118" spans="1:48" ht="14.25" hidden="1" customHeight="1" x14ac:dyDescent="0.25">
      <c r="A118" s="1969" t="s">
        <v>598</v>
      </c>
      <c r="B118" s="1969">
        <v>4326979</v>
      </c>
      <c r="C118" s="1969">
        <v>800869674</v>
      </c>
      <c r="D118" s="1969"/>
      <c r="E118" s="1969" t="s">
        <v>632</v>
      </c>
      <c r="F118" s="1969" t="s">
        <v>599</v>
      </c>
      <c r="G118" s="1969" t="s">
        <v>628</v>
      </c>
      <c r="H118" s="1969" t="str">
        <f>VLOOKUP(Diario_Documentos_TPL[[#This Row],[Centro Gestor]],Catalogo_Centro_Gestor[],2,FALSE)</f>
        <v>Gas. Corredor Chihuahua</v>
      </c>
      <c r="I118" s="1969" t="s">
        <v>630</v>
      </c>
      <c r="J118" s="1973">
        <f>IF(YEAR(Diario_Documentos_TPL[[#This Row],[Fecha de Pago]])=1900, "SIN PAGO",YEAR(Diario_Documentos_TPL[[#This Row],[Fecha de Pago]]))</f>
        <v>2019</v>
      </c>
      <c r="K118" s="1971">
        <v>2018</v>
      </c>
      <c r="L118" s="1973">
        <f>IF(MONTH(Diario_Documentos_TPL[[#This Row],[Fecha de Pago]])=0, "SIN PAGO",MONTH(Diario_Documentos_TPL[[#This Row],[Fecha de Pago]]))</f>
        <v>1</v>
      </c>
      <c r="M118" s="1971">
        <v>11</v>
      </c>
      <c r="N118" s="1971" t="str">
        <f>VLOOKUP(Diario_Documentos_TPL[[#This Row],[Periodo del Servicio]],'Tablas (2)'!$L$3:$M$14,2,FALSE)</f>
        <v>NOVIEMBRE</v>
      </c>
      <c r="O118" s="1971" t="s">
        <v>380</v>
      </c>
      <c r="P118" s="1971" t="s">
        <v>340</v>
      </c>
      <c r="Q118" s="1971" t="s">
        <v>165</v>
      </c>
      <c r="R118" s="1969">
        <v>2280</v>
      </c>
      <c r="S118" s="1969">
        <v>453851</v>
      </c>
      <c r="T118" s="1969" t="s">
        <v>629</v>
      </c>
      <c r="U118" s="1969" t="s">
        <v>221</v>
      </c>
      <c r="V118" s="1969">
        <v>180004982</v>
      </c>
      <c r="W118" s="1970">
        <v>43451</v>
      </c>
      <c r="X118" s="1966">
        <f>Diario_Documentos_TPL[[#This Row],[Total Pasivo
(USD)]]/1.16</f>
        <v>4193487.6465517245</v>
      </c>
      <c r="Y118" s="1966">
        <f>Diario_Documentos_TPL[[#This Row],[Importe Pasivo
(USD)]]*0.16</f>
        <v>670958.02344827598</v>
      </c>
      <c r="Z118" s="1966">
        <v>4864445.67</v>
      </c>
      <c r="AA118" s="1966">
        <f>Diario_Documentos_TPL[[#This Row],[Total Pasivo
(MX)]]/1.16</f>
        <v>84945801.862068966</v>
      </c>
      <c r="AB118" s="1966">
        <f>Diario_Documentos_TPL[[#This Row],[Importe Pasivo
(MX)]]*0.16</f>
        <v>13591328.297931034</v>
      </c>
      <c r="AC118" s="1966">
        <v>98537130.159999996</v>
      </c>
      <c r="AD118" s="2017">
        <f>IFERROR(Diario_Documentos_TPL[[#This Row],[Total Pasivo
(MX)]]/Diario_Documentos_TPL[[#This Row],[Total Pasivo
(USD)]],0)</f>
        <v>20.256600000221606</v>
      </c>
      <c r="AE118" s="1969">
        <v>140000067</v>
      </c>
      <c r="AF118" s="1970">
        <v>43469</v>
      </c>
      <c r="AG118" s="1967">
        <f>Diario_Documentos_TPL[[#This Row],[Total de Pago
(USD)]]/1.16</f>
        <v>4193487.6465517245</v>
      </c>
      <c r="AH118" s="1966">
        <f>Diario_Documentos_TPL[[#This Row],[Importe de Pago
(USD)]]*0.16</f>
        <v>670958.02344827598</v>
      </c>
      <c r="AI118" s="1966">
        <f>Diario_Documentos_TPL[[#This Row],[Total Pasivo
(USD)]]</f>
        <v>4864445.67</v>
      </c>
      <c r="AJ118" s="1966">
        <f>ROUND(Diario_Documentos_TPL[[#This Row],[Total de Pago
(MX)]]/1.16,2)</f>
        <v>82141197.319999993</v>
      </c>
      <c r="AK118" s="1966">
        <f>Diario_Documentos_TPL[[#This Row],[Importe de Pago
(MX)]]*0.16</f>
        <v>13142591.571199998</v>
      </c>
      <c r="AL118" s="1966">
        <f>ROUND(Diario_Documentos_TPL[[#This Row],[Total de Pago
(USD)]]*Diario_Documentos_TPL[[#This Row],[T.C Pago]],2)</f>
        <v>95283788.890000001</v>
      </c>
      <c r="AM118" s="2017">
        <v>19.587800000000001</v>
      </c>
      <c r="AN118" s="1975"/>
      <c r="AO118" s="1975"/>
      <c r="AP118" s="1975">
        <f>Diario_Documentos_TPL[[#This Row],[Importe de Pago
(MX)]]-Diario_Documentos_TPL[[#This Row],[Importe Pasivo
(MX)]]</f>
        <v>-2804604.5420689732</v>
      </c>
      <c r="AQ118" s="1975">
        <f>Diario_Documentos_TPL[[#This Row],[Total_Paridad]]-Diario_Documentos_TPL[[#This Row],[Subtotal_Paridad]]</f>
        <v>-448736.72793102264</v>
      </c>
      <c r="AR118" s="1964">
        <f>Diario_Documentos_TPL[[#This Row],[Total de Pago
(MX)]]-Diario_Documentos_TPL[[#This Row],[Total Pasivo
(MX)]]</f>
        <v>-3253341.2699999958</v>
      </c>
      <c r="AS118" s="1980"/>
      <c r="AT118" s="1980"/>
      <c r="AU118" s="1980"/>
      <c r="AV118" s="1980"/>
    </row>
    <row r="119" spans="1:48" ht="14.25" hidden="1" customHeight="1" x14ac:dyDescent="0.25">
      <c r="A119" s="1969" t="s">
        <v>598</v>
      </c>
      <c r="B119" s="1969">
        <v>4326979</v>
      </c>
      <c r="C119" s="1969">
        <v>800869678</v>
      </c>
      <c r="D119" s="1969"/>
      <c r="E119" s="1969" t="s">
        <v>632</v>
      </c>
      <c r="F119" s="1969" t="s">
        <v>599</v>
      </c>
      <c r="G119" s="1969" t="s">
        <v>628</v>
      </c>
      <c r="H119" s="1969" t="str">
        <f>VLOOKUP(Diario_Documentos_TPL[[#This Row],[Centro Gestor]],Catalogo_Centro_Gestor[],2,FALSE)</f>
        <v>Gas. Corredor Chihuahua</v>
      </c>
      <c r="I119" s="1969" t="s">
        <v>630</v>
      </c>
      <c r="J119" s="1973">
        <f>IF(YEAR(Diario_Documentos_TPL[[#This Row],[Fecha de Pago]])=1900, "SIN PAGO",YEAR(Diario_Documentos_TPL[[#This Row],[Fecha de Pago]]))</f>
        <v>2019</v>
      </c>
      <c r="K119" s="1971">
        <v>2018</v>
      </c>
      <c r="L119" s="1973">
        <f>IF(MONTH(Diario_Documentos_TPL[[#This Row],[Fecha de Pago]])=0, "SIN PAGO",MONTH(Diario_Documentos_TPL[[#This Row],[Fecha de Pago]]))</f>
        <v>1</v>
      </c>
      <c r="M119" s="1971">
        <v>11</v>
      </c>
      <c r="N119" s="1971" t="str">
        <f>VLOOKUP(Diario_Documentos_TPL[[#This Row],[Periodo del Servicio]],'Tablas (2)'!$L$3:$M$14,2,FALSE)</f>
        <v>NOVIEMBRE</v>
      </c>
      <c r="O119" s="1971" t="s">
        <v>380</v>
      </c>
      <c r="P119" s="1971" t="s">
        <v>470</v>
      </c>
      <c r="Q119" s="1971" t="s">
        <v>165</v>
      </c>
      <c r="R119" s="1969">
        <v>2281</v>
      </c>
      <c r="S119" s="1969">
        <v>453659</v>
      </c>
      <c r="T119" s="1969" t="s">
        <v>629</v>
      </c>
      <c r="U119" s="1969" t="s">
        <v>221</v>
      </c>
      <c r="V119" s="1969">
        <v>180005000</v>
      </c>
      <c r="W119" s="1970">
        <v>43451</v>
      </c>
      <c r="X119" s="1966">
        <f>Diario_Documentos_TPL[[#This Row],[Total Pasivo
(USD)]]/1.16</f>
        <v>5492.0000000000009</v>
      </c>
      <c r="Y119" s="1966">
        <f>Diario_Documentos_TPL[[#This Row],[Importe Pasivo
(USD)]]*0.16</f>
        <v>878.72000000000014</v>
      </c>
      <c r="Z119" s="1966">
        <v>6370.72</v>
      </c>
      <c r="AA119" s="1966">
        <f>Diario_Documentos_TPL[[#This Row],[Total Pasivo
(MX)]]/1.16</f>
        <v>111249.25000000001</v>
      </c>
      <c r="AB119" s="1966">
        <f>Diario_Documentos_TPL[[#This Row],[Importe Pasivo
(MX)]]*0.16</f>
        <v>17799.88</v>
      </c>
      <c r="AC119" s="1966">
        <v>129049.13</v>
      </c>
      <c r="AD119" s="2017">
        <f>IFERROR(Diario_Documentos_TPL[[#This Row],[Total Pasivo
(MX)]]/Diario_Documentos_TPL[[#This Row],[Total Pasivo
(USD)]],0)</f>
        <v>20.256600509832484</v>
      </c>
      <c r="AE119" s="1969">
        <v>140000067</v>
      </c>
      <c r="AF119" s="1970">
        <v>43469</v>
      </c>
      <c r="AG119" s="1967">
        <f>Diario_Documentos_TPL[[#This Row],[Total de Pago
(USD)]]/1.16</f>
        <v>5492.0000000000009</v>
      </c>
      <c r="AH119" s="1966">
        <f>Diario_Documentos_TPL[[#This Row],[Importe de Pago
(USD)]]*0.16</f>
        <v>878.72000000000014</v>
      </c>
      <c r="AI119" s="1966">
        <f>Diario_Documentos_TPL[[#This Row],[Total Pasivo
(USD)]]</f>
        <v>6370.72</v>
      </c>
      <c r="AJ119" s="1966">
        <f>ROUND(Diario_Documentos_TPL[[#This Row],[Total de Pago
(MX)]]/1.16,2)</f>
        <v>107576.2</v>
      </c>
      <c r="AK119" s="1966">
        <f>Diario_Documentos_TPL[[#This Row],[Importe de Pago
(MX)]]*0.16</f>
        <v>17212.191999999999</v>
      </c>
      <c r="AL119" s="1966">
        <f>ROUND(Diario_Documentos_TPL[[#This Row],[Total de Pago
(USD)]]*Diario_Documentos_TPL[[#This Row],[T.C Pago]],2)</f>
        <v>124788.39</v>
      </c>
      <c r="AM119" s="2018">
        <v>19.587800000000001</v>
      </c>
      <c r="AN119" s="1975"/>
      <c r="AO119" s="1975"/>
      <c r="AP119" s="1975">
        <f>Diario_Documentos_TPL[[#This Row],[Importe de Pago
(MX)]]-Diario_Documentos_TPL[[#This Row],[Importe Pasivo
(MX)]]</f>
        <v>-3673.0500000000175</v>
      </c>
      <c r="AQ119" s="1975">
        <f>Diario_Documentos_TPL[[#This Row],[Total_Paridad]]-Diario_Documentos_TPL[[#This Row],[Subtotal_Paridad]]</f>
        <v>-587.68999999998778</v>
      </c>
      <c r="AR119" s="1964">
        <f>Diario_Documentos_TPL[[#This Row],[Total de Pago
(MX)]]-Diario_Documentos_TPL[[#This Row],[Total Pasivo
(MX)]]</f>
        <v>-4260.7400000000052</v>
      </c>
      <c r="AS119" s="1980"/>
      <c r="AT119" s="1980"/>
      <c r="AU119" s="1980"/>
      <c r="AV119" s="1980"/>
    </row>
    <row r="120" spans="1:48" ht="14.25" hidden="1" customHeight="1" x14ac:dyDescent="0.25">
      <c r="A120" s="1969" t="s">
        <v>598</v>
      </c>
      <c r="B120" s="1969">
        <v>4326976</v>
      </c>
      <c r="C120" s="1969">
        <v>800869676</v>
      </c>
      <c r="D120" s="1969"/>
      <c r="E120" s="1969" t="s">
        <v>632</v>
      </c>
      <c r="F120" s="1969" t="s">
        <v>631</v>
      </c>
      <c r="G120" s="1969" t="s">
        <v>628</v>
      </c>
      <c r="H120" s="1969" t="str">
        <f>VLOOKUP(Diario_Documentos_TPL[[#This Row],[Centro Gestor]],Catalogo_Centro_Gestor[],2,FALSE)</f>
        <v>Gas. Corredor Chihuahua</v>
      </c>
      <c r="I120" s="1969" t="s">
        <v>630</v>
      </c>
      <c r="J120" s="1973">
        <f>IF(YEAR(Diario_Documentos_TPL[[#This Row],[Fecha de Pago]])=1900, "SIN PAGO",YEAR(Diario_Documentos_TPL[[#This Row],[Fecha de Pago]]))</f>
        <v>2018</v>
      </c>
      <c r="K120" s="1971">
        <v>2018</v>
      </c>
      <c r="L120" s="1973">
        <f>IF(MONTH(Diario_Documentos_TPL[[#This Row],[Fecha de Pago]])=0, "SIN PAGO",MONTH(Diario_Documentos_TPL[[#This Row],[Fecha de Pago]]))</f>
        <v>12</v>
      </c>
      <c r="M120" s="1971">
        <v>11</v>
      </c>
      <c r="N120" s="1971" t="str">
        <f>VLOOKUP(Diario_Documentos_TPL[[#This Row],[Periodo del Servicio]],'Tablas (2)'!$L$3:$M$14,2,FALSE)</f>
        <v>NOVIEMBRE</v>
      </c>
      <c r="O120" s="1971" t="s">
        <v>379</v>
      </c>
      <c r="P120" s="1971" t="s">
        <v>340</v>
      </c>
      <c r="Q120" s="1971" t="s">
        <v>165</v>
      </c>
      <c r="R120" s="1969">
        <v>2280</v>
      </c>
      <c r="S120" s="1969">
        <v>453851</v>
      </c>
      <c r="T120" s="1969" t="s">
        <v>629</v>
      </c>
      <c r="U120" s="1969" t="s">
        <v>221</v>
      </c>
      <c r="V120" s="1969">
        <v>180004999</v>
      </c>
      <c r="W120" s="1970">
        <v>43451</v>
      </c>
      <c r="X120" s="1966">
        <f>Diario_Documentos_TPL[[#This Row],[Total Pasivo
(USD)]]/1.16</f>
        <v>447053.49</v>
      </c>
      <c r="Y120" s="1966">
        <f>Diario_Documentos_TPL[[#This Row],[Importe Pasivo
(USD)]]*0.16</f>
        <v>71528.558399999994</v>
      </c>
      <c r="Z120" s="1966">
        <f>447053.49*1.16</f>
        <v>518582.04839999997</v>
      </c>
      <c r="AA120" s="1966">
        <f>Diario_Documentos_TPL[[#This Row],[Total Pasivo
(MX)]]/1.16</f>
        <v>9055783.7586206906</v>
      </c>
      <c r="AB120" s="1966">
        <f>Diario_Documentos_TPL[[#This Row],[Importe Pasivo
(MX)]]*0.16</f>
        <v>1448925.4013793105</v>
      </c>
      <c r="AC120" s="1966">
        <v>10504709.16</v>
      </c>
      <c r="AD120" s="2017">
        <f>IFERROR(Diario_Documentos_TPL[[#This Row],[Total Pasivo
(MX)]]/Diario_Documentos_TPL[[#This Row],[Total Pasivo
(USD)]],0)</f>
        <v>20.256600074010585</v>
      </c>
      <c r="AE120" s="1969">
        <v>140000067</v>
      </c>
      <c r="AF120" s="1970">
        <v>43460</v>
      </c>
      <c r="AG120" s="1967">
        <f>Diario_Documentos_TPL[[#This Row],[Total de Pago
(USD)]]/1.16</f>
        <v>447053.49</v>
      </c>
      <c r="AH120" s="1966">
        <f>Diario_Documentos_TPL[[#This Row],[Importe de Pago
(USD)]]*0.16</f>
        <v>71528.558399999994</v>
      </c>
      <c r="AI120" s="1966">
        <f>Diario_Documentos_TPL[[#This Row],[Total Pasivo
(USD)]]</f>
        <v>518582.04839999997</v>
      </c>
      <c r="AJ120" s="1966">
        <f>ROUND(Diario_Documentos_TPL[[#This Row],[Total de Pago
(MX)]]/1.16,2)</f>
        <v>8756794.3499999996</v>
      </c>
      <c r="AK120" s="1966">
        <f>Diario_Documentos_TPL[[#This Row],[Importe de Pago
(MX)]]*0.16</f>
        <v>1401087.0959999999</v>
      </c>
      <c r="AL120" s="1966">
        <f>ROUND(Diario_Documentos_TPL[[#This Row],[Total de Pago
(USD)]]*Diario_Documentos_TPL[[#This Row],[T.C Pago]],2)</f>
        <v>10157881.449999999</v>
      </c>
      <c r="AM120" s="2017">
        <v>19.587800000000001</v>
      </c>
      <c r="AN120" s="1975"/>
      <c r="AO120" s="1975"/>
      <c r="AP120" s="1975">
        <f>Diario_Documentos_TPL[[#This Row],[Importe de Pago
(MX)]]-Diario_Documentos_TPL[[#This Row],[Importe Pasivo
(MX)]]</f>
        <v>-298989.40862069093</v>
      </c>
      <c r="AQ120" s="1975">
        <f>Diario_Documentos_TPL[[#This Row],[Total_Paridad]]-Diario_Documentos_TPL[[#This Row],[Subtotal_Paridad]]</f>
        <v>-47838.301379309967</v>
      </c>
      <c r="AR120" s="1964">
        <f>Diario_Documentos_TPL[[#This Row],[Total de Pago
(MX)]]-Diario_Documentos_TPL[[#This Row],[Total Pasivo
(MX)]]</f>
        <v>-346827.71000000089</v>
      </c>
      <c r="AS120" s="1980"/>
      <c r="AT120" s="1980"/>
      <c r="AU120" s="1980"/>
      <c r="AV120" s="1980"/>
    </row>
    <row r="121" spans="1:48" ht="14.25" hidden="1" customHeight="1" x14ac:dyDescent="0.25">
      <c r="A121" s="1969" t="s">
        <v>598</v>
      </c>
      <c r="B121" s="1969">
        <v>4326979</v>
      </c>
      <c r="C121" s="1969">
        <v>800869674</v>
      </c>
      <c r="D121" s="1969"/>
      <c r="E121" s="1969" t="s">
        <v>632</v>
      </c>
      <c r="F121" s="1969" t="s">
        <v>599</v>
      </c>
      <c r="G121" s="1969" t="s">
        <v>628</v>
      </c>
      <c r="H121" s="1969" t="str">
        <f>VLOOKUP(Diario_Documentos_TPL[[#This Row],[Centro Gestor]],Catalogo_Centro_Gestor[],2,FALSE)</f>
        <v>Gas. Corredor Chihuahua</v>
      </c>
      <c r="I121" s="1969" t="s">
        <v>630</v>
      </c>
      <c r="J121" s="1973">
        <f>IF(YEAR(Diario_Documentos_TPL[[#This Row],[Fecha de Pago]])=1900, "SIN PAGO",YEAR(Diario_Documentos_TPL[[#This Row],[Fecha de Pago]]))</f>
        <v>2018</v>
      </c>
      <c r="K121" s="1971">
        <v>2018</v>
      </c>
      <c r="L121" s="1973">
        <f>IF(MONTH(Diario_Documentos_TPL[[#This Row],[Fecha de Pago]])=0, "SIN PAGO",MONTH(Diario_Documentos_TPL[[#This Row],[Fecha de Pago]]))</f>
        <v>11</v>
      </c>
      <c r="M121" s="1971">
        <v>10</v>
      </c>
      <c r="N121" s="1971" t="str">
        <f>VLOOKUP(Diario_Documentos_TPL[[#This Row],[Periodo del Servicio]],'Tablas (2)'!$L$3:$M$14,2,FALSE)</f>
        <v>OCTUBRE</v>
      </c>
      <c r="O121" s="1971" t="s">
        <v>360</v>
      </c>
      <c r="P121" s="1971" t="s">
        <v>340</v>
      </c>
      <c r="Q121" s="1971" t="s">
        <v>165</v>
      </c>
      <c r="R121" s="1969">
        <v>2280</v>
      </c>
      <c r="S121" s="1969">
        <v>453851</v>
      </c>
      <c r="T121" s="1969" t="s">
        <v>629</v>
      </c>
      <c r="U121" s="1969" t="s">
        <v>221</v>
      </c>
      <c r="V121" s="1969">
        <v>180004481</v>
      </c>
      <c r="W121" s="1970">
        <v>43417</v>
      </c>
      <c r="X121" s="1966">
        <f>Diario_Documentos_TPL[[#This Row],[Total Pasivo
(USD)]]/1.16</f>
        <v>465943.06896551722</v>
      </c>
      <c r="Y121" s="1966">
        <f>Diario_Documentos_TPL[[#This Row],[Importe Pasivo
(USD)]]*0.16</f>
        <v>74550.89103448276</v>
      </c>
      <c r="Z121" s="1966">
        <v>540493.96</v>
      </c>
      <c r="AA121" s="1966">
        <f>Diario_Documentos_TPL[[#This Row],[Total Pasivo
(MX)]]/1.16</f>
        <v>9487253.2068965528</v>
      </c>
      <c r="AB121" s="1966">
        <f>Diario_Documentos_TPL[[#This Row],[Importe Pasivo
(MX)]]*0.16</f>
        <v>1517960.5131034486</v>
      </c>
      <c r="AC121" s="1966">
        <v>11005213.720000001</v>
      </c>
      <c r="AD121" s="2017">
        <f>IFERROR(Diario_Documentos_TPL[[#This Row],[Total Pasivo
(MX)]]/Diario_Documentos_TPL[[#This Row],[Total Pasivo
(USD)]],0)</f>
        <v>20.361400005284057</v>
      </c>
      <c r="AE121" s="1969">
        <v>140006288</v>
      </c>
      <c r="AF121" s="1970">
        <v>43433</v>
      </c>
      <c r="AG121" s="1967">
        <f>Diario_Documentos_TPL[[#This Row],[Total de Pago
(USD)]]/1.16</f>
        <v>465943.06896551722</v>
      </c>
      <c r="AH121" s="1966">
        <f>Diario_Documentos_TPL[[#This Row],[Importe de Pago
(USD)]]*0.16</f>
        <v>74550.89103448276</v>
      </c>
      <c r="AI121" s="1966">
        <f>Diario_Documentos_TPL[[#This Row],[Total Pasivo
(USD)]]</f>
        <v>540493.96</v>
      </c>
      <c r="AJ121" s="1966">
        <f>ROUND(Diario_Documentos_TPL[[#This Row],[Total de Pago
(MX)]]/1.16,2)</f>
        <v>9550761.2400000002</v>
      </c>
      <c r="AK121" s="1966">
        <f>Diario_Documentos_TPL[[#This Row],[Importe de Pago
(MX)]]*0.16</f>
        <v>1528121.7984</v>
      </c>
      <c r="AL121" s="1966">
        <f>ROUND(Diario_Documentos_TPL[[#This Row],[Total de Pago
(USD)]]*Diario_Documentos_TPL[[#This Row],[T.C Pago]],2)</f>
        <v>11078883.039999999</v>
      </c>
      <c r="AM121" s="2018">
        <v>20.497699999999998</v>
      </c>
      <c r="AN121" s="1975"/>
      <c r="AO121" s="1975"/>
      <c r="AP121" s="1975">
        <f>Diario_Documentos_TPL[[#This Row],[Importe de Pago
(MX)]]-Diario_Documentos_TPL[[#This Row],[Importe Pasivo
(MX)]]</f>
        <v>63508.033103447407</v>
      </c>
      <c r="AQ121" s="1975">
        <f>Diario_Documentos_TPL[[#This Row],[Total_Paridad]]-Diario_Documentos_TPL[[#This Row],[Subtotal_Paridad]]</f>
        <v>10161.286896551028</v>
      </c>
      <c r="AR121" s="1964">
        <f>Diario_Documentos_TPL[[#This Row],[Total de Pago
(MX)]]-Diario_Documentos_TPL[[#This Row],[Total Pasivo
(MX)]]</f>
        <v>73669.319999998435</v>
      </c>
      <c r="AS121" s="1980"/>
      <c r="AT121" s="1980"/>
      <c r="AU121" s="1980"/>
      <c r="AV121" s="1980"/>
    </row>
    <row r="122" spans="1:48" ht="14.25" hidden="1" customHeight="1" x14ac:dyDescent="0.25">
      <c r="A122" s="1969" t="s">
        <v>598</v>
      </c>
      <c r="B122" s="1969">
        <v>4326979</v>
      </c>
      <c r="C122" s="1969">
        <v>800869674</v>
      </c>
      <c r="D122" s="1969"/>
      <c r="E122" s="1969" t="s">
        <v>632</v>
      </c>
      <c r="F122" s="1969" t="s">
        <v>599</v>
      </c>
      <c r="G122" s="1969" t="s">
        <v>628</v>
      </c>
      <c r="H122" s="1969" t="str">
        <f>VLOOKUP(Diario_Documentos_TPL[[#This Row],[Centro Gestor]],Catalogo_Centro_Gestor[],2,FALSE)</f>
        <v>Gas. Corredor Chihuahua</v>
      </c>
      <c r="I122" s="1969" t="s">
        <v>630</v>
      </c>
      <c r="J122" s="1973">
        <f>IF(YEAR(Diario_Documentos_TPL[[#This Row],[Fecha de Pago]])=1900, "SIN PAGO",YEAR(Diario_Documentos_TPL[[#This Row],[Fecha de Pago]]))</f>
        <v>2018</v>
      </c>
      <c r="K122" s="1971">
        <v>2018</v>
      </c>
      <c r="L122" s="1973">
        <f>IF(MONTH(Diario_Documentos_TPL[[#This Row],[Fecha de Pago]])=0, "SIN PAGO",MONTH(Diario_Documentos_TPL[[#This Row],[Fecha de Pago]]))</f>
        <v>11</v>
      </c>
      <c r="M122" s="1971">
        <v>10</v>
      </c>
      <c r="N122" s="1971" t="str">
        <f>VLOOKUP(Diario_Documentos_TPL[[#This Row],[Periodo del Servicio]],'Tablas (2)'!$L$3:$M$14,2,FALSE)</f>
        <v>OCTUBRE</v>
      </c>
      <c r="O122" s="1971" t="s">
        <v>636</v>
      </c>
      <c r="P122" s="1971" t="s">
        <v>340</v>
      </c>
      <c r="Q122" s="1971" t="s">
        <v>165</v>
      </c>
      <c r="R122" s="1969">
        <v>2280</v>
      </c>
      <c r="S122" s="1969">
        <v>453851</v>
      </c>
      <c r="T122" s="1969" t="s">
        <v>629</v>
      </c>
      <c r="U122" s="1969" t="s">
        <v>221</v>
      </c>
      <c r="V122" s="1969">
        <v>180004480</v>
      </c>
      <c r="W122" s="1970">
        <v>43417</v>
      </c>
      <c r="X122" s="1966">
        <f>Diario_Documentos_TPL[[#This Row],[Total Pasivo
(USD)]]/1.16</f>
        <v>4193487.6465517245</v>
      </c>
      <c r="Y122" s="1966">
        <f>Diario_Documentos_TPL[[#This Row],[Importe Pasivo
(USD)]]*0.16</f>
        <v>670958.02344827598</v>
      </c>
      <c r="Z122" s="1966">
        <v>4864445.67</v>
      </c>
      <c r="AA122" s="1966">
        <f>Diario_Documentos_TPL[[#This Row],[Total Pasivo
(MX)]]/1.16</f>
        <v>85385279.37068966</v>
      </c>
      <c r="AB122" s="1966">
        <f>Diario_Documentos_TPL[[#This Row],[Importe Pasivo
(MX)]]*0.16</f>
        <v>13661644.699310346</v>
      </c>
      <c r="AC122" s="1966">
        <v>99046924.069999993</v>
      </c>
      <c r="AD122" s="2017">
        <f>IFERROR(Diario_Documentos_TPL[[#This Row],[Total Pasivo
(MX)]]/Diario_Documentos_TPL[[#This Row],[Total Pasivo
(USD)]],0)</f>
        <v>20.361400000999495</v>
      </c>
      <c r="AE122" s="1969">
        <v>140006288</v>
      </c>
      <c r="AF122" s="1970">
        <v>43433</v>
      </c>
      <c r="AG122" s="1967">
        <f>Diario_Documentos_TPL[[#This Row],[Total de Pago
(USD)]]/1.16</f>
        <v>4193487.6465517245</v>
      </c>
      <c r="AH122" s="1966">
        <f>Diario_Documentos_TPL[[#This Row],[Importe de Pago
(USD)]]*0.16</f>
        <v>670958.02344827598</v>
      </c>
      <c r="AI122" s="1966">
        <f>Diario_Documentos_TPL[[#This Row],[Total Pasivo
(USD)]]</f>
        <v>4864445.67</v>
      </c>
      <c r="AJ122" s="1966">
        <f>ROUND(Diario_Documentos_TPL[[#This Row],[Total de Pago
(MX)]]/1.16,2)</f>
        <v>85956851.730000004</v>
      </c>
      <c r="AK122" s="1966">
        <f>Diario_Documentos_TPL[[#This Row],[Importe de Pago
(MX)]]*0.16</f>
        <v>13753096.276800001</v>
      </c>
      <c r="AL122" s="1966">
        <f>ROUND(Diario_Documentos_TPL[[#This Row],[Total de Pago
(USD)]]*Diario_Documentos_TPL[[#This Row],[T.C Pago]],2)</f>
        <v>99709948.010000005</v>
      </c>
      <c r="AM122" s="2018">
        <v>20.497699999999998</v>
      </c>
      <c r="AN122" s="1975"/>
      <c r="AO122" s="1975"/>
      <c r="AP122" s="1965">
        <f>Diario_Documentos_TPL[[#This Row],[Importe de Pago
(MX)]]-Diario_Documentos_TPL[[#This Row],[Importe Pasivo
(MX)]]</f>
        <v>571572.35931034386</v>
      </c>
      <c r="AQ122" s="1965">
        <f>Diario_Documentos_TPL[[#This Row],[Total_Paridad]]-Diario_Documentos_TPL[[#This Row],[Subtotal_Paridad]]</f>
        <v>91451.580689668655</v>
      </c>
      <c r="AR122" s="1964">
        <f>Diario_Documentos_TPL[[#This Row],[Total de Pago
(MX)]]-Diario_Documentos_TPL[[#This Row],[Total Pasivo
(MX)]]</f>
        <v>663023.94000001252</v>
      </c>
      <c r="AS122" s="1980"/>
      <c r="AT122" s="1980"/>
      <c r="AU122" s="1980"/>
      <c r="AV122" s="1980"/>
    </row>
    <row r="123" spans="1:48" ht="14.25" hidden="1" customHeight="1" x14ac:dyDescent="0.25">
      <c r="A123" s="1969" t="s">
        <v>598</v>
      </c>
      <c r="B123" s="1969">
        <v>4326979</v>
      </c>
      <c r="C123" s="1969">
        <v>800869678</v>
      </c>
      <c r="D123" s="1969"/>
      <c r="E123" s="1969" t="s">
        <v>632</v>
      </c>
      <c r="F123" s="1969" t="s">
        <v>599</v>
      </c>
      <c r="G123" s="1969" t="s">
        <v>628</v>
      </c>
      <c r="H123" s="1969" t="str">
        <f>VLOOKUP(Diario_Documentos_TPL[[#This Row],[Centro Gestor]],Catalogo_Centro_Gestor[],2,FALSE)</f>
        <v>Gas. Corredor Chihuahua</v>
      </c>
      <c r="I123" s="1969" t="s">
        <v>630</v>
      </c>
      <c r="J123" s="1972">
        <f>IF(YEAR(Diario_Documentos_TPL[[#This Row],[Fecha de Pago]])=1900, "SIN PAGO",YEAR(Diario_Documentos_TPL[[#This Row],[Fecha de Pago]]))</f>
        <v>2018</v>
      </c>
      <c r="K123" s="1971">
        <v>2018</v>
      </c>
      <c r="L123" s="1972">
        <f>IF(MONTH(Diario_Documentos_TPL[[#This Row],[Fecha de Pago]])=0, "SIN PAGO",MONTH(Diario_Documentos_TPL[[#This Row],[Fecha de Pago]]))</f>
        <v>11</v>
      </c>
      <c r="M123" s="1971">
        <v>10</v>
      </c>
      <c r="N123" s="1971" t="str">
        <f>VLOOKUP(Diario_Documentos_TPL[[#This Row],[Periodo del Servicio]],'Tablas (2)'!$L$3:$M$14,2,FALSE)</f>
        <v>OCTUBRE</v>
      </c>
      <c r="O123" s="1971" t="s">
        <v>634</v>
      </c>
      <c r="P123" s="1971" t="s">
        <v>470</v>
      </c>
      <c r="Q123" s="1971" t="s">
        <v>165</v>
      </c>
      <c r="R123" s="1969">
        <v>2281</v>
      </c>
      <c r="S123" s="1969">
        <v>453659</v>
      </c>
      <c r="T123" s="1969" t="s">
        <v>629</v>
      </c>
      <c r="U123" s="1969" t="s">
        <v>221</v>
      </c>
      <c r="V123" s="1969">
        <v>180004483</v>
      </c>
      <c r="W123" s="1970">
        <v>43417</v>
      </c>
      <c r="X123" s="1966">
        <f>Diario_Documentos_TPL[[#This Row],[Total Pasivo
(USD)]]/1.16</f>
        <v>2240.3620689655177</v>
      </c>
      <c r="Y123" s="1966">
        <f>Diario_Documentos_TPL[[#This Row],[Importe Pasivo
(USD)]]*0.16</f>
        <v>358.45793103448284</v>
      </c>
      <c r="Z123" s="1966">
        <v>2598.8200000000002</v>
      </c>
      <c r="AA123" s="1966">
        <f>Diario_Documentos_TPL[[#This Row],[Total Pasivo
(MX)]]/1.16</f>
        <v>45617.086206896558</v>
      </c>
      <c r="AB123" s="1966">
        <f>Diario_Documentos_TPL[[#This Row],[Importe Pasivo
(MX)]]*0.16</f>
        <v>7298.733793103449</v>
      </c>
      <c r="AC123" s="1966">
        <v>52915.82</v>
      </c>
      <c r="AD123" s="2017">
        <f>IFERROR(Diario_Documentos_TPL[[#This Row],[Total Pasivo
(MX)]]/Diario_Documentos_TPL[[#This Row],[Total Pasivo
(USD)]],0)</f>
        <v>20.361479440669225</v>
      </c>
      <c r="AE123" s="1969">
        <v>140006288</v>
      </c>
      <c r="AF123" s="1970">
        <v>43433</v>
      </c>
      <c r="AG123" s="1967">
        <f>Diario_Documentos_TPL[[#This Row],[Total de Pago
(USD)]]/1.16</f>
        <v>2240.3620689655177</v>
      </c>
      <c r="AH123" s="1966">
        <f>Diario_Documentos_TPL[[#This Row],[Importe de Pago
(USD)]]*0.16</f>
        <v>358.45793103448284</v>
      </c>
      <c r="AI123" s="1966">
        <f>Diario_Documentos_TPL[[#This Row],[Total Pasivo
(USD)]]</f>
        <v>2598.8200000000002</v>
      </c>
      <c r="AJ123" s="1966">
        <f>ROUND(Diario_Documentos_TPL[[#This Row],[Total de Pago
(MX)]]/1.16,2)</f>
        <v>45922.27</v>
      </c>
      <c r="AK123" s="1966">
        <f>Diario_Documentos_TPL[[#This Row],[Importe de Pago
(MX)]]*0.16</f>
        <v>7347.5631999999996</v>
      </c>
      <c r="AL123" s="1966">
        <f>ROUND(Diario_Documentos_TPL[[#This Row],[Total de Pago
(USD)]]*Diario_Documentos_TPL[[#This Row],[T.C Pago]],2)</f>
        <v>53269.83</v>
      </c>
      <c r="AM123" s="2018">
        <v>20.497699999999998</v>
      </c>
      <c r="AN123" s="1975"/>
      <c r="AO123" s="1975"/>
      <c r="AP123" s="1975">
        <f>Diario_Documentos_TPL[[#This Row],[Importe de Pago
(MX)]]-Diario_Documentos_TPL[[#This Row],[Importe Pasivo
(MX)]]</f>
        <v>305.1837931034388</v>
      </c>
      <c r="AQ123" s="1975">
        <f>Diario_Documentos_TPL[[#This Row],[Total_Paridad]]-Diario_Documentos_TPL[[#This Row],[Subtotal_Paridad]]</f>
        <v>48.826206896563235</v>
      </c>
      <c r="AR123" s="1964">
        <f>Diario_Documentos_TPL[[#This Row],[Total de Pago
(MX)]]-Diario_Documentos_TPL[[#This Row],[Total Pasivo
(MX)]]</f>
        <v>354.01000000000204</v>
      </c>
      <c r="AS123" s="1980"/>
      <c r="AT123" s="1980"/>
      <c r="AU123" s="1980"/>
      <c r="AV123" s="1980"/>
    </row>
    <row r="124" spans="1:48" ht="14.25" hidden="1" customHeight="1" x14ac:dyDescent="0.25">
      <c r="A124" s="1969" t="s">
        <v>598</v>
      </c>
      <c r="B124" s="1969">
        <v>4326979</v>
      </c>
      <c r="C124" s="1969">
        <v>800869678</v>
      </c>
      <c r="D124" s="1969"/>
      <c r="E124" s="1969" t="s">
        <v>632</v>
      </c>
      <c r="F124" s="1969" t="s">
        <v>599</v>
      </c>
      <c r="G124" s="1969" t="s">
        <v>628</v>
      </c>
      <c r="H124" s="1969" t="str">
        <f>VLOOKUP(Diario_Documentos_TPL[[#This Row],[Centro Gestor]],Catalogo_Centro_Gestor[],2,FALSE)</f>
        <v>Gas. Corredor Chihuahua</v>
      </c>
      <c r="I124" s="1969" t="s">
        <v>630</v>
      </c>
      <c r="J124" s="1973">
        <f>IF(YEAR(Diario_Documentos_TPL[[#This Row],[Fecha de Pago]])=1900, "SIN PAGO",YEAR(Diario_Documentos_TPL[[#This Row],[Fecha de Pago]]))</f>
        <v>2018</v>
      </c>
      <c r="K124" s="1973">
        <v>2018</v>
      </c>
      <c r="L124" s="1973">
        <f>IF(MONTH(Diario_Documentos_TPL[[#This Row],[Fecha de Pago]])=0, "SIN PAGO",MONTH(Diario_Documentos_TPL[[#This Row],[Fecha de Pago]]))</f>
        <v>11</v>
      </c>
      <c r="M124" s="1971">
        <v>10</v>
      </c>
      <c r="N124" s="1971" t="s">
        <v>541</v>
      </c>
      <c r="O124" s="1971" t="s">
        <v>360</v>
      </c>
      <c r="P124" s="1971" t="s">
        <v>470</v>
      </c>
      <c r="Q124" s="1971" t="s">
        <v>165</v>
      </c>
      <c r="R124" s="1969">
        <v>2281</v>
      </c>
      <c r="S124" s="1969">
        <v>453659</v>
      </c>
      <c r="T124" s="1969" t="s">
        <v>629</v>
      </c>
      <c r="U124" s="1969" t="s">
        <v>221</v>
      </c>
      <c r="V124" s="1969">
        <v>180004485</v>
      </c>
      <c r="W124" s="1970">
        <v>43417</v>
      </c>
      <c r="X124" s="1976">
        <f>Diario_Documentos_TPL[[#This Row],[Total Pasivo
(USD)]]/1.16</f>
        <v>3370.9396551724139</v>
      </c>
      <c r="Y124" s="1976">
        <f>Diario_Documentos_TPL[[#This Row],[Importe Pasivo
(USD)]]*0.16</f>
        <v>539.35034482758624</v>
      </c>
      <c r="Z124" s="1976">
        <v>3910.29</v>
      </c>
      <c r="AA124" s="1976">
        <f>Diario_Documentos_TPL[[#This Row],[Total Pasivo
(MX)]]/1.16</f>
        <v>6863705.1724137934</v>
      </c>
      <c r="AB124" s="1976">
        <f>Diario_Documentos_TPL[[#This Row],[Importe Pasivo
(MX)]]*0.16</f>
        <v>1098192.8275862071</v>
      </c>
      <c r="AC124" s="1976">
        <v>7961898</v>
      </c>
      <c r="AD124" s="2017">
        <v>20.361396919515148</v>
      </c>
      <c r="AE124" s="1969">
        <v>140006288</v>
      </c>
      <c r="AF124" s="1970">
        <v>43433</v>
      </c>
      <c r="AG124" s="1981">
        <f>Diario_Documentos_TPL[[#This Row],[Total de Pago
(USD)]]/1.16</f>
        <v>3370.9396551724139</v>
      </c>
      <c r="AH124" s="1976">
        <f>Diario_Documentos_TPL[[#This Row],[Importe de Pago
(USD)]]*0.16</f>
        <v>539.35034482758624</v>
      </c>
      <c r="AI124" s="1976">
        <f>Diario_Documentos_TPL[[#This Row],[Total Pasivo
(USD)]]</f>
        <v>3910.29</v>
      </c>
      <c r="AJ124" s="1976">
        <f>ROUND(Diario_Documentos_TPL[[#This Row],[Total de Pago
(MX)]]/1.16,2)</f>
        <v>69096.509999999995</v>
      </c>
      <c r="AK124" s="1976">
        <f>Diario_Documentos_TPL[[#This Row],[Importe de Pago
(MX)]]*0.16</f>
        <v>11055.4416</v>
      </c>
      <c r="AL124" s="1976">
        <f>ROUND(Diario_Documentos_TPL[[#This Row],[Total de Pago
(USD)]]*Diario_Documentos_TPL[[#This Row],[T.C Pago]],2)</f>
        <v>80151.95</v>
      </c>
      <c r="AM124" s="2018">
        <v>20.497699999999998</v>
      </c>
      <c r="AN124" s="1975"/>
      <c r="AO124" s="1975"/>
      <c r="AP124" s="1965">
        <v>-748.20620689656062</v>
      </c>
      <c r="AQ124" s="1965">
        <v>-119.71379310343764</v>
      </c>
      <c r="AR124" s="1964">
        <v>-867.91999999999825</v>
      </c>
      <c r="AS124" s="1980"/>
      <c r="AT124" s="1980"/>
      <c r="AU124" s="1980"/>
      <c r="AV124" s="1980"/>
    </row>
    <row r="125" spans="1:48" ht="14.25" hidden="1" customHeight="1" x14ac:dyDescent="0.25">
      <c r="A125" s="1969" t="s">
        <v>598</v>
      </c>
      <c r="B125" s="1969">
        <v>4326979</v>
      </c>
      <c r="C125" s="1969">
        <v>800869678</v>
      </c>
      <c r="D125" s="1969"/>
      <c r="E125" s="1969" t="s">
        <v>632</v>
      </c>
      <c r="F125" s="1969" t="s">
        <v>599</v>
      </c>
      <c r="G125" s="1969" t="s">
        <v>628</v>
      </c>
      <c r="H125" s="1969" t="str">
        <f>VLOOKUP(Diario_Documentos_TPL[[#This Row],[Centro Gestor]],Catalogo_Centro_Gestor[],2,FALSE)</f>
        <v>Gas. Corredor Chihuahua</v>
      </c>
      <c r="I125" s="1969" t="s">
        <v>630</v>
      </c>
      <c r="J125" s="1973">
        <f>IF(YEAR(Diario_Documentos_TPL[[#This Row],[Fecha de Pago]])=1900, "SIN PAGO",YEAR(Diario_Documentos_TPL[[#This Row],[Fecha de Pago]]))</f>
        <v>2018</v>
      </c>
      <c r="K125" s="1973">
        <v>2018</v>
      </c>
      <c r="L125" s="1973">
        <f>IF(MONTH(Diario_Documentos_TPL[[#This Row],[Fecha de Pago]])=0, "SIN PAGO",MONTH(Diario_Documentos_TPL[[#This Row],[Fecha de Pago]]))</f>
        <v>11</v>
      </c>
      <c r="M125" s="1971">
        <v>10</v>
      </c>
      <c r="N125" s="1971" t="str">
        <f>VLOOKUP(Diario_Documentos_TPL[[#This Row],[Periodo del Servicio]],'Tablas (2)'!$L$3:$M$14,2,FALSE)</f>
        <v>OCTUBRE</v>
      </c>
      <c r="O125" s="1971" t="s">
        <v>359</v>
      </c>
      <c r="P125" s="1971" t="s">
        <v>470</v>
      </c>
      <c r="Q125" s="1971" t="s">
        <v>165</v>
      </c>
      <c r="R125" s="1969">
        <v>2281</v>
      </c>
      <c r="S125" s="1969">
        <v>453659</v>
      </c>
      <c r="T125" s="1969" t="s">
        <v>629</v>
      </c>
      <c r="U125" s="1969" t="s">
        <v>221</v>
      </c>
      <c r="V125" s="1969">
        <v>180004484</v>
      </c>
      <c r="W125" s="1970">
        <v>43417</v>
      </c>
      <c r="X125" s="1976">
        <f>Diario_Documentos_TPL[[#This Row],[Total Pasivo
(USD)]]/1.16</f>
        <v>2070.3189655172418</v>
      </c>
      <c r="Y125" s="1976">
        <f>Diario_Documentos_TPL[[#This Row],[Importe Pasivo
(USD)]]*0.16</f>
        <v>331.25103448275871</v>
      </c>
      <c r="Z125" s="1976">
        <v>2401.5700000000002</v>
      </c>
      <c r="AA125" s="1976">
        <f>Diario_Documentos_TPL[[#This Row],[Total Pasivo
(MX)]]/1.16</f>
        <v>42154.586206896558</v>
      </c>
      <c r="AB125" s="1976">
        <f>Diario_Documentos_TPL[[#This Row],[Importe Pasivo
(MX)]]*0.16</f>
        <v>6744.733793103449</v>
      </c>
      <c r="AC125" s="1976">
        <v>48899.32</v>
      </c>
      <c r="AD125" s="2017">
        <f>IFERROR(Diario_Documentos_TPL[[#This Row],[Total Pasivo
(MX)]]/Diario_Documentos_TPL[[#This Row],[Total Pasivo
(USD)]],0)</f>
        <v>20.361396919515148</v>
      </c>
      <c r="AE125" s="1969">
        <v>140006288</v>
      </c>
      <c r="AF125" s="1970">
        <v>43433</v>
      </c>
      <c r="AG125" s="1976">
        <f>Diario_Documentos_TPL[[#This Row],[Total de Pago
(USD)]]/1.16</f>
        <v>2070.3189655172418</v>
      </c>
      <c r="AH125" s="1976">
        <f>Diario_Documentos_TPL[[#This Row],[Importe de Pago
(USD)]]*0.16</f>
        <v>331.25103448275871</v>
      </c>
      <c r="AI125" s="1976">
        <f>Diario_Documentos_TPL[[#This Row],[Total Pasivo
(USD)]]</f>
        <v>2401.5700000000002</v>
      </c>
      <c r="AJ125" s="1976">
        <f>ROUND(Diario_Documentos_TPL[[#This Row],[Total de Pago
(MX)]]/1.16,2)</f>
        <v>42436.78</v>
      </c>
      <c r="AK125" s="1976">
        <f>Diario_Documentos_TPL[[#This Row],[Importe de Pago
(MX)]]*0.16</f>
        <v>6789.8847999999998</v>
      </c>
      <c r="AL125" s="1976">
        <f>ROUND(Diario_Documentos_TPL[[#This Row],[Total de Pago
(USD)]]*Diario_Documentos_TPL[[#This Row],[T.C Pago]],2)</f>
        <v>49226.66</v>
      </c>
      <c r="AM125" s="2018">
        <v>20.497699999999998</v>
      </c>
      <c r="AN125" s="1975"/>
      <c r="AO125" s="1975"/>
      <c r="AP125" s="1965">
        <f>Diario_Documentos_TPL[[#This Row],[Importe de Pago
(MX)]]-Diario_Documentos_TPL[[#This Row],[Importe Pasivo
(MX)]]</f>
        <v>282.19379310344084</v>
      </c>
      <c r="AQ125" s="1965">
        <f>Diario_Documentos_TPL[[#This Row],[Total_Paridad]]-Diario_Documentos_TPL[[#This Row],[Subtotal_Paridad]]</f>
        <v>45.146206896562944</v>
      </c>
      <c r="AR125" s="1964">
        <f>Diario_Documentos_TPL[[#This Row],[Total de Pago
(MX)]]-Diario_Documentos_TPL[[#This Row],[Total Pasivo
(MX)]]</f>
        <v>327.34000000000378</v>
      </c>
      <c r="AS125" s="1980"/>
      <c r="AT125" s="1980"/>
      <c r="AU125" s="1980"/>
      <c r="AV125" s="1980"/>
    </row>
    <row r="126" spans="1:48" ht="14.25" hidden="1" customHeight="1" x14ac:dyDescent="0.25">
      <c r="A126" s="1969" t="s">
        <v>598</v>
      </c>
      <c r="B126" s="1969">
        <v>4326979</v>
      </c>
      <c r="C126" s="1969">
        <v>800869676</v>
      </c>
      <c r="D126" s="1969"/>
      <c r="E126" s="1969" t="s">
        <v>632</v>
      </c>
      <c r="F126" s="1969" t="s">
        <v>631</v>
      </c>
      <c r="G126" s="1969" t="s">
        <v>628</v>
      </c>
      <c r="H126" s="1969" t="str">
        <f>VLOOKUP(Diario_Documentos_TPL[[#This Row],[Centro Gestor]],Catalogo_Centro_Gestor[],2,FALSE)</f>
        <v>Gas. Corredor Chihuahua</v>
      </c>
      <c r="I126" s="1969" t="s">
        <v>630</v>
      </c>
      <c r="J126" s="1973">
        <f>IF(YEAR(Diario_Documentos_TPL[[#This Row],[Fecha de Pago]])=1900, "SIN PAGO",YEAR(Diario_Documentos_TPL[[#This Row],[Fecha de Pago]]))</f>
        <v>2018</v>
      </c>
      <c r="K126" s="1971">
        <v>2018</v>
      </c>
      <c r="L126" s="1973">
        <f>IF(MONTH(Diario_Documentos_TPL[[#This Row],[Fecha de Pago]])=0, "SIN PAGO",MONTH(Diario_Documentos_TPL[[#This Row],[Fecha de Pago]]))</f>
        <v>11</v>
      </c>
      <c r="M126" s="1971">
        <v>10</v>
      </c>
      <c r="N126" s="1971" t="str">
        <f>VLOOKUP(Diario_Documentos_TPL[[#This Row],[Periodo del Servicio]],'Tablas (2)'!$L$3:$M$14,2,FALSE)</f>
        <v>OCTUBRE</v>
      </c>
      <c r="O126" s="1971" t="s">
        <v>359</v>
      </c>
      <c r="P126" s="1971" t="s">
        <v>340</v>
      </c>
      <c r="Q126" s="1971" t="s">
        <v>165</v>
      </c>
      <c r="R126" s="1969">
        <v>2280</v>
      </c>
      <c r="S126" s="1969">
        <v>453851</v>
      </c>
      <c r="T126" s="1969" t="s">
        <v>629</v>
      </c>
      <c r="U126" s="1969" t="s">
        <v>221</v>
      </c>
      <c r="V126" s="1969">
        <v>180004486</v>
      </c>
      <c r="W126" s="1970">
        <v>43417</v>
      </c>
      <c r="X126" s="1966">
        <f>Diario_Documentos_TPL[[#This Row],[Total Pasivo
(USD)]]/1.16</f>
        <v>447053.49137931038</v>
      </c>
      <c r="Y126" s="1966">
        <f>Diario_Documentos_TPL[[#This Row],[Importe Pasivo
(USD)]]*0.16</f>
        <v>71528.558620689655</v>
      </c>
      <c r="Z126" s="1966">
        <v>518582.05</v>
      </c>
      <c r="AA126" s="1966">
        <f>Diario_Documentos_TPL[[#This Row],[Total Pasivo
(MX)]]/1.16</f>
        <v>9102634.9568965528</v>
      </c>
      <c r="AB126" s="1966">
        <f>Diario_Documentos_TPL[[#This Row],[Importe Pasivo
(MX)]]*0.16</f>
        <v>1456421.5931034484</v>
      </c>
      <c r="AC126" s="1966">
        <v>10559056.550000001</v>
      </c>
      <c r="AD126" s="2017">
        <f>IFERROR(Diario_Documentos_TPL[[#This Row],[Total Pasivo
(MX)]]/Diario_Documentos_TPL[[#This Row],[Total Pasivo
(USD)]],0)</f>
        <v>20.361399994465678</v>
      </c>
      <c r="AE126" s="1969">
        <v>140006288</v>
      </c>
      <c r="AF126" s="1970">
        <v>43433</v>
      </c>
      <c r="AG126" s="1967">
        <f>Diario_Documentos_TPL[[#This Row],[Total de Pago
(USD)]]/1.16</f>
        <v>447053.49137931038</v>
      </c>
      <c r="AH126" s="1966">
        <f>Diario_Documentos_TPL[[#This Row],[Importe de Pago
(USD)]]*0.16</f>
        <v>71528.558620689655</v>
      </c>
      <c r="AI126" s="1966">
        <f>Diario_Documentos_TPL[[#This Row],[Total Pasivo
(USD)]]</f>
        <v>518582.05</v>
      </c>
      <c r="AJ126" s="1966">
        <f>ROUND(Diario_Documentos_TPL[[#This Row],[Total de Pago
(MX)]]/1.16,2)</f>
        <v>9163568.3499999996</v>
      </c>
      <c r="AK126" s="1966">
        <f>Diario_Documentos_TPL[[#This Row],[Importe de Pago
(MX)]]*0.16</f>
        <v>1466170.936</v>
      </c>
      <c r="AL126" s="1966">
        <f>ROUND(Diario_Documentos_TPL[[#This Row],[Total de Pago
(USD)]]*Diario_Documentos_TPL[[#This Row],[T.C Pago]],2)</f>
        <v>10629739.289999999</v>
      </c>
      <c r="AM126" s="2018">
        <v>20.497699999999998</v>
      </c>
      <c r="AN126" s="1975"/>
      <c r="AO126" s="1975"/>
      <c r="AP126" s="1975">
        <f>Diario_Documentos_TPL[[#This Row],[Importe de Pago
(MX)]]-Diario_Documentos_TPL[[#This Row],[Importe Pasivo
(MX)]]</f>
        <v>60933.393103446811</v>
      </c>
      <c r="AQ126" s="1975">
        <f>Diario_Documentos_TPL[[#This Row],[Total_Paridad]]-Diario_Documentos_TPL[[#This Row],[Subtotal_Paridad]]</f>
        <v>9749.3468965515494</v>
      </c>
      <c r="AR126" s="1964">
        <f>Diario_Documentos_TPL[[#This Row],[Total de Pago
(MX)]]-Diario_Documentos_TPL[[#This Row],[Total Pasivo
(MX)]]</f>
        <v>70682.739999998361</v>
      </c>
      <c r="AS126" s="1980"/>
      <c r="AT126" s="1980"/>
      <c r="AU126" s="1980"/>
      <c r="AV126" s="1980"/>
    </row>
    <row r="127" spans="1:48" ht="14.25" hidden="1" customHeight="1" x14ac:dyDescent="0.25">
      <c r="A127" s="1969" t="s">
        <v>598</v>
      </c>
      <c r="B127" s="1969">
        <v>4326979</v>
      </c>
      <c r="C127" s="1969">
        <v>800832451</v>
      </c>
      <c r="D127" s="1969"/>
      <c r="E127" s="1969" t="s">
        <v>632</v>
      </c>
      <c r="F127" s="1969" t="s">
        <v>599</v>
      </c>
      <c r="G127" s="1969" t="s">
        <v>628</v>
      </c>
      <c r="H127" s="1969" t="str">
        <f>VLOOKUP(Diario_Documentos_TPL[[#This Row],[Centro Gestor]],Catalogo_Centro_Gestor[],2,FALSE)</f>
        <v>Gas. Corredor Chihuahua</v>
      </c>
      <c r="I127" s="1969" t="s">
        <v>630</v>
      </c>
      <c r="J127" s="1973">
        <f>IF(YEAR(Diario_Documentos_TPL[[#This Row],[Fecha de Pago]])=1900, "SIN PAGO",YEAR(Diario_Documentos_TPL[[#This Row],[Fecha de Pago]]))</f>
        <v>2018</v>
      </c>
      <c r="K127" s="1971">
        <v>2018</v>
      </c>
      <c r="L127" s="1973">
        <f>IF(MONTH(Diario_Documentos_TPL[[#This Row],[Fecha de Pago]])=0, "SIN PAGO",MONTH(Diario_Documentos_TPL[[#This Row],[Fecha de Pago]]))</f>
        <v>10</v>
      </c>
      <c r="M127" s="1971">
        <v>9</v>
      </c>
      <c r="N127" s="1971" t="str">
        <f>VLOOKUP(Diario_Documentos_TPL[[#This Row],[Periodo del Servicio]],'Tablas (2)'!$L$3:$M$14,2,FALSE)</f>
        <v>SEPTIEMBRE</v>
      </c>
      <c r="O127" s="1971" t="s">
        <v>348</v>
      </c>
      <c r="P127" s="1971" t="s">
        <v>340</v>
      </c>
      <c r="Q127" s="1971" t="s">
        <v>165</v>
      </c>
      <c r="R127" s="1969">
        <v>2280</v>
      </c>
      <c r="S127" s="1969">
        <v>453851</v>
      </c>
      <c r="T127" s="1969" t="s">
        <v>629</v>
      </c>
      <c r="U127" s="1969" t="s">
        <v>221</v>
      </c>
      <c r="V127" s="1969">
        <v>180004160</v>
      </c>
      <c r="W127" s="1970">
        <v>43391</v>
      </c>
      <c r="X127" s="1966">
        <f>Diario_Documentos_TPL[[#This Row],[Total Pasivo
(USD)]]/1.16</f>
        <v>4659430.7241379311</v>
      </c>
      <c r="Y127" s="1966">
        <f>Diario_Documentos_TPL[[#This Row],[Importe Pasivo
(USD)]]*0.16</f>
        <v>745508.915862069</v>
      </c>
      <c r="Z127" s="1966">
        <v>5404939.6399999997</v>
      </c>
      <c r="AA127" s="1966">
        <f>Diario_Documentos_TPL[[#This Row],[Total Pasivo
(MX)]]/1.16</f>
        <v>87454253.086206898</v>
      </c>
      <c r="AB127" s="1966">
        <f>Diario_Documentos_TPL[[#This Row],[Importe Pasivo
(MX)]]*0.16</f>
        <v>13992680.493793104</v>
      </c>
      <c r="AC127" s="1966">
        <v>101446933.58</v>
      </c>
      <c r="AD127" s="2017">
        <f>IFERROR(Diario_Documentos_TPL[[#This Row],[Total Pasivo
(MX)]]/Diario_Documentos_TPL[[#This Row],[Total Pasivo
(USD)]],0)</f>
        <v>18.7692999990653</v>
      </c>
      <c r="AE127" s="1969">
        <v>140005672</v>
      </c>
      <c r="AF127" s="1970">
        <v>43402</v>
      </c>
      <c r="AG127" s="1967">
        <f>Diario_Documentos_TPL[[#This Row],[Total de Pago
(USD)]]/1.16</f>
        <v>4659430.7241379311</v>
      </c>
      <c r="AH127" s="1966">
        <f>Diario_Documentos_TPL[[#This Row],[Importe de Pago
(USD)]]*0.16</f>
        <v>745508.915862069</v>
      </c>
      <c r="AI127" s="1966">
        <f>Diario_Documentos_TPL[[#This Row],[Total Pasivo
(USD)]]</f>
        <v>5404939.6399999997</v>
      </c>
      <c r="AJ127" s="1966">
        <f>ROUND(Diario_Documentos_TPL[[#This Row],[Total de Pago
(MX)]]/1.16,2)</f>
        <v>90571412.239999995</v>
      </c>
      <c r="AK127" s="1966">
        <f>Diario_Documentos_TPL[[#This Row],[Importe de Pago
(MX)]]*0.16</f>
        <v>14491425.9584</v>
      </c>
      <c r="AL127" s="1966">
        <f>ROUND(Diario_Documentos_TPL[[#This Row],[Total de Pago
(USD)]]*Diario_Documentos_TPL[[#This Row],[T.C Pago]],2)</f>
        <v>105062838.2</v>
      </c>
      <c r="AM127" s="2018">
        <v>19.438300000000002</v>
      </c>
      <c r="AN127" s="1975"/>
      <c r="AO127" s="1975"/>
      <c r="AP127" s="1975">
        <f>Diario_Documentos_TPL[[#This Row],[Importe de Pago
(MX)]]-Diario_Documentos_TPL[[#This Row],[Importe Pasivo
(MX)]]</f>
        <v>3117159.1537930965</v>
      </c>
      <c r="AQ127" s="1975">
        <f>Diario_Documentos_TPL[[#This Row],[Total_Paridad]]-Diario_Documentos_TPL[[#This Row],[Subtotal_Paridad]]</f>
        <v>498745.46620690823</v>
      </c>
      <c r="AR127" s="1964">
        <f>Diario_Documentos_TPL[[#This Row],[Total de Pago
(MX)]]-Diario_Documentos_TPL[[#This Row],[Total Pasivo
(MX)]]</f>
        <v>3615904.6200000048</v>
      </c>
      <c r="AS127" s="1980"/>
      <c r="AT127" s="1980"/>
      <c r="AU127" s="1980"/>
      <c r="AV127" s="1980"/>
    </row>
    <row r="128" spans="1:48" ht="14.25" hidden="1" customHeight="1" x14ac:dyDescent="0.25">
      <c r="A128" s="1969" t="s">
        <v>598</v>
      </c>
      <c r="B128" s="1969">
        <v>4326979</v>
      </c>
      <c r="C128" s="1969" t="s">
        <v>633</v>
      </c>
      <c r="D128" s="1969"/>
      <c r="E128" s="1969" t="s">
        <v>632</v>
      </c>
      <c r="F128" s="1969" t="s">
        <v>599</v>
      </c>
      <c r="G128" s="1969" t="s">
        <v>628</v>
      </c>
      <c r="H128" s="1969" t="str">
        <f>VLOOKUP(Diario_Documentos_TPL[[#This Row],[Centro Gestor]],Catalogo_Centro_Gestor[],2,FALSE)</f>
        <v>Gas. Corredor Chihuahua</v>
      </c>
      <c r="I128" s="1969" t="s">
        <v>630</v>
      </c>
      <c r="J128" s="1972" t="str">
        <f>IF(YEAR(Diario_Documentos_TPL[[#This Row],[Fecha de Pago]])=1900, "SIN PAGO",YEAR(Diario_Documentos_TPL[[#This Row],[Fecha de Pago]]))</f>
        <v>SIN PAGO</v>
      </c>
      <c r="K128" s="1971">
        <v>2018</v>
      </c>
      <c r="L128" s="1972">
        <f>IF(MONTH(Diario_Documentos_TPL[[#This Row],[Fecha de Pago]])=0, "SIN PAGO",MONTH(Diario_Documentos_TPL[[#This Row],[Fecha de Pago]]))</f>
        <v>1</v>
      </c>
      <c r="M128" s="1971">
        <v>1</v>
      </c>
      <c r="N128" s="1971" t="str">
        <f>VLOOKUP(Diario_Documentos_TPL[[#This Row],[Periodo del Servicio]],'Tablas (2)'!$L$3:$M$14,2,FALSE)</f>
        <v>ENERO</v>
      </c>
      <c r="O128" s="1969" t="s">
        <v>633</v>
      </c>
      <c r="P128" s="1971" t="s">
        <v>340</v>
      </c>
      <c r="Q128" s="1971" t="s">
        <v>165</v>
      </c>
      <c r="R128" s="1969" t="s">
        <v>343</v>
      </c>
      <c r="S128" s="1969">
        <v>453857</v>
      </c>
      <c r="T128" s="1969" t="s">
        <v>629</v>
      </c>
      <c r="U128" s="1969" t="s">
        <v>221</v>
      </c>
      <c r="V128" s="1969">
        <v>210001694</v>
      </c>
      <c r="W128" s="1970"/>
      <c r="X128" s="1966">
        <f>Diario_Documentos_TPL[[#This Row],[Total Pasivo
(USD)]]/1.16</f>
        <v>0</v>
      </c>
      <c r="Y128" s="1966">
        <f>Diario_Documentos_TPL[[#This Row],[Importe Pasivo
(USD)]]*0.16</f>
        <v>0</v>
      </c>
      <c r="Z128" s="1966">
        <v>0</v>
      </c>
      <c r="AA128" s="1966">
        <v>-78720937.75</v>
      </c>
      <c r="AB128" s="1966">
        <f>Diario_Documentos_TPL[[#This Row],[Importe Pasivo
(MX)]]*0.16</f>
        <v>-12595350.040000001</v>
      </c>
      <c r="AC128" s="1966">
        <f>Diario_Documentos_TPL[[#This Row],[Importe Pasivo
(MX)]]+Diario_Documentos_TPL[[#This Row],[IVA Pasivo
(MX)]]</f>
        <v>-91316287.790000007</v>
      </c>
      <c r="AD128" s="1965">
        <f>IFERROR(Diario_Documentos_TPL[[#This Row],[Total Pasivo
(MX)]]/Diario_Documentos_TPL[[#This Row],[Total Pasivo
(USD)]],0)</f>
        <v>0</v>
      </c>
      <c r="AE128" s="1969">
        <f>Diario_Documentos_TPL[[#This Row],[Numero Documento]]</f>
        <v>210001694</v>
      </c>
      <c r="AF128" s="1968">
        <f>Diario_Documentos_TPL[[#This Row],[Fecha
Pasivo]]</f>
        <v>0</v>
      </c>
      <c r="AG128" s="1967">
        <f>Diario_Documentos_TPL[[#This Row],[Total de Pago
(USD)]]/1.16</f>
        <v>0</v>
      </c>
      <c r="AH128" s="1966">
        <f>Diario_Documentos_TPL[[#This Row],[Importe de Pago
(USD)]]*0.16</f>
        <v>0</v>
      </c>
      <c r="AI128" s="1966">
        <f>Diario_Documentos_TPL[[#This Row],[Total Pasivo
(USD)]]</f>
        <v>0</v>
      </c>
      <c r="AJ128" s="1966">
        <f>ROUND(Diario_Documentos_TPL[[#This Row],[Total de Pago
(MX)]]/1.16,2)</f>
        <v>-78720937.75</v>
      </c>
      <c r="AK128" s="1966">
        <f>Diario_Documentos_TPL[[#This Row],[Importe de Pago
(MX)]]*0.16</f>
        <v>-12595350.040000001</v>
      </c>
      <c r="AL128" s="1966">
        <f>Diario_Documentos_TPL[[#This Row],[Total Pasivo
(MX)]]</f>
        <v>-91316287.790000007</v>
      </c>
      <c r="AM128" s="2018"/>
      <c r="AN128" s="1975"/>
      <c r="AO128" s="1975"/>
      <c r="AP128" s="1975">
        <f>Diario_Documentos_TPL[[#This Row],[Importe de Pago
(MX)]]-Diario_Documentos_TPL[[#This Row],[Importe Pasivo
(MX)]]</f>
        <v>0</v>
      </c>
      <c r="AQ128" s="1975">
        <f>Diario_Documentos_TPL[[#This Row],[Total_Paridad]]-Diario_Documentos_TPL[[#This Row],[Subtotal_Paridad]]</f>
        <v>0</v>
      </c>
      <c r="AR128" s="1964">
        <f>Diario_Documentos_TPL[[#This Row],[Total de Pago
(MX)]]-Diario_Documentos_TPL[[#This Row],[Total Pasivo
(MX)]]</f>
        <v>0</v>
      </c>
      <c r="AS128" s="1980"/>
      <c r="AT128" s="1980"/>
      <c r="AU128" s="1980"/>
      <c r="AV128" s="1980"/>
    </row>
    <row r="129" spans="1:48" ht="14.25" hidden="1" customHeight="1" x14ac:dyDescent="0.25">
      <c r="A129" s="1969" t="s">
        <v>598</v>
      </c>
      <c r="B129" s="1969">
        <v>4326979</v>
      </c>
      <c r="C129" s="1969" t="s">
        <v>633</v>
      </c>
      <c r="D129" s="1969"/>
      <c r="E129" s="1969" t="s">
        <v>632</v>
      </c>
      <c r="F129" s="1969" t="s">
        <v>599</v>
      </c>
      <c r="G129" s="1969" t="s">
        <v>628</v>
      </c>
      <c r="H129" s="1969" t="str">
        <f>VLOOKUP(Diario_Documentos_TPL[[#This Row],[Centro Gestor]],Catalogo_Centro_Gestor[],2,FALSE)</f>
        <v>Gas. Corredor Chihuahua</v>
      </c>
      <c r="I129" s="1969" t="s">
        <v>630</v>
      </c>
      <c r="J129" s="1972" t="str">
        <f>IF(YEAR(Diario_Documentos_TPL[[#This Row],[Fecha de Pago]])=1900, "SIN PAGO",YEAR(Diario_Documentos_TPL[[#This Row],[Fecha de Pago]]))</f>
        <v>SIN PAGO</v>
      </c>
      <c r="K129" s="1971">
        <v>2018</v>
      </c>
      <c r="L129" s="1972">
        <f>IF(MONTH(Diario_Documentos_TPL[[#This Row],[Fecha de Pago]])=0, "SIN PAGO",MONTH(Diario_Documentos_TPL[[#This Row],[Fecha de Pago]]))</f>
        <v>1</v>
      </c>
      <c r="M129" s="1971">
        <v>1</v>
      </c>
      <c r="N129" s="1971" t="str">
        <f>VLOOKUP(Diario_Documentos_TPL[[#This Row],[Periodo del Servicio]],'Tablas (2)'!$L$3:$M$14,2,FALSE)</f>
        <v>ENERO</v>
      </c>
      <c r="O129" s="1969" t="s">
        <v>633</v>
      </c>
      <c r="P129" s="1971" t="s">
        <v>340</v>
      </c>
      <c r="Q129" s="1971" t="s">
        <v>165</v>
      </c>
      <c r="R129" s="1969">
        <v>2233</v>
      </c>
      <c r="S129" s="1969">
        <v>453851</v>
      </c>
      <c r="T129" s="1969" t="s">
        <v>629</v>
      </c>
      <c r="U129" s="1969" t="s">
        <v>221</v>
      </c>
      <c r="V129" s="1969">
        <v>210001694</v>
      </c>
      <c r="W129" s="1970"/>
      <c r="X129" s="1966">
        <f>Diario_Documentos_TPL[[#This Row],[Total Pasivo
(USD)]]/1.16</f>
        <v>0</v>
      </c>
      <c r="Y129" s="1966">
        <f>Diario_Documentos_TPL[[#This Row],[Importe Pasivo
(USD)]]*0.16</f>
        <v>0</v>
      </c>
      <c r="Z129" s="1966">
        <v>0</v>
      </c>
      <c r="AA129" s="1966">
        <v>78720937.75</v>
      </c>
      <c r="AB129" s="1966">
        <f>Diario_Documentos_TPL[[#This Row],[Importe Pasivo
(MX)]]*0.16</f>
        <v>12595350.040000001</v>
      </c>
      <c r="AC129" s="1966">
        <f>Diario_Documentos_TPL[[#This Row],[Importe Pasivo
(MX)]]+Diario_Documentos_TPL[[#This Row],[IVA Pasivo
(MX)]]</f>
        <v>91316287.790000007</v>
      </c>
      <c r="AD129" s="1965">
        <f>IFERROR(Diario_Documentos_TPL[[#This Row],[Total Pasivo
(MX)]]/Diario_Documentos_TPL[[#This Row],[Total Pasivo
(USD)]],0)</f>
        <v>0</v>
      </c>
      <c r="AE129" s="1969">
        <f>Diario_Documentos_TPL[[#This Row],[Numero Documento]]</f>
        <v>210001694</v>
      </c>
      <c r="AF129" s="1968">
        <f>Diario_Documentos_TPL[[#This Row],[Fecha
Pasivo]]</f>
        <v>0</v>
      </c>
      <c r="AG129" s="1967">
        <f>Diario_Documentos_TPL[[#This Row],[Total de Pago
(USD)]]/1.16</f>
        <v>0</v>
      </c>
      <c r="AH129" s="1966">
        <f>Diario_Documentos_TPL[[#This Row],[Importe de Pago
(USD)]]*0.16</f>
        <v>0</v>
      </c>
      <c r="AI129" s="1966">
        <f>Diario_Documentos_TPL[[#This Row],[Total Pasivo
(USD)]]</f>
        <v>0</v>
      </c>
      <c r="AJ129" s="1966">
        <f>ROUND(Diario_Documentos_TPL[[#This Row],[Total de Pago
(MX)]]/1.16,2)</f>
        <v>78720937.75</v>
      </c>
      <c r="AK129" s="1966">
        <f>Diario_Documentos_TPL[[#This Row],[Importe de Pago
(MX)]]*0.16</f>
        <v>12595350.040000001</v>
      </c>
      <c r="AL129" s="1966">
        <f>Diario_Documentos_TPL[[#This Row],[Total Pasivo
(MX)]]</f>
        <v>91316287.790000007</v>
      </c>
      <c r="AM129" s="2018"/>
      <c r="AN129" s="1975"/>
      <c r="AO129" s="1975"/>
      <c r="AP129" s="1975">
        <f>Diario_Documentos_TPL[[#This Row],[Importe de Pago
(MX)]]-Diario_Documentos_TPL[[#This Row],[Importe Pasivo
(MX)]]</f>
        <v>0</v>
      </c>
      <c r="AQ129" s="1975">
        <f>Diario_Documentos_TPL[[#This Row],[Total_Paridad]]-Diario_Documentos_TPL[[#This Row],[Subtotal_Paridad]]</f>
        <v>0</v>
      </c>
      <c r="AR129" s="1964">
        <f>Diario_Documentos_TPL[[#This Row],[Total de Pago
(MX)]]-Diario_Documentos_TPL[[#This Row],[Total Pasivo
(MX)]]</f>
        <v>0</v>
      </c>
      <c r="AS129" s="1980"/>
      <c r="AT129" s="1980"/>
      <c r="AU129" s="1980"/>
      <c r="AV129" s="1980"/>
    </row>
    <row r="130" spans="1:48" ht="14.25" hidden="1" customHeight="1" x14ac:dyDescent="0.25">
      <c r="A130" s="1969" t="s">
        <v>598</v>
      </c>
      <c r="B130" s="1969">
        <v>4326979</v>
      </c>
      <c r="C130" s="1969" t="s">
        <v>633</v>
      </c>
      <c r="D130" s="1969"/>
      <c r="E130" s="1969" t="s">
        <v>632</v>
      </c>
      <c r="F130" s="1969" t="s">
        <v>599</v>
      </c>
      <c r="G130" s="1969" t="s">
        <v>628</v>
      </c>
      <c r="H130" s="1969" t="str">
        <f>VLOOKUP(Diario_Documentos_TPL[[#This Row],[Centro Gestor]],Catalogo_Centro_Gestor[],2,FALSE)</f>
        <v>CC NORTE II</v>
      </c>
      <c r="I130" s="1969" t="s">
        <v>630</v>
      </c>
      <c r="J130" s="1972" t="str">
        <f>IF(YEAR(Diario_Documentos_TPL[[#This Row],[Fecha de Pago]])=1900, "SIN PAGO",YEAR(Diario_Documentos_TPL[[#This Row],[Fecha de Pago]]))</f>
        <v>SIN PAGO</v>
      </c>
      <c r="K130" s="1971">
        <v>2018</v>
      </c>
      <c r="L130" s="1972">
        <f>IF(MONTH(Diario_Documentos_TPL[[#This Row],[Fecha de Pago]])=0, "SIN PAGO",MONTH(Diario_Documentos_TPL[[#This Row],[Fecha de Pago]]))</f>
        <v>1</v>
      </c>
      <c r="M130" s="1971">
        <v>1</v>
      </c>
      <c r="N130" s="1971" t="str">
        <f>VLOOKUP(Diario_Documentos_TPL[[#This Row],[Periodo del Servicio]],'Tablas (2)'!$L$3:$M$14,2,FALSE)</f>
        <v>ENERO</v>
      </c>
      <c r="O130" s="1969" t="s">
        <v>633</v>
      </c>
      <c r="P130" s="1971" t="s">
        <v>340</v>
      </c>
      <c r="Q130" s="1971" t="s">
        <v>165</v>
      </c>
      <c r="R130" s="1969">
        <v>7249</v>
      </c>
      <c r="S130" s="1969">
        <v>468079</v>
      </c>
      <c r="T130" s="1969" t="s">
        <v>629</v>
      </c>
      <c r="U130" s="1969" t="s">
        <v>238</v>
      </c>
      <c r="V130" s="1969">
        <v>210002082</v>
      </c>
      <c r="W130" s="1970"/>
      <c r="X130" s="1966">
        <f>Diario_Documentos_TPL[[#This Row],[Total Pasivo
(USD)]]/1.16</f>
        <v>0</v>
      </c>
      <c r="Y130" s="1966">
        <f>Diario_Documentos_TPL[[#This Row],[Importe Pasivo
(USD)]]*0.16</f>
        <v>0</v>
      </c>
      <c r="Z130" s="1966">
        <v>0</v>
      </c>
      <c r="AA130" s="1966">
        <v>7785587.1399999997</v>
      </c>
      <c r="AB130" s="1966">
        <f>Diario_Documentos_TPL[[#This Row],[Importe Pasivo
(MX)]]*0.16</f>
        <v>1245693.9424000001</v>
      </c>
      <c r="AC130" s="1966">
        <f>Diario_Documentos_TPL[[#This Row],[Importe Pasivo
(MX)]]+Diario_Documentos_TPL[[#This Row],[IVA Pasivo
(MX)]]</f>
        <v>9031281.0823999997</v>
      </c>
      <c r="AD130" s="1965">
        <f>IFERROR(Diario_Documentos_TPL[[#This Row],[Total Pasivo
(MX)]]/Diario_Documentos_TPL[[#This Row],[Total Pasivo
(USD)]],0)</f>
        <v>0</v>
      </c>
      <c r="AE130" s="1969">
        <f>Diario_Documentos_TPL[[#This Row],[Numero Documento]]</f>
        <v>210002082</v>
      </c>
      <c r="AF130" s="1968">
        <f>Diario_Documentos_TPL[[#This Row],[Fecha
Pasivo]]</f>
        <v>0</v>
      </c>
      <c r="AG130" s="1967">
        <f>Diario_Documentos_TPL[[#This Row],[Total de Pago
(USD)]]/1.16</f>
        <v>0</v>
      </c>
      <c r="AH130" s="1966">
        <f>Diario_Documentos_TPL[[#This Row],[Importe de Pago
(USD)]]*0.16</f>
        <v>0</v>
      </c>
      <c r="AI130" s="1966">
        <f>Diario_Documentos_TPL[[#This Row],[Total Pasivo
(USD)]]</f>
        <v>0</v>
      </c>
      <c r="AJ130" s="1966">
        <f>ROUND(Diario_Documentos_TPL[[#This Row],[Total de Pago
(MX)]]/1.16,2)</f>
        <v>7785587.1399999997</v>
      </c>
      <c r="AK130" s="1966">
        <f>Diario_Documentos_TPL[[#This Row],[Importe de Pago
(MX)]]*0.16</f>
        <v>1245693.9424000001</v>
      </c>
      <c r="AL130" s="1966">
        <f>Diario_Documentos_TPL[[#This Row],[Total Pasivo
(MX)]]</f>
        <v>9031281.0823999997</v>
      </c>
      <c r="AM130" s="2018"/>
      <c r="AN130" s="1975"/>
      <c r="AO130" s="1975"/>
      <c r="AP130" s="1975">
        <f>Diario_Documentos_TPL[[#This Row],[Importe de Pago
(MX)]]-Diario_Documentos_TPL[[#This Row],[Importe Pasivo
(MX)]]</f>
        <v>0</v>
      </c>
      <c r="AQ130" s="1975">
        <f>Diario_Documentos_TPL[[#This Row],[Total_Paridad]]-Diario_Documentos_TPL[[#This Row],[Subtotal_Paridad]]</f>
        <v>0</v>
      </c>
      <c r="AR130" s="1964">
        <f>Diario_Documentos_TPL[[#This Row],[Total de Pago
(MX)]]-Diario_Documentos_TPL[[#This Row],[Total Pasivo
(MX)]]</f>
        <v>0</v>
      </c>
      <c r="AS130" s="1980"/>
      <c r="AT130" s="1980"/>
      <c r="AU130" s="1980"/>
      <c r="AV130" s="1980"/>
    </row>
    <row r="131" spans="1:48" ht="14.25" hidden="1" customHeight="1" x14ac:dyDescent="0.25">
      <c r="A131" s="1969" t="s">
        <v>598</v>
      </c>
      <c r="B131" s="1969">
        <v>4326979</v>
      </c>
      <c r="C131" s="1969" t="s">
        <v>633</v>
      </c>
      <c r="D131" s="1969"/>
      <c r="E131" s="1969" t="s">
        <v>632</v>
      </c>
      <c r="F131" s="1969" t="s">
        <v>599</v>
      </c>
      <c r="G131" s="1969" t="s">
        <v>628</v>
      </c>
      <c r="H131" s="1969" t="str">
        <f>VLOOKUP(Diario_Documentos_TPL[[#This Row],[Centro Gestor]],Catalogo_Centro_Gestor[],2,FALSE)</f>
        <v>Gas. Corredor Chihuahua</v>
      </c>
      <c r="I131" s="1969" t="s">
        <v>630</v>
      </c>
      <c r="J131" s="1972" t="str">
        <f>IF(YEAR(Diario_Documentos_TPL[[#This Row],[Fecha de Pago]])=1900, "SIN PAGO",YEAR(Diario_Documentos_TPL[[#This Row],[Fecha de Pago]]))</f>
        <v>SIN PAGO</v>
      </c>
      <c r="K131" s="1971">
        <v>2018</v>
      </c>
      <c r="L131" s="1972">
        <f>IF(MONTH(Diario_Documentos_TPL[[#This Row],[Fecha de Pago]])=0, "SIN PAGO",MONTH(Diario_Documentos_TPL[[#This Row],[Fecha de Pago]]))</f>
        <v>1</v>
      </c>
      <c r="M131" s="1971">
        <v>1</v>
      </c>
      <c r="N131" s="1971" t="str">
        <f>VLOOKUP(Diario_Documentos_TPL[[#This Row],[Periodo del Servicio]],'Tablas (2)'!$L$3:$M$14,2,FALSE)</f>
        <v>ENERO</v>
      </c>
      <c r="O131" s="1969" t="s">
        <v>633</v>
      </c>
      <c r="P131" s="1971" t="s">
        <v>340</v>
      </c>
      <c r="Q131" s="1971" t="s">
        <v>165</v>
      </c>
      <c r="R131" s="1969" t="s">
        <v>343</v>
      </c>
      <c r="S131" s="1969">
        <v>453857</v>
      </c>
      <c r="T131" s="1969" t="s">
        <v>629</v>
      </c>
      <c r="U131" s="1969" t="s">
        <v>221</v>
      </c>
      <c r="V131" s="1969">
        <v>210002082</v>
      </c>
      <c r="W131" s="1970"/>
      <c r="X131" s="1966">
        <f>Diario_Documentos_TPL[[#This Row],[Total Pasivo
(USD)]]/1.16</f>
        <v>0</v>
      </c>
      <c r="Y131" s="1966">
        <f>Diario_Documentos_TPL[[#This Row],[Importe Pasivo
(USD)]]*0.16</f>
        <v>0</v>
      </c>
      <c r="Z131" s="1966">
        <v>0</v>
      </c>
      <c r="AA131" s="1966">
        <v>-7785587.1399999997</v>
      </c>
      <c r="AB131" s="1966">
        <f>Diario_Documentos_TPL[[#This Row],[Importe Pasivo
(MX)]]*0.16</f>
        <v>-1245693.9424000001</v>
      </c>
      <c r="AC131" s="1966">
        <f>Diario_Documentos_TPL[[#This Row],[Importe Pasivo
(MX)]]+Diario_Documentos_TPL[[#This Row],[IVA Pasivo
(MX)]]</f>
        <v>-9031281.0823999997</v>
      </c>
      <c r="AD131" s="1965">
        <f>IFERROR(Diario_Documentos_TPL[[#This Row],[Total Pasivo
(MX)]]/Diario_Documentos_TPL[[#This Row],[Total Pasivo
(USD)]],0)</f>
        <v>0</v>
      </c>
      <c r="AE131" s="1969">
        <f>Diario_Documentos_TPL[[#This Row],[Numero Documento]]</f>
        <v>210002082</v>
      </c>
      <c r="AF131" s="1968">
        <f>Diario_Documentos_TPL[[#This Row],[Fecha
Pasivo]]</f>
        <v>0</v>
      </c>
      <c r="AG131" s="1967">
        <f>Diario_Documentos_TPL[[#This Row],[Total de Pago
(USD)]]/1.16</f>
        <v>0</v>
      </c>
      <c r="AH131" s="1966">
        <f>Diario_Documentos_TPL[[#This Row],[Importe de Pago
(USD)]]*0.16</f>
        <v>0</v>
      </c>
      <c r="AI131" s="1966">
        <f>Diario_Documentos_TPL[[#This Row],[Total Pasivo
(USD)]]</f>
        <v>0</v>
      </c>
      <c r="AJ131" s="1966">
        <f>ROUND(Diario_Documentos_TPL[[#This Row],[Total de Pago
(MX)]]/1.16,2)</f>
        <v>-7785587.1399999997</v>
      </c>
      <c r="AK131" s="1966">
        <f>Diario_Documentos_TPL[[#This Row],[Importe de Pago
(MX)]]*0.16</f>
        <v>-1245693.9424000001</v>
      </c>
      <c r="AL131" s="1966">
        <f>Diario_Documentos_TPL[[#This Row],[Total Pasivo
(MX)]]</f>
        <v>-9031281.0823999997</v>
      </c>
      <c r="AM131" s="2018"/>
      <c r="AN131" s="1975"/>
      <c r="AO131" s="1975"/>
      <c r="AP131" s="1975">
        <f>Diario_Documentos_TPL[[#This Row],[Importe de Pago
(MX)]]-Diario_Documentos_TPL[[#This Row],[Importe Pasivo
(MX)]]</f>
        <v>0</v>
      </c>
      <c r="AQ131" s="1975">
        <f>Diario_Documentos_TPL[[#This Row],[Total_Paridad]]-Diario_Documentos_TPL[[#This Row],[Subtotal_Paridad]]</f>
        <v>0</v>
      </c>
      <c r="AR131" s="1964">
        <f>Diario_Documentos_TPL[[#This Row],[Total de Pago
(MX)]]-Diario_Documentos_TPL[[#This Row],[Total Pasivo
(MX)]]</f>
        <v>0</v>
      </c>
      <c r="AS131" s="1980"/>
      <c r="AT131" s="1980"/>
      <c r="AU131" s="1980"/>
      <c r="AV131" s="1980"/>
    </row>
    <row r="132" spans="1:48" ht="15" hidden="1" customHeight="1" x14ac:dyDescent="0.25">
      <c r="A132" s="1969" t="s">
        <v>598</v>
      </c>
      <c r="B132" s="1969">
        <v>4326979</v>
      </c>
      <c r="C132" s="1969" t="s">
        <v>633</v>
      </c>
      <c r="D132" s="1969"/>
      <c r="E132" s="1969" t="s">
        <v>632</v>
      </c>
      <c r="F132" s="1969" t="s">
        <v>599</v>
      </c>
      <c r="G132" s="1969" t="s">
        <v>628</v>
      </c>
      <c r="H132" s="1969" t="str">
        <f>VLOOKUP(Diario_Documentos_TPL[[#This Row],[Centro Gestor]],Catalogo_Centro_Gestor[],2,FALSE)</f>
        <v>Gas. Corredor Chihuahua</v>
      </c>
      <c r="I132" s="1969" t="s">
        <v>630</v>
      </c>
      <c r="J132" s="1972" t="str">
        <f>IF(YEAR(Diario_Documentos_TPL[[#This Row],[Fecha de Pago]])=1900, "SIN PAGO",YEAR(Diario_Documentos_TPL[[#This Row],[Fecha de Pago]]))</f>
        <v>SIN PAGO</v>
      </c>
      <c r="K132" s="1971">
        <v>2018</v>
      </c>
      <c r="L132" s="1972">
        <f>IF(MONTH(Diario_Documentos_TPL[[#This Row],[Fecha de Pago]])=0, "SIN PAGO",MONTH(Diario_Documentos_TPL[[#This Row],[Fecha de Pago]]))</f>
        <v>1</v>
      </c>
      <c r="M132" s="1971">
        <v>2</v>
      </c>
      <c r="N132" s="1971" t="str">
        <f>VLOOKUP(Diario_Documentos_TPL[[#This Row],[Periodo del Servicio]],'Tablas (2)'!$L$3:$M$14,2,FALSE)</f>
        <v>FEBRERO</v>
      </c>
      <c r="O132" s="1969" t="s">
        <v>633</v>
      </c>
      <c r="P132" s="1971" t="s">
        <v>340</v>
      </c>
      <c r="Q132" s="1971" t="s">
        <v>165</v>
      </c>
      <c r="R132" s="1969">
        <v>2233</v>
      </c>
      <c r="S132" s="1969">
        <v>453882</v>
      </c>
      <c r="T132" s="1969" t="s">
        <v>629</v>
      </c>
      <c r="U132" s="1969" t="s">
        <v>221</v>
      </c>
      <c r="V132" s="1969">
        <v>210001694</v>
      </c>
      <c r="W132" s="1970"/>
      <c r="X132" s="1966">
        <f>Diario_Documentos_TPL[[#This Row],[Total Pasivo
(USD)]]/1.16</f>
        <v>0</v>
      </c>
      <c r="Y132" s="1966">
        <f>Diario_Documentos_TPL[[#This Row],[Importe Pasivo
(USD)]]*0.16</f>
        <v>0</v>
      </c>
      <c r="Z132" s="1966">
        <v>0</v>
      </c>
      <c r="AA132" s="1966">
        <v>-78865948.469999999</v>
      </c>
      <c r="AB132" s="1966">
        <f>Diario_Documentos_TPL[[#This Row],[Importe Pasivo
(MX)]]*0.16</f>
        <v>-12618551.7552</v>
      </c>
      <c r="AC132" s="1966">
        <f>Diario_Documentos_TPL[[#This Row],[Importe Pasivo
(MX)]]+Diario_Documentos_TPL[[#This Row],[IVA Pasivo
(MX)]]</f>
        <v>-91484500.225199997</v>
      </c>
      <c r="AD132" s="1965">
        <f>IFERROR(Diario_Documentos_TPL[[#This Row],[Total Pasivo
(MX)]]/Diario_Documentos_TPL[[#This Row],[Total Pasivo
(USD)]],0)</f>
        <v>0</v>
      </c>
      <c r="AE132" s="1969">
        <f>Diario_Documentos_TPL[[#This Row],[Numero Documento]]</f>
        <v>210001694</v>
      </c>
      <c r="AF132" s="1968">
        <f>Diario_Documentos_TPL[[#This Row],[Fecha
Pasivo]]</f>
        <v>0</v>
      </c>
      <c r="AG132" s="1967">
        <f>Diario_Documentos_TPL[[#This Row],[Total de Pago
(USD)]]/1.16</f>
        <v>0</v>
      </c>
      <c r="AH132" s="1966">
        <f>Diario_Documentos_TPL[[#This Row],[Importe de Pago
(USD)]]*0.16</f>
        <v>0</v>
      </c>
      <c r="AI132" s="1966">
        <f>Diario_Documentos_TPL[[#This Row],[Total Pasivo
(USD)]]</f>
        <v>0</v>
      </c>
      <c r="AJ132" s="1966">
        <f>ROUND(Diario_Documentos_TPL[[#This Row],[Total de Pago
(MX)]]/1.16,2)</f>
        <v>-78865948.469999999</v>
      </c>
      <c r="AK132" s="1966">
        <f>Diario_Documentos_TPL[[#This Row],[Importe de Pago
(MX)]]*0.16</f>
        <v>-12618551.7552</v>
      </c>
      <c r="AL132" s="1966">
        <f>Diario_Documentos_TPL[[#This Row],[Total Pasivo
(MX)]]</f>
        <v>-91484500.225199997</v>
      </c>
      <c r="AM132" s="2018"/>
      <c r="AN132" s="1975"/>
      <c r="AO132" s="1975"/>
      <c r="AP132" s="1975">
        <f>Diario_Documentos_TPL[[#This Row],[Importe de Pago
(MX)]]-Diario_Documentos_TPL[[#This Row],[Importe Pasivo
(MX)]]</f>
        <v>0</v>
      </c>
      <c r="AQ132" s="1975">
        <f>Diario_Documentos_TPL[[#This Row],[Total_Paridad]]-Diario_Documentos_TPL[[#This Row],[Subtotal_Paridad]]</f>
        <v>0</v>
      </c>
      <c r="AR132" s="1964">
        <f>Diario_Documentos_TPL[[#This Row],[Total de Pago
(MX)]]-Diario_Documentos_TPL[[#This Row],[Total Pasivo
(MX)]]</f>
        <v>0</v>
      </c>
      <c r="AS132" s="1980"/>
      <c r="AT132" s="1980"/>
      <c r="AU132" s="1980"/>
      <c r="AV132" s="1980"/>
    </row>
    <row r="133" spans="1:48" ht="15" hidden="1" customHeight="1" x14ac:dyDescent="0.25">
      <c r="A133" s="1969" t="s">
        <v>598</v>
      </c>
      <c r="B133" s="1969">
        <v>4326979</v>
      </c>
      <c r="C133" s="1969" t="s">
        <v>633</v>
      </c>
      <c r="D133" s="1969"/>
      <c r="E133" s="1969" t="s">
        <v>632</v>
      </c>
      <c r="F133" s="1969" t="s">
        <v>599</v>
      </c>
      <c r="G133" s="1969" t="s">
        <v>628</v>
      </c>
      <c r="H133" s="1969" t="str">
        <f>VLOOKUP(Diario_Documentos_TPL[[#This Row],[Centro Gestor]],Catalogo_Centro_Gestor[],2,FALSE)</f>
        <v>Gas. Corredor Chihuahua</v>
      </c>
      <c r="I133" s="1969" t="s">
        <v>630</v>
      </c>
      <c r="J133" s="1972" t="str">
        <f>IF(YEAR(Diario_Documentos_TPL[[#This Row],[Fecha de Pago]])=1900, "SIN PAGO",YEAR(Diario_Documentos_TPL[[#This Row],[Fecha de Pago]]))</f>
        <v>SIN PAGO</v>
      </c>
      <c r="K133" s="1971">
        <v>2018</v>
      </c>
      <c r="L133" s="1972">
        <f>IF(MONTH(Diario_Documentos_TPL[[#This Row],[Fecha de Pago]])=0, "SIN PAGO",MONTH(Diario_Documentos_TPL[[#This Row],[Fecha de Pago]]))</f>
        <v>1</v>
      </c>
      <c r="M133" s="1971">
        <v>2</v>
      </c>
      <c r="N133" s="1971" t="str">
        <f>VLOOKUP(Diario_Documentos_TPL[[#This Row],[Periodo del Servicio]],'Tablas (2)'!$L$3:$M$14,2,FALSE)</f>
        <v>FEBRERO</v>
      </c>
      <c r="O133" s="1969" t="s">
        <v>633</v>
      </c>
      <c r="P133" s="1971" t="s">
        <v>340</v>
      </c>
      <c r="Q133" s="1971" t="s">
        <v>165</v>
      </c>
      <c r="R133" s="1969">
        <v>2233</v>
      </c>
      <c r="S133" s="1969">
        <v>453851</v>
      </c>
      <c r="T133" s="1969" t="s">
        <v>629</v>
      </c>
      <c r="U133" s="1969" t="s">
        <v>221</v>
      </c>
      <c r="V133" s="1969">
        <v>210001694</v>
      </c>
      <c r="W133" s="1970"/>
      <c r="X133" s="1966">
        <f>Diario_Documentos_TPL[[#This Row],[Total Pasivo
(USD)]]/1.16</f>
        <v>0</v>
      </c>
      <c r="Y133" s="1966">
        <f>Diario_Documentos_TPL[[#This Row],[Importe Pasivo
(USD)]]*0.16</f>
        <v>0</v>
      </c>
      <c r="Z133" s="1966">
        <v>0</v>
      </c>
      <c r="AA133" s="1966">
        <v>78865948.469999999</v>
      </c>
      <c r="AB133" s="1966">
        <f>Diario_Documentos_TPL[[#This Row],[Importe Pasivo
(MX)]]*0.16</f>
        <v>12618551.7552</v>
      </c>
      <c r="AC133" s="1966">
        <f>Diario_Documentos_TPL[[#This Row],[Importe Pasivo
(MX)]]+Diario_Documentos_TPL[[#This Row],[IVA Pasivo
(MX)]]</f>
        <v>91484500.225199997</v>
      </c>
      <c r="AD133" s="1965">
        <f>IFERROR(Diario_Documentos_TPL[[#This Row],[Total Pasivo
(MX)]]/Diario_Documentos_TPL[[#This Row],[Total Pasivo
(USD)]],0)</f>
        <v>0</v>
      </c>
      <c r="AE133" s="1969">
        <f>Diario_Documentos_TPL[[#This Row],[Numero Documento]]</f>
        <v>210001694</v>
      </c>
      <c r="AF133" s="1968">
        <f>Diario_Documentos_TPL[[#This Row],[Fecha
Pasivo]]</f>
        <v>0</v>
      </c>
      <c r="AG133" s="1967">
        <f>Diario_Documentos_TPL[[#This Row],[Total de Pago
(USD)]]/1.16</f>
        <v>0</v>
      </c>
      <c r="AH133" s="1966">
        <f>Diario_Documentos_TPL[[#This Row],[Importe de Pago
(USD)]]*0.16</f>
        <v>0</v>
      </c>
      <c r="AI133" s="1966">
        <f>Diario_Documentos_TPL[[#This Row],[Total Pasivo
(USD)]]</f>
        <v>0</v>
      </c>
      <c r="AJ133" s="1966">
        <f>ROUND(Diario_Documentos_TPL[[#This Row],[Total de Pago
(MX)]]/1.16,2)</f>
        <v>78865948.469999999</v>
      </c>
      <c r="AK133" s="1966">
        <f>Diario_Documentos_TPL[[#This Row],[Importe de Pago
(MX)]]*0.16</f>
        <v>12618551.7552</v>
      </c>
      <c r="AL133" s="1966">
        <f>Diario_Documentos_TPL[[#This Row],[Total Pasivo
(MX)]]</f>
        <v>91484500.225199997</v>
      </c>
      <c r="AM133" s="2018"/>
      <c r="AN133" s="1975"/>
      <c r="AO133" s="1975"/>
      <c r="AP133" s="1975">
        <f>Diario_Documentos_TPL[[#This Row],[Importe de Pago
(MX)]]-Diario_Documentos_TPL[[#This Row],[Importe Pasivo
(MX)]]</f>
        <v>0</v>
      </c>
      <c r="AQ133" s="1975">
        <f>Diario_Documentos_TPL[[#This Row],[Total_Paridad]]-Diario_Documentos_TPL[[#This Row],[Subtotal_Paridad]]</f>
        <v>0</v>
      </c>
      <c r="AR133" s="1964">
        <f>Diario_Documentos_TPL[[#This Row],[Total de Pago
(MX)]]-Diario_Documentos_TPL[[#This Row],[Total Pasivo
(MX)]]</f>
        <v>0</v>
      </c>
      <c r="AS133" s="1980"/>
      <c r="AT133" s="1980"/>
      <c r="AU133" s="1980"/>
      <c r="AV133" s="1980"/>
    </row>
    <row r="134" spans="1:48" ht="15" hidden="1" customHeight="1" x14ac:dyDescent="0.25">
      <c r="A134" s="1969" t="s">
        <v>598</v>
      </c>
      <c r="B134" s="1969">
        <v>4326979</v>
      </c>
      <c r="C134" s="1969" t="s">
        <v>633</v>
      </c>
      <c r="D134" s="1969"/>
      <c r="E134" s="1969" t="s">
        <v>632</v>
      </c>
      <c r="F134" s="1969" t="s">
        <v>599</v>
      </c>
      <c r="G134" s="1969" t="s">
        <v>628</v>
      </c>
      <c r="H134" s="1969" t="str">
        <f>VLOOKUP(Diario_Documentos_TPL[[#This Row],[Centro Gestor]],Catalogo_Centro_Gestor[],2,FALSE)</f>
        <v>Gas. Corredor Chihuahua</v>
      </c>
      <c r="I134" s="1969" t="s">
        <v>630</v>
      </c>
      <c r="J134" s="1972" t="str">
        <f>IF(YEAR(Diario_Documentos_TPL[[#This Row],[Fecha de Pago]])=1900, "SIN PAGO",YEAR(Diario_Documentos_TPL[[#This Row],[Fecha de Pago]]))</f>
        <v>SIN PAGO</v>
      </c>
      <c r="K134" s="1971">
        <v>2018</v>
      </c>
      <c r="L134" s="1972">
        <f>IF(MONTH(Diario_Documentos_TPL[[#This Row],[Fecha de Pago]])=0, "SIN PAGO",MONTH(Diario_Documentos_TPL[[#This Row],[Fecha de Pago]]))</f>
        <v>1</v>
      </c>
      <c r="M134" s="1971">
        <v>3</v>
      </c>
      <c r="N134" s="1971" t="str">
        <f>VLOOKUP(Diario_Documentos_TPL[[#This Row],[Periodo del Servicio]],'Tablas (2)'!$L$3:$M$14,2,FALSE)</f>
        <v>MARZO</v>
      </c>
      <c r="O134" s="1969" t="s">
        <v>633</v>
      </c>
      <c r="P134" s="1971" t="s">
        <v>340</v>
      </c>
      <c r="Q134" s="1971" t="s">
        <v>165</v>
      </c>
      <c r="R134" s="1969">
        <v>2233</v>
      </c>
      <c r="S134" s="1969">
        <v>453882</v>
      </c>
      <c r="T134" s="1969" t="s">
        <v>629</v>
      </c>
      <c r="U134" s="1969" t="s">
        <v>221</v>
      </c>
      <c r="V134" s="1969">
        <v>210001694</v>
      </c>
      <c r="W134" s="1970"/>
      <c r="X134" s="1966">
        <f>Diario_Documentos_TPL[[#This Row],[Total Pasivo
(USD)]]/1.16</f>
        <v>0</v>
      </c>
      <c r="Y134" s="1966">
        <f>Diario_Documentos_TPL[[#This Row],[Importe Pasivo
(USD)]]*0.16</f>
        <v>0</v>
      </c>
      <c r="Z134" s="1966">
        <v>0</v>
      </c>
      <c r="AA134" s="1966">
        <v>-79772477.930000007</v>
      </c>
      <c r="AB134" s="1966">
        <f>Diario_Documentos_TPL[[#This Row],[Importe Pasivo
(MX)]]*0.16</f>
        <v>-12763596.468800001</v>
      </c>
      <c r="AC134" s="1966">
        <f>Diario_Documentos_TPL[[#This Row],[Importe Pasivo
(MX)]]+Diario_Documentos_TPL[[#This Row],[IVA Pasivo
(MX)]]</f>
        <v>-92536074.398800015</v>
      </c>
      <c r="AD134" s="1965">
        <f>IFERROR(Diario_Documentos_TPL[[#This Row],[Total Pasivo
(MX)]]/Diario_Documentos_TPL[[#This Row],[Total Pasivo
(USD)]],0)</f>
        <v>0</v>
      </c>
      <c r="AE134" s="1969">
        <f>Diario_Documentos_TPL[[#This Row],[Numero Documento]]</f>
        <v>210001694</v>
      </c>
      <c r="AF134" s="1968">
        <f>Diario_Documentos_TPL[[#This Row],[Fecha
Pasivo]]</f>
        <v>0</v>
      </c>
      <c r="AG134" s="1967">
        <f>Diario_Documentos_TPL[[#This Row],[Total de Pago
(USD)]]/1.16</f>
        <v>0</v>
      </c>
      <c r="AH134" s="1966">
        <f>Diario_Documentos_TPL[[#This Row],[Importe de Pago
(USD)]]*0.16</f>
        <v>0</v>
      </c>
      <c r="AI134" s="1966">
        <f>Diario_Documentos_TPL[[#This Row],[Total Pasivo
(USD)]]</f>
        <v>0</v>
      </c>
      <c r="AJ134" s="1966">
        <f>ROUND(Diario_Documentos_TPL[[#This Row],[Total de Pago
(MX)]]/1.16,2)</f>
        <v>-79772477.930000007</v>
      </c>
      <c r="AK134" s="1966">
        <f>Diario_Documentos_TPL[[#This Row],[Importe de Pago
(MX)]]*0.16</f>
        <v>-12763596.468800001</v>
      </c>
      <c r="AL134" s="1966">
        <f>Diario_Documentos_TPL[[#This Row],[Total Pasivo
(MX)]]</f>
        <v>-92536074.398800015</v>
      </c>
      <c r="AM134" s="2018"/>
      <c r="AN134" s="1975"/>
      <c r="AO134" s="1975"/>
      <c r="AP134" s="1975">
        <f>Diario_Documentos_TPL[[#This Row],[Importe de Pago
(MX)]]-Diario_Documentos_TPL[[#This Row],[Importe Pasivo
(MX)]]</f>
        <v>0</v>
      </c>
      <c r="AQ134" s="1975">
        <f>Diario_Documentos_TPL[[#This Row],[Total_Paridad]]-Diario_Documentos_TPL[[#This Row],[Subtotal_Paridad]]</f>
        <v>0</v>
      </c>
      <c r="AR134" s="1964">
        <f>Diario_Documentos_TPL[[#This Row],[Total de Pago
(MX)]]-Diario_Documentos_TPL[[#This Row],[Total Pasivo
(MX)]]</f>
        <v>0</v>
      </c>
      <c r="AS134" s="1980"/>
      <c r="AT134" s="1980"/>
      <c r="AU134" s="1980"/>
      <c r="AV134" s="1980"/>
    </row>
    <row r="135" spans="1:48" ht="15" hidden="1" customHeight="1" x14ac:dyDescent="0.25">
      <c r="A135" s="1969" t="s">
        <v>598</v>
      </c>
      <c r="B135" s="1969">
        <v>4326979</v>
      </c>
      <c r="C135" s="1969" t="s">
        <v>633</v>
      </c>
      <c r="D135" s="1969"/>
      <c r="E135" s="1969" t="s">
        <v>632</v>
      </c>
      <c r="F135" s="1969" t="s">
        <v>599</v>
      </c>
      <c r="G135" s="1969" t="s">
        <v>628</v>
      </c>
      <c r="H135" s="1969" t="str">
        <f>VLOOKUP(Diario_Documentos_TPL[[#This Row],[Centro Gestor]],Catalogo_Centro_Gestor[],2,FALSE)</f>
        <v>Gas. Corredor Chihuahua</v>
      </c>
      <c r="I135" s="1969" t="s">
        <v>630</v>
      </c>
      <c r="J135" s="1972" t="str">
        <f>IF(YEAR(Diario_Documentos_TPL[[#This Row],[Fecha de Pago]])=1900, "SIN PAGO",YEAR(Diario_Documentos_TPL[[#This Row],[Fecha de Pago]]))</f>
        <v>SIN PAGO</v>
      </c>
      <c r="K135" s="1971">
        <v>2018</v>
      </c>
      <c r="L135" s="1972">
        <f>IF(MONTH(Diario_Documentos_TPL[[#This Row],[Fecha de Pago]])=0, "SIN PAGO",MONTH(Diario_Documentos_TPL[[#This Row],[Fecha de Pago]]))</f>
        <v>1</v>
      </c>
      <c r="M135" s="1971">
        <v>3</v>
      </c>
      <c r="N135" s="1971" t="str">
        <f>VLOOKUP(Diario_Documentos_TPL[[#This Row],[Periodo del Servicio]],'Tablas (2)'!$L$3:$M$14,2,FALSE)</f>
        <v>MARZO</v>
      </c>
      <c r="O135" s="1969" t="s">
        <v>633</v>
      </c>
      <c r="P135" s="1971" t="s">
        <v>340</v>
      </c>
      <c r="Q135" s="1971" t="s">
        <v>165</v>
      </c>
      <c r="R135" s="1969">
        <v>2233</v>
      </c>
      <c r="S135" s="1969">
        <v>453851</v>
      </c>
      <c r="T135" s="1969" t="s">
        <v>629</v>
      </c>
      <c r="U135" s="1969" t="s">
        <v>221</v>
      </c>
      <c r="V135" s="1969">
        <v>210001694</v>
      </c>
      <c r="W135" s="1970"/>
      <c r="X135" s="1966">
        <f>Diario_Documentos_TPL[[#This Row],[Total Pasivo
(USD)]]/1.16</f>
        <v>0</v>
      </c>
      <c r="Y135" s="1966">
        <f>Diario_Documentos_TPL[[#This Row],[Importe Pasivo
(USD)]]*0.16</f>
        <v>0</v>
      </c>
      <c r="Z135" s="1966">
        <v>0</v>
      </c>
      <c r="AA135" s="1966">
        <v>79772477.930000007</v>
      </c>
      <c r="AB135" s="1966">
        <f>Diario_Documentos_TPL[[#This Row],[Importe Pasivo
(MX)]]*0.16</f>
        <v>12763596.468800001</v>
      </c>
      <c r="AC135" s="1966">
        <f>Diario_Documentos_TPL[[#This Row],[Importe Pasivo
(MX)]]+Diario_Documentos_TPL[[#This Row],[IVA Pasivo
(MX)]]</f>
        <v>92536074.398800015</v>
      </c>
      <c r="AD135" s="1965">
        <f>IFERROR(Diario_Documentos_TPL[[#This Row],[Total Pasivo
(MX)]]/Diario_Documentos_TPL[[#This Row],[Total Pasivo
(USD)]],0)</f>
        <v>0</v>
      </c>
      <c r="AE135" s="1969">
        <f>Diario_Documentos_TPL[[#This Row],[Numero Documento]]</f>
        <v>210001694</v>
      </c>
      <c r="AF135" s="1968">
        <f>Diario_Documentos_TPL[[#This Row],[Fecha
Pasivo]]</f>
        <v>0</v>
      </c>
      <c r="AG135" s="1967">
        <f>Diario_Documentos_TPL[[#This Row],[Total de Pago
(USD)]]/1.16</f>
        <v>0</v>
      </c>
      <c r="AH135" s="1966">
        <f>Diario_Documentos_TPL[[#This Row],[Importe de Pago
(USD)]]*0.16</f>
        <v>0</v>
      </c>
      <c r="AI135" s="1966">
        <f>Diario_Documentos_TPL[[#This Row],[Total Pasivo
(USD)]]</f>
        <v>0</v>
      </c>
      <c r="AJ135" s="1966">
        <f>ROUND(Diario_Documentos_TPL[[#This Row],[Total de Pago
(MX)]]/1.16,2)</f>
        <v>79772477.930000007</v>
      </c>
      <c r="AK135" s="1966">
        <f>Diario_Documentos_TPL[[#This Row],[Importe de Pago
(MX)]]*0.16</f>
        <v>12763596.468800001</v>
      </c>
      <c r="AL135" s="1966">
        <f>Diario_Documentos_TPL[[#This Row],[Total Pasivo
(MX)]]</f>
        <v>92536074.398800015</v>
      </c>
      <c r="AM135" s="2018"/>
      <c r="AN135" s="1975"/>
      <c r="AO135" s="1975"/>
      <c r="AP135" s="1975">
        <f>Diario_Documentos_TPL[[#This Row],[Importe de Pago
(MX)]]-Diario_Documentos_TPL[[#This Row],[Importe Pasivo
(MX)]]</f>
        <v>0</v>
      </c>
      <c r="AQ135" s="1975">
        <f>Diario_Documentos_TPL[[#This Row],[Total_Paridad]]-Diario_Documentos_TPL[[#This Row],[Subtotal_Paridad]]</f>
        <v>0</v>
      </c>
      <c r="AR135" s="1964">
        <f>Diario_Documentos_TPL[[#This Row],[Total de Pago
(MX)]]-Diario_Documentos_TPL[[#This Row],[Total Pasivo
(MX)]]</f>
        <v>0</v>
      </c>
      <c r="AS135" s="1980"/>
      <c r="AT135" s="1980"/>
      <c r="AU135" s="1980"/>
      <c r="AV135" s="1980"/>
    </row>
    <row r="136" spans="1:48" ht="14.25" hidden="1" customHeight="1" x14ac:dyDescent="0.25">
      <c r="A136" s="1969" t="s">
        <v>598</v>
      </c>
      <c r="B136" s="1969">
        <v>4326979</v>
      </c>
      <c r="C136" s="1969" t="s">
        <v>633</v>
      </c>
      <c r="D136" s="1969"/>
      <c r="E136" s="1969" t="s">
        <v>632</v>
      </c>
      <c r="F136" s="1969" t="s">
        <v>599</v>
      </c>
      <c r="G136" s="1969" t="s">
        <v>628</v>
      </c>
      <c r="H136" s="1969" t="str">
        <f>VLOOKUP(Diario_Documentos_TPL[[#This Row],[Centro Gestor]],Catalogo_Centro_Gestor[],2,FALSE)</f>
        <v>Gas. Corredor Chihuahua</v>
      </c>
      <c r="I136" s="1969" t="s">
        <v>630</v>
      </c>
      <c r="J136" s="1972" t="str">
        <f>IF(YEAR(Diario_Documentos_TPL[[#This Row],[Fecha de Pago]])=1900, "SIN PAGO",YEAR(Diario_Documentos_TPL[[#This Row],[Fecha de Pago]]))</f>
        <v>SIN PAGO</v>
      </c>
      <c r="K136" s="1971">
        <v>2018</v>
      </c>
      <c r="L136" s="1972">
        <f>IF(MONTH(Diario_Documentos_TPL[[#This Row],[Fecha de Pago]])=0, "SIN PAGO",MONTH(Diario_Documentos_TPL[[#This Row],[Fecha de Pago]]))</f>
        <v>1</v>
      </c>
      <c r="M136" s="1971">
        <v>4</v>
      </c>
      <c r="N136" s="1971" t="str">
        <f>VLOOKUP(Diario_Documentos_TPL[[#This Row],[Periodo del Servicio]],'Tablas (2)'!$L$3:$M$14,2,FALSE)</f>
        <v>ABRIL</v>
      </c>
      <c r="O136" s="1969" t="s">
        <v>633</v>
      </c>
      <c r="P136" s="1971" t="s">
        <v>340</v>
      </c>
      <c r="Q136" s="1971" t="s">
        <v>165</v>
      </c>
      <c r="R136" s="1969">
        <v>2233</v>
      </c>
      <c r="S136" s="1969">
        <v>453882</v>
      </c>
      <c r="T136" s="1969" t="s">
        <v>629</v>
      </c>
      <c r="U136" s="1969" t="s">
        <v>221</v>
      </c>
      <c r="V136" s="1969">
        <v>210001694</v>
      </c>
      <c r="W136" s="1970"/>
      <c r="X136" s="1966">
        <f>Diario_Documentos_TPL[[#This Row],[Total Pasivo
(USD)]]/1.16</f>
        <v>0</v>
      </c>
      <c r="Y136" s="1966">
        <f>Diario_Documentos_TPL[[#This Row],[Importe Pasivo
(USD)]]*0.16</f>
        <v>0</v>
      </c>
      <c r="Z136" s="1966">
        <v>0</v>
      </c>
      <c r="AA136" s="1966">
        <v>-82939395.310000002</v>
      </c>
      <c r="AB136" s="1966">
        <f>Diario_Documentos_TPL[[#This Row],[Importe Pasivo
(MX)]]*0.16</f>
        <v>-13270303.249600001</v>
      </c>
      <c r="AC136" s="1966">
        <f>Diario_Documentos_TPL[[#This Row],[Importe Pasivo
(MX)]]+Diario_Documentos_TPL[[#This Row],[IVA Pasivo
(MX)]]</f>
        <v>-96209698.559599996</v>
      </c>
      <c r="AD136" s="1965">
        <f>IFERROR(Diario_Documentos_TPL[[#This Row],[Total Pasivo
(MX)]]/Diario_Documentos_TPL[[#This Row],[Total Pasivo
(USD)]],0)</f>
        <v>0</v>
      </c>
      <c r="AE136" s="1969">
        <f>Diario_Documentos_TPL[[#This Row],[Numero Documento]]</f>
        <v>210001694</v>
      </c>
      <c r="AF136" s="1968">
        <f>Diario_Documentos_TPL[[#This Row],[Fecha
Pasivo]]</f>
        <v>0</v>
      </c>
      <c r="AG136" s="1967">
        <f>Diario_Documentos_TPL[[#This Row],[Total de Pago
(USD)]]/1.16</f>
        <v>0</v>
      </c>
      <c r="AH136" s="1966">
        <f>Diario_Documentos_TPL[[#This Row],[Importe de Pago
(USD)]]*0.16</f>
        <v>0</v>
      </c>
      <c r="AI136" s="1966">
        <f>Diario_Documentos_TPL[[#This Row],[Total Pasivo
(USD)]]</f>
        <v>0</v>
      </c>
      <c r="AJ136" s="1966">
        <f>ROUND(Diario_Documentos_TPL[[#This Row],[Total de Pago
(MX)]]/1.16,2)</f>
        <v>-82939395.310000002</v>
      </c>
      <c r="AK136" s="1966">
        <f>Diario_Documentos_TPL[[#This Row],[Importe de Pago
(MX)]]*0.16</f>
        <v>-13270303.249600001</v>
      </c>
      <c r="AL136" s="1966">
        <f>Diario_Documentos_TPL[[#This Row],[Total Pasivo
(MX)]]</f>
        <v>-96209698.559599996</v>
      </c>
      <c r="AM136" s="2018"/>
      <c r="AN136" s="1975"/>
      <c r="AO136" s="1975"/>
      <c r="AP136" s="1975">
        <f>Diario_Documentos_TPL[[#This Row],[Importe de Pago
(MX)]]-Diario_Documentos_TPL[[#This Row],[Importe Pasivo
(MX)]]</f>
        <v>0</v>
      </c>
      <c r="AQ136" s="1975">
        <f>Diario_Documentos_TPL[[#This Row],[Total_Paridad]]-Diario_Documentos_TPL[[#This Row],[Subtotal_Paridad]]</f>
        <v>0</v>
      </c>
      <c r="AR136" s="1964">
        <f>Diario_Documentos_TPL[[#This Row],[Total de Pago
(MX)]]-Diario_Documentos_TPL[[#This Row],[Total Pasivo
(MX)]]</f>
        <v>0</v>
      </c>
      <c r="AS136" s="1980"/>
      <c r="AT136" s="1980"/>
      <c r="AU136" s="1980"/>
      <c r="AV136" s="1980"/>
    </row>
    <row r="137" spans="1:48" ht="15" hidden="1" customHeight="1" x14ac:dyDescent="0.25">
      <c r="A137" s="1969" t="s">
        <v>598</v>
      </c>
      <c r="B137" s="1969">
        <v>4326979</v>
      </c>
      <c r="C137" s="1969" t="s">
        <v>633</v>
      </c>
      <c r="D137" s="1969"/>
      <c r="E137" s="1969" t="s">
        <v>632</v>
      </c>
      <c r="F137" s="1969" t="s">
        <v>599</v>
      </c>
      <c r="G137" s="1969" t="s">
        <v>628</v>
      </c>
      <c r="H137" s="1969" t="str">
        <f>VLOOKUP(Diario_Documentos_TPL[[#This Row],[Centro Gestor]],Catalogo_Centro_Gestor[],2,FALSE)</f>
        <v>Gas. Corredor Chihuahua</v>
      </c>
      <c r="I137" s="1969" t="s">
        <v>630</v>
      </c>
      <c r="J137" s="1972" t="str">
        <f>IF(YEAR(Diario_Documentos_TPL[[#This Row],[Fecha de Pago]])=1900, "SIN PAGO",YEAR(Diario_Documentos_TPL[[#This Row],[Fecha de Pago]]))</f>
        <v>SIN PAGO</v>
      </c>
      <c r="K137" s="1971">
        <v>2018</v>
      </c>
      <c r="L137" s="1972">
        <f>IF(MONTH(Diario_Documentos_TPL[[#This Row],[Fecha de Pago]])=0, "SIN PAGO",MONTH(Diario_Documentos_TPL[[#This Row],[Fecha de Pago]]))</f>
        <v>1</v>
      </c>
      <c r="M137" s="1971">
        <v>4</v>
      </c>
      <c r="N137" s="1971" t="str">
        <f>VLOOKUP(Diario_Documentos_TPL[[#This Row],[Periodo del Servicio]],'Tablas (2)'!$L$3:$M$14,2,FALSE)</f>
        <v>ABRIL</v>
      </c>
      <c r="O137" s="1969" t="s">
        <v>633</v>
      </c>
      <c r="P137" s="1971" t="s">
        <v>340</v>
      </c>
      <c r="Q137" s="1971" t="s">
        <v>165</v>
      </c>
      <c r="R137" s="1969">
        <v>2233</v>
      </c>
      <c r="S137" s="1969">
        <v>453851</v>
      </c>
      <c r="T137" s="1969" t="s">
        <v>629</v>
      </c>
      <c r="U137" s="1969" t="s">
        <v>221</v>
      </c>
      <c r="V137" s="1969">
        <v>210001694</v>
      </c>
      <c r="W137" s="1970"/>
      <c r="X137" s="1966">
        <f>Diario_Documentos_TPL[[#This Row],[Total Pasivo
(USD)]]/1.16</f>
        <v>0</v>
      </c>
      <c r="Y137" s="1966">
        <f>Diario_Documentos_TPL[[#This Row],[Importe Pasivo
(USD)]]*0.16</f>
        <v>0</v>
      </c>
      <c r="Z137" s="1966">
        <v>0</v>
      </c>
      <c r="AA137" s="1966">
        <v>82939395.310000002</v>
      </c>
      <c r="AB137" s="1966">
        <f>Diario_Documentos_TPL[[#This Row],[Importe Pasivo
(MX)]]*0.16</f>
        <v>13270303.249600001</v>
      </c>
      <c r="AC137" s="1966">
        <f>Diario_Documentos_TPL[[#This Row],[Importe Pasivo
(MX)]]+Diario_Documentos_TPL[[#This Row],[IVA Pasivo
(MX)]]</f>
        <v>96209698.559599996</v>
      </c>
      <c r="AD137" s="1965">
        <f>IFERROR(Diario_Documentos_TPL[[#This Row],[Total Pasivo
(MX)]]/Diario_Documentos_TPL[[#This Row],[Total Pasivo
(USD)]],0)</f>
        <v>0</v>
      </c>
      <c r="AE137" s="1969">
        <f>Diario_Documentos_TPL[[#This Row],[Numero Documento]]</f>
        <v>210001694</v>
      </c>
      <c r="AF137" s="1968">
        <f>Diario_Documentos_TPL[[#This Row],[Fecha
Pasivo]]</f>
        <v>0</v>
      </c>
      <c r="AG137" s="1967">
        <f>Diario_Documentos_TPL[[#This Row],[Total de Pago
(USD)]]/1.16</f>
        <v>0</v>
      </c>
      <c r="AH137" s="1966">
        <f>Diario_Documentos_TPL[[#This Row],[Importe de Pago
(USD)]]*0.16</f>
        <v>0</v>
      </c>
      <c r="AI137" s="1966">
        <f>Diario_Documentos_TPL[[#This Row],[Total Pasivo
(USD)]]</f>
        <v>0</v>
      </c>
      <c r="AJ137" s="1966">
        <f>ROUND(Diario_Documentos_TPL[[#This Row],[Total de Pago
(MX)]]/1.16,2)</f>
        <v>82939395.310000002</v>
      </c>
      <c r="AK137" s="1966">
        <f>Diario_Documentos_TPL[[#This Row],[Importe de Pago
(MX)]]*0.16</f>
        <v>13270303.249600001</v>
      </c>
      <c r="AL137" s="1966">
        <f>Diario_Documentos_TPL[[#This Row],[Total Pasivo
(MX)]]</f>
        <v>96209698.559599996</v>
      </c>
      <c r="AM137" s="2018"/>
      <c r="AN137" s="1975"/>
      <c r="AO137" s="1975"/>
      <c r="AP137" s="1975">
        <f>Diario_Documentos_TPL[[#This Row],[Importe de Pago
(MX)]]-Diario_Documentos_TPL[[#This Row],[Importe Pasivo
(MX)]]</f>
        <v>0</v>
      </c>
      <c r="AQ137" s="1975">
        <f>Diario_Documentos_TPL[[#This Row],[Total_Paridad]]-Diario_Documentos_TPL[[#This Row],[Subtotal_Paridad]]</f>
        <v>0</v>
      </c>
      <c r="AR137" s="1964">
        <f>Diario_Documentos_TPL[[#This Row],[Total de Pago
(MX)]]-Diario_Documentos_TPL[[#This Row],[Total Pasivo
(MX)]]</f>
        <v>0</v>
      </c>
    </row>
    <row r="138" spans="1:48" s="1979" customFormat="1" ht="15" hidden="1" customHeight="1" x14ac:dyDescent="0.25">
      <c r="A138" s="1969" t="s">
        <v>598</v>
      </c>
      <c r="B138" s="1969">
        <v>4326979</v>
      </c>
      <c r="C138" s="1969" t="s">
        <v>633</v>
      </c>
      <c r="D138" s="1969"/>
      <c r="E138" s="1969" t="s">
        <v>632</v>
      </c>
      <c r="F138" s="1969" t="s">
        <v>599</v>
      </c>
      <c r="G138" s="1969" t="s">
        <v>628</v>
      </c>
      <c r="H138" s="1969" t="str">
        <f>VLOOKUP(Diario_Documentos_TPL[[#This Row],[Centro Gestor]],Catalogo_Centro_Gestor[],2,FALSE)</f>
        <v>Gas. Corredor Chihuahua</v>
      </c>
      <c r="I138" s="1969" t="s">
        <v>630</v>
      </c>
      <c r="J138" s="1972" t="str">
        <f>IF(YEAR(Diario_Documentos_TPL[[#This Row],[Fecha de Pago]])=1900, "SIN PAGO",YEAR(Diario_Documentos_TPL[[#This Row],[Fecha de Pago]]))</f>
        <v>SIN PAGO</v>
      </c>
      <c r="K138" s="1971">
        <v>2018</v>
      </c>
      <c r="L138" s="1972">
        <f>IF(MONTH(Diario_Documentos_TPL[[#This Row],[Fecha de Pago]])=0, "SIN PAGO",MONTH(Diario_Documentos_TPL[[#This Row],[Fecha de Pago]]))</f>
        <v>1</v>
      </c>
      <c r="M138" s="1971">
        <v>5</v>
      </c>
      <c r="N138" s="1971" t="str">
        <f>VLOOKUP(Diario_Documentos_TPL[[#This Row],[Periodo del Servicio]],'Tablas (2)'!$L$3:$M$14,2,FALSE)</f>
        <v>MAYO</v>
      </c>
      <c r="O138" s="1969" t="s">
        <v>633</v>
      </c>
      <c r="P138" s="1971" t="s">
        <v>340</v>
      </c>
      <c r="Q138" s="1971" t="s">
        <v>165</v>
      </c>
      <c r="R138" s="1969">
        <v>2233</v>
      </c>
      <c r="S138" s="1969">
        <v>453882</v>
      </c>
      <c r="T138" s="1969" t="s">
        <v>629</v>
      </c>
      <c r="U138" s="1969" t="s">
        <v>221</v>
      </c>
      <c r="V138" s="1969">
        <v>210002083</v>
      </c>
      <c r="W138" s="1970"/>
      <c r="X138" s="1966">
        <f>Diario_Documentos_TPL[[#This Row],[Total Pasivo
(USD)]]/1.16</f>
        <v>0</v>
      </c>
      <c r="Y138" s="1966">
        <f>Diario_Documentos_TPL[[#This Row],[Importe Pasivo
(USD)]]*0.16</f>
        <v>0</v>
      </c>
      <c r="Z138" s="1966">
        <v>0</v>
      </c>
      <c r="AA138" s="1966">
        <v>-13398702.82</v>
      </c>
      <c r="AB138" s="1966">
        <f>Diario_Documentos_TPL[[#This Row],[Importe Pasivo
(MX)]]*0.16</f>
        <v>-2143792.4512</v>
      </c>
      <c r="AC138" s="1966">
        <f>Diario_Documentos_TPL[[#This Row],[Importe Pasivo
(MX)]]+Diario_Documentos_TPL[[#This Row],[IVA Pasivo
(MX)]]</f>
        <v>-15542495.271200001</v>
      </c>
      <c r="AD138" s="1965">
        <f>IFERROR(Diario_Documentos_TPL[[#This Row],[Total Pasivo
(MX)]]/Diario_Documentos_TPL[[#This Row],[Total Pasivo
(USD)]],0)</f>
        <v>0</v>
      </c>
      <c r="AE138" s="1969">
        <v>210002083</v>
      </c>
      <c r="AF138" s="1968">
        <f>Diario_Documentos_TPL[[#This Row],[Fecha
Pasivo]]</f>
        <v>0</v>
      </c>
      <c r="AG138" s="1967">
        <f>Diario_Documentos_TPL[[#This Row],[Total de Pago
(USD)]]/1.16</f>
        <v>0</v>
      </c>
      <c r="AH138" s="1966">
        <f>Diario_Documentos_TPL[[#This Row],[Importe de Pago
(USD)]]*0.16</f>
        <v>0</v>
      </c>
      <c r="AI138" s="1966">
        <f>Diario_Documentos_TPL[[#This Row],[Total Pasivo
(USD)]]</f>
        <v>0</v>
      </c>
      <c r="AJ138" s="1966">
        <f>ROUND(Diario_Documentos_TPL[[#This Row],[Total de Pago
(MX)]]/1.16,2)</f>
        <v>-13398702.82</v>
      </c>
      <c r="AK138" s="1966">
        <f>Diario_Documentos_TPL[[#This Row],[Importe de Pago
(MX)]]*0.16</f>
        <v>-2143792.4512</v>
      </c>
      <c r="AL138" s="1966">
        <f>Diario_Documentos_TPL[[#This Row],[Total Pasivo
(MX)]]</f>
        <v>-15542495.271200001</v>
      </c>
      <c r="AM138" s="2018"/>
      <c r="AN138" s="1975"/>
      <c r="AO138" s="1975"/>
      <c r="AP138" s="1975">
        <f>Diario_Documentos_TPL[[#This Row],[Importe de Pago
(MX)]]-Diario_Documentos_TPL[[#This Row],[Importe Pasivo
(MX)]]</f>
        <v>0</v>
      </c>
      <c r="AQ138" s="1975">
        <f>Diario_Documentos_TPL[[#This Row],[Total_Paridad]]-Diario_Documentos_TPL[[#This Row],[Subtotal_Paridad]]</f>
        <v>0</v>
      </c>
      <c r="AR138" s="1964">
        <f>Diario_Documentos_TPL[[#This Row],[Total de Pago
(MX)]]-Diario_Documentos_TPL[[#This Row],[Total Pasivo
(MX)]]</f>
        <v>0</v>
      </c>
    </row>
    <row r="139" spans="1:48" ht="15" hidden="1" customHeight="1" x14ac:dyDescent="0.25">
      <c r="A139" s="1969" t="s">
        <v>598</v>
      </c>
      <c r="B139" s="1969">
        <v>4326979</v>
      </c>
      <c r="C139" s="1969" t="s">
        <v>633</v>
      </c>
      <c r="D139" s="1969"/>
      <c r="E139" s="1969" t="s">
        <v>632</v>
      </c>
      <c r="F139" s="1969" t="s">
        <v>599</v>
      </c>
      <c r="G139" s="1969" t="s">
        <v>628</v>
      </c>
      <c r="H139" s="1969" t="str">
        <f>VLOOKUP(Diario_Documentos_TPL[[#This Row],[Centro Gestor]],Catalogo_Centro_Gestor[],2,FALSE)</f>
        <v>Gas. Corredor Chihuahua</v>
      </c>
      <c r="I139" s="1969" t="s">
        <v>630</v>
      </c>
      <c r="J139" s="1972" t="str">
        <f>IF(YEAR(Diario_Documentos_TPL[[#This Row],[Fecha de Pago]])=1900, "SIN PAGO",YEAR(Diario_Documentos_TPL[[#This Row],[Fecha de Pago]]))</f>
        <v>SIN PAGO</v>
      </c>
      <c r="K139" s="1971">
        <v>2018</v>
      </c>
      <c r="L139" s="1972">
        <f>IF(MONTH(Diario_Documentos_TPL[[#This Row],[Fecha de Pago]])=0, "SIN PAGO",MONTH(Diario_Documentos_TPL[[#This Row],[Fecha de Pago]]))</f>
        <v>1</v>
      </c>
      <c r="M139" s="1971">
        <v>5</v>
      </c>
      <c r="N139" s="1971" t="str">
        <f>VLOOKUP(Diario_Documentos_TPL[[#This Row],[Periodo del Servicio]],'Tablas (2)'!$L$3:$M$14,2,FALSE)</f>
        <v>MAYO</v>
      </c>
      <c r="O139" s="1969" t="s">
        <v>633</v>
      </c>
      <c r="P139" s="1971" t="s">
        <v>340</v>
      </c>
      <c r="Q139" s="1971" t="s">
        <v>165</v>
      </c>
      <c r="R139" s="1969">
        <v>2233</v>
      </c>
      <c r="S139" s="1969">
        <v>453851</v>
      </c>
      <c r="T139" s="1969" t="s">
        <v>629</v>
      </c>
      <c r="U139" s="1969" t="s">
        <v>221</v>
      </c>
      <c r="V139" s="1969">
        <v>210002083</v>
      </c>
      <c r="W139" s="1970"/>
      <c r="X139" s="1966">
        <f>Diario_Documentos_TPL[[#This Row],[Total Pasivo
(USD)]]/1.16</f>
        <v>0</v>
      </c>
      <c r="Y139" s="1966">
        <f>Diario_Documentos_TPL[[#This Row],[Importe Pasivo
(USD)]]*0.16</f>
        <v>0</v>
      </c>
      <c r="Z139" s="1966">
        <v>0</v>
      </c>
      <c r="AA139" s="1966">
        <v>13398702.82</v>
      </c>
      <c r="AB139" s="1966">
        <f>Diario_Documentos_TPL[[#This Row],[Importe Pasivo
(MX)]]*0.16</f>
        <v>2143792.4512</v>
      </c>
      <c r="AC139" s="1966">
        <f>Diario_Documentos_TPL[[#This Row],[Importe Pasivo
(MX)]]+Diario_Documentos_TPL[[#This Row],[IVA Pasivo
(MX)]]</f>
        <v>15542495.271200001</v>
      </c>
      <c r="AD139" s="1965">
        <f>IFERROR(Diario_Documentos_TPL[[#This Row],[Total Pasivo
(MX)]]/Diario_Documentos_TPL[[#This Row],[Total Pasivo
(USD)]],0)</f>
        <v>0</v>
      </c>
      <c r="AE139" s="1969">
        <v>210002083</v>
      </c>
      <c r="AF139" s="1968">
        <f>Diario_Documentos_TPL[[#This Row],[Fecha
Pasivo]]</f>
        <v>0</v>
      </c>
      <c r="AG139" s="1967">
        <f>Diario_Documentos_TPL[[#This Row],[Total de Pago
(USD)]]/1.16</f>
        <v>0</v>
      </c>
      <c r="AH139" s="1966">
        <f>Diario_Documentos_TPL[[#This Row],[Importe de Pago
(USD)]]*0.16</f>
        <v>0</v>
      </c>
      <c r="AI139" s="1966">
        <f>Diario_Documentos_TPL[[#This Row],[Total Pasivo
(USD)]]</f>
        <v>0</v>
      </c>
      <c r="AJ139" s="1966">
        <f>ROUND(Diario_Documentos_TPL[[#This Row],[Total de Pago
(MX)]]/1.16,2)</f>
        <v>13398702.82</v>
      </c>
      <c r="AK139" s="1966">
        <f>Diario_Documentos_TPL[[#This Row],[Importe de Pago
(MX)]]*0.16</f>
        <v>2143792.4512</v>
      </c>
      <c r="AL139" s="1966">
        <f>Diario_Documentos_TPL[[#This Row],[Total Pasivo
(MX)]]</f>
        <v>15542495.271200001</v>
      </c>
      <c r="AM139" s="2018"/>
      <c r="AN139" s="1975"/>
      <c r="AO139" s="1975"/>
      <c r="AP139" s="1975">
        <f>Diario_Documentos_TPL[[#This Row],[Importe de Pago
(MX)]]-Diario_Documentos_TPL[[#This Row],[Importe Pasivo
(MX)]]</f>
        <v>0</v>
      </c>
      <c r="AQ139" s="1975">
        <f>Diario_Documentos_TPL[[#This Row],[Total_Paridad]]-Diario_Documentos_TPL[[#This Row],[Subtotal_Paridad]]</f>
        <v>0</v>
      </c>
      <c r="AR139" s="1964">
        <f>Diario_Documentos_TPL[[#This Row],[Total de Pago
(MX)]]-Diario_Documentos_TPL[[#This Row],[Total Pasivo
(MX)]]</f>
        <v>0</v>
      </c>
    </row>
    <row r="140" spans="1:48" ht="15" hidden="1" customHeight="1" x14ac:dyDescent="0.25">
      <c r="A140" s="1969" t="s">
        <v>598</v>
      </c>
      <c r="B140" s="1969">
        <v>4326979</v>
      </c>
      <c r="C140" s="1969" t="s">
        <v>633</v>
      </c>
      <c r="D140" s="1969"/>
      <c r="E140" s="1969" t="s">
        <v>632</v>
      </c>
      <c r="F140" s="1969" t="s">
        <v>599</v>
      </c>
      <c r="G140" s="1969" t="s">
        <v>628</v>
      </c>
      <c r="H140" s="1969" t="str">
        <f>VLOOKUP(Diario_Documentos_TPL[[#This Row],[Centro Gestor]],Catalogo_Centro_Gestor[],2,FALSE)</f>
        <v>Gas. Corredor Chihuahua</v>
      </c>
      <c r="I140" s="1969" t="s">
        <v>630</v>
      </c>
      <c r="J140" s="1972" t="str">
        <f>IF(YEAR(Diario_Documentos_TPL[[#This Row],[Fecha de Pago]])=1900, "SIN PAGO",YEAR(Diario_Documentos_TPL[[#This Row],[Fecha de Pago]]))</f>
        <v>SIN PAGO</v>
      </c>
      <c r="K140" s="1971">
        <v>2018</v>
      </c>
      <c r="L140" s="1972">
        <f>IF(MONTH(Diario_Documentos_TPL[[#This Row],[Fecha de Pago]])=0, "SIN PAGO",MONTH(Diario_Documentos_TPL[[#This Row],[Fecha de Pago]]))</f>
        <v>1</v>
      </c>
      <c r="M140" s="1971">
        <v>5</v>
      </c>
      <c r="N140" s="1971" t="str">
        <f>VLOOKUP(Diario_Documentos_TPL[[#This Row],[Periodo del Servicio]],'Tablas (2)'!$L$3:$M$14,2,FALSE)</f>
        <v>MAYO</v>
      </c>
      <c r="O140" s="1969" t="s">
        <v>633</v>
      </c>
      <c r="P140" s="1971" t="s">
        <v>340</v>
      </c>
      <c r="Q140" s="1971" t="s">
        <v>165</v>
      </c>
      <c r="R140" s="1969">
        <v>2233</v>
      </c>
      <c r="S140" s="1969">
        <v>453882</v>
      </c>
      <c r="T140" s="1969" t="s">
        <v>629</v>
      </c>
      <c r="U140" s="1969" t="s">
        <v>221</v>
      </c>
      <c r="V140" s="1969">
        <v>210001694</v>
      </c>
      <c r="W140" s="1970"/>
      <c r="X140" s="1966">
        <f>Diario_Documentos_TPL[[#This Row],[Total Pasivo
(USD)]]/1.16</f>
        <v>0</v>
      </c>
      <c r="Y140" s="1966">
        <f>Diario_Documentos_TPL[[#This Row],[Importe Pasivo
(USD)]]*0.16</f>
        <v>0</v>
      </c>
      <c r="Z140" s="1966">
        <v>0</v>
      </c>
      <c r="AA140" s="1966">
        <v>-86365805.549999997</v>
      </c>
      <c r="AB140" s="1966">
        <f>Diario_Documentos_TPL[[#This Row],[Importe Pasivo
(MX)]]*0.16</f>
        <v>-13818528.888</v>
      </c>
      <c r="AC140" s="1966">
        <f>Diario_Documentos_TPL[[#This Row],[Importe Pasivo
(MX)]]+Diario_Documentos_TPL[[#This Row],[IVA Pasivo
(MX)]]</f>
        <v>-100184334.43799999</v>
      </c>
      <c r="AD140" s="1965">
        <f>IFERROR(Diario_Documentos_TPL[[#This Row],[Total Pasivo
(MX)]]/Diario_Documentos_TPL[[#This Row],[Total Pasivo
(USD)]],0)</f>
        <v>0</v>
      </c>
      <c r="AE140" s="1969">
        <f>Diario_Documentos_TPL[[#This Row],[Numero Documento]]</f>
        <v>210001694</v>
      </c>
      <c r="AF140" s="1968">
        <f>Diario_Documentos_TPL[[#This Row],[Fecha
Pasivo]]</f>
        <v>0</v>
      </c>
      <c r="AG140" s="1967">
        <f>Diario_Documentos_TPL[[#This Row],[Total de Pago
(USD)]]/1.16</f>
        <v>0</v>
      </c>
      <c r="AH140" s="1966">
        <f>Diario_Documentos_TPL[[#This Row],[Importe de Pago
(USD)]]*0.16</f>
        <v>0</v>
      </c>
      <c r="AI140" s="1966">
        <f>Diario_Documentos_TPL[[#This Row],[Total Pasivo
(USD)]]</f>
        <v>0</v>
      </c>
      <c r="AJ140" s="1966">
        <f>ROUND(Diario_Documentos_TPL[[#This Row],[Total de Pago
(MX)]]/1.16,2)</f>
        <v>-86365805.549999997</v>
      </c>
      <c r="AK140" s="1966">
        <f>Diario_Documentos_TPL[[#This Row],[Importe de Pago
(MX)]]*0.16</f>
        <v>-13818528.888</v>
      </c>
      <c r="AL140" s="1966">
        <f>Diario_Documentos_TPL[[#This Row],[Total Pasivo
(MX)]]</f>
        <v>-100184334.43799999</v>
      </c>
      <c r="AM140" s="2018"/>
      <c r="AN140" s="1975"/>
      <c r="AO140" s="1975"/>
      <c r="AP140" s="1975">
        <f>Diario_Documentos_TPL[[#This Row],[Importe de Pago
(MX)]]-Diario_Documentos_TPL[[#This Row],[Importe Pasivo
(MX)]]</f>
        <v>0</v>
      </c>
      <c r="AQ140" s="1975">
        <f>Diario_Documentos_TPL[[#This Row],[Total_Paridad]]-Diario_Documentos_TPL[[#This Row],[Subtotal_Paridad]]</f>
        <v>0</v>
      </c>
      <c r="AR140" s="1964">
        <f>Diario_Documentos_TPL[[#This Row],[Total de Pago
(MX)]]-Diario_Documentos_TPL[[#This Row],[Total Pasivo
(MX)]]</f>
        <v>0</v>
      </c>
    </row>
    <row r="141" spans="1:48" ht="15" hidden="1" customHeight="1" x14ac:dyDescent="0.25">
      <c r="A141" s="1969" t="s">
        <v>598</v>
      </c>
      <c r="B141" s="1969">
        <v>4326979</v>
      </c>
      <c r="C141" s="1969" t="s">
        <v>633</v>
      </c>
      <c r="D141" s="1969"/>
      <c r="E141" s="1969" t="s">
        <v>632</v>
      </c>
      <c r="F141" s="1969" t="s">
        <v>599</v>
      </c>
      <c r="G141" s="1969" t="s">
        <v>628</v>
      </c>
      <c r="H141" s="1969" t="str">
        <f>VLOOKUP(Diario_Documentos_TPL[[#This Row],[Centro Gestor]],Catalogo_Centro_Gestor[],2,FALSE)</f>
        <v>Gas. Corredor Chihuahua</v>
      </c>
      <c r="I141" s="1969" t="s">
        <v>630</v>
      </c>
      <c r="J141" s="1972" t="str">
        <f>IF(YEAR(Diario_Documentos_TPL[[#This Row],[Fecha de Pago]])=1900, "SIN PAGO",YEAR(Diario_Documentos_TPL[[#This Row],[Fecha de Pago]]))</f>
        <v>SIN PAGO</v>
      </c>
      <c r="K141" s="1971">
        <v>2018</v>
      </c>
      <c r="L141" s="1972">
        <f>IF(MONTH(Diario_Documentos_TPL[[#This Row],[Fecha de Pago]])=0, "SIN PAGO",MONTH(Diario_Documentos_TPL[[#This Row],[Fecha de Pago]]))</f>
        <v>1</v>
      </c>
      <c r="M141" s="1971">
        <v>5</v>
      </c>
      <c r="N141" s="1971" t="str">
        <f>VLOOKUP(Diario_Documentos_TPL[[#This Row],[Periodo del Servicio]],'Tablas (2)'!$L$3:$M$14,2,FALSE)</f>
        <v>MAYO</v>
      </c>
      <c r="O141" s="1969" t="s">
        <v>633</v>
      </c>
      <c r="P141" s="1971" t="s">
        <v>340</v>
      </c>
      <c r="Q141" s="1971" t="s">
        <v>165</v>
      </c>
      <c r="R141" s="1969">
        <v>2233</v>
      </c>
      <c r="S141" s="1969">
        <v>453851</v>
      </c>
      <c r="T141" s="1969" t="s">
        <v>629</v>
      </c>
      <c r="U141" s="1969" t="s">
        <v>221</v>
      </c>
      <c r="V141" s="1969">
        <v>210001694</v>
      </c>
      <c r="W141" s="1970"/>
      <c r="X141" s="1966">
        <f>Diario_Documentos_TPL[[#This Row],[Total Pasivo
(USD)]]/1.16</f>
        <v>0</v>
      </c>
      <c r="Y141" s="1966">
        <f>Diario_Documentos_TPL[[#This Row],[Importe Pasivo
(USD)]]*0.16</f>
        <v>0</v>
      </c>
      <c r="Z141" s="1966">
        <v>0</v>
      </c>
      <c r="AA141" s="1966">
        <v>86365805.549999997</v>
      </c>
      <c r="AB141" s="1966">
        <f>Diario_Documentos_TPL[[#This Row],[Importe Pasivo
(MX)]]*0.16</f>
        <v>13818528.888</v>
      </c>
      <c r="AC141" s="1966">
        <f>Diario_Documentos_TPL[[#This Row],[Importe Pasivo
(MX)]]+Diario_Documentos_TPL[[#This Row],[IVA Pasivo
(MX)]]</f>
        <v>100184334.43799999</v>
      </c>
      <c r="AD141" s="1965">
        <f>IFERROR(Diario_Documentos_TPL[[#This Row],[Total Pasivo
(MX)]]/Diario_Documentos_TPL[[#This Row],[Total Pasivo
(USD)]],0)</f>
        <v>0</v>
      </c>
      <c r="AE141" s="1969">
        <f>Diario_Documentos_TPL[[#This Row],[Numero Documento]]</f>
        <v>210001694</v>
      </c>
      <c r="AF141" s="1968">
        <f>Diario_Documentos_TPL[[#This Row],[Fecha
Pasivo]]</f>
        <v>0</v>
      </c>
      <c r="AG141" s="1967">
        <f>Diario_Documentos_TPL[[#This Row],[Total de Pago
(USD)]]/1.16</f>
        <v>0</v>
      </c>
      <c r="AH141" s="1966">
        <f>Diario_Documentos_TPL[[#This Row],[Importe de Pago
(USD)]]*0.16</f>
        <v>0</v>
      </c>
      <c r="AI141" s="1966">
        <f>Diario_Documentos_TPL[[#This Row],[Total Pasivo
(USD)]]</f>
        <v>0</v>
      </c>
      <c r="AJ141" s="1966">
        <f>ROUND(Diario_Documentos_TPL[[#This Row],[Total de Pago
(MX)]]/1.16,2)</f>
        <v>86365805.549999997</v>
      </c>
      <c r="AK141" s="1966">
        <f>Diario_Documentos_TPL[[#This Row],[Importe de Pago
(MX)]]*0.16</f>
        <v>13818528.888</v>
      </c>
      <c r="AL141" s="1966">
        <f>Diario_Documentos_TPL[[#This Row],[Total Pasivo
(MX)]]</f>
        <v>100184334.43799999</v>
      </c>
      <c r="AM141" s="2018"/>
      <c r="AN141" s="1975"/>
      <c r="AO141" s="1975"/>
      <c r="AP141" s="1975">
        <f>Diario_Documentos_TPL[[#This Row],[Importe de Pago
(MX)]]-Diario_Documentos_TPL[[#This Row],[Importe Pasivo
(MX)]]</f>
        <v>0</v>
      </c>
      <c r="AQ141" s="1975">
        <f>Diario_Documentos_TPL[[#This Row],[Total_Paridad]]-Diario_Documentos_TPL[[#This Row],[Subtotal_Paridad]]</f>
        <v>0</v>
      </c>
      <c r="AR141" s="1964">
        <f>Diario_Documentos_TPL[[#This Row],[Total de Pago
(MX)]]-Diario_Documentos_TPL[[#This Row],[Total Pasivo
(MX)]]</f>
        <v>0</v>
      </c>
    </row>
    <row r="142" spans="1:48" ht="15" hidden="1" customHeight="1" x14ac:dyDescent="0.25">
      <c r="A142" s="1969" t="s">
        <v>598</v>
      </c>
      <c r="B142" s="1969">
        <v>4326979</v>
      </c>
      <c r="C142" s="1969" t="s">
        <v>633</v>
      </c>
      <c r="D142" s="1969"/>
      <c r="E142" s="1969" t="s">
        <v>632</v>
      </c>
      <c r="F142" s="1969" t="s">
        <v>599</v>
      </c>
      <c r="G142" s="1969" t="s">
        <v>628</v>
      </c>
      <c r="H142" s="1969" t="str">
        <f>VLOOKUP(Diario_Documentos_TPL[[#This Row],[Centro Gestor]],Catalogo_Centro_Gestor[],2,FALSE)</f>
        <v>Gas. Corredor Chihuahua</v>
      </c>
      <c r="I142" s="1969" t="s">
        <v>630</v>
      </c>
      <c r="J142" s="1972">
        <f>IF(YEAR(Diario_Documentos_TPL[[#This Row],[Fecha de Pago]])=1900, "SIN PAGO",YEAR(Diario_Documentos_TPL[[#This Row],[Fecha de Pago]]))</f>
        <v>2018</v>
      </c>
      <c r="K142" s="1971">
        <v>2018</v>
      </c>
      <c r="L142" s="1972">
        <f>IF(MONTH(Diario_Documentos_TPL[[#This Row],[Fecha de Pago]])=0, "SIN PAGO",MONTH(Diario_Documentos_TPL[[#This Row],[Fecha de Pago]]))</f>
        <v>7</v>
      </c>
      <c r="M142" s="1971">
        <v>6</v>
      </c>
      <c r="N142" s="1971" t="str">
        <f>VLOOKUP(Diario_Documentos_TPL[[#This Row],[Periodo del Servicio]],'Tablas (2)'!$L$3:$M$14,2,FALSE)</f>
        <v>JUNIO</v>
      </c>
      <c r="O142" s="1969" t="s">
        <v>633</v>
      </c>
      <c r="P142" s="1971" t="s">
        <v>340</v>
      </c>
      <c r="Q142" s="1971" t="s">
        <v>165</v>
      </c>
      <c r="R142" s="1969">
        <v>2233</v>
      </c>
      <c r="S142" s="1969">
        <v>453882</v>
      </c>
      <c r="T142" s="1969" t="s">
        <v>629</v>
      </c>
      <c r="U142" s="1969" t="s">
        <v>221</v>
      </c>
      <c r="V142" s="1969">
        <v>210002083</v>
      </c>
      <c r="W142" s="1970">
        <v>43312</v>
      </c>
      <c r="X142" s="1966">
        <f>Diario_Documentos_TPL[[#This Row],[Total Pasivo
(USD)]]/1.16</f>
        <v>0</v>
      </c>
      <c r="Y142" s="1966">
        <f>Diario_Documentos_TPL[[#This Row],[Importe Pasivo
(USD)]]*0.16</f>
        <v>0</v>
      </c>
      <c r="Z142" s="1966">
        <v>0</v>
      </c>
      <c r="AA142" s="1966">
        <f>-66649796.1</f>
        <v>-66649796.100000001</v>
      </c>
      <c r="AB142" s="1966">
        <f>Diario_Documentos_TPL[[#This Row],[Importe Pasivo
(MX)]]*0.16</f>
        <v>-10663967.376</v>
      </c>
      <c r="AC142" s="1966">
        <f>Diario_Documentos_TPL[[#This Row],[Importe Pasivo
(MX)]]*1.16</f>
        <v>-77313763.475999996</v>
      </c>
      <c r="AD142" s="1965">
        <f>IFERROR(Diario_Documentos_TPL[[#This Row],[Total Pasivo
(MX)]]/Diario_Documentos_TPL[[#This Row],[Total Pasivo
(USD)]],0)</f>
        <v>0</v>
      </c>
      <c r="AE142" s="1969">
        <f>Diario_Documentos_TPL[[#This Row],[Numero Documento]]</f>
        <v>210002083</v>
      </c>
      <c r="AF142" s="1968">
        <f>Diario_Documentos_TPL[[#This Row],[Fecha
Pasivo]]</f>
        <v>43312</v>
      </c>
      <c r="AG142" s="1967">
        <f>Diario_Documentos_TPL[[#This Row],[Total de Pago
(USD)]]/1.16</f>
        <v>0</v>
      </c>
      <c r="AH142" s="1966">
        <f>Diario_Documentos_TPL[[#This Row],[Importe de Pago
(USD)]]*0.16</f>
        <v>0</v>
      </c>
      <c r="AI142" s="1966">
        <f>Diario_Documentos_TPL[[#This Row],[Total Pasivo
(USD)]]</f>
        <v>0</v>
      </c>
      <c r="AJ142" s="1966">
        <f>ROUND(Diario_Documentos_TPL[[#This Row],[Total de Pago
(MX)]]/1.16,2)</f>
        <v>-66649796.100000001</v>
      </c>
      <c r="AK142" s="1966">
        <f>Diario_Documentos_TPL[[#This Row],[Importe de Pago
(MX)]]*0.16</f>
        <v>-10663967.376</v>
      </c>
      <c r="AL142" s="1966">
        <f>Diario_Documentos_TPL[[#This Row],[Total Pasivo
(MX)]]</f>
        <v>-77313763.475999996</v>
      </c>
      <c r="AM142" s="2018"/>
      <c r="AN142" s="1975"/>
      <c r="AO142" s="1975"/>
      <c r="AP142" s="1975">
        <f>Diario_Documentos_TPL[[#This Row],[Importe de Pago
(MX)]]-Diario_Documentos_TPL[[#This Row],[Importe Pasivo
(MX)]]</f>
        <v>0</v>
      </c>
      <c r="AQ142" s="1975">
        <f>Diario_Documentos_TPL[[#This Row],[Total_Paridad]]-Diario_Documentos_TPL[[#This Row],[Subtotal_Paridad]]</f>
        <v>0</v>
      </c>
      <c r="AR142" s="1964">
        <f>Diario_Documentos_TPL[[#This Row],[Total de Pago
(MX)]]-Diario_Documentos_TPL[[#This Row],[Total Pasivo
(MX)]]</f>
        <v>0</v>
      </c>
    </row>
    <row r="143" spans="1:48" ht="15" hidden="1" customHeight="1" x14ac:dyDescent="0.25">
      <c r="A143" s="1969" t="s">
        <v>598</v>
      </c>
      <c r="B143" s="1969">
        <v>4326979</v>
      </c>
      <c r="C143" s="1969" t="s">
        <v>633</v>
      </c>
      <c r="D143" s="1969"/>
      <c r="E143" s="1969" t="s">
        <v>632</v>
      </c>
      <c r="F143" s="1969" t="s">
        <v>599</v>
      </c>
      <c r="G143" s="1969" t="s">
        <v>628</v>
      </c>
      <c r="H143" s="1969" t="str">
        <f>VLOOKUP(Diario_Documentos_TPL[[#This Row],[Centro Gestor]],Catalogo_Centro_Gestor[],2,FALSE)</f>
        <v>Gas. Corredor Chihuahua</v>
      </c>
      <c r="I143" s="1969" t="s">
        <v>630</v>
      </c>
      <c r="J143" s="1972">
        <f>IF(YEAR(Diario_Documentos_TPL[[#This Row],[Fecha de Pago]])=1900, "SIN PAGO",YEAR(Diario_Documentos_TPL[[#This Row],[Fecha de Pago]]))</f>
        <v>2018</v>
      </c>
      <c r="K143" s="1971">
        <v>2018</v>
      </c>
      <c r="L143" s="1972">
        <f>IF(MONTH(Diario_Documentos_TPL[[#This Row],[Fecha de Pago]])=0, "SIN PAGO",MONTH(Diario_Documentos_TPL[[#This Row],[Fecha de Pago]]))</f>
        <v>7</v>
      </c>
      <c r="M143" s="1971">
        <v>6</v>
      </c>
      <c r="N143" s="1971" t="str">
        <f>VLOOKUP(Diario_Documentos_TPL[[#This Row],[Periodo del Servicio]],'Tablas (2)'!$L$3:$M$14,2,FALSE)</f>
        <v>JUNIO</v>
      </c>
      <c r="O143" s="1969" t="s">
        <v>633</v>
      </c>
      <c r="P143" s="1971" t="s">
        <v>340</v>
      </c>
      <c r="Q143" s="1971" t="s">
        <v>165</v>
      </c>
      <c r="R143" s="1969">
        <v>2233</v>
      </c>
      <c r="S143" s="1969">
        <v>453851</v>
      </c>
      <c r="T143" s="1969" t="s">
        <v>629</v>
      </c>
      <c r="U143" s="1969" t="s">
        <v>221</v>
      </c>
      <c r="V143" s="1969">
        <v>210002083</v>
      </c>
      <c r="W143" s="1970">
        <v>43312</v>
      </c>
      <c r="X143" s="1966">
        <f>Diario_Documentos_TPL[[#This Row],[Total Pasivo
(USD)]]/1.16</f>
        <v>0</v>
      </c>
      <c r="Y143" s="1966">
        <f>Diario_Documentos_TPL[[#This Row],[Importe Pasivo
(USD)]]*0.16</f>
        <v>0</v>
      </c>
      <c r="Z143" s="1966">
        <v>0</v>
      </c>
      <c r="AA143" s="1966">
        <v>66649796.100000001</v>
      </c>
      <c r="AB143" s="1966">
        <f>Diario_Documentos_TPL[[#This Row],[Importe Pasivo
(MX)]]*0.16</f>
        <v>10663967.376</v>
      </c>
      <c r="AC143" s="1966">
        <f>Diario_Documentos_TPL[[#This Row],[Importe Pasivo
(MX)]]+Diario_Documentos_TPL[[#This Row],[IVA Pasivo
(MX)]]</f>
        <v>77313763.475999996</v>
      </c>
      <c r="AD143" s="1965">
        <f>IFERROR(Diario_Documentos_TPL[[#This Row],[Total Pasivo
(MX)]]/Diario_Documentos_TPL[[#This Row],[Total Pasivo
(USD)]],0)</f>
        <v>0</v>
      </c>
      <c r="AE143" s="1969">
        <f>Diario_Documentos_TPL[[#This Row],[Numero Documento]]</f>
        <v>210002083</v>
      </c>
      <c r="AF143" s="1968">
        <f>Diario_Documentos_TPL[[#This Row],[Fecha
Pasivo]]</f>
        <v>43312</v>
      </c>
      <c r="AG143" s="1967">
        <f>Diario_Documentos_TPL[[#This Row],[Total de Pago
(USD)]]/1.16</f>
        <v>0</v>
      </c>
      <c r="AH143" s="1966">
        <f>Diario_Documentos_TPL[[#This Row],[Importe de Pago
(USD)]]*0.16</f>
        <v>0</v>
      </c>
      <c r="AI143" s="1966">
        <f>Diario_Documentos_TPL[[#This Row],[Total Pasivo
(USD)]]</f>
        <v>0</v>
      </c>
      <c r="AJ143" s="1966">
        <f>ROUND(Diario_Documentos_TPL[[#This Row],[Total de Pago
(MX)]]/1.16,2)</f>
        <v>66649796.100000001</v>
      </c>
      <c r="AK143" s="1966">
        <f>Diario_Documentos_TPL[[#This Row],[Importe de Pago
(MX)]]*0.16</f>
        <v>10663967.376</v>
      </c>
      <c r="AL143" s="1966">
        <f>Diario_Documentos_TPL[[#This Row],[Total Pasivo
(MX)]]</f>
        <v>77313763.475999996</v>
      </c>
      <c r="AM143" s="2018"/>
      <c r="AN143" s="1975"/>
      <c r="AO143" s="1975"/>
      <c r="AP143" s="1975">
        <f>Diario_Documentos_TPL[[#This Row],[Importe de Pago
(MX)]]-Diario_Documentos_TPL[[#This Row],[Importe Pasivo
(MX)]]</f>
        <v>0</v>
      </c>
      <c r="AQ143" s="1975">
        <f>Diario_Documentos_TPL[[#This Row],[Total_Paridad]]-Diario_Documentos_TPL[[#This Row],[Subtotal_Paridad]]</f>
        <v>0</v>
      </c>
      <c r="AR143" s="1964">
        <f>Diario_Documentos_TPL[[#This Row],[Total de Pago
(MX)]]-Diario_Documentos_TPL[[#This Row],[Total Pasivo
(MX)]]</f>
        <v>0</v>
      </c>
    </row>
    <row r="144" spans="1:48" ht="15" hidden="1" customHeight="1" x14ac:dyDescent="0.25">
      <c r="A144" s="1969" t="s">
        <v>598</v>
      </c>
      <c r="B144" s="1969">
        <v>4326979</v>
      </c>
      <c r="C144" s="1969" t="s">
        <v>633</v>
      </c>
      <c r="D144" s="1969"/>
      <c r="E144" s="1969" t="s">
        <v>632</v>
      </c>
      <c r="F144" s="1969" t="s">
        <v>599</v>
      </c>
      <c r="G144" s="1969" t="s">
        <v>628</v>
      </c>
      <c r="H144" s="1969" t="str">
        <f>VLOOKUP(Diario_Documentos_TPL[[#This Row],[Centro Gestor]],Catalogo_Centro_Gestor[],2,FALSE)</f>
        <v>Gas. Corredor Chihuahua</v>
      </c>
      <c r="I144" s="1969" t="s">
        <v>630</v>
      </c>
      <c r="J144" s="1972" t="str">
        <f>IF(YEAR(Diario_Documentos_TPL[[#This Row],[Fecha de Pago]])=1900, "SIN PAGO",YEAR(Diario_Documentos_TPL[[#This Row],[Fecha de Pago]]))</f>
        <v>SIN PAGO</v>
      </c>
      <c r="K144" s="1971">
        <v>2018</v>
      </c>
      <c r="L144" s="1972">
        <f>IF(MONTH(Diario_Documentos_TPL[[#This Row],[Fecha de Pago]])=0, "SIN PAGO",MONTH(Diario_Documentos_TPL[[#This Row],[Fecha de Pago]]))</f>
        <v>1</v>
      </c>
      <c r="M144" s="1971">
        <v>7</v>
      </c>
      <c r="N144" s="1971" t="str">
        <f>VLOOKUP(Diario_Documentos_TPL[[#This Row],[Periodo del Servicio]],'Tablas (2)'!$L$3:$M$14,2,FALSE)</f>
        <v>JULIO</v>
      </c>
      <c r="O144" s="1969" t="s">
        <v>633</v>
      </c>
      <c r="P144" s="1971" t="s">
        <v>340</v>
      </c>
      <c r="Q144" s="1971" t="s">
        <v>165</v>
      </c>
      <c r="R144" s="1969">
        <v>2233</v>
      </c>
      <c r="S144" s="1969">
        <v>453882</v>
      </c>
      <c r="T144" s="1969" t="s">
        <v>629</v>
      </c>
      <c r="U144" s="1969" t="s">
        <v>221</v>
      </c>
      <c r="V144" s="1969"/>
      <c r="W144" s="1970"/>
      <c r="X144" s="1966">
        <f>Diario_Documentos_TPL[[#This Row],[Total Pasivo
(USD)]]/1.16</f>
        <v>0</v>
      </c>
      <c r="Y144" s="1966">
        <f>Diario_Documentos_TPL[[#This Row],[Importe Pasivo
(USD)]]*0.16</f>
        <v>0</v>
      </c>
      <c r="Z144" s="1966">
        <v>0</v>
      </c>
      <c r="AA144" s="1966"/>
      <c r="AB144" s="1966">
        <f>Diario_Documentos_TPL[[#This Row],[Importe Pasivo
(MX)]]*0.16</f>
        <v>0</v>
      </c>
      <c r="AC144" s="1966">
        <f>Diario_Documentos_TPL[[#This Row],[Importe Pasivo
(MX)]]+Diario_Documentos_TPL[[#This Row],[IVA Pasivo
(MX)]]</f>
        <v>0</v>
      </c>
      <c r="AD144" s="1965">
        <f>IFERROR(Diario_Documentos_TPL[[#This Row],[Total Pasivo
(MX)]]/Diario_Documentos_TPL[[#This Row],[Total Pasivo
(USD)]],0)</f>
        <v>0</v>
      </c>
      <c r="AE144" s="1969">
        <f>Diario_Documentos_TPL[[#This Row],[Numero Documento]]</f>
        <v>0</v>
      </c>
      <c r="AF144" s="1968">
        <f>Diario_Documentos_TPL[[#This Row],[Fecha
Pasivo]]</f>
        <v>0</v>
      </c>
      <c r="AG144" s="1967">
        <f>Diario_Documentos_TPL[[#This Row],[Total de Pago
(USD)]]/1.16</f>
        <v>0</v>
      </c>
      <c r="AH144" s="1966">
        <f>Diario_Documentos_TPL[[#This Row],[Importe de Pago
(USD)]]*0.16</f>
        <v>0</v>
      </c>
      <c r="AI144" s="1966">
        <f>Diario_Documentos_TPL[[#This Row],[Total Pasivo
(USD)]]</f>
        <v>0</v>
      </c>
      <c r="AJ144" s="1966">
        <f>ROUND(Diario_Documentos_TPL[[#This Row],[Total de Pago
(MX)]]/1.16,2)</f>
        <v>0</v>
      </c>
      <c r="AK144" s="1966">
        <f>Diario_Documentos_TPL[[#This Row],[Importe de Pago
(MX)]]*0.16</f>
        <v>0</v>
      </c>
      <c r="AL144" s="1966">
        <f>Diario_Documentos_TPL[[#This Row],[Total Pasivo
(MX)]]</f>
        <v>0</v>
      </c>
      <c r="AM144" s="2018"/>
      <c r="AN144" s="1975"/>
      <c r="AO144" s="1975"/>
      <c r="AP144" s="1975">
        <f>Diario_Documentos_TPL[[#This Row],[Importe de Pago
(MX)]]-Diario_Documentos_TPL[[#This Row],[Importe Pasivo
(MX)]]</f>
        <v>0</v>
      </c>
      <c r="AQ144" s="1975">
        <f>Diario_Documentos_TPL[[#This Row],[Total_Paridad]]-Diario_Documentos_TPL[[#This Row],[Subtotal_Paridad]]</f>
        <v>0</v>
      </c>
      <c r="AR144" s="1964">
        <f>Diario_Documentos_TPL[[#This Row],[Total de Pago
(MX)]]-Diario_Documentos_TPL[[#This Row],[Total Pasivo
(MX)]]</f>
        <v>0</v>
      </c>
    </row>
    <row r="145" spans="1:44" ht="15" hidden="1" customHeight="1" x14ac:dyDescent="0.25">
      <c r="A145" s="1969" t="s">
        <v>598</v>
      </c>
      <c r="B145" s="1969">
        <v>4326979</v>
      </c>
      <c r="C145" s="1969" t="s">
        <v>633</v>
      </c>
      <c r="D145" s="1969"/>
      <c r="E145" s="1969" t="s">
        <v>632</v>
      </c>
      <c r="F145" s="1969" t="s">
        <v>599</v>
      </c>
      <c r="G145" s="1969" t="s">
        <v>628</v>
      </c>
      <c r="H145" s="1969" t="str">
        <f>VLOOKUP(Diario_Documentos_TPL[[#This Row],[Centro Gestor]],Catalogo_Centro_Gestor[],2,FALSE)</f>
        <v>Gas. Corredor Chihuahua</v>
      </c>
      <c r="I145" s="1969" t="s">
        <v>630</v>
      </c>
      <c r="J145" s="1972" t="str">
        <f>IF(YEAR(Diario_Documentos_TPL[[#This Row],[Fecha de Pago]])=1900, "SIN PAGO",YEAR(Diario_Documentos_TPL[[#This Row],[Fecha de Pago]]))</f>
        <v>SIN PAGO</v>
      </c>
      <c r="K145" s="1971">
        <v>2018</v>
      </c>
      <c r="L145" s="1972">
        <f>IF(MONTH(Diario_Documentos_TPL[[#This Row],[Fecha de Pago]])=0, "SIN PAGO",MONTH(Diario_Documentos_TPL[[#This Row],[Fecha de Pago]]))</f>
        <v>1</v>
      </c>
      <c r="M145" s="1971">
        <v>7</v>
      </c>
      <c r="N145" s="1971" t="str">
        <f>VLOOKUP(Diario_Documentos_TPL[[#This Row],[Periodo del Servicio]],'Tablas (2)'!$L$3:$M$14,2,FALSE)</f>
        <v>JULIO</v>
      </c>
      <c r="O145" s="1969" t="s">
        <v>633</v>
      </c>
      <c r="P145" s="1971" t="s">
        <v>340</v>
      </c>
      <c r="Q145" s="1971" t="s">
        <v>165</v>
      </c>
      <c r="R145" s="1969">
        <v>2233</v>
      </c>
      <c r="S145" s="1969">
        <v>453851</v>
      </c>
      <c r="T145" s="1969" t="s">
        <v>629</v>
      </c>
      <c r="U145" s="1969" t="s">
        <v>221</v>
      </c>
      <c r="V145" s="1969"/>
      <c r="W145" s="1970"/>
      <c r="X145" s="1966">
        <f>Diario_Documentos_TPL[[#This Row],[Total Pasivo
(USD)]]/1.16</f>
        <v>0</v>
      </c>
      <c r="Y145" s="1966">
        <f>Diario_Documentos_TPL[[#This Row],[Importe Pasivo
(USD)]]*0.16</f>
        <v>0</v>
      </c>
      <c r="Z145" s="1966">
        <v>0</v>
      </c>
      <c r="AA145" s="1966"/>
      <c r="AB145" s="1966">
        <f>Diario_Documentos_TPL[[#This Row],[Importe Pasivo
(MX)]]*0.16</f>
        <v>0</v>
      </c>
      <c r="AC145" s="1966">
        <f>Diario_Documentos_TPL[[#This Row],[Importe Pasivo
(MX)]]+Diario_Documentos_TPL[[#This Row],[IVA Pasivo
(MX)]]</f>
        <v>0</v>
      </c>
      <c r="AD145" s="1965">
        <f>IFERROR(Diario_Documentos_TPL[[#This Row],[Total Pasivo
(MX)]]/Diario_Documentos_TPL[[#This Row],[Total Pasivo
(USD)]],0)</f>
        <v>0</v>
      </c>
      <c r="AE145" s="1969">
        <f>Diario_Documentos_TPL[[#This Row],[Numero Documento]]</f>
        <v>0</v>
      </c>
      <c r="AF145" s="1968">
        <f>Diario_Documentos_TPL[[#This Row],[Fecha
Pasivo]]</f>
        <v>0</v>
      </c>
      <c r="AG145" s="1967">
        <f>Diario_Documentos_TPL[[#This Row],[Total de Pago
(USD)]]/1.16</f>
        <v>0</v>
      </c>
      <c r="AH145" s="1966">
        <f>Diario_Documentos_TPL[[#This Row],[Importe de Pago
(USD)]]*0.16</f>
        <v>0</v>
      </c>
      <c r="AI145" s="1966">
        <f>Diario_Documentos_TPL[[#This Row],[Total Pasivo
(USD)]]</f>
        <v>0</v>
      </c>
      <c r="AJ145" s="1966">
        <f>ROUND(Diario_Documentos_TPL[[#This Row],[Total de Pago
(MX)]]/1.16,2)</f>
        <v>0</v>
      </c>
      <c r="AK145" s="1966">
        <f>Diario_Documentos_TPL[[#This Row],[Importe de Pago
(MX)]]*0.16</f>
        <v>0</v>
      </c>
      <c r="AL145" s="1966">
        <f>Diario_Documentos_TPL[[#This Row],[Total Pasivo
(MX)]]</f>
        <v>0</v>
      </c>
      <c r="AM145" s="2018"/>
      <c r="AN145" s="1975"/>
      <c r="AO145" s="1975"/>
      <c r="AP145" s="1975">
        <f>Diario_Documentos_TPL[[#This Row],[Importe de Pago
(MX)]]-Diario_Documentos_TPL[[#This Row],[Importe Pasivo
(MX)]]</f>
        <v>0</v>
      </c>
      <c r="AQ145" s="1975">
        <f>Diario_Documentos_TPL[[#This Row],[Total_Paridad]]-Diario_Documentos_TPL[[#This Row],[Subtotal_Paridad]]</f>
        <v>0</v>
      </c>
      <c r="AR145" s="1964">
        <f>Diario_Documentos_TPL[[#This Row],[Total de Pago
(MX)]]-Diario_Documentos_TPL[[#This Row],[Total Pasivo
(MX)]]</f>
        <v>0</v>
      </c>
    </row>
    <row r="146" spans="1:44" ht="15" hidden="1" customHeight="1" x14ac:dyDescent="0.25">
      <c r="A146" s="1969" t="s">
        <v>598</v>
      </c>
      <c r="B146" s="1969">
        <v>4326979</v>
      </c>
      <c r="C146" s="1969" t="s">
        <v>633</v>
      </c>
      <c r="D146" s="1969"/>
      <c r="E146" s="1969" t="s">
        <v>632</v>
      </c>
      <c r="F146" s="1969" t="s">
        <v>599</v>
      </c>
      <c r="G146" s="1969" t="s">
        <v>628</v>
      </c>
      <c r="H146" s="1969" t="str">
        <f>VLOOKUP(Diario_Documentos_TPL[[#This Row],[Centro Gestor]],Catalogo_Centro_Gestor[],2,FALSE)</f>
        <v>Gas. Corredor Chihuahua</v>
      </c>
      <c r="I146" s="1969" t="s">
        <v>630</v>
      </c>
      <c r="J146" s="1972" t="str">
        <f>IF(YEAR(Diario_Documentos_TPL[[#This Row],[Fecha de Pago]])=1900, "SIN PAGO",YEAR(Diario_Documentos_TPL[[#This Row],[Fecha de Pago]]))</f>
        <v>SIN PAGO</v>
      </c>
      <c r="K146" s="1971">
        <v>2018</v>
      </c>
      <c r="L146" s="1972">
        <f>IF(MONTH(Diario_Documentos_TPL[[#This Row],[Fecha de Pago]])=0, "SIN PAGO",MONTH(Diario_Documentos_TPL[[#This Row],[Fecha de Pago]]))</f>
        <v>1</v>
      </c>
      <c r="M146" s="1971">
        <v>8</v>
      </c>
      <c r="N146" s="1971" t="str">
        <f>VLOOKUP(Diario_Documentos_TPL[[#This Row],[Periodo del Servicio]],'Tablas (2)'!$L$3:$M$14,2,FALSE)</f>
        <v>AGOSTO</v>
      </c>
      <c r="O146" s="1969" t="s">
        <v>633</v>
      </c>
      <c r="P146" s="1971" t="s">
        <v>340</v>
      </c>
      <c r="Q146" s="1971" t="s">
        <v>165</v>
      </c>
      <c r="R146" s="1969">
        <v>2233</v>
      </c>
      <c r="S146" s="1969">
        <v>453882</v>
      </c>
      <c r="T146" s="1969" t="s">
        <v>629</v>
      </c>
      <c r="U146" s="1969" t="s">
        <v>221</v>
      </c>
      <c r="V146" s="1969"/>
      <c r="W146" s="1970"/>
      <c r="X146" s="1966">
        <f>Diario_Documentos_TPL[[#This Row],[Total Pasivo
(USD)]]/1.16</f>
        <v>0</v>
      </c>
      <c r="Y146" s="1966">
        <f>Diario_Documentos_TPL[[#This Row],[Importe Pasivo
(USD)]]*0.16</f>
        <v>0</v>
      </c>
      <c r="Z146" s="1966">
        <v>0</v>
      </c>
      <c r="AA146" s="1966"/>
      <c r="AB146" s="1966">
        <f>Diario_Documentos_TPL[[#This Row],[Importe Pasivo
(MX)]]*0.16</f>
        <v>0</v>
      </c>
      <c r="AC146" s="1966">
        <f>Diario_Documentos_TPL[[#This Row],[Importe Pasivo
(MX)]]+Diario_Documentos_TPL[[#This Row],[IVA Pasivo
(MX)]]</f>
        <v>0</v>
      </c>
      <c r="AD146" s="1965">
        <f>IFERROR(Diario_Documentos_TPL[[#This Row],[Total Pasivo
(MX)]]/Diario_Documentos_TPL[[#This Row],[Total Pasivo
(USD)]],0)</f>
        <v>0</v>
      </c>
      <c r="AE146" s="1969">
        <f>Diario_Documentos_TPL[[#This Row],[Numero Documento]]</f>
        <v>0</v>
      </c>
      <c r="AF146" s="1968">
        <f>Diario_Documentos_TPL[[#This Row],[Fecha
Pasivo]]</f>
        <v>0</v>
      </c>
      <c r="AG146" s="1967">
        <f>Diario_Documentos_TPL[[#This Row],[Total de Pago
(USD)]]/1.16</f>
        <v>0</v>
      </c>
      <c r="AH146" s="1966">
        <f>Diario_Documentos_TPL[[#This Row],[Importe de Pago
(USD)]]*0.16</f>
        <v>0</v>
      </c>
      <c r="AI146" s="1966">
        <f>Diario_Documentos_TPL[[#This Row],[Total Pasivo
(USD)]]</f>
        <v>0</v>
      </c>
      <c r="AJ146" s="1966">
        <f>ROUND(Diario_Documentos_TPL[[#This Row],[Total de Pago
(MX)]]/1.16,2)</f>
        <v>0</v>
      </c>
      <c r="AK146" s="1966">
        <f>Diario_Documentos_TPL[[#This Row],[Importe de Pago
(MX)]]*0.16</f>
        <v>0</v>
      </c>
      <c r="AL146" s="1966">
        <f>Diario_Documentos_TPL[[#This Row],[Total Pasivo
(MX)]]</f>
        <v>0</v>
      </c>
      <c r="AM146" s="2018"/>
      <c r="AN146" s="1975"/>
      <c r="AO146" s="1975"/>
      <c r="AP146" s="1975">
        <f>Diario_Documentos_TPL[[#This Row],[Importe de Pago
(MX)]]-Diario_Documentos_TPL[[#This Row],[Importe Pasivo
(MX)]]</f>
        <v>0</v>
      </c>
      <c r="AQ146" s="1975">
        <f>Diario_Documentos_TPL[[#This Row],[Total_Paridad]]-Diario_Documentos_TPL[[#This Row],[Subtotal_Paridad]]</f>
        <v>0</v>
      </c>
      <c r="AR146" s="1964">
        <f>Diario_Documentos_TPL[[#This Row],[Total de Pago
(MX)]]-Diario_Documentos_TPL[[#This Row],[Total Pasivo
(MX)]]</f>
        <v>0</v>
      </c>
    </row>
    <row r="147" spans="1:44" ht="15" hidden="1" customHeight="1" x14ac:dyDescent="0.25">
      <c r="A147" s="1969" t="s">
        <v>598</v>
      </c>
      <c r="B147" s="1969">
        <v>4326979</v>
      </c>
      <c r="C147" s="1969" t="s">
        <v>633</v>
      </c>
      <c r="D147" s="1969"/>
      <c r="E147" s="1969" t="s">
        <v>632</v>
      </c>
      <c r="F147" s="1969" t="s">
        <v>599</v>
      </c>
      <c r="G147" s="1969" t="s">
        <v>628</v>
      </c>
      <c r="H147" s="1969" t="str">
        <f>VLOOKUP(Diario_Documentos_TPL[[#This Row],[Centro Gestor]],Catalogo_Centro_Gestor[],2,FALSE)</f>
        <v>Gas. Corredor Chihuahua</v>
      </c>
      <c r="I147" s="1969" t="s">
        <v>630</v>
      </c>
      <c r="J147" s="1972" t="str">
        <f>IF(YEAR(Diario_Documentos_TPL[[#This Row],[Fecha de Pago]])=1900, "SIN PAGO",YEAR(Diario_Documentos_TPL[[#This Row],[Fecha de Pago]]))</f>
        <v>SIN PAGO</v>
      </c>
      <c r="K147" s="1971">
        <v>2018</v>
      </c>
      <c r="L147" s="1972">
        <f>IF(MONTH(Diario_Documentos_TPL[[#This Row],[Fecha de Pago]])=0, "SIN PAGO",MONTH(Diario_Documentos_TPL[[#This Row],[Fecha de Pago]]))</f>
        <v>1</v>
      </c>
      <c r="M147" s="1971">
        <v>8</v>
      </c>
      <c r="N147" s="1971" t="str">
        <f>VLOOKUP(Diario_Documentos_TPL[[#This Row],[Periodo del Servicio]],'Tablas (2)'!$L$3:$M$14,2,FALSE)</f>
        <v>AGOSTO</v>
      </c>
      <c r="O147" s="1969" t="s">
        <v>633</v>
      </c>
      <c r="P147" s="1971" t="s">
        <v>340</v>
      </c>
      <c r="Q147" s="1971" t="s">
        <v>165</v>
      </c>
      <c r="R147" s="1969">
        <v>2233</v>
      </c>
      <c r="S147" s="1969">
        <v>453851</v>
      </c>
      <c r="T147" s="1969" t="s">
        <v>629</v>
      </c>
      <c r="U147" s="1969" t="s">
        <v>221</v>
      </c>
      <c r="V147" s="1969"/>
      <c r="W147" s="1970"/>
      <c r="X147" s="1966">
        <f>Diario_Documentos_TPL[[#This Row],[Total Pasivo
(USD)]]/1.16</f>
        <v>0</v>
      </c>
      <c r="Y147" s="1966">
        <f>Diario_Documentos_TPL[[#This Row],[Importe Pasivo
(USD)]]*0.16</f>
        <v>0</v>
      </c>
      <c r="Z147" s="1966">
        <v>0</v>
      </c>
      <c r="AA147" s="1966"/>
      <c r="AB147" s="1966">
        <f>Diario_Documentos_TPL[[#This Row],[Importe Pasivo
(MX)]]*0.16</f>
        <v>0</v>
      </c>
      <c r="AC147" s="1966">
        <f>Diario_Documentos_TPL[[#This Row],[Importe Pasivo
(MX)]]+Diario_Documentos_TPL[[#This Row],[IVA Pasivo
(MX)]]</f>
        <v>0</v>
      </c>
      <c r="AD147" s="1965">
        <f>IFERROR(Diario_Documentos_TPL[[#This Row],[Total Pasivo
(MX)]]/Diario_Documentos_TPL[[#This Row],[Total Pasivo
(USD)]],0)</f>
        <v>0</v>
      </c>
      <c r="AE147" s="1969">
        <f>Diario_Documentos_TPL[[#This Row],[Numero Documento]]</f>
        <v>0</v>
      </c>
      <c r="AF147" s="1968">
        <f>Diario_Documentos_TPL[[#This Row],[Fecha
Pasivo]]</f>
        <v>0</v>
      </c>
      <c r="AG147" s="1967">
        <f>Diario_Documentos_TPL[[#This Row],[Total de Pago
(USD)]]/1.16</f>
        <v>0</v>
      </c>
      <c r="AH147" s="1966">
        <f>Diario_Documentos_TPL[[#This Row],[Importe de Pago
(USD)]]*0.16</f>
        <v>0</v>
      </c>
      <c r="AI147" s="1966">
        <f>Diario_Documentos_TPL[[#This Row],[Total Pasivo
(USD)]]</f>
        <v>0</v>
      </c>
      <c r="AJ147" s="1966">
        <f>ROUND(Diario_Documentos_TPL[[#This Row],[Total de Pago
(MX)]]/1.16,2)</f>
        <v>0</v>
      </c>
      <c r="AK147" s="1966">
        <f>Diario_Documentos_TPL[[#This Row],[Importe de Pago
(MX)]]*0.16</f>
        <v>0</v>
      </c>
      <c r="AL147" s="1966">
        <f>Diario_Documentos_TPL[[#This Row],[Total Pasivo
(MX)]]</f>
        <v>0</v>
      </c>
      <c r="AM147" s="2018"/>
      <c r="AN147" s="1975"/>
      <c r="AO147" s="1975"/>
      <c r="AP147" s="1975">
        <f>Diario_Documentos_TPL[[#This Row],[Importe de Pago
(MX)]]-Diario_Documentos_TPL[[#This Row],[Importe Pasivo
(MX)]]</f>
        <v>0</v>
      </c>
      <c r="AQ147" s="1975">
        <f>Diario_Documentos_TPL[[#This Row],[Total_Paridad]]-Diario_Documentos_TPL[[#This Row],[Subtotal_Paridad]]</f>
        <v>0</v>
      </c>
      <c r="AR147" s="1964">
        <f>Diario_Documentos_TPL[[#This Row],[Total de Pago
(MX)]]-Diario_Documentos_TPL[[#This Row],[Total Pasivo
(MX)]]</f>
        <v>0</v>
      </c>
    </row>
    <row r="148" spans="1:44" ht="15" hidden="1" customHeight="1" x14ac:dyDescent="0.25">
      <c r="A148" s="1969" t="s">
        <v>598</v>
      </c>
      <c r="B148" s="1969">
        <v>4326979</v>
      </c>
      <c r="C148" s="1969" t="s">
        <v>633</v>
      </c>
      <c r="D148" s="1969"/>
      <c r="E148" s="1969" t="s">
        <v>632</v>
      </c>
      <c r="F148" s="1969" t="s">
        <v>599</v>
      </c>
      <c r="G148" s="1969" t="s">
        <v>628</v>
      </c>
      <c r="H148" s="1969" t="str">
        <f>VLOOKUP(Diario_Documentos_TPL[[#This Row],[Centro Gestor]],Catalogo_Centro_Gestor[],2,FALSE)</f>
        <v>Gas. Corredor Chihuahua</v>
      </c>
      <c r="I148" s="1969" t="s">
        <v>630</v>
      </c>
      <c r="J148" s="1972" t="str">
        <f>IF(YEAR(Diario_Documentos_TPL[[#This Row],[Fecha de Pago]])=1900, "SIN PAGO",YEAR(Diario_Documentos_TPL[[#This Row],[Fecha de Pago]]))</f>
        <v>SIN PAGO</v>
      </c>
      <c r="K148" s="1971">
        <v>2018</v>
      </c>
      <c r="L148" s="1972">
        <f>IF(MONTH(Diario_Documentos_TPL[[#This Row],[Fecha de Pago]])=0, "SIN PAGO",MONTH(Diario_Documentos_TPL[[#This Row],[Fecha de Pago]]))</f>
        <v>1</v>
      </c>
      <c r="M148" s="1971">
        <v>9</v>
      </c>
      <c r="N148" s="1971" t="str">
        <f>VLOOKUP(Diario_Documentos_TPL[[#This Row],[Periodo del Servicio]],'Tablas (2)'!$L$3:$M$14,2,FALSE)</f>
        <v>SEPTIEMBRE</v>
      </c>
      <c r="O148" s="1969" t="s">
        <v>633</v>
      </c>
      <c r="P148" s="1971" t="s">
        <v>340</v>
      </c>
      <c r="Q148" s="1971" t="s">
        <v>165</v>
      </c>
      <c r="R148" s="1969">
        <v>2233</v>
      </c>
      <c r="S148" s="1969">
        <v>453882</v>
      </c>
      <c r="T148" s="1969" t="s">
        <v>629</v>
      </c>
      <c r="U148" s="1969" t="s">
        <v>221</v>
      </c>
      <c r="V148" s="1969"/>
      <c r="W148" s="1970"/>
      <c r="X148" s="1966">
        <f>Diario_Documentos_TPL[[#This Row],[Total Pasivo
(USD)]]/1.16</f>
        <v>0</v>
      </c>
      <c r="Y148" s="1966">
        <f>Diario_Documentos_TPL[[#This Row],[Importe Pasivo
(USD)]]*0.16</f>
        <v>0</v>
      </c>
      <c r="Z148" s="1966">
        <v>0</v>
      </c>
      <c r="AA148" s="1966"/>
      <c r="AB148" s="1966">
        <f>Diario_Documentos_TPL[[#This Row],[Importe Pasivo
(MX)]]*0.16</f>
        <v>0</v>
      </c>
      <c r="AC148" s="1966">
        <f>Diario_Documentos_TPL[[#This Row],[Importe Pasivo
(MX)]]+Diario_Documentos_TPL[[#This Row],[IVA Pasivo
(MX)]]</f>
        <v>0</v>
      </c>
      <c r="AD148" s="1965">
        <f>IFERROR(Diario_Documentos_TPL[[#This Row],[Total Pasivo
(MX)]]/Diario_Documentos_TPL[[#This Row],[Total Pasivo
(USD)]],0)</f>
        <v>0</v>
      </c>
      <c r="AE148" s="1969">
        <f>Diario_Documentos_TPL[[#This Row],[Numero Documento]]</f>
        <v>0</v>
      </c>
      <c r="AF148" s="1968">
        <f>Diario_Documentos_TPL[[#This Row],[Fecha
Pasivo]]</f>
        <v>0</v>
      </c>
      <c r="AG148" s="1967">
        <f>Diario_Documentos_TPL[[#This Row],[Total de Pago
(USD)]]/1.16</f>
        <v>0</v>
      </c>
      <c r="AH148" s="1966">
        <f>Diario_Documentos_TPL[[#This Row],[Importe de Pago
(USD)]]*0.16</f>
        <v>0</v>
      </c>
      <c r="AI148" s="1966">
        <f>Diario_Documentos_TPL[[#This Row],[Total Pasivo
(USD)]]</f>
        <v>0</v>
      </c>
      <c r="AJ148" s="1966">
        <f>ROUND(Diario_Documentos_TPL[[#This Row],[Total de Pago
(MX)]]/1.16,2)</f>
        <v>0</v>
      </c>
      <c r="AK148" s="1966">
        <f>Diario_Documentos_TPL[[#This Row],[Importe de Pago
(MX)]]*0.16</f>
        <v>0</v>
      </c>
      <c r="AL148" s="1966">
        <f>Diario_Documentos_TPL[[#This Row],[Total Pasivo
(MX)]]</f>
        <v>0</v>
      </c>
      <c r="AM148" s="2018"/>
      <c r="AN148" s="1975"/>
      <c r="AO148" s="1975"/>
      <c r="AP148" s="1975">
        <f>Diario_Documentos_TPL[[#This Row],[Importe de Pago
(MX)]]-Diario_Documentos_TPL[[#This Row],[Importe Pasivo
(MX)]]</f>
        <v>0</v>
      </c>
      <c r="AQ148" s="1975">
        <f>Diario_Documentos_TPL[[#This Row],[Total_Paridad]]-Diario_Documentos_TPL[[#This Row],[Subtotal_Paridad]]</f>
        <v>0</v>
      </c>
      <c r="AR148" s="1964">
        <f>Diario_Documentos_TPL[[#This Row],[Total de Pago
(MX)]]-Diario_Documentos_TPL[[#This Row],[Total Pasivo
(MX)]]</f>
        <v>0</v>
      </c>
    </row>
    <row r="149" spans="1:44" ht="15" hidden="1" customHeight="1" x14ac:dyDescent="0.25">
      <c r="A149" s="1969" t="s">
        <v>598</v>
      </c>
      <c r="B149" s="1969">
        <v>4326979</v>
      </c>
      <c r="C149" s="1969" t="s">
        <v>633</v>
      </c>
      <c r="D149" s="1969"/>
      <c r="E149" s="1969" t="s">
        <v>632</v>
      </c>
      <c r="F149" s="1969" t="s">
        <v>599</v>
      </c>
      <c r="G149" s="1969" t="s">
        <v>628</v>
      </c>
      <c r="H149" s="1969" t="str">
        <f>VLOOKUP(Diario_Documentos_TPL[[#This Row],[Centro Gestor]],Catalogo_Centro_Gestor[],2,FALSE)</f>
        <v>Gas. Corredor Chihuahua</v>
      </c>
      <c r="I149" s="1969" t="s">
        <v>630</v>
      </c>
      <c r="J149" s="1972" t="str">
        <f>IF(YEAR(Diario_Documentos_TPL[[#This Row],[Fecha de Pago]])=1900, "SIN PAGO",YEAR(Diario_Documentos_TPL[[#This Row],[Fecha de Pago]]))</f>
        <v>SIN PAGO</v>
      </c>
      <c r="K149" s="1971">
        <v>2018</v>
      </c>
      <c r="L149" s="1972">
        <f>IF(MONTH(Diario_Documentos_TPL[[#This Row],[Fecha de Pago]])=0, "SIN PAGO",MONTH(Diario_Documentos_TPL[[#This Row],[Fecha de Pago]]))</f>
        <v>1</v>
      </c>
      <c r="M149" s="1971">
        <v>9</v>
      </c>
      <c r="N149" s="1971" t="str">
        <f>VLOOKUP(Diario_Documentos_TPL[[#This Row],[Periodo del Servicio]],'Tablas (2)'!$L$3:$M$14,2,FALSE)</f>
        <v>SEPTIEMBRE</v>
      </c>
      <c r="O149" s="1969" t="s">
        <v>633</v>
      </c>
      <c r="P149" s="1971" t="s">
        <v>340</v>
      </c>
      <c r="Q149" s="1971" t="s">
        <v>165</v>
      </c>
      <c r="R149" s="1969">
        <v>2233</v>
      </c>
      <c r="S149" s="1969">
        <v>453851</v>
      </c>
      <c r="T149" s="1969" t="s">
        <v>629</v>
      </c>
      <c r="U149" s="1969" t="s">
        <v>221</v>
      </c>
      <c r="V149" s="1969"/>
      <c r="W149" s="1970"/>
      <c r="X149" s="1966">
        <f>Diario_Documentos_TPL[[#This Row],[Total Pasivo
(USD)]]/1.16</f>
        <v>0</v>
      </c>
      <c r="Y149" s="1966">
        <f>Diario_Documentos_TPL[[#This Row],[Importe Pasivo
(USD)]]*0.16</f>
        <v>0</v>
      </c>
      <c r="Z149" s="1966">
        <v>0</v>
      </c>
      <c r="AA149" s="1966"/>
      <c r="AB149" s="1966">
        <f>Diario_Documentos_TPL[[#This Row],[Importe Pasivo
(MX)]]*0.16</f>
        <v>0</v>
      </c>
      <c r="AC149" s="1966">
        <f>Diario_Documentos_TPL[[#This Row],[Importe Pasivo
(MX)]]+Diario_Documentos_TPL[[#This Row],[IVA Pasivo
(MX)]]</f>
        <v>0</v>
      </c>
      <c r="AD149" s="1965">
        <f>IFERROR(Diario_Documentos_TPL[[#This Row],[Total Pasivo
(MX)]]/Diario_Documentos_TPL[[#This Row],[Total Pasivo
(USD)]],0)</f>
        <v>0</v>
      </c>
      <c r="AE149" s="1969">
        <f>Diario_Documentos_TPL[[#This Row],[Numero Documento]]</f>
        <v>0</v>
      </c>
      <c r="AF149" s="1968">
        <f>Diario_Documentos_TPL[[#This Row],[Fecha
Pasivo]]</f>
        <v>0</v>
      </c>
      <c r="AG149" s="1967">
        <f>Diario_Documentos_TPL[[#This Row],[Total de Pago
(USD)]]/1.16</f>
        <v>0</v>
      </c>
      <c r="AH149" s="1966">
        <f>Diario_Documentos_TPL[[#This Row],[Importe de Pago
(USD)]]*0.16</f>
        <v>0</v>
      </c>
      <c r="AI149" s="1966">
        <f>Diario_Documentos_TPL[[#This Row],[Total Pasivo
(USD)]]</f>
        <v>0</v>
      </c>
      <c r="AJ149" s="1966">
        <f>ROUND(Diario_Documentos_TPL[[#This Row],[Total de Pago
(MX)]]/1.16,2)</f>
        <v>0</v>
      </c>
      <c r="AK149" s="1966">
        <f>Diario_Documentos_TPL[[#This Row],[Importe de Pago
(MX)]]*0.16</f>
        <v>0</v>
      </c>
      <c r="AL149" s="1966">
        <f>Diario_Documentos_TPL[[#This Row],[Total Pasivo
(MX)]]</f>
        <v>0</v>
      </c>
      <c r="AM149" s="2018"/>
      <c r="AN149" s="1975"/>
      <c r="AO149" s="1975"/>
      <c r="AP149" s="1975">
        <f>Diario_Documentos_TPL[[#This Row],[Importe de Pago
(MX)]]-Diario_Documentos_TPL[[#This Row],[Importe Pasivo
(MX)]]</f>
        <v>0</v>
      </c>
      <c r="AQ149" s="1975">
        <f>Diario_Documentos_TPL[[#This Row],[Total_Paridad]]-Diario_Documentos_TPL[[#This Row],[Subtotal_Paridad]]</f>
        <v>0</v>
      </c>
      <c r="AR149" s="1964">
        <f>Diario_Documentos_TPL[[#This Row],[Total de Pago
(MX)]]-Diario_Documentos_TPL[[#This Row],[Total Pasivo
(MX)]]</f>
        <v>0</v>
      </c>
    </row>
    <row r="150" spans="1:44" ht="15" hidden="1" customHeight="1" x14ac:dyDescent="0.25">
      <c r="A150" s="1969" t="s">
        <v>598</v>
      </c>
      <c r="B150" s="1969">
        <v>4326979</v>
      </c>
      <c r="C150" s="1969" t="s">
        <v>633</v>
      </c>
      <c r="D150" s="1969"/>
      <c r="E150" s="1969" t="s">
        <v>632</v>
      </c>
      <c r="F150" s="1969" t="s">
        <v>599</v>
      </c>
      <c r="G150" s="1969" t="s">
        <v>628</v>
      </c>
      <c r="H150" s="1969" t="str">
        <f>VLOOKUP(Diario_Documentos_TPL[[#This Row],[Centro Gestor]],Catalogo_Centro_Gestor[],2,FALSE)</f>
        <v>Gas. Corredor Chihuahua</v>
      </c>
      <c r="I150" s="1969" t="s">
        <v>630</v>
      </c>
      <c r="J150" s="1972" t="str">
        <f>IF(YEAR(Diario_Documentos_TPL[[#This Row],[Fecha de Pago]])=1900, "SIN PAGO",YEAR(Diario_Documentos_TPL[[#This Row],[Fecha de Pago]]))</f>
        <v>SIN PAGO</v>
      </c>
      <c r="K150" s="1971">
        <v>2018</v>
      </c>
      <c r="L150" s="1972">
        <f>IF(MONTH(Diario_Documentos_TPL[[#This Row],[Fecha de Pago]])=0, "SIN PAGO",MONTH(Diario_Documentos_TPL[[#This Row],[Fecha de Pago]]))</f>
        <v>1</v>
      </c>
      <c r="M150" s="1971">
        <v>10</v>
      </c>
      <c r="N150" s="1971" t="str">
        <f>VLOOKUP(Diario_Documentos_TPL[[#This Row],[Periodo del Servicio]],'Tablas (2)'!$L$3:$M$14,2,FALSE)</f>
        <v>OCTUBRE</v>
      </c>
      <c r="O150" s="1969" t="s">
        <v>633</v>
      </c>
      <c r="P150" s="1971" t="s">
        <v>340</v>
      </c>
      <c r="Q150" s="1971" t="s">
        <v>165</v>
      </c>
      <c r="R150" s="1969">
        <v>2233</v>
      </c>
      <c r="S150" s="1969">
        <v>453882</v>
      </c>
      <c r="T150" s="1969" t="s">
        <v>629</v>
      </c>
      <c r="U150" s="1969" t="s">
        <v>221</v>
      </c>
      <c r="V150" s="1969"/>
      <c r="W150" s="1970"/>
      <c r="X150" s="1966">
        <f>Diario_Documentos_TPL[[#This Row],[Total Pasivo
(USD)]]/1.16</f>
        <v>0</v>
      </c>
      <c r="Y150" s="1966">
        <f>Diario_Documentos_TPL[[#This Row],[Importe Pasivo
(USD)]]*0.16</f>
        <v>0</v>
      </c>
      <c r="Z150" s="1966">
        <v>0</v>
      </c>
      <c r="AA150" s="1966"/>
      <c r="AB150" s="1966">
        <f>Diario_Documentos_TPL[[#This Row],[Importe Pasivo
(MX)]]*0.16</f>
        <v>0</v>
      </c>
      <c r="AC150" s="1966">
        <f>Diario_Documentos_TPL[[#This Row],[Importe Pasivo
(MX)]]+Diario_Documentos_TPL[[#This Row],[IVA Pasivo
(MX)]]</f>
        <v>0</v>
      </c>
      <c r="AD150" s="1965">
        <f>IFERROR(Diario_Documentos_TPL[[#This Row],[Total Pasivo
(MX)]]/Diario_Documentos_TPL[[#This Row],[Total Pasivo
(USD)]],0)</f>
        <v>0</v>
      </c>
      <c r="AE150" s="1969">
        <f>Diario_Documentos_TPL[[#This Row],[Numero Documento]]</f>
        <v>0</v>
      </c>
      <c r="AF150" s="1968">
        <f>Diario_Documentos_TPL[[#This Row],[Fecha
Pasivo]]</f>
        <v>0</v>
      </c>
      <c r="AG150" s="1967">
        <f>Diario_Documentos_TPL[[#This Row],[Total de Pago
(USD)]]/1.16</f>
        <v>0</v>
      </c>
      <c r="AH150" s="1966">
        <f>Diario_Documentos_TPL[[#This Row],[Importe de Pago
(USD)]]*0.16</f>
        <v>0</v>
      </c>
      <c r="AI150" s="1966">
        <f>Diario_Documentos_TPL[[#This Row],[Total Pasivo
(USD)]]</f>
        <v>0</v>
      </c>
      <c r="AJ150" s="1966">
        <f>ROUND(Diario_Documentos_TPL[[#This Row],[Total de Pago
(MX)]]/1.16,2)</f>
        <v>0</v>
      </c>
      <c r="AK150" s="1966">
        <f>Diario_Documentos_TPL[[#This Row],[Importe de Pago
(MX)]]*0.16</f>
        <v>0</v>
      </c>
      <c r="AL150" s="1966">
        <f>Diario_Documentos_TPL[[#This Row],[Total Pasivo
(MX)]]</f>
        <v>0</v>
      </c>
      <c r="AM150" s="2018"/>
      <c r="AN150" s="1975"/>
      <c r="AO150" s="1975"/>
      <c r="AP150" s="1975">
        <f>Diario_Documentos_TPL[[#This Row],[Importe de Pago
(MX)]]-Diario_Documentos_TPL[[#This Row],[Importe Pasivo
(MX)]]</f>
        <v>0</v>
      </c>
      <c r="AQ150" s="1975">
        <f>Diario_Documentos_TPL[[#This Row],[Total_Paridad]]-Diario_Documentos_TPL[[#This Row],[Subtotal_Paridad]]</f>
        <v>0</v>
      </c>
      <c r="AR150" s="1964">
        <f>Diario_Documentos_TPL[[#This Row],[Total de Pago
(MX)]]-Diario_Documentos_TPL[[#This Row],[Total Pasivo
(MX)]]</f>
        <v>0</v>
      </c>
    </row>
    <row r="151" spans="1:44" ht="15" hidden="1" customHeight="1" x14ac:dyDescent="0.25">
      <c r="A151" s="1969" t="s">
        <v>598</v>
      </c>
      <c r="B151" s="1969">
        <v>4326979</v>
      </c>
      <c r="C151" s="1969" t="s">
        <v>633</v>
      </c>
      <c r="D151" s="1969"/>
      <c r="E151" s="1969" t="s">
        <v>632</v>
      </c>
      <c r="F151" s="1969" t="s">
        <v>599</v>
      </c>
      <c r="G151" s="1969" t="s">
        <v>628</v>
      </c>
      <c r="H151" s="1969" t="str">
        <f>VLOOKUP(Diario_Documentos_TPL[[#This Row],[Centro Gestor]],Catalogo_Centro_Gestor[],2,FALSE)</f>
        <v>Gas. Corredor Chihuahua</v>
      </c>
      <c r="I151" s="1969" t="s">
        <v>630</v>
      </c>
      <c r="J151" s="1972" t="str">
        <f>IF(YEAR(Diario_Documentos_TPL[[#This Row],[Fecha de Pago]])=1900, "SIN PAGO",YEAR(Diario_Documentos_TPL[[#This Row],[Fecha de Pago]]))</f>
        <v>SIN PAGO</v>
      </c>
      <c r="K151" s="1971">
        <v>2018</v>
      </c>
      <c r="L151" s="1972">
        <f>IF(MONTH(Diario_Documentos_TPL[[#This Row],[Fecha de Pago]])=0, "SIN PAGO",MONTH(Diario_Documentos_TPL[[#This Row],[Fecha de Pago]]))</f>
        <v>1</v>
      </c>
      <c r="M151" s="1971">
        <v>10</v>
      </c>
      <c r="N151" s="1971" t="str">
        <f>VLOOKUP(Diario_Documentos_TPL[[#This Row],[Periodo del Servicio]],'Tablas (2)'!$L$3:$M$14,2,FALSE)</f>
        <v>OCTUBRE</v>
      </c>
      <c r="O151" s="1969" t="s">
        <v>633</v>
      </c>
      <c r="P151" s="1971" t="s">
        <v>340</v>
      </c>
      <c r="Q151" s="1971" t="s">
        <v>165</v>
      </c>
      <c r="R151" s="1969">
        <v>2233</v>
      </c>
      <c r="S151" s="1969">
        <v>453851</v>
      </c>
      <c r="T151" s="1969" t="s">
        <v>629</v>
      </c>
      <c r="U151" s="1969" t="s">
        <v>221</v>
      </c>
      <c r="V151" s="1969"/>
      <c r="W151" s="1970"/>
      <c r="X151" s="1966">
        <f>Diario_Documentos_TPL[[#This Row],[Total Pasivo
(USD)]]/1.16</f>
        <v>0</v>
      </c>
      <c r="Y151" s="1966">
        <f>Diario_Documentos_TPL[[#This Row],[Importe Pasivo
(USD)]]*0.16</f>
        <v>0</v>
      </c>
      <c r="Z151" s="1966">
        <v>0</v>
      </c>
      <c r="AA151" s="1966"/>
      <c r="AB151" s="1966">
        <f>Diario_Documentos_TPL[[#This Row],[Importe Pasivo
(MX)]]*0.16</f>
        <v>0</v>
      </c>
      <c r="AC151" s="1966">
        <f>Diario_Documentos_TPL[[#This Row],[Importe Pasivo
(MX)]]+Diario_Documentos_TPL[[#This Row],[IVA Pasivo
(MX)]]</f>
        <v>0</v>
      </c>
      <c r="AD151" s="1965">
        <f>IFERROR(Diario_Documentos_TPL[[#This Row],[Total Pasivo
(MX)]]/Diario_Documentos_TPL[[#This Row],[Total Pasivo
(USD)]],0)</f>
        <v>0</v>
      </c>
      <c r="AE151" s="1969">
        <f>Diario_Documentos_TPL[[#This Row],[Numero Documento]]</f>
        <v>0</v>
      </c>
      <c r="AF151" s="1968">
        <f>Diario_Documentos_TPL[[#This Row],[Fecha
Pasivo]]</f>
        <v>0</v>
      </c>
      <c r="AG151" s="1967">
        <f>Diario_Documentos_TPL[[#This Row],[Total de Pago
(USD)]]/1.16</f>
        <v>0</v>
      </c>
      <c r="AH151" s="1966">
        <f>Diario_Documentos_TPL[[#This Row],[Importe de Pago
(USD)]]*0.16</f>
        <v>0</v>
      </c>
      <c r="AI151" s="1966">
        <f>Diario_Documentos_TPL[[#This Row],[Total Pasivo
(USD)]]</f>
        <v>0</v>
      </c>
      <c r="AJ151" s="1966">
        <f>ROUND(Diario_Documentos_TPL[[#This Row],[Total de Pago
(MX)]]/1.16,2)</f>
        <v>0</v>
      </c>
      <c r="AK151" s="1966">
        <f>Diario_Documentos_TPL[[#This Row],[Importe de Pago
(MX)]]*0.16</f>
        <v>0</v>
      </c>
      <c r="AL151" s="1966">
        <f>Diario_Documentos_TPL[[#This Row],[Total Pasivo
(MX)]]</f>
        <v>0</v>
      </c>
      <c r="AM151" s="2018"/>
      <c r="AN151" s="1975"/>
      <c r="AO151" s="1975"/>
      <c r="AP151" s="1975">
        <f>Diario_Documentos_TPL[[#This Row],[Importe de Pago
(MX)]]-Diario_Documentos_TPL[[#This Row],[Importe Pasivo
(MX)]]</f>
        <v>0</v>
      </c>
      <c r="AQ151" s="1975">
        <f>Diario_Documentos_TPL[[#This Row],[Total_Paridad]]-Diario_Documentos_TPL[[#This Row],[Subtotal_Paridad]]</f>
        <v>0</v>
      </c>
      <c r="AR151" s="1964">
        <f>Diario_Documentos_TPL[[#This Row],[Total de Pago
(MX)]]-Diario_Documentos_TPL[[#This Row],[Total Pasivo
(MX)]]</f>
        <v>0</v>
      </c>
    </row>
    <row r="152" spans="1:44" ht="15" hidden="1" customHeight="1" x14ac:dyDescent="0.25">
      <c r="A152" s="1969" t="s">
        <v>598</v>
      </c>
      <c r="B152" s="1969">
        <v>4326979</v>
      </c>
      <c r="C152" s="1969" t="s">
        <v>633</v>
      </c>
      <c r="D152" s="1969"/>
      <c r="E152" s="1969" t="s">
        <v>632</v>
      </c>
      <c r="F152" s="1969" t="s">
        <v>599</v>
      </c>
      <c r="G152" s="1969" t="s">
        <v>628</v>
      </c>
      <c r="H152" s="1969" t="str">
        <f>VLOOKUP(Diario_Documentos_TPL[[#This Row],[Centro Gestor]],Catalogo_Centro_Gestor[],2,FALSE)</f>
        <v>Gas. Corredor Chihuahua</v>
      </c>
      <c r="I152" s="1969" t="s">
        <v>630</v>
      </c>
      <c r="J152" s="1973">
        <f>IF(YEAR(Diario_Documentos_TPL[[#This Row],[Fecha de Pago]])=1900, "SIN PAGO",YEAR(Diario_Documentos_TPL[[#This Row],[Fecha de Pago]]))</f>
        <v>2019</v>
      </c>
      <c r="K152" s="1971">
        <v>2019</v>
      </c>
      <c r="L152" s="1973">
        <f>IF(MONTH(Diario_Documentos_TPL[[#This Row],[Fecha de Pago]])=0, "SIN PAGO",MONTH(Diario_Documentos_TPL[[#This Row],[Fecha de Pago]]))</f>
        <v>3</v>
      </c>
      <c r="M152" s="1971">
        <v>1</v>
      </c>
      <c r="N152" s="1971" t="str">
        <f>VLOOKUP(Diario_Documentos_TPL[[#This Row],[Periodo del Servicio]],'Tablas (2)'!$L$3:$M$14,2,FALSE)</f>
        <v>ENERO</v>
      </c>
      <c r="O152" s="1969" t="s">
        <v>633</v>
      </c>
      <c r="P152" s="1971" t="s">
        <v>340</v>
      </c>
      <c r="Q152" s="1971" t="s">
        <v>165</v>
      </c>
      <c r="R152" s="1969">
        <v>2280</v>
      </c>
      <c r="S152" s="1969">
        <v>453851</v>
      </c>
      <c r="T152" s="1969" t="s">
        <v>629</v>
      </c>
      <c r="U152" s="1969" t="s">
        <v>221</v>
      </c>
      <c r="V152" s="1969">
        <v>210000969</v>
      </c>
      <c r="W152" s="1970">
        <v>43553</v>
      </c>
      <c r="X152" s="1966">
        <f>Diario_Documentos_TPL[[#This Row],[Total Pasivo
(USD)]]/1.16</f>
        <v>0</v>
      </c>
      <c r="Y152" s="1966">
        <f>Diario_Documentos_TPL[[#This Row],[Importe Pasivo
(USD)]]*0.16</f>
        <v>0</v>
      </c>
      <c r="Z152" s="1966">
        <v>0</v>
      </c>
      <c r="AA152" s="1966">
        <v>-34564660.859999999</v>
      </c>
      <c r="AB152" s="1966">
        <f>Diario_Documentos_TPL[[#This Row],[Importe Pasivo
(MX)]]*0.16</f>
        <v>-5530345.7375999996</v>
      </c>
      <c r="AC152" s="1966">
        <f>Diario_Documentos_TPL[[#This Row],[Importe Pasivo
(MX)]]+Diario_Documentos_TPL[[#This Row],[IVA Pasivo
(MX)]]</f>
        <v>-40095006.597599998</v>
      </c>
      <c r="AD152" s="1965">
        <f>IFERROR(Diario_Documentos_TPL[[#This Row],[Total Pasivo
(MX)]]/Diario_Documentos_TPL[[#This Row],[Total Pasivo
(USD)]],0)</f>
        <v>0</v>
      </c>
      <c r="AE152" s="1969">
        <f>Diario_Documentos_TPL[[#This Row],[Numero Documento]]</f>
        <v>210000969</v>
      </c>
      <c r="AF152" s="1968">
        <f>Diario_Documentos_TPL[[#This Row],[Fecha
Pasivo]]</f>
        <v>43553</v>
      </c>
      <c r="AG152" s="1967">
        <f>Diario_Documentos_TPL[[#This Row],[Total de Pago
(USD)]]/1.16</f>
        <v>0</v>
      </c>
      <c r="AH152" s="1966">
        <f>Diario_Documentos_TPL[[#This Row],[Importe de Pago
(USD)]]*0.16</f>
        <v>0</v>
      </c>
      <c r="AI152" s="1966">
        <f>Diario_Documentos_TPL[[#This Row],[Total Pasivo
(USD)]]</f>
        <v>0</v>
      </c>
      <c r="AJ152" s="1966">
        <f>ROUND(Diario_Documentos_TPL[[#This Row],[Total de Pago
(MX)]]/1.16,2)</f>
        <v>-34564660.859999999</v>
      </c>
      <c r="AK152" s="1966">
        <f>Diario_Documentos_TPL[[#This Row],[Importe de Pago
(MX)]]*0.16</f>
        <v>-5530345.7375999996</v>
      </c>
      <c r="AL152" s="1966">
        <f>Diario_Documentos_TPL[[#This Row],[Total Pasivo
(MX)]]</f>
        <v>-40095006.597599998</v>
      </c>
      <c r="AM152" s="2018"/>
      <c r="AN152" s="1975"/>
      <c r="AO152" s="1975"/>
      <c r="AP152" s="1975">
        <f>Diario_Documentos_TPL[[#This Row],[Importe de Pago
(MX)]]-Diario_Documentos_TPL[[#This Row],[Importe Pasivo
(MX)]]</f>
        <v>0</v>
      </c>
      <c r="AQ152" s="1975">
        <f>Diario_Documentos_TPL[[#This Row],[Total_Paridad]]-Diario_Documentos_TPL[[#This Row],[Subtotal_Paridad]]</f>
        <v>0</v>
      </c>
      <c r="AR152" s="1964">
        <f>Diario_Documentos_TPL[[#This Row],[Total de Pago
(MX)]]-Diario_Documentos_TPL[[#This Row],[Total Pasivo
(MX)]]</f>
        <v>0</v>
      </c>
    </row>
    <row r="153" spans="1:44" ht="15" hidden="1" customHeight="1" x14ac:dyDescent="0.25">
      <c r="A153" s="1969" t="s">
        <v>598</v>
      </c>
      <c r="B153" s="1969">
        <v>4326979</v>
      </c>
      <c r="C153" s="1969" t="s">
        <v>633</v>
      </c>
      <c r="D153" s="1969"/>
      <c r="E153" s="1969" t="s">
        <v>632</v>
      </c>
      <c r="F153" s="1969" t="s">
        <v>599</v>
      </c>
      <c r="G153" s="1969" t="s">
        <v>628</v>
      </c>
      <c r="H153" s="1969" t="str">
        <f>VLOOKUP(Diario_Documentos_TPL[[#This Row],[Centro Gestor]],Catalogo_Centro_Gestor[],2,FALSE)</f>
        <v>Gas. Corredor Chihuahua</v>
      </c>
      <c r="I153" s="1969" t="s">
        <v>630</v>
      </c>
      <c r="J153" s="1973">
        <f>IF(YEAR(Diario_Documentos_TPL[[#This Row],[Fecha de Pago]])=1900, "SIN PAGO",YEAR(Diario_Documentos_TPL[[#This Row],[Fecha de Pago]]))</f>
        <v>2019</v>
      </c>
      <c r="K153" s="1971">
        <v>2019</v>
      </c>
      <c r="L153" s="1973">
        <f>IF(MONTH(Diario_Documentos_TPL[[#This Row],[Fecha de Pago]])=0, "SIN PAGO",MONTH(Diario_Documentos_TPL[[#This Row],[Fecha de Pago]]))</f>
        <v>3</v>
      </c>
      <c r="M153" s="1971">
        <v>1</v>
      </c>
      <c r="N153" s="1971" t="str">
        <f>VLOOKUP(Diario_Documentos_TPL[[#This Row],[Periodo del Servicio]],'Tablas (2)'!$L$3:$M$14,2,FALSE)</f>
        <v>ENERO</v>
      </c>
      <c r="O153" s="1969" t="s">
        <v>633</v>
      </c>
      <c r="P153" s="1971" t="s">
        <v>340</v>
      </c>
      <c r="Q153" s="1971" t="s">
        <v>165</v>
      </c>
      <c r="R153" s="1969">
        <v>2280</v>
      </c>
      <c r="S153" s="1969">
        <v>453858</v>
      </c>
      <c r="T153" s="1969" t="s">
        <v>629</v>
      </c>
      <c r="U153" s="1969" t="s">
        <v>221</v>
      </c>
      <c r="V153" s="1969">
        <v>210000969</v>
      </c>
      <c r="W153" s="1970">
        <v>43553</v>
      </c>
      <c r="X153" s="1966">
        <f>Diario_Documentos_TPL[[#This Row],[Total Pasivo
(USD)]]/1.16</f>
        <v>0</v>
      </c>
      <c r="Y153" s="1966">
        <f>Diario_Documentos_TPL[[#This Row],[Importe Pasivo
(USD)]]*0.16</f>
        <v>0</v>
      </c>
      <c r="Z153" s="1966">
        <v>0</v>
      </c>
      <c r="AA153" s="1966">
        <v>13087148.300000001</v>
      </c>
      <c r="AB153" s="1966">
        <f>Diario_Documentos_TPL[[#This Row],[Importe Pasivo
(MX)]]*0.16</f>
        <v>2093943.7280000001</v>
      </c>
      <c r="AC153" s="1966">
        <f>Diario_Documentos_TPL[[#This Row],[Importe Pasivo
(MX)]]+Diario_Documentos_TPL[[#This Row],[IVA Pasivo
(MX)]]</f>
        <v>15181092.028000001</v>
      </c>
      <c r="AD153" s="1965">
        <f>IFERROR(Diario_Documentos_TPL[[#This Row],[Total Pasivo
(MX)]]/Diario_Documentos_TPL[[#This Row],[Total Pasivo
(USD)]],0)</f>
        <v>0</v>
      </c>
      <c r="AE153" s="1969">
        <f>Diario_Documentos_TPL[[#This Row],[Numero Documento]]</f>
        <v>210000969</v>
      </c>
      <c r="AF153" s="1968">
        <f>Diario_Documentos_TPL[[#This Row],[Fecha
Pasivo]]</f>
        <v>43553</v>
      </c>
      <c r="AG153" s="1967">
        <f>Diario_Documentos_TPL[[#This Row],[Total de Pago
(USD)]]/1.16</f>
        <v>0</v>
      </c>
      <c r="AH153" s="1966">
        <f>Diario_Documentos_TPL[[#This Row],[Importe de Pago
(USD)]]*0.16</f>
        <v>0</v>
      </c>
      <c r="AI153" s="1966">
        <f>Diario_Documentos_TPL[[#This Row],[Total Pasivo
(USD)]]</f>
        <v>0</v>
      </c>
      <c r="AJ153" s="1966">
        <f>ROUND(Diario_Documentos_TPL[[#This Row],[Total de Pago
(MX)]]/1.16,2)</f>
        <v>13087148.300000001</v>
      </c>
      <c r="AK153" s="1966">
        <f>Diario_Documentos_TPL[[#This Row],[Importe de Pago
(MX)]]*0.16</f>
        <v>2093943.7280000001</v>
      </c>
      <c r="AL153" s="1966">
        <f>Diario_Documentos_TPL[[#This Row],[Total Pasivo
(MX)]]</f>
        <v>15181092.028000001</v>
      </c>
      <c r="AM153" s="2018"/>
      <c r="AN153" s="1975"/>
      <c r="AO153" s="1975"/>
      <c r="AP153" s="1975">
        <f>Diario_Documentos_TPL[[#This Row],[Importe de Pago
(MX)]]-Diario_Documentos_TPL[[#This Row],[Importe Pasivo
(MX)]]</f>
        <v>0</v>
      </c>
      <c r="AQ153" s="1975">
        <f>Diario_Documentos_TPL[[#This Row],[Total_Paridad]]-Diario_Documentos_TPL[[#This Row],[Subtotal_Paridad]]</f>
        <v>0</v>
      </c>
      <c r="AR153" s="1964">
        <f>Diario_Documentos_TPL[[#This Row],[Total de Pago
(MX)]]-Diario_Documentos_TPL[[#This Row],[Total Pasivo
(MX)]]</f>
        <v>0</v>
      </c>
    </row>
    <row r="154" spans="1:44" ht="15" hidden="1" customHeight="1" x14ac:dyDescent="0.25">
      <c r="A154" s="1969" t="s">
        <v>598</v>
      </c>
      <c r="B154" s="1969">
        <v>4326979</v>
      </c>
      <c r="C154" s="1969" t="s">
        <v>633</v>
      </c>
      <c r="D154" s="1969"/>
      <c r="E154" s="1969" t="s">
        <v>632</v>
      </c>
      <c r="F154" s="1969" t="s">
        <v>599</v>
      </c>
      <c r="G154" s="1969" t="s">
        <v>628</v>
      </c>
      <c r="H154" s="1969" t="str">
        <f>VLOOKUP(Diario_Documentos_TPL[[#This Row],[Centro Gestor]],Catalogo_Centro_Gestor[],2,FALSE)</f>
        <v>CC NORTE II</v>
      </c>
      <c r="I154" s="1969" t="s">
        <v>630</v>
      </c>
      <c r="J154" s="1973">
        <f>IF(YEAR(Diario_Documentos_TPL[[#This Row],[Fecha de Pago]])=1900, "SIN PAGO",YEAR(Diario_Documentos_TPL[[#This Row],[Fecha de Pago]]))</f>
        <v>2019</v>
      </c>
      <c r="K154" s="1971">
        <v>2019</v>
      </c>
      <c r="L154" s="1973">
        <f>IF(MONTH(Diario_Documentos_TPL[[#This Row],[Fecha de Pago]])=0, "SIN PAGO",MONTH(Diario_Documentos_TPL[[#This Row],[Fecha de Pago]]))</f>
        <v>3</v>
      </c>
      <c r="M154" s="1971">
        <v>1</v>
      </c>
      <c r="N154" s="1971" t="str">
        <f>VLOOKUP(Diario_Documentos_TPL[[#This Row],[Periodo del Servicio]],'Tablas (2)'!$L$3:$M$14,2,FALSE)</f>
        <v>ENERO</v>
      </c>
      <c r="O154" s="1969" t="s">
        <v>633</v>
      </c>
      <c r="P154" s="1971" t="s">
        <v>340</v>
      </c>
      <c r="Q154" s="1971" t="s">
        <v>165</v>
      </c>
      <c r="R154" s="2064" t="s">
        <v>344</v>
      </c>
      <c r="S154" s="1969">
        <v>453858</v>
      </c>
      <c r="T154" s="1969" t="s">
        <v>629</v>
      </c>
      <c r="U154" s="2064" t="s">
        <v>238</v>
      </c>
      <c r="V154" s="1969">
        <v>210000969</v>
      </c>
      <c r="W154" s="1970">
        <v>43553</v>
      </c>
      <c r="X154" s="1966">
        <f>Diario_Documentos_TPL[[#This Row],[Total Pasivo
(USD)]]/1.16</f>
        <v>0</v>
      </c>
      <c r="Y154" s="1966">
        <f>Diario_Documentos_TPL[[#This Row],[Importe Pasivo
(USD)]]*0.16</f>
        <v>0</v>
      </c>
      <c r="Z154" s="1966">
        <v>0</v>
      </c>
      <c r="AA154" s="1966">
        <v>10360659.08</v>
      </c>
      <c r="AB154" s="1966">
        <f>Diario_Documentos_TPL[[#This Row],[Importe Pasivo
(MX)]]*0.16</f>
        <v>1657705.4528000001</v>
      </c>
      <c r="AC154" s="1966">
        <f>Diario_Documentos_TPL[[#This Row],[Importe Pasivo
(MX)]]+Diario_Documentos_TPL[[#This Row],[IVA Pasivo
(MX)]]</f>
        <v>12018364.5328</v>
      </c>
      <c r="AD154" s="1965">
        <f>IFERROR(Diario_Documentos_TPL[[#This Row],[Total Pasivo
(MX)]]/Diario_Documentos_TPL[[#This Row],[Total Pasivo
(USD)]],0)</f>
        <v>0</v>
      </c>
      <c r="AE154" s="1969">
        <f>Diario_Documentos_TPL[[#This Row],[Numero Documento]]</f>
        <v>210000969</v>
      </c>
      <c r="AF154" s="1968">
        <f>Diario_Documentos_TPL[[#This Row],[Fecha
Pasivo]]</f>
        <v>43553</v>
      </c>
      <c r="AG154" s="1967">
        <f>Diario_Documentos_TPL[[#This Row],[Total de Pago
(USD)]]/1.16</f>
        <v>0</v>
      </c>
      <c r="AH154" s="1966">
        <f>Diario_Documentos_TPL[[#This Row],[Importe de Pago
(USD)]]*0.16</f>
        <v>0</v>
      </c>
      <c r="AI154" s="1966">
        <f>Diario_Documentos_TPL[[#This Row],[Total Pasivo
(USD)]]</f>
        <v>0</v>
      </c>
      <c r="AJ154" s="1966">
        <f>ROUND(Diario_Documentos_TPL[[#This Row],[Total de Pago
(MX)]]/1.16,2)</f>
        <v>10360659.08</v>
      </c>
      <c r="AK154" s="1966">
        <f>Diario_Documentos_TPL[[#This Row],[Importe de Pago
(MX)]]*0.16</f>
        <v>1657705.4528000001</v>
      </c>
      <c r="AL154" s="1966">
        <f>Diario_Documentos_TPL[[#This Row],[Total Pasivo
(MX)]]</f>
        <v>12018364.5328</v>
      </c>
      <c r="AM154" s="2018"/>
      <c r="AN154" s="1975"/>
      <c r="AO154" s="1975"/>
      <c r="AP154" s="1975">
        <f>Diario_Documentos_TPL[[#This Row],[Importe de Pago
(MX)]]-Diario_Documentos_TPL[[#This Row],[Importe Pasivo
(MX)]]</f>
        <v>0</v>
      </c>
      <c r="AQ154" s="1975">
        <f>Diario_Documentos_TPL[[#This Row],[Total_Paridad]]-Diario_Documentos_TPL[[#This Row],[Subtotal_Paridad]]</f>
        <v>0</v>
      </c>
      <c r="AR154" s="1964">
        <f>Diario_Documentos_TPL[[#This Row],[Total de Pago
(MX)]]-Diario_Documentos_TPL[[#This Row],[Total Pasivo
(MX)]]</f>
        <v>0</v>
      </c>
    </row>
    <row r="155" spans="1:44" ht="15" hidden="1" customHeight="1" x14ac:dyDescent="0.25">
      <c r="A155" s="1969" t="s">
        <v>598</v>
      </c>
      <c r="B155" s="1969">
        <v>4326979</v>
      </c>
      <c r="C155" s="1969" t="s">
        <v>633</v>
      </c>
      <c r="D155" s="1969"/>
      <c r="E155" s="1969" t="s">
        <v>632</v>
      </c>
      <c r="F155" s="1969" t="s">
        <v>599</v>
      </c>
      <c r="G155" s="1969" t="s">
        <v>628</v>
      </c>
      <c r="H155" s="1969" t="str">
        <f>VLOOKUP(Diario_Documentos_TPL[[#This Row],[Centro Gestor]],Catalogo_Centro_Gestor[],2,FALSE)</f>
        <v>Gas. Corredor Chihuahua</v>
      </c>
      <c r="I155" s="1969" t="s">
        <v>630</v>
      </c>
      <c r="J155" s="1973">
        <f>IF(YEAR(Diario_Documentos_TPL[[#This Row],[Fecha de Pago]])=1900, "SIN PAGO",YEAR(Diario_Documentos_TPL[[#This Row],[Fecha de Pago]]))</f>
        <v>2019</v>
      </c>
      <c r="K155" s="1971">
        <v>2019</v>
      </c>
      <c r="L155" s="1973">
        <f>IF(MONTH(Diario_Documentos_TPL[[#This Row],[Fecha de Pago]])=0, "SIN PAGO",MONTH(Diario_Documentos_TPL[[#This Row],[Fecha de Pago]]))</f>
        <v>3</v>
      </c>
      <c r="M155" s="1971">
        <v>1</v>
      </c>
      <c r="N155" s="1971" t="str">
        <f>VLOOKUP(Diario_Documentos_TPL[[#This Row],[Periodo del Servicio]],'Tablas (2)'!$L$3:$M$14,2,FALSE)</f>
        <v>ENERO</v>
      </c>
      <c r="O155" s="1969" t="s">
        <v>633</v>
      </c>
      <c r="P155" s="1971" t="s">
        <v>340</v>
      </c>
      <c r="Q155" s="1971" t="s">
        <v>165</v>
      </c>
      <c r="R155" s="1969">
        <v>2280</v>
      </c>
      <c r="S155" s="1969">
        <v>453851</v>
      </c>
      <c r="T155" s="1969" t="s">
        <v>629</v>
      </c>
      <c r="U155" s="1969" t="s">
        <v>221</v>
      </c>
      <c r="V155" s="1969">
        <v>210000969</v>
      </c>
      <c r="W155" s="1970">
        <v>43553</v>
      </c>
      <c r="X155" s="1966">
        <f>Diario_Documentos_TPL[[#This Row],[Total Pasivo
(USD)]]/1.16</f>
        <v>0</v>
      </c>
      <c r="Y155" s="1966">
        <f>Diario_Documentos_TPL[[#This Row],[Importe Pasivo
(USD)]]*0.16</f>
        <v>0</v>
      </c>
      <c r="Z155" s="1966">
        <v>0</v>
      </c>
      <c r="AA155" s="1966">
        <v>8717543.0600000005</v>
      </c>
      <c r="AB155" s="1966">
        <f>Diario_Documentos_TPL[[#This Row],[Importe Pasivo
(MX)]]*0.16</f>
        <v>1394806.8896000001</v>
      </c>
      <c r="AC155" s="1966">
        <f>Diario_Documentos_TPL[[#This Row],[Importe Pasivo
(MX)]]+Diario_Documentos_TPL[[#This Row],[IVA Pasivo
(MX)]]</f>
        <v>10112349.9496</v>
      </c>
      <c r="AD155" s="1965">
        <f>IFERROR(Diario_Documentos_TPL[[#This Row],[Total Pasivo
(MX)]]/Diario_Documentos_TPL[[#This Row],[Total Pasivo
(USD)]],0)</f>
        <v>0</v>
      </c>
      <c r="AE155" s="1969">
        <f>Diario_Documentos_TPL[[#This Row],[Numero Documento]]</f>
        <v>210000969</v>
      </c>
      <c r="AF155" s="1968">
        <f>Diario_Documentos_TPL[[#This Row],[Fecha
Pasivo]]</f>
        <v>43553</v>
      </c>
      <c r="AG155" s="1967">
        <f>Diario_Documentos_TPL[[#This Row],[Total de Pago
(USD)]]/1.16</f>
        <v>0</v>
      </c>
      <c r="AH155" s="1966">
        <f>Diario_Documentos_TPL[[#This Row],[Importe de Pago
(USD)]]*0.16</f>
        <v>0</v>
      </c>
      <c r="AI155" s="1966">
        <f>Diario_Documentos_TPL[[#This Row],[Total Pasivo
(USD)]]</f>
        <v>0</v>
      </c>
      <c r="AJ155" s="1966">
        <f>ROUND(Diario_Documentos_TPL[[#This Row],[Total de Pago
(MX)]]/1.16,2)</f>
        <v>8717543.0600000005</v>
      </c>
      <c r="AK155" s="1966">
        <f>Diario_Documentos_TPL[[#This Row],[Importe de Pago
(MX)]]*0.16</f>
        <v>1394806.8896000001</v>
      </c>
      <c r="AL155" s="1966">
        <f>Diario_Documentos_TPL[[#This Row],[Total Pasivo
(MX)]]</f>
        <v>10112349.9496</v>
      </c>
      <c r="AM155" s="2018"/>
      <c r="AN155" s="1975"/>
      <c r="AO155" s="1975"/>
      <c r="AP155" s="1975">
        <f>Diario_Documentos_TPL[[#This Row],[Importe de Pago
(MX)]]-Diario_Documentos_TPL[[#This Row],[Importe Pasivo
(MX)]]</f>
        <v>0</v>
      </c>
      <c r="AQ155" s="1975">
        <f>Diario_Documentos_TPL[[#This Row],[Total_Paridad]]-Diario_Documentos_TPL[[#This Row],[Subtotal_Paridad]]</f>
        <v>0</v>
      </c>
      <c r="AR155" s="1964">
        <f>Diario_Documentos_TPL[[#This Row],[Total de Pago
(MX)]]-Diario_Documentos_TPL[[#This Row],[Total Pasivo
(MX)]]</f>
        <v>0</v>
      </c>
    </row>
    <row r="156" spans="1:44" ht="15" hidden="1" customHeight="1" x14ac:dyDescent="0.25">
      <c r="A156" s="1969" t="s">
        <v>598</v>
      </c>
      <c r="B156" s="1969">
        <v>4326979</v>
      </c>
      <c r="C156" s="1969" t="s">
        <v>633</v>
      </c>
      <c r="D156" s="1969"/>
      <c r="E156" s="1969" t="s">
        <v>632</v>
      </c>
      <c r="F156" s="1969" t="s">
        <v>599</v>
      </c>
      <c r="G156" s="1969" t="s">
        <v>628</v>
      </c>
      <c r="H156" s="1969" t="str">
        <f>VLOOKUP(Diario_Documentos_TPL[[#This Row],[Centro Gestor]],Catalogo_Centro_Gestor[],2,FALSE)</f>
        <v>Gas. Corredor Chihuahua</v>
      </c>
      <c r="I156" s="1969" t="s">
        <v>630</v>
      </c>
      <c r="J156" s="1973">
        <f>IF(YEAR(Diario_Documentos_TPL[[#This Row],[Fecha de Pago]])=1900, "SIN PAGO",YEAR(Diario_Documentos_TPL[[#This Row],[Fecha de Pago]]))</f>
        <v>2019</v>
      </c>
      <c r="K156" s="1971">
        <v>2019</v>
      </c>
      <c r="L156" s="1973">
        <f>IF(MONTH(Diario_Documentos_TPL[[#This Row],[Fecha de Pago]])=0, "SIN PAGO",MONTH(Diario_Documentos_TPL[[#This Row],[Fecha de Pago]]))</f>
        <v>3</v>
      </c>
      <c r="M156" s="1971">
        <v>1</v>
      </c>
      <c r="N156" s="1971" t="str">
        <f>VLOOKUP(Diario_Documentos_TPL[[#This Row],[Periodo del Servicio]],'Tablas (2)'!$L$3:$M$14,2,FALSE)</f>
        <v>ENERO</v>
      </c>
      <c r="O156" s="1969" t="s">
        <v>633</v>
      </c>
      <c r="P156" s="1971" t="s">
        <v>340</v>
      </c>
      <c r="Q156" s="1971" t="s">
        <v>165</v>
      </c>
      <c r="R156" s="1969">
        <v>2280</v>
      </c>
      <c r="S156" s="1969">
        <v>453858</v>
      </c>
      <c r="T156" s="1969" t="s">
        <v>629</v>
      </c>
      <c r="U156" s="1969" t="s">
        <v>221</v>
      </c>
      <c r="V156" s="1969">
        <v>210000969</v>
      </c>
      <c r="W156" s="1970">
        <v>43553</v>
      </c>
      <c r="X156" s="1966">
        <f>Diario_Documentos_TPL[[#This Row],[Total Pasivo
(USD)]]/1.16</f>
        <v>0</v>
      </c>
      <c r="Y156" s="1966">
        <f>Diario_Documentos_TPL[[#This Row],[Importe Pasivo
(USD)]]*0.16</f>
        <v>0</v>
      </c>
      <c r="Z156" s="1966">
        <v>0</v>
      </c>
      <c r="AA156" s="1966">
        <v>2399310.42</v>
      </c>
      <c r="AB156" s="1966">
        <f>Diario_Documentos_TPL[[#This Row],[Importe Pasivo
(MX)]]*0.16</f>
        <v>383889.66719999997</v>
      </c>
      <c r="AC156" s="1966">
        <f>Diario_Documentos_TPL[[#This Row],[Importe Pasivo
(MX)]]+Diario_Documentos_TPL[[#This Row],[IVA Pasivo
(MX)]]</f>
        <v>2783200.0872</v>
      </c>
      <c r="AD156" s="1965">
        <f>IFERROR(Diario_Documentos_TPL[[#This Row],[Total Pasivo
(MX)]]/Diario_Documentos_TPL[[#This Row],[Total Pasivo
(USD)]],0)</f>
        <v>0</v>
      </c>
      <c r="AE156" s="1969">
        <f>Diario_Documentos_TPL[[#This Row],[Numero Documento]]</f>
        <v>210000969</v>
      </c>
      <c r="AF156" s="1968">
        <f>Diario_Documentos_TPL[[#This Row],[Fecha
Pasivo]]</f>
        <v>43553</v>
      </c>
      <c r="AG156" s="1967">
        <f>Diario_Documentos_TPL[[#This Row],[Total de Pago
(USD)]]/1.16</f>
        <v>0</v>
      </c>
      <c r="AH156" s="1966">
        <f>Diario_Documentos_TPL[[#This Row],[Importe de Pago
(USD)]]*0.16</f>
        <v>0</v>
      </c>
      <c r="AI156" s="1966">
        <f>Diario_Documentos_TPL[[#This Row],[Total Pasivo
(USD)]]</f>
        <v>0</v>
      </c>
      <c r="AJ156" s="1966">
        <f>ROUND(Diario_Documentos_TPL[[#This Row],[Total de Pago
(MX)]]/1.16,2)</f>
        <v>2399310.42</v>
      </c>
      <c r="AK156" s="1966">
        <f>Diario_Documentos_TPL[[#This Row],[Importe de Pago
(MX)]]*0.16</f>
        <v>383889.66719999997</v>
      </c>
      <c r="AL156" s="1966">
        <f>Diario_Documentos_TPL[[#This Row],[Total Pasivo
(MX)]]</f>
        <v>2783200.0872</v>
      </c>
      <c r="AM156" s="2018"/>
      <c r="AN156" s="1975"/>
      <c r="AO156" s="1975"/>
      <c r="AP156" s="1975">
        <f>Diario_Documentos_TPL[[#This Row],[Importe de Pago
(MX)]]-Diario_Documentos_TPL[[#This Row],[Importe Pasivo
(MX)]]</f>
        <v>0</v>
      </c>
      <c r="AQ156" s="1975">
        <f>Diario_Documentos_TPL[[#This Row],[Total_Paridad]]-Diario_Documentos_TPL[[#This Row],[Subtotal_Paridad]]</f>
        <v>0</v>
      </c>
      <c r="AR156" s="1964">
        <f>Diario_Documentos_TPL[[#This Row],[Total de Pago
(MX)]]-Diario_Documentos_TPL[[#This Row],[Total Pasivo
(MX)]]</f>
        <v>0</v>
      </c>
    </row>
    <row r="157" spans="1:44" ht="15" hidden="1" customHeight="1" x14ac:dyDescent="0.25">
      <c r="A157" s="1969" t="s">
        <v>598</v>
      </c>
      <c r="B157" s="1969">
        <v>4326979</v>
      </c>
      <c r="C157" s="1969" t="s">
        <v>633</v>
      </c>
      <c r="D157" s="1969"/>
      <c r="E157" s="1969" t="s">
        <v>632</v>
      </c>
      <c r="F157" s="1969" t="s">
        <v>599</v>
      </c>
      <c r="G157" s="1969" t="s">
        <v>628</v>
      </c>
      <c r="H157" s="1969" t="str">
        <f>VLOOKUP(Diario_Documentos_TPL[[#This Row],[Centro Gestor]],Catalogo_Centro_Gestor[],2,FALSE)</f>
        <v>Gas. Corredor Chihuahua</v>
      </c>
      <c r="I157" s="1969" t="s">
        <v>630</v>
      </c>
      <c r="J157" s="1973">
        <f>IF(YEAR(Diario_Documentos_TPL[[#This Row],[Fecha de Pago]])=1900, "SIN PAGO",YEAR(Diario_Documentos_TPL[[#This Row],[Fecha de Pago]]))</f>
        <v>2019</v>
      </c>
      <c r="K157" s="1971">
        <v>2019</v>
      </c>
      <c r="L157" s="1973">
        <f>IF(MONTH(Diario_Documentos_TPL[[#This Row],[Fecha de Pago]])=0, "SIN PAGO",MONTH(Diario_Documentos_TPL[[#This Row],[Fecha de Pago]]))</f>
        <v>3</v>
      </c>
      <c r="M157" s="1971">
        <v>2</v>
      </c>
      <c r="N157" s="1971" t="str">
        <f>VLOOKUP(Diario_Documentos_TPL[[#This Row],[Periodo del Servicio]],'Tablas (2)'!$L$3:$M$14,2,FALSE)</f>
        <v>FEBRERO</v>
      </c>
      <c r="O157" s="1969" t="s">
        <v>633</v>
      </c>
      <c r="P157" s="1971" t="s">
        <v>340</v>
      </c>
      <c r="Q157" s="1971" t="s">
        <v>165</v>
      </c>
      <c r="R157" s="1969">
        <v>2280</v>
      </c>
      <c r="S157" s="1969">
        <v>453851</v>
      </c>
      <c r="T157" s="1969" t="s">
        <v>629</v>
      </c>
      <c r="U157" s="1969" t="s">
        <v>221</v>
      </c>
      <c r="V157" s="1969">
        <v>210000969</v>
      </c>
      <c r="W157" s="1970">
        <v>43553</v>
      </c>
      <c r="X157" s="1966">
        <f>Diario_Documentos_TPL[[#This Row],[Total Pasivo
(USD)]]/1.16</f>
        <v>0</v>
      </c>
      <c r="Y157" s="1966">
        <f>Diario_Documentos_TPL[[#This Row],[Importe Pasivo
(USD)]]*0.16</f>
        <v>0</v>
      </c>
      <c r="Z157" s="1966">
        <v>0</v>
      </c>
      <c r="AA157" s="1966">
        <v>-25400426.57</v>
      </c>
      <c r="AB157" s="1966">
        <f>Diario_Documentos_TPL[[#This Row],[Importe Pasivo
(MX)]]*0.16</f>
        <v>-4064068.2512000003</v>
      </c>
      <c r="AC157" s="1966">
        <f>Diario_Documentos_TPL[[#This Row],[Importe Pasivo
(MX)]]+Diario_Documentos_TPL[[#This Row],[IVA Pasivo
(MX)]]</f>
        <v>-29464494.821200002</v>
      </c>
      <c r="AD157" s="1965">
        <f>IFERROR(Diario_Documentos_TPL[[#This Row],[Total Pasivo
(MX)]]/Diario_Documentos_TPL[[#This Row],[Total Pasivo
(USD)]],0)</f>
        <v>0</v>
      </c>
      <c r="AE157" s="1969">
        <f>Diario_Documentos_TPL[[#This Row],[Numero Documento]]</f>
        <v>210000969</v>
      </c>
      <c r="AF157" s="1968">
        <f>Diario_Documentos_TPL[[#This Row],[Fecha
Pasivo]]</f>
        <v>43553</v>
      </c>
      <c r="AG157" s="1967">
        <f>Diario_Documentos_TPL[[#This Row],[Total de Pago
(USD)]]/1.16</f>
        <v>0</v>
      </c>
      <c r="AH157" s="1966">
        <f>Diario_Documentos_TPL[[#This Row],[Importe de Pago
(USD)]]*0.16</f>
        <v>0</v>
      </c>
      <c r="AI157" s="1966">
        <f>Diario_Documentos_TPL[[#This Row],[Total Pasivo
(USD)]]</f>
        <v>0</v>
      </c>
      <c r="AJ157" s="1966">
        <f>ROUND(Diario_Documentos_TPL[[#This Row],[Total de Pago
(MX)]]/1.16,2)</f>
        <v>-25400426.57</v>
      </c>
      <c r="AK157" s="1966">
        <f>Diario_Documentos_TPL[[#This Row],[Importe de Pago
(MX)]]*0.16</f>
        <v>-4064068.2512000003</v>
      </c>
      <c r="AL157" s="1966">
        <f>Diario_Documentos_TPL[[#This Row],[Total Pasivo
(MX)]]</f>
        <v>-29464494.821200002</v>
      </c>
      <c r="AM157" s="2018"/>
      <c r="AN157" s="1975"/>
      <c r="AO157" s="1975"/>
      <c r="AP157" s="1975">
        <f>Diario_Documentos_TPL[[#This Row],[Importe de Pago
(MX)]]-Diario_Documentos_TPL[[#This Row],[Importe Pasivo
(MX)]]</f>
        <v>0</v>
      </c>
      <c r="AQ157" s="1975">
        <f>Diario_Documentos_TPL[[#This Row],[Total_Paridad]]-Diario_Documentos_TPL[[#This Row],[Subtotal_Paridad]]</f>
        <v>0</v>
      </c>
      <c r="AR157" s="1964">
        <f>Diario_Documentos_TPL[[#This Row],[Total de Pago
(MX)]]-Diario_Documentos_TPL[[#This Row],[Total Pasivo
(MX)]]</f>
        <v>0</v>
      </c>
    </row>
    <row r="158" spans="1:44" ht="15" hidden="1" customHeight="1" x14ac:dyDescent="0.25">
      <c r="A158" s="1969" t="s">
        <v>598</v>
      </c>
      <c r="B158" s="1969">
        <v>4326979</v>
      </c>
      <c r="C158" s="1969" t="s">
        <v>633</v>
      </c>
      <c r="D158" s="1969"/>
      <c r="E158" s="1969" t="s">
        <v>632</v>
      </c>
      <c r="F158" s="1969" t="s">
        <v>599</v>
      </c>
      <c r="G158" s="1969" t="s">
        <v>628</v>
      </c>
      <c r="H158" s="1969" t="str">
        <f>VLOOKUP(Diario_Documentos_TPL[[#This Row],[Centro Gestor]],Catalogo_Centro_Gestor[],2,FALSE)</f>
        <v>Gas. Corredor Chihuahua</v>
      </c>
      <c r="I158" s="1969" t="s">
        <v>630</v>
      </c>
      <c r="J158" s="1973">
        <f>IF(YEAR(Diario_Documentos_TPL[[#This Row],[Fecha de Pago]])=1900, "SIN PAGO",YEAR(Diario_Documentos_TPL[[#This Row],[Fecha de Pago]]))</f>
        <v>2019</v>
      </c>
      <c r="K158" s="1971">
        <v>2019</v>
      </c>
      <c r="L158" s="1973">
        <f>IF(MONTH(Diario_Documentos_TPL[[#This Row],[Fecha de Pago]])=0, "SIN PAGO",MONTH(Diario_Documentos_TPL[[#This Row],[Fecha de Pago]]))</f>
        <v>3</v>
      </c>
      <c r="M158" s="1971">
        <v>2</v>
      </c>
      <c r="N158" s="1971" t="str">
        <f>VLOOKUP(Diario_Documentos_TPL[[#This Row],[Periodo del Servicio]],'Tablas (2)'!$L$3:$M$14,2,FALSE)</f>
        <v>FEBRERO</v>
      </c>
      <c r="O158" s="1969" t="s">
        <v>633</v>
      </c>
      <c r="P158" s="1971" t="s">
        <v>340</v>
      </c>
      <c r="Q158" s="1971" t="s">
        <v>165</v>
      </c>
      <c r="R158" s="1969">
        <v>2280</v>
      </c>
      <c r="S158" s="1969">
        <v>453858</v>
      </c>
      <c r="T158" s="1969" t="s">
        <v>629</v>
      </c>
      <c r="U158" s="1969" t="s">
        <v>221</v>
      </c>
      <c r="V158" s="1969">
        <v>210000969</v>
      </c>
      <c r="W158" s="1970">
        <v>43553</v>
      </c>
      <c r="X158" s="1966">
        <f>Diario_Documentos_TPL[[#This Row],[Total Pasivo
(USD)]]/1.16</f>
        <v>0</v>
      </c>
      <c r="Y158" s="1966">
        <f>Diario_Documentos_TPL[[#This Row],[Importe Pasivo
(USD)]]*0.16</f>
        <v>0</v>
      </c>
      <c r="Z158" s="1966">
        <v>0</v>
      </c>
      <c r="AA158" s="1966">
        <v>15218820.939999999</v>
      </c>
      <c r="AB158" s="1966">
        <f>Diario_Documentos_TPL[[#This Row],[Importe Pasivo
(MX)]]*0.16</f>
        <v>2435011.3503999999</v>
      </c>
      <c r="AC158" s="1966">
        <f>Diario_Documentos_TPL[[#This Row],[Importe Pasivo
(MX)]]+Diario_Documentos_TPL[[#This Row],[IVA Pasivo
(MX)]]</f>
        <v>17653832.290399998</v>
      </c>
      <c r="AD158" s="1965">
        <f>IFERROR(Diario_Documentos_TPL[[#This Row],[Total Pasivo
(MX)]]/Diario_Documentos_TPL[[#This Row],[Total Pasivo
(USD)]],0)</f>
        <v>0</v>
      </c>
      <c r="AE158" s="1969">
        <f>Diario_Documentos_TPL[[#This Row],[Numero Documento]]</f>
        <v>210000969</v>
      </c>
      <c r="AF158" s="1968">
        <f>Diario_Documentos_TPL[[#This Row],[Fecha
Pasivo]]</f>
        <v>43553</v>
      </c>
      <c r="AG158" s="1967">
        <f>Diario_Documentos_TPL[[#This Row],[Total de Pago
(USD)]]/1.16</f>
        <v>0</v>
      </c>
      <c r="AH158" s="1966">
        <f>Diario_Documentos_TPL[[#This Row],[Importe de Pago
(USD)]]*0.16</f>
        <v>0</v>
      </c>
      <c r="AI158" s="1966">
        <f>Diario_Documentos_TPL[[#This Row],[Total Pasivo
(USD)]]</f>
        <v>0</v>
      </c>
      <c r="AJ158" s="1966">
        <f>ROUND(Diario_Documentos_TPL[[#This Row],[Total de Pago
(MX)]]/1.16,2)</f>
        <v>15218820.939999999</v>
      </c>
      <c r="AK158" s="1966">
        <f>Diario_Documentos_TPL[[#This Row],[Importe de Pago
(MX)]]*0.16</f>
        <v>2435011.3503999999</v>
      </c>
      <c r="AL158" s="1966">
        <f>Diario_Documentos_TPL[[#This Row],[Total Pasivo
(MX)]]</f>
        <v>17653832.290399998</v>
      </c>
      <c r="AM158" s="2018"/>
      <c r="AN158" s="1975"/>
      <c r="AO158" s="1975"/>
      <c r="AP158" s="1975">
        <f>Diario_Documentos_TPL[[#This Row],[Importe de Pago
(MX)]]-Diario_Documentos_TPL[[#This Row],[Importe Pasivo
(MX)]]</f>
        <v>0</v>
      </c>
      <c r="AQ158" s="1975">
        <f>Diario_Documentos_TPL[[#This Row],[Total_Paridad]]-Diario_Documentos_TPL[[#This Row],[Subtotal_Paridad]]</f>
        <v>0</v>
      </c>
      <c r="AR158" s="1964">
        <f>Diario_Documentos_TPL[[#This Row],[Total de Pago
(MX)]]-Diario_Documentos_TPL[[#This Row],[Total Pasivo
(MX)]]</f>
        <v>0</v>
      </c>
    </row>
    <row r="159" spans="1:44" ht="15" hidden="1" customHeight="1" x14ac:dyDescent="0.25">
      <c r="A159" s="1969" t="s">
        <v>598</v>
      </c>
      <c r="B159" s="1969">
        <v>4326979</v>
      </c>
      <c r="C159" s="1969" t="s">
        <v>633</v>
      </c>
      <c r="D159" s="1969"/>
      <c r="E159" s="1969" t="s">
        <v>632</v>
      </c>
      <c r="F159" s="1969" t="s">
        <v>599</v>
      </c>
      <c r="G159" s="1969" t="s">
        <v>628</v>
      </c>
      <c r="H159" s="1969" t="str">
        <f>VLOOKUP(Diario_Documentos_TPL[[#This Row],[Centro Gestor]],Catalogo_Centro_Gestor[],2,FALSE)</f>
        <v>CC NORTE II</v>
      </c>
      <c r="I159" s="1969" t="s">
        <v>630</v>
      </c>
      <c r="J159" s="1973">
        <f>IF(YEAR(Diario_Documentos_TPL[[#This Row],[Fecha de Pago]])=1900, "SIN PAGO",YEAR(Diario_Documentos_TPL[[#This Row],[Fecha de Pago]]))</f>
        <v>2019</v>
      </c>
      <c r="K159" s="1971">
        <v>2019</v>
      </c>
      <c r="L159" s="1973">
        <f>IF(MONTH(Diario_Documentos_TPL[[#This Row],[Fecha de Pago]])=0, "SIN PAGO",MONTH(Diario_Documentos_TPL[[#This Row],[Fecha de Pago]]))</f>
        <v>3</v>
      </c>
      <c r="M159" s="1971">
        <v>2</v>
      </c>
      <c r="N159" s="1971" t="str">
        <f>VLOOKUP(Diario_Documentos_TPL[[#This Row],[Periodo del Servicio]],'Tablas (2)'!$L$3:$M$14,2,FALSE)</f>
        <v>FEBRERO</v>
      </c>
      <c r="O159" s="1969" t="s">
        <v>633</v>
      </c>
      <c r="P159" s="1971" t="s">
        <v>340</v>
      </c>
      <c r="Q159" s="1971" t="s">
        <v>165</v>
      </c>
      <c r="R159" s="2064" t="s">
        <v>344</v>
      </c>
      <c r="S159" s="1969">
        <v>453858</v>
      </c>
      <c r="T159" s="1969" t="s">
        <v>629</v>
      </c>
      <c r="U159" s="2064" t="s">
        <v>238</v>
      </c>
      <c r="V159" s="1969">
        <v>210000969</v>
      </c>
      <c r="W159" s="1970">
        <v>43553</v>
      </c>
      <c r="X159" s="1966">
        <f>Diario_Documentos_TPL[[#This Row],[Total Pasivo
(USD)]]/1.16</f>
        <v>0</v>
      </c>
      <c r="Y159" s="1966">
        <f>Diario_Documentos_TPL[[#This Row],[Importe Pasivo
(USD)]]*0.16</f>
        <v>0</v>
      </c>
      <c r="Z159" s="1966">
        <v>0</v>
      </c>
      <c r="AA159" s="1966">
        <v>10181605.630000001</v>
      </c>
      <c r="AB159" s="1966">
        <f>Diario_Documentos_TPL[[#This Row],[Importe Pasivo
(MX)]]*0.16</f>
        <v>1629056.9008000002</v>
      </c>
      <c r="AC159" s="1966">
        <f>Diario_Documentos_TPL[[#This Row],[Importe Pasivo
(MX)]]+Diario_Documentos_TPL[[#This Row],[IVA Pasivo
(MX)]]</f>
        <v>11810662.530800002</v>
      </c>
      <c r="AD159" s="1965">
        <f>IFERROR(Diario_Documentos_TPL[[#This Row],[Total Pasivo
(MX)]]/Diario_Documentos_TPL[[#This Row],[Total Pasivo
(USD)]],0)</f>
        <v>0</v>
      </c>
      <c r="AE159" s="1969">
        <f>Diario_Documentos_TPL[[#This Row],[Numero Documento]]</f>
        <v>210000969</v>
      </c>
      <c r="AF159" s="1968">
        <f>Diario_Documentos_TPL[[#This Row],[Fecha
Pasivo]]</f>
        <v>43553</v>
      </c>
      <c r="AG159" s="1967">
        <f>Diario_Documentos_TPL[[#This Row],[Total de Pago
(USD)]]/1.16</f>
        <v>0</v>
      </c>
      <c r="AH159" s="1966">
        <f>Diario_Documentos_TPL[[#This Row],[Importe de Pago
(USD)]]*0.16</f>
        <v>0</v>
      </c>
      <c r="AI159" s="1966">
        <f>Diario_Documentos_TPL[[#This Row],[Total Pasivo
(USD)]]</f>
        <v>0</v>
      </c>
      <c r="AJ159" s="1966">
        <f>ROUND(Diario_Documentos_TPL[[#This Row],[Total de Pago
(MX)]]/1.16,2)</f>
        <v>10181605.630000001</v>
      </c>
      <c r="AK159" s="1966">
        <f>Diario_Documentos_TPL[[#This Row],[Importe de Pago
(MX)]]*0.16</f>
        <v>1629056.9008000002</v>
      </c>
      <c r="AL159" s="1966">
        <f>Diario_Documentos_TPL[[#This Row],[Total Pasivo
(MX)]]</f>
        <v>11810662.530800002</v>
      </c>
      <c r="AM159" s="2018"/>
      <c r="AN159" s="1975"/>
      <c r="AO159" s="1975"/>
      <c r="AP159" s="1975">
        <f>Diario_Documentos_TPL[[#This Row],[Importe de Pago
(MX)]]-Diario_Documentos_TPL[[#This Row],[Importe Pasivo
(MX)]]</f>
        <v>0</v>
      </c>
      <c r="AQ159" s="1975">
        <f>Diario_Documentos_TPL[[#This Row],[Total_Paridad]]-Diario_Documentos_TPL[[#This Row],[Subtotal_Paridad]]</f>
        <v>0</v>
      </c>
      <c r="AR159" s="1964">
        <f>Diario_Documentos_TPL[[#This Row],[Total de Pago
(MX)]]-Diario_Documentos_TPL[[#This Row],[Total Pasivo
(MX)]]</f>
        <v>0</v>
      </c>
    </row>
    <row r="160" spans="1:44" ht="15" hidden="1" customHeight="1" x14ac:dyDescent="0.25">
      <c r="A160" s="1969" t="s">
        <v>598</v>
      </c>
      <c r="B160" s="1969">
        <v>4326979</v>
      </c>
      <c r="C160" s="1969" t="s">
        <v>633</v>
      </c>
      <c r="D160" s="1969"/>
      <c r="E160" s="1969" t="s">
        <v>632</v>
      </c>
      <c r="F160" s="1969" t="s">
        <v>599</v>
      </c>
      <c r="G160" s="1969" t="s">
        <v>628</v>
      </c>
      <c r="H160" s="1969" t="str">
        <f>VLOOKUP(Diario_Documentos_TPL[[#This Row],[Centro Gestor]],Catalogo_Centro_Gestor[],2,FALSE)</f>
        <v>Gas. Corredor Chihuahua</v>
      </c>
      <c r="I160" s="1969" t="s">
        <v>630</v>
      </c>
      <c r="J160" s="1973">
        <f>IF(YEAR(Diario_Documentos_TPL[[#This Row],[Fecha de Pago]])=1900, "SIN PAGO",YEAR(Diario_Documentos_TPL[[#This Row],[Fecha de Pago]]))</f>
        <v>2019</v>
      </c>
      <c r="K160" s="1971">
        <v>2019</v>
      </c>
      <c r="L160" s="1973">
        <f>IF(MONTH(Diario_Documentos_TPL[[#This Row],[Fecha de Pago]])=0, "SIN PAGO",MONTH(Diario_Documentos_TPL[[#This Row],[Fecha de Pago]]))</f>
        <v>3</v>
      </c>
      <c r="M160" s="1971">
        <v>2</v>
      </c>
      <c r="N160" s="1971" t="str">
        <f>VLOOKUP(Diario_Documentos_TPL[[#This Row],[Periodo del Servicio]],'Tablas (2)'!$L$3:$M$14,2,FALSE)</f>
        <v>FEBRERO</v>
      </c>
      <c r="O160" s="1969" t="s">
        <v>633</v>
      </c>
      <c r="P160" s="1971" t="s">
        <v>340</v>
      </c>
      <c r="Q160" s="1971" t="s">
        <v>165</v>
      </c>
      <c r="R160" s="1969">
        <v>2280</v>
      </c>
      <c r="S160" s="1969">
        <v>453851</v>
      </c>
      <c r="T160" s="1969" t="s">
        <v>629</v>
      </c>
      <c r="U160" s="1969" t="s">
        <v>221</v>
      </c>
      <c r="V160" s="1969">
        <v>210000969</v>
      </c>
      <c r="W160" s="1970">
        <v>43553</v>
      </c>
      <c r="X160" s="1966">
        <f>Diario_Documentos_TPL[[#This Row],[Total Pasivo
(USD)]]/1.16</f>
        <v>0</v>
      </c>
      <c r="Y160" s="1966">
        <f>Diario_Documentos_TPL[[#This Row],[Importe Pasivo
(USD)]]*0.16</f>
        <v>0</v>
      </c>
      <c r="Z160" s="1966">
        <v>0</v>
      </c>
      <c r="AA160" s="1966">
        <v>-8566886.0299999993</v>
      </c>
      <c r="AB160" s="1966">
        <f>Diario_Documentos_TPL[[#This Row],[Importe Pasivo
(MX)]]*0.16</f>
        <v>-1370701.7648</v>
      </c>
      <c r="AC160" s="1966">
        <f>Diario_Documentos_TPL[[#This Row],[Importe Pasivo
(MX)]]+Diario_Documentos_TPL[[#This Row],[IVA Pasivo
(MX)]]</f>
        <v>-9937587.7947999984</v>
      </c>
      <c r="AD160" s="1965">
        <f>IFERROR(Diario_Documentos_TPL[[#This Row],[Total Pasivo
(MX)]]/Diario_Documentos_TPL[[#This Row],[Total Pasivo
(USD)]],0)</f>
        <v>0</v>
      </c>
      <c r="AE160" s="1969">
        <f>Diario_Documentos_TPL[[#This Row],[Numero Documento]]</f>
        <v>210000969</v>
      </c>
      <c r="AF160" s="1968">
        <f>Diario_Documentos_TPL[[#This Row],[Fecha
Pasivo]]</f>
        <v>43553</v>
      </c>
      <c r="AG160" s="1967">
        <f>Diario_Documentos_TPL[[#This Row],[Total de Pago
(USD)]]/1.16</f>
        <v>0</v>
      </c>
      <c r="AH160" s="1966">
        <f>Diario_Documentos_TPL[[#This Row],[Importe de Pago
(USD)]]*0.16</f>
        <v>0</v>
      </c>
      <c r="AI160" s="1966">
        <f>Diario_Documentos_TPL[[#This Row],[Total Pasivo
(USD)]]</f>
        <v>0</v>
      </c>
      <c r="AJ160" s="1966">
        <f>ROUND(Diario_Documentos_TPL[[#This Row],[Total de Pago
(MX)]]/1.16,2)</f>
        <v>-8566886.0299999993</v>
      </c>
      <c r="AK160" s="1966">
        <f>Diario_Documentos_TPL[[#This Row],[Importe de Pago
(MX)]]*0.16</f>
        <v>-1370701.7648</v>
      </c>
      <c r="AL160" s="1966">
        <f>Diario_Documentos_TPL[[#This Row],[Total Pasivo
(MX)]]</f>
        <v>-9937587.7947999984</v>
      </c>
      <c r="AM160" s="2018"/>
      <c r="AN160" s="1975"/>
      <c r="AO160" s="1975"/>
      <c r="AP160" s="1975">
        <f>Diario_Documentos_TPL[[#This Row],[Importe de Pago
(MX)]]-Diario_Documentos_TPL[[#This Row],[Importe Pasivo
(MX)]]</f>
        <v>0</v>
      </c>
      <c r="AQ160" s="1975">
        <f>Diario_Documentos_TPL[[#This Row],[Total_Paridad]]-Diario_Documentos_TPL[[#This Row],[Subtotal_Paridad]]</f>
        <v>0</v>
      </c>
      <c r="AR160" s="1964">
        <f>Diario_Documentos_TPL[[#This Row],[Total de Pago
(MX)]]-Diario_Documentos_TPL[[#This Row],[Total Pasivo
(MX)]]</f>
        <v>0</v>
      </c>
    </row>
    <row r="161" spans="1:44" ht="15" hidden="1" customHeight="1" x14ac:dyDescent="0.25">
      <c r="A161" s="1969" t="s">
        <v>598</v>
      </c>
      <c r="B161" s="1969">
        <v>4326979</v>
      </c>
      <c r="C161" s="1969" t="s">
        <v>633</v>
      </c>
      <c r="D161" s="1969"/>
      <c r="E161" s="1969" t="s">
        <v>632</v>
      </c>
      <c r="F161" s="1969" t="s">
        <v>599</v>
      </c>
      <c r="G161" s="1969" t="s">
        <v>628</v>
      </c>
      <c r="H161" s="1969" t="str">
        <f>VLOOKUP(Diario_Documentos_TPL[[#This Row],[Centro Gestor]],Catalogo_Centro_Gestor[],2,FALSE)</f>
        <v>Gas. Corredor Chihuahua</v>
      </c>
      <c r="I161" s="1969" t="s">
        <v>630</v>
      </c>
      <c r="J161" s="1973">
        <f>IF(YEAR(Diario_Documentos_TPL[[#This Row],[Fecha de Pago]])=1900, "SIN PAGO",YEAR(Diario_Documentos_TPL[[#This Row],[Fecha de Pago]]))</f>
        <v>2019</v>
      </c>
      <c r="K161" s="1971">
        <v>2019</v>
      </c>
      <c r="L161" s="1973">
        <f>IF(MONTH(Diario_Documentos_TPL[[#This Row],[Fecha de Pago]])=0, "SIN PAGO",MONTH(Diario_Documentos_TPL[[#This Row],[Fecha de Pago]]))</f>
        <v>3</v>
      </c>
      <c r="M161" s="1971">
        <v>2</v>
      </c>
      <c r="N161" s="1971" t="str">
        <f>VLOOKUP(Diario_Documentos_TPL[[#This Row],[Periodo del Servicio]],'Tablas (2)'!$L$3:$M$14,2,FALSE)</f>
        <v>FEBRERO</v>
      </c>
      <c r="O161" s="1969" t="s">
        <v>633</v>
      </c>
      <c r="P161" s="1971" t="s">
        <v>340</v>
      </c>
      <c r="Q161" s="1971" t="s">
        <v>165</v>
      </c>
      <c r="R161" s="1969">
        <v>2280</v>
      </c>
      <c r="S161" s="1969">
        <v>453858</v>
      </c>
      <c r="T161" s="1969" t="s">
        <v>629</v>
      </c>
      <c r="U161" s="1969" t="s">
        <v>221</v>
      </c>
      <c r="V161" s="1969">
        <v>210000969</v>
      </c>
      <c r="W161" s="1970">
        <v>43553</v>
      </c>
      <c r="X161" s="1966">
        <f>Diario_Documentos_TPL[[#This Row],[Total Pasivo
(USD)]]/1.16</f>
        <v>0</v>
      </c>
      <c r="Y161" s="1966">
        <f>Diario_Documentos_TPL[[#This Row],[Importe Pasivo
(USD)]]*0.16</f>
        <v>0</v>
      </c>
      <c r="Z161" s="1966">
        <v>0</v>
      </c>
      <c r="AA161" s="1966">
        <v>8566886.0299999993</v>
      </c>
      <c r="AB161" s="1966">
        <f>Diario_Documentos_TPL[[#This Row],[Importe Pasivo
(MX)]]*0.16</f>
        <v>1370701.7648</v>
      </c>
      <c r="AC161" s="1966">
        <f>Diario_Documentos_TPL[[#This Row],[Importe Pasivo
(MX)]]+Diario_Documentos_TPL[[#This Row],[IVA Pasivo
(MX)]]</f>
        <v>9937587.7947999984</v>
      </c>
      <c r="AD161" s="1965">
        <f>IFERROR(Diario_Documentos_TPL[[#This Row],[Total Pasivo
(MX)]]/Diario_Documentos_TPL[[#This Row],[Total Pasivo
(USD)]],0)</f>
        <v>0</v>
      </c>
      <c r="AE161" s="1969">
        <f>Diario_Documentos_TPL[[#This Row],[Numero Documento]]</f>
        <v>210000969</v>
      </c>
      <c r="AF161" s="1968">
        <f>Diario_Documentos_TPL[[#This Row],[Fecha
Pasivo]]</f>
        <v>43553</v>
      </c>
      <c r="AG161" s="1967">
        <f>Diario_Documentos_TPL[[#This Row],[Total de Pago
(USD)]]/1.16</f>
        <v>0</v>
      </c>
      <c r="AH161" s="1966">
        <f>Diario_Documentos_TPL[[#This Row],[Importe de Pago
(USD)]]*0.16</f>
        <v>0</v>
      </c>
      <c r="AI161" s="1966">
        <f>Diario_Documentos_TPL[[#This Row],[Total Pasivo
(USD)]]</f>
        <v>0</v>
      </c>
      <c r="AJ161" s="1966">
        <f>ROUND(Diario_Documentos_TPL[[#This Row],[Total de Pago
(MX)]]/1.16,2)</f>
        <v>8566886.0299999993</v>
      </c>
      <c r="AK161" s="1966">
        <f>Diario_Documentos_TPL[[#This Row],[Importe de Pago
(MX)]]*0.16</f>
        <v>1370701.7648</v>
      </c>
      <c r="AL161" s="1966">
        <f>Diario_Documentos_TPL[[#This Row],[Total Pasivo
(MX)]]</f>
        <v>9937587.7947999984</v>
      </c>
      <c r="AM161" s="2018"/>
      <c r="AN161" s="1975"/>
      <c r="AO161" s="1975"/>
      <c r="AP161" s="1975">
        <f>Diario_Documentos_TPL[[#This Row],[Importe de Pago
(MX)]]-Diario_Documentos_TPL[[#This Row],[Importe Pasivo
(MX)]]</f>
        <v>0</v>
      </c>
      <c r="AQ161" s="1975">
        <f>Diario_Documentos_TPL[[#This Row],[Total_Paridad]]-Diario_Documentos_TPL[[#This Row],[Subtotal_Paridad]]</f>
        <v>0</v>
      </c>
      <c r="AR161" s="1964">
        <f>Diario_Documentos_TPL[[#This Row],[Total de Pago
(MX)]]-Diario_Documentos_TPL[[#This Row],[Total Pasivo
(MX)]]</f>
        <v>0</v>
      </c>
    </row>
    <row r="162" spans="1:44" ht="15" hidden="1" customHeight="1" x14ac:dyDescent="0.25">
      <c r="A162" s="1969" t="s">
        <v>598</v>
      </c>
      <c r="B162" s="1969">
        <v>4326979</v>
      </c>
      <c r="C162" s="1969">
        <v>800832773</v>
      </c>
      <c r="D162" s="1969"/>
      <c r="E162" s="1969" t="s">
        <v>632</v>
      </c>
      <c r="F162" s="1969" t="s">
        <v>599</v>
      </c>
      <c r="G162" s="1969" t="s">
        <v>628</v>
      </c>
      <c r="H162" s="1969" t="str">
        <f>VLOOKUP(Diario_Documentos_TPL[[#This Row],[Centro Gestor]],Catalogo_Centro_Gestor[],2,FALSE)</f>
        <v>CC NORTE II</v>
      </c>
      <c r="I162" s="1969" t="s">
        <v>630</v>
      </c>
      <c r="J162" s="1972">
        <f>IF(YEAR(Diario_Documentos_TPL[[#This Row],[Fecha de Pago]])=1900, "SIN PAGO",YEAR(Diario_Documentos_TPL[[#This Row],[Fecha de Pago]]))</f>
        <v>2018</v>
      </c>
      <c r="K162" s="1971">
        <v>2018</v>
      </c>
      <c r="L162" s="1972">
        <f>IF(MONTH(Diario_Documentos_TPL[[#This Row],[Fecha de Pago]])=0, "SIN PAGO",MONTH(Diario_Documentos_TPL[[#This Row],[Fecha de Pago]]))</f>
        <v>10</v>
      </c>
      <c r="M162" s="1971">
        <v>9</v>
      </c>
      <c r="N162" s="1971" t="str">
        <f>VLOOKUP(Diario_Documentos_TPL[[#This Row],[Periodo del Servicio]],'Tablas (2)'!$L$3:$M$14,2,FALSE)</f>
        <v>SEPTIEMBRE</v>
      </c>
      <c r="O162" s="2012" t="s">
        <v>741</v>
      </c>
      <c r="P162" s="1971" t="s">
        <v>470</v>
      </c>
      <c r="Q162" s="1971" t="s">
        <v>165</v>
      </c>
      <c r="R162" s="1969">
        <v>7237</v>
      </c>
      <c r="S162" s="1969">
        <v>468074</v>
      </c>
      <c r="T162" s="1969" t="s">
        <v>629</v>
      </c>
      <c r="U162" s="1969" t="s">
        <v>238</v>
      </c>
      <c r="V162" s="1969">
        <v>180004162</v>
      </c>
      <c r="W162" s="1970">
        <v>43391</v>
      </c>
      <c r="X162" s="1966">
        <f>Diario_Documentos_TPL[[#This Row],[Total Pasivo
(USD)]]/1.16</f>
        <v>7024.36</v>
      </c>
      <c r="Y162" s="1966">
        <f>Diario_Documentos_TPL[[#This Row],[Importe Pasivo
(USD)]]*0.16</f>
        <v>1123.8976</v>
      </c>
      <c r="Z162" s="1966">
        <v>8148.257599999999</v>
      </c>
      <c r="AA162" s="1966">
        <f>Diario_Documentos_TPL[[#This Row],[Total Pasivo
(MX)]]/1.16</f>
        <v>131842.32</v>
      </c>
      <c r="AB162" s="1966">
        <f>Diario_Documentos_TPL[[#This Row],[Importe Pasivo
(MX)]]*0.16</f>
        <v>21094.771200000003</v>
      </c>
      <c r="AC162" s="1966">
        <v>152937.0912</v>
      </c>
      <c r="AD162" s="2017">
        <f>IFERROR(Diario_Documentos_TPL[[#This Row],[Total Pasivo
(MX)]]/Diario_Documentos_TPL[[#This Row],[Total Pasivo
(USD)]],0)</f>
        <v>18.769299978930466</v>
      </c>
      <c r="AE162" s="1969">
        <v>140005736</v>
      </c>
      <c r="AF162" s="1970">
        <v>43402</v>
      </c>
      <c r="AG162" s="1967">
        <f>Diario_Documentos_TPL[[#This Row],[Total de Pago
(USD)]]/1.16</f>
        <v>7024.36</v>
      </c>
      <c r="AH162" s="1966">
        <f>Diario_Documentos_TPL[[#This Row],[Importe de Pago
(USD)]]*0.16</f>
        <v>1123.8976</v>
      </c>
      <c r="AI162" s="1966">
        <f>Diario_Documentos_TPL[[#This Row],[Total Pasivo
(USD)]]</f>
        <v>8148.257599999999</v>
      </c>
      <c r="AJ162" s="1966">
        <f>ROUND(Diario_Documentos_TPL[[#This Row],[Total de Pago
(MX)]]/1.16,2)</f>
        <v>136541.62</v>
      </c>
      <c r="AK162" s="1966">
        <f>Diario_Documentos_TPL[[#This Row],[Importe de Pago
(MX)]]*0.16</f>
        <v>21846.659199999998</v>
      </c>
      <c r="AL162" s="1966">
        <f>ROUND(Diario_Documentos_TPL[[#This Row],[Total de Pago
(USD)]]*Diario_Documentos_TPL[[#This Row],[T.C Pago]],2)</f>
        <v>158388.28</v>
      </c>
      <c r="AM162" s="2018">
        <v>19.438300000000002</v>
      </c>
      <c r="AN162" s="1975"/>
      <c r="AO162" s="1975"/>
      <c r="AP162" s="1975">
        <f>Diario_Documentos_TPL[[#This Row],[Importe de Pago
(MX)]]-Diario_Documentos_TPL[[#This Row],[Importe Pasivo
(MX)]]</f>
        <v>4699.2999999999884</v>
      </c>
      <c r="AQ162" s="1975">
        <f>Diario_Documentos_TPL[[#This Row],[Total_Paridad]]-Diario_Documentos_TPL[[#This Row],[Subtotal_Paridad]]</f>
        <v>751.88880000001518</v>
      </c>
      <c r="AR162" s="1964">
        <f>Diario_Documentos_TPL[[#This Row],[Total de Pago
(MX)]]-Diario_Documentos_TPL[[#This Row],[Total Pasivo
(MX)]]</f>
        <v>5451.1888000000035</v>
      </c>
    </row>
    <row r="163" spans="1:44" ht="15" hidden="1" customHeight="1" x14ac:dyDescent="0.25">
      <c r="A163" s="1969" t="s">
        <v>598</v>
      </c>
      <c r="B163" s="1969">
        <v>4326979</v>
      </c>
      <c r="C163" s="1969">
        <v>800832773</v>
      </c>
      <c r="D163" s="1969"/>
      <c r="E163" s="1969" t="s">
        <v>632</v>
      </c>
      <c r="F163" s="1969" t="s">
        <v>599</v>
      </c>
      <c r="G163" s="1969" t="s">
        <v>628</v>
      </c>
      <c r="H163" s="1969" t="str">
        <f>VLOOKUP(Diario_Documentos_TPL[[#This Row],[Centro Gestor]],Catalogo_Centro_Gestor[],2,FALSE)</f>
        <v>CC NORTE II</v>
      </c>
      <c r="I163" s="1969" t="s">
        <v>630</v>
      </c>
      <c r="J163" s="1973">
        <f>IF(YEAR(Diario_Documentos_TPL[[#This Row],[Fecha de Pago]])=1900, "SIN PAGO",YEAR(Diario_Documentos_TPL[[#This Row],[Fecha de Pago]]))</f>
        <v>2018</v>
      </c>
      <c r="K163" s="1971">
        <v>2018</v>
      </c>
      <c r="L163" s="1973">
        <f>IF(MONTH(Diario_Documentos_TPL[[#This Row],[Fecha de Pago]])=0, "SIN PAGO",MONTH(Diario_Documentos_TPL[[#This Row],[Fecha de Pago]]))</f>
        <v>10</v>
      </c>
      <c r="M163" s="1971">
        <v>9</v>
      </c>
      <c r="N163" s="1971" t="str">
        <f>VLOOKUP(Diario_Documentos_TPL[[#This Row],[Periodo del Servicio]],'Tablas (2)'!$L$3:$M$14,2,FALSE)</f>
        <v>SEPTIEMBRE</v>
      </c>
      <c r="O163" s="1971" t="s">
        <v>348</v>
      </c>
      <c r="P163" s="1971" t="s">
        <v>470</v>
      </c>
      <c r="Q163" s="1971" t="s">
        <v>165</v>
      </c>
      <c r="R163" s="1969">
        <v>7237</v>
      </c>
      <c r="S163" s="1969">
        <v>468074</v>
      </c>
      <c r="T163" s="1969" t="s">
        <v>629</v>
      </c>
      <c r="U163" s="1969" t="s">
        <v>238</v>
      </c>
      <c r="V163" s="1969">
        <v>180004161</v>
      </c>
      <c r="W163" s="1970">
        <v>43391</v>
      </c>
      <c r="X163" s="1966">
        <f>Diario_Documentos_TPL[[#This Row],[Total Pasivo
(USD)]]/1.16</f>
        <v>2170.8965517241377</v>
      </c>
      <c r="Y163" s="1966">
        <f>Diario_Documentos_TPL[[#This Row],[Importe Pasivo
(USD)]]*0.16</f>
        <v>347.34344827586204</v>
      </c>
      <c r="Z163" s="1966">
        <v>2518.2399999999998</v>
      </c>
      <c r="AA163" s="1966">
        <f>Diario_Documentos_TPL[[#This Row],[Total Pasivo
(MX)]]/1.16</f>
        <v>40746.206896551725</v>
      </c>
      <c r="AB163" s="1966">
        <f>Diario_Documentos_TPL[[#This Row],[Importe Pasivo
(MX)]]*0.16</f>
        <v>6519.3931034482757</v>
      </c>
      <c r="AC163" s="1966">
        <v>47265.599999999999</v>
      </c>
      <c r="AD163" s="2017">
        <f>IFERROR(Diario_Documentos_TPL[[#This Row],[Total Pasivo
(MX)]]/Diario_Documentos_TPL[[#This Row],[Total Pasivo
(USD)]],0)</f>
        <v>18.769299193087235</v>
      </c>
      <c r="AE163" s="1969">
        <v>140005736</v>
      </c>
      <c r="AF163" s="1970">
        <v>43402</v>
      </c>
      <c r="AG163" s="1967">
        <f>Diario_Documentos_TPL[[#This Row],[Total de Pago
(USD)]]/1.16</f>
        <v>2170.8965517241377</v>
      </c>
      <c r="AH163" s="1966">
        <f>Diario_Documentos_TPL[[#This Row],[Importe de Pago
(USD)]]*0.16</f>
        <v>347.34344827586204</v>
      </c>
      <c r="AI163" s="1966">
        <f>Diario_Documentos_TPL[[#This Row],[Total Pasivo
(USD)]]</f>
        <v>2518.2399999999998</v>
      </c>
      <c r="AJ163" s="1966">
        <f>ROUND(Diario_Documentos_TPL[[#This Row],[Total de Pago
(MX)]]/1.16,2)</f>
        <v>42198.53</v>
      </c>
      <c r="AK163" s="1966">
        <f>Diario_Documentos_TPL[[#This Row],[Importe de Pago
(MX)]]*0.16</f>
        <v>6751.7647999999999</v>
      </c>
      <c r="AL163" s="1966">
        <f>ROUND(Diario_Documentos_TPL[[#This Row],[Total de Pago
(USD)]]*Diario_Documentos_TPL[[#This Row],[T.C Pago]],2)</f>
        <v>48950.3</v>
      </c>
      <c r="AM163" s="2018">
        <v>19.438300000000002</v>
      </c>
      <c r="AN163" s="1975"/>
      <c r="AO163" s="1975"/>
      <c r="AP163" s="1975">
        <f>Diario_Documentos_TPL[[#This Row],[Importe de Pago
(MX)]]-Diario_Documentos_TPL[[#This Row],[Importe Pasivo
(MX)]]</f>
        <v>1452.3231034482742</v>
      </c>
      <c r="AQ163" s="1975">
        <f>Diario_Documentos_TPL[[#This Row],[Total_Paridad]]-Diario_Documentos_TPL[[#This Row],[Subtotal_Paridad]]</f>
        <v>232.37689655173017</v>
      </c>
      <c r="AR163" s="1964">
        <f>Diario_Documentos_TPL[[#This Row],[Total de Pago
(MX)]]-Diario_Documentos_TPL[[#This Row],[Total Pasivo
(MX)]]</f>
        <v>1684.7000000000044</v>
      </c>
    </row>
    <row r="164" spans="1:44" ht="15" hidden="1" customHeight="1" x14ac:dyDescent="0.25">
      <c r="A164" s="1969" t="s">
        <v>598</v>
      </c>
      <c r="B164" s="1969">
        <v>4326979</v>
      </c>
      <c r="C164" s="1969">
        <v>800861096</v>
      </c>
      <c r="D164" s="1969"/>
      <c r="E164" s="1969" t="s">
        <v>632</v>
      </c>
      <c r="F164" s="1969" t="s">
        <v>631</v>
      </c>
      <c r="G164" s="1969" t="s">
        <v>628</v>
      </c>
      <c r="H164" s="1969" t="str">
        <f>VLOOKUP(Diario_Documentos_TPL[[#This Row],[Centro Gestor]],Catalogo_Centro_Gestor[],2,FALSE)</f>
        <v>Gas. Corredor Chihuahua</v>
      </c>
      <c r="I164" s="1969" t="s">
        <v>630</v>
      </c>
      <c r="J164" s="1973">
        <f>IF(YEAR(Diario_Documentos_TPL[[#This Row],[Fecha de Pago]])=1900, "SIN PAGO",YEAR(Diario_Documentos_TPL[[#This Row],[Fecha de Pago]]))</f>
        <v>2018</v>
      </c>
      <c r="K164" s="1971">
        <v>2018</v>
      </c>
      <c r="L164" s="1973">
        <f>IF(MONTH(Diario_Documentos_TPL[[#This Row],[Fecha de Pago]])=0, "SIN PAGO",MONTH(Diario_Documentos_TPL[[#This Row],[Fecha de Pago]]))</f>
        <v>10</v>
      </c>
      <c r="M164" s="1971">
        <v>9</v>
      </c>
      <c r="N164" s="1971" t="str">
        <f>VLOOKUP(Diario_Documentos_TPL[[#This Row],[Periodo del Servicio]],'Tablas (2)'!$L$3:$M$14,2,FALSE)</f>
        <v>SEPTIEMBRE</v>
      </c>
      <c r="O164" s="1971" t="s">
        <v>349</v>
      </c>
      <c r="P164" s="1971" t="s">
        <v>340</v>
      </c>
      <c r="Q164" s="1971" t="s">
        <v>165</v>
      </c>
      <c r="R164" s="1969">
        <v>2280</v>
      </c>
      <c r="S164" s="1969">
        <v>453851</v>
      </c>
      <c r="T164" s="1969" t="s">
        <v>629</v>
      </c>
      <c r="U164" s="1969" t="s">
        <v>221</v>
      </c>
      <c r="V164" s="1969">
        <v>180004163</v>
      </c>
      <c r="W164" s="1970">
        <v>43391</v>
      </c>
      <c r="X164" s="1966">
        <f>Diario_Documentos_TPL[[#This Row],[Total Pasivo
(USD)]]/1.16</f>
        <v>447053.49137931038</v>
      </c>
      <c r="Y164" s="1966">
        <f>Diario_Documentos_TPL[[#This Row],[Importe Pasivo
(USD)]]*0.16</f>
        <v>71528.558620689655</v>
      </c>
      <c r="Z164" s="1966">
        <v>518582.05</v>
      </c>
      <c r="AA164" s="1966">
        <f>Diario_Documentos_TPL[[#This Row],[Total Pasivo
(MX)]]/1.16</f>
        <v>8390881.0948275868</v>
      </c>
      <c r="AB164" s="1966">
        <f>Diario_Documentos_TPL[[#This Row],[Importe Pasivo
(MX)]]*0.16</f>
        <v>1342540.975172414</v>
      </c>
      <c r="AC164" s="1966">
        <v>9733422.0700000003</v>
      </c>
      <c r="AD164" s="2017">
        <f>IFERROR(Diario_Documentos_TPL[[#This Row],[Total Pasivo
(MX)]]/Diario_Documentos_TPL[[#This Row],[Total Pasivo
(USD)]],0)</f>
        <v>18.769299997946323</v>
      </c>
      <c r="AE164" s="1969">
        <v>140005672</v>
      </c>
      <c r="AF164" s="1970">
        <v>43402</v>
      </c>
      <c r="AG164" s="1967">
        <f>Diario_Documentos_TPL[[#This Row],[Total de Pago
(USD)]]/1.16</f>
        <v>447053.49137931038</v>
      </c>
      <c r="AH164" s="1966">
        <f>Diario_Documentos_TPL[[#This Row],[Importe de Pago
(USD)]]*0.16</f>
        <v>71528.558620689655</v>
      </c>
      <c r="AI164" s="1966">
        <f>Diario_Documentos_TPL[[#This Row],[Total Pasivo
(USD)]]</f>
        <v>518582.05</v>
      </c>
      <c r="AJ164" s="1966">
        <f>ROUND(Diario_Documentos_TPL[[#This Row],[Total de Pago
(MX)]]/1.16,2)</f>
        <v>8689959.8800000008</v>
      </c>
      <c r="AK164" s="1966">
        <f>Diario_Documentos_TPL[[#This Row],[Importe de Pago
(MX)]]*0.16</f>
        <v>1390393.5808000001</v>
      </c>
      <c r="AL164" s="1966">
        <f>ROUND(Diario_Documentos_TPL[[#This Row],[Total de Pago
(USD)]]*Diario_Documentos_TPL[[#This Row],[T.C Pago]],2)</f>
        <v>10080353.460000001</v>
      </c>
      <c r="AM164" s="2018">
        <v>19.438300000000002</v>
      </c>
      <c r="AN164" s="1975"/>
      <c r="AO164" s="1975"/>
      <c r="AP164" s="1975">
        <f>Diario_Documentos_TPL[[#This Row],[Importe de Pago
(MX)]]-Diario_Documentos_TPL[[#This Row],[Importe Pasivo
(MX)]]</f>
        <v>299078.78517241403</v>
      </c>
      <c r="AQ164" s="1975">
        <f>Diario_Documentos_TPL[[#This Row],[Total_Paridad]]-Diario_Documentos_TPL[[#This Row],[Subtotal_Paridad]]</f>
        <v>47852.604827586561</v>
      </c>
      <c r="AR164" s="1964">
        <f>Diario_Documentos_TPL[[#This Row],[Total de Pago
(MX)]]-Diario_Documentos_TPL[[#This Row],[Total Pasivo
(MX)]]</f>
        <v>346931.3900000006</v>
      </c>
    </row>
    <row r="165" spans="1:44" ht="15" hidden="1" customHeight="1" x14ac:dyDescent="0.25">
      <c r="A165" s="1969" t="s">
        <v>598</v>
      </c>
      <c r="B165" s="1969">
        <v>4326979</v>
      </c>
      <c r="C165" s="1969">
        <v>800874933</v>
      </c>
      <c r="D165" s="1969"/>
      <c r="E165" s="1969" t="s">
        <v>632</v>
      </c>
      <c r="F165" s="1969" t="s">
        <v>599</v>
      </c>
      <c r="G165" s="1969" t="s">
        <v>628</v>
      </c>
      <c r="H165" s="1969" t="str">
        <f>VLOOKUP(Diario_Documentos_TPL[[#This Row],[Centro Gestor]],Catalogo_Centro_Gestor[],2,FALSE)</f>
        <v>Gas. Corredor Chihuahua</v>
      </c>
      <c r="I165" s="1969" t="s">
        <v>630</v>
      </c>
      <c r="J165" s="1972">
        <f>IF(YEAR(Diario_Documentos_TPL[[#This Row],[Fecha de Pago]])=1900, "SIN PAGO",YEAR(Diario_Documentos_TPL[[#This Row],[Fecha de Pago]]))</f>
        <v>2019</v>
      </c>
      <c r="K165" s="1971">
        <v>2019</v>
      </c>
      <c r="L165" s="1972">
        <f>IF(MONTH(Diario_Documentos_TPL[[#This Row],[Fecha de Pago]])=0, "SIN PAGO",MONTH(Diario_Documentos_TPL[[#This Row],[Fecha de Pago]]))</f>
        <v>2</v>
      </c>
      <c r="M165" s="1971">
        <v>1</v>
      </c>
      <c r="N165" s="1971" t="str">
        <f>VLOOKUP(Diario_Documentos_TPL[[#This Row],[Periodo del Servicio]],'Tablas (2)'!$L$3:$M$14,2,FALSE)</f>
        <v>ENERO</v>
      </c>
      <c r="O165" s="2012" t="s">
        <v>390</v>
      </c>
      <c r="P165" s="1971" t="s">
        <v>340</v>
      </c>
      <c r="Q165" s="1971" t="s">
        <v>165</v>
      </c>
      <c r="R165" s="1969">
        <v>2280</v>
      </c>
      <c r="S165" s="1969">
        <v>453851</v>
      </c>
      <c r="T165" s="1969" t="s">
        <v>629</v>
      </c>
      <c r="U165" s="1969" t="s">
        <v>221</v>
      </c>
      <c r="V165" s="1969">
        <v>180000294</v>
      </c>
      <c r="W165" s="1970">
        <v>43507</v>
      </c>
      <c r="X165" s="1966">
        <f>Diario_Documentos_TPL[[#This Row],[Total Pasivo
(USD)]]/1.16</f>
        <v>4753878.6379310349</v>
      </c>
      <c r="Y165" s="1966">
        <f>Diario_Documentos_TPL[[#This Row],[Importe Pasivo
(USD)]]*0.16</f>
        <v>760620.58206896565</v>
      </c>
      <c r="Z165" s="1966">
        <v>5514499.2199999997</v>
      </c>
      <c r="AA165" s="1966">
        <f>Diario_Documentos_TPL[[#This Row],[Total Pasivo
(MX)]]/1.16</f>
        <v>90704004.413793117</v>
      </c>
      <c r="AB165" s="1966">
        <f>Diario_Documentos_TPL[[#This Row],[Importe Pasivo
(MX)]]*0.16</f>
        <v>14512640.706206899</v>
      </c>
      <c r="AC165" s="1966">
        <v>105216645.12</v>
      </c>
      <c r="AD165" s="2017">
        <f>IFERROR(Diario_Documentos_TPL[[#This Row],[Total Pasivo
(MX)]]/Diario_Documentos_TPL[[#This Row],[Total Pasivo
(USD)]],0)</f>
        <v>19.080000000435216</v>
      </c>
      <c r="AE165" s="1969">
        <v>140000823</v>
      </c>
      <c r="AF165" s="1970">
        <v>43524</v>
      </c>
      <c r="AG165" s="1966">
        <f>Diario_Documentos_TPL[[#This Row],[Total de Pago
(USD)]]/1.16</f>
        <v>4753878.6379310349</v>
      </c>
      <c r="AH165" s="1966">
        <f>Diario_Documentos_TPL[[#This Row],[Importe de Pago
(USD)]]*0.16</f>
        <v>760620.58206896565</v>
      </c>
      <c r="AI165" s="1966">
        <f>Diario_Documentos_TPL[[#This Row],[Total Pasivo
(USD)]]</f>
        <v>5514499.2199999997</v>
      </c>
      <c r="AJ165" s="1966">
        <f>Diario_Documentos_TPL[[#This Row],[Total de Pago
(MX)]]/1.16</f>
        <v>91098576.338672414</v>
      </c>
      <c r="AK165" s="1966">
        <f>Diario_Documentos_TPL[[#This Row],[Importe de Pago
(MX)]]*0.16</f>
        <v>14575772.214187587</v>
      </c>
      <c r="AL165" s="1966">
        <f>Diario_Documentos_TPL[[#This Row],[Total de Pago
(USD)]]*Diario_Documentos_TPL[[#This Row],[T.C Pago]]</f>
        <v>105674348.55285999</v>
      </c>
      <c r="AM165" s="2018">
        <v>19.163</v>
      </c>
      <c r="AN165" s="1975"/>
      <c r="AO165" s="1975"/>
      <c r="AP165" s="1975">
        <f>Diario_Documentos_TPL[[#This Row],[Importe de Pago
(MX)]]-Diario_Documentos_TPL[[#This Row],[Importe Pasivo
(MX)]]</f>
        <v>394571.92487929761</v>
      </c>
      <c r="AQ165" s="1975">
        <f>Diario_Documentos_TPL[[#This Row],[Total_Paridad]]-Diario_Documentos_TPL[[#This Row],[Subtotal_Paridad]]</f>
        <v>63131.507980689406</v>
      </c>
      <c r="AR165" s="1964">
        <f>Diario_Documentos_TPL[[#This Row],[Total de Pago
(MX)]]-Diario_Documentos_TPL[[#This Row],[Total Pasivo
(MX)]]</f>
        <v>457703.43285998702</v>
      </c>
    </row>
    <row r="166" spans="1:44" ht="15" hidden="1" customHeight="1" x14ac:dyDescent="0.25">
      <c r="A166" s="1969" t="s">
        <v>598</v>
      </c>
      <c r="B166" s="1969">
        <v>4326979</v>
      </c>
      <c r="C166" s="1969">
        <v>800874975</v>
      </c>
      <c r="D166" s="1969"/>
      <c r="E166" s="1969" t="s">
        <v>632</v>
      </c>
      <c r="F166" s="1969" t="s">
        <v>599</v>
      </c>
      <c r="G166" s="1969" t="s">
        <v>628</v>
      </c>
      <c r="H166" s="1969" t="str">
        <f>VLOOKUP(Diario_Documentos_TPL[[#This Row],[Centro Gestor]],Catalogo_Centro_Gestor[],2,FALSE)</f>
        <v>Gas. Corredor Chihuahua</v>
      </c>
      <c r="I166" s="1969" t="s">
        <v>630</v>
      </c>
      <c r="J166" s="1972">
        <f>IF(YEAR(Diario_Documentos_TPL[[#This Row],[Fecha de Pago]])=1900, "SIN PAGO",YEAR(Diario_Documentos_TPL[[#This Row],[Fecha de Pago]]))</f>
        <v>2019</v>
      </c>
      <c r="K166" s="1971">
        <v>2019</v>
      </c>
      <c r="L166" s="1972">
        <f>IF(MONTH(Diario_Documentos_TPL[[#This Row],[Fecha de Pago]])=0, "SIN PAGO",MONTH(Diario_Documentos_TPL[[#This Row],[Fecha de Pago]]))</f>
        <v>2</v>
      </c>
      <c r="M166" s="1971">
        <v>1</v>
      </c>
      <c r="N166" s="1971" t="str">
        <f>VLOOKUP(Diario_Documentos_TPL[[#This Row],[Periodo del Servicio]],'Tablas (2)'!$L$3:$M$14,2,FALSE)</f>
        <v>ENERO</v>
      </c>
      <c r="O166" s="2012" t="s">
        <v>392</v>
      </c>
      <c r="P166" s="1971" t="s">
        <v>340</v>
      </c>
      <c r="Q166" s="1971" t="s">
        <v>165</v>
      </c>
      <c r="R166" s="1969">
        <v>2280</v>
      </c>
      <c r="S166" s="1969">
        <v>453851</v>
      </c>
      <c r="T166" s="1969" t="s">
        <v>629</v>
      </c>
      <c r="U166" s="1969" t="s">
        <v>221</v>
      </c>
      <c r="V166" s="1969">
        <v>180000291</v>
      </c>
      <c r="W166" s="1970">
        <v>43507</v>
      </c>
      <c r="X166" s="1966">
        <f>Diario_Documentos_TPL[[#This Row],[Total Pasivo
(USD)]]/1.16</f>
        <v>447053.49137931038</v>
      </c>
      <c r="Y166" s="1966">
        <f>Diario_Documentos_TPL[[#This Row],[Importe Pasivo
(USD)]]*0.16</f>
        <v>71528.558620689655</v>
      </c>
      <c r="Z166" s="1966">
        <v>518582.05</v>
      </c>
      <c r="AA166" s="1966">
        <f>Diario_Documentos_TPL[[#This Row],[Total Pasivo
(MX)]]/1.16</f>
        <v>8529780.612068966</v>
      </c>
      <c r="AB166" s="1966">
        <f>Diario_Documentos_TPL[[#This Row],[Importe Pasivo
(MX)]]*0.16</f>
        <v>1364764.8979310347</v>
      </c>
      <c r="AC166" s="1966">
        <v>9894545.5099999998</v>
      </c>
      <c r="AD166" s="2017">
        <f>IFERROR(Diario_Documentos_TPL[[#This Row],[Total Pasivo
(MX)]]/Diario_Documentos_TPL[[#This Row],[Total Pasivo
(USD)]],0)</f>
        <v>19.079999992286659</v>
      </c>
      <c r="AE166" s="1969">
        <v>140000823</v>
      </c>
      <c r="AF166" s="1970">
        <v>43524</v>
      </c>
      <c r="AG166" s="1966">
        <f>Diario_Documentos_TPL[[#This Row],[Total de Pago
(USD)]]/1.16</f>
        <v>447053.49137931038</v>
      </c>
      <c r="AH166" s="1966">
        <f>Diario_Documentos_TPL[[#This Row],[Importe de Pago
(USD)]]*0.16</f>
        <v>71528.558620689655</v>
      </c>
      <c r="AI166" s="1966">
        <f>Diario_Documentos_TPL[[#This Row],[Total Pasivo
(USD)]]</f>
        <v>518582.05</v>
      </c>
      <c r="AJ166" s="1966">
        <f>Diario_Documentos_TPL[[#This Row],[Total de Pago
(MX)]]/1.16</f>
        <v>8566886.055301724</v>
      </c>
      <c r="AK166" s="1966">
        <f>Diario_Documentos_TPL[[#This Row],[Importe de Pago
(MX)]]*0.16</f>
        <v>1370701.7688482758</v>
      </c>
      <c r="AL166" s="1966">
        <f>Diario_Documentos_TPL[[#This Row],[Total de Pago
(USD)]]*Diario_Documentos_TPL[[#This Row],[T.C Pago]]</f>
        <v>9937587.8241499998</v>
      </c>
      <c r="AM166" s="2018">
        <v>19.163</v>
      </c>
      <c r="AN166" s="1975"/>
      <c r="AO166" s="1975"/>
      <c r="AP166" s="1975">
        <f>Diario_Documentos_TPL[[#This Row],[Importe de Pago
(MX)]]-Diario_Documentos_TPL[[#This Row],[Importe Pasivo
(MX)]]</f>
        <v>37105.443232757971</v>
      </c>
      <c r="AQ166" s="1975">
        <f>Diario_Documentos_TPL[[#This Row],[Total_Paridad]]-Diario_Documentos_TPL[[#This Row],[Subtotal_Paridad]]</f>
        <v>5936.8709172420204</v>
      </c>
      <c r="AR166" s="1964">
        <f>Diario_Documentos_TPL[[#This Row],[Total de Pago
(MX)]]-Diario_Documentos_TPL[[#This Row],[Total Pasivo
(MX)]]</f>
        <v>43042.314149999991</v>
      </c>
    </row>
    <row r="167" spans="1:44" s="1974" customFormat="1" ht="15" hidden="1" customHeight="1" x14ac:dyDescent="0.25">
      <c r="A167" s="2005" t="s">
        <v>598</v>
      </c>
      <c r="B167" s="2005">
        <v>4326979</v>
      </c>
      <c r="C167" s="2005">
        <v>800874989</v>
      </c>
      <c r="D167" s="2005"/>
      <c r="E167" s="2005" t="s">
        <v>632</v>
      </c>
      <c r="F167" s="2005" t="s">
        <v>599</v>
      </c>
      <c r="G167" s="2005" t="s">
        <v>628</v>
      </c>
      <c r="H167" s="2005" t="str">
        <f>VLOOKUP(Diario_Documentos_TPL[[#This Row],[Centro Gestor]],Catalogo_Centro_Gestor[],2,FALSE)</f>
        <v>Gas. Corredor Chihuahua</v>
      </c>
      <c r="I167" s="2005" t="s">
        <v>630</v>
      </c>
      <c r="J167" s="2006">
        <f>IF(YEAR(Diario_Documentos_TPL[[#This Row],[Fecha de Pago]])=1900, "SIN PAGO",YEAR(Diario_Documentos_TPL[[#This Row],[Fecha de Pago]]))</f>
        <v>2019</v>
      </c>
      <c r="K167" s="2006">
        <v>2019</v>
      </c>
      <c r="L167" s="2007">
        <f>IF(MONTH(Diario_Documentos_TPL[[#This Row],[Fecha de Pago]])=0, "SIN PAGO",MONTH(Diario_Documentos_TPL[[#This Row],[Fecha de Pago]]))</f>
        <v>2</v>
      </c>
      <c r="M167" s="2007">
        <v>1</v>
      </c>
      <c r="N167" s="2007" t="str">
        <f>VLOOKUP(Diario_Documentos_TPL[[#This Row],[Periodo del Servicio]],'Tablas (2)'!$L$3:$M$14,2,FALSE)</f>
        <v>ENERO</v>
      </c>
      <c r="O167" s="2012" t="s">
        <v>390</v>
      </c>
      <c r="P167" s="2007" t="s">
        <v>470</v>
      </c>
      <c r="Q167" s="2007" t="s">
        <v>165</v>
      </c>
      <c r="R167" s="2005">
        <v>2281</v>
      </c>
      <c r="S167" s="2005">
        <v>453659</v>
      </c>
      <c r="T167" s="2005" t="s">
        <v>629</v>
      </c>
      <c r="U167" s="1969" t="s">
        <v>221</v>
      </c>
      <c r="V167" s="1969">
        <v>180000296</v>
      </c>
      <c r="W167" s="1970">
        <v>43507</v>
      </c>
      <c r="X167" s="2008">
        <f>Diario_Documentos_TPL[[#This Row],[Total Pasivo
(USD)]]/1.16</f>
        <v>2240.3879310344828</v>
      </c>
      <c r="Y167" s="2008">
        <f>Diario_Documentos_TPL[[#This Row],[Importe Pasivo
(USD)]]*0.16</f>
        <v>358.46206896551723</v>
      </c>
      <c r="Z167" s="2008">
        <v>2598.85</v>
      </c>
      <c r="AA167" s="2008">
        <f>Diario_Documentos_TPL[[#This Row],[Total Pasivo
(MX)]]/1.16</f>
        <v>42746.603448275862</v>
      </c>
      <c r="AB167" s="1966">
        <f>Diario_Documentos_TPL[[#This Row],[Importe Pasivo
(MX)]]*0.16</f>
        <v>6839.4565517241381</v>
      </c>
      <c r="AC167" s="1966">
        <v>49586.06</v>
      </c>
      <c r="AD167" s="2019">
        <f>IFERROR(Diario_Documentos_TPL[[#This Row],[Total Pasivo
(MX)]]/Diario_Documentos_TPL[[#This Row],[Total Pasivo
(USD)]],0)</f>
        <v>19.080000769571157</v>
      </c>
      <c r="AE167" s="1969">
        <v>140000823</v>
      </c>
      <c r="AF167" s="1970">
        <v>43524</v>
      </c>
      <c r="AG167" s="1966">
        <f>Diario_Documentos_TPL[[#This Row],[Total de Pago
(USD)]]/1.16</f>
        <v>2240.3879310344828</v>
      </c>
      <c r="AH167" s="1966">
        <f>Diario_Documentos_TPL[[#This Row],[Importe de Pago
(USD)]]*0.16</f>
        <v>358.46206896551723</v>
      </c>
      <c r="AI167" s="1966">
        <f>Diario_Documentos_TPL[[#This Row],[Total Pasivo
(USD)]]</f>
        <v>2598.85</v>
      </c>
      <c r="AJ167" s="1966">
        <f>Diario_Documentos_TPL[[#This Row],[Total de Pago
(MX)]]/1.16</f>
        <v>42932.553922413797</v>
      </c>
      <c r="AK167" s="1966">
        <f>Diario_Documentos_TPL[[#This Row],[Importe de Pago
(MX)]]*0.16</f>
        <v>6869.2086275862075</v>
      </c>
      <c r="AL167" s="1966">
        <f>Diario_Documentos_TPL[[#This Row],[Total de Pago
(USD)]]*Diario_Documentos_TPL[[#This Row],[T.C Pago]]</f>
        <v>49801.762549999999</v>
      </c>
      <c r="AM167" s="2018">
        <v>19.163</v>
      </c>
      <c r="AN167" s="2009"/>
      <c r="AO167" s="2009"/>
      <c r="AP167" s="2010">
        <f>Diario_Documentos_TPL[[#This Row],[Importe de Pago
(MX)]]-Diario_Documentos_TPL[[#This Row],[Importe Pasivo
(MX)]]</f>
        <v>185.95047413793509</v>
      </c>
      <c r="AQ167" s="2010">
        <f>Diario_Documentos_TPL[[#This Row],[Total_Paridad]]-Diario_Documentos_TPL[[#This Row],[Subtotal_Paridad]]</f>
        <v>29.752075862066704</v>
      </c>
      <c r="AR167" s="2011">
        <f>Diario_Documentos_TPL[[#This Row],[Total de Pago
(MX)]]-Diario_Documentos_TPL[[#This Row],[Total Pasivo
(MX)]]</f>
        <v>215.70255000000179</v>
      </c>
    </row>
    <row r="168" spans="1:44" s="1974" customFormat="1" ht="15" hidden="1" customHeight="1" x14ac:dyDescent="0.25">
      <c r="A168" s="2005" t="s">
        <v>598</v>
      </c>
      <c r="B168" s="2005">
        <v>4326979</v>
      </c>
      <c r="C168" s="2005">
        <v>800874989</v>
      </c>
      <c r="D168" s="2005"/>
      <c r="E168" s="2005" t="s">
        <v>632</v>
      </c>
      <c r="F168" s="2005" t="s">
        <v>599</v>
      </c>
      <c r="G168" s="2005" t="s">
        <v>628</v>
      </c>
      <c r="H168" s="2005" t="str">
        <f>VLOOKUP(Diario_Documentos_TPL[[#This Row],[Centro Gestor]],Catalogo_Centro_Gestor[],2,FALSE)</f>
        <v>Gas. Corredor Chihuahua</v>
      </c>
      <c r="I168" s="2005" t="s">
        <v>630</v>
      </c>
      <c r="J168" s="2006">
        <f>IF(YEAR(Diario_Documentos_TPL[[#This Row],[Fecha de Pago]])=1900, "SIN PAGO",YEAR(Diario_Documentos_TPL[[#This Row],[Fecha de Pago]]))</f>
        <v>2019</v>
      </c>
      <c r="K168" s="2006">
        <v>2019</v>
      </c>
      <c r="L168" s="2007">
        <f>IF(MONTH(Diario_Documentos_TPL[[#This Row],[Fecha de Pago]])=0, "SIN PAGO",MONTH(Diario_Documentos_TPL[[#This Row],[Fecha de Pago]]))</f>
        <v>2</v>
      </c>
      <c r="M168" s="2007">
        <v>1</v>
      </c>
      <c r="N168" s="2007" t="str">
        <f>VLOOKUP(Diario_Documentos_TPL[[#This Row],[Periodo del Servicio]],'Tablas (2)'!$L$3:$M$14,2,FALSE)</f>
        <v>ENERO</v>
      </c>
      <c r="O168" s="2012" t="s">
        <v>722</v>
      </c>
      <c r="P168" s="2012" t="s">
        <v>470</v>
      </c>
      <c r="Q168" s="2007" t="s">
        <v>165</v>
      </c>
      <c r="R168" s="2005">
        <v>2281</v>
      </c>
      <c r="S168" s="2005">
        <v>453659</v>
      </c>
      <c r="T168" s="2005" t="s">
        <v>629</v>
      </c>
      <c r="U168" s="1969" t="s">
        <v>221</v>
      </c>
      <c r="V168" s="1969">
        <v>180000292</v>
      </c>
      <c r="W168" s="1970">
        <v>43507</v>
      </c>
      <c r="X168" s="2008">
        <f>Diario_Documentos_TPL[[#This Row],[Total Pasivo
(USD)]]/1.16</f>
        <v>3166.4913793103451</v>
      </c>
      <c r="Y168" s="2008">
        <f>Diario_Documentos_TPL[[#This Row],[Importe Pasivo
(USD)]]*0.16</f>
        <v>506.63862068965523</v>
      </c>
      <c r="Z168" s="2008">
        <v>3673.13</v>
      </c>
      <c r="AA168" s="2008">
        <f>Diario_Documentos_TPL[[#This Row],[Total Pasivo
(MX)]]/1.16</f>
        <v>60416.655172413804</v>
      </c>
      <c r="AB168" s="1966">
        <f>Diario_Documentos_TPL[[#This Row],[Importe Pasivo
(MX)]]*0.16</f>
        <v>9666.664827586208</v>
      </c>
      <c r="AC168" s="1966">
        <v>70083.320000000007</v>
      </c>
      <c r="AD168" s="2019">
        <f>IFERROR(Diario_Documentos_TPL[[#This Row],[Total Pasivo
(MX)]]/Diario_Documentos_TPL[[#This Row],[Total Pasivo
(USD)]],0)</f>
        <v>19.07999989110105</v>
      </c>
      <c r="AE168" s="1969">
        <v>140000847</v>
      </c>
      <c r="AF168" s="1970">
        <v>43524</v>
      </c>
      <c r="AG168" s="1966">
        <f>Diario_Documentos_TPL[[#This Row],[Total de Pago
(USD)]]/1.16</f>
        <v>3166.4913793103451</v>
      </c>
      <c r="AH168" s="1966">
        <f>Diario_Documentos_TPL[[#This Row],[Importe de Pago
(USD)]]*0.16</f>
        <v>506.63862068965523</v>
      </c>
      <c r="AI168" s="1966">
        <f>Diario_Documentos_TPL[[#This Row],[Total Pasivo
(USD)]]</f>
        <v>3673.13</v>
      </c>
      <c r="AJ168" s="1966">
        <f>Diario_Documentos_TPL[[#This Row],[Total de Pago
(MX)]]/1.16</f>
        <v>60679.474301724149</v>
      </c>
      <c r="AK168" s="1966">
        <f>Diario_Documentos_TPL[[#This Row],[Importe de Pago
(MX)]]*0.16</f>
        <v>9708.7158882758649</v>
      </c>
      <c r="AL168" s="1966">
        <f>Diario_Documentos_TPL[[#This Row],[Total de Pago
(USD)]]*Diario_Documentos_TPL[[#This Row],[T.C Pago]]</f>
        <v>70388.190190000008</v>
      </c>
      <c r="AM168" s="2018">
        <v>19.163</v>
      </c>
      <c r="AN168" s="2009"/>
      <c r="AO168" s="2009"/>
      <c r="AP168" s="2010">
        <f>Diario_Documentos_TPL[[#This Row],[Importe de Pago
(MX)]]-Diario_Documentos_TPL[[#This Row],[Importe Pasivo
(MX)]]</f>
        <v>262.81912931034458</v>
      </c>
      <c r="AQ168" s="2010">
        <f>Diario_Documentos_TPL[[#This Row],[Total_Paridad]]-Diario_Documentos_TPL[[#This Row],[Subtotal_Paridad]]</f>
        <v>42.051060689656879</v>
      </c>
      <c r="AR168" s="2011">
        <f>Diario_Documentos_TPL[[#This Row],[Total de Pago
(MX)]]-Diario_Documentos_TPL[[#This Row],[Total Pasivo
(MX)]]</f>
        <v>304.87019000000146</v>
      </c>
    </row>
    <row r="169" spans="1:44" s="1974" customFormat="1" ht="15" hidden="1" customHeight="1" x14ac:dyDescent="0.25">
      <c r="A169" s="1969" t="s">
        <v>598</v>
      </c>
      <c r="B169" s="1969">
        <v>4326979</v>
      </c>
      <c r="C169" s="2005">
        <v>800874989</v>
      </c>
      <c r="D169" s="1969"/>
      <c r="E169" s="1969" t="s">
        <v>632</v>
      </c>
      <c r="F169" s="1969" t="s">
        <v>599</v>
      </c>
      <c r="G169" s="1969" t="s">
        <v>628</v>
      </c>
      <c r="H169" s="1969" t="str">
        <f>VLOOKUP(Diario_Documentos_TPL[[#This Row],[Centro Gestor]],Catalogo_Centro_Gestor[],2,FALSE)</f>
        <v>Gas. Corredor Chihuahua</v>
      </c>
      <c r="I169" s="1969" t="s">
        <v>630</v>
      </c>
      <c r="J169" s="1972">
        <f>IF(YEAR(Diario_Documentos_TPL[[#This Row],[Fecha de Pago]])=1900, "SIN PAGO",YEAR(Diario_Documentos_TPL[[#This Row],[Fecha de Pago]]))</f>
        <v>2019</v>
      </c>
      <c r="K169" s="1971">
        <v>2019</v>
      </c>
      <c r="L169" s="1972">
        <f>IF(MONTH(Diario_Documentos_TPL[[#This Row],[Fecha de Pago]])=0, "SIN PAGO",MONTH(Diario_Documentos_TPL[[#This Row],[Fecha de Pago]]))</f>
        <v>2</v>
      </c>
      <c r="M169" s="1971">
        <v>1</v>
      </c>
      <c r="N169" s="1971" t="str">
        <f>VLOOKUP(Diario_Documentos_TPL[[#This Row],[Periodo del Servicio]],'Tablas (2)'!$L$3:$M$14,2,FALSE)</f>
        <v>ENERO</v>
      </c>
      <c r="O169" s="2012" t="s">
        <v>723</v>
      </c>
      <c r="P169" s="1971" t="s">
        <v>470</v>
      </c>
      <c r="Q169" s="1971" t="s">
        <v>165</v>
      </c>
      <c r="R169" s="1969">
        <v>2281</v>
      </c>
      <c r="S169" s="2005">
        <v>453659</v>
      </c>
      <c r="T169" s="1969" t="s">
        <v>629</v>
      </c>
      <c r="U169" s="1969" t="s">
        <v>221</v>
      </c>
      <c r="V169" s="1969">
        <v>180000289</v>
      </c>
      <c r="W169" s="1970">
        <v>43507</v>
      </c>
      <c r="X169" s="1966">
        <f>Diario_Documentos_TPL[[#This Row],[Total Pasivo
(USD)]]/1.16</f>
        <v>549.18965517241384</v>
      </c>
      <c r="Y169" s="1966">
        <f>Diario_Documentos_TPL[[#This Row],[Importe Pasivo
(USD)]]*0.16</f>
        <v>87.870344827586209</v>
      </c>
      <c r="Z169" s="1966">
        <v>637.05999999999995</v>
      </c>
      <c r="AA169" s="1966">
        <f>Diario_Documentos_TPL[[#This Row],[Total Pasivo
(MX)]]/1.16</f>
        <v>10478.543103448277</v>
      </c>
      <c r="AB169" s="1966">
        <f>Diario_Documentos_TPL[[#This Row],[Importe Pasivo
(MX)]]*0.16</f>
        <v>1676.5668965517243</v>
      </c>
      <c r="AC169" s="1966">
        <v>12155.11</v>
      </c>
      <c r="AD169" s="2017">
        <f>IFERROR(Diario_Documentos_TPL[[#This Row],[Total Pasivo
(MX)]]/Diario_Documentos_TPL[[#This Row],[Total Pasivo
(USD)]],0)</f>
        <v>19.080008162496469</v>
      </c>
      <c r="AE169" s="1969">
        <v>140000847</v>
      </c>
      <c r="AF169" s="1970">
        <v>43524</v>
      </c>
      <c r="AG169" s="1966">
        <f>Diario_Documentos_TPL[[#This Row],[Total de Pago
(USD)]]/1.16</f>
        <v>549.18965517241384</v>
      </c>
      <c r="AH169" s="1966">
        <f>Diario_Documentos_TPL[[#This Row],[Importe de Pago
(USD)]]*0.16</f>
        <v>87.870344827586209</v>
      </c>
      <c r="AI169" s="1966">
        <f>Diario_Documentos_TPL[[#This Row],[Total Pasivo
(USD)]]</f>
        <v>637.05999999999995</v>
      </c>
      <c r="AJ169" s="1966">
        <f>Diario_Documentos_TPL[[#This Row],[Total de Pago
(MX)]]/1.16</f>
        <v>10524.121362068967</v>
      </c>
      <c r="AK169" s="1966">
        <f>Diario_Documentos_TPL[[#This Row],[Importe de Pago
(MX)]]*0.16</f>
        <v>1683.8594179310348</v>
      </c>
      <c r="AL169" s="1966">
        <f>Diario_Documentos_TPL[[#This Row],[Total de Pago
(USD)]]*Diario_Documentos_TPL[[#This Row],[T.C Pago]]</f>
        <v>12207.98078</v>
      </c>
      <c r="AM169" s="2018">
        <v>19.163</v>
      </c>
      <c r="AN169" s="1975"/>
      <c r="AO169" s="1975"/>
      <c r="AP169" s="1975">
        <f>Diario_Documentos_TPL[[#This Row],[Importe de Pago
(MX)]]-Diario_Documentos_TPL[[#This Row],[Importe Pasivo
(MX)]]</f>
        <v>45.578258620689667</v>
      </c>
      <c r="AQ169" s="1975">
        <f>Diario_Documentos_TPL[[#This Row],[Total_Paridad]]-Diario_Documentos_TPL[[#This Row],[Subtotal_Paridad]]</f>
        <v>7.2925213793096191</v>
      </c>
      <c r="AR169" s="1964">
        <f>Diario_Documentos_TPL[[#This Row],[Total de Pago
(MX)]]-Diario_Documentos_TPL[[#This Row],[Total Pasivo
(MX)]]</f>
        <v>52.870779999999286</v>
      </c>
    </row>
    <row r="170" spans="1:44" s="1974" customFormat="1" ht="15" hidden="1" customHeight="1" x14ac:dyDescent="0.25">
      <c r="A170" s="2064" t="s">
        <v>598</v>
      </c>
      <c r="B170" s="2064">
        <v>4326979</v>
      </c>
      <c r="C170" s="2064">
        <v>800874933</v>
      </c>
      <c r="D170" s="2064"/>
      <c r="E170" s="2064" t="s">
        <v>632</v>
      </c>
      <c r="F170" s="2064" t="s">
        <v>599</v>
      </c>
      <c r="G170" s="2064" t="s">
        <v>628</v>
      </c>
      <c r="H170" s="2064" t="str">
        <f>VLOOKUP(Diario_Documentos_TPL[[#This Row],[Centro Gestor]],Catalogo_Centro_Gestor[],2,FALSE)</f>
        <v>Gas. Corredor Chihuahua</v>
      </c>
      <c r="I170" s="2064" t="s">
        <v>630</v>
      </c>
      <c r="J170" s="2166">
        <f>IF(YEAR(Diario_Documentos_TPL[[#This Row],[Fecha de Pago]])=1900, "SIN PAGO",YEAR(Diario_Documentos_TPL[[#This Row],[Fecha de Pago]]))</f>
        <v>2019</v>
      </c>
      <c r="K170" s="2166">
        <v>2019</v>
      </c>
      <c r="L170" s="2012">
        <f>IF(MONTH(Diario_Documentos_TPL[[#This Row],[Fecha de Pago]])=0, "SIN PAGO",MONTH(Diario_Documentos_TPL[[#This Row],[Fecha de Pago]]))</f>
        <v>3</v>
      </c>
      <c r="M170" s="2012">
        <v>2</v>
      </c>
      <c r="N170" s="2012" t="str">
        <f>VLOOKUP(Diario_Documentos_TPL[[#This Row],[Periodo del Servicio]],'Tablas (2)'!$L$3:$M$14,2,FALSE)</f>
        <v>FEBRERO</v>
      </c>
      <c r="O170" s="2012" t="s">
        <v>730</v>
      </c>
      <c r="P170" s="2012" t="s">
        <v>340</v>
      </c>
      <c r="Q170" s="2012" t="s">
        <v>165</v>
      </c>
      <c r="R170" s="2064">
        <v>2280</v>
      </c>
      <c r="S170" s="2064">
        <v>453851</v>
      </c>
      <c r="T170" s="2064" t="s">
        <v>629</v>
      </c>
      <c r="U170" s="2064" t="s">
        <v>221</v>
      </c>
      <c r="V170" s="2064">
        <v>180000526</v>
      </c>
      <c r="W170" s="2167">
        <v>43535</v>
      </c>
      <c r="X170" s="2175">
        <f>Diario_Documentos_TPL[[#This Row],[Total Pasivo
(USD)]]/1.16</f>
        <v>4753878.6379310349</v>
      </c>
      <c r="Y170" s="2175">
        <f>Diario_Documentos_TPL[[#This Row],[Importe Pasivo
(USD)]]*0.16</f>
        <v>760620.58206896565</v>
      </c>
      <c r="Z170" s="2175">
        <v>5514499.2199999997</v>
      </c>
      <c r="AA170" s="2175">
        <f>Diario_Documentos_TPL[[#This Row],[Total Pasivo
(MX)]]/1.16</f>
        <v>92807595.706896558</v>
      </c>
      <c r="AB170" s="2175">
        <f>Diario_Documentos_TPL[[#This Row],[Importe Pasivo
(MX)]]*0.16</f>
        <v>14849215.31310345</v>
      </c>
      <c r="AC170" s="2175">
        <v>107656811.02</v>
      </c>
      <c r="AD170" s="2169">
        <f>IFERROR(Diario_Documentos_TPL[[#This Row],[Total Pasivo
(MX)]]/Diario_Documentos_TPL[[#This Row],[Total Pasivo
(USD)]],0)</f>
        <v>19.522499999555716</v>
      </c>
      <c r="AE170" s="2064">
        <v>140001160</v>
      </c>
      <c r="AF170" s="2167">
        <v>43551</v>
      </c>
      <c r="AG170" s="2168">
        <f>Diario_Documentos_TPL[[#This Row],[Total de Pago
(USD)]]/1.16</f>
        <v>4753878.6379310349</v>
      </c>
      <c r="AH170" s="2168">
        <f>Diario_Documentos_TPL[[#This Row],[Importe de Pago
(USD)]]*0.16</f>
        <v>760620.58206896565</v>
      </c>
      <c r="AI170" s="2174">
        <f>Diario_Documentos_TPL[[#This Row],[Total Pasivo
(USD)]]</f>
        <v>5514499.2199999997</v>
      </c>
      <c r="AJ170" s="2174">
        <f>Diario_Documentos_TPL[[#This Row],[Total de Pago
(MX)]]/1.16</f>
        <v>90395477.688122422</v>
      </c>
      <c r="AK170" s="2174">
        <f>Diario_Documentos_TPL[[#This Row],[Importe de Pago
(MX)]]*0.16</f>
        <v>14463276.430099588</v>
      </c>
      <c r="AL170" s="2174">
        <f>Diario_Documentos_TPL[[#This Row],[Total de Pago
(USD)]]*Diario_Documentos_TPL[[#This Row],[T.C Pago]]</f>
        <v>104858754.118222</v>
      </c>
      <c r="AM170" s="2170">
        <v>19.0151</v>
      </c>
      <c r="AN170" s="2171"/>
      <c r="AO170" s="2171"/>
      <c r="AP170" s="2172">
        <f>Diario_Documentos_TPL[[#This Row],[Importe de Pago
(MX)]]-Diario_Documentos_TPL[[#This Row],[Importe Pasivo
(MX)]]</f>
        <v>-2412118.0187741369</v>
      </c>
      <c r="AQ170" s="2172">
        <f>Diario_Documentos_TPL[[#This Row],[Total_Paridad]]-Diario_Documentos_TPL[[#This Row],[Subtotal_Paridad]]</f>
        <v>-385938.88300386071</v>
      </c>
      <c r="AR170" s="2173">
        <f>Diario_Documentos_TPL[[#This Row],[Total de Pago
(MX)]]-Diario_Documentos_TPL[[#This Row],[Total Pasivo
(MX)]]</f>
        <v>-2798056.9017779976</v>
      </c>
    </row>
    <row r="171" spans="1:44" s="1974" customFormat="1" ht="15" hidden="1" customHeight="1" x14ac:dyDescent="0.25">
      <c r="A171" s="2064" t="s">
        <v>598</v>
      </c>
      <c r="B171" s="2064">
        <v>4326979</v>
      </c>
      <c r="C171" s="2064">
        <v>800874975</v>
      </c>
      <c r="D171" s="2064"/>
      <c r="E171" s="2064" t="s">
        <v>632</v>
      </c>
      <c r="F171" s="2064" t="s">
        <v>599</v>
      </c>
      <c r="G171" s="2064" t="s">
        <v>628</v>
      </c>
      <c r="H171" s="2064" t="str">
        <f>VLOOKUP(Diario_Documentos_TPL[[#This Row],[Centro Gestor]],Catalogo_Centro_Gestor[],2,FALSE)</f>
        <v>Gas. Corredor Chihuahua</v>
      </c>
      <c r="I171" s="2064" t="s">
        <v>630</v>
      </c>
      <c r="J171" s="2166">
        <f>IF(YEAR(Diario_Documentos_TPL[[#This Row],[Fecha de Pago]])=1900, "SIN PAGO",YEAR(Diario_Documentos_TPL[[#This Row],[Fecha de Pago]]))</f>
        <v>2019</v>
      </c>
      <c r="K171" s="2166">
        <v>2019</v>
      </c>
      <c r="L171" s="2012">
        <f>IF(MONTH(Diario_Documentos_TPL[[#This Row],[Fecha de Pago]])=0, "SIN PAGO",MONTH(Diario_Documentos_TPL[[#This Row],[Fecha de Pago]]))</f>
        <v>3</v>
      </c>
      <c r="M171" s="2012">
        <v>2</v>
      </c>
      <c r="N171" s="2012" t="str">
        <f>VLOOKUP(Diario_Documentos_TPL[[#This Row],[Periodo del Servicio]],'Tablas (2)'!$L$3:$M$14,2,FALSE)</f>
        <v>FEBRERO</v>
      </c>
      <c r="O171" s="2012" t="s">
        <v>724</v>
      </c>
      <c r="P171" s="2012" t="s">
        <v>340</v>
      </c>
      <c r="Q171" s="2012" t="s">
        <v>165</v>
      </c>
      <c r="R171" s="2064">
        <v>2280</v>
      </c>
      <c r="S171" s="2064">
        <v>453851</v>
      </c>
      <c r="T171" s="2064" t="s">
        <v>629</v>
      </c>
      <c r="U171" s="2064" t="s">
        <v>221</v>
      </c>
      <c r="V171" s="2064">
        <v>180000528</v>
      </c>
      <c r="W171" s="2167">
        <v>43535</v>
      </c>
      <c r="X171" s="2175">
        <f>Diario_Documentos_TPL[[#This Row],[Total Pasivo
(USD)]]/1.16</f>
        <v>447053.49137931038</v>
      </c>
      <c r="Y171" s="2175">
        <f>Diario_Documentos_TPL[[#This Row],[Importe Pasivo
(USD)]]*0.16</f>
        <v>71528.558620689655</v>
      </c>
      <c r="Z171" s="2175">
        <v>518582.05</v>
      </c>
      <c r="AA171" s="2175">
        <f>Diario_Documentos_TPL[[#This Row],[Total Pasivo
(MX)]]/1.16</f>
        <v>8727601.7844827604</v>
      </c>
      <c r="AB171" s="2175">
        <f>Diario_Documentos_TPL[[#This Row],[Importe Pasivo
(MX)]]*0.16</f>
        <v>1396416.2855172416</v>
      </c>
      <c r="AC171" s="2175">
        <v>10124018.07</v>
      </c>
      <c r="AD171" s="2169">
        <f>IFERROR(Diario_Documentos_TPL[[#This Row],[Total Pasivo
(MX)]]/Diario_Documentos_TPL[[#This Row],[Total Pasivo
(USD)]],0)</f>
        <v>19.522499997830625</v>
      </c>
      <c r="AE171" s="2064">
        <v>140001160</v>
      </c>
      <c r="AF171" s="2167">
        <v>43551</v>
      </c>
      <c r="AG171" s="2168">
        <f>Diario_Documentos_TPL[[#This Row],[Total de Pago
(USD)]]/1.16</f>
        <v>447053.49137931038</v>
      </c>
      <c r="AH171" s="2168">
        <f>Diario_Documentos_TPL[[#This Row],[Importe de Pago
(USD)]]*0.16</f>
        <v>71528.558620689655</v>
      </c>
      <c r="AI171" s="2174">
        <f>Diario_Documentos_TPL[[#This Row],[Total Pasivo
(USD)]]</f>
        <v>518582.05</v>
      </c>
      <c r="AJ171" s="2174">
        <f>Diario_Documentos_TPL[[#This Row],[Total de Pago
(MX)]]/1.16</f>
        <v>8500766.843926724</v>
      </c>
      <c r="AK171" s="2174">
        <f>Diario_Documentos_TPL[[#This Row],[Importe de Pago
(MX)]]*0.16</f>
        <v>1360122.6950282759</v>
      </c>
      <c r="AL171" s="2174">
        <f>Diario_Documentos_TPL[[#This Row],[Total de Pago
(USD)]]*Diario_Documentos_TPL[[#This Row],[T.C Pago]]</f>
        <v>9860889.5389549993</v>
      </c>
      <c r="AM171" s="2170">
        <v>19.0151</v>
      </c>
      <c r="AN171" s="2171"/>
      <c r="AO171" s="2171"/>
      <c r="AP171" s="2172">
        <f>Diario_Documentos_TPL[[#This Row],[Importe de Pago
(MX)]]-Diario_Documentos_TPL[[#This Row],[Importe Pasivo
(MX)]]</f>
        <v>-226834.94055603631</v>
      </c>
      <c r="AQ171" s="2172">
        <f>Diario_Documentos_TPL[[#This Row],[Total_Paridad]]-Diario_Documentos_TPL[[#This Row],[Subtotal_Paridad]]</f>
        <v>-36293.590488964692</v>
      </c>
      <c r="AR171" s="2173">
        <f>Diario_Documentos_TPL[[#This Row],[Total de Pago
(MX)]]-Diario_Documentos_TPL[[#This Row],[Total Pasivo
(MX)]]</f>
        <v>-263128.531045001</v>
      </c>
    </row>
    <row r="172" spans="1:44" s="1974" customFormat="1" ht="15" hidden="1" customHeight="1" x14ac:dyDescent="0.25">
      <c r="A172" s="2064" t="s">
        <v>598</v>
      </c>
      <c r="B172" s="2064">
        <v>4326979</v>
      </c>
      <c r="C172" s="2064">
        <v>800874989</v>
      </c>
      <c r="D172" s="2064"/>
      <c r="E172" s="2064" t="s">
        <v>632</v>
      </c>
      <c r="F172" s="2064" t="s">
        <v>599</v>
      </c>
      <c r="G172" s="2064" t="s">
        <v>628</v>
      </c>
      <c r="H172" s="2064" t="str">
        <f>VLOOKUP(Diario_Documentos_TPL[[#This Row],[Centro Gestor]],Catalogo_Centro_Gestor[],2,FALSE)</f>
        <v>Gas. Corredor Chihuahua</v>
      </c>
      <c r="I172" s="2064" t="s">
        <v>630</v>
      </c>
      <c r="J172" s="2166">
        <f>IF(YEAR(Diario_Documentos_TPL[[#This Row],[Fecha de Pago]])=1900, "SIN PAGO",YEAR(Diario_Documentos_TPL[[#This Row],[Fecha de Pago]]))</f>
        <v>2019</v>
      </c>
      <c r="K172" s="2166">
        <v>2019</v>
      </c>
      <c r="L172" s="2012">
        <f>IF(MONTH(Diario_Documentos_TPL[[#This Row],[Fecha de Pago]])=0, "SIN PAGO",MONTH(Diario_Documentos_TPL[[#This Row],[Fecha de Pago]]))</f>
        <v>3</v>
      </c>
      <c r="M172" s="2012">
        <v>2</v>
      </c>
      <c r="N172" s="2012" t="str">
        <f>VLOOKUP(Diario_Documentos_TPL[[#This Row],[Periodo del Servicio]],'Tablas (2)'!$L$3:$M$14,2,FALSE)</f>
        <v>FEBRERO</v>
      </c>
      <c r="O172" s="2012" t="s">
        <v>730</v>
      </c>
      <c r="P172" s="2012" t="s">
        <v>470</v>
      </c>
      <c r="Q172" s="2012" t="s">
        <v>165</v>
      </c>
      <c r="R172" s="2064">
        <v>2281</v>
      </c>
      <c r="S172" s="2064">
        <v>453659</v>
      </c>
      <c r="T172" s="2064" t="s">
        <v>629</v>
      </c>
      <c r="U172" s="2064" t="s">
        <v>221</v>
      </c>
      <c r="V172" s="2064">
        <v>180000530</v>
      </c>
      <c r="W172" s="2167">
        <v>43535</v>
      </c>
      <c r="X172" s="2175">
        <f>Diario_Documentos_TPL[[#This Row],[Total Pasivo
(USD)]]/1.16</f>
        <v>555.88793103448279</v>
      </c>
      <c r="Y172" s="2175">
        <f>Diario_Documentos_TPL[[#This Row],[Importe Pasivo
(USD)]]*0.16</f>
        <v>88.942068965517251</v>
      </c>
      <c r="Z172" s="2175">
        <v>644.83000000000004</v>
      </c>
      <c r="AA172" s="2175">
        <f>Diario_Documentos_TPL[[#This Row],[Total Pasivo
(MX)]]/1.16</f>
        <v>10852.318965517243</v>
      </c>
      <c r="AB172" s="2175">
        <f>Diario_Documentos_TPL[[#This Row],[Importe Pasivo
(MX)]]*0.16</f>
        <v>1736.3710344827589</v>
      </c>
      <c r="AC172" s="2175">
        <v>12588.69</v>
      </c>
      <c r="AD172" s="2170">
        <f>IFERROR(Diario_Documentos_TPL[[#This Row],[Total Pasivo
(MX)]]/Diario_Documentos_TPL[[#This Row],[Total Pasivo
(USD)]],0)</f>
        <v>19.522494300823471</v>
      </c>
      <c r="AE172" s="2064">
        <v>140001168</v>
      </c>
      <c r="AF172" s="2167">
        <v>43551</v>
      </c>
      <c r="AG172" s="2168">
        <f>Diario_Documentos_TPL[[#This Row],[Total de Pago
(USD)]]/1.16</f>
        <v>555.88793103448279</v>
      </c>
      <c r="AH172" s="2168">
        <f>Diario_Documentos_TPL[[#This Row],[Importe de Pago
(USD)]]*0.16</f>
        <v>88.942068965517251</v>
      </c>
      <c r="AI172" s="2174">
        <f>Diario_Documentos_TPL[[#This Row],[Total Pasivo
(USD)]]</f>
        <v>644.83000000000004</v>
      </c>
      <c r="AJ172" s="2174">
        <f>Diario_Documentos_TPL[[#This Row],[Total de Pago
(MX)]]/1.16</f>
        <v>10570.264597413794</v>
      </c>
      <c r="AK172" s="2174">
        <f>Diario_Documentos_TPL[[#This Row],[Importe de Pago
(MX)]]*0.16</f>
        <v>1691.242335586207</v>
      </c>
      <c r="AL172" s="2174">
        <f>Diario_Documentos_TPL[[#This Row],[Total de Pago
(USD)]]*Diario_Documentos_TPL[[#This Row],[T.C Pago]]</f>
        <v>12261.506933000001</v>
      </c>
      <c r="AM172" s="2170">
        <v>19.0151</v>
      </c>
      <c r="AN172" s="2171"/>
      <c r="AO172" s="2171"/>
      <c r="AP172" s="2172">
        <f>Diario_Documentos_TPL[[#This Row],[Importe de Pago
(MX)]]-Diario_Documentos_TPL[[#This Row],[Importe Pasivo
(MX)]]</f>
        <v>-282.05436810344872</v>
      </c>
      <c r="AQ172" s="2172">
        <f>Diario_Documentos_TPL[[#This Row],[Total_Paridad]]-Diario_Documentos_TPL[[#This Row],[Subtotal_Paridad]]</f>
        <v>-45.128698896551214</v>
      </c>
      <c r="AR172" s="2173">
        <f>Diario_Documentos_TPL[[#This Row],[Total de Pago
(MX)]]-Diario_Documentos_TPL[[#This Row],[Total Pasivo
(MX)]]</f>
        <v>-327.18306699999994</v>
      </c>
    </row>
    <row r="173" spans="1:44" s="1974" customFormat="1" ht="15" hidden="1" customHeight="1" x14ac:dyDescent="0.25">
      <c r="A173" s="2064" t="s">
        <v>598</v>
      </c>
      <c r="B173" s="2064">
        <v>4326979</v>
      </c>
      <c r="C173" s="2064">
        <v>800874989</v>
      </c>
      <c r="D173" s="2064"/>
      <c r="E173" s="2064" t="s">
        <v>632</v>
      </c>
      <c r="F173" s="2064" t="s">
        <v>599</v>
      </c>
      <c r="G173" s="2064" t="s">
        <v>628</v>
      </c>
      <c r="H173" s="2064" t="str">
        <f>VLOOKUP(Diario_Documentos_TPL[[#This Row],[Centro Gestor]],Catalogo_Centro_Gestor[],2,FALSE)</f>
        <v>Gas. Corredor Chihuahua</v>
      </c>
      <c r="I173" s="2064" t="s">
        <v>630</v>
      </c>
      <c r="J173" s="2166">
        <f>IF(YEAR(Diario_Documentos_TPL[[#This Row],[Fecha de Pago]])=1900, "SIN PAGO",YEAR(Diario_Documentos_TPL[[#This Row],[Fecha de Pago]]))</f>
        <v>2019</v>
      </c>
      <c r="K173" s="2166">
        <v>2019</v>
      </c>
      <c r="L173" s="2012">
        <f>IF(MONTH(Diario_Documentos_TPL[[#This Row],[Fecha de Pago]])=0, "SIN PAGO",MONTH(Diario_Documentos_TPL[[#This Row],[Fecha de Pago]]))</f>
        <v>3</v>
      </c>
      <c r="M173" s="2012">
        <v>2</v>
      </c>
      <c r="N173" s="2012" t="str">
        <f>VLOOKUP(Diario_Documentos_TPL[[#This Row],[Periodo del Servicio]],'Tablas (2)'!$L$3:$M$14,2,FALSE)</f>
        <v>FEBRERO</v>
      </c>
      <c r="O173" s="2012" t="s">
        <v>731</v>
      </c>
      <c r="P173" s="2012" t="s">
        <v>470</v>
      </c>
      <c r="Q173" s="2012" t="s">
        <v>165</v>
      </c>
      <c r="R173" s="2064">
        <v>2281</v>
      </c>
      <c r="S173" s="2064">
        <v>453659</v>
      </c>
      <c r="T173" s="2064" t="s">
        <v>629</v>
      </c>
      <c r="U173" s="2064" t="s">
        <v>221</v>
      </c>
      <c r="V173" s="2064">
        <v>180000529</v>
      </c>
      <c r="W173" s="2167">
        <v>43535</v>
      </c>
      <c r="X173" s="2175">
        <f>Diario_Documentos_TPL[[#This Row],[Total Pasivo
(USD)]]/1.16</f>
        <v>2005.4310344827588</v>
      </c>
      <c r="Y173" s="2175">
        <f>Diario_Documentos_TPL[[#This Row],[Importe Pasivo
(USD)]]*0.16</f>
        <v>320.86896551724141</v>
      </c>
      <c r="Z173" s="2175">
        <v>2326.3000000000002</v>
      </c>
      <c r="AA173" s="2175">
        <f>Diario_Documentos_TPL[[#This Row],[Total Pasivo
(MX)]]/1.16</f>
        <v>39151.025862068971</v>
      </c>
      <c r="AB173" s="2175">
        <f>Diario_Documentos_TPL[[#This Row],[Importe Pasivo
(MX)]]*0.16</f>
        <v>6264.1641379310358</v>
      </c>
      <c r="AC173" s="2175">
        <v>45415.19</v>
      </c>
      <c r="AD173" s="2170">
        <f>IFERROR(Diario_Documentos_TPL[[#This Row],[Total Pasivo
(MX)]]/Diario_Documentos_TPL[[#This Row],[Total Pasivo
(USD)]],0)</f>
        <v>19.522499247732451</v>
      </c>
      <c r="AE173" s="2064">
        <v>140001168</v>
      </c>
      <c r="AF173" s="2167">
        <v>43551</v>
      </c>
      <c r="AG173" s="2168">
        <f>Diario_Documentos_TPL[[#This Row],[Total de Pago
(USD)]]/1.16</f>
        <v>2005.4310344827588</v>
      </c>
      <c r="AH173" s="2168">
        <f>Diario_Documentos_TPL[[#This Row],[Importe de Pago
(USD)]]*0.16</f>
        <v>320.86896551724141</v>
      </c>
      <c r="AI173" s="2174">
        <f>Diario_Documentos_TPL[[#This Row],[Total Pasivo
(USD)]]</f>
        <v>2326.3000000000002</v>
      </c>
      <c r="AJ173" s="2174">
        <f>Diario_Documentos_TPL[[#This Row],[Total de Pago
(MX)]]/1.16</f>
        <v>38133.471663793112</v>
      </c>
      <c r="AK173" s="2174">
        <f>Diario_Documentos_TPL[[#This Row],[Importe de Pago
(MX)]]*0.16</f>
        <v>6101.3554662068982</v>
      </c>
      <c r="AL173" s="2174">
        <f>Diario_Documentos_TPL[[#This Row],[Total de Pago
(USD)]]*Diario_Documentos_TPL[[#This Row],[T.C Pago]]</f>
        <v>44234.827130000005</v>
      </c>
      <c r="AM173" s="2170">
        <v>19.0151</v>
      </c>
      <c r="AN173" s="2171"/>
      <c r="AO173" s="2171"/>
      <c r="AP173" s="2172">
        <f>Diario_Documentos_TPL[[#This Row],[Importe de Pago
(MX)]]-Diario_Documentos_TPL[[#This Row],[Importe Pasivo
(MX)]]</f>
        <v>-1017.5541982758587</v>
      </c>
      <c r="AQ173" s="2172">
        <f>Diario_Documentos_TPL[[#This Row],[Total_Paridad]]-Diario_Documentos_TPL[[#This Row],[Subtotal_Paridad]]</f>
        <v>-162.80867172413855</v>
      </c>
      <c r="AR173" s="2173">
        <f>Diario_Documentos_TPL[[#This Row],[Total de Pago
(MX)]]-Diario_Documentos_TPL[[#This Row],[Total Pasivo
(MX)]]</f>
        <v>-1180.3628699999972</v>
      </c>
    </row>
    <row r="174" spans="1:44" s="1974" customFormat="1" ht="15" hidden="1" customHeight="1" x14ac:dyDescent="0.25">
      <c r="A174" s="2064" t="s">
        <v>598</v>
      </c>
      <c r="B174" s="2064">
        <v>4326979</v>
      </c>
      <c r="C174" s="2064">
        <v>800874989</v>
      </c>
      <c r="D174" s="2064"/>
      <c r="E174" s="2064" t="s">
        <v>632</v>
      </c>
      <c r="F174" s="2064" t="s">
        <v>599</v>
      </c>
      <c r="G174" s="2064" t="s">
        <v>628</v>
      </c>
      <c r="H174" s="2064" t="str">
        <f>VLOOKUP(Diario_Documentos_TPL[[#This Row],[Centro Gestor]],Catalogo_Centro_Gestor[],2,FALSE)</f>
        <v>Gas. Corredor Chihuahua</v>
      </c>
      <c r="I174" s="2064" t="s">
        <v>630</v>
      </c>
      <c r="J174" s="2166">
        <f>IF(YEAR(Diario_Documentos_TPL[[#This Row],[Fecha de Pago]])=1900, "SIN PAGO",YEAR(Diario_Documentos_TPL[[#This Row],[Fecha de Pago]]))</f>
        <v>2019</v>
      </c>
      <c r="K174" s="2166">
        <v>2019</v>
      </c>
      <c r="L174" s="2012">
        <f>IF(MONTH(Diario_Documentos_TPL[[#This Row],[Fecha de Pago]])=0, "SIN PAGO",MONTH(Diario_Documentos_TPL[[#This Row],[Fecha de Pago]]))</f>
        <v>3</v>
      </c>
      <c r="M174" s="2012">
        <v>2</v>
      </c>
      <c r="N174" s="2012" t="str">
        <f>VLOOKUP(Diario_Documentos_TPL[[#This Row],[Periodo del Servicio]],'Tablas (2)'!$L$3:$M$14,2,FALSE)</f>
        <v>FEBRERO</v>
      </c>
      <c r="O174" s="2012" t="s">
        <v>732</v>
      </c>
      <c r="P174" s="2012" t="s">
        <v>470</v>
      </c>
      <c r="Q174" s="2012" t="s">
        <v>165</v>
      </c>
      <c r="R174" s="2064">
        <v>2281</v>
      </c>
      <c r="S174" s="2064">
        <v>453659</v>
      </c>
      <c r="T174" s="2064" t="s">
        <v>629</v>
      </c>
      <c r="U174" s="2064" t="s">
        <v>221</v>
      </c>
      <c r="V174" s="2064">
        <v>180000531</v>
      </c>
      <c r="W174" s="2167">
        <v>43535</v>
      </c>
      <c r="X174" s="2175">
        <f>Diario_Documentos_TPL[[#This Row],[Total Pasivo
(USD)]]/1.16</f>
        <v>2887.2413793103447</v>
      </c>
      <c r="Y174" s="2175">
        <f>Diario_Documentos_TPL[[#This Row],[Importe Pasivo
(USD)]]*0.16</f>
        <v>461.95862068965516</v>
      </c>
      <c r="Z174" s="2175">
        <v>3349.2</v>
      </c>
      <c r="AA174" s="2175">
        <f>Diario_Documentos_TPL[[#This Row],[Total Pasivo
(MX)]]/1.16</f>
        <v>56366.163793103449</v>
      </c>
      <c r="AB174" s="2175">
        <f>Diario_Documentos_TPL[[#This Row],[Importe Pasivo
(MX)]]*0.16</f>
        <v>9018.5862068965525</v>
      </c>
      <c r="AC174" s="2175">
        <v>65384.75</v>
      </c>
      <c r="AD174" s="2170">
        <f>IFERROR(Diario_Documentos_TPL[[#This Row],[Total Pasivo
(MX)]]/Diario_Documentos_TPL[[#This Row],[Total Pasivo
(USD)]],0)</f>
        <v>19.522497909948644</v>
      </c>
      <c r="AE174" s="2064">
        <v>140001168</v>
      </c>
      <c r="AF174" s="2167">
        <v>43551</v>
      </c>
      <c r="AG174" s="2168">
        <f>Diario_Documentos_TPL[[#This Row],[Total de Pago
(USD)]]/1.16</f>
        <v>2887.2413793103447</v>
      </c>
      <c r="AH174" s="2168">
        <f>Diario_Documentos_TPL[[#This Row],[Importe de Pago
(USD)]]*0.16</f>
        <v>461.95862068965516</v>
      </c>
      <c r="AI174" s="2174">
        <f>Diario_Documentos_TPL[[#This Row],[Total Pasivo
(USD)]]</f>
        <v>3349.2</v>
      </c>
      <c r="AJ174" s="2174">
        <f>Diario_Documentos_TPL[[#This Row],[Total de Pago
(MX)]]/1.16</f>
        <v>54901.183551724134</v>
      </c>
      <c r="AK174" s="2174">
        <f>Diario_Documentos_TPL[[#This Row],[Importe de Pago
(MX)]]*0.16</f>
        <v>8784.1893682758619</v>
      </c>
      <c r="AL174" s="2174">
        <f>Diario_Documentos_TPL[[#This Row],[Total de Pago
(USD)]]*Diario_Documentos_TPL[[#This Row],[T.C Pago]]</f>
        <v>63685.372919999994</v>
      </c>
      <c r="AM174" s="2170">
        <v>19.0151</v>
      </c>
      <c r="AN174" s="2171"/>
      <c r="AO174" s="2171"/>
      <c r="AP174" s="2172">
        <f>Diario_Documentos_TPL[[#This Row],[Importe de Pago
(MX)]]-Diario_Documentos_TPL[[#This Row],[Importe Pasivo
(MX)]]</f>
        <v>-1464.980241379315</v>
      </c>
      <c r="AQ174" s="2172">
        <f>Diario_Documentos_TPL[[#This Row],[Total_Paridad]]-Diario_Documentos_TPL[[#This Row],[Subtotal_Paridad]]</f>
        <v>-234.39683862069069</v>
      </c>
      <c r="AR174" s="2173">
        <f>Diario_Documentos_TPL[[#This Row],[Total de Pago
(MX)]]-Diario_Documentos_TPL[[#This Row],[Total Pasivo
(MX)]]</f>
        <v>-1699.3770800000057</v>
      </c>
    </row>
    <row r="175" spans="1:44" ht="15" customHeight="1" x14ac:dyDescent="0.25">
      <c r="A175" s="2022" t="s">
        <v>598</v>
      </c>
      <c r="B175" s="2022">
        <v>4326979</v>
      </c>
      <c r="C175" s="2022">
        <v>800874933</v>
      </c>
      <c r="D175" s="2022"/>
      <c r="E175" s="2022" t="s">
        <v>632</v>
      </c>
      <c r="F175" s="2022" t="s">
        <v>599</v>
      </c>
      <c r="G175" s="2022" t="s">
        <v>628</v>
      </c>
      <c r="H175" s="2022" t="str">
        <f>VLOOKUP(Diario_Documentos_TPL[[#This Row],[Centro Gestor]],Catalogo_Centro_Gestor[],2,FALSE)</f>
        <v>Gas. Corredor Chihuahua</v>
      </c>
      <c r="I175" s="2022" t="s">
        <v>630</v>
      </c>
      <c r="J175" s="2023">
        <f>IF(YEAR(Diario_Documentos_TPL[[#This Row],[Fecha de Pago]])=1900, "SIN PAGO",YEAR(Diario_Documentos_TPL[[#This Row],[Fecha de Pago]]))</f>
        <v>2019</v>
      </c>
      <c r="K175" s="2023">
        <v>2019</v>
      </c>
      <c r="L175" s="2024">
        <f>IF(MONTH(Diario_Documentos_TPL[[#This Row],[Fecha de Pago]])=0, "SIN PAGO",MONTH(Diario_Documentos_TPL[[#This Row],[Fecha de Pago]]))</f>
        <v>4</v>
      </c>
      <c r="M175" s="2024">
        <v>3</v>
      </c>
      <c r="N175" s="1971" t="str">
        <f>VLOOKUP(Diario_Documentos_TPL[[#This Row],[Periodo del Servicio]],'Tablas (2)'!$L$3:$M$14,2,FALSE)</f>
        <v>MARZO</v>
      </c>
      <c r="O175" s="2012" t="s">
        <v>737</v>
      </c>
      <c r="P175" s="2024" t="s">
        <v>340</v>
      </c>
      <c r="Q175" s="2024" t="s">
        <v>165</v>
      </c>
      <c r="R175" s="2022">
        <v>2280</v>
      </c>
      <c r="S175" s="2022">
        <v>453851</v>
      </c>
      <c r="T175" s="2022" t="s">
        <v>629</v>
      </c>
      <c r="U175" s="2064" t="s">
        <v>221</v>
      </c>
      <c r="V175" s="2022">
        <v>180000771</v>
      </c>
      <c r="W175" s="1970">
        <v>43564</v>
      </c>
      <c r="X175" s="2033">
        <f>Diario_Documentos_TPL[[#This Row],[Total Pasivo
(USD)]]/1.16</f>
        <v>4753878.6379310349</v>
      </c>
      <c r="Y175" s="2033">
        <f>Diario_Documentos_TPL[[#This Row],[Importe Pasivo
(USD)]]*0.16</f>
        <v>760620.58206896565</v>
      </c>
      <c r="Z175" s="2033">
        <v>5514499.2199999997</v>
      </c>
      <c r="AA175" s="2027">
        <f>Diario_Documentos_TPL[[#This Row],[Total Pasivo
(MX)]]/1.16</f>
        <v>90706381.353448287</v>
      </c>
      <c r="AB175" s="2033">
        <f>Diario_Documentos_TPL[[#This Row],[Importe Pasivo
(MX)]]*0.16</f>
        <v>14513021.016551726</v>
      </c>
      <c r="AC175" s="2033">
        <v>105219402.37</v>
      </c>
      <c r="AD175" s="2170">
        <f>IFERROR(Diario_Documentos_TPL[[#This Row],[Total Pasivo
(MX)]]/Diario_Documentos_TPL[[#This Row],[Total Pasivo
(USD)]],0)</f>
        <v>19.080500000505939</v>
      </c>
      <c r="AE175" s="2022">
        <v>140001482</v>
      </c>
      <c r="AF175" s="2025">
        <v>43580</v>
      </c>
      <c r="AG175" s="2027">
        <f>Diario_Documentos_TPL[[#This Row],[Total de Pago
(USD)]]/1.16</f>
        <v>4753878.6379310349</v>
      </c>
      <c r="AH175" s="2027">
        <f>Diario_Documentos_TPL[[#This Row],[Importe de Pago
(USD)]]*0.16</f>
        <v>760620.58206896565</v>
      </c>
      <c r="AI175" s="2033">
        <f>Diario_Documentos_TPL[[#This Row],[Total Pasivo
(USD)]]</f>
        <v>5514499.2199999997</v>
      </c>
      <c r="AJ175" s="2033">
        <f>Diario_Documentos_TPL[[#This Row],[Total de Pago
(MX)]]/1.16</f>
        <v>90123080.442168966</v>
      </c>
      <c r="AK175" s="2033">
        <f>Diario_Documentos_TPL[[#This Row],[Importe de Pago
(MX)]]*0.16</f>
        <v>14419692.870747035</v>
      </c>
      <c r="AL175" s="2033">
        <f>Diario_Documentos_TPL[[#This Row],[Total de Pago
(USD)]]*Diario_Documentos_TPL[[#This Row],[T.C Pago]]</f>
        <v>104542773.312916</v>
      </c>
      <c r="AM175" s="2028">
        <v>18.957799999999999</v>
      </c>
      <c r="AN175" s="2029"/>
      <c r="AO175" s="2029"/>
      <c r="AP175" s="2030">
        <f>Diario_Documentos_TPL[[#This Row],[Importe de Pago
(MX)]]-Diario_Documentos_TPL[[#This Row],[Importe Pasivo
(MX)]]</f>
        <v>-583300.91127932072</v>
      </c>
      <c r="AQ175" s="2030">
        <f>Diario_Documentos_TPL[[#This Row],[Total_Paridad]]-Diario_Documentos_TPL[[#This Row],[Subtotal_Paridad]]</f>
        <v>-93328.145804688334</v>
      </c>
      <c r="AR175" s="2031">
        <f>Diario_Documentos_TPL[[#This Row],[Total de Pago
(MX)]]-Diario_Documentos_TPL[[#This Row],[Total Pasivo
(MX)]]</f>
        <v>-676629.05708400905</v>
      </c>
    </row>
    <row r="176" spans="1:44" ht="15" customHeight="1" x14ac:dyDescent="0.25">
      <c r="A176" s="2022" t="s">
        <v>598</v>
      </c>
      <c r="B176" s="2022">
        <v>4326979</v>
      </c>
      <c r="C176" s="2022">
        <v>800874975</v>
      </c>
      <c r="D176" s="2022"/>
      <c r="E176" s="2022" t="s">
        <v>632</v>
      </c>
      <c r="F176" s="2022" t="s">
        <v>599</v>
      </c>
      <c r="G176" s="2022" t="s">
        <v>628</v>
      </c>
      <c r="H176" s="2022" t="str">
        <f>VLOOKUP(Diario_Documentos_TPL[[#This Row],[Centro Gestor]],Catalogo_Centro_Gestor[],2,FALSE)</f>
        <v>Gas. Corredor Chihuahua</v>
      </c>
      <c r="I176" s="2022" t="s">
        <v>630</v>
      </c>
      <c r="J176" s="2023">
        <f>IF(YEAR(Diario_Documentos_TPL[[#This Row],[Fecha de Pago]])=1900, "SIN PAGO",YEAR(Diario_Documentos_TPL[[#This Row],[Fecha de Pago]]))</f>
        <v>2019</v>
      </c>
      <c r="K176" s="2023">
        <v>2019</v>
      </c>
      <c r="L176" s="2024">
        <f>IF(MONTH(Diario_Documentos_TPL[[#This Row],[Fecha de Pago]])=0, "SIN PAGO",MONTH(Diario_Documentos_TPL[[#This Row],[Fecha de Pago]]))</f>
        <v>4</v>
      </c>
      <c r="M176" s="2024">
        <v>3</v>
      </c>
      <c r="N176" s="1971" t="str">
        <f>VLOOKUP(Diario_Documentos_TPL[[#This Row],[Periodo del Servicio]],'Tablas (2)'!$L$3:$M$14,2,FALSE)</f>
        <v>MARZO</v>
      </c>
      <c r="O176" s="2012" t="s">
        <v>735</v>
      </c>
      <c r="P176" s="2024" t="s">
        <v>340</v>
      </c>
      <c r="Q176" s="2024" t="s">
        <v>165</v>
      </c>
      <c r="R176" s="2022">
        <v>2280</v>
      </c>
      <c r="S176" s="2022">
        <v>453851</v>
      </c>
      <c r="T176" s="2022" t="s">
        <v>629</v>
      </c>
      <c r="U176" s="2022" t="s">
        <v>221</v>
      </c>
      <c r="V176" s="2022">
        <v>180000769</v>
      </c>
      <c r="W176" s="1970">
        <v>43564</v>
      </c>
      <c r="X176" s="2033">
        <f>Diario_Documentos_TPL[[#This Row],[Total Pasivo
(USD)]]/1.16</f>
        <v>447053.49137931038</v>
      </c>
      <c r="Y176" s="2033">
        <f>Diario_Documentos_TPL[[#This Row],[Importe Pasivo
(USD)]]*0.16</f>
        <v>71528.558620689655</v>
      </c>
      <c r="Z176" s="2033">
        <v>518582.05</v>
      </c>
      <c r="AA176" s="2027">
        <f>Diario_Documentos_TPL[[#This Row],[Total Pasivo
(MX)]]/1.16</f>
        <v>8530004.1465517245</v>
      </c>
      <c r="AB176" s="2033">
        <f>Diario_Documentos_TPL[[#This Row],[Importe Pasivo
(MX)]]*0.16</f>
        <v>1364800.663448276</v>
      </c>
      <c r="AC176" s="2033">
        <v>9894804.8100000005</v>
      </c>
      <c r="AD176" s="2170">
        <f>IFERROR(Diario_Documentos_TPL[[#This Row],[Total Pasivo
(MX)]]/Diario_Documentos_TPL[[#This Row],[Total Pasivo
(USD)]],0)</f>
        <v>19.080500009593468</v>
      </c>
      <c r="AE176" s="2022">
        <v>140001482</v>
      </c>
      <c r="AF176" s="2025">
        <v>43580</v>
      </c>
      <c r="AG176" s="2027">
        <f>Diario_Documentos_TPL[[#This Row],[Total de Pago
(USD)]]/1.16</f>
        <v>447053.49137931038</v>
      </c>
      <c r="AH176" s="2027">
        <f>Diario_Documentos_TPL[[#This Row],[Importe de Pago
(USD)]]*0.16</f>
        <v>71528.558620689655</v>
      </c>
      <c r="AI176" s="2033">
        <f>Diario_Documentos_TPL[[#This Row],[Total Pasivo
(USD)]]</f>
        <v>518582.05</v>
      </c>
      <c r="AJ176" s="2033">
        <f>Diario_Documentos_TPL[[#This Row],[Total de Pago
(MX)]]/1.16</f>
        <v>8475150.6788706891</v>
      </c>
      <c r="AK176" s="2033">
        <f>Diario_Documentos_TPL[[#This Row],[Importe de Pago
(MX)]]*0.16</f>
        <v>1356024.1086193102</v>
      </c>
      <c r="AL176" s="2033">
        <f>Diario_Documentos_TPL[[#This Row],[Total de Pago
(USD)]]*Diario_Documentos_TPL[[#This Row],[T.C Pago]]</f>
        <v>9831174.7874899991</v>
      </c>
      <c r="AM176" s="2028">
        <v>18.957799999999999</v>
      </c>
      <c r="AN176" s="2029"/>
      <c r="AO176" s="2029"/>
      <c r="AP176" s="2030">
        <f>Diario_Documentos_TPL[[#This Row],[Importe de Pago
(MX)]]-Diario_Documentos_TPL[[#This Row],[Importe Pasivo
(MX)]]</f>
        <v>-54853.467681035399</v>
      </c>
      <c r="AQ176" s="2030">
        <f>Diario_Documentos_TPL[[#This Row],[Total_Paridad]]-Diario_Documentos_TPL[[#This Row],[Subtotal_Paridad]]</f>
        <v>-8776.5548289660364</v>
      </c>
      <c r="AR176" s="2031">
        <f>Diario_Documentos_TPL[[#This Row],[Total de Pago
(MX)]]-Diario_Documentos_TPL[[#This Row],[Total Pasivo
(MX)]]</f>
        <v>-63630.022510001436</v>
      </c>
    </row>
    <row r="177" spans="1:44" s="1974" customFormat="1" ht="15" customHeight="1" x14ac:dyDescent="0.25">
      <c r="A177" s="2022" t="s">
        <v>598</v>
      </c>
      <c r="B177" s="2022">
        <v>4326979</v>
      </c>
      <c r="C177" s="2022">
        <v>800874989</v>
      </c>
      <c r="D177" s="2022"/>
      <c r="E177" s="2022" t="s">
        <v>632</v>
      </c>
      <c r="F177" s="2022" t="s">
        <v>599</v>
      </c>
      <c r="G177" s="2022" t="s">
        <v>628</v>
      </c>
      <c r="H177" s="2022" t="str">
        <f>VLOOKUP(Diario_Documentos_TPL[[#This Row],[Centro Gestor]],Catalogo_Centro_Gestor[],2,FALSE)</f>
        <v>Gas. Corredor Chihuahua</v>
      </c>
      <c r="I177" s="2022" t="s">
        <v>630</v>
      </c>
      <c r="J177" s="2023">
        <f>IF(YEAR(Diario_Documentos_TPL[[#This Row],[Fecha de Pago]])=1900, "SIN PAGO",YEAR(Diario_Documentos_TPL[[#This Row],[Fecha de Pago]]))</f>
        <v>2019</v>
      </c>
      <c r="K177" s="2023">
        <v>2019</v>
      </c>
      <c r="L177" s="2024">
        <f>IF(MONTH(Diario_Documentos_TPL[[#This Row],[Fecha de Pago]])=0, "SIN PAGO",MONTH(Diario_Documentos_TPL[[#This Row],[Fecha de Pago]]))</f>
        <v>4</v>
      </c>
      <c r="M177" s="2024">
        <v>3</v>
      </c>
      <c r="N177" s="1971" t="str">
        <f>VLOOKUP(Diario_Documentos_TPL[[#This Row],[Periodo del Servicio]],'Tablas (2)'!$L$3:$M$14,2,FALSE)</f>
        <v>MARZO</v>
      </c>
      <c r="O177" s="2012" t="s">
        <v>748</v>
      </c>
      <c r="P177" s="2024" t="s">
        <v>470</v>
      </c>
      <c r="Q177" s="2024" t="s">
        <v>165</v>
      </c>
      <c r="R177" s="2022">
        <v>2281</v>
      </c>
      <c r="S177" s="2022">
        <v>453659</v>
      </c>
      <c r="T177" s="2022" t="s">
        <v>629</v>
      </c>
      <c r="U177" s="2022" t="s">
        <v>221</v>
      </c>
      <c r="V177" s="2022">
        <v>180000777</v>
      </c>
      <c r="W177" s="1970">
        <v>43564</v>
      </c>
      <c r="X177" s="2033">
        <f>Diario_Documentos_TPL[[#This Row],[Total Pasivo
(USD)]]/1.16</f>
        <v>3169.4396551724139</v>
      </c>
      <c r="Y177" s="2033">
        <f>Diario_Documentos_TPL[[#This Row],[Importe Pasivo
(USD)]]*0.16</f>
        <v>507.11034482758623</v>
      </c>
      <c r="Z177" s="2033">
        <v>3676.55</v>
      </c>
      <c r="AA177" s="2027">
        <f>Diario_Documentos_TPL[[#This Row],[Total Pasivo
(MX)]]/1.16</f>
        <v>60474.491379310355</v>
      </c>
      <c r="AB177" s="2033">
        <f>Diario_Documentos_TPL[[#This Row],[Importe Pasivo
(MX)]]*0.16</f>
        <v>9675.9186206896575</v>
      </c>
      <c r="AC177" s="2033">
        <v>70150.41</v>
      </c>
      <c r="AD177" s="2170">
        <f>IFERROR(Diario_Documentos_TPL[[#This Row],[Total Pasivo
(MX)]]/Diario_Documentos_TPL[[#This Row],[Total Pasivo
(USD)]],0)</f>
        <v>19.080499381213365</v>
      </c>
      <c r="AE177" s="2022">
        <v>140001505</v>
      </c>
      <c r="AF177" s="2025">
        <v>43580</v>
      </c>
      <c r="AG177" s="2027">
        <f>Diario_Documentos_TPL[[#This Row],[Total de Pago
(USD)]]/1.16</f>
        <v>3169.4396551724139</v>
      </c>
      <c r="AH177" s="2027">
        <f>Diario_Documentos_TPL[[#This Row],[Importe de Pago
(USD)]]*0.16</f>
        <v>507.11034482758623</v>
      </c>
      <c r="AI177" s="2033">
        <f>Diario_Documentos_TPL[[#This Row],[Total Pasivo
(USD)]]</f>
        <v>3676.55</v>
      </c>
      <c r="AJ177" s="2033">
        <f>Diario_Documentos_TPL[[#This Row],[Total de Pago
(MX)]]/1.16</f>
        <v>60085.603094827587</v>
      </c>
      <c r="AK177" s="2033">
        <f>Diario_Documentos_TPL[[#This Row],[Importe de Pago
(MX)]]*0.16</f>
        <v>9613.6964951724149</v>
      </c>
      <c r="AL177" s="2033">
        <f>Diario_Documentos_TPL[[#This Row],[Total de Pago
(USD)]]*Diario_Documentos_TPL[[#This Row],[T.C Pago]]</f>
        <v>69699.299589999995</v>
      </c>
      <c r="AM177" s="2028">
        <v>18.957799999999999</v>
      </c>
      <c r="AN177" s="2029"/>
      <c r="AO177" s="2029"/>
      <c r="AP177" s="2030">
        <f>Diario_Documentos_TPL[[#This Row],[Importe de Pago
(MX)]]-Diario_Documentos_TPL[[#This Row],[Importe Pasivo
(MX)]]</f>
        <v>-388.88828448276763</v>
      </c>
      <c r="AQ177" s="2030">
        <f>Diario_Documentos_TPL[[#This Row],[Total_Paridad]]-Diario_Documentos_TPL[[#This Row],[Subtotal_Paridad]]</f>
        <v>-62.222125517240784</v>
      </c>
      <c r="AR177" s="2031">
        <f>Diario_Documentos_TPL[[#This Row],[Total de Pago
(MX)]]-Diario_Documentos_TPL[[#This Row],[Total Pasivo
(MX)]]</f>
        <v>-451.11041000000841</v>
      </c>
    </row>
    <row r="178" spans="1:44" s="1974" customFormat="1" ht="15" customHeight="1" x14ac:dyDescent="0.25">
      <c r="A178" s="2022" t="s">
        <v>598</v>
      </c>
      <c r="B178" s="2022">
        <v>4326979</v>
      </c>
      <c r="C178" s="2022">
        <v>800874989</v>
      </c>
      <c r="D178" s="2022"/>
      <c r="E178" s="2022" t="s">
        <v>632</v>
      </c>
      <c r="F178" s="2022" t="s">
        <v>599</v>
      </c>
      <c r="G178" s="2022" t="s">
        <v>628</v>
      </c>
      <c r="H178" s="2022" t="str">
        <f>VLOOKUP(Diario_Documentos_TPL[[#This Row],[Centro Gestor]],Catalogo_Centro_Gestor[],2,FALSE)</f>
        <v>Gas. Corredor Chihuahua</v>
      </c>
      <c r="I178" s="2022" t="s">
        <v>630</v>
      </c>
      <c r="J178" s="2023">
        <f>IF(YEAR(Diario_Documentos_TPL[[#This Row],[Fecha de Pago]])=1900, "SIN PAGO",YEAR(Diario_Documentos_TPL[[#This Row],[Fecha de Pago]]))</f>
        <v>2019</v>
      </c>
      <c r="K178" s="2023">
        <v>2019</v>
      </c>
      <c r="L178" s="2024">
        <f>IF(MONTH(Diario_Documentos_TPL[[#This Row],[Fecha de Pago]])=0, "SIN PAGO",MONTH(Diario_Documentos_TPL[[#This Row],[Fecha de Pago]]))</f>
        <v>4</v>
      </c>
      <c r="M178" s="2024">
        <v>3</v>
      </c>
      <c r="N178" s="1971" t="str">
        <f>VLOOKUP(Diario_Documentos_TPL[[#This Row],[Periodo del Servicio]],'Tablas (2)'!$L$3:$M$14,2,FALSE)</f>
        <v>MARZO</v>
      </c>
      <c r="O178" s="2012" t="s">
        <v>740</v>
      </c>
      <c r="P178" s="2024" t="s">
        <v>470</v>
      </c>
      <c r="Q178" s="2024" t="s">
        <v>165</v>
      </c>
      <c r="R178" s="2022">
        <v>2281</v>
      </c>
      <c r="S178" s="2022">
        <v>453659</v>
      </c>
      <c r="T178" s="2022" t="s">
        <v>629</v>
      </c>
      <c r="U178" s="2022" t="s">
        <v>221</v>
      </c>
      <c r="V178" s="2022">
        <v>180000775</v>
      </c>
      <c r="W178" s="1970">
        <v>43564</v>
      </c>
      <c r="X178" s="2033">
        <f>Diario_Documentos_TPL[[#This Row],[Total Pasivo
(USD)]]/1.16</f>
        <v>583.32758620689651</v>
      </c>
      <c r="Y178" s="2033">
        <f>Diario_Documentos_TPL[[#This Row],[Importe Pasivo
(USD)]]*0.16</f>
        <v>93.332413793103441</v>
      </c>
      <c r="Z178" s="2033">
        <v>676.66</v>
      </c>
      <c r="AA178" s="2027">
        <f>Diario_Documentos_TPL[[#This Row],[Total Pasivo
(MX)]]/1.16</f>
        <v>11130.181034482759</v>
      </c>
      <c r="AB178" s="2033">
        <f>Diario_Documentos_TPL[[#This Row],[Importe Pasivo
(MX)]]*0.16</f>
        <v>1780.8289655172414</v>
      </c>
      <c r="AC178" s="2033">
        <v>12911.01</v>
      </c>
      <c r="AD178" s="2170">
        <f>IFERROR(Diario_Documentos_TPL[[#This Row],[Total Pasivo
(MX)]]/Diario_Documentos_TPL[[#This Row],[Total Pasivo
(USD)]],0)</f>
        <v>19.08049833003281</v>
      </c>
      <c r="AE178" s="2022">
        <v>140001505</v>
      </c>
      <c r="AF178" s="2025">
        <v>43580</v>
      </c>
      <c r="AG178" s="2027">
        <f>Diario_Documentos_TPL[[#This Row],[Total de Pago
(USD)]]/1.16</f>
        <v>583.32758620689651</v>
      </c>
      <c r="AH178" s="2027">
        <f>Diario_Documentos_TPL[[#This Row],[Importe de Pago
(USD)]]*0.16</f>
        <v>93.332413793103441</v>
      </c>
      <c r="AI178" s="2033">
        <f>Diario_Documentos_TPL[[#This Row],[Total Pasivo
(USD)]]</f>
        <v>676.66</v>
      </c>
      <c r="AJ178" s="2033">
        <f>Diario_Documentos_TPL[[#This Row],[Total de Pago
(MX)]]/1.16</f>
        <v>11058.607713793104</v>
      </c>
      <c r="AK178" s="2033">
        <f>Diario_Documentos_TPL[[#This Row],[Importe de Pago
(MX)]]*0.16</f>
        <v>1769.3772342068967</v>
      </c>
      <c r="AL178" s="2033">
        <f>Diario_Documentos_TPL[[#This Row],[Total de Pago
(USD)]]*Diario_Documentos_TPL[[#This Row],[T.C Pago]]</f>
        <v>12827.984947999999</v>
      </c>
      <c r="AM178" s="2028">
        <v>18.957799999999999</v>
      </c>
      <c r="AN178" s="2029"/>
      <c r="AO178" s="2029"/>
      <c r="AP178" s="2030">
        <f>Diario_Documentos_TPL[[#This Row],[Importe de Pago
(MX)]]-Diario_Documentos_TPL[[#This Row],[Importe Pasivo
(MX)]]</f>
        <v>-71.573320689654793</v>
      </c>
      <c r="AQ178" s="2030">
        <f>Diario_Documentos_TPL[[#This Row],[Total_Paridad]]-Diario_Documentos_TPL[[#This Row],[Subtotal_Paridad]]</f>
        <v>-11.451731310346076</v>
      </c>
      <c r="AR178" s="2031">
        <f>Diario_Documentos_TPL[[#This Row],[Total de Pago
(MX)]]-Diario_Documentos_TPL[[#This Row],[Total Pasivo
(MX)]]</f>
        <v>-83.025052000000869</v>
      </c>
    </row>
    <row r="179" spans="1:44" s="1974" customFormat="1" ht="15" customHeight="1" x14ac:dyDescent="0.25">
      <c r="A179" s="2022" t="s">
        <v>598</v>
      </c>
      <c r="B179" s="2022">
        <v>4326979</v>
      </c>
      <c r="C179" s="2022">
        <v>800874989</v>
      </c>
      <c r="D179" s="2022"/>
      <c r="E179" s="2022" t="s">
        <v>632</v>
      </c>
      <c r="F179" s="2022" t="s">
        <v>599</v>
      </c>
      <c r="G179" s="2022" t="s">
        <v>628</v>
      </c>
      <c r="H179" s="2022" t="str">
        <f>VLOOKUP(Diario_Documentos_TPL[[#This Row],[Centro Gestor]],Catalogo_Centro_Gestor[],2,FALSE)</f>
        <v>Gas. Corredor Chihuahua</v>
      </c>
      <c r="I179" s="2022" t="s">
        <v>630</v>
      </c>
      <c r="J179" s="2023">
        <f>IF(YEAR(Diario_Documentos_TPL[[#This Row],[Fecha de Pago]])=1900, "SIN PAGO",YEAR(Diario_Documentos_TPL[[#This Row],[Fecha de Pago]]))</f>
        <v>2019</v>
      </c>
      <c r="K179" s="2023">
        <v>2019</v>
      </c>
      <c r="L179" s="2024">
        <f>IF(MONTH(Diario_Documentos_TPL[[#This Row],[Fecha de Pago]])=0, "SIN PAGO",MONTH(Diario_Documentos_TPL[[#This Row],[Fecha de Pago]]))</f>
        <v>4</v>
      </c>
      <c r="M179" s="2024">
        <v>3</v>
      </c>
      <c r="N179" s="1971" t="str">
        <f>VLOOKUP(Diario_Documentos_TPL[[#This Row],[Periodo del Servicio]],'Tablas (2)'!$L$3:$M$14,2,FALSE)</f>
        <v>MARZO</v>
      </c>
      <c r="O179" s="2012" t="s">
        <v>737</v>
      </c>
      <c r="P179" s="2024" t="s">
        <v>470</v>
      </c>
      <c r="Q179" s="2024" t="s">
        <v>165</v>
      </c>
      <c r="R179" s="2022">
        <v>2281</v>
      </c>
      <c r="S179" s="2022">
        <v>453659</v>
      </c>
      <c r="T179" s="2022" t="s">
        <v>629</v>
      </c>
      <c r="U179" s="2022" t="s">
        <v>221</v>
      </c>
      <c r="V179" s="2022">
        <v>180000774</v>
      </c>
      <c r="W179" s="1970">
        <v>43564</v>
      </c>
      <c r="X179" s="2033">
        <f>Diario_Documentos_TPL[[#This Row],[Total Pasivo
(USD)]]/1.16</f>
        <v>2126.1896551724139</v>
      </c>
      <c r="Y179" s="2033">
        <f>Diario_Documentos_TPL[[#This Row],[Importe Pasivo
(USD)]]*0.16</f>
        <v>340.19034482758622</v>
      </c>
      <c r="Z179" s="2033">
        <v>2466.38</v>
      </c>
      <c r="AA179" s="2033">
        <f>Diario_Documentos_TPL[[#This Row],[Total Pasivo
(MX)]]/1.16</f>
        <v>40568.767241379312</v>
      </c>
      <c r="AB179" s="2033">
        <f>Diario_Documentos_TPL[[#This Row],[Importe Pasivo
(MX)]]*0.16</f>
        <v>6491.0027586206897</v>
      </c>
      <c r="AC179" s="2032">
        <v>47059.77</v>
      </c>
      <c r="AD179" s="2170">
        <f>IFERROR(Diario_Documentos_TPL[[#This Row],[Total Pasivo
(MX)]]/Diario_Documentos_TPL[[#This Row],[Total Pasivo
(USD)]],0)</f>
        <v>19.080502598950687</v>
      </c>
      <c r="AE179" s="2022">
        <v>140001505</v>
      </c>
      <c r="AF179" s="2025">
        <v>43580</v>
      </c>
      <c r="AG179" s="2027">
        <f>Diario_Documentos_TPL[[#This Row],[Total de Pago
(USD)]]/1.16</f>
        <v>2126.1896551724139</v>
      </c>
      <c r="AH179" s="2027">
        <f>Diario_Documentos_TPL[[#This Row],[Importe de Pago
(USD)]]*0.16</f>
        <v>340.19034482758622</v>
      </c>
      <c r="AI179" s="2033">
        <f>Diario_Documentos_TPL[[#This Row],[Total Pasivo
(USD)]]</f>
        <v>2466.38</v>
      </c>
      <c r="AJ179" s="2033">
        <f>Diario_Documentos_TPL[[#This Row],[Total de Pago
(MX)]]/1.16</f>
        <v>40307.878244827589</v>
      </c>
      <c r="AK179" s="2033">
        <f>Diario_Documentos_TPL[[#This Row],[Importe de Pago
(MX)]]*0.16</f>
        <v>6449.2605191724142</v>
      </c>
      <c r="AL179" s="2033">
        <f>Diario_Documentos_TPL[[#This Row],[Total de Pago
(USD)]]*Diario_Documentos_TPL[[#This Row],[T.C Pago]]</f>
        <v>46757.138763999996</v>
      </c>
      <c r="AM179" s="2028">
        <v>18.957799999999999</v>
      </c>
      <c r="AN179" s="2029"/>
      <c r="AO179" s="2029"/>
      <c r="AP179" s="2030">
        <f>Diario_Documentos_TPL[[#This Row],[Importe de Pago
(MX)]]-Diario_Documentos_TPL[[#This Row],[Importe Pasivo
(MX)]]</f>
        <v>-260.88899655172281</v>
      </c>
      <c r="AQ179" s="2030">
        <f>Diario_Documentos_TPL[[#This Row],[Total_Paridad]]-Diario_Documentos_TPL[[#This Row],[Subtotal_Paridad]]</f>
        <v>-41.742239448278269</v>
      </c>
      <c r="AR179" s="2031">
        <f>Diario_Documentos_TPL[[#This Row],[Total de Pago
(MX)]]-Diario_Documentos_TPL[[#This Row],[Total Pasivo
(MX)]]</f>
        <v>-302.63123600000108</v>
      </c>
    </row>
    <row r="180" spans="1:44" s="1974" customFormat="1" ht="15" customHeight="1" x14ac:dyDescent="0.25">
      <c r="A180" s="2022"/>
      <c r="B180" s="2022"/>
      <c r="C180" s="2022"/>
      <c r="D180" s="2022"/>
      <c r="E180" s="2022"/>
      <c r="F180" s="2022"/>
      <c r="G180" s="2022"/>
      <c r="H180" s="2022"/>
      <c r="I180" s="2022"/>
      <c r="J180" s="2023"/>
      <c r="K180" s="2023"/>
      <c r="L180" s="2024"/>
      <c r="M180" s="2024"/>
      <c r="N180" s="1971"/>
      <c r="O180" s="2024"/>
      <c r="P180" s="2024"/>
      <c r="Q180" s="2024"/>
      <c r="R180" s="2022"/>
      <c r="S180" s="2022"/>
      <c r="T180" s="2022"/>
      <c r="U180" s="2022"/>
      <c r="V180" s="2022"/>
      <c r="W180" s="1970"/>
      <c r="X180" s="2026"/>
      <c r="Y180" s="2026"/>
      <c r="Z180" s="2032"/>
      <c r="AA180" s="2027"/>
      <c r="AB180" s="2026"/>
      <c r="AC180" s="2032"/>
      <c r="AD180" s="2028"/>
      <c r="AE180" s="2022"/>
      <c r="AF180" s="2025"/>
      <c r="AG180" s="2027"/>
      <c r="AH180" s="2027"/>
      <c r="AI180" s="2033"/>
      <c r="AJ180" s="2033"/>
      <c r="AK180" s="2033"/>
      <c r="AL180" s="2033"/>
      <c r="AM180" s="2028"/>
      <c r="AN180" s="2029"/>
      <c r="AO180" s="2029"/>
      <c r="AP180" s="2030"/>
      <c r="AQ180" s="2030"/>
      <c r="AR180" s="2031"/>
    </row>
    <row r="181" spans="1:44" ht="15" customHeight="1" x14ac:dyDescent="0.25">
      <c r="A181" s="1969"/>
      <c r="B181" s="1969"/>
      <c r="C181" s="1969"/>
      <c r="D181" s="1969"/>
      <c r="E181" s="1969"/>
      <c r="F181" s="1969"/>
      <c r="G181" s="1969"/>
      <c r="H181" s="1969"/>
      <c r="I181" s="1969"/>
      <c r="J181" s="1972"/>
      <c r="K181" s="1971"/>
      <c r="L181" s="1972"/>
      <c r="M181" s="1971"/>
      <c r="N181" s="1971"/>
      <c r="O181" s="1969"/>
      <c r="P181" s="1971"/>
      <c r="Q181" s="1971"/>
      <c r="R181" s="1969"/>
      <c r="S181" s="1969"/>
      <c r="T181" s="1969"/>
      <c r="U181" s="1969"/>
      <c r="V181" s="1969"/>
      <c r="W181" s="1970"/>
      <c r="X181" s="1966"/>
      <c r="Y181" s="1966"/>
      <c r="Z181" s="1966"/>
      <c r="AA181" s="1966"/>
      <c r="AB181" s="1966"/>
      <c r="AC181" s="1966"/>
      <c r="AD181" s="1965"/>
      <c r="AE181" s="1969"/>
      <c r="AF181" s="1968"/>
      <c r="AG181" s="1967"/>
      <c r="AH181" s="1966"/>
      <c r="AI181" s="1966"/>
      <c r="AJ181" s="1966"/>
      <c r="AK181" s="1966"/>
      <c r="AL181" s="1966"/>
      <c r="AM181" s="2018"/>
      <c r="AN181" s="1975"/>
      <c r="AO181" s="1975"/>
      <c r="AP181" s="1975"/>
      <c r="AQ181" s="1975"/>
      <c r="AR181" s="1964"/>
    </row>
    <row r="182" spans="1:44" ht="15" customHeight="1" x14ac:dyDescent="0.25">
      <c r="A182" s="1969"/>
      <c r="B182" s="1969"/>
      <c r="C182" s="1969"/>
      <c r="D182" s="1969"/>
      <c r="E182" s="1969"/>
      <c r="F182" s="1969"/>
      <c r="G182" s="1969"/>
      <c r="H182" s="1969"/>
      <c r="I182" s="1969"/>
      <c r="J182" s="1972"/>
      <c r="K182" s="1971"/>
      <c r="L182" s="1972"/>
      <c r="M182" s="1971"/>
      <c r="N182" s="1971"/>
      <c r="O182" s="1969"/>
      <c r="P182" s="1971"/>
      <c r="Q182" s="1971"/>
      <c r="R182" s="1969"/>
      <c r="S182" s="1969"/>
      <c r="T182" s="1969"/>
      <c r="U182" s="1969"/>
      <c r="V182" s="1969"/>
      <c r="W182" s="1970"/>
      <c r="X182" s="1966"/>
      <c r="Y182" s="1966"/>
      <c r="Z182" s="1966"/>
      <c r="AA182" s="1966"/>
      <c r="AB182" s="1966"/>
      <c r="AC182" s="1966"/>
      <c r="AD182" s="1965"/>
      <c r="AE182" s="1969"/>
      <c r="AF182" s="1968"/>
      <c r="AG182" s="1967"/>
      <c r="AH182" s="1966"/>
      <c r="AI182" s="1966"/>
      <c r="AJ182" s="1966"/>
      <c r="AK182" s="1966"/>
      <c r="AL182" s="1966"/>
      <c r="AM182" s="2018"/>
      <c r="AN182" s="1975"/>
      <c r="AO182" s="1975"/>
      <c r="AP182" s="1975"/>
      <c r="AQ182" s="1975"/>
      <c r="AR182" s="1964"/>
    </row>
    <row r="183" spans="1:44" ht="15" customHeight="1" x14ac:dyDescent="0.25">
      <c r="A183" s="1969"/>
      <c r="B183" s="1969"/>
      <c r="C183" s="1969"/>
      <c r="D183" s="1969"/>
      <c r="E183" s="1969"/>
      <c r="F183" s="1969"/>
      <c r="G183" s="1969"/>
      <c r="H183" s="1969"/>
      <c r="I183" s="1969"/>
      <c r="J183" s="1972"/>
      <c r="K183" s="1971"/>
      <c r="L183" s="1972"/>
      <c r="M183" s="1971"/>
      <c r="N183" s="1971"/>
      <c r="O183" s="1969"/>
      <c r="P183" s="1971"/>
      <c r="Q183" s="1971"/>
      <c r="R183" s="2064"/>
      <c r="S183" s="1969"/>
      <c r="T183" s="1969"/>
      <c r="U183" s="2064"/>
      <c r="V183" s="1969"/>
      <c r="W183" s="1970"/>
      <c r="X183" s="1966"/>
      <c r="Y183" s="1966"/>
      <c r="Z183" s="1966"/>
      <c r="AA183" s="1966"/>
      <c r="AB183" s="1966"/>
      <c r="AC183" s="1966"/>
      <c r="AD183" s="1965"/>
      <c r="AE183" s="1969"/>
      <c r="AF183" s="1968"/>
      <c r="AG183" s="1967"/>
      <c r="AH183" s="1966"/>
      <c r="AI183" s="1966"/>
      <c r="AJ183" s="1966"/>
      <c r="AK183" s="1966"/>
      <c r="AL183" s="1966"/>
      <c r="AM183" s="2018"/>
      <c r="AN183" s="1975"/>
      <c r="AO183" s="1975"/>
      <c r="AP183" s="1975"/>
      <c r="AQ183" s="1975"/>
      <c r="AR183" s="1964"/>
    </row>
    <row r="184" spans="1:44" ht="15" customHeight="1" x14ac:dyDescent="0.25">
      <c r="A184" s="1969"/>
      <c r="B184" s="1969"/>
      <c r="C184" s="1969"/>
      <c r="D184" s="1969"/>
      <c r="E184" s="1969"/>
      <c r="F184" s="1969"/>
      <c r="G184" s="1969"/>
      <c r="H184" s="1969"/>
      <c r="I184" s="1969"/>
      <c r="J184" s="1972"/>
      <c r="K184" s="1971"/>
      <c r="L184" s="1972"/>
      <c r="M184" s="1971"/>
      <c r="N184" s="1971"/>
      <c r="O184" s="1969"/>
      <c r="P184" s="1971"/>
      <c r="Q184" s="1971"/>
      <c r="R184" s="1969"/>
      <c r="S184" s="1969"/>
      <c r="T184" s="1969"/>
      <c r="U184" s="1969"/>
      <c r="V184" s="1969"/>
      <c r="W184" s="1970"/>
      <c r="X184" s="1966"/>
      <c r="Y184" s="1966"/>
      <c r="Z184" s="1966"/>
      <c r="AA184" s="1966"/>
      <c r="AB184" s="1966"/>
      <c r="AC184" s="1966"/>
      <c r="AD184" s="1965"/>
      <c r="AE184" s="1969"/>
      <c r="AF184" s="1968"/>
      <c r="AG184" s="1967"/>
      <c r="AH184" s="1966"/>
      <c r="AI184" s="1966"/>
      <c r="AJ184" s="1966"/>
      <c r="AK184" s="1966"/>
      <c r="AL184" s="1966"/>
      <c r="AM184" s="2018"/>
      <c r="AN184" s="1975"/>
      <c r="AO184" s="1975"/>
      <c r="AP184" s="1975"/>
      <c r="AQ184" s="1975"/>
      <c r="AR184" s="1964"/>
    </row>
    <row r="185" spans="1:44" ht="15" customHeight="1" x14ac:dyDescent="0.25">
      <c r="A185" s="1969"/>
      <c r="B185" s="1969"/>
      <c r="C185" s="1969"/>
      <c r="D185" s="1969"/>
      <c r="E185" s="1969"/>
      <c r="F185" s="1969"/>
      <c r="G185" s="1969"/>
      <c r="H185" s="1969"/>
      <c r="I185" s="1969"/>
      <c r="J185" s="1972"/>
      <c r="K185" s="1971"/>
      <c r="L185" s="1972"/>
      <c r="M185" s="1971"/>
      <c r="N185" s="1971"/>
      <c r="O185" s="1969"/>
      <c r="P185" s="1971"/>
      <c r="Q185" s="1971"/>
      <c r="R185" s="1969"/>
      <c r="S185" s="1969"/>
      <c r="T185" s="1969"/>
      <c r="U185" s="1969"/>
      <c r="V185" s="1969"/>
      <c r="W185" s="1970"/>
      <c r="X185" s="1966"/>
      <c r="Y185" s="1966"/>
      <c r="Z185" s="1966"/>
      <c r="AA185" s="1966"/>
      <c r="AB185" s="1966"/>
      <c r="AC185" s="1966"/>
      <c r="AD185" s="1965"/>
      <c r="AE185" s="1969"/>
      <c r="AF185" s="1968"/>
      <c r="AG185" s="1967"/>
      <c r="AH185" s="1966"/>
      <c r="AI185" s="1966"/>
      <c r="AJ185" s="1966"/>
      <c r="AK185" s="1966"/>
      <c r="AL185" s="1966"/>
      <c r="AM185" s="2018"/>
      <c r="AN185" s="1975"/>
      <c r="AO185" s="1975"/>
      <c r="AP185" s="1975"/>
      <c r="AQ185" s="1975"/>
      <c r="AR185" s="1964"/>
    </row>
  </sheetData>
  <dataConsolidate/>
  <printOptions horizontalCentered="1" verticalCentered="1"/>
  <pageMargins left="0" right="0.70866141732283472" top="0" bottom="0" header="0" footer="0"/>
  <pageSetup scale="28" orientation="landscape" verticalDpi="1200" r:id="rId1"/>
  <colBreaks count="1" manualBreakCount="1">
    <brk id="39" max="1048575" man="1"/>
  </colBreaks>
  <legacy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"/>
  <sheetViews>
    <sheetView workbookViewId="0">
      <selection activeCell="F28" sqref="F28"/>
    </sheetView>
  </sheetViews>
  <sheetFormatPr baseColWidth="10" defaultRowHeight="14.25" x14ac:dyDescent="0.2"/>
  <cols>
    <col min="4" max="4" width="11.625" customWidth="1"/>
    <col min="5" max="5" width="18.5" customWidth="1"/>
    <col min="8" max="8" width="26.125" customWidth="1"/>
    <col min="10" max="10" width="14.375" customWidth="1"/>
    <col min="11" max="11" width="17.125" customWidth="1"/>
    <col min="12" max="12" width="17.5" customWidth="1"/>
    <col min="13" max="13" width="20.875" customWidth="1"/>
    <col min="15" max="15" width="19.625" customWidth="1"/>
    <col min="19" max="19" width="17.625" customWidth="1"/>
    <col min="21" max="21" width="15.5" customWidth="1"/>
    <col min="22" max="22" width="20.375" customWidth="1"/>
    <col min="30" max="30" width="12.875" customWidth="1"/>
    <col min="32" max="32" width="15.875" customWidth="1"/>
    <col min="40" max="40" width="17.5" customWidth="1"/>
    <col min="41" max="41" width="16.875" customWidth="1"/>
    <col min="42" max="42" width="17.875" customWidth="1"/>
    <col min="43" max="43" width="13.125" customWidth="1"/>
    <col min="44" max="44" width="15" customWidth="1"/>
  </cols>
  <sheetData>
    <row r="1" spans="1:44" x14ac:dyDescent="0.2">
      <c r="A1" t="s">
        <v>714</v>
      </c>
      <c r="B1" t="s">
        <v>713</v>
      </c>
      <c r="C1" t="s">
        <v>712</v>
      </c>
      <c r="D1" t="s">
        <v>711</v>
      </c>
      <c r="E1" t="s">
        <v>710</v>
      </c>
      <c r="F1" t="s">
        <v>551</v>
      </c>
      <c r="G1" t="s">
        <v>102</v>
      </c>
      <c r="H1" t="s">
        <v>709</v>
      </c>
      <c r="I1" t="s">
        <v>708</v>
      </c>
      <c r="J1" t="s">
        <v>707</v>
      </c>
      <c r="K1" t="s">
        <v>706</v>
      </c>
      <c r="L1" t="s">
        <v>705</v>
      </c>
      <c r="M1" t="s">
        <v>341</v>
      </c>
      <c r="N1" t="s">
        <v>29</v>
      </c>
      <c r="O1" t="s">
        <v>342</v>
      </c>
      <c r="P1" t="s">
        <v>19</v>
      </c>
      <c r="Q1" t="s">
        <v>230</v>
      </c>
      <c r="R1" t="s">
        <v>232</v>
      </c>
      <c r="S1" t="s">
        <v>338</v>
      </c>
      <c r="T1" t="s">
        <v>704</v>
      </c>
      <c r="U1" t="s">
        <v>337</v>
      </c>
      <c r="V1" t="s">
        <v>703</v>
      </c>
      <c r="W1" t="s">
        <v>702</v>
      </c>
      <c r="X1" t="s">
        <v>701</v>
      </c>
      <c r="Y1" t="s">
        <v>700</v>
      </c>
      <c r="Z1" t="s">
        <v>699</v>
      </c>
      <c r="AA1" t="s">
        <v>698</v>
      </c>
      <c r="AB1" t="s">
        <v>697</v>
      </c>
      <c r="AC1" t="s">
        <v>696</v>
      </c>
      <c r="AD1" t="s">
        <v>695</v>
      </c>
      <c r="AE1" t="s">
        <v>694</v>
      </c>
      <c r="AF1" t="s">
        <v>693</v>
      </c>
      <c r="AG1" t="s">
        <v>692</v>
      </c>
      <c r="AH1" t="s">
        <v>691</v>
      </c>
      <c r="AI1" t="s">
        <v>690</v>
      </c>
      <c r="AJ1" t="s">
        <v>689</v>
      </c>
      <c r="AK1" t="s">
        <v>688</v>
      </c>
      <c r="AL1" t="s">
        <v>687</v>
      </c>
      <c r="AM1" t="s">
        <v>686</v>
      </c>
      <c r="AN1" t="s">
        <v>685</v>
      </c>
      <c r="AO1" t="s">
        <v>684</v>
      </c>
      <c r="AP1" t="s">
        <v>683</v>
      </c>
      <c r="AQ1" t="s">
        <v>682</v>
      </c>
      <c r="AR1" t="s">
        <v>681</v>
      </c>
    </row>
    <row r="2" spans="1:44" x14ac:dyDescent="0.2">
      <c r="A2" t="s">
        <v>598</v>
      </c>
      <c r="B2">
        <v>4326979</v>
      </c>
      <c r="C2" t="s">
        <v>633</v>
      </c>
      <c r="E2" t="s">
        <v>632</v>
      </c>
      <c r="F2" t="s">
        <v>599</v>
      </c>
      <c r="G2" t="s">
        <v>628</v>
      </c>
      <c r="H2" t="s">
        <v>517</v>
      </c>
      <c r="I2" t="s">
        <v>630</v>
      </c>
      <c r="J2">
        <v>2019</v>
      </c>
      <c r="K2">
        <v>2019</v>
      </c>
      <c r="L2">
        <v>3</v>
      </c>
      <c r="M2">
        <v>2</v>
      </c>
      <c r="N2" t="s">
        <v>595</v>
      </c>
      <c r="O2" t="s">
        <v>633</v>
      </c>
      <c r="P2" t="s">
        <v>340</v>
      </c>
      <c r="Q2" t="s">
        <v>165</v>
      </c>
      <c r="R2">
        <v>2280</v>
      </c>
      <c r="S2">
        <v>453858</v>
      </c>
      <c r="T2" t="s">
        <v>629</v>
      </c>
      <c r="U2" t="s">
        <v>221</v>
      </c>
      <c r="V2">
        <v>210000969</v>
      </c>
      <c r="W2" s="2128">
        <v>43553</v>
      </c>
      <c r="X2">
        <v>0</v>
      </c>
      <c r="Y2">
        <v>0</v>
      </c>
      <c r="Z2">
        <v>0</v>
      </c>
      <c r="AA2">
        <v>8566886.0299999993</v>
      </c>
      <c r="AB2">
        <v>1370701.7648</v>
      </c>
      <c r="AC2">
        <v>9937587.7947999984</v>
      </c>
      <c r="AD2">
        <v>0</v>
      </c>
      <c r="AE2">
        <v>210000969</v>
      </c>
      <c r="AF2" s="2128">
        <v>43553</v>
      </c>
      <c r="AG2">
        <v>0</v>
      </c>
      <c r="AH2">
        <v>0</v>
      </c>
      <c r="AI2">
        <v>0</v>
      </c>
      <c r="AJ2">
        <v>8566886.0299999993</v>
      </c>
      <c r="AK2">
        <v>1370701.7648</v>
      </c>
      <c r="AL2">
        <v>9937587.7947999984</v>
      </c>
      <c r="AP2">
        <v>0</v>
      </c>
      <c r="AQ2">
        <v>0</v>
      </c>
      <c r="AR2">
        <v>0</v>
      </c>
    </row>
    <row r="3" spans="1:44" x14ac:dyDescent="0.2">
      <c r="A3" t="s">
        <v>598</v>
      </c>
      <c r="B3">
        <v>4326979</v>
      </c>
      <c r="C3" t="s">
        <v>633</v>
      </c>
      <c r="E3" t="s">
        <v>632</v>
      </c>
      <c r="F3" t="s">
        <v>599</v>
      </c>
      <c r="G3" t="s">
        <v>628</v>
      </c>
      <c r="H3" t="s">
        <v>517</v>
      </c>
      <c r="I3" t="s">
        <v>630</v>
      </c>
      <c r="J3">
        <v>2019</v>
      </c>
      <c r="K3">
        <v>2019</v>
      </c>
      <c r="L3">
        <v>3</v>
      </c>
      <c r="M3">
        <v>2</v>
      </c>
      <c r="N3" t="s">
        <v>595</v>
      </c>
      <c r="O3" t="s">
        <v>633</v>
      </c>
      <c r="P3" t="s">
        <v>340</v>
      </c>
      <c r="Q3" t="s">
        <v>165</v>
      </c>
      <c r="R3">
        <v>2280</v>
      </c>
      <c r="S3">
        <v>453851</v>
      </c>
      <c r="T3" t="s">
        <v>629</v>
      </c>
      <c r="U3" t="s">
        <v>221</v>
      </c>
      <c r="V3">
        <v>210000969</v>
      </c>
      <c r="W3" s="2128">
        <v>43553</v>
      </c>
      <c r="X3">
        <v>0</v>
      </c>
      <c r="Y3">
        <v>0</v>
      </c>
      <c r="Z3">
        <v>0</v>
      </c>
      <c r="AA3">
        <v>-8566886.0299999993</v>
      </c>
      <c r="AB3">
        <v>-1370701.7648</v>
      </c>
      <c r="AC3">
        <v>-9937587.7947999984</v>
      </c>
      <c r="AD3">
        <v>0</v>
      </c>
      <c r="AE3">
        <v>210000969</v>
      </c>
      <c r="AF3" s="2128">
        <v>43553</v>
      </c>
      <c r="AG3">
        <v>0</v>
      </c>
      <c r="AH3">
        <v>0</v>
      </c>
      <c r="AI3">
        <v>0</v>
      </c>
      <c r="AJ3">
        <v>-8566886.0299999993</v>
      </c>
      <c r="AK3">
        <v>-1370701.7648</v>
      </c>
      <c r="AL3">
        <v>-9937587.7947999984</v>
      </c>
      <c r="AP3">
        <v>0</v>
      </c>
      <c r="AQ3">
        <v>0</v>
      </c>
      <c r="AR3">
        <v>0</v>
      </c>
    </row>
    <row r="4" spans="1:44" x14ac:dyDescent="0.2">
      <c r="A4" t="s">
        <v>598</v>
      </c>
      <c r="B4">
        <v>4326979</v>
      </c>
      <c r="C4" t="s">
        <v>633</v>
      </c>
      <c r="E4" t="s">
        <v>632</v>
      </c>
      <c r="F4" t="s">
        <v>599</v>
      </c>
      <c r="G4" t="s">
        <v>628</v>
      </c>
      <c r="H4" t="s">
        <v>260</v>
      </c>
      <c r="I4" t="s">
        <v>630</v>
      </c>
      <c r="J4">
        <v>2019</v>
      </c>
      <c r="K4">
        <v>2019</v>
      </c>
      <c r="L4">
        <v>3</v>
      </c>
      <c r="M4">
        <v>2</v>
      </c>
      <c r="N4" t="s">
        <v>595</v>
      </c>
      <c r="O4" t="s">
        <v>633</v>
      </c>
      <c r="P4" t="s">
        <v>340</v>
      </c>
      <c r="Q4" t="s">
        <v>165</v>
      </c>
      <c r="R4" t="s">
        <v>344</v>
      </c>
      <c r="S4">
        <v>453858</v>
      </c>
      <c r="T4" t="s">
        <v>629</v>
      </c>
      <c r="U4" t="s">
        <v>238</v>
      </c>
      <c r="V4">
        <v>210000969</v>
      </c>
      <c r="W4" s="2128">
        <v>43553</v>
      </c>
      <c r="X4">
        <v>0</v>
      </c>
      <c r="Y4">
        <v>0</v>
      </c>
      <c r="Z4">
        <v>0</v>
      </c>
      <c r="AA4">
        <v>10181605.630000001</v>
      </c>
      <c r="AB4">
        <v>1629056.9008000002</v>
      </c>
      <c r="AC4">
        <v>11810662.530800002</v>
      </c>
      <c r="AD4">
        <v>0</v>
      </c>
      <c r="AE4">
        <v>210000969</v>
      </c>
      <c r="AF4" s="2128">
        <v>43553</v>
      </c>
      <c r="AG4">
        <v>0</v>
      </c>
      <c r="AH4">
        <v>0</v>
      </c>
      <c r="AI4">
        <v>0</v>
      </c>
      <c r="AJ4">
        <v>10181605.630000001</v>
      </c>
      <c r="AK4">
        <v>1629056.9008000002</v>
      </c>
      <c r="AL4">
        <v>11810662.530800002</v>
      </c>
      <c r="AP4">
        <v>0</v>
      </c>
      <c r="AQ4">
        <v>0</v>
      </c>
      <c r="AR4">
        <v>0</v>
      </c>
    </row>
    <row r="5" spans="1:44" x14ac:dyDescent="0.2">
      <c r="A5" t="s">
        <v>598</v>
      </c>
      <c r="B5">
        <v>4326979</v>
      </c>
      <c r="C5" t="s">
        <v>633</v>
      </c>
      <c r="E5" t="s">
        <v>632</v>
      </c>
      <c r="F5" t="s">
        <v>599</v>
      </c>
      <c r="G5" t="s">
        <v>628</v>
      </c>
      <c r="H5" t="s">
        <v>517</v>
      </c>
      <c r="I5" t="s">
        <v>630</v>
      </c>
      <c r="J5">
        <v>2019</v>
      </c>
      <c r="K5">
        <v>2019</v>
      </c>
      <c r="L5">
        <v>3</v>
      </c>
      <c r="M5">
        <v>2</v>
      </c>
      <c r="N5" t="s">
        <v>595</v>
      </c>
      <c r="O5" t="s">
        <v>633</v>
      </c>
      <c r="P5" t="s">
        <v>340</v>
      </c>
      <c r="Q5" t="s">
        <v>165</v>
      </c>
      <c r="R5">
        <v>2280</v>
      </c>
      <c r="S5">
        <v>453858</v>
      </c>
      <c r="T5" t="s">
        <v>629</v>
      </c>
      <c r="U5" t="s">
        <v>221</v>
      </c>
      <c r="V5">
        <v>210000969</v>
      </c>
      <c r="W5" s="2128">
        <v>43553</v>
      </c>
      <c r="X5">
        <v>0</v>
      </c>
      <c r="Y5">
        <v>0</v>
      </c>
      <c r="Z5">
        <v>0</v>
      </c>
      <c r="AA5">
        <v>15218820.939999999</v>
      </c>
      <c r="AB5">
        <v>2435011.3503999999</v>
      </c>
      <c r="AC5">
        <v>17653832.290399998</v>
      </c>
      <c r="AD5">
        <v>0</v>
      </c>
      <c r="AE5">
        <v>210000969</v>
      </c>
      <c r="AF5" s="2128">
        <v>43553</v>
      </c>
      <c r="AG5">
        <v>0</v>
      </c>
      <c r="AH5">
        <v>0</v>
      </c>
      <c r="AI5">
        <v>0</v>
      </c>
      <c r="AJ5">
        <v>15218820.939999999</v>
      </c>
      <c r="AK5">
        <v>2435011.3503999999</v>
      </c>
      <c r="AL5">
        <v>17653832.290399998</v>
      </c>
      <c r="AP5">
        <v>0</v>
      </c>
      <c r="AQ5">
        <v>0</v>
      </c>
      <c r="AR5">
        <v>0</v>
      </c>
    </row>
    <row r="6" spans="1:44" x14ac:dyDescent="0.2">
      <c r="A6" t="s">
        <v>598</v>
      </c>
      <c r="B6">
        <v>4326979</v>
      </c>
      <c r="C6" t="s">
        <v>633</v>
      </c>
      <c r="E6" t="s">
        <v>632</v>
      </c>
      <c r="F6" t="s">
        <v>599</v>
      </c>
      <c r="G6" t="s">
        <v>628</v>
      </c>
      <c r="H6" t="s">
        <v>517</v>
      </c>
      <c r="I6" t="s">
        <v>630</v>
      </c>
      <c r="J6">
        <v>2019</v>
      </c>
      <c r="K6">
        <v>2019</v>
      </c>
      <c r="L6">
        <v>3</v>
      </c>
      <c r="M6">
        <v>2</v>
      </c>
      <c r="N6" t="s">
        <v>595</v>
      </c>
      <c r="O6" t="s">
        <v>633</v>
      </c>
      <c r="P6" t="s">
        <v>340</v>
      </c>
      <c r="Q6" t="s">
        <v>165</v>
      </c>
      <c r="R6">
        <v>2280</v>
      </c>
      <c r="S6">
        <v>453851</v>
      </c>
      <c r="T6" t="s">
        <v>629</v>
      </c>
      <c r="U6" t="s">
        <v>221</v>
      </c>
      <c r="V6">
        <v>210000969</v>
      </c>
      <c r="W6" s="2128">
        <v>43553</v>
      </c>
      <c r="X6">
        <v>0</v>
      </c>
      <c r="Y6">
        <v>0</v>
      </c>
      <c r="Z6">
        <v>0</v>
      </c>
      <c r="AA6">
        <v>-25400426.57</v>
      </c>
      <c r="AB6">
        <v>-4064068.2512000003</v>
      </c>
      <c r="AC6">
        <v>-29464494.821200002</v>
      </c>
      <c r="AD6">
        <v>0</v>
      </c>
      <c r="AE6">
        <v>210000969</v>
      </c>
      <c r="AF6" s="2128">
        <v>43553</v>
      </c>
      <c r="AG6">
        <v>0</v>
      </c>
      <c r="AH6">
        <v>0</v>
      </c>
      <c r="AI6">
        <v>0</v>
      </c>
      <c r="AJ6">
        <v>-25400426.57</v>
      </c>
      <c r="AK6">
        <v>-4064068.2512000003</v>
      </c>
      <c r="AL6">
        <v>-29464494.821200002</v>
      </c>
      <c r="AP6">
        <v>0</v>
      </c>
      <c r="AQ6">
        <v>0</v>
      </c>
      <c r="AR6">
        <v>0</v>
      </c>
    </row>
    <row r="7" spans="1:44" x14ac:dyDescent="0.2">
      <c r="A7" t="s">
        <v>598</v>
      </c>
      <c r="B7">
        <v>4326979</v>
      </c>
      <c r="C7">
        <v>800874933</v>
      </c>
      <c r="E7" t="s">
        <v>632</v>
      </c>
      <c r="F7" t="s">
        <v>599</v>
      </c>
      <c r="G7" t="s">
        <v>628</v>
      </c>
      <c r="H7" t="s">
        <v>517</v>
      </c>
      <c r="I7" t="s">
        <v>630</v>
      </c>
      <c r="J7">
        <v>2019</v>
      </c>
      <c r="K7">
        <v>2019</v>
      </c>
      <c r="L7">
        <v>3</v>
      </c>
      <c r="M7">
        <v>2</v>
      </c>
      <c r="N7" t="s">
        <v>595</v>
      </c>
      <c r="O7" t="s">
        <v>730</v>
      </c>
      <c r="P7" t="s">
        <v>340</v>
      </c>
      <c r="Q7" t="s">
        <v>165</v>
      </c>
      <c r="R7">
        <v>2280</v>
      </c>
      <c r="S7">
        <v>453851</v>
      </c>
      <c r="T7" t="s">
        <v>629</v>
      </c>
      <c r="U7" t="s">
        <v>221</v>
      </c>
      <c r="V7">
        <v>180000526</v>
      </c>
      <c r="W7" s="2128">
        <v>43535</v>
      </c>
      <c r="X7">
        <v>4753878.6379310349</v>
      </c>
      <c r="Y7">
        <v>760620.58206896565</v>
      </c>
      <c r="Z7">
        <v>5514499.2199999997</v>
      </c>
      <c r="AA7">
        <v>92807595.706896558</v>
      </c>
      <c r="AB7">
        <v>14849215.31310345</v>
      </c>
      <c r="AC7">
        <v>107656811.02</v>
      </c>
      <c r="AD7">
        <v>19.522499999555716</v>
      </c>
      <c r="AE7">
        <v>140001160</v>
      </c>
      <c r="AF7" s="2128">
        <v>43551</v>
      </c>
      <c r="AG7">
        <v>4753878.6379310349</v>
      </c>
      <c r="AH7">
        <v>760620.58206896565</v>
      </c>
      <c r="AI7">
        <v>5514499.2199999997</v>
      </c>
      <c r="AJ7">
        <v>90395477.688122422</v>
      </c>
      <c r="AK7">
        <v>14463276.430099588</v>
      </c>
      <c r="AL7">
        <v>104858754.118222</v>
      </c>
      <c r="AM7">
        <v>19.0151</v>
      </c>
      <c r="AP7">
        <v>-2412118.0187741369</v>
      </c>
      <c r="AQ7">
        <v>-385938.88300386071</v>
      </c>
      <c r="AR7">
        <v>-2798056.9017779976</v>
      </c>
    </row>
    <row r="8" spans="1:44" x14ac:dyDescent="0.2">
      <c r="A8" t="s">
        <v>598</v>
      </c>
      <c r="B8">
        <v>4326979</v>
      </c>
      <c r="C8">
        <v>800874975</v>
      </c>
      <c r="E8" t="s">
        <v>632</v>
      </c>
      <c r="F8" t="s">
        <v>599</v>
      </c>
      <c r="G8" t="s">
        <v>628</v>
      </c>
      <c r="H8" t="s">
        <v>517</v>
      </c>
      <c r="I8" t="s">
        <v>630</v>
      </c>
      <c r="J8">
        <v>2019</v>
      </c>
      <c r="K8">
        <v>2019</v>
      </c>
      <c r="L8">
        <v>3</v>
      </c>
      <c r="M8">
        <v>2</v>
      </c>
      <c r="N8" t="s">
        <v>595</v>
      </c>
      <c r="O8" t="s">
        <v>724</v>
      </c>
      <c r="P8" t="s">
        <v>340</v>
      </c>
      <c r="Q8" t="s">
        <v>165</v>
      </c>
      <c r="R8">
        <v>2280</v>
      </c>
      <c r="S8">
        <v>453851</v>
      </c>
      <c r="T8" t="s">
        <v>629</v>
      </c>
      <c r="U8" t="s">
        <v>221</v>
      </c>
      <c r="V8">
        <v>180000528</v>
      </c>
      <c r="W8" s="2128">
        <v>43535</v>
      </c>
      <c r="X8">
        <v>447053.49137931038</v>
      </c>
      <c r="Y8">
        <v>71528.558620689655</v>
      </c>
      <c r="Z8">
        <v>518582.05</v>
      </c>
      <c r="AA8">
        <v>8727601.7844827604</v>
      </c>
      <c r="AB8">
        <v>1396416.2855172416</v>
      </c>
      <c r="AC8">
        <v>10124018.07</v>
      </c>
      <c r="AD8">
        <v>19.522499997830625</v>
      </c>
      <c r="AE8">
        <v>140001160</v>
      </c>
      <c r="AF8" s="2128">
        <v>43551</v>
      </c>
      <c r="AG8">
        <v>447053.49137931038</v>
      </c>
      <c r="AH8">
        <v>71528.558620689655</v>
      </c>
      <c r="AI8">
        <v>518582.05</v>
      </c>
      <c r="AJ8">
        <v>8500766.843926724</v>
      </c>
      <c r="AK8">
        <v>1360122.6950282759</v>
      </c>
      <c r="AL8">
        <v>9860889.5389549993</v>
      </c>
      <c r="AM8">
        <v>19.0151</v>
      </c>
      <c r="AP8">
        <v>-226834.94055603631</v>
      </c>
      <c r="AQ8">
        <v>-36293.590488964692</v>
      </c>
      <c r="AR8">
        <v>-263128.531045001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"/>
  <sheetViews>
    <sheetView workbookViewId="0">
      <selection sqref="A1:AR2"/>
    </sheetView>
  </sheetViews>
  <sheetFormatPr baseColWidth="10" defaultRowHeight="14.25" x14ac:dyDescent="0.2"/>
  <cols>
    <col min="4" max="4" width="11.625" customWidth="1"/>
    <col min="5" max="5" width="18.5" customWidth="1"/>
    <col min="8" max="8" width="26.125" customWidth="1"/>
    <col min="10" max="10" width="14.375" customWidth="1"/>
    <col min="11" max="11" width="17.125" customWidth="1"/>
    <col min="12" max="12" width="17.5" customWidth="1"/>
    <col min="13" max="13" width="20.875" customWidth="1"/>
    <col min="15" max="15" width="19.625" customWidth="1"/>
    <col min="19" max="19" width="17.625" customWidth="1"/>
    <col min="21" max="21" width="15.5" customWidth="1"/>
    <col min="22" max="22" width="20.375" customWidth="1"/>
    <col min="30" max="30" width="12.875" customWidth="1"/>
    <col min="32" max="32" width="15.875" customWidth="1"/>
    <col min="40" max="40" width="17.5" customWidth="1"/>
    <col min="41" max="41" width="16.875" customWidth="1"/>
    <col min="42" max="42" width="17.875" customWidth="1"/>
    <col min="43" max="43" width="13.125" customWidth="1"/>
    <col min="44" max="44" width="15" customWidth="1"/>
  </cols>
  <sheetData>
    <row r="1" spans="1:44" x14ac:dyDescent="0.2">
      <c r="A1" t="s">
        <v>714</v>
      </c>
      <c r="B1" t="s">
        <v>713</v>
      </c>
      <c r="C1" t="s">
        <v>712</v>
      </c>
      <c r="D1" t="s">
        <v>711</v>
      </c>
      <c r="E1" t="s">
        <v>710</v>
      </c>
      <c r="F1" t="s">
        <v>551</v>
      </c>
      <c r="G1" t="s">
        <v>102</v>
      </c>
      <c r="H1" t="s">
        <v>709</v>
      </c>
      <c r="I1" t="s">
        <v>708</v>
      </c>
      <c r="J1" t="s">
        <v>707</v>
      </c>
      <c r="K1" t="s">
        <v>706</v>
      </c>
      <c r="L1" t="s">
        <v>705</v>
      </c>
      <c r="M1" t="s">
        <v>341</v>
      </c>
      <c r="N1" t="s">
        <v>29</v>
      </c>
      <c r="O1" t="s">
        <v>342</v>
      </c>
      <c r="P1" t="s">
        <v>19</v>
      </c>
      <c r="Q1" t="s">
        <v>230</v>
      </c>
      <c r="R1" t="s">
        <v>232</v>
      </c>
      <c r="S1" t="s">
        <v>338</v>
      </c>
      <c r="T1" t="s">
        <v>704</v>
      </c>
      <c r="U1" t="s">
        <v>337</v>
      </c>
      <c r="V1" t="s">
        <v>703</v>
      </c>
      <c r="W1" t="s">
        <v>702</v>
      </c>
      <c r="X1" t="s">
        <v>701</v>
      </c>
      <c r="Y1" t="s">
        <v>700</v>
      </c>
      <c r="Z1" t="s">
        <v>699</v>
      </c>
      <c r="AA1" t="s">
        <v>698</v>
      </c>
      <c r="AB1" t="s">
        <v>697</v>
      </c>
      <c r="AC1" t="s">
        <v>696</v>
      </c>
      <c r="AD1" t="s">
        <v>695</v>
      </c>
      <c r="AE1" t="s">
        <v>694</v>
      </c>
      <c r="AF1" t="s">
        <v>693</v>
      </c>
      <c r="AG1" t="s">
        <v>692</v>
      </c>
      <c r="AH1" t="s">
        <v>691</v>
      </c>
      <c r="AI1" t="s">
        <v>690</v>
      </c>
      <c r="AJ1" t="s">
        <v>689</v>
      </c>
      <c r="AK1" t="s">
        <v>688</v>
      </c>
      <c r="AL1" t="s">
        <v>687</v>
      </c>
      <c r="AM1" t="s">
        <v>686</v>
      </c>
      <c r="AN1" t="s">
        <v>685</v>
      </c>
      <c r="AO1" t="s">
        <v>684</v>
      </c>
      <c r="AP1" t="s">
        <v>683</v>
      </c>
      <c r="AQ1" t="s">
        <v>682</v>
      </c>
      <c r="AR1" t="s">
        <v>681</v>
      </c>
    </row>
    <row r="2" spans="1:44" x14ac:dyDescent="0.2">
      <c r="A2" t="s">
        <v>598</v>
      </c>
      <c r="B2">
        <v>4326979</v>
      </c>
      <c r="C2">
        <v>800874933</v>
      </c>
      <c r="E2" t="s">
        <v>632</v>
      </c>
      <c r="F2" t="s">
        <v>599</v>
      </c>
      <c r="G2" t="s">
        <v>628</v>
      </c>
      <c r="H2" t="s">
        <v>517</v>
      </c>
      <c r="I2" t="s">
        <v>630</v>
      </c>
      <c r="J2">
        <v>2019</v>
      </c>
      <c r="K2">
        <v>2019</v>
      </c>
      <c r="L2">
        <v>2</v>
      </c>
      <c r="M2">
        <v>1</v>
      </c>
      <c r="N2" t="s">
        <v>600</v>
      </c>
      <c r="O2" t="s">
        <v>390</v>
      </c>
      <c r="P2" t="s">
        <v>340</v>
      </c>
      <c r="Q2" t="s">
        <v>165</v>
      </c>
      <c r="R2">
        <v>2280</v>
      </c>
      <c r="S2">
        <v>453851</v>
      </c>
      <c r="T2" t="s">
        <v>629</v>
      </c>
      <c r="U2" t="s">
        <v>221</v>
      </c>
      <c r="V2">
        <v>180000294</v>
      </c>
      <c r="W2" s="2128">
        <v>43507</v>
      </c>
      <c r="X2">
        <v>4753878.6379310349</v>
      </c>
      <c r="Y2">
        <v>760620.58206896565</v>
      </c>
      <c r="Z2">
        <v>5514499.2199999997</v>
      </c>
      <c r="AA2">
        <v>90704004.413793117</v>
      </c>
      <c r="AB2">
        <v>14512640.706206899</v>
      </c>
      <c r="AC2">
        <v>105216645.12</v>
      </c>
      <c r="AD2">
        <v>19.080000000435216</v>
      </c>
      <c r="AE2">
        <v>140000823</v>
      </c>
      <c r="AF2" s="2128">
        <v>43524</v>
      </c>
      <c r="AG2">
        <v>4753878.6379310349</v>
      </c>
      <c r="AH2">
        <v>760620.58206896565</v>
      </c>
      <c r="AI2">
        <v>5514499.2199999997</v>
      </c>
      <c r="AJ2">
        <v>91098576.338672414</v>
      </c>
      <c r="AK2">
        <v>14575772.214187587</v>
      </c>
      <c r="AL2">
        <v>105674348.55285999</v>
      </c>
      <c r="AM2">
        <v>19.163</v>
      </c>
      <c r="AP2">
        <v>394571.92487929761</v>
      </c>
      <c r="AQ2">
        <v>63131.507980689406</v>
      </c>
      <c r="AR2">
        <v>457703.43285998702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0:N77"/>
  <sheetViews>
    <sheetView showGridLines="0" topLeftCell="A50" zoomScale="80" zoomScaleNormal="80" workbookViewId="0">
      <selection activeCell="I56" sqref="I56"/>
    </sheetView>
  </sheetViews>
  <sheetFormatPr baseColWidth="10" defaultRowHeight="14.25" x14ac:dyDescent="0.2"/>
  <cols>
    <col min="2" max="2" width="15.625" bestFit="1" customWidth="1"/>
    <col min="3" max="3" width="20" customWidth="1"/>
    <col min="4" max="12" width="18.625" bestFit="1" customWidth="1"/>
    <col min="13" max="13" width="16.875" bestFit="1" customWidth="1"/>
    <col min="14" max="14" width="15.625" bestFit="1" customWidth="1"/>
    <col min="15" max="18" width="18.625" bestFit="1" customWidth="1"/>
    <col min="19" max="19" width="15.625" bestFit="1" customWidth="1"/>
    <col min="20" max="21" width="18.625" bestFit="1" customWidth="1"/>
    <col min="22" max="22" width="16.875" bestFit="1" customWidth="1"/>
    <col min="23" max="26" width="15.625" bestFit="1" customWidth="1"/>
    <col min="27" max="28" width="16.875" bestFit="1" customWidth="1"/>
    <col min="29" max="30" width="15.625" bestFit="1" customWidth="1"/>
    <col min="31" max="32" width="18.625" bestFit="1" customWidth="1"/>
    <col min="33" max="33" width="16.875" bestFit="1" customWidth="1"/>
    <col min="34" max="37" width="15.625" bestFit="1" customWidth="1"/>
    <col min="38" max="39" width="16.875" bestFit="1" customWidth="1"/>
    <col min="40" max="41" width="15.625" bestFit="1" customWidth="1"/>
    <col min="42" max="43" width="18.625" bestFit="1" customWidth="1"/>
    <col min="44" max="44" width="16.875" bestFit="1" customWidth="1"/>
    <col min="45" max="46" width="15.625" bestFit="1" customWidth="1"/>
    <col min="47" max="48" width="18.625" bestFit="1" customWidth="1"/>
    <col min="49" max="49" width="16.875" bestFit="1" customWidth="1"/>
    <col min="50" max="53" width="15.625" bestFit="1" customWidth="1"/>
    <col min="54" max="55" width="16.875" bestFit="1" customWidth="1"/>
    <col min="56" max="57" width="15.625" bestFit="1" customWidth="1"/>
    <col min="58" max="59" width="18.625" bestFit="1" customWidth="1"/>
    <col min="60" max="60" width="15.625" bestFit="1" customWidth="1"/>
    <col min="61" max="61" width="18.625" bestFit="1" customWidth="1"/>
    <col min="62" max="63" width="15.625" bestFit="1" customWidth="1"/>
    <col min="64" max="66" width="18.625" bestFit="1" customWidth="1"/>
  </cols>
  <sheetData>
    <row r="20" spans="2:6" ht="24" customHeight="1" x14ac:dyDescent="0.2"/>
    <row r="24" spans="2:6" x14ac:dyDescent="0.2">
      <c r="B24" s="1992" t="s">
        <v>714</v>
      </c>
      <c r="C24" t="s">
        <v>715</v>
      </c>
    </row>
    <row r="25" spans="2:6" x14ac:dyDescent="0.2">
      <c r="B25" s="1992" t="s">
        <v>102</v>
      </c>
      <c r="C25" t="s">
        <v>715</v>
      </c>
    </row>
    <row r="26" spans="2:6" x14ac:dyDescent="0.2">
      <c r="B26" s="1992" t="s">
        <v>551</v>
      </c>
      <c r="C26" t="s">
        <v>715</v>
      </c>
    </row>
    <row r="28" spans="2:6" x14ac:dyDescent="0.2">
      <c r="B28" s="1992" t="s">
        <v>299</v>
      </c>
    </row>
    <row r="29" spans="2:6" x14ac:dyDescent="0.2">
      <c r="C29">
        <v>2019</v>
      </c>
      <c r="F29" t="s">
        <v>339</v>
      </c>
    </row>
    <row r="30" spans="2:6" x14ac:dyDescent="0.2">
      <c r="C30" t="s">
        <v>600</v>
      </c>
      <c r="D30" t="s">
        <v>595</v>
      </c>
      <c r="E30" t="s">
        <v>587</v>
      </c>
    </row>
    <row r="32" spans="2:6" x14ac:dyDescent="0.2">
      <c r="B32" s="1856" t="s">
        <v>340</v>
      </c>
      <c r="C32" s="1991">
        <v>99665462.39397414</v>
      </c>
      <c r="D32" s="1991">
        <v>98896244.532049149</v>
      </c>
      <c r="E32" s="1991">
        <v>98598231.121039659</v>
      </c>
      <c r="F32" s="1991">
        <v>297159938.04706299</v>
      </c>
    </row>
    <row r="33" spans="2:14" x14ac:dyDescent="0.2">
      <c r="B33" s="1856" t="s">
        <v>470</v>
      </c>
      <c r="C33" s="1991">
        <v>114136.14958620691</v>
      </c>
      <c r="D33" s="1991">
        <v>103604.91981293104</v>
      </c>
      <c r="E33" s="1991">
        <v>111452.08905344829</v>
      </c>
      <c r="F33" s="1991">
        <v>329193.15845258627</v>
      </c>
    </row>
    <row r="34" spans="2:14" x14ac:dyDescent="0.2">
      <c r="B34" s="1856" t="s">
        <v>339</v>
      </c>
      <c r="C34" s="1991">
        <v>99779598.543560341</v>
      </c>
      <c r="D34" s="1991">
        <v>98999849.451862082</v>
      </c>
      <c r="E34" s="1991">
        <v>98709683.210093111</v>
      </c>
      <c r="F34" s="1991">
        <v>297489131.20551556</v>
      </c>
    </row>
    <row r="41" spans="2:14" x14ac:dyDescent="0.2">
      <c r="B41" s="1992" t="s">
        <v>714</v>
      </c>
      <c r="C41" t="s">
        <v>715</v>
      </c>
    </row>
    <row r="42" spans="2:14" x14ac:dyDescent="0.2">
      <c r="B42" s="1992" t="s">
        <v>102</v>
      </c>
      <c r="C42" t="s">
        <v>715</v>
      </c>
    </row>
    <row r="43" spans="2:14" x14ac:dyDescent="0.2">
      <c r="B43" s="1992" t="s">
        <v>551</v>
      </c>
      <c r="C43" t="s">
        <v>715</v>
      </c>
    </row>
    <row r="45" spans="2:14" x14ac:dyDescent="0.2">
      <c r="B45" s="1992" t="s">
        <v>165</v>
      </c>
    </row>
    <row r="46" spans="2:14" x14ac:dyDescent="0.2">
      <c r="C46">
        <v>2019</v>
      </c>
      <c r="N46" t="s">
        <v>339</v>
      </c>
    </row>
    <row r="47" spans="2:14" x14ac:dyDescent="0.2">
      <c r="C47" t="s">
        <v>600</v>
      </c>
      <c r="H47" t="s">
        <v>595</v>
      </c>
      <c r="M47" t="s">
        <v>587</v>
      </c>
    </row>
    <row r="48" spans="2:14" x14ac:dyDescent="0.2">
      <c r="C48" t="s">
        <v>633</v>
      </c>
      <c r="D48" t="s">
        <v>390</v>
      </c>
      <c r="E48" t="s">
        <v>392</v>
      </c>
      <c r="F48" t="s">
        <v>722</v>
      </c>
      <c r="G48" t="s">
        <v>723</v>
      </c>
      <c r="H48" t="s">
        <v>633</v>
      </c>
      <c r="I48" t="s">
        <v>730</v>
      </c>
      <c r="J48" t="s">
        <v>724</v>
      </c>
      <c r="K48" t="s">
        <v>731</v>
      </c>
      <c r="L48" t="s">
        <v>732</v>
      </c>
    </row>
    <row r="49" spans="2:14" x14ac:dyDescent="0.2">
      <c r="B49" s="1856" t="s">
        <v>340</v>
      </c>
      <c r="C49" s="1994">
        <v>0</v>
      </c>
      <c r="D49" s="1994">
        <v>4753878.6379310349</v>
      </c>
      <c r="E49" s="1994">
        <v>447053.49137931038</v>
      </c>
      <c r="F49" s="1994">
        <v>0</v>
      </c>
      <c r="G49" s="1994">
        <v>0</v>
      </c>
      <c r="H49" s="1994">
        <v>0</v>
      </c>
      <c r="I49" s="1994">
        <v>4753878.6379310349</v>
      </c>
      <c r="J49" s="1994">
        <v>447053.49137931038</v>
      </c>
      <c r="K49" s="1994">
        <v>0</v>
      </c>
      <c r="L49" s="1994">
        <v>0</v>
      </c>
      <c r="M49" s="1994">
        <v>5200932.1293103453</v>
      </c>
      <c r="N49" s="1994">
        <v>15602796.387931036</v>
      </c>
    </row>
    <row r="50" spans="2:14" x14ac:dyDescent="0.2">
      <c r="B50" s="1856" t="s">
        <v>470</v>
      </c>
      <c r="C50" s="1994">
        <v>0</v>
      </c>
      <c r="D50" s="1994">
        <v>2240.3879310344828</v>
      </c>
      <c r="E50" s="1994">
        <v>0</v>
      </c>
      <c r="F50" s="1994">
        <v>3166.4913793103451</v>
      </c>
      <c r="G50" s="1994">
        <v>549.18965517241384</v>
      </c>
      <c r="H50" s="1994">
        <v>0</v>
      </c>
      <c r="I50" s="1994">
        <v>555.88793103448279</v>
      </c>
      <c r="J50" s="1994">
        <v>0</v>
      </c>
      <c r="K50" s="1994">
        <v>2005.4310344827588</v>
      </c>
      <c r="L50" s="1994">
        <v>2887.2413793103447</v>
      </c>
      <c r="M50" s="1994">
        <v>5878.9568965517246</v>
      </c>
      <c r="N50" s="1994">
        <v>17283.586206896551</v>
      </c>
    </row>
    <row r="51" spans="2:14" x14ac:dyDescent="0.2">
      <c r="B51" s="1856" t="s">
        <v>339</v>
      </c>
      <c r="C51" s="1994">
        <v>0</v>
      </c>
      <c r="D51" s="1994">
        <v>4756119.0258620698</v>
      </c>
      <c r="E51" s="1994">
        <v>447053.49137931038</v>
      </c>
      <c r="F51" s="1994">
        <v>3166.4913793103451</v>
      </c>
      <c r="G51" s="1994">
        <v>549.18965517241384</v>
      </c>
      <c r="H51" s="1994">
        <v>0</v>
      </c>
      <c r="I51" s="1994">
        <v>4754434.5258620698</v>
      </c>
      <c r="J51" s="1994">
        <v>447053.49137931038</v>
      </c>
      <c r="K51" s="1994">
        <v>2005.4310344827588</v>
      </c>
      <c r="L51" s="1994">
        <v>2887.2413793103447</v>
      </c>
      <c r="M51" s="1994">
        <v>5206811.0862068972</v>
      </c>
      <c r="N51" s="1994">
        <v>15620079.974137932</v>
      </c>
    </row>
    <row r="61" spans="2:14" x14ac:dyDescent="0.2">
      <c r="B61" s="1992" t="s">
        <v>714</v>
      </c>
      <c r="C61" t="s">
        <v>715</v>
      </c>
    </row>
    <row r="62" spans="2:14" x14ac:dyDescent="0.2">
      <c r="B62" s="1992" t="s">
        <v>102</v>
      </c>
      <c r="C62" t="s">
        <v>715</v>
      </c>
    </row>
    <row r="63" spans="2:14" x14ac:dyDescent="0.2">
      <c r="B63" s="1992" t="s">
        <v>551</v>
      </c>
      <c r="C63" t="s">
        <v>715</v>
      </c>
    </row>
    <row r="65" spans="2:7" x14ac:dyDescent="0.2">
      <c r="B65" s="1992" t="s">
        <v>299</v>
      </c>
      <c r="C65" s="1992" t="s">
        <v>706</v>
      </c>
      <c r="D65" s="1992" t="s">
        <v>19</v>
      </c>
      <c r="E65" s="1992" t="s">
        <v>337</v>
      </c>
      <c r="F65" s="1992" t="s">
        <v>338</v>
      </c>
      <c r="G65" s="1992" t="s">
        <v>232</v>
      </c>
    </row>
    <row r="66" spans="2:7" ht="15" x14ac:dyDescent="0.2">
      <c r="C66" s="2125">
        <v>2019</v>
      </c>
      <c r="D66" s="2125">
        <v>2019</v>
      </c>
      <c r="E66" s="2125">
        <v>2019</v>
      </c>
      <c r="F66" s="2127" t="s">
        <v>339</v>
      </c>
    </row>
    <row r="67" spans="2:7" x14ac:dyDescent="0.2">
      <c r="C67" s="2125" t="s">
        <v>340</v>
      </c>
      <c r="D67" s="2125" t="s">
        <v>340</v>
      </c>
      <c r="E67" s="2125" t="s">
        <v>340</v>
      </c>
      <c r="F67" s="2127"/>
    </row>
    <row r="68" spans="2:7" x14ac:dyDescent="0.2">
      <c r="C68" s="2125" t="s">
        <v>221</v>
      </c>
      <c r="D68" s="2125" t="s">
        <v>221</v>
      </c>
      <c r="E68" s="2125" t="s">
        <v>238</v>
      </c>
      <c r="F68" s="2127"/>
    </row>
    <row r="69" spans="2:7" x14ac:dyDescent="0.2">
      <c r="C69" s="2125">
        <v>453851</v>
      </c>
      <c r="D69" s="2125">
        <v>453858</v>
      </c>
      <c r="E69" s="2125">
        <v>453858</v>
      </c>
      <c r="F69" s="2127"/>
    </row>
    <row r="70" spans="2:7" x14ac:dyDescent="0.2">
      <c r="B70" s="1992" t="s">
        <v>341</v>
      </c>
      <c r="C70" s="2125">
        <v>2280</v>
      </c>
      <c r="D70" s="2125">
        <v>2280</v>
      </c>
      <c r="E70" s="2125" t="s">
        <v>344</v>
      </c>
      <c r="F70" s="2127"/>
    </row>
    <row r="71" spans="2:7" x14ac:dyDescent="0.2">
      <c r="B71" s="2125">
        <v>1</v>
      </c>
      <c r="C71" s="2126">
        <v>73818344.593974143</v>
      </c>
      <c r="D71" s="2126">
        <v>15486458.720000001</v>
      </c>
      <c r="E71" s="2126">
        <v>10360659.08</v>
      </c>
      <c r="F71" s="1991">
        <v>99665462.39397414</v>
      </c>
    </row>
    <row r="72" spans="2:7" x14ac:dyDescent="0.2">
      <c r="B72" s="2125">
        <v>2</v>
      </c>
      <c r="C72" s="2126">
        <v>64928931.932049148</v>
      </c>
      <c r="D72" s="2126">
        <v>23785706.969999999</v>
      </c>
      <c r="E72" s="2126">
        <v>10181605.630000001</v>
      </c>
      <c r="F72" s="1991">
        <v>98896244.532049149</v>
      </c>
    </row>
    <row r="73" spans="2:7" x14ac:dyDescent="0.2">
      <c r="B73" s="2125">
        <v>3</v>
      </c>
      <c r="C73" s="2126">
        <v>98598231.121039659</v>
      </c>
      <c r="D73" s="2126">
        <v>0</v>
      </c>
      <c r="E73" s="2126">
        <v>0</v>
      </c>
      <c r="F73" s="1991">
        <v>98598231.121039659</v>
      </c>
    </row>
    <row r="74" spans="2:7" x14ac:dyDescent="0.2">
      <c r="B74" s="1993" t="s">
        <v>339</v>
      </c>
      <c r="C74" s="2126">
        <v>237345507.64706296</v>
      </c>
      <c r="D74" s="2126">
        <v>39272165.689999998</v>
      </c>
      <c r="E74" s="2126">
        <v>20542264.710000001</v>
      </c>
      <c r="F74" s="1991">
        <v>297159938.04706299</v>
      </c>
    </row>
    <row r="77" spans="2:7" ht="24.75" customHeight="1" x14ac:dyDescent="0.2"/>
  </sheetData>
  <pageMargins left="0.7" right="0.7" top="0.75" bottom="0.75" header="0.3" footer="0.3"/>
  <pageSetup orientation="portrait" verticalDpi="0" r:id="rId4"/>
  <drawing r:id="rId5"/>
  <extLst>
    <ext xmlns:x14="http://schemas.microsoft.com/office/spreadsheetml/2009/9/main" uri="{A8765BA9-456A-4dab-B4F3-ACF838C121DE}">
      <x14:slicerList>
        <x14:slicer r:id="rId6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9:AQ447"/>
  <sheetViews>
    <sheetView workbookViewId="0">
      <selection activeCell="D328" sqref="D328:E328"/>
    </sheetView>
  </sheetViews>
  <sheetFormatPr baseColWidth="10" defaultColWidth="10.125" defaultRowHeight="15.75" x14ac:dyDescent="0.25"/>
  <cols>
    <col min="1" max="1" width="10.125" style="1077" customWidth="1"/>
    <col min="2" max="2" width="7.625" style="1077" bestFit="1" customWidth="1"/>
    <col min="3" max="3" width="13.125" style="1077" bestFit="1" customWidth="1"/>
    <col min="4" max="4" width="25.375" style="1077" bestFit="1" customWidth="1"/>
    <col min="5" max="5" width="20.125" style="1077" bestFit="1" customWidth="1"/>
    <col min="6" max="6" width="23.125" style="1077" bestFit="1" customWidth="1"/>
    <col min="7" max="7" width="19.125" style="1077" bestFit="1" customWidth="1"/>
    <col min="8" max="8" width="19" style="1079" bestFit="1" customWidth="1"/>
    <col min="9" max="9" width="20.125" style="1077" bestFit="1" customWidth="1"/>
    <col min="10" max="10" width="13.125" style="1077" bestFit="1" customWidth="1"/>
    <col min="11" max="11" width="15.375" style="1077" bestFit="1" customWidth="1"/>
    <col min="12" max="12" width="5.625" style="1077" bestFit="1" customWidth="1"/>
    <col min="13" max="13" width="16.5" style="1080" bestFit="1" customWidth="1"/>
    <col min="14" max="14" width="16" style="1077" bestFit="1" customWidth="1"/>
    <col min="15" max="15" width="13.125" style="1077" bestFit="1" customWidth="1"/>
    <col min="16" max="16" width="16.625" style="1077" bestFit="1" customWidth="1"/>
    <col min="17" max="17" width="16.625" style="1081" bestFit="1" customWidth="1"/>
    <col min="18" max="18" width="23.875" style="1077" bestFit="1" customWidth="1"/>
    <col min="19" max="19" width="9.875" style="1077" bestFit="1" customWidth="1"/>
    <col min="20" max="20" width="14.5" style="1077" bestFit="1" customWidth="1"/>
    <col min="21" max="21" width="14.625" style="1082" bestFit="1" customWidth="1"/>
    <col min="22" max="22" width="11.5" style="1082" customWidth="1"/>
    <col min="23" max="23" width="15.625" style="1082" bestFit="1" customWidth="1"/>
    <col min="24" max="24" width="12.125" style="1082" customWidth="1"/>
    <col min="25" max="25" width="15.375" style="1077" bestFit="1" customWidth="1"/>
    <col min="26" max="26" width="13.625" style="1077" customWidth="1"/>
    <col min="27" max="27" width="15.625" style="1082" bestFit="1" customWidth="1"/>
    <col min="28" max="28" width="11.625" style="1082" bestFit="1" customWidth="1"/>
    <col min="29" max="29" width="14.5" style="1082" bestFit="1" customWidth="1"/>
    <col min="30" max="30" width="10.125" style="1082"/>
    <col min="31" max="31" width="12.375" style="1082" bestFit="1" customWidth="1"/>
    <col min="32" max="41" width="10.125" style="1082"/>
    <col min="42" max="16384" width="10.125" style="1077"/>
  </cols>
  <sheetData>
    <row r="9" spans="2:41" x14ac:dyDescent="0.25">
      <c r="D9" s="1078"/>
    </row>
    <row r="10" spans="2:41" ht="16.5" thickBot="1" x14ac:dyDescent="0.3">
      <c r="B10" s="1083"/>
      <c r="C10" s="1084"/>
      <c r="D10" s="1084"/>
      <c r="E10" s="1084"/>
      <c r="F10" s="1084"/>
      <c r="G10" s="1084"/>
      <c r="H10" s="1084"/>
      <c r="I10" s="1084"/>
      <c r="J10" s="1084"/>
      <c r="K10" s="1084"/>
      <c r="L10" s="1084"/>
      <c r="M10" s="1085"/>
      <c r="N10" s="1084"/>
      <c r="O10" s="1084"/>
      <c r="P10" s="1084"/>
      <c r="Q10" s="1086"/>
      <c r="R10" s="1084"/>
      <c r="S10" s="1084"/>
      <c r="Y10" s="1084"/>
      <c r="Z10" s="1084"/>
    </row>
    <row r="11" spans="2:41" ht="16.5" thickBot="1" x14ac:dyDescent="0.3">
      <c r="B11" s="2187" t="s">
        <v>298</v>
      </c>
      <c r="C11" s="2185" t="s">
        <v>297</v>
      </c>
      <c r="D11" s="2197" t="s">
        <v>327</v>
      </c>
      <c r="E11" s="2198"/>
      <c r="F11" s="2198"/>
      <c r="G11" s="2198"/>
      <c r="H11" s="2198"/>
      <c r="I11" s="2198"/>
      <c r="J11" s="2199" t="s">
        <v>328</v>
      </c>
      <c r="K11" s="2200"/>
      <c r="L11" s="2200"/>
      <c r="M11" s="2200"/>
      <c r="N11" s="2200"/>
      <c r="O11" s="2200"/>
      <c r="P11" s="2200"/>
      <c r="Q11" s="2200"/>
      <c r="R11" s="2200"/>
      <c r="S11" s="2201"/>
      <c r="T11" s="2194" t="s">
        <v>309</v>
      </c>
      <c r="U11" s="2195"/>
      <c r="V11" s="2195"/>
      <c r="W11" s="2195"/>
      <c r="X11" s="2195"/>
      <c r="Y11" s="2195"/>
      <c r="Z11" s="2195"/>
      <c r="AA11" s="2195"/>
      <c r="AB11" s="2195"/>
      <c r="AC11" s="2196"/>
    </row>
    <row r="12" spans="2:41" s="1093" customFormat="1" ht="38.25" x14ac:dyDescent="0.2">
      <c r="B12" s="2187"/>
      <c r="C12" s="2185"/>
      <c r="D12" s="1087" t="s">
        <v>313</v>
      </c>
      <c r="E12" s="1175" t="s">
        <v>301</v>
      </c>
      <c r="F12" s="1088" t="s">
        <v>302</v>
      </c>
      <c r="G12" s="1087" t="s">
        <v>310</v>
      </c>
      <c r="H12" s="1175" t="s">
        <v>303</v>
      </c>
      <c r="I12" s="1088" t="s">
        <v>302</v>
      </c>
      <c r="J12" s="1087" t="s">
        <v>305</v>
      </c>
      <c r="K12" s="1175" t="s">
        <v>351</v>
      </c>
      <c r="L12" s="2189" t="s">
        <v>153</v>
      </c>
      <c r="M12" s="1175" t="s">
        <v>306</v>
      </c>
      <c r="N12" s="1175" t="s">
        <v>306</v>
      </c>
      <c r="O12" s="1175" t="s">
        <v>307</v>
      </c>
      <c r="P12" s="1175" t="s">
        <v>308</v>
      </c>
      <c r="Q12" s="1175" t="s">
        <v>308</v>
      </c>
      <c r="R12" s="2189" t="s">
        <v>168</v>
      </c>
      <c r="S12" s="2191" t="s">
        <v>128</v>
      </c>
      <c r="T12" s="1089" t="s">
        <v>324</v>
      </c>
      <c r="U12" s="1090" t="s">
        <v>323</v>
      </c>
      <c r="V12" s="1090" t="s">
        <v>352</v>
      </c>
      <c r="W12" s="1090" t="s">
        <v>325</v>
      </c>
      <c r="X12" s="1090" t="s">
        <v>326</v>
      </c>
      <c r="Y12" s="1090" t="s">
        <v>332</v>
      </c>
      <c r="Z12" s="1090" t="s">
        <v>330</v>
      </c>
      <c r="AA12" s="1090" t="s">
        <v>331</v>
      </c>
      <c r="AB12" s="1090" t="s">
        <v>330</v>
      </c>
      <c r="AC12" s="1091" t="s">
        <v>331</v>
      </c>
      <c r="AD12" s="1092"/>
      <c r="AE12" s="1092"/>
      <c r="AF12" s="1092"/>
      <c r="AG12" s="1092"/>
      <c r="AH12" s="1092"/>
      <c r="AI12" s="1092"/>
      <c r="AJ12" s="1092"/>
      <c r="AK12" s="1092"/>
      <c r="AL12" s="1092"/>
      <c r="AM12" s="1092"/>
      <c r="AN12" s="1092"/>
      <c r="AO12" s="1092"/>
    </row>
    <row r="13" spans="2:41" s="1101" customFormat="1" ht="26.25" thickBot="1" x14ac:dyDescent="0.25">
      <c r="B13" s="2188"/>
      <c r="C13" s="2186"/>
      <c r="D13" s="1094" t="s">
        <v>299</v>
      </c>
      <c r="E13" s="1095" t="s">
        <v>299</v>
      </c>
      <c r="F13" s="1096" t="s">
        <v>299</v>
      </c>
      <c r="G13" s="1094" t="s">
        <v>300</v>
      </c>
      <c r="H13" s="1095" t="s">
        <v>304</v>
      </c>
      <c r="I13" s="1096" t="s">
        <v>300</v>
      </c>
      <c r="J13" s="1097" t="s">
        <v>353</v>
      </c>
      <c r="K13" s="1098" t="s">
        <v>353</v>
      </c>
      <c r="L13" s="2190"/>
      <c r="M13" s="1098" t="s">
        <v>321</v>
      </c>
      <c r="N13" s="1098" t="s">
        <v>354</v>
      </c>
      <c r="O13" s="1098" t="s">
        <v>353</v>
      </c>
      <c r="P13" s="1098" t="s">
        <v>311</v>
      </c>
      <c r="Q13" s="1098" t="s">
        <v>312</v>
      </c>
      <c r="R13" s="2190"/>
      <c r="S13" s="2192"/>
      <c r="T13" s="1097" t="s">
        <v>322</v>
      </c>
      <c r="U13" s="1098" t="s">
        <v>322</v>
      </c>
      <c r="V13" s="1098" t="s">
        <v>322</v>
      </c>
      <c r="W13" s="1098" t="s">
        <v>322</v>
      </c>
      <c r="X13" s="1098" t="s">
        <v>355</v>
      </c>
      <c r="Y13" s="1098" t="s">
        <v>333</v>
      </c>
      <c r="Z13" s="1098" t="s">
        <v>329</v>
      </c>
      <c r="AA13" s="1098" t="s">
        <v>329</v>
      </c>
      <c r="AB13" s="1098" t="s">
        <v>93</v>
      </c>
      <c r="AC13" s="1099" t="s">
        <v>93</v>
      </c>
      <c r="AD13" s="1100"/>
      <c r="AE13" s="1100"/>
      <c r="AF13" s="1100"/>
      <c r="AG13" s="1100"/>
      <c r="AH13" s="1100"/>
      <c r="AI13" s="1100"/>
      <c r="AJ13" s="1100"/>
      <c r="AK13" s="1100"/>
      <c r="AL13" s="1100"/>
      <c r="AM13" s="1100"/>
      <c r="AN13" s="1100"/>
      <c r="AO13" s="1100"/>
    </row>
    <row r="14" spans="2:41" hidden="1" x14ac:dyDescent="0.25">
      <c r="B14" s="1102">
        <f>YEAR(C14)</f>
        <v>2013</v>
      </c>
      <c r="C14" s="1103">
        <v>41487</v>
      </c>
      <c r="D14" s="1146">
        <f>'Agosto - 2013'!$M$35</f>
        <v>36540610.681169994</v>
      </c>
      <c r="E14" s="1147" t="e">
        <f>'Agosto - 2013'!$M$45</f>
        <v>#DIV/0!</v>
      </c>
      <c r="F14" s="1305" t="e">
        <f t="shared" ref="F14:F18" si="0">SUM(D14:E14)</f>
        <v>#DIV/0!</v>
      </c>
      <c r="G14" s="1120">
        <f>'Agosto - 2013'!$L$35</f>
        <v>2858173.9499999997</v>
      </c>
      <c r="H14" s="1121" t="e">
        <f>'Agosto - 2013'!$L$45</f>
        <v>#DIV/0!</v>
      </c>
      <c r="I14" s="1304" t="e">
        <f t="shared" ref="I14:I18" si="1">G14+H14</f>
        <v>#DIV/0!</v>
      </c>
      <c r="J14" s="1115">
        <f>'Agosto - 2013'!$H$24</f>
        <v>8.2000000000000003E-2</v>
      </c>
      <c r="K14" s="1116">
        <f>'Agosto - 2013'!$I$24</f>
        <v>1E-3</v>
      </c>
      <c r="L14" s="1104">
        <f t="shared" ref="L14:L18" si="2">_xlfn.DAYS(C15,C14)</f>
        <v>31</v>
      </c>
      <c r="M14" s="1153">
        <f>'Agosto - 2013'!F$24</f>
        <v>31482640</v>
      </c>
      <c r="N14" s="1105">
        <f t="shared" ref="N14:N18" si="3">IFERROR(M14/L14,0)</f>
        <v>1015569.0322580645</v>
      </c>
      <c r="O14" s="1164">
        <f>'Agosto - 2013'!I$24</f>
        <v>1E-3</v>
      </c>
      <c r="P14" s="1118">
        <f t="shared" ref="P14:P18" si="4">Q14*0.94817</f>
        <v>0</v>
      </c>
      <c r="Q14" s="1118">
        <f>'Agosto - 2013'!M$24</f>
        <v>0</v>
      </c>
      <c r="R14" s="1117">
        <f>'Agosto - 2013'!H$10</f>
        <v>2</v>
      </c>
      <c r="S14" s="1303">
        <f>'Agosto - 2013'!I$10</f>
        <v>12.784599999999999</v>
      </c>
      <c r="T14" s="1106">
        <f>'Agosto - 2013'!V44</f>
        <v>0</v>
      </c>
      <c r="U14" s="1107">
        <f>'Agosto - 2013'!W44</f>
        <v>0</v>
      </c>
      <c r="V14" s="1107">
        <f t="shared" ref="V14:V18" si="5">T14-U14</f>
        <v>0</v>
      </c>
      <c r="W14" s="1107" t="e">
        <f t="shared" ref="W14:W18" si="6">V14+W13</f>
        <v>#VALUE!</v>
      </c>
      <c r="X14" s="1108">
        <f t="shared" ref="X14:X18" si="7">Q14/L14</f>
        <v>0</v>
      </c>
      <c r="Y14" s="1109">
        <f t="shared" ref="Y14:Y18" si="8">M14</f>
        <v>31482640</v>
      </c>
      <c r="Z14" s="1109">
        <f t="shared" ref="Z14:Z18" si="9">Q14</f>
        <v>0</v>
      </c>
      <c r="AA14" s="1110">
        <f t="shared" ref="AA14:AA18" si="10">Y14-Z14</f>
        <v>31482640</v>
      </c>
      <c r="AB14" s="1111">
        <f t="shared" ref="AB14:AB18" si="11">IFERROR(Z14/Y14,0)</f>
        <v>0</v>
      </c>
      <c r="AC14" s="1112">
        <f t="shared" ref="AC14:AC18" si="12">1-AB14</f>
        <v>1</v>
      </c>
    </row>
    <row r="15" spans="2:41" hidden="1" x14ac:dyDescent="0.25">
      <c r="B15" s="1113">
        <f t="shared" ref="B15:B78" si="13">YEAR(C15)</f>
        <v>2013</v>
      </c>
      <c r="C15" s="1114">
        <v>41518</v>
      </c>
      <c r="D15" s="1146">
        <f>'Septiembre - 2013'!$M$35</f>
        <v>19862064.010000002</v>
      </c>
      <c r="E15" s="1147" t="e">
        <f>'Septiembre - 2013'!$M$45</f>
        <v>#DIV/0!</v>
      </c>
      <c r="F15" s="1305" t="e">
        <f t="shared" si="0"/>
        <v>#DIV/0!</v>
      </c>
      <c r="G15" s="1120">
        <f>'Septiembre - 2013'!$L$35</f>
        <v>4627948.07</v>
      </c>
      <c r="H15" s="1121" t="e">
        <f>'Septiembre - 2013'!$L$45</f>
        <v>#DIV/0!</v>
      </c>
      <c r="I15" s="1304" t="e">
        <f t="shared" si="1"/>
        <v>#DIV/0!</v>
      </c>
      <c r="J15" s="1115">
        <f>'Septiembre - 2013'!$H$24</f>
        <v>8.2000000000000003E-2</v>
      </c>
      <c r="K15" s="1116">
        <f>'Septiembre - 2013'!$I$24</f>
        <v>1E-3</v>
      </c>
      <c r="L15" s="1104">
        <f t="shared" si="2"/>
        <v>30</v>
      </c>
      <c r="M15" s="1153">
        <f>'Septiembre - 2013'!F$24</f>
        <v>31482640</v>
      </c>
      <c r="N15" s="1105">
        <f t="shared" si="3"/>
        <v>1049421.3333333333</v>
      </c>
      <c r="O15" s="1164">
        <f>'Septiembre - 2013'!I$24</f>
        <v>1E-3</v>
      </c>
      <c r="P15" s="1118">
        <f t="shared" si="4"/>
        <v>0</v>
      </c>
      <c r="Q15" s="1118">
        <f>'Septiembre - 2013'!M$24</f>
        <v>0</v>
      </c>
      <c r="R15" s="1117">
        <f>'Septiembre - 2013'!H$10</f>
        <v>0</v>
      </c>
      <c r="S15" s="1303">
        <f>'Septiembre - 2013'!I$10</f>
        <v>19</v>
      </c>
      <c r="T15" s="1106">
        <f>'Septiembre - 2013'!V44</f>
        <v>0</v>
      </c>
      <c r="U15" s="1107">
        <f>'Septiembre - 2013'!W44</f>
        <v>0</v>
      </c>
      <c r="V15" s="1107">
        <f t="shared" si="5"/>
        <v>0</v>
      </c>
      <c r="W15" s="1107" t="e">
        <f t="shared" si="6"/>
        <v>#VALUE!</v>
      </c>
      <c r="X15" s="1108">
        <f t="shared" si="7"/>
        <v>0</v>
      </c>
      <c r="Y15" s="1109">
        <f t="shared" si="8"/>
        <v>31482640</v>
      </c>
      <c r="Z15" s="1109">
        <f t="shared" si="9"/>
        <v>0</v>
      </c>
      <c r="AA15" s="1110">
        <f t="shared" si="10"/>
        <v>31482640</v>
      </c>
      <c r="AB15" s="1111">
        <f t="shared" si="11"/>
        <v>0</v>
      </c>
      <c r="AC15" s="1112">
        <f t="shared" si="12"/>
        <v>1</v>
      </c>
    </row>
    <row r="16" spans="2:41" hidden="1" x14ac:dyDescent="0.25">
      <c r="B16" s="1113">
        <f t="shared" si="13"/>
        <v>2013</v>
      </c>
      <c r="C16" s="1114">
        <v>41548</v>
      </c>
      <c r="D16" s="1146">
        <f>'Octubre - 2016'!$M$35</f>
        <v>95404686.874391988</v>
      </c>
      <c r="E16" s="1147">
        <f>'Octubre - 2016'!$M$45</f>
        <v>41450.997876999994</v>
      </c>
      <c r="F16" s="1305">
        <f t="shared" si="0"/>
        <v>95446137.87226899</v>
      </c>
      <c r="G16" s="1120">
        <f>'Octubre - 2016'!$L$35</f>
        <v>4627948.08</v>
      </c>
      <c r="H16" s="1121">
        <f>'Octubre - 2016'!$L$45</f>
        <v>2010.73</v>
      </c>
      <c r="I16" s="1304">
        <f t="shared" si="1"/>
        <v>4629958.8100000005</v>
      </c>
      <c r="J16" s="1115">
        <f>'Octubre - 2016'!$H$24</f>
        <v>0.14699999999999999</v>
      </c>
      <c r="K16" s="1116">
        <f>'Octubre - 2016'!$I$24</f>
        <v>1E-3</v>
      </c>
      <c r="L16" s="1104">
        <f t="shared" si="2"/>
        <v>31</v>
      </c>
      <c r="M16" s="1153">
        <f>'Octubre - 2016'!$F$24</f>
        <v>31482640</v>
      </c>
      <c r="N16" s="1105">
        <f t="shared" si="3"/>
        <v>1015569.0322580645</v>
      </c>
      <c r="O16" s="1164">
        <f>'Octubre - 2016'!I$24</f>
        <v>1E-3</v>
      </c>
      <c r="P16" s="1118">
        <f t="shared" si="4"/>
        <v>2053329.1203384928</v>
      </c>
      <c r="Q16" s="1118">
        <f>'Octubre - 2016'!M$24</f>
        <v>2165570.6469709999</v>
      </c>
      <c r="R16" s="1117" t="str">
        <f>'Octubre - 2016'!H$10</f>
        <v>FE123</v>
      </c>
      <c r="S16" s="1303">
        <f>'Octubre - 2016'!I$10</f>
        <v>20.614899999999999</v>
      </c>
      <c r="T16" s="1106">
        <f>'Octubre - 2016'!V44</f>
        <v>0</v>
      </c>
      <c r="U16" s="1107">
        <f>'Octubre - 2016'!W44</f>
        <v>0</v>
      </c>
      <c r="V16" s="1107">
        <f t="shared" si="5"/>
        <v>0</v>
      </c>
      <c r="W16" s="1107" t="e">
        <f t="shared" si="6"/>
        <v>#VALUE!</v>
      </c>
      <c r="X16" s="1108">
        <f t="shared" si="7"/>
        <v>69857.1176442258</v>
      </c>
      <c r="Y16" s="1109">
        <f t="shared" si="8"/>
        <v>31482640</v>
      </c>
      <c r="Z16" s="1109">
        <f t="shared" si="9"/>
        <v>2165570.6469709999</v>
      </c>
      <c r="AA16" s="1110">
        <f t="shared" si="10"/>
        <v>29317069.353029002</v>
      </c>
      <c r="AB16" s="1111">
        <f t="shared" si="11"/>
        <v>6.8786183336943779E-2</v>
      </c>
      <c r="AC16" s="1112">
        <f t="shared" si="12"/>
        <v>0.93121381666305625</v>
      </c>
    </row>
    <row r="17" spans="2:29" hidden="1" x14ac:dyDescent="0.25">
      <c r="B17" s="1113">
        <f t="shared" si="13"/>
        <v>2013</v>
      </c>
      <c r="C17" s="1114">
        <v>41579</v>
      </c>
      <c r="D17" s="1146">
        <f>'Noviembre - 2013'!$M$35</f>
        <v>19862064.010000002</v>
      </c>
      <c r="E17" s="1147" t="e">
        <f>'Noviembre - 2013'!$M$45</f>
        <v>#DIV/0!</v>
      </c>
      <c r="F17" s="1305" t="e">
        <f t="shared" si="0"/>
        <v>#DIV/0!</v>
      </c>
      <c r="G17" s="1120">
        <f>'Noviembre - 2013'!$L$35</f>
        <v>4627948.07</v>
      </c>
      <c r="H17" s="1121" t="e">
        <f>'Noviembre - 2013'!$L$45</f>
        <v>#DIV/0!</v>
      </c>
      <c r="I17" s="1304" t="e">
        <f t="shared" si="1"/>
        <v>#DIV/0!</v>
      </c>
      <c r="J17" s="1115">
        <f>'Noviembre - 2013'!$H$24</f>
        <v>8.2000000000000003E-2</v>
      </c>
      <c r="K17" s="1116">
        <f>'Noviembre - 2013'!$I$24</f>
        <v>1E-3</v>
      </c>
      <c r="L17" s="1104">
        <f t="shared" si="2"/>
        <v>30</v>
      </c>
      <c r="M17" s="1153">
        <f>'Noviembre - 2013'!$F$24</f>
        <v>31482640</v>
      </c>
      <c r="N17" s="1105">
        <f t="shared" si="3"/>
        <v>1049421.3333333333</v>
      </c>
      <c r="O17" s="1164">
        <f>'Noviembre - 2013'!I$24</f>
        <v>1E-3</v>
      </c>
      <c r="P17" s="1118">
        <f t="shared" si="4"/>
        <v>0</v>
      </c>
      <c r="Q17" s="1118">
        <f>'Noviembre - 2013'!M$24</f>
        <v>0</v>
      </c>
      <c r="R17" s="1117">
        <f>'Noviembre - 2013'!H$10</f>
        <v>0</v>
      </c>
      <c r="S17" s="1303">
        <f>'Noviembre - 2013'!I$10</f>
        <v>19</v>
      </c>
      <c r="T17" s="1106">
        <f>'Noviembre - 2013'!V44</f>
        <v>0</v>
      </c>
      <c r="U17" s="1107">
        <f>'Noviembre - 2013'!W44</f>
        <v>0</v>
      </c>
      <c r="V17" s="1107">
        <f t="shared" si="5"/>
        <v>0</v>
      </c>
      <c r="W17" s="1107" t="e">
        <f t="shared" si="6"/>
        <v>#VALUE!</v>
      </c>
      <c r="X17" s="1108">
        <f t="shared" si="7"/>
        <v>0</v>
      </c>
      <c r="Y17" s="1109">
        <f t="shared" si="8"/>
        <v>31482640</v>
      </c>
      <c r="Z17" s="1109">
        <f t="shared" si="9"/>
        <v>0</v>
      </c>
      <c r="AA17" s="1110">
        <f t="shared" si="10"/>
        <v>31482640</v>
      </c>
      <c r="AB17" s="1111">
        <f t="shared" si="11"/>
        <v>0</v>
      </c>
      <c r="AC17" s="1112">
        <f t="shared" si="12"/>
        <v>1</v>
      </c>
    </row>
    <row r="18" spans="2:29" hidden="1" x14ac:dyDescent="0.25">
      <c r="B18" s="1113">
        <f t="shared" si="13"/>
        <v>2013</v>
      </c>
      <c r="C18" s="1114">
        <v>41609</v>
      </c>
      <c r="D18" s="1146">
        <f>'Diciembre - 2013'!$M$35</f>
        <v>19862064.010000002</v>
      </c>
      <c r="E18" s="1147" t="e">
        <f>'Diciembre - 2013'!$M$45</f>
        <v>#DIV/0!</v>
      </c>
      <c r="F18" s="1305" t="e">
        <f t="shared" si="0"/>
        <v>#DIV/0!</v>
      </c>
      <c r="G18" s="1120">
        <f>'Diciembre - 2013'!$L$35</f>
        <v>4627948.07</v>
      </c>
      <c r="H18" s="1121" t="e">
        <f>'Diciembre - 2013'!$L$45</f>
        <v>#DIV/0!</v>
      </c>
      <c r="I18" s="1304" t="e">
        <f t="shared" si="1"/>
        <v>#DIV/0!</v>
      </c>
      <c r="J18" s="1115">
        <f>'Diciembre - 2013'!$H$24</f>
        <v>8.2000000000000003E-2</v>
      </c>
      <c r="K18" s="1116">
        <f>'Diciembre - 2013'!$I$24</f>
        <v>1E-3</v>
      </c>
      <c r="L18" s="1104">
        <f t="shared" si="2"/>
        <v>31</v>
      </c>
      <c r="M18" s="1153">
        <f>'Diciembre - 2013'!$F$24</f>
        <v>31482640</v>
      </c>
      <c r="N18" s="1105">
        <f t="shared" si="3"/>
        <v>1015569.0322580645</v>
      </c>
      <c r="O18" s="1164">
        <f>'Diciembre - 2013'!I$24</f>
        <v>1E-3</v>
      </c>
      <c r="P18" s="1118">
        <f t="shared" si="4"/>
        <v>0</v>
      </c>
      <c r="Q18" s="1118">
        <f>'Diciembre - 2013'!M$24</f>
        <v>0</v>
      </c>
      <c r="R18" s="1117">
        <f>'Diciembre - 2013'!H$10</f>
        <v>0</v>
      </c>
      <c r="S18" s="1303">
        <f>'Diciembre - 2013'!I$10</f>
        <v>19</v>
      </c>
      <c r="T18" s="1106">
        <f>'Diciembre - 2013'!V$80</f>
        <v>0</v>
      </c>
      <c r="U18" s="1107">
        <f>'Diciembre - 2013'!W$80</f>
        <v>0</v>
      </c>
      <c r="V18" s="1107">
        <f t="shared" si="5"/>
        <v>0</v>
      </c>
      <c r="W18" s="1107" t="e">
        <f t="shared" si="6"/>
        <v>#VALUE!</v>
      </c>
      <c r="X18" s="1108">
        <f t="shared" si="7"/>
        <v>0</v>
      </c>
      <c r="Y18" s="1109">
        <f t="shared" si="8"/>
        <v>31482640</v>
      </c>
      <c r="Z18" s="1109">
        <f t="shared" si="9"/>
        <v>0</v>
      </c>
      <c r="AA18" s="1110">
        <f t="shared" si="10"/>
        <v>31482640</v>
      </c>
      <c r="AB18" s="1111">
        <f t="shared" si="11"/>
        <v>0</v>
      </c>
      <c r="AC18" s="1112">
        <f t="shared" si="12"/>
        <v>1</v>
      </c>
    </row>
    <row r="19" spans="2:29" hidden="1" x14ac:dyDescent="0.25">
      <c r="B19" s="1113">
        <f t="shared" si="13"/>
        <v>2014</v>
      </c>
      <c r="C19" s="1114">
        <v>41640</v>
      </c>
      <c r="D19" s="1146">
        <f>'Enero - 2014'!$L$34</f>
        <v>87931013.520000011</v>
      </c>
      <c r="E19" s="1147">
        <f>'Enero - 2014'!$L$44</f>
        <v>0</v>
      </c>
      <c r="F19" s="1305">
        <f t="shared" ref="F19" si="14">SUM(D19:E19)</f>
        <v>87931013.520000011</v>
      </c>
      <c r="G19" s="1120">
        <f>'Enero - 2014'!$K$34</f>
        <v>4627948.08</v>
      </c>
      <c r="H19" s="1121">
        <f>'Enero - 2014'!$K$44</f>
        <v>2047.42</v>
      </c>
      <c r="I19" s="1304">
        <f t="shared" ref="I19:I40" si="15">G19+H19</f>
        <v>4629995.5</v>
      </c>
      <c r="J19" s="1115">
        <f>'Enero - 2014'!$H$24</f>
        <v>0.13900000000000001</v>
      </c>
      <c r="K19" s="1116">
        <f>'Enero - 2014'!$I$24</f>
        <v>1E-3</v>
      </c>
      <c r="L19" s="1104">
        <f t="shared" ref="L19:L40" si="16">_xlfn.DAYS(C20,C19)</f>
        <v>31</v>
      </c>
      <c r="M19" s="1153">
        <f>'Enero - 2014'!F$24</f>
        <v>31482640</v>
      </c>
      <c r="N19" s="1105">
        <f t="shared" ref="N19:N40" si="17">IFERROR(M19/L19,0)</f>
        <v>1015569.0322580645</v>
      </c>
      <c r="O19" s="1164">
        <f>'Enero - 2014'!I$24</f>
        <v>1E-3</v>
      </c>
      <c r="P19" s="1118">
        <f>Q19*0.94817</f>
        <v>2127190.3041962297</v>
      </c>
      <c r="Q19" s="1118">
        <f>'Enero - 2014'!M$24</f>
        <v>2243469.3189999997</v>
      </c>
      <c r="R19" s="1117">
        <f>'Enero - 2014'!H$10</f>
        <v>0</v>
      </c>
      <c r="S19" s="1303">
        <f>'Enero - 2014'!I$10</f>
        <v>19</v>
      </c>
      <c r="T19" s="1106">
        <f>'Enero - 2014'!V55</f>
        <v>68000</v>
      </c>
      <c r="U19" s="1107">
        <f>'Enero - 2014'!W55</f>
        <v>80088.067599536007</v>
      </c>
      <c r="V19" s="1107">
        <f t="shared" ref="V19:V40" si="18">T19-U19</f>
        <v>-12088.067599536007</v>
      </c>
      <c r="W19" s="1107" t="e">
        <f>V19+W18</f>
        <v>#VALUE!</v>
      </c>
      <c r="X19" s="1108">
        <f t="shared" ref="X19:X40" si="19">Q19/L19</f>
        <v>72369.978032258048</v>
      </c>
      <c r="Y19" s="1109">
        <f t="shared" ref="Y19:Y40" si="20">M19</f>
        <v>31482640</v>
      </c>
      <c r="Z19" s="1109">
        <f t="shared" ref="Z19:Z40" si="21">Q19</f>
        <v>2243469.3189999997</v>
      </c>
      <c r="AA19" s="1110">
        <f t="shared" ref="AA19:AA40" si="22">Y19-Z19</f>
        <v>29239170.681000002</v>
      </c>
      <c r="AB19" s="1111">
        <f t="shared" ref="AB19:AB40" si="23">IFERROR(Z19/Y19,0)</f>
        <v>7.1260520686956361E-2</v>
      </c>
      <c r="AC19" s="1112">
        <f t="shared" ref="AC19:AC40" si="24">1-AB19</f>
        <v>0.92873947931304368</v>
      </c>
    </row>
    <row r="20" spans="2:29" hidden="1" x14ac:dyDescent="0.25">
      <c r="B20" s="1113">
        <f t="shared" si="13"/>
        <v>2014</v>
      </c>
      <c r="C20" s="1114">
        <v>41671</v>
      </c>
      <c r="D20" s="1146">
        <f>'Febrero - 2016'!$M$35</f>
        <v>80542031.615472004</v>
      </c>
      <c r="E20" s="1147">
        <f>'Febrero - 2016'!$M$45</f>
        <v>33512.692941000001</v>
      </c>
      <c r="F20" s="1305">
        <f t="shared" ref="F20:F29" si="25">SUM(D20:E20)</f>
        <v>80575544.308412999</v>
      </c>
      <c r="G20" s="1120">
        <f>'Febrero - 2014'!$L$35</f>
        <v>4627948.08</v>
      </c>
      <c r="H20" s="1121">
        <f>'Febrero - 2014'!$L$45</f>
        <v>1885.67</v>
      </c>
      <c r="I20" s="1304">
        <f t="shared" si="15"/>
        <v>4629833.75</v>
      </c>
      <c r="J20" s="1115">
        <f>'Febrero - 2014'!$H$24</f>
        <v>0.13900000000000001</v>
      </c>
      <c r="K20" s="1116">
        <f>'Febrero - 2014'!$I$24</f>
        <v>1E-3</v>
      </c>
      <c r="L20" s="1104">
        <f t="shared" si="16"/>
        <v>28</v>
      </c>
      <c r="M20" s="1153">
        <f>'Febrero - 2014'!F$24</f>
        <v>31482640</v>
      </c>
      <c r="N20" s="1105">
        <f t="shared" si="17"/>
        <v>1124380</v>
      </c>
      <c r="O20" s="1164">
        <f>'Febrero - 2014'!I$24</f>
        <v>1E-3</v>
      </c>
      <c r="P20" s="1118">
        <f t="shared" ref="P20:P29" si="26">Q20*0.94817</f>
        <v>1973100.9683789015</v>
      </c>
      <c r="Q20" s="1118">
        <f>'Febrero - 2014'!M$24</f>
        <v>2080956.9680320001</v>
      </c>
      <c r="R20" s="1117" t="str">
        <f>'Febrero - 2014'!H$10</f>
        <v>FE-66</v>
      </c>
      <c r="S20" s="1303">
        <f>'Febrero - 2014'!I$10</f>
        <v>19</v>
      </c>
      <c r="T20" s="1106">
        <f>'Febrero - 2014'!V56</f>
        <v>68000</v>
      </c>
      <c r="U20" s="1107">
        <f>'Febrero - 2014'!W56</f>
        <v>78518.375328800001</v>
      </c>
      <c r="V20" s="1107">
        <f t="shared" si="18"/>
        <v>-10518.375328800001</v>
      </c>
      <c r="W20" s="1107" t="e">
        <f t="shared" ref="W20:W29" si="27">V20+W19</f>
        <v>#VALUE!</v>
      </c>
      <c r="X20" s="1108">
        <f t="shared" si="19"/>
        <v>74319.891715428574</v>
      </c>
      <c r="Y20" s="1109">
        <f t="shared" si="20"/>
        <v>31482640</v>
      </c>
      <c r="Z20" s="1109">
        <f t="shared" si="21"/>
        <v>2080956.9680320001</v>
      </c>
      <c r="AA20" s="1110">
        <f t="shared" si="22"/>
        <v>29401683.031968001</v>
      </c>
      <c r="AB20" s="1111">
        <f t="shared" si="23"/>
        <v>6.609855361659632E-2</v>
      </c>
      <c r="AC20" s="1112">
        <f t="shared" si="24"/>
        <v>0.93390144638340367</v>
      </c>
    </row>
    <row r="21" spans="2:29" hidden="1" x14ac:dyDescent="0.25">
      <c r="B21" s="1113">
        <f t="shared" si="13"/>
        <v>2014</v>
      </c>
      <c r="C21" s="1114">
        <v>41699</v>
      </c>
      <c r="D21" s="1146">
        <f>'Marzo - 2014'!$M$35</f>
        <v>8275860.0200000005</v>
      </c>
      <c r="E21" s="1147">
        <f>'Marzo - 2014'!$M$45</f>
        <v>0</v>
      </c>
      <c r="F21" s="1305">
        <f t="shared" si="25"/>
        <v>8275860.0200000005</v>
      </c>
      <c r="G21" s="1120">
        <f>'Marzo - 2014'!$L$35</f>
        <v>4627948.08</v>
      </c>
      <c r="H21" s="1121">
        <f>'Marzo - 2014'!$L$45</f>
        <v>2069.34</v>
      </c>
      <c r="I21" s="1304">
        <f t="shared" si="15"/>
        <v>4630017.42</v>
      </c>
      <c r="J21" s="1115">
        <f>'Marzo - 2014'!$H$24</f>
        <v>0.13900000000000001</v>
      </c>
      <c r="K21" s="1116">
        <f>'Marzo - 2014'!$I$24</f>
        <v>1E-3</v>
      </c>
      <c r="L21" s="1104">
        <f t="shared" si="16"/>
        <v>31</v>
      </c>
      <c r="M21" s="1153">
        <f>'Marzo - 2014'!F$24</f>
        <v>31482640</v>
      </c>
      <c r="N21" s="1105">
        <f t="shared" si="17"/>
        <v>1015569.0322580645</v>
      </c>
      <c r="O21" s="1164">
        <f>'Marzo - 2014'!I$24</f>
        <v>1E-3</v>
      </c>
      <c r="P21" s="1118">
        <f t="shared" si="26"/>
        <v>2177213.5050329473</v>
      </c>
      <c r="Q21" s="1118">
        <f>'Marzo - 2014'!M$24</f>
        <v>2296226.9477340006</v>
      </c>
      <c r="R21" s="1117" t="str">
        <f>'Marzo - 2014'!H$10</f>
        <v>FE79</v>
      </c>
      <c r="S21" s="1303">
        <f>'Marzo - 2014'!I$10</f>
        <v>19</v>
      </c>
      <c r="T21" s="1106">
        <f>'Marzo - 2014'!V56</f>
        <v>71000</v>
      </c>
      <c r="U21" s="1107">
        <f>'Marzo - 2014'!W56</f>
        <v>80987.192511694491</v>
      </c>
      <c r="V21" s="1107">
        <f t="shared" si="18"/>
        <v>-9987.1925116944913</v>
      </c>
      <c r="W21" s="1107" t="e">
        <f t="shared" si="27"/>
        <v>#VALUE!</v>
      </c>
      <c r="X21" s="1108">
        <f t="shared" si="19"/>
        <v>74071.837023677435</v>
      </c>
      <c r="Y21" s="1109">
        <f t="shared" si="20"/>
        <v>31482640</v>
      </c>
      <c r="Z21" s="1109">
        <f t="shared" si="21"/>
        <v>2296226.9477340006</v>
      </c>
      <c r="AA21" s="1110">
        <f t="shared" si="22"/>
        <v>29186413.052265998</v>
      </c>
      <c r="AB21" s="1111">
        <f t="shared" si="23"/>
        <v>7.2936289578447069E-2</v>
      </c>
      <c r="AC21" s="1112">
        <f t="shared" si="24"/>
        <v>0.92706371042155289</v>
      </c>
    </row>
    <row r="22" spans="2:29" hidden="1" x14ac:dyDescent="0.25">
      <c r="B22" s="1113">
        <f t="shared" si="13"/>
        <v>2014</v>
      </c>
      <c r="C22" s="1114">
        <v>41730</v>
      </c>
      <c r="D22" s="1146">
        <f>'Abril - 2014'!$M$35</f>
        <v>8275860.0200000005</v>
      </c>
      <c r="E22" s="1147">
        <f>'Abril - 2014'!$M$45</f>
        <v>0</v>
      </c>
      <c r="F22" s="1305">
        <f t="shared" si="25"/>
        <v>8275860.0200000005</v>
      </c>
      <c r="G22" s="1120">
        <f>'Abril - 2014'!$L$35</f>
        <v>4627948.08</v>
      </c>
      <c r="H22" s="1121">
        <f>'Abril - 2014'!$L$45</f>
        <v>2027.78</v>
      </c>
      <c r="I22" s="1304">
        <f t="shared" si="15"/>
        <v>4629975.8600000003</v>
      </c>
      <c r="J22" s="1115">
        <f>'Abril - 2014'!$H$24</f>
        <v>0.13900000000000001</v>
      </c>
      <c r="K22" s="1116">
        <f>'Abril - 2014'!$I$24</f>
        <v>1E-3</v>
      </c>
      <c r="L22" s="1104">
        <f t="shared" si="16"/>
        <v>30</v>
      </c>
      <c r="M22" s="1153">
        <f>'Abril - 2014'!F$24</f>
        <v>31482640</v>
      </c>
      <c r="N22" s="1105">
        <f t="shared" si="17"/>
        <v>1049421.3333333333</v>
      </c>
      <c r="O22" s="1164">
        <f>'Abril - 2014'!I$24</f>
        <v>1E-3</v>
      </c>
      <c r="P22" s="1118">
        <f t="shared" si="26"/>
        <v>2122960.355215075</v>
      </c>
      <c r="Q22" s="1118">
        <f>'Abril - 2014'!M$24</f>
        <v>2239008.1475</v>
      </c>
      <c r="R22" s="1117" t="str">
        <f>'Abril - 2014'!H$10</f>
        <v>FE86</v>
      </c>
      <c r="S22" s="1303">
        <f>'Abril - 2014'!I$10</f>
        <v>19</v>
      </c>
      <c r="T22" s="1106">
        <f>'Abril - 2014'!V56</f>
        <v>72161</v>
      </c>
      <c r="U22" s="1107">
        <f>'Abril - 2014'!W56</f>
        <v>79778.027788320003</v>
      </c>
      <c r="V22" s="1107">
        <f t="shared" si="18"/>
        <v>-7617.0277883200033</v>
      </c>
      <c r="W22" s="1107" t="e">
        <f t="shared" si="27"/>
        <v>#VALUE!</v>
      </c>
      <c r="X22" s="1108">
        <f t="shared" si="19"/>
        <v>74633.604916666663</v>
      </c>
      <c r="Y22" s="1109">
        <f t="shared" si="20"/>
        <v>31482640</v>
      </c>
      <c r="Z22" s="1109">
        <f t="shared" si="21"/>
        <v>2239008.1475</v>
      </c>
      <c r="AA22" s="1110">
        <f t="shared" si="22"/>
        <v>29243631.852499999</v>
      </c>
      <c r="AB22" s="1111">
        <f t="shared" si="23"/>
        <v>7.1118818101023287E-2</v>
      </c>
      <c r="AC22" s="1112">
        <f t="shared" si="24"/>
        <v>0.92888118189897673</v>
      </c>
    </row>
    <row r="23" spans="2:29" hidden="1" x14ac:dyDescent="0.25">
      <c r="B23" s="1113">
        <f t="shared" si="13"/>
        <v>2014</v>
      </c>
      <c r="C23" s="1114">
        <v>41760</v>
      </c>
      <c r="D23" s="1146">
        <f>'Mayo - 2014'!$M$35</f>
        <v>7913791.2700000005</v>
      </c>
      <c r="E23" s="1147">
        <f>'Mayo - 2014'!$M$45</f>
        <v>0</v>
      </c>
      <c r="F23" s="1305">
        <f t="shared" si="25"/>
        <v>7913791.2700000005</v>
      </c>
      <c r="G23" s="1120">
        <f>'Mayo - 2014'!$L$35</f>
        <v>4627948.08</v>
      </c>
      <c r="H23" s="1121">
        <f>'Mayo - 2014'!$L$45</f>
        <v>2087.0500000000002</v>
      </c>
      <c r="I23" s="1304">
        <f t="shared" si="15"/>
        <v>4630035.13</v>
      </c>
      <c r="J23" s="1115">
        <f>'Mayo - 2014'!$H$24</f>
        <v>0.13900000000000001</v>
      </c>
      <c r="K23" s="1116">
        <f>'Mayo - 2014'!$I$24</f>
        <v>1E-3</v>
      </c>
      <c r="L23" s="1104">
        <f t="shared" si="16"/>
        <v>31</v>
      </c>
      <c r="M23" s="1153">
        <f>'Mayo - 2014'!F$24</f>
        <v>31482640</v>
      </c>
      <c r="N23" s="1105">
        <f t="shared" si="17"/>
        <v>1015569.0322580645</v>
      </c>
      <c r="O23" s="1164">
        <f>'Mayo - 2014'!I$24</f>
        <v>1E-3</v>
      </c>
      <c r="P23" s="1118">
        <f t="shared" si="26"/>
        <v>2174284.1785943266</v>
      </c>
      <c r="Q23" s="1118">
        <f>'Mayo - 2014'!M$24</f>
        <v>2293137.4949579998</v>
      </c>
      <c r="R23" s="1117" t="str">
        <f>'Mayo - 2014'!H$10</f>
        <v>FE 92</v>
      </c>
      <c r="S23" s="1303">
        <f>'Mayo - 2014'!I$10</f>
        <v>19</v>
      </c>
      <c r="T23" s="1106">
        <f>'Mayo - 2014'!V56</f>
        <v>72955</v>
      </c>
      <c r="U23" s="1107">
        <f>'Mayo - 2014'!W56</f>
        <v>78347.234530451286</v>
      </c>
      <c r="V23" s="1107">
        <f t="shared" si="18"/>
        <v>-5392.2345304512855</v>
      </c>
      <c r="W23" s="1107" t="e">
        <f t="shared" si="27"/>
        <v>#VALUE!</v>
      </c>
      <c r="X23" s="1108">
        <f t="shared" si="19"/>
        <v>73972.177256709678</v>
      </c>
      <c r="Y23" s="1109">
        <f t="shared" si="20"/>
        <v>31482640</v>
      </c>
      <c r="Z23" s="1109">
        <f t="shared" si="21"/>
        <v>2293137.4949579998</v>
      </c>
      <c r="AA23" s="1110">
        <f t="shared" si="22"/>
        <v>29189502.505042002</v>
      </c>
      <c r="AB23" s="1111">
        <f t="shared" si="23"/>
        <v>7.2838157630935652E-2</v>
      </c>
      <c r="AC23" s="1112">
        <f t="shared" si="24"/>
        <v>0.9271618423690644</v>
      </c>
    </row>
    <row r="24" spans="2:29" hidden="1" x14ac:dyDescent="0.25">
      <c r="B24" s="1113">
        <f t="shared" si="13"/>
        <v>2014</v>
      </c>
      <c r="C24" s="1114">
        <v>41791</v>
      </c>
      <c r="D24" s="1146">
        <f>'Junio - 2014'!$M$35</f>
        <v>87931013.519999996</v>
      </c>
      <c r="E24" s="1147">
        <f>'Junio - 2014'!$M$45</f>
        <v>0</v>
      </c>
      <c r="F24" s="1305">
        <f t="shared" si="25"/>
        <v>87931013.519999996</v>
      </c>
      <c r="G24" s="1120">
        <f>'Junio - 2014'!$L$35</f>
        <v>4627948.08</v>
      </c>
      <c r="H24" s="1121">
        <f>'Junio - 2014'!$L$45</f>
        <v>2037.73</v>
      </c>
      <c r="I24" s="1304">
        <f t="shared" si="15"/>
        <v>4629985.8100000005</v>
      </c>
      <c r="J24" s="1115">
        <f>'Junio - 2014'!$H$24</f>
        <v>0.13900000000000001</v>
      </c>
      <c r="K24" s="1116">
        <f>'Junio - 2014'!$I$24</f>
        <v>1E-3</v>
      </c>
      <c r="L24" s="1104">
        <f t="shared" si="16"/>
        <v>30</v>
      </c>
      <c r="M24" s="1153">
        <f>'Junio - 2014'!F$24</f>
        <v>31482640</v>
      </c>
      <c r="N24" s="1105">
        <f t="shared" si="17"/>
        <v>1049421.3333333333</v>
      </c>
      <c r="O24" s="1164">
        <f>'Junio - 2014'!I$24</f>
        <v>1E-3</v>
      </c>
      <c r="P24" s="1118">
        <f t="shared" si="26"/>
        <v>2103397.4789993395</v>
      </c>
      <c r="Q24" s="1118">
        <f>'Junio - 2014'!M$24</f>
        <v>2218375.9019999998</v>
      </c>
      <c r="R24" s="1117">
        <f>'Junio - 2014'!H$10</f>
        <v>0</v>
      </c>
      <c r="S24" s="1303">
        <f>'Junio - 2014'!I$10</f>
        <v>19</v>
      </c>
      <c r="T24" s="1106">
        <f>'Junio - 2014'!V56</f>
        <v>71000</v>
      </c>
      <c r="U24" s="1107">
        <f>'Junio - 2014'!W56</f>
        <v>78735.273741280005</v>
      </c>
      <c r="V24" s="1107">
        <f t="shared" si="18"/>
        <v>-7735.2737412800052</v>
      </c>
      <c r="W24" s="1107" t="e">
        <f t="shared" si="27"/>
        <v>#VALUE!</v>
      </c>
      <c r="X24" s="1108">
        <f t="shared" si="19"/>
        <v>73945.863399999987</v>
      </c>
      <c r="Y24" s="1109">
        <f t="shared" si="20"/>
        <v>31482640</v>
      </c>
      <c r="Z24" s="1109">
        <f t="shared" si="21"/>
        <v>2218375.9019999998</v>
      </c>
      <c r="AA24" s="1110">
        <f t="shared" si="22"/>
        <v>29264264.098000001</v>
      </c>
      <c r="AB24" s="1111">
        <f t="shared" si="23"/>
        <v>7.0463465008017104E-2</v>
      </c>
      <c r="AC24" s="1112">
        <f t="shared" si="24"/>
        <v>0.92953653499198285</v>
      </c>
    </row>
    <row r="25" spans="2:29" hidden="1" x14ac:dyDescent="0.25">
      <c r="B25" s="1113">
        <f t="shared" si="13"/>
        <v>2014</v>
      </c>
      <c r="C25" s="1114">
        <v>41821</v>
      </c>
      <c r="D25" s="1146">
        <f>'Julio - 2014'!$M$35</f>
        <v>87931013.329999998</v>
      </c>
      <c r="E25" s="1147">
        <f>'Julio - 2014'!$M$45</f>
        <v>0</v>
      </c>
      <c r="F25" s="1305">
        <f t="shared" si="25"/>
        <v>87931013.329999998</v>
      </c>
      <c r="G25" s="1120">
        <f>'Julio - 2014'!$L$35</f>
        <v>4627948.07</v>
      </c>
      <c r="H25" s="1121">
        <f>'Julio - 2014'!$L$45</f>
        <v>2047.42</v>
      </c>
      <c r="I25" s="1304">
        <f t="shared" si="15"/>
        <v>4629995.49</v>
      </c>
      <c r="J25" s="1115">
        <f>'Julio - 2014'!$H$24</f>
        <v>0.13900000000000001</v>
      </c>
      <c r="K25" s="1116">
        <f>'Julio - 2014'!$I$24</f>
        <v>1E-3</v>
      </c>
      <c r="L25" s="1104">
        <f t="shared" si="16"/>
        <v>31</v>
      </c>
      <c r="M25" s="1153">
        <f>'Julio - 2014'!F$24</f>
        <v>31482640</v>
      </c>
      <c r="N25" s="1105">
        <f t="shared" si="17"/>
        <v>1015569.0322580645</v>
      </c>
      <c r="O25" s="1164">
        <f>'Julio - 2014'!I$24</f>
        <v>1E-3</v>
      </c>
      <c r="P25" s="1118">
        <f t="shared" si="26"/>
        <v>631815.80074789992</v>
      </c>
      <c r="Q25" s="1118">
        <f>'Julio - 2014'!M$24</f>
        <v>666352.87</v>
      </c>
      <c r="R25" s="1117">
        <f>'Julio - 2014'!H$10</f>
        <v>0</v>
      </c>
      <c r="S25" s="1303">
        <f>'Julio - 2014'!I$10</f>
        <v>19</v>
      </c>
      <c r="T25" s="1106">
        <f>'Julio - 2014'!V56</f>
        <v>77000</v>
      </c>
      <c r="U25" s="1107">
        <f>'Julio - 2014'!W56</f>
        <v>77244.236950399994</v>
      </c>
      <c r="V25" s="1107">
        <f t="shared" si="18"/>
        <v>-244.23695039999438</v>
      </c>
      <c r="W25" s="1107" t="e">
        <f t="shared" si="27"/>
        <v>#VALUE!</v>
      </c>
      <c r="X25" s="1108">
        <f t="shared" si="19"/>
        <v>21495.253870967743</v>
      </c>
      <c r="Y25" s="1109">
        <f t="shared" si="20"/>
        <v>31482640</v>
      </c>
      <c r="Z25" s="1109">
        <f t="shared" si="21"/>
        <v>666352.87</v>
      </c>
      <c r="AA25" s="1110">
        <f t="shared" si="22"/>
        <v>30816287.129999999</v>
      </c>
      <c r="AB25" s="1111">
        <f t="shared" si="23"/>
        <v>2.1165724030767431E-2</v>
      </c>
      <c r="AC25" s="1112">
        <f t="shared" si="24"/>
        <v>0.97883427596923256</v>
      </c>
    </row>
    <row r="26" spans="2:29" hidden="1" x14ac:dyDescent="0.25">
      <c r="B26" s="1113">
        <f t="shared" si="13"/>
        <v>2014</v>
      </c>
      <c r="C26" s="1114">
        <v>41852</v>
      </c>
      <c r="D26" s="1146">
        <f>'Agosto - 2014'!$M$35</f>
        <v>87931013.329999998</v>
      </c>
      <c r="E26" s="1147" t="e">
        <f>'Agosto - 2014'!$M$45</f>
        <v>#DIV/0!</v>
      </c>
      <c r="F26" s="1305" t="e">
        <f t="shared" si="25"/>
        <v>#DIV/0!</v>
      </c>
      <c r="G26" s="1120">
        <f>'Agosto - 2014'!$L$35</f>
        <v>4627948.07</v>
      </c>
      <c r="H26" s="1121" t="e">
        <f>'Agosto - 2014'!$L$45</f>
        <v>#DIV/0!</v>
      </c>
      <c r="I26" s="1304" t="e">
        <f t="shared" si="15"/>
        <v>#DIV/0!</v>
      </c>
      <c r="J26" s="1115">
        <f>'Agosto - 2014'!$H$24</f>
        <v>0.13900000000000001</v>
      </c>
      <c r="K26" s="1116">
        <f>'Agosto - 2014'!$I$24</f>
        <v>1E-3</v>
      </c>
      <c r="L26" s="1104">
        <f t="shared" si="16"/>
        <v>31</v>
      </c>
      <c r="M26" s="1153">
        <f>'Agosto - 2014'!F$24</f>
        <v>31482640</v>
      </c>
      <c r="N26" s="1105">
        <f t="shared" si="17"/>
        <v>1015569.0322580645</v>
      </c>
      <c r="O26" s="1164">
        <f>'Agosto - 2014'!I$24</f>
        <v>1E-3</v>
      </c>
      <c r="P26" s="1118">
        <f t="shared" si="26"/>
        <v>0</v>
      </c>
      <c r="Q26" s="1118">
        <f>'Agosto - 2014'!M$24</f>
        <v>0</v>
      </c>
      <c r="R26" s="1117">
        <f>'Agosto - 2014'!H$10</f>
        <v>0</v>
      </c>
      <c r="S26" s="1303">
        <f>'Agosto - 2014'!I$10</f>
        <v>19</v>
      </c>
      <c r="T26" s="1106">
        <f>'Agosto - 2014'!V56</f>
        <v>0</v>
      </c>
      <c r="U26" s="1107">
        <f>'Agosto - 2014'!W56</f>
        <v>0</v>
      </c>
      <c r="V26" s="1107">
        <f t="shared" si="18"/>
        <v>0</v>
      </c>
      <c r="W26" s="1107" t="e">
        <f t="shared" si="27"/>
        <v>#VALUE!</v>
      </c>
      <c r="X26" s="1108">
        <f t="shared" si="19"/>
        <v>0</v>
      </c>
      <c r="Y26" s="1109">
        <f t="shared" si="20"/>
        <v>31482640</v>
      </c>
      <c r="Z26" s="1109">
        <f t="shared" si="21"/>
        <v>0</v>
      </c>
      <c r="AA26" s="1110">
        <f t="shared" si="22"/>
        <v>31482640</v>
      </c>
      <c r="AB26" s="1111">
        <f t="shared" si="23"/>
        <v>0</v>
      </c>
      <c r="AC26" s="1112">
        <f t="shared" si="24"/>
        <v>1</v>
      </c>
    </row>
    <row r="27" spans="2:29" hidden="1" x14ac:dyDescent="0.25">
      <c r="B27" s="1113">
        <f t="shared" si="13"/>
        <v>2014</v>
      </c>
      <c r="C27" s="1114">
        <v>41883</v>
      </c>
      <c r="D27" s="1146">
        <f>'Septiembre - 2016'!$M$35</f>
        <v>86302438.590647995</v>
      </c>
      <c r="E27" s="1147">
        <f>'Septiembre - 2016'!$M$45</f>
        <v>37355.687439000001</v>
      </c>
      <c r="F27" s="1305">
        <f t="shared" si="25"/>
        <v>86339794.27808699</v>
      </c>
      <c r="G27" s="1120">
        <f>'Septiembre - 2016'!$L$35</f>
        <v>4627948.08</v>
      </c>
      <c r="H27" s="1121">
        <f>'Septiembre - 2016'!$L$45</f>
        <v>2003.19</v>
      </c>
      <c r="I27" s="1304">
        <f t="shared" si="15"/>
        <v>4629951.2700000005</v>
      </c>
      <c r="J27" s="1115">
        <f>'Septiembre - 2016'!$H$24</f>
        <v>0.14699999999999999</v>
      </c>
      <c r="K27" s="1116">
        <f>'Septiembre - 2016'!$I$24</f>
        <v>1E-3</v>
      </c>
      <c r="L27" s="1104">
        <f t="shared" si="16"/>
        <v>30</v>
      </c>
      <c r="M27" s="1153">
        <f>'Septiembre - 2016'!F$24</f>
        <v>31482640</v>
      </c>
      <c r="N27" s="1105">
        <f t="shared" si="17"/>
        <v>1049421.3333333333</v>
      </c>
      <c r="O27" s="1164">
        <f>'Septiembre - 2016'!I$24</f>
        <v>1E-3</v>
      </c>
      <c r="P27" s="1118">
        <f t="shared" si="26"/>
        <v>2054419.1107053633</v>
      </c>
      <c r="Q27" s="1118">
        <f>'Septiembre - 2016'!M$24</f>
        <v>2166720.2196919997</v>
      </c>
      <c r="R27" s="1117" t="str">
        <f>'Septiembre - 2016'!H$10</f>
        <v>FE118</v>
      </c>
      <c r="S27" s="1303">
        <f>'Septiembre - 2016'!I$10</f>
        <v>18.648099999999999</v>
      </c>
      <c r="T27" s="1106">
        <f>'Septiembre - 2016'!V56</f>
        <v>72000</v>
      </c>
      <c r="U27" s="1107">
        <f>'Septiembre - 2016'!W56</f>
        <v>68179.641649353202</v>
      </c>
      <c r="V27" s="1107">
        <f t="shared" si="18"/>
        <v>3820.3583506467985</v>
      </c>
      <c r="W27" s="1107" t="e">
        <f t="shared" si="27"/>
        <v>#VALUE!</v>
      </c>
      <c r="X27" s="1108">
        <f t="shared" si="19"/>
        <v>72224.00732306666</v>
      </c>
      <c r="Y27" s="1109">
        <f t="shared" si="20"/>
        <v>31482640</v>
      </c>
      <c r="Z27" s="1109">
        <f t="shared" si="21"/>
        <v>2166720.2196919997</v>
      </c>
      <c r="AA27" s="1110">
        <f t="shared" si="22"/>
        <v>29315919.780308001</v>
      </c>
      <c r="AB27" s="1111">
        <f t="shared" si="23"/>
        <v>6.8822697832583282E-2</v>
      </c>
      <c r="AC27" s="1112">
        <f t="shared" si="24"/>
        <v>0.93117730216741668</v>
      </c>
    </row>
    <row r="28" spans="2:29" hidden="1" x14ac:dyDescent="0.25">
      <c r="B28" s="1113">
        <f t="shared" si="13"/>
        <v>2014</v>
      </c>
      <c r="C28" s="1114">
        <v>41913</v>
      </c>
      <c r="D28" s="1146">
        <f>'Octubre - 2014'!$M$35</f>
        <v>87931013.329999998</v>
      </c>
      <c r="E28" s="1147" t="e">
        <f>'Octubre - 2014'!$M$45</f>
        <v>#DIV/0!</v>
      </c>
      <c r="F28" s="1305" t="e">
        <f t="shared" si="25"/>
        <v>#DIV/0!</v>
      </c>
      <c r="G28" s="1120">
        <f>'Octubre - 2014'!$L$35</f>
        <v>4627948.07</v>
      </c>
      <c r="H28" s="1121" t="e">
        <f>'Octubre - 2014'!$L$45</f>
        <v>#DIV/0!</v>
      </c>
      <c r="I28" s="1304" t="e">
        <f t="shared" si="15"/>
        <v>#DIV/0!</v>
      </c>
      <c r="J28" s="1115">
        <f>'Octubre - 2014'!$H$24</f>
        <v>0.13900000000000001</v>
      </c>
      <c r="K28" s="1116">
        <f>'Octubre - 2014'!$I$24</f>
        <v>1E-3</v>
      </c>
      <c r="L28" s="1104">
        <f t="shared" si="16"/>
        <v>31</v>
      </c>
      <c r="M28" s="1153">
        <f>'Octubre - 2014'!$F$24</f>
        <v>31482640</v>
      </c>
      <c r="N28" s="1105">
        <f t="shared" si="17"/>
        <v>1015569.0322580645</v>
      </c>
      <c r="O28" s="1164">
        <f>'Octubre - 2014'!I$24</f>
        <v>1E-3</v>
      </c>
      <c r="P28" s="1118">
        <f t="shared" si="26"/>
        <v>0</v>
      </c>
      <c r="Q28" s="1118">
        <f>'Octubre - 2014'!M$24</f>
        <v>0</v>
      </c>
      <c r="R28" s="1117">
        <f>'Octubre - 2014'!H$10</f>
        <v>0</v>
      </c>
      <c r="S28" s="1303">
        <f>'Octubre - 2014'!I$10</f>
        <v>19</v>
      </c>
      <c r="T28" s="1106">
        <f>'Octubre - 2014'!V56</f>
        <v>0</v>
      </c>
      <c r="U28" s="1107">
        <f>'Octubre - 2014'!W56</f>
        <v>0</v>
      </c>
      <c r="V28" s="1107">
        <f t="shared" si="18"/>
        <v>0</v>
      </c>
      <c r="W28" s="1107" t="e">
        <f t="shared" si="27"/>
        <v>#VALUE!</v>
      </c>
      <c r="X28" s="1108">
        <f t="shared" si="19"/>
        <v>0</v>
      </c>
      <c r="Y28" s="1109">
        <f t="shared" si="20"/>
        <v>31482640</v>
      </c>
      <c r="Z28" s="1109">
        <f t="shared" si="21"/>
        <v>0</v>
      </c>
      <c r="AA28" s="1110">
        <f t="shared" si="22"/>
        <v>31482640</v>
      </c>
      <c r="AB28" s="1111">
        <f t="shared" si="23"/>
        <v>0</v>
      </c>
      <c r="AC28" s="1112">
        <f t="shared" si="24"/>
        <v>1</v>
      </c>
    </row>
    <row r="29" spans="2:29" hidden="1" x14ac:dyDescent="0.25">
      <c r="B29" s="1113">
        <f t="shared" si="13"/>
        <v>2014</v>
      </c>
      <c r="C29" s="1114">
        <v>41944</v>
      </c>
      <c r="D29" s="1146">
        <f>'Noviembre - 2016'!$M$35</f>
        <v>95461147.840967998</v>
      </c>
      <c r="E29" s="1147">
        <f>'Noviembre - 2016'!$M$45</f>
        <v>39837.324500999996</v>
      </c>
      <c r="F29" s="1305">
        <f t="shared" si="25"/>
        <v>95500985.165468991</v>
      </c>
      <c r="G29" s="1120">
        <f>'Noviembre - 2016'!$L$35</f>
        <v>4627948.08</v>
      </c>
      <c r="H29" s="1121">
        <f>'Noviembre - 2016'!$L$45</f>
        <v>1931.31</v>
      </c>
      <c r="I29" s="1304">
        <f t="shared" si="15"/>
        <v>4629879.3899999997</v>
      </c>
      <c r="J29" s="1115">
        <f>'Noviembre - 2014'!$H$24</f>
        <v>0.13900000000000001</v>
      </c>
      <c r="K29" s="1116">
        <f>'Noviembre - 2014'!$I$24</f>
        <v>1E-3</v>
      </c>
      <c r="L29" s="1104">
        <f t="shared" si="16"/>
        <v>30</v>
      </c>
      <c r="M29" s="1153">
        <f>'Noviembre - 2014'!$F$24</f>
        <v>31482640</v>
      </c>
      <c r="N29" s="1105">
        <f t="shared" si="17"/>
        <v>1049421.3333333333</v>
      </c>
      <c r="O29" s="1164">
        <f>'Noviembre - 2014'!I$24</f>
        <v>1E-3</v>
      </c>
      <c r="P29" s="1118">
        <f t="shared" si="26"/>
        <v>0</v>
      </c>
      <c r="Q29" s="1118">
        <f>'Noviembre - 2014'!M$24</f>
        <v>0</v>
      </c>
      <c r="R29" s="1117">
        <f>'Noviembre - 2014'!H$10</f>
        <v>0</v>
      </c>
      <c r="S29" s="1303">
        <f>'Noviembre - 2014'!I$10</f>
        <v>19</v>
      </c>
      <c r="T29" s="1106">
        <f>'Noviembre - 2014'!V56</f>
        <v>0</v>
      </c>
      <c r="U29" s="1107">
        <f>'Noviembre - 2014'!W56</f>
        <v>0</v>
      </c>
      <c r="V29" s="1107">
        <f t="shared" si="18"/>
        <v>0</v>
      </c>
      <c r="W29" s="1107" t="e">
        <f t="shared" si="27"/>
        <v>#VALUE!</v>
      </c>
      <c r="X29" s="1108">
        <f t="shared" si="19"/>
        <v>0</v>
      </c>
      <c r="Y29" s="1109">
        <f t="shared" si="20"/>
        <v>31482640</v>
      </c>
      <c r="Z29" s="1109">
        <f t="shared" si="21"/>
        <v>0</v>
      </c>
      <c r="AA29" s="1110">
        <f t="shared" si="22"/>
        <v>31482640</v>
      </c>
      <c r="AB29" s="1111">
        <f t="shared" si="23"/>
        <v>0</v>
      </c>
      <c r="AC29" s="1112">
        <f t="shared" si="24"/>
        <v>1</v>
      </c>
    </row>
    <row r="30" spans="2:29" hidden="1" x14ac:dyDescent="0.25">
      <c r="B30" s="1113">
        <f t="shared" si="13"/>
        <v>2014</v>
      </c>
      <c r="C30" s="1114">
        <v>41974</v>
      </c>
      <c r="D30" s="1146">
        <f>'Enero - 2016'!$L$34</f>
        <v>87931013.520000011</v>
      </c>
      <c r="E30" s="1147">
        <f>'Enero - 2016'!$L$44</f>
        <v>38900.980000000003</v>
      </c>
      <c r="F30" s="1305">
        <f t="shared" ref="F30" si="28">SUM(D30:E30)</f>
        <v>87969914.500000015</v>
      </c>
      <c r="G30" s="1120">
        <f>'Enero - 2016'!$K$34</f>
        <v>4627948.08</v>
      </c>
      <c r="H30" s="1121">
        <f>'Enero - 2016'!$K$44</f>
        <v>2047.42</v>
      </c>
      <c r="I30" s="1304">
        <f t="shared" si="15"/>
        <v>4629995.5</v>
      </c>
      <c r="J30" s="1115">
        <f>'Diciembre - 2014'!$H$24</f>
        <v>0.13900000000000001</v>
      </c>
      <c r="K30" s="1116">
        <f>'Enero - 2014'!$I$24</f>
        <v>1E-3</v>
      </c>
      <c r="L30" s="1104">
        <f t="shared" si="16"/>
        <v>31</v>
      </c>
      <c r="M30" s="1153">
        <f>'Enero - 2014'!F$24</f>
        <v>31482640</v>
      </c>
      <c r="N30" s="1105">
        <f t="shared" si="17"/>
        <v>1015569.0322580645</v>
      </c>
      <c r="O30" s="1164">
        <f>'Enero - 2014'!I$24</f>
        <v>1E-3</v>
      </c>
      <c r="P30" s="1118">
        <f>Q30*0.94817</f>
        <v>2127190.3041962297</v>
      </c>
      <c r="Q30" s="1118">
        <f>'Enero - 2014'!M$24</f>
        <v>2243469.3189999997</v>
      </c>
      <c r="R30" s="1117">
        <f>'Enero - 2014'!H$10</f>
        <v>0</v>
      </c>
      <c r="S30" s="1303">
        <f>'Enero - 2014'!I$10</f>
        <v>19</v>
      </c>
      <c r="T30" s="1106">
        <f>'Enero - 2014'!V66</f>
        <v>70000</v>
      </c>
      <c r="U30" s="1107">
        <f>'Enero - 2014'!W66</f>
        <v>75134.652478399992</v>
      </c>
      <c r="V30" s="1107">
        <f t="shared" si="18"/>
        <v>-5134.6524783999921</v>
      </c>
      <c r="W30" s="1107" t="e">
        <f>V30+W29</f>
        <v>#VALUE!</v>
      </c>
      <c r="X30" s="1108">
        <f t="shared" si="19"/>
        <v>72369.978032258048</v>
      </c>
      <c r="Y30" s="1109">
        <f t="shared" si="20"/>
        <v>31482640</v>
      </c>
      <c r="Z30" s="1109">
        <f t="shared" si="21"/>
        <v>2243469.3189999997</v>
      </c>
      <c r="AA30" s="1110">
        <f t="shared" si="22"/>
        <v>29239170.681000002</v>
      </c>
      <c r="AB30" s="1111">
        <f t="shared" si="23"/>
        <v>7.1260520686956361E-2</v>
      </c>
      <c r="AC30" s="1112">
        <f t="shared" si="24"/>
        <v>0.92873947931304368</v>
      </c>
    </row>
    <row r="31" spans="2:29" hidden="1" x14ac:dyDescent="0.25">
      <c r="B31" s="1113">
        <f t="shared" si="13"/>
        <v>2015</v>
      </c>
      <c r="C31" s="1114">
        <v>42005</v>
      </c>
      <c r="D31" s="1146">
        <f>'Febrero - 2015'!$M$35</f>
        <v>8275860.0200000005</v>
      </c>
      <c r="E31" s="1147">
        <f>'Febrero - 2015'!$M$45</f>
        <v>0</v>
      </c>
      <c r="F31" s="1305">
        <f t="shared" ref="F31:F40" si="29">SUM(D31:E31)</f>
        <v>8275860.0200000005</v>
      </c>
      <c r="G31" s="1120">
        <f>'Febrero - 2015'!$L$35</f>
        <v>4627948.08</v>
      </c>
      <c r="H31" s="1121">
        <f>'Febrero - 2015'!$L$45</f>
        <v>1885.67</v>
      </c>
      <c r="I31" s="1304">
        <f t="shared" si="15"/>
        <v>4629833.75</v>
      </c>
      <c r="J31" s="1115">
        <f>'Enero - 2015'!$H$24</f>
        <v>0.14699999999999999</v>
      </c>
      <c r="K31" s="1116">
        <f>'Febrero - 2015'!$I$24</f>
        <v>1E-3</v>
      </c>
      <c r="L31" s="1104">
        <f t="shared" si="16"/>
        <v>31</v>
      </c>
      <c r="M31" s="1153">
        <f>'Febrero - 2015'!F$24</f>
        <v>31482640</v>
      </c>
      <c r="N31" s="1105">
        <f t="shared" si="17"/>
        <v>1015569.0322580645</v>
      </c>
      <c r="O31" s="1164">
        <f>'Febrero - 2015'!I$24</f>
        <v>1E-3</v>
      </c>
      <c r="P31" s="1118">
        <f t="shared" ref="P31:P40" si="30">Q31*0.94817</f>
        <v>1903166.4830342752</v>
      </c>
      <c r="Q31" s="1118">
        <f>'Febrero - 2015'!M$24</f>
        <v>2007199.6403960001</v>
      </c>
      <c r="R31" s="1117" t="str">
        <f>'Febrero - 2015'!H$10</f>
        <v>FE-66</v>
      </c>
      <c r="S31" s="1303">
        <f>'Febrero - 2015'!I$10</f>
        <v>19</v>
      </c>
      <c r="T31" s="1106">
        <f>'Febrero - 2015'!V67</f>
        <v>133643.97</v>
      </c>
      <c r="U31" s="1107">
        <f>'Febrero - 2015'!W67</f>
        <v>78819.707762847989</v>
      </c>
      <c r="V31" s="1107">
        <f t="shared" si="18"/>
        <v>54824.262237152012</v>
      </c>
      <c r="W31" s="1107" t="e">
        <f t="shared" ref="W31:W40" si="31">V31+W30</f>
        <v>#VALUE!</v>
      </c>
      <c r="X31" s="1108">
        <f t="shared" si="19"/>
        <v>64748.375496645167</v>
      </c>
      <c r="Y31" s="1109">
        <f t="shared" si="20"/>
        <v>31482640</v>
      </c>
      <c r="Z31" s="1109">
        <f t="shared" si="21"/>
        <v>2007199.6403960001</v>
      </c>
      <c r="AA31" s="1110">
        <f t="shared" si="22"/>
        <v>29475440.359604001</v>
      </c>
      <c r="AB31" s="1111">
        <f t="shared" si="23"/>
        <v>6.3755760012375082E-2</v>
      </c>
      <c r="AC31" s="1112">
        <f t="shared" si="24"/>
        <v>0.93624423998762496</v>
      </c>
    </row>
    <row r="32" spans="2:29" hidden="1" x14ac:dyDescent="0.25">
      <c r="B32" s="1113">
        <f t="shared" si="13"/>
        <v>2015</v>
      </c>
      <c r="C32" s="1114">
        <v>42036</v>
      </c>
      <c r="D32" s="1146">
        <f>'Febrero - 2015'!$M$35</f>
        <v>8275860.0200000005</v>
      </c>
      <c r="E32" s="1147">
        <f>'Febrero - 2015'!$M$45</f>
        <v>0</v>
      </c>
      <c r="F32" s="1305">
        <f t="shared" si="29"/>
        <v>8275860.0200000005</v>
      </c>
      <c r="G32" s="1120">
        <f>'Febrero - 2015'!$L$35</f>
        <v>4627948.08</v>
      </c>
      <c r="H32" s="1121">
        <f>'Febrero - 2015'!$L$45</f>
        <v>1885.67</v>
      </c>
      <c r="I32" s="1304">
        <f t="shared" si="15"/>
        <v>4629833.75</v>
      </c>
      <c r="J32" s="1115">
        <f>'Febrero - 2015'!$H$24</f>
        <v>0.14699999999999999</v>
      </c>
      <c r="K32" s="1116">
        <f>'Febrero - 2015'!$I$24</f>
        <v>1E-3</v>
      </c>
      <c r="L32" s="1104">
        <f t="shared" si="16"/>
        <v>28</v>
      </c>
      <c r="M32" s="1153">
        <f>'Febrero - 2015'!F$24</f>
        <v>31482640</v>
      </c>
      <c r="N32" s="1105">
        <f t="shared" si="17"/>
        <v>1124380</v>
      </c>
      <c r="O32" s="1164">
        <f>'Febrero - 2015'!I$24</f>
        <v>1E-3</v>
      </c>
      <c r="P32" s="1118">
        <f t="shared" si="30"/>
        <v>1903166.4830342752</v>
      </c>
      <c r="Q32" s="1118">
        <f>'Febrero - 2015'!M$24</f>
        <v>2007199.6403960001</v>
      </c>
      <c r="R32" s="1117" t="str">
        <f>'Febrero - 2015'!H$10</f>
        <v>FE-66</v>
      </c>
      <c r="S32" s="1303">
        <f>'Febrero - 2015'!I$10</f>
        <v>19</v>
      </c>
      <c r="T32" s="1106">
        <f>'Febrero - 2015'!V67</f>
        <v>133643.97</v>
      </c>
      <c r="U32" s="1107">
        <f>'Febrero - 2015'!W67</f>
        <v>78819.707762847989</v>
      </c>
      <c r="V32" s="1107">
        <f t="shared" si="18"/>
        <v>54824.262237152012</v>
      </c>
      <c r="W32" s="1107" t="e">
        <f t="shared" si="31"/>
        <v>#VALUE!</v>
      </c>
      <c r="X32" s="1108">
        <f t="shared" si="19"/>
        <v>71685.701442714286</v>
      </c>
      <c r="Y32" s="1109">
        <f t="shared" si="20"/>
        <v>31482640</v>
      </c>
      <c r="Z32" s="1109">
        <f t="shared" si="21"/>
        <v>2007199.6403960001</v>
      </c>
      <c r="AA32" s="1110">
        <f t="shared" si="22"/>
        <v>29475440.359604001</v>
      </c>
      <c r="AB32" s="1111">
        <f t="shared" si="23"/>
        <v>6.3755760012375082E-2</v>
      </c>
      <c r="AC32" s="1112">
        <f t="shared" si="24"/>
        <v>0.93624423998762496</v>
      </c>
    </row>
    <row r="33" spans="2:29" hidden="1" x14ac:dyDescent="0.25">
      <c r="B33" s="1113">
        <f t="shared" si="13"/>
        <v>2015</v>
      </c>
      <c r="C33" s="1114">
        <v>42064</v>
      </c>
      <c r="D33" s="1146">
        <f>'Marzo - 2015'!$M$35</f>
        <v>8275860.0200000005</v>
      </c>
      <c r="E33" s="1147">
        <f>'Marzo - 2015'!$M$45</f>
        <v>0</v>
      </c>
      <c r="F33" s="1305">
        <f t="shared" si="29"/>
        <v>8275860.0200000005</v>
      </c>
      <c r="G33" s="1120">
        <f>'Marzo - 2015'!$L$35</f>
        <v>4627948.08</v>
      </c>
      <c r="H33" s="1121">
        <f>'Marzo - 2015'!$L$45</f>
        <v>2069.34</v>
      </c>
      <c r="I33" s="1304">
        <f t="shared" si="15"/>
        <v>4630017.42</v>
      </c>
      <c r="J33" s="1115">
        <f>'Marzo - 2015'!$H$24</f>
        <v>0.14699999999999999</v>
      </c>
      <c r="K33" s="1116">
        <f>'Marzo - 2015'!$I$24</f>
        <v>1E-3</v>
      </c>
      <c r="L33" s="1104">
        <f t="shared" si="16"/>
        <v>31</v>
      </c>
      <c r="M33" s="1153">
        <f>'Marzo - 2015'!F$24</f>
        <v>31482640</v>
      </c>
      <c r="N33" s="1105">
        <f t="shared" si="17"/>
        <v>1015569.0322580645</v>
      </c>
      <c r="O33" s="1164">
        <f>'Marzo - 2015'!I$24</f>
        <v>1E-3</v>
      </c>
      <c r="P33" s="1118">
        <f t="shared" si="30"/>
        <v>2177213.5050329473</v>
      </c>
      <c r="Q33" s="1118">
        <f>'Marzo - 2015'!M$24</f>
        <v>2296226.9477340006</v>
      </c>
      <c r="R33" s="1117" t="str">
        <f>'Marzo - 2015'!H$10</f>
        <v>FE79</v>
      </c>
      <c r="S33" s="1303">
        <f>'Marzo - 2015'!I$10</f>
        <v>19</v>
      </c>
      <c r="T33" s="1106">
        <f>'Marzo - 2015'!V67</f>
        <v>69000</v>
      </c>
      <c r="U33" s="1107">
        <f>'Marzo - 2015'!W67</f>
        <v>78064.063270152532</v>
      </c>
      <c r="V33" s="1107">
        <f t="shared" si="18"/>
        <v>-9064.0632701525319</v>
      </c>
      <c r="W33" s="1107" t="e">
        <f t="shared" si="31"/>
        <v>#VALUE!</v>
      </c>
      <c r="X33" s="1108">
        <f t="shared" si="19"/>
        <v>74071.837023677435</v>
      </c>
      <c r="Y33" s="1109">
        <f t="shared" si="20"/>
        <v>31482640</v>
      </c>
      <c r="Z33" s="1109">
        <f t="shared" si="21"/>
        <v>2296226.9477340006</v>
      </c>
      <c r="AA33" s="1110">
        <f t="shared" si="22"/>
        <v>29186413.052265998</v>
      </c>
      <c r="AB33" s="1111">
        <f t="shared" si="23"/>
        <v>7.2936289578447069E-2</v>
      </c>
      <c r="AC33" s="1112">
        <f t="shared" si="24"/>
        <v>0.92706371042155289</v>
      </c>
    </row>
    <row r="34" spans="2:29" hidden="1" x14ac:dyDescent="0.25">
      <c r="B34" s="1113">
        <f t="shared" si="13"/>
        <v>2015</v>
      </c>
      <c r="C34" s="1114">
        <v>42095</v>
      </c>
      <c r="D34" s="1146">
        <f>'Abril - 2015'!$M$35</f>
        <v>8275860.0200000005</v>
      </c>
      <c r="E34" s="1147">
        <f>'Abril - 2015'!$M$45</f>
        <v>0</v>
      </c>
      <c r="F34" s="1305">
        <f t="shared" si="29"/>
        <v>8275860.0200000005</v>
      </c>
      <c r="G34" s="1120">
        <f>'Abril - 2015'!$L$35</f>
        <v>4627948.08</v>
      </c>
      <c r="H34" s="1121">
        <f>'Abril - 2015'!$L$45</f>
        <v>2027.78</v>
      </c>
      <c r="I34" s="1304">
        <f t="shared" si="15"/>
        <v>4629975.8600000003</v>
      </c>
      <c r="J34" s="1115">
        <f>'Abril - 2015'!$H$24</f>
        <v>0.14699999999999999</v>
      </c>
      <c r="K34" s="1116">
        <f>'Abril - 2015'!$I$24</f>
        <v>1E-3</v>
      </c>
      <c r="L34" s="1104">
        <f t="shared" si="16"/>
        <v>30</v>
      </c>
      <c r="M34" s="1153">
        <f>'Abril - 2015'!F$24</f>
        <v>31482640</v>
      </c>
      <c r="N34" s="1105">
        <f t="shared" si="17"/>
        <v>1049421.3333333333</v>
      </c>
      <c r="O34" s="1164">
        <f>'Abril - 2015'!I$24</f>
        <v>1E-3</v>
      </c>
      <c r="P34" s="1118">
        <f t="shared" si="30"/>
        <v>2122960.355215075</v>
      </c>
      <c r="Q34" s="1118">
        <f>'Abril - 2015'!M$24</f>
        <v>2239008.1475</v>
      </c>
      <c r="R34" s="1117" t="str">
        <f>'Abril - 2015'!H$10</f>
        <v>FE86</v>
      </c>
      <c r="S34" s="1303">
        <f>'Abril - 2015'!I$10</f>
        <v>19</v>
      </c>
      <c r="T34" s="1106">
        <f>'Abril - 2015'!V67</f>
        <v>148140.38</v>
      </c>
      <c r="U34" s="1107">
        <f>'Abril - 2015'!W67</f>
        <v>75885.11381119999</v>
      </c>
      <c r="V34" s="1107">
        <f t="shared" si="18"/>
        <v>72255.266188800015</v>
      </c>
      <c r="W34" s="1107" t="e">
        <f t="shared" si="31"/>
        <v>#VALUE!</v>
      </c>
      <c r="X34" s="1108">
        <f t="shared" si="19"/>
        <v>74633.604916666663</v>
      </c>
      <c r="Y34" s="1109">
        <f t="shared" si="20"/>
        <v>31482640</v>
      </c>
      <c r="Z34" s="1109">
        <f t="shared" si="21"/>
        <v>2239008.1475</v>
      </c>
      <c r="AA34" s="1110">
        <f t="shared" si="22"/>
        <v>29243631.852499999</v>
      </c>
      <c r="AB34" s="1111">
        <f t="shared" si="23"/>
        <v>7.1118818101023287E-2</v>
      </c>
      <c r="AC34" s="1112">
        <f t="shared" si="24"/>
        <v>0.92888118189897673</v>
      </c>
    </row>
    <row r="35" spans="2:29" hidden="1" x14ac:dyDescent="0.25">
      <c r="B35" s="1113">
        <f t="shared" si="13"/>
        <v>2015</v>
      </c>
      <c r="C35" s="1114">
        <v>42125</v>
      </c>
      <c r="D35" s="1146">
        <f>'Mayo - 2015'!$M$35</f>
        <v>7913791.2700000005</v>
      </c>
      <c r="E35" s="1147">
        <f>'Mayo - 2015'!$M$45</f>
        <v>0</v>
      </c>
      <c r="F35" s="1305">
        <f t="shared" si="29"/>
        <v>7913791.2700000005</v>
      </c>
      <c r="G35" s="1120">
        <f>'Mayo - 2015'!$L$35</f>
        <v>4627948.08</v>
      </c>
      <c r="H35" s="1121">
        <f>'Mayo - 2015'!$L$45</f>
        <v>2087.0500000000002</v>
      </c>
      <c r="I35" s="1304">
        <f t="shared" si="15"/>
        <v>4630035.13</v>
      </c>
      <c r="J35" s="1115">
        <f>'Mayo - 2015'!$H$24</f>
        <v>0.14699999999999999</v>
      </c>
      <c r="K35" s="1116">
        <f>'Mayo - 2015'!$I$24</f>
        <v>1E-3</v>
      </c>
      <c r="L35" s="1104">
        <f t="shared" si="16"/>
        <v>31</v>
      </c>
      <c r="M35" s="1153">
        <f>'Mayo - 2015'!F$24</f>
        <v>31482640</v>
      </c>
      <c r="N35" s="1105">
        <f t="shared" si="17"/>
        <v>1015569.0322580645</v>
      </c>
      <c r="O35" s="1164">
        <f>'Mayo - 2015'!I$24</f>
        <v>1E-3</v>
      </c>
      <c r="P35" s="1118">
        <f t="shared" si="30"/>
        <v>2174284.1785943266</v>
      </c>
      <c r="Q35" s="1118">
        <f>'Mayo - 2015'!M$24</f>
        <v>2293137.4949579998</v>
      </c>
      <c r="R35" s="1117" t="str">
        <f>'Mayo - 2015'!H$10</f>
        <v>FE 92</v>
      </c>
      <c r="S35" s="1303">
        <f>'Mayo - 2015'!I$10</f>
        <v>19</v>
      </c>
      <c r="T35" s="1106">
        <f>'Mayo - 2015'!V67</f>
        <v>151008.60999999999</v>
      </c>
      <c r="U35" s="1107">
        <f>'Mayo - 2015'!W67</f>
        <v>77452.38894864</v>
      </c>
      <c r="V35" s="1107">
        <f t="shared" si="18"/>
        <v>73556.221051359986</v>
      </c>
      <c r="W35" s="1107" t="e">
        <f t="shared" si="31"/>
        <v>#VALUE!</v>
      </c>
      <c r="X35" s="1108">
        <f t="shared" si="19"/>
        <v>73972.177256709678</v>
      </c>
      <c r="Y35" s="1109">
        <f t="shared" si="20"/>
        <v>31482640</v>
      </c>
      <c r="Z35" s="1109">
        <f t="shared" si="21"/>
        <v>2293137.4949579998</v>
      </c>
      <c r="AA35" s="1110">
        <f t="shared" si="22"/>
        <v>29189502.505042002</v>
      </c>
      <c r="AB35" s="1111">
        <f t="shared" si="23"/>
        <v>7.2838157630935652E-2</v>
      </c>
      <c r="AC35" s="1112">
        <f t="shared" si="24"/>
        <v>0.9271618423690644</v>
      </c>
    </row>
    <row r="36" spans="2:29" hidden="1" x14ac:dyDescent="0.25">
      <c r="B36" s="1113">
        <f t="shared" si="13"/>
        <v>2015</v>
      </c>
      <c r="C36" s="1114">
        <v>42156</v>
      </c>
      <c r="D36" s="1146">
        <f>'Junio - 2015'!$M$35</f>
        <v>19862064.010000002</v>
      </c>
      <c r="E36" s="1147" t="e">
        <f>'Junio - 2015'!$M$45</f>
        <v>#DIV/0!</v>
      </c>
      <c r="F36" s="1305" t="e">
        <f t="shared" si="29"/>
        <v>#DIV/0!</v>
      </c>
      <c r="G36" s="1120">
        <f>'Junio - 2015'!$L$35</f>
        <v>4627948.07</v>
      </c>
      <c r="H36" s="1121" t="e">
        <f>'Junio - 2015'!$L$45</f>
        <v>#DIV/0!</v>
      </c>
      <c r="I36" s="1304" t="e">
        <f t="shared" si="15"/>
        <v>#DIV/0!</v>
      </c>
      <c r="J36" s="1115">
        <f>'Junio - 2015'!$H$24</f>
        <v>0.14699999999999999</v>
      </c>
      <c r="K36" s="1116">
        <f>'Junio - 2015'!$I$24</f>
        <v>1E-3</v>
      </c>
      <c r="L36" s="1104">
        <f t="shared" si="16"/>
        <v>30</v>
      </c>
      <c r="M36" s="1153">
        <f>'Junio - 2015'!F$24</f>
        <v>31482640</v>
      </c>
      <c r="N36" s="1105">
        <f t="shared" si="17"/>
        <v>1049421.3333333333</v>
      </c>
      <c r="O36" s="1164">
        <f>'Junio - 2015'!I$24</f>
        <v>1E-3</v>
      </c>
      <c r="P36" s="1118">
        <f t="shared" si="30"/>
        <v>0</v>
      </c>
      <c r="Q36" s="1118">
        <f>'Junio - 2015'!M$24</f>
        <v>0</v>
      </c>
      <c r="R36" s="1117">
        <f>'Junio - 2015'!H$10</f>
        <v>0</v>
      </c>
      <c r="S36" s="1303">
        <f>'Junio - 2015'!I$10</f>
        <v>19</v>
      </c>
      <c r="T36" s="1106">
        <f>'Junio - 2015'!V67</f>
        <v>76357.52</v>
      </c>
      <c r="U36" s="1107">
        <f>'Junio - 2015'!W67</f>
        <v>0</v>
      </c>
      <c r="V36" s="1107">
        <f t="shared" si="18"/>
        <v>76357.52</v>
      </c>
      <c r="W36" s="1107" t="e">
        <f t="shared" si="31"/>
        <v>#VALUE!</v>
      </c>
      <c r="X36" s="1108">
        <f t="shared" si="19"/>
        <v>0</v>
      </c>
      <c r="Y36" s="1109">
        <f t="shared" si="20"/>
        <v>31482640</v>
      </c>
      <c r="Z36" s="1109">
        <f t="shared" si="21"/>
        <v>0</v>
      </c>
      <c r="AA36" s="1110">
        <f t="shared" si="22"/>
        <v>31482640</v>
      </c>
      <c r="AB36" s="1111">
        <f t="shared" si="23"/>
        <v>0</v>
      </c>
      <c r="AC36" s="1112">
        <f t="shared" si="24"/>
        <v>1</v>
      </c>
    </row>
    <row r="37" spans="2:29" hidden="1" x14ac:dyDescent="0.25">
      <c r="B37" s="1113">
        <f t="shared" si="13"/>
        <v>2015</v>
      </c>
      <c r="C37" s="1114">
        <v>42186</v>
      </c>
      <c r="D37" s="1146">
        <f>'Julio - 2015'!$M$35</f>
        <v>19862064.010000002</v>
      </c>
      <c r="E37" s="1147" t="e">
        <f>'Julio - 2015'!$M$45</f>
        <v>#DIV/0!</v>
      </c>
      <c r="F37" s="1305" t="e">
        <f t="shared" si="29"/>
        <v>#DIV/0!</v>
      </c>
      <c r="G37" s="1120">
        <f>'Julio - 2015'!$L$35</f>
        <v>4627948.07</v>
      </c>
      <c r="H37" s="1121" t="e">
        <f>'Julio - 2015'!$L$45</f>
        <v>#DIV/0!</v>
      </c>
      <c r="I37" s="1304" t="e">
        <f t="shared" si="15"/>
        <v>#DIV/0!</v>
      </c>
      <c r="J37" s="1115">
        <f>'Julio - 2015'!$H$24</f>
        <v>0.14699999999999999</v>
      </c>
      <c r="K37" s="1116">
        <f>'Julio - 2015'!$I$24</f>
        <v>1E-3</v>
      </c>
      <c r="L37" s="1104">
        <f t="shared" si="16"/>
        <v>31</v>
      </c>
      <c r="M37" s="1153">
        <f>'Julio - 2015'!F$24</f>
        <v>31482640</v>
      </c>
      <c r="N37" s="1105">
        <f t="shared" si="17"/>
        <v>1015569.0322580645</v>
      </c>
      <c r="O37" s="1164">
        <f>'Julio - 2015'!I$24</f>
        <v>1E-3</v>
      </c>
      <c r="P37" s="1118">
        <f t="shared" si="30"/>
        <v>0</v>
      </c>
      <c r="Q37" s="1118">
        <f>'Julio - 2015'!M$24</f>
        <v>0</v>
      </c>
      <c r="R37" s="1117">
        <f>'Julio - 2015'!H$10</f>
        <v>0</v>
      </c>
      <c r="S37" s="1303">
        <f>'Julio - 2015'!I$10</f>
        <v>19</v>
      </c>
      <c r="T37" s="1106">
        <f>'Julio - 2015'!V67</f>
        <v>73440.63</v>
      </c>
      <c r="U37" s="1107">
        <f>'Julio - 2015'!W67</f>
        <v>0</v>
      </c>
      <c r="V37" s="1107">
        <f t="shared" si="18"/>
        <v>73440.63</v>
      </c>
      <c r="W37" s="1107" t="e">
        <f t="shared" si="31"/>
        <v>#VALUE!</v>
      </c>
      <c r="X37" s="1108">
        <f t="shared" si="19"/>
        <v>0</v>
      </c>
      <c r="Y37" s="1109">
        <f t="shared" si="20"/>
        <v>31482640</v>
      </c>
      <c r="Z37" s="1109">
        <f t="shared" si="21"/>
        <v>0</v>
      </c>
      <c r="AA37" s="1110">
        <f t="shared" si="22"/>
        <v>31482640</v>
      </c>
      <c r="AB37" s="1111">
        <f t="shared" si="23"/>
        <v>0</v>
      </c>
      <c r="AC37" s="1112">
        <f t="shared" si="24"/>
        <v>1</v>
      </c>
    </row>
    <row r="38" spans="2:29" hidden="1" x14ac:dyDescent="0.25">
      <c r="B38" s="1113">
        <f t="shared" si="13"/>
        <v>2015</v>
      </c>
      <c r="C38" s="1114">
        <v>42217</v>
      </c>
      <c r="D38" s="1146">
        <f>'Agosto - 2015'!$M$35</f>
        <v>19862064.010000002</v>
      </c>
      <c r="E38" s="1147" t="e">
        <f>'Agosto - 2015'!$M$45</f>
        <v>#DIV/0!</v>
      </c>
      <c r="F38" s="1305" t="e">
        <f t="shared" si="29"/>
        <v>#DIV/0!</v>
      </c>
      <c r="G38" s="1120">
        <f>'Agosto - 2015'!$L$35</f>
        <v>4627948.07</v>
      </c>
      <c r="H38" s="1121" t="e">
        <f>'Agosto - 2015'!$L$45</f>
        <v>#DIV/0!</v>
      </c>
      <c r="I38" s="1304" t="e">
        <f t="shared" si="15"/>
        <v>#DIV/0!</v>
      </c>
      <c r="J38" s="1115">
        <f>'Agosto - 2015'!$H$24</f>
        <v>0.14699999999999999</v>
      </c>
      <c r="K38" s="1116">
        <f>'Agosto - 2015'!$I$24</f>
        <v>1E-3</v>
      </c>
      <c r="L38" s="1104">
        <f t="shared" si="16"/>
        <v>31</v>
      </c>
      <c r="M38" s="1153">
        <f>'Agosto - 2015'!F$24</f>
        <v>31482640</v>
      </c>
      <c r="N38" s="1105">
        <f t="shared" si="17"/>
        <v>1015569.0322580645</v>
      </c>
      <c r="O38" s="1164">
        <f>'Agosto - 2015'!I$24</f>
        <v>1E-3</v>
      </c>
      <c r="P38" s="1118">
        <f t="shared" si="30"/>
        <v>0</v>
      </c>
      <c r="Q38" s="1118">
        <f>'Agosto - 2015'!M$24</f>
        <v>0</v>
      </c>
      <c r="R38" s="1117">
        <f>'Agosto - 2015'!H$10</f>
        <v>0</v>
      </c>
      <c r="S38" s="1303">
        <f>'Agosto - 2015'!I$10</f>
        <v>19</v>
      </c>
      <c r="T38" s="1106">
        <f>'Agosto - 2015'!V67</f>
        <v>76439.850000000006</v>
      </c>
      <c r="U38" s="1107">
        <f>'Agosto - 2015'!W67</f>
        <v>0</v>
      </c>
      <c r="V38" s="1107">
        <f t="shared" si="18"/>
        <v>76439.850000000006</v>
      </c>
      <c r="W38" s="1107" t="e">
        <f t="shared" si="31"/>
        <v>#VALUE!</v>
      </c>
      <c r="X38" s="1108">
        <f t="shared" si="19"/>
        <v>0</v>
      </c>
      <c r="Y38" s="1109">
        <f t="shared" si="20"/>
        <v>31482640</v>
      </c>
      <c r="Z38" s="1109">
        <f t="shared" si="21"/>
        <v>0</v>
      </c>
      <c r="AA38" s="1110">
        <f t="shared" si="22"/>
        <v>31482640</v>
      </c>
      <c r="AB38" s="1111">
        <f t="shared" si="23"/>
        <v>0</v>
      </c>
      <c r="AC38" s="1112">
        <f t="shared" si="24"/>
        <v>1</v>
      </c>
    </row>
    <row r="39" spans="2:29" hidden="1" x14ac:dyDescent="0.25">
      <c r="B39" s="1113">
        <f t="shared" si="13"/>
        <v>2015</v>
      </c>
      <c r="C39" s="1114">
        <v>42248</v>
      </c>
      <c r="D39" s="1146">
        <f>'Octubre - 2015'!$M$35</f>
        <v>19862064.010000002</v>
      </c>
      <c r="E39" s="1147" t="e">
        <f>'Octubre - 2015'!$M$45</f>
        <v>#DIV/0!</v>
      </c>
      <c r="F39" s="1305" t="e">
        <f t="shared" si="29"/>
        <v>#DIV/0!</v>
      </c>
      <c r="G39" s="1120">
        <f>'Octubre - 2015'!$L$35</f>
        <v>4627948.07</v>
      </c>
      <c r="H39" s="1121" t="e">
        <f>'Octubre - 2015'!$L$45</f>
        <v>#DIV/0!</v>
      </c>
      <c r="I39" s="1304" t="e">
        <f t="shared" si="15"/>
        <v>#DIV/0!</v>
      </c>
      <c r="J39" s="1115">
        <f>'Octubre - 2015'!$H$24</f>
        <v>0.14699999999999999</v>
      </c>
      <c r="K39" s="1116">
        <f>'Octubre - 2015'!$I$24</f>
        <v>1E-3</v>
      </c>
      <c r="L39" s="1104">
        <f t="shared" si="16"/>
        <v>30</v>
      </c>
      <c r="M39" s="1153">
        <f>'Octubre - 2015'!$F$24</f>
        <v>31482640</v>
      </c>
      <c r="N39" s="1105">
        <f t="shared" si="17"/>
        <v>1049421.3333333333</v>
      </c>
      <c r="O39" s="1164">
        <f>'Octubre - 2015'!I$24</f>
        <v>1E-3</v>
      </c>
      <c r="P39" s="1118">
        <f t="shared" si="30"/>
        <v>0</v>
      </c>
      <c r="Q39" s="1118">
        <f>'Octubre - 2015'!M$24</f>
        <v>0</v>
      </c>
      <c r="R39" s="1117">
        <f>'Octubre - 2015'!H$10</f>
        <v>0</v>
      </c>
      <c r="S39" s="1303">
        <f>'Octubre - 2015'!I$10</f>
        <v>19</v>
      </c>
      <c r="T39" s="1106">
        <f>'Octubre - 2015'!V67</f>
        <v>67991.782000000007</v>
      </c>
      <c r="U39" s="1107">
        <f>'Octubre - 2015'!W67</f>
        <v>0</v>
      </c>
      <c r="V39" s="1107">
        <f t="shared" si="18"/>
        <v>67991.782000000007</v>
      </c>
      <c r="W39" s="1107" t="e">
        <f t="shared" si="31"/>
        <v>#VALUE!</v>
      </c>
      <c r="X39" s="1108">
        <f t="shared" si="19"/>
        <v>0</v>
      </c>
      <c r="Y39" s="1109">
        <f t="shared" si="20"/>
        <v>31482640</v>
      </c>
      <c r="Z39" s="1109">
        <f t="shared" si="21"/>
        <v>0</v>
      </c>
      <c r="AA39" s="1110">
        <f t="shared" si="22"/>
        <v>31482640</v>
      </c>
      <c r="AB39" s="1111">
        <f t="shared" si="23"/>
        <v>0</v>
      </c>
      <c r="AC39" s="1112">
        <f t="shared" si="24"/>
        <v>1</v>
      </c>
    </row>
    <row r="40" spans="2:29" hidden="1" x14ac:dyDescent="0.25">
      <c r="B40" s="1113">
        <f t="shared" si="13"/>
        <v>2015</v>
      </c>
      <c r="C40" s="1114">
        <v>42278</v>
      </c>
      <c r="D40" s="1146">
        <f>'Octubre - 2015'!$M$35</f>
        <v>19862064.010000002</v>
      </c>
      <c r="E40" s="1147" t="e">
        <f>'Octubre - 2015'!$M$45</f>
        <v>#DIV/0!</v>
      </c>
      <c r="F40" s="1305" t="e">
        <f t="shared" si="29"/>
        <v>#DIV/0!</v>
      </c>
      <c r="G40" s="1120">
        <f>'Octubre - 2015'!$L$35</f>
        <v>4627948.07</v>
      </c>
      <c r="H40" s="1121" t="e">
        <f>'Octubre - 2015'!$L$45</f>
        <v>#DIV/0!</v>
      </c>
      <c r="I40" s="1304" t="e">
        <f t="shared" si="15"/>
        <v>#DIV/0!</v>
      </c>
      <c r="J40" s="1115">
        <f>'Octubre - 2015'!$H$24</f>
        <v>0.14699999999999999</v>
      </c>
      <c r="K40" s="1116">
        <f>'Octubre - 2015'!$I$24</f>
        <v>1E-3</v>
      </c>
      <c r="L40" s="1104">
        <f t="shared" si="16"/>
        <v>31</v>
      </c>
      <c r="M40" s="1153">
        <f>'Octubre - 2015'!$F$24</f>
        <v>31482640</v>
      </c>
      <c r="N40" s="1105">
        <f t="shared" si="17"/>
        <v>1015569.0322580645</v>
      </c>
      <c r="O40" s="1164">
        <f>'Octubre - 2015'!I$24</f>
        <v>1E-3</v>
      </c>
      <c r="P40" s="1118">
        <f t="shared" si="30"/>
        <v>0</v>
      </c>
      <c r="Q40" s="1118">
        <f>'Octubre - 2015'!M$24</f>
        <v>0</v>
      </c>
      <c r="R40" s="1117">
        <f>'Octubre - 2015'!H$10</f>
        <v>0</v>
      </c>
      <c r="S40" s="1303">
        <f>'Octubre - 2015'!I$10</f>
        <v>19</v>
      </c>
      <c r="T40" s="1106">
        <f>'Octubre - 2015'!V67</f>
        <v>67991.782000000007</v>
      </c>
      <c r="U40" s="1107">
        <f>'Octubre - 2015'!W67</f>
        <v>0</v>
      </c>
      <c r="V40" s="1107">
        <f t="shared" si="18"/>
        <v>67991.782000000007</v>
      </c>
      <c r="W40" s="1107" t="e">
        <f t="shared" si="31"/>
        <v>#VALUE!</v>
      </c>
      <c r="X40" s="1108">
        <f t="shared" si="19"/>
        <v>0</v>
      </c>
      <c r="Y40" s="1109">
        <f t="shared" si="20"/>
        <v>31482640</v>
      </c>
      <c r="Z40" s="1109">
        <f t="shared" si="21"/>
        <v>0</v>
      </c>
      <c r="AA40" s="1110">
        <f t="shared" si="22"/>
        <v>31482640</v>
      </c>
      <c r="AB40" s="1111">
        <f t="shared" si="23"/>
        <v>0</v>
      </c>
      <c r="AC40" s="1112">
        <f t="shared" si="24"/>
        <v>1</v>
      </c>
    </row>
    <row r="41" spans="2:29" hidden="1" x14ac:dyDescent="0.25">
      <c r="B41" s="1113">
        <f t="shared" si="13"/>
        <v>2015</v>
      </c>
      <c r="C41" s="1114">
        <v>42309</v>
      </c>
      <c r="D41" s="1146">
        <f>'Noviembre - 2015'!$L$34</f>
        <v>3582576.28</v>
      </c>
      <c r="E41" s="1147">
        <f>'Noviembre - 2015'!$L$44</f>
        <v>0</v>
      </c>
      <c r="F41" s="1305">
        <f t="shared" ref="F41:F42" si="32">SUM(D41:E41)</f>
        <v>3582576.28</v>
      </c>
      <c r="G41" s="1868">
        <f>'Noviembre - 2015'!$K$34</f>
        <v>0.77411764705882358</v>
      </c>
      <c r="H41" s="1121">
        <f>'Noviembre - 2015'!$K$44</f>
        <v>138.15</v>
      </c>
      <c r="I41" s="1304">
        <f t="shared" ref="I41:I42" si="33">G41+H41</f>
        <v>138.92411764705884</v>
      </c>
      <c r="J41" s="1115">
        <f>'Noviembre - 2015'!$H$24</f>
        <v>0.14699999999999999</v>
      </c>
      <c r="K41" s="1116">
        <f>'Noviembre - 2015'!$I$24</f>
        <v>1E-3</v>
      </c>
      <c r="L41" s="1104">
        <f t="shared" ref="L41:L42" si="34">_xlfn.DAYS(C42,C41)</f>
        <v>30</v>
      </c>
      <c r="M41" s="1153">
        <f>'Noviembre - 2015'!F$24</f>
        <v>31482640</v>
      </c>
      <c r="N41" s="1105">
        <f t="shared" ref="N41:N42" si="35">IFERROR(M41/L41,0)</f>
        <v>1049421.3333333333</v>
      </c>
      <c r="O41" s="1164">
        <f>'Noviembre - 2015'!I$24</f>
        <v>1E-3</v>
      </c>
      <c r="P41" s="1118">
        <f t="shared" ref="P41:P42" si="36">Q41*0.94817</f>
        <v>2028566.3352743296</v>
      </c>
      <c r="Q41" s="1118">
        <f>'Noviembre - 2015'!M$24</f>
        <v>2139454.2489999998</v>
      </c>
      <c r="R41" s="1117">
        <f>'Noviembre - 2015'!H$10</f>
        <v>0</v>
      </c>
      <c r="S41" s="1303">
        <f>'Noviembre - 2015'!I$10</f>
        <v>20</v>
      </c>
      <c r="T41" s="1106">
        <f>'Noviembre - 2015'!V77</f>
        <v>0</v>
      </c>
      <c r="U41" s="1107">
        <f>'Noviembre - 2015'!W77</f>
        <v>71032.932368320005</v>
      </c>
      <c r="V41" s="1107">
        <f t="shared" ref="V41:V42" si="37">T41-U41</f>
        <v>-71032.932368320005</v>
      </c>
      <c r="W41" s="1107" t="e">
        <f t="shared" ref="W41:W42" si="38">V41+W40</f>
        <v>#VALUE!</v>
      </c>
      <c r="X41" s="1108">
        <f t="shared" ref="X41:X42" si="39">Q41/L41</f>
        <v>71315.141633333333</v>
      </c>
      <c r="Y41" s="1109">
        <f t="shared" ref="Y41:Y42" si="40">M41</f>
        <v>31482640</v>
      </c>
      <c r="Z41" s="1109">
        <f t="shared" ref="Z41:Z42" si="41">Q41</f>
        <v>2139454.2489999998</v>
      </c>
      <c r="AA41" s="1110">
        <f t="shared" ref="AA41:AA42" si="42">Y41-Z41</f>
        <v>29343185.751000002</v>
      </c>
      <c r="AB41" s="1111">
        <f t="shared" ref="AB41:AB42" si="43">IFERROR(Z41/Y41,0)</f>
        <v>6.7956634164098056E-2</v>
      </c>
      <c r="AC41" s="1112">
        <f t="shared" ref="AC41:AC42" si="44">1-AB41</f>
        <v>0.93204336583590197</v>
      </c>
    </row>
    <row r="42" spans="2:29" hidden="1" x14ac:dyDescent="0.25">
      <c r="B42" s="1113">
        <f t="shared" si="13"/>
        <v>2015</v>
      </c>
      <c r="C42" s="1114">
        <v>42339</v>
      </c>
      <c r="D42" s="1146">
        <f>'Diciembre - 2015'!$L$34</f>
        <v>3582576.28</v>
      </c>
      <c r="E42" s="1147" t="e">
        <f>'Diciembre - 2015'!$L$44</f>
        <v>#DIV/0!</v>
      </c>
      <c r="F42" s="1305" t="e">
        <f t="shared" si="32"/>
        <v>#DIV/0!</v>
      </c>
      <c r="G42" s="1868">
        <f>'Diciembre - 2015'!$K$34</f>
        <v>0.77411764705882358</v>
      </c>
      <c r="H42" s="1121">
        <f>'Diciembre - 2015'!$K$44</f>
        <v>138.15</v>
      </c>
      <c r="I42" s="1304">
        <f t="shared" si="33"/>
        <v>138.92411764705884</v>
      </c>
      <c r="J42" s="1115">
        <f>'Diciembre - 2015'!$H$24</f>
        <v>0.14699999999999999</v>
      </c>
      <c r="K42" s="1116">
        <f>'Diciembre - 2015'!$I$24</f>
        <v>1E-3</v>
      </c>
      <c r="L42" s="1104">
        <f t="shared" si="34"/>
        <v>31</v>
      </c>
      <c r="M42" s="1153">
        <f>'Diciembre - 2015'!F$24</f>
        <v>31482640</v>
      </c>
      <c r="N42" s="1105">
        <f t="shared" si="35"/>
        <v>1015569.0322580645</v>
      </c>
      <c r="O42" s="1164">
        <f>'Diciembre - 2015'!I$24</f>
        <v>1E-3</v>
      </c>
      <c r="P42" s="1118">
        <f t="shared" si="36"/>
        <v>0</v>
      </c>
      <c r="Q42" s="1118">
        <f>'Diciembre - 2015'!M$24</f>
        <v>0</v>
      </c>
      <c r="R42" s="1117">
        <f>'Diciembre - 2015'!H$10</f>
        <v>0</v>
      </c>
      <c r="S42" s="1303">
        <f>'Diciembre - 2015'!I$10</f>
        <v>19</v>
      </c>
      <c r="T42" s="1106">
        <f>'Diciembre - 2015'!V78</f>
        <v>72358.850000000006</v>
      </c>
      <c r="U42" s="1107">
        <f>'Diciembre - 2015'!W78</f>
        <v>0</v>
      </c>
      <c r="V42" s="1107">
        <f t="shared" si="37"/>
        <v>72358.850000000006</v>
      </c>
      <c r="W42" s="1107" t="e">
        <f t="shared" si="38"/>
        <v>#VALUE!</v>
      </c>
      <c r="X42" s="1108">
        <f t="shared" si="39"/>
        <v>0</v>
      </c>
      <c r="Y42" s="1109">
        <f t="shared" si="40"/>
        <v>31482640</v>
      </c>
      <c r="Z42" s="1109">
        <f t="shared" si="41"/>
        <v>0</v>
      </c>
      <c r="AA42" s="1110">
        <f t="shared" si="42"/>
        <v>31482640</v>
      </c>
      <c r="AB42" s="1111">
        <f t="shared" si="43"/>
        <v>0</v>
      </c>
      <c r="AC42" s="1112">
        <f t="shared" si="44"/>
        <v>1</v>
      </c>
    </row>
    <row r="43" spans="2:29" hidden="1" x14ac:dyDescent="0.25">
      <c r="B43" s="1113">
        <f t="shared" si="13"/>
        <v>2016</v>
      </c>
      <c r="C43" s="1114">
        <v>42370</v>
      </c>
      <c r="D43" s="1146">
        <f>'Enero - 2016'!$L$34</f>
        <v>87931013.520000011</v>
      </c>
      <c r="E43" s="1147">
        <f>'Enero - 2016'!$L$44</f>
        <v>38900.980000000003</v>
      </c>
      <c r="F43" s="1305">
        <f t="shared" ref="F43" si="45">SUM(D43:E43)</f>
        <v>87969914.500000015</v>
      </c>
      <c r="G43" s="1120">
        <f>'Enero - 2016'!$K$34</f>
        <v>4627948.08</v>
      </c>
      <c r="H43" s="1121">
        <f>'Enero - 2016'!$K$44</f>
        <v>2047.42</v>
      </c>
      <c r="I43" s="1304">
        <f t="shared" ref="I43:I71" si="46">G43+H43</f>
        <v>4629995.5</v>
      </c>
      <c r="J43" s="1115">
        <f>'Enero - 2016'!$H$24</f>
        <v>0.14699999999999999</v>
      </c>
      <c r="K43" s="1116">
        <f>'Enero - 2016'!$I$24</f>
        <v>1E-3</v>
      </c>
      <c r="L43" s="1104">
        <f t="shared" ref="L43:L71" si="47">_xlfn.DAYS(C44,C43)</f>
        <v>31</v>
      </c>
      <c r="M43" s="1153">
        <f>'Enero - 2016'!F$24</f>
        <v>31482640</v>
      </c>
      <c r="N43" s="1105">
        <f t="shared" ref="N43:N71" si="48">IFERROR(M43/L43,0)</f>
        <v>1015569.0322580645</v>
      </c>
      <c r="O43" s="1164">
        <f>'Enero - 2016'!I$24</f>
        <v>1E-3</v>
      </c>
      <c r="P43" s="1118">
        <f>Q43*0.94817</f>
        <v>2127190.3041962297</v>
      </c>
      <c r="Q43" s="1118">
        <f>'Enero - 2016'!M$24</f>
        <v>2243469.3189999997</v>
      </c>
      <c r="R43" s="1117" t="str">
        <f>'Enero - 2016'!H$10</f>
        <v>FE 60</v>
      </c>
      <c r="S43" s="1303">
        <f>'Enero - 2016'!I$10</f>
        <v>19</v>
      </c>
      <c r="T43" s="1106">
        <f>'Enero - 2016'!V79</f>
        <v>2077956</v>
      </c>
      <c r="U43" s="1107">
        <f>'Enero - 2016'!W79</f>
        <v>2366985.7658268642</v>
      </c>
      <c r="V43" s="1107">
        <f t="shared" ref="V43:V45" si="49">T43-U43</f>
        <v>-289029.76582686417</v>
      </c>
      <c r="W43" s="1107" t="e">
        <f>V43+W42</f>
        <v>#VALUE!</v>
      </c>
      <c r="X43" s="1108">
        <f t="shared" ref="X43:X45" si="50">Q43/L43</f>
        <v>72369.978032258048</v>
      </c>
      <c r="Y43" s="1109">
        <f t="shared" ref="Y43:Y71" si="51">M43</f>
        <v>31482640</v>
      </c>
      <c r="Z43" s="1109">
        <f t="shared" ref="Z43:Z71" si="52">Q43</f>
        <v>2243469.3189999997</v>
      </c>
      <c r="AA43" s="1110">
        <f t="shared" ref="AA43:AA71" si="53">Y43-Z43</f>
        <v>29239170.681000002</v>
      </c>
      <c r="AB43" s="1111">
        <f t="shared" ref="AB43:AB71" si="54">IFERROR(Z43/Y43,0)</f>
        <v>7.1260520686956361E-2</v>
      </c>
      <c r="AC43" s="1112">
        <f t="shared" ref="AC43:AC71" si="55">1-AB43</f>
        <v>0.92873947931304368</v>
      </c>
    </row>
    <row r="44" spans="2:29" hidden="1" x14ac:dyDescent="0.25">
      <c r="B44" s="1113">
        <f t="shared" si="13"/>
        <v>2016</v>
      </c>
      <c r="C44" s="1114">
        <v>42401</v>
      </c>
      <c r="D44" s="1146">
        <f>'Febrero - 2016'!$M$35</f>
        <v>80542031.615472004</v>
      </c>
      <c r="E44" s="1147">
        <f>'Febrero - 2016'!$M$45</f>
        <v>33512.692941000001</v>
      </c>
      <c r="F44" s="1305">
        <f t="shared" ref="F44" si="56">SUM(D44:E44)</f>
        <v>80575544.308412999</v>
      </c>
      <c r="G44" s="1120">
        <f>'Febrero - 2016'!$L$35</f>
        <v>4627948.08</v>
      </c>
      <c r="H44" s="1121">
        <f>'Febrero - 2016'!$L$45</f>
        <v>1885.67</v>
      </c>
      <c r="I44" s="1304">
        <f t="shared" ref="I44" si="57">G44+H44</f>
        <v>4629833.75</v>
      </c>
      <c r="J44" s="1115">
        <f>'Febrero - 2016'!$H$24</f>
        <v>0.14699999999999999</v>
      </c>
      <c r="K44" s="1116">
        <f>'Febrero - 2016'!$I$24</f>
        <v>1E-3</v>
      </c>
      <c r="L44" s="1104">
        <f t="shared" si="47"/>
        <v>29</v>
      </c>
      <c r="M44" s="1153">
        <f>'Febrero - 2016'!F$24</f>
        <v>31482640</v>
      </c>
      <c r="N44" s="1105">
        <f t="shared" si="48"/>
        <v>1085608.2758620689</v>
      </c>
      <c r="O44" s="1164">
        <f>'Febrero - 2016'!I$24</f>
        <v>1E-3</v>
      </c>
      <c r="P44" s="1118">
        <f t="shared" ref="P44:P78" si="58">Q44*0.94817</f>
        <v>1973100.9683789015</v>
      </c>
      <c r="Q44" s="1118">
        <f>'Febrero - 2016'!M$24</f>
        <v>2080956.9680320001</v>
      </c>
      <c r="R44" s="1117" t="str">
        <f>'Febrero - 2016'!H$10</f>
        <v>FE-66</v>
      </c>
      <c r="S44" s="1303">
        <f>'Febrero - 2016'!I$10</f>
        <v>17.403400000000001</v>
      </c>
      <c r="T44" s="1106">
        <f>'Febrero - 2016'!V80</f>
        <v>1968779</v>
      </c>
      <c r="U44" s="1107">
        <f>'Febrero - 2016'!W80</f>
        <v>2195526.1348639699</v>
      </c>
      <c r="V44" s="1107">
        <f t="shared" si="49"/>
        <v>-226747.13486396987</v>
      </c>
      <c r="W44" s="1107" t="e">
        <f t="shared" ref="W44:W71" si="59">V44+W43</f>
        <v>#VALUE!</v>
      </c>
      <c r="X44" s="1108">
        <f t="shared" si="50"/>
        <v>71757.136828689661</v>
      </c>
      <c r="Y44" s="1109">
        <f t="shared" si="51"/>
        <v>31482640</v>
      </c>
      <c r="Z44" s="1109">
        <f t="shared" si="52"/>
        <v>2080956.9680320001</v>
      </c>
      <c r="AA44" s="1110">
        <f t="shared" si="53"/>
        <v>29401683.031968001</v>
      </c>
      <c r="AB44" s="1111">
        <f t="shared" si="54"/>
        <v>6.609855361659632E-2</v>
      </c>
      <c r="AC44" s="1112">
        <f t="shared" si="55"/>
        <v>0.93390144638340367</v>
      </c>
    </row>
    <row r="45" spans="2:29" hidden="1" x14ac:dyDescent="0.25">
      <c r="B45" s="1113">
        <f t="shared" si="13"/>
        <v>2016</v>
      </c>
      <c r="C45" s="1114">
        <v>42430</v>
      </c>
      <c r="D45" s="1146">
        <f>'Marzo - 2016'!$M$35</f>
        <v>80619781.143216014</v>
      </c>
      <c r="E45" s="1147">
        <f>'Marzo - 2016'!$M$45</f>
        <v>36048.316668000007</v>
      </c>
      <c r="F45" s="1305">
        <f t="shared" ref="F45:F54" si="60">SUM(D45:E45)</f>
        <v>80655829.459884018</v>
      </c>
      <c r="G45" s="1120">
        <f>'Marzo - 2016'!$L$35</f>
        <v>4627948.08</v>
      </c>
      <c r="H45" s="1121">
        <f>'Marzo - 2016'!$L$45</f>
        <v>2069.34</v>
      </c>
      <c r="I45" s="1304">
        <f t="shared" ref="I45:I54" si="61">G45+H45</f>
        <v>4630017.42</v>
      </c>
      <c r="J45" s="1115">
        <f>'Marzo - 2016'!$H$24</f>
        <v>0.14699999999999999</v>
      </c>
      <c r="K45" s="1116">
        <f>'Marzo - 2016'!$I$24</f>
        <v>1E-3</v>
      </c>
      <c r="L45" s="1104">
        <f t="shared" si="47"/>
        <v>31</v>
      </c>
      <c r="M45" s="1153">
        <f>'Marzo - 2016'!F$24</f>
        <v>31482640</v>
      </c>
      <c r="N45" s="1105">
        <f t="shared" si="48"/>
        <v>1015569.0322580645</v>
      </c>
      <c r="O45" s="1164">
        <f>'Marzo - 2016'!I$24</f>
        <v>1E-3</v>
      </c>
      <c r="P45" s="1118">
        <f t="shared" si="58"/>
        <v>2177213.5050329473</v>
      </c>
      <c r="Q45" s="1118">
        <f>'Marzo - 2016'!M$24</f>
        <v>2296226.9477340006</v>
      </c>
      <c r="R45" s="1117" t="str">
        <f>'Marzo - 2016'!H$10</f>
        <v>FE79</v>
      </c>
      <c r="S45" s="1303">
        <f>'Marzo - 2016'!I$10</f>
        <v>17.420200000000001</v>
      </c>
      <c r="T45" s="1106">
        <f>'Marzo - 2016'!V80</f>
        <v>2172998</v>
      </c>
      <c r="U45" s="1107">
        <f>'Marzo - 2016'!W80</f>
        <v>2422648.0185684436</v>
      </c>
      <c r="V45" s="1107">
        <f t="shared" si="49"/>
        <v>-249650.0185684436</v>
      </c>
      <c r="W45" s="1107" t="e">
        <f t="shared" si="59"/>
        <v>#VALUE!</v>
      </c>
      <c r="X45" s="1108">
        <f t="shared" si="50"/>
        <v>74071.837023677435</v>
      </c>
      <c r="Y45" s="1109">
        <f t="shared" si="51"/>
        <v>31482640</v>
      </c>
      <c r="Z45" s="1109">
        <f t="shared" si="52"/>
        <v>2296226.9477340006</v>
      </c>
      <c r="AA45" s="1110">
        <f t="shared" si="53"/>
        <v>29186413.052265998</v>
      </c>
      <c r="AB45" s="1111">
        <f t="shared" si="54"/>
        <v>7.2936289578447069E-2</v>
      </c>
      <c r="AC45" s="1112">
        <f t="shared" si="55"/>
        <v>0.92706371042155289</v>
      </c>
    </row>
    <row r="46" spans="2:29" hidden="1" x14ac:dyDescent="0.25">
      <c r="B46" s="1113">
        <f t="shared" si="13"/>
        <v>2016</v>
      </c>
      <c r="C46" s="1114">
        <v>42461</v>
      </c>
      <c r="D46" s="1146">
        <f>'Abril - 2016'!$M$35</f>
        <v>85832239.065720007</v>
      </c>
      <c r="E46" s="1147">
        <f>'Abril - 2016'!$M$45</f>
        <v>37608.221770000004</v>
      </c>
      <c r="F46" s="1305">
        <f t="shared" si="60"/>
        <v>85869847.28749001</v>
      </c>
      <c r="G46" s="1120">
        <f>'Abril - 2016'!$L$35</f>
        <v>4627948.08</v>
      </c>
      <c r="H46" s="1121">
        <f>'Abril - 2016'!$L$45</f>
        <v>2027.78</v>
      </c>
      <c r="I46" s="1304">
        <f t="shared" si="61"/>
        <v>4629975.8600000003</v>
      </c>
      <c r="J46" s="1115">
        <f>'Abril - 2016'!$H$24</f>
        <v>0.14699999999999999</v>
      </c>
      <c r="K46" s="1116">
        <f>'Abril - 2016'!$I$24</f>
        <v>1E-3</v>
      </c>
      <c r="L46" s="1104">
        <f t="shared" si="47"/>
        <v>30</v>
      </c>
      <c r="M46" s="1153">
        <f>'Abril - 2016'!F$24</f>
        <v>31482640</v>
      </c>
      <c r="N46" s="1105">
        <f t="shared" si="48"/>
        <v>1049421.3333333333</v>
      </c>
      <c r="O46" s="1164">
        <f>'Abril - 2016'!I$24</f>
        <v>1E-3</v>
      </c>
      <c r="P46" s="1118">
        <f t="shared" si="58"/>
        <v>2122960.355215075</v>
      </c>
      <c r="Q46" s="1118">
        <f>'Abril - 2016'!M$24</f>
        <v>2239008.1475</v>
      </c>
      <c r="R46" s="1117" t="str">
        <f>'Abril - 2016'!H$10</f>
        <v>FE86</v>
      </c>
      <c r="S46" s="1303">
        <f>'Abril - 2016'!I$10</f>
        <v>18.546500000000002</v>
      </c>
      <c r="T46" s="1106">
        <f>'Abril - 2016'!V80</f>
        <v>2140595</v>
      </c>
      <c r="U46" s="1107">
        <f>'Abril - 2016'!W80</f>
        <v>2122169.958277096</v>
      </c>
      <c r="V46" s="1107">
        <f t="shared" ref="V46:V71" si="62">T46-U46</f>
        <v>18425.041722903959</v>
      </c>
      <c r="W46" s="1107" t="e">
        <f t="shared" si="59"/>
        <v>#VALUE!</v>
      </c>
      <c r="X46" s="1108">
        <f t="shared" ref="X46:X71" si="63">Q46/L46</f>
        <v>74633.604916666663</v>
      </c>
      <c r="Y46" s="1109">
        <f t="shared" si="51"/>
        <v>31482640</v>
      </c>
      <c r="Z46" s="1109">
        <f t="shared" si="52"/>
        <v>2239008.1475</v>
      </c>
      <c r="AA46" s="1110">
        <f t="shared" si="53"/>
        <v>29243631.852499999</v>
      </c>
      <c r="AB46" s="1111">
        <f t="shared" si="54"/>
        <v>7.1118818101023287E-2</v>
      </c>
      <c r="AC46" s="1112">
        <f t="shared" si="55"/>
        <v>0.92888118189897673</v>
      </c>
    </row>
    <row r="47" spans="2:29" hidden="1" x14ac:dyDescent="0.25">
      <c r="B47" s="1113">
        <f t="shared" si="13"/>
        <v>2016</v>
      </c>
      <c r="C47" s="1114">
        <v>42491</v>
      </c>
      <c r="D47" s="1146">
        <f>'Mayo - 2016'!$M$35</f>
        <v>86338536.585671991</v>
      </c>
      <c r="E47" s="1147">
        <f>'Mayo - 2016'!$M$45</f>
        <v>38935.796094999998</v>
      </c>
      <c r="F47" s="1305">
        <f t="shared" si="60"/>
        <v>86377472.38176699</v>
      </c>
      <c r="G47" s="1120">
        <f>'Mayo - 2016'!$L$35</f>
        <v>4627948.08</v>
      </c>
      <c r="H47" s="1121">
        <f>'Mayo - 2016'!$L$45</f>
        <v>2087.0500000000002</v>
      </c>
      <c r="I47" s="1304">
        <f t="shared" si="61"/>
        <v>4630035.13</v>
      </c>
      <c r="J47" s="1115">
        <f>'Mayo - 2016'!$H$24</f>
        <v>0.14699999999999999</v>
      </c>
      <c r="K47" s="1116">
        <f>'Mayo - 2016'!$I$24</f>
        <v>1E-3</v>
      </c>
      <c r="L47" s="1104">
        <f t="shared" si="47"/>
        <v>31</v>
      </c>
      <c r="M47" s="1153">
        <f>'Mayo - 2016'!F$24</f>
        <v>31482640</v>
      </c>
      <c r="N47" s="1105">
        <f t="shared" si="48"/>
        <v>1015569.0322580645</v>
      </c>
      <c r="O47" s="1164">
        <f>'Mayo - 2016'!I$24</f>
        <v>1E-3</v>
      </c>
      <c r="P47" s="1118">
        <f t="shared" si="58"/>
        <v>2174284.1785943266</v>
      </c>
      <c r="Q47" s="1118">
        <f>'Mayo - 2016'!M$24</f>
        <v>2293137.4949579998</v>
      </c>
      <c r="R47" s="1117" t="str">
        <f>'Mayo - 2016'!H$10</f>
        <v>FE 92</v>
      </c>
      <c r="S47" s="1303">
        <f>'Mayo - 2016'!I$10</f>
        <v>18.655899999999999</v>
      </c>
      <c r="T47" s="1106">
        <f>'Mayo - 2016'!V80</f>
        <v>2261605</v>
      </c>
      <c r="U47" s="1107">
        <f>'Mayo - 2016'!W80</f>
        <v>2173474.673342458</v>
      </c>
      <c r="V47" s="1107">
        <f t="shared" si="62"/>
        <v>88130.326657542028</v>
      </c>
      <c r="W47" s="1107" t="e">
        <f t="shared" si="59"/>
        <v>#VALUE!</v>
      </c>
      <c r="X47" s="1108">
        <f t="shared" si="63"/>
        <v>73972.177256709678</v>
      </c>
      <c r="Y47" s="1109">
        <f t="shared" si="51"/>
        <v>31482640</v>
      </c>
      <c r="Z47" s="1109">
        <f t="shared" si="52"/>
        <v>2293137.4949579998</v>
      </c>
      <c r="AA47" s="1110">
        <f t="shared" si="53"/>
        <v>29189502.505042002</v>
      </c>
      <c r="AB47" s="1111">
        <f t="shared" si="54"/>
        <v>7.2838157630935652E-2</v>
      </c>
      <c r="AC47" s="1112">
        <f t="shared" si="55"/>
        <v>0.9271618423690644</v>
      </c>
    </row>
    <row r="48" spans="2:29" hidden="1" x14ac:dyDescent="0.25">
      <c r="B48" s="1113">
        <f t="shared" si="13"/>
        <v>2016</v>
      </c>
      <c r="C48" s="1114">
        <v>42522</v>
      </c>
      <c r="D48" s="1146">
        <f>'Junio - 2016'!$M$35</f>
        <v>87931013.519999996</v>
      </c>
      <c r="E48" s="1147">
        <f>'Junio - 2016'!$M$45</f>
        <v>38716.870000000003</v>
      </c>
      <c r="F48" s="1305">
        <f t="shared" si="60"/>
        <v>87969730.390000001</v>
      </c>
      <c r="G48" s="1120">
        <f>'Junio - 2016'!$L$35</f>
        <v>4627948.08</v>
      </c>
      <c r="H48" s="1121">
        <f>'Junio - 2016'!$L$45</f>
        <v>2037.73</v>
      </c>
      <c r="I48" s="1304">
        <f t="shared" si="61"/>
        <v>4629985.8100000005</v>
      </c>
      <c r="J48" s="1115">
        <f>'Junio - 2016'!$H$24</f>
        <v>0.14699999999999999</v>
      </c>
      <c r="K48" s="1116">
        <f>'Junio - 2016'!$I$24</f>
        <v>1E-3</v>
      </c>
      <c r="L48" s="1104">
        <f t="shared" si="47"/>
        <v>30</v>
      </c>
      <c r="M48" s="1153">
        <f>'Junio - 2016'!F$24</f>
        <v>31482640</v>
      </c>
      <c r="N48" s="1105">
        <f t="shared" si="48"/>
        <v>1049421.3333333333</v>
      </c>
      <c r="O48" s="1164">
        <f>'Junio - 2016'!I$24</f>
        <v>1E-3</v>
      </c>
      <c r="P48" s="1118">
        <f t="shared" si="58"/>
        <v>2103397.4789993395</v>
      </c>
      <c r="Q48" s="1118">
        <f>'Junio - 2016'!M$24</f>
        <v>2218375.9019999998</v>
      </c>
      <c r="R48" s="1117" t="str">
        <f>'Junio - 2016'!H$10</f>
        <v>FE 99</v>
      </c>
      <c r="S48" s="1303">
        <f>'Junio - 2016'!I$10</f>
        <v>19</v>
      </c>
      <c r="T48" s="1106">
        <f>'Junio - 2016'!V80</f>
        <v>2155691</v>
      </c>
      <c r="U48" s="1107">
        <f>'Junio - 2016'!W80</f>
        <v>2102614.3654933954</v>
      </c>
      <c r="V48" s="1107">
        <f t="shared" si="62"/>
        <v>53076.634506604634</v>
      </c>
      <c r="W48" s="1107" t="e">
        <f t="shared" si="59"/>
        <v>#VALUE!</v>
      </c>
      <c r="X48" s="1108">
        <f t="shared" si="63"/>
        <v>73945.863399999987</v>
      </c>
      <c r="Y48" s="1109">
        <f t="shared" si="51"/>
        <v>31482640</v>
      </c>
      <c r="Z48" s="1109">
        <f t="shared" si="52"/>
        <v>2218375.9019999998</v>
      </c>
      <c r="AA48" s="1110">
        <f t="shared" si="53"/>
        <v>29264264.098000001</v>
      </c>
      <c r="AB48" s="1111">
        <f t="shared" si="54"/>
        <v>7.0463465008017104E-2</v>
      </c>
      <c r="AC48" s="1112">
        <f t="shared" si="55"/>
        <v>0.92953653499198285</v>
      </c>
    </row>
    <row r="49" spans="2:43" hidden="1" x14ac:dyDescent="0.25">
      <c r="B49" s="1113">
        <f t="shared" si="13"/>
        <v>2016</v>
      </c>
      <c r="C49" s="1114">
        <v>42552</v>
      </c>
      <c r="D49" s="1146">
        <f>'Julio - 2016'!$M$35</f>
        <v>87931013.519999996</v>
      </c>
      <c r="E49" s="1147">
        <f>'Julio - 2016'!$M$45</f>
        <v>41116.570000000007</v>
      </c>
      <c r="F49" s="1305">
        <f t="shared" si="60"/>
        <v>87972130.089999989</v>
      </c>
      <c r="G49" s="1120">
        <f>'Julio - 2016'!$L$35</f>
        <v>4627948.08</v>
      </c>
      <c r="H49" s="1121">
        <f>'Julio - 2016'!$L$45</f>
        <v>2164.0300000000002</v>
      </c>
      <c r="I49" s="1304">
        <f t="shared" si="61"/>
        <v>4630112.1100000003</v>
      </c>
      <c r="J49" s="1115">
        <f>'Julio - 2016'!$H$24</f>
        <v>0.14699999999999999</v>
      </c>
      <c r="K49" s="1116">
        <f>'Julio - 2016'!$I$24</f>
        <v>1E-3</v>
      </c>
      <c r="L49" s="1104">
        <f t="shared" si="47"/>
        <v>31</v>
      </c>
      <c r="M49" s="1153">
        <f>'Julio - 2016'!F$24</f>
        <v>31482640</v>
      </c>
      <c r="N49" s="1105">
        <f t="shared" si="48"/>
        <v>1015569.0322580645</v>
      </c>
      <c r="O49" s="1164">
        <f>'Julio - 2016'!I$24</f>
        <v>1E-3</v>
      </c>
      <c r="P49" s="1118">
        <f t="shared" si="58"/>
        <v>2205160.4168555904</v>
      </c>
      <c r="Q49" s="1118">
        <f>'Julio - 2016'!M$24</f>
        <v>2325701.5270000007</v>
      </c>
      <c r="R49" s="1117" t="str">
        <f>'Julio - 2016'!H$10</f>
        <v>FE 105</v>
      </c>
      <c r="S49" s="1303">
        <f>'Julio - 2016'!I$10</f>
        <v>19</v>
      </c>
      <c r="T49" s="1106">
        <f>'Julio - 2016'!V80</f>
        <v>2282504</v>
      </c>
      <c r="U49" s="1107">
        <f>'Julio - 2016'!W80</f>
        <v>2204339.4161068229</v>
      </c>
      <c r="V49" s="1107">
        <f t="shared" si="62"/>
        <v>78164.5838931771</v>
      </c>
      <c r="W49" s="1107" t="e">
        <f t="shared" si="59"/>
        <v>#VALUE!</v>
      </c>
      <c r="X49" s="1108">
        <f t="shared" si="63"/>
        <v>75022.629903225825</v>
      </c>
      <c r="Y49" s="1109">
        <f t="shared" si="51"/>
        <v>31482640</v>
      </c>
      <c r="Z49" s="1109">
        <f t="shared" si="52"/>
        <v>2325701.5270000007</v>
      </c>
      <c r="AA49" s="1110">
        <f t="shared" si="53"/>
        <v>29156938.472999997</v>
      </c>
      <c r="AB49" s="1111">
        <f t="shared" si="54"/>
        <v>7.3872506467056148E-2</v>
      </c>
      <c r="AC49" s="1112">
        <f t="shared" si="55"/>
        <v>0.92612749353294388</v>
      </c>
    </row>
    <row r="50" spans="2:43" hidden="1" x14ac:dyDescent="0.25">
      <c r="B50" s="1113">
        <f t="shared" si="13"/>
        <v>2016</v>
      </c>
      <c r="C50" s="1114">
        <v>42583</v>
      </c>
      <c r="D50" s="1146">
        <f>'Agosto - 2016'!$M$35</f>
        <v>87931013.519999996</v>
      </c>
      <c r="E50" s="1147">
        <f>'Agosto - 2016'!$M$45</f>
        <v>40720.230000000003</v>
      </c>
      <c r="F50" s="1305">
        <f t="shared" si="60"/>
        <v>87971733.75</v>
      </c>
      <c r="G50" s="1120">
        <f>'Agosto - 2016'!$L$35</f>
        <v>4627948.08</v>
      </c>
      <c r="H50" s="1121">
        <f>'Agosto - 2016'!$L$45</f>
        <v>2143.17</v>
      </c>
      <c r="I50" s="1304">
        <f t="shared" si="61"/>
        <v>4630091.25</v>
      </c>
      <c r="J50" s="1115">
        <f>'Agosto - 2016'!$H$24</f>
        <v>0.14699999999999999</v>
      </c>
      <c r="K50" s="1116">
        <f>'Agosto - 2016'!$I$24</f>
        <v>1E-3</v>
      </c>
      <c r="L50" s="1104">
        <f t="shared" si="47"/>
        <v>31</v>
      </c>
      <c r="M50" s="1153">
        <f>'Agosto - 2016'!F$24</f>
        <v>31482640</v>
      </c>
      <c r="N50" s="1105">
        <f t="shared" si="48"/>
        <v>1015569.0322580645</v>
      </c>
      <c r="O50" s="1164">
        <f>'Agosto - 2016'!I$24</f>
        <v>1E-3</v>
      </c>
      <c r="P50" s="1118">
        <f t="shared" si="58"/>
        <v>2185066.6090556742</v>
      </c>
      <c r="Q50" s="1118">
        <f>'Agosto - 2016'!M$24</f>
        <v>2304509.3274999992</v>
      </c>
      <c r="R50" s="1117" t="str">
        <f>'Agosto - 2016'!H$10</f>
        <v>FE 112</v>
      </c>
      <c r="S50" s="1303">
        <f>'Agosto - 2016'!I$10</f>
        <v>19</v>
      </c>
      <c r="T50" s="1106">
        <f>'Agosto - 2016'!V80</f>
        <v>2086000</v>
      </c>
      <c r="U50" s="1107">
        <f>'Agosto - 2016'!W80</f>
        <v>2184253.089409472</v>
      </c>
      <c r="V50" s="1107">
        <f t="shared" si="62"/>
        <v>-98253.089409471955</v>
      </c>
      <c r="W50" s="1107" t="e">
        <f t="shared" si="59"/>
        <v>#VALUE!</v>
      </c>
      <c r="X50" s="1108">
        <f t="shared" si="63"/>
        <v>74339.010564516109</v>
      </c>
      <c r="Y50" s="1109">
        <f t="shared" si="51"/>
        <v>31482640</v>
      </c>
      <c r="Z50" s="1109">
        <f t="shared" si="52"/>
        <v>2304509.3274999992</v>
      </c>
      <c r="AA50" s="1110">
        <f t="shared" si="53"/>
        <v>29178130.672499999</v>
      </c>
      <c r="AB50" s="1111">
        <f t="shared" si="54"/>
        <v>7.3199367254461481E-2</v>
      </c>
      <c r="AC50" s="1112">
        <f t="shared" si="55"/>
        <v>0.92680063274553848</v>
      </c>
    </row>
    <row r="51" spans="2:43" hidden="1" x14ac:dyDescent="0.25">
      <c r="B51" s="1113">
        <f t="shared" si="13"/>
        <v>2016</v>
      </c>
      <c r="C51" s="1114">
        <v>42614</v>
      </c>
      <c r="D51" s="1146">
        <f>'Septiembre - 2016'!$M$35</f>
        <v>86302438.590647995</v>
      </c>
      <c r="E51" s="1147">
        <f>'Septiembre - 2016'!$M$45</f>
        <v>37355.687439000001</v>
      </c>
      <c r="F51" s="1305">
        <f t="shared" si="60"/>
        <v>86339794.27808699</v>
      </c>
      <c r="G51" s="1120">
        <f>'Septiembre - 2016'!$L$35</f>
        <v>4627948.08</v>
      </c>
      <c r="H51" s="1121">
        <f>'Septiembre - 2016'!$L$45</f>
        <v>2003.19</v>
      </c>
      <c r="I51" s="1304">
        <f t="shared" si="61"/>
        <v>4629951.2700000005</v>
      </c>
      <c r="J51" s="1115">
        <f>'Septiembre - 2016'!$H$24</f>
        <v>0.14699999999999999</v>
      </c>
      <c r="K51" s="1116">
        <f>'Septiembre - 2016'!$I$24</f>
        <v>1E-3</v>
      </c>
      <c r="L51" s="1104">
        <f t="shared" si="47"/>
        <v>30</v>
      </c>
      <c r="M51" s="1153">
        <f>'Septiembre - 2016'!F$24</f>
        <v>31482640</v>
      </c>
      <c r="N51" s="1105">
        <f t="shared" si="48"/>
        <v>1049421.3333333333</v>
      </c>
      <c r="O51" s="1164">
        <f>'Septiembre - 2016'!I$24</f>
        <v>1E-3</v>
      </c>
      <c r="P51" s="1118">
        <f t="shared" si="58"/>
        <v>2054419.1107053633</v>
      </c>
      <c r="Q51" s="1118">
        <f>'Septiembre - 2016'!M$24</f>
        <v>2166720.2196919997</v>
      </c>
      <c r="R51" s="1117" t="str">
        <f>'Septiembre - 2016'!H$10</f>
        <v>FE118</v>
      </c>
      <c r="S51" s="1303">
        <f>'Septiembre - 2016'!I$10</f>
        <v>18.648099999999999</v>
      </c>
      <c r="T51" s="1106">
        <f>'Septiembre - 2016'!V80</f>
        <v>2150998</v>
      </c>
      <c r="U51" s="1107">
        <f>'Septiembre - 2016'!W80</f>
        <v>2053654.2322796138</v>
      </c>
      <c r="V51" s="1107">
        <f t="shared" si="62"/>
        <v>97343.767720386153</v>
      </c>
      <c r="W51" s="1107" t="e">
        <f t="shared" si="59"/>
        <v>#VALUE!</v>
      </c>
      <c r="X51" s="1108">
        <f t="shared" si="63"/>
        <v>72224.00732306666</v>
      </c>
      <c r="Y51" s="1109">
        <f t="shared" si="51"/>
        <v>31482640</v>
      </c>
      <c r="Z51" s="1109">
        <f t="shared" si="52"/>
        <v>2166720.2196919997</v>
      </c>
      <c r="AA51" s="1110">
        <f t="shared" si="53"/>
        <v>29315919.780308001</v>
      </c>
      <c r="AB51" s="1111">
        <f t="shared" si="54"/>
        <v>6.8822697832583282E-2</v>
      </c>
      <c r="AC51" s="1112">
        <f t="shared" si="55"/>
        <v>0.93117730216741668</v>
      </c>
    </row>
    <row r="52" spans="2:43" hidden="1" x14ac:dyDescent="0.25">
      <c r="B52" s="1113">
        <f t="shared" si="13"/>
        <v>2016</v>
      </c>
      <c r="C52" s="1114">
        <v>42644</v>
      </c>
      <c r="D52" s="1146">
        <f>'Octubre - 2016'!$M$35</f>
        <v>95404686.874391988</v>
      </c>
      <c r="E52" s="1147">
        <f>'Octubre - 2016'!$M$45</f>
        <v>41450.997876999994</v>
      </c>
      <c r="F52" s="1305">
        <f t="shared" si="60"/>
        <v>95446137.87226899</v>
      </c>
      <c r="G52" s="1120">
        <f>'Octubre - 2016'!$L$35</f>
        <v>4627948.08</v>
      </c>
      <c r="H52" s="1121">
        <f>'Octubre - 2016'!$L$45</f>
        <v>2010.73</v>
      </c>
      <c r="I52" s="1304">
        <f t="shared" si="61"/>
        <v>4629958.8100000005</v>
      </c>
      <c r="J52" s="1115">
        <f>'Octubre - 2016'!$H$24</f>
        <v>0.14699999999999999</v>
      </c>
      <c r="K52" s="1116">
        <f>'Octubre - 2016'!$I$24</f>
        <v>1E-3</v>
      </c>
      <c r="L52" s="1104">
        <f t="shared" si="47"/>
        <v>31</v>
      </c>
      <c r="M52" s="1153">
        <f>'Octubre - 2016'!$F$24</f>
        <v>31482640</v>
      </c>
      <c r="N52" s="1105">
        <f t="shared" si="48"/>
        <v>1015569.0322580645</v>
      </c>
      <c r="O52" s="1164">
        <f>'Octubre - 2016'!I$24</f>
        <v>1E-3</v>
      </c>
      <c r="P52" s="1118">
        <f t="shared" si="58"/>
        <v>2053329.1203384928</v>
      </c>
      <c r="Q52" s="1118">
        <f>'Octubre - 2016'!M$24</f>
        <v>2165570.6469709999</v>
      </c>
      <c r="R52" s="1117" t="str">
        <f>'Octubre - 2016'!H$10</f>
        <v>FE123</v>
      </c>
      <c r="S52" s="1303">
        <f>'Octubre - 2016'!I$10</f>
        <v>20.614899999999999</v>
      </c>
      <c r="T52" s="1106">
        <f>'Octubre - 2016'!V80</f>
        <v>2003993</v>
      </c>
      <c r="U52" s="1107">
        <f>'Octubre - 2016'!W80</f>
        <v>2052564.6477258075</v>
      </c>
      <c r="V52" s="1107">
        <f t="shared" si="62"/>
        <v>-48571.647725807503</v>
      </c>
      <c r="W52" s="1107" t="e">
        <f t="shared" si="59"/>
        <v>#VALUE!</v>
      </c>
      <c r="X52" s="1108">
        <f t="shared" si="63"/>
        <v>69857.1176442258</v>
      </c>
      <c r="Y52" s="1109">
        <f t="shared" si="51"/>
        <v>31482640</v>
      </c>
      <c r="Z52" s="1109">
        <f t="shared" si="52"/>
        <v>2165570.6469709999</v>
      </c>
      <c r="AA52" s="1110">
        <f t="shared" si="53"/>
        <v>29317069.353029002</v>
      </c>
      <c r="AB52" s="1111">
        <f t="shared" si="54"/>
        <v>6.8786183336943779E-2</v>
      </c>
      <c r="AC52" s="1112">
        <f t="shared" si="55"/>
        <v>0.93121381666305625</v>
      </c>
    </row>
    <row r="53" spans="2:43" hidden="1" x14ac:dyDescent="0.25">
      <c r="B53" s="1113">
        <f t="shared" si="13"/>
        <v>2016</v>
      </c>
      <c r="C53" s="1114">
        <v>42675</v>
      </c>
      <c r="D53" s="1146">
        <f>'Noviembre - 2016'!$M$35</f>
        <v>95461147.840967998</v>
      </c>
      <c r="E53" s="1147">
        <f>'Noviembre - 2016'!$M$45</f>
        <v>39837.324500999996</v>
      </c>
      <c r="F53" s="1305">
        <f t="shared" si="60"/>
        <v>95500985.165468991</v>
      </c>
      <c r="G53" s="1120">
        <f>'Noviembre - 2016'!$L$35</f>
        <v>4627948.08</v>
      </c>
      <c r="H53" s="1121">
        <f>'Noviembre - 2016'!$L$45</f>
        <v>1931.31</v>
      </c>
      <c r="I53" s="1304">
        <f t="shared" si="61"/>
        <v>4629879.3899999997</v>
      </c>
      <c r="J53" s="1115">
        <f>'Noviembre - 2016'!$H$24</f>
        <v>0.14699999999999999</v>
      </c>
      <c r="K53" s="1116">
        <f>'Noviembre - 2016'!$I$24</f>
        <v>1E-3</v>
      </c>
      <c r="L53" s="1104">
        <f t="shared" si="47"/>
        <v>30</v>
      </c>
      <c r="M53" s="1153">
        <f>'Noviembre - 2016'!$F$24</f>
        <v>31482640</v>
      </c>
      <c r="N53" s="1105">
        <f t="shared" si="48"/>
        <v>1049421.3333333333</v>
      </c>
      <c r="O53" s="1164">
        <f>'Noviembre - 2016'!I$24</f>
        <v>1E-3</v>
      </c>
      <c r="P53" s="1118">
        <f t="shared" si="58"/>
        <v>1974335.0494270094</v>
      </c>
      <c r="Q53" s="1118">
        <f>'Noviembre - 2016'!M$24</f>
        <v>2082258.507891</v>
      </c>
      <c r="R53" s="1117" t="str">
        <f>'Noviembre - 2016'!H$10</f>
        <v>FE 133</v>
      </c>
      <c r="S53" s="1303">
        <f>'Noviembre - 2016'!I$10</f>
        <v>20.627099999999999</v>
      </c>
      <c r="T53" s="1106">
        <f>'Noviembre - 2016'!V80</f>
        <v>1949994</v>
      </c>
      <c r="U53" s="1107">
        <f>'Noviembre - 2016'!W80</f>
        <v>1973599.9870063767</v>
      </c>
      <c r="V53" s="1107">
        <f t="shared" si="62"/>
        <v>-23605.98700637673</v>
      </c>
      <c r="W53" s="1107" t="e">
        <f t="shared" si="59"/>
        <v>#VALUE!</v>
      </c>
      <c r="X53" s="1108">
        <f t="shared" si="63"/>
        <v>69408.616929700001</v>
      </c>
      <c r="Y53" s="1109">
        <f t="shared" si="51"/>
        <v>31482640</v>
      </c>
      <c r="Z53" s="1109">
        <f t="shared" si="52"/>
        <v>2082258.507891</v>
      </c>
      <c r="AA53" s="1110">
        <f t="shared" si="53"/>
        <v>29400381.492109001</v>
      </c>
      <c r="AB53" s="1111">
        <f t="shared" si="54"/>
        <v>6.6139895126044068E-2</v>
      </c>
      <c r="AC53" s="1112">
        <f t="shared" si="55"/>
        <v>0.93386010487395588</v>
      </c>
    </row>
    <row r="54" spans="2:43" hidden="1" x14ac:dyDescent="0.25">
      <c r="B54" s="1113">
        <f t="shared" si="13"/>
        <v>2016</v>
      </c>
      <c r="C54" s="1114">
        <v>42705</v>
      </c>
      <c r="D54" s="1146">
        <f>'Diciembre - 2016'!$M$35</f>
        <v>100427398.925616</v>
      </c>
      <c r="E54" s="1147">
        <f>'Diciembre - 2016'!$M$45</f>
        <v>43032.581609999994</v>
      </c>
      <c r="F54" s="1305">
        <f t="shared" si="60"/>
        <v>100470431.50722599</v>
      </c>
      <c r="G54" s="1120">
        <f>'Diciembre - 2016'!$L$35</f>
        <v>4627948.08</v>
      </c>
      <c r="H54" s="1121">
        <f>'Diciembre - 2016'!$L$45</f>
        <v>1983.05</v>
      </c>
      <c r="I54" s="1304">
        <f t="shared" si="61"/>
        <v>4629931.13</v>
      </c>
      <c r="J54" s="1115">
        <f>'Diciembre - 2016'!$H$24</f>
        <v>0.14699999999999999</v>
      </c>
      <c r="K54" s="1116">
        <f>'Diciembre - 2016'!$I$24</f>
        <v>1E-3</v>
      </c>
      <c r="L54" s="1104">
        <f t="shared" si="47"/>
        <v>31</v>
      </c>
      <c r="M54" s="1153">
        <f>'Diciembre - 2016'!$F$24</f>
        <v>31482640</v>
      </c>
      <c r="N54" s="1105">
        <f t="shared" si="48"/>
        <v>1015569.0322580645</v>
      </c>
      <c r="O54" s="1164">
        <f>'Diciembre - 2016'!I$24</f>
        <v>1E-3</v>
      </c>
      <c r="P54" s="1118">
        <f t="shared" si="58"/>
        <v>2031579.9238968997</v>
      </c>
      <c r="Q54" s="1118">
        <f>'Diciembre - 2016'!M$24</f>
        <v>2142632.5699999998</v>
      </c>
      <c r="R54" s="1117" t="str">
        <f>'Diciembre - 2016'!H$10</f>
        <v>FE 139</v>
      </c>
      <c r="S54" s="1303">
        <f>'Diciembre - 2016'!I$10</f>
        <v>21.700199999999999</v>
      </c>
      <c r="T54" s="1106">
        <f>'Diciembre - 2016'!V$80</f>
        <v>2041986</v>
      </c>
      <c r="U54" s="1107">
        <f>'Diciembre - 2016'!W$80</f>
        <v>2030823.5487026279</v>
      </c>
      <c r="V54" s="1107">
        <f t="shared" si="62"/>
        <v>11162.451297372114</v>
      </c>
      <c r="W54" s="1107" t="e">
        <f t="shared" si="59"/>
        <v>#VALUE!</v>
      </c>
      <c r="X54" s="1108">
        <f t="shared" si="63"/>
        <v>69117.17967741935</v>
      </c>
      <c r="Y54" s="1109">
        <f t="shared" si="51"/>
        <v>31482640</v>
      </c>
      <c r="Z54" s="1109">
        <f t="shared" si="52"/>
        <v>2142632.5699999998</v>
      </c>
      <c r="AA54" s="1110">
        <f t="shared" si="53"/>
        <v>29340007.43</v>
      </c>
      <c r="AB54" s="1111">
        <f t="shared" si="54"/>
        <v>6.8057588880729186E-2</v>
      </c>
      <c r="AC54" s="1112">
        <f t="shared" si="55"/>
        <v>0.93194241111927079</v>
      </c>
    </row>
    <row r="55" spans="2:43" hidden="1" x14ac:dyDescent="0.25">
      <c r="B55" s="1113">
        <f t="shared" si="13"/>
        <v>2017</v>
      </c>
      <c r="C55" s="1114">
        <v>42736</v>
      </c>
      <c r="D55" s="1120">
        <f>'Enero - 2017'!O$35</f>
        <v>91795910.557792008</v>
      </c>
      <c r="E55" s="1121">
        <f>'Enero - 2017'!O$45</f>
        <v>37308.170081000004</v>
      </c>
      <c r="F55" s="1305">
        <f t="shared" ref="F55:F71" si="64">SUM(D55:E55)</f>
        <v>91833218.727873012</v>
      </c>
      <c r="G55" s="1120">
        <f>'Enero - 2017'!E$10</f>
        <v>4659430.72</v>
      </c>
      <c r="H55" s="1121">
        <f>'Enero - 2017'!E$11</f>
        <v>1893.71</v>
      </c>
      <c r="I55" s="1305">
        <f t="shared" si="46"/>
        <v>4661324.43</v>
      </c>
      <c r="J55" s="1115">
        <f>'Enero - 2016'!$H$24</f>
        <v>0.14699999999999999</v>
      </c>
      <c r="K55" s="1116">
        <f>'Enero - 2016'!$I$24</f>
        <v>1E-3</v>
      </c>
      <c r="L55" s="1104">
        <f t="shared" si="47"/>
        <v>31</v>
      </c>
      <c r="M55" s="1153">
        <f>'Noviembre - 2016'!$F$24</f>
        <v>31482640</v>
      </c>
      <c r="N55" s="1105">
        <f t="shared" si="48"/>
        <v>1015569.0322580645</v>
      </c>
      <c r="O55" s="1164">
        <f>'Enero - 2017'!I$24</f>
        <v>1E-3</v>
      </c>
      <c r="P55" s="1118">
        <f t="shared" si="58"/>
        <v>1920480.7848377761</v>
      </c>
      <c r="Q55" s="1118">
        <f>'Enero - 2017'!M$24</f>
        <v>2025460.3972259997</v>
      </c>
      <c r="R55" s="1117" t="str">
        <f>'Enero - 2017'!H$10</f>
        <v>FE 145</v>
      </c>
      <c r="S55" s="1303">
        <f t="shared" ref="S55:S71" si="65">IFERROR(F55/I55,0)</f>
        <v>19.701100000000004</v>
      </c>
      <c r="T55" s="1106">
        <f>'Enero - 2017'!V$80</f>
        <v>2041986</v>
      </c>
      <c r="U55" s="1107">
        <f>'Enero - 2017'!W$80</f>
        <v>2136974.1448556748</v>
      </c>
      <c r="V55" s="1107">
        <f t="shared" si="62"/>
        <v>-94988.144855674822</v>
      </c>
      <c r="W55" s="1107" t="e">
        <f t="shared" si="59"/>
        <v>#VALUE!</v>
      </c>
      <c r="X55" s="1108">
        <f t="shared" si="63"/>
        <v>65337.432168580635</v>
      </c>
      <c r="Y55" s="1109">
        <f t="shared" si="51"/>
        <v>31482640</v>
      </c>
      <c r="Z55" s="1109">
        <f t="shared" si="52"/>
        <v>2025460.3972259997</v>
      </c>
      <c r="AA55" s="1110">
        <f t="shared" si="53"/>
        <v>29457179.602774002</v>
      </c>
      <c r="AB55" s="1111">
        <f t="shared" si="54"/>
        <v>6.4335786237304113E-2</v>
      </c>
      <c r="AC55" s="1112">
        <f t="shared" si="55"/>
        <v>0.93566421376269593</v>
      </c>
    </row>
    <row r="56" spans="2:43" hidden="1" x14ac:dyDescent="0.25">
      <c r="B56" s="1113">
        <f t="shared" si="13"/>
        <v>2017</v>
      </c>
      <c r="C56" s="1114">
        <v>42767</v>
      </c>
      <c r="D56" s="1120">
        <f>'Febrero - 2017'!O$35</f>
        <v>88919178.031264007</v>
      </c>
      <c r="E56" s="1121">
        <f>'Febrero - 2017'!O$45</f>
        <v>33528.534204000003</v>
      </c>
      <c r="F56" s="1305">
        <f t="shared" si="64"/>
        <v>88952706.565468013</v>
      </c>
      <c r="G56" s="1120">
        <f>'Febrero - 2017'!E$10</f>
        <v>4659430.72</v>
      </c>
      <c r="H56" s="1121">
        <f>'Febrero - 2017'!E$11</f>
        <v>1756.92</v>
      </c>
      <c r="I56" s="1305">
        <f t="shared" si="46"/>
        <v>4661187.6399999997</v>
      </c>
      <c r="J56" s="1115">
        <f>'Enero - 2016'!$H$24</f>
        <v>0.14699999999999999</v>
      </c>
      <c r="K56" s="1116">
        <f>'Enero - 2016'!$I$24</f>
        <v>1E-3</v>
      </c>
      <c r="L56" s="1104">
        <f t="shared" si="47"/>
        <v>28</v>
      </c>
      <c r="M56" s="1153">
        <f>'Noviembre - 2016'!$F$24</f>
        <v>31482640</v>
      </c>
      <c r="N56" s="1105">
        <f t="shared" si="48"/>
        <v>1124380</v>
      </c>
      <c r="O56" s="1164">
        <f>'Febrero - 2017'!I$24</f>
        <v>1E-3</v>
      </c>
      <c r="P56" s="1118">
        <f t="shared" si="58"/>
        <v>1760249.8532199194</v>
      </c>
      <c r="Q56" s="1118">
        <f>'Febrero - 2017'!M$24</f>
        <v>1856470.7312190002</v>
      </c>
      <c r="R56" s="1117" t="str">
        <f>'Febrero - 2017'!H$10</f>
        <v>FE 152</v>
      </c>
      <c r="S56" s="1303">
        <f t="shared" si="65"/>
        <v>19.083700000000004</v>
      </c>
      <c r="T56" s="1106">
        <f>'Febrero - 2017'!V$80</f>
        <v>1718997</v>
      </c>
      <c r="U56" s="1107">
        <f>'Febrero - 2017'!W$80</f>
        <v>1958680.5837969934</v>
      </c>
      <c r="V56" s="1107">
        <f t="shared" si="62"/>
        <v>-239683.58379699336</v>
      </c>
      <c r="W56" s="1107" t="e">
        <f t="shared" si="59"/>
        <v>#VALUE!</v>
      </c>
      <c r="X56" s="1108">
        <f t="shared" si="63"/>
        <v>66302.52611496429</v>
      </c>
      <c r="Y56" s="1109">
        <f t="shared" si="51"/>
        <v>31482640</v>
      </c>
      <c r="Z56" s="1109">
        <f t="shared" si="52"/>
        <v>1856470.7312190002</v>
      </c>
      <c r="AA56" s="1110">
        <f t="shared" si="53"/>
        <v>29626169.268780999</v>
      </c>
      <c r="AB56" s="1111">
        <f t="shared" si="54"/>
        <v>5.8968076731144535E-2</v>
      </c>
      <c r="AC56" s="1112">
        <f t="shared" si="55"/>
        <v>0.94103192326885543</v>
      </c>
    </row>
    <row r="57" spans="2:43" hidden="1" x14ac:dyDescent="0.25">
      <c r="B57" s="1113">
        <f t="shared" si="13"/>
        <v>2017</v>
      </c>
      <c r="C57" s="1114">
        <v>42795</v>
      </c>
      <c r="D57" s="1120">
        <f>'Marzo - 2017'!O$35</f>
        <v>87684428.890463993</v>
      </c>
      <c r="E57" s="1121">
        <f>'Marzo - 2017'!O$45</f>
        <v>39668.502290999997</v>
      </c>
      <c r="F57" s="1305">
        <f t="shared" si="64"/>
        <v>87724097.392754987</v>
      </c>
      <c r="G57" s="1120">
        <f>'Marzo - 2017'!E$10</f>
        <v>4659430.72</v>
      </c>
      <c r="H57" s="1121">
        <f>'Marzo - 2017'!E$11</f>
        <v>2107.9299999999998</v>
      </c>
      <c r="I57" s="1305">
        <f t="shared" si="46"/>
        <v>4661538.6499999994</v>
      </c>
      <c r="J57" s="1115">
        <f>'Enero - 2016'!$H$24</f>
        <v>0.14699999999999999</v>
      </c>
      <c r="K57" s="1116">
        <f>'Enero - 2016'!$I$24</f>
        <v>1E-3</v>
      </c>
      <c r="L57" s="1104">
        <f t="shared" si="47"/>
        <v>31</v>
      </c>
      <c r="M57" s="1153">
        <f>'Noviembre - 2016'!$F$24</f>
        <v>31482640</v>
      </c>
      <c r="N57" s="1105">
        <f t="shared" si="48"/>
        <v>1015569.0322580645</v>
      </c>
      <c r="O57" s="1164">
        <f>'Marzo - 2017'!I$24</f>
        <v>1E-3</v>
      </c>
      <c r="P57" s="1118">
        <f t="shared" si="58"/>
        <v>2106398.6281567961</v>
      </c>
      <c r="Q57" s="1118">
        <f>'Marzo - 2017'!M$24</f>
        <v>2221541.1035540001</v>
      </c>
      <c r="R57" s="1117" t="str">
        <f>'Marzo - 2017'!H$10</f>
        <v>FE 159</v>
      </c>
      <c r="S57" s="1303">
        <f t="shared" si="65"/>
        <v>18.8187</v>
      </c>
      <c r="T57" s="1106">
        <f>'Marzo - 2017'!V$80</f>
        <v>2022993</v>
      </c>
      <c r="U57" s="1107">
        <f>'Marzo - 2017'!W$80</f>
        <v>2343850.2705512685</v>
      </c>
      <c r="V57" s="1107">
        <f t="shared" si="62"/>
        <v>-320857.27055126848</v>
      </c>
      <c r="W57" s="1107" t="e">
        <f t="shared" si="59"/>
        <v>#VALUE!</v>
      </c>
      <c r="X57" s="1108">
        <f t="shared" si="63"/>
        <v>71662.616243677418</v>
      </c>
      <c r="Y57" s="1109">
        <f t="shared" si="51"/>
        <v>31482640</v>
      </c>
      <c r="Z57" s="1109">
        <f t="shared" si="52"/>
        <v>2221541.1035540001</v>
      </c>
      <c r="AA57" s="1110">
        <f t="shared" si="53"/>
        <v>29261098.896446001</v>
      </c>
      <c r="AB57" s="1119">
        <f t="shared" si="54"/>
        <v>7.0564003004640025E-2</v>
      </c>
      <c r="AC57" s="1112">
        <f t="shared" si="55"/>
        <v>0.92943599699535995</v>
      </c>
    </row>
    <row r="58" spans="2:43" hidden="1" x14ac:dyDescent="0.25">
      <c r="B58" s="1113">
        <f t="shared" si="13"/>
        <v>2017</v>
      </c>
      <c r="C58" s="1114">
        <v>42826</v>
      </c>
      <c r="D58" s="1120">
        <f>'Abril - 2017'!O$35</f>
        <v>87065656.490848005</v>
      </c>
      <c r="E58" s="1121">
        <f>'Abril - 2017'!O$45</f>
        <v>39513.204140000002</v>
      </c>
      <c r="F58" s="1305">
        <f t="shared" si="64"/>
        <v>87105169.694987997</v>
      </c>
      <c r="G58" s="1120">
        <f>'Abril - 2017'!E$10</f>
        <v>4659430.72</v>
      </c>
      <c r="H58" s="1121">
        <f>'Abril - 2017'!E$11</f>
        <v>2114.6</v>
      </c>
      <c r="I58" s="1305">
        <f t="shared" si="46"/>
        <v>4661545.3199999994</v>
      </c>
      <c r="J58" s="1115">
        <f>'Enero - 2016'!$H$24</f>
        <v>0.14699999999999999</v>
      </c>
      <c r="K58" s="1116">
        <f>'Enero - 2016'!$I$24</f>
        <v>1E-3</v>
      </c>
      <c r="L58" s="1104">
        <f t="shared" si="47"/>
        <v>30</v>
      </c>
      <c r="M58" s="1153">
        <f>'Noviembre - 2016'!$F$24</f>
        <v>31482640</v>
      </c>
      <c r="N58" s="1105">
        <f t="shared" si="48"/>
        <v>1049421.3333333333</v>
      </c>
      <c r="O58" s="1164">
        <f>'Abril - 2017'!I$24</f>
        <v>1E-3</v>
      </c>
      <c r="P58" s="1118">
        <f t="shared" si="58"/>
        <v>2110860.6418544906</v>
      </c>
      <c r="Q58" s="1118">
        <f>'Abril - 2017'!M$24</f>
        <v>2226247.025169</v>
      </c>
      <c r="R58" s="1117" t="str">
        <f>'Abril - 2017'!H$10</f>
        <v>FE 165</v>
      </c>
      <c r="S58" s="1303">
        <f t="shared" si="65"/>
        <v>18.685900000000004</v>
      </c>
      <c r="T58" s="1106">
        <f>'Abril - 2017'!V$80</f>
        <v>2126997</v>
      </c>
      <c r="U58" s="1107">
        <f>'Abril - 2017'!W$80</f>
        <v>2348815.2813867042</v>
      </c>
      <c r="V58" s="1107">
        <f t="shared" si="62"/>
        <v>-221818.28138670418</v>
      </c>
      <c r="W58" s="1107" t="e">
        <f t="shared" si="59"/>
        <v>#VALUE!</v>
      </c>
      <c r="X58" s="1108">
        <f t="shared" si="63"/>
        <v>74208.234172299999</v>
      </c>
      <c r="Y58" s="1109">
        <f t="shared" si="51"/>
        <v>31482640</v>
      </c>
      <c r="Z58" s="1109">
        <f t="shared" si="52"/>
        <v>2226247.025169</v>
      </c>
      <c r="AA58" s="1110">
        <f t="shared" si="53"/>
        <v>29256392.974831</v>
      </c>
      <c r="AB58" s="1119">
        <f t="shared" si="54"/>
        <v>7.0713479719902786E-2</v>
      </c>
      <c r="AC58" s="1112">
        <f t="shared" si="55"/>
        <v>0.92928652028009717</v>
      </c>
    </row>
    <row r="59" spans="2:43" hidden="1" x14ac:dyDescent="0.25">
      <c r="B59" s="1113">
        <f t="shared" si="13"/>
        <v>2017</v>
      </c>
      <c r="C59" s="1114">
        <v>42856</v>
      </c>
      <c r="D59" s="1120">
        <f>'Mayo - 2017'!O$35</f>
        <v>84461500.661439985</v>
      </c>
      <c r="E59" s="1121">
        <f>'Mayo - 2017'!O$45</f>
        <v>39532.449220000002</v>
      </c>
      <c r="F59" s="1305">
        <f t="shared" si="64"/>
        <v>84501033.110659987</v>
      </c>
      <c r="G59" s="1120">
        <f>'Mayo - 2017'!E$10</f>
        <v>4659430.72</v>
      </c>
      <c r="H59" s="1121">
        <f>'Mayo - 2017'!E$11</f>
        <v>2180.86</v>
      </c>
      <c r="I59" s="1305">
        <f t="shared" si="46"/>
        <v>4661611.58</v>
      </c>
      <c r="J59" s="1115">
        <f>'Enero - 2016'!$H$24</f>
        <v>0.14699999999999999</v>
      </c>
      <c r="K59" s="1116">
        <f>'Enero - 2016'!$I$24</f>
        <v>1E-3</v>
      </c>
      <c r="L59" s="1104">
        <f t="shared" si="47"/>
        <v>31</v>
      </c>
      <c r="M59" s="1153">
        <f>'Noviembre - 2016'!$F$24</f>
        <v>31482640</v>
      </c>
      <c r="N59" s="1105">
        <f t="shared" si="48"/>
        <v>1015569.0322580645</v>
      </c>
      <c r="O59" s="1164">
        <f>'Mayo - 2017'!I$24</f>
        <v>1E-3</v>
      </c>
      <c r="P59" s="1118">
        <f t="shared" si="58"/>
        <v>2157824.9676650688</v>
      </c>
      <c r="Q59" s="1118">
        <f>'Mayo - 2017'!M$24</f>
        <v>2275778.5709999991</v>
      </c>
      <c r="R59" s="1117" t="str">
        <f>'Mayo - 2017'!H$10</f>
        <v>FE 168</v>
      </c>
      <c r="S59" s="1303">
        <f t="shared" si="65"/>
        <v>18.126999999999995</v>
      </c>
      <c r="T59" s="1106">
        <f>'Mayo - 2017'!V$80</f>
        <v>2176991</v>
      </c>
      <c r="U59" s="1107">
        <f>'Mayo - 2017'!W$80</f>
        <v>2322860.4457140956</v>
      </c>
      <c r="V59" s="1107">
        <f t="shared" si="62"/>
        <v>-145869.44571409561</v>
      </c>
      <c r="W59" s="1107" t="e">
        <f t="shared" si="59"/>
        <v>#VALUE!</v>
      </c>
      <c r="X59" s="1108">
        <f t="shared" si="63"/>
        <v>73412.21196774191</v>
      </c>
      <c r="Y59" s="1109">
        <f t="shared" si="51"/>
        <v>31482640</v>
      </c>
      <c r="Z59" s="1109">
        <f t="shared" si="52"/>
        <v>2275778.5709999991</v>
      </c>
      <c r="AA59" s="1110">
        <f t="shared" si="53"/>
        <v>29206861.429000001</v>
      </c>
      <c r="AB59" s="1119">
        <f t="shared" si="54"/>
        <v>7.2286776807789915E-2</v>
      </c>
      <c r="AC59" s="1112">
        <f t="shared" si="55"/>
        <v>0.92771322319221006</v>
      </c>
    </row>
    <row r="60" spans="2:43" hidden="1" x14ac:dyDescent="0.25">
      <c r="B60" s="1113">
        <f t="shared" si="13"/>
        <v>2017</v>
      </c>
      <c r="C60" s="1114">
        <v>42887</v>
      </c>
      <c r="D60" s="1120">
        <f>'Junio - 2017'!O$35</f>
        <v>81827990.418496013</v>
      </c>
      <c r="E60" s="1121">
        <f>'Junio - 2017'!O$45</f>
        <v>37866.401923999998</v>
      </c>
      <c r="F60" s="1304">
        <f t="shared" si="64"/>
        <v>81865856.820420012</v>
      </c>
      <c r="G60" s="1120">
        <f>'Junio - 2017'!E$10</f>
        <v>4659430.72</v>
      </c>
      <c r="H60" s="1121">
        <f>'Junio - 2017'!E$11</f>
        <v>2156.1799999999998</v>
      </c>
      <c r="I60" s="1305">
        <f t="shared" si="46"/>
        <v>4661586.8999999994</v>
      </c>
      <c r="J60" s="1115">
        <f>'Enero - 2016'!$H$24</f>
        <v>0.14699999999999999</v>
      </c>
      <c r="K60" s="1116">
        <f>'Enero - 2016'!$I$24</f>
        <v>1E-3</v>
      </c>
      <c r="L60" s="1104">
        <f t="shared" si="47"/>
        <v>30</v>
      </c>
      <c r="M60" s="1153">
        <f>'Noviembre - 2016'!$F$24</f>
        <v>31482640</v>
      </c>
      <c r="N60" s="1105">
        <f t="shared" si="48"/>
        <v>1049421.3333333333</v>
      </c>
      <c r="O60" s="1164">
        <f>'Junio - 2017'!I$24</f>
        <v>1E-3</v>
      </c>
      <c r="P60" s="1118">
        <f t="shared" si="58"/>
        <v>2134510.6197547694</v>
      </c>
      <c r="Q60" s="1118">
        <f>'Junio - 2017'!M$24</f>
        <v>2251189.7863830002</v>
      </c>
      <c r="R60" s="1117" t="str">
        <f>'Junio - 2017'!H$10</f>
        <v>FE 169</v>
      </c>
      <c r="S60" s="1303">
        <f t="shared" si="65"/>
        <v>17.561800000000005</v>
      </c>
      <c r="T60" s="1106">
        <f>'Junio - 2017'!V$80</f>
        <v>2082592</v>
      </c>
      <c r="U60" s="1107">
        <f>'Junio - 2017'!W$80</f>
        <v>2375131.2912621023</v>
      </c>
      <c r="V60" s="1107">
        <f t="shared" si="62"/>
        <v>-292539.29126210231</v>
      </c>
      <c r="W60" s="1107" t="e">
        <f>V60+W59</f>
        <v>#VALUE!</v>
      </c>
      <c r="X60" s="1108">
        <f t="shared" si="63"/>
        <v>75039.659546100011</v>
      </c>
      <c r="Y60" s="1109">
        <f t="shared" si="51"/>
        <v>31482640</v>
      </c>
      <c r="Z60" s="1109">
        <f t="shared" si="52"/>
        <v>2251189.7863830002</v>
      </c>
      <c r="AA60" s="1110">
        <f t="shared" si="53"/>
        <v>29231450.213617001</v>
      </c>
      <c r="AB60" s="1119">
        <f t="shared" si="54"/>
        <v>7.1505750038211538E-2</v>
      </c>
      <c r="AC60" s="1112">
        <f t="shared" si="55"/>
        <v>0.92849424996178842</v>
      </c>
    </row>
    <row r="61" spans="2:43" hidden="1" x14ac:dyDescent="0.25">
      <c r="B61" s="1113">
        <f t="shared" si="13"/>
        <v>2017</v>
      </c>
      <c r="C61" s="1114">
        <v>42917</v>
      </c>
      <c r="D61" s="1120">
        <f>'Julio - 2017'!O$35</f>
        <v>82219382.598976001</v>
      </c>
      <c r="E61" s="1121">
        <f>'Julio - 2017'!O$45</f>
        <v>39161.323940000009</v>
      </c>
      <c r="F61" s="1304">
        <f t="shared" si="64"/>
        <v>82258543.922915995</v>
      </c>
      <c r="G61" s="1120">
        <f>'Julio - 2017'!E$10</f>
        <v>4659430.72</v>
      </c>
      <c r="H61" s="1121">
        <f>'Julio - 2017'!E$11</f>
        <v>2219.3000000000002</v>
      </c>
      <c r="I61" s="1305">
        <f t="shared" si="46"/>
        <v>4661650.0199999996</v>
      </c>
      <c r="J61" s="1115">
        <f>'Enero - 2016'!$H$24</f>
        <v>0.14699999999999999</v>
      </c>
      <c r="K61" s="1116">
        <f>'Enero - 2016'!$I$24</f>
        <v>1E-3</v>
      </c>
      <c r="L61" s="1104">
        <f t="shared" si="47"/>
        <v>31</v>
      </c>
      <c r="M61" s="1153">
        <f>'Noviembre - 2016'!$F$24</f>
        <v>31482640</v>
      </c>
      <c r="N61" s="1105">
        <f t="shared" si="48"/>
        <v>1015569.0322580645</v>
      </c>
      <c r="O61" s="1164">
        <f>'Julio - 2017'!I$24</f>
        <v>1E-3</v>
      </c>
      <c r="P61" s="1118">
        <f t="shared" si="58"/>
        <v>2187921.7397401468</v>
      </c>
      <c r="Q61" s="1118">
        <f>'Julio - 2017'!M$24</f>
        <v>2307520.5287450003</v>
      </c>
      <c r="R61" s="1117" t="str">
        <f>'Julio - 2017'!H$10</f>
        <v>FE 207</v>
      </c>
      <c r="S61" s="1303">
        <f t="shared" si="65"/>
        <v>17.645800000000001</v>
      </c>
      <c r="T61" s="1106">
        <f>'Julio - 2017'!V$80</f>
        <v>2075511</v>
      </c>
      <c r="U61" s="1107">
        <f>'Julio - 2017'!W$80</f>
        <v>2434563.3789755851</v>
      </c>
      <c r="V61" s="1107">
        <f t="shared" si="62"/>
        <v>-359052.3789755851</v>
      </c>
      <c r="W61" s="1107" t="e">
        <f t="shared" si="59"/>
        <v>#VALUE!</v>
      </c>
      <c r="X61" s="1108">
        <f t="shared" si="63"/>
        <v>74436.146088548398</v>
      </c>
      <c r="Y61" s="1109">
        <f t="shared" si="51"/>
        <v>31482640</v>
      </c>
      <c r="Z61" s="1109">
        <f t="shared" si="52"/>
        <v>2307520.5287450003</v>
      </c>
      <c r="AA61" s="1110">
        <f t="shared" si="53"/>
        <v>29175119.471255001</v>
      </c>
      <c r="AB61" s="1119">
        <f t="shared" si="54"/>
        <v>7.3295013656573912E-2</v>
      </c>
      <c r="AC61" s="1112">
        <f t="shared" si="55"/>
        <v>0.92670498634342613</v>
      </c>
      <c r="AP61" s="1082"/>
      <c r="AQ61" s="1082"/>
    </row>
    <row r="62" spans="2:43" hidden="1" x14ac:dyDescent="0.25">
      <c r="B62" s="1113">
        <f t="shared" si="13"/>
        <v>2017</v>
      </c>
      <c r="C62" s="1114">
        <v>42948</v>
      </c>
      <c r="D62" s="1120">
        <f>'Agosto - 2017'!O$35</f>
        <v>84791854.299488008</v>
      </c>
      <c r="E62" s="1121">
        <f>'Agosto - 2017'!O45</f>
        <v>40252.662926000005</v>
      </c>
      <c r="F62" s="1304">
        <f t="shared" si="64"/>
        <v>84832106.962414011</v>
      </c>
      <c r="G62" s="1120">
        <f>'Agosto - 2017'!E$10</f>
        <v>4659430.72</v>
      </c>
      <c r="H62" s="1121">
        <f>'Agosto - 2017'!E$11</f>
        <v>2211.94</v>
      </c>
      <c r="I62" s="1305">
        <f t="shared" si="46"/>
        <v>4661642.66</v>
      </c>
      <c r="J62" s="1115">
        <f>'Enero - 2016'!$H$24</f>
        <v>0.14699999999999999</v>
      </c>
      <c r="K62" s="1116">
        <f>'Enero - 2016'!$I$24</f>
        <v>1E-3</v>
      </c>
      <c r="L62" s="1104">
        <f t="shared" si="47"/>
        <v>31</v>
      </c>
      <c r="M62" s="1153">
        <f>'Noviembre - 2016'!$F$24</f>
        <v>31482640</v>
      </c>
      <c r="N62" s="1105">
        <f t="shared" si="48"/>
        <v>1015569.0322580645</v>
      </c>
      <c r="O62" s="1164">
        <f>'Agosto - 2017'!I$24</f>
        <v>1E-3</v>
      </c>
      <c r="P62" s="1118">
        <f t="shared" si="58"/>
        <v>2184048.9015953131</v>
      </c>
      <c r="Q62" s="1118">
        <f>'Agosto - 2017'!M$24</f>
        <v>2303435.9889000002</v>
      </c>
      <c r="R62" s="1117" t="str">
        <f>'Agosto - 2017'!H$10</f>
        <v>FE 218</v>
      </c>
      <c r="S62" s="1303">
        <f t="shared" si="65"/>
        <v>18.197900000000001</v>
      </c>
      <c r="T62" s="1106">
        <f>'Agosto - 2017'!V80</f>
        <v>2162558</v>
      </c>
      <c r="U62" s="1107">
        <f>'Agosto - 2017'!W80</f>
        <v>2430253.9606932728</v>
      </c>
      <c r="V62" s="1107">
        <f t="shared" si="62"/>
        <v>-267695.96069327276</v>
      </c>
      <c r="W62" s="1107" t="e">
        <f t="shared" si="59"/>
        <v>#VALUE!</v>
      </c>
      <c r="X62" s="1108">
        <f t="shared" si="63"/>
        <v>74304.386738709683</v>
      </c>
      <c r="Y62" s="1109">
        <f t="shared" si="51"/>
        <v>31482640</v>
      </c>
      <c r="Z62" s="1109">
        <f t="shared" si="52"/>
        <v>2303435.9889000002</v>
      </c>
      <c r="AA62" s="1110">
        <f t="shared" si="53"/>
        <v>29179204.011100002</v>
      </c>
      <c r="AB62" s="1119">
        <f t="shared" si="54"/>
        <v>7.3165274224143859E-2</v>
      </c>
      <c r="AC62" s="1112">
        <f t="shared" si="55"/>
        <v>0.92683472577585613</v>
      </c>
      <c r="AP62" s="1082"/>
      <c r="AQ62" s="1082"/>
    </row>
    <row r="63" spans="2:43" hidden="1" x14ac:dyDescent="0.25">
      <c r="B63" s="1113">
        <f t="shared" si="13"/>
        <v>2017</v>
      </c>
      <c r="C63" s="1114">
        <v>42979</v>
      </c>
      <c r="D63" s="1120">
        <f>'Septiembre - 2017'!O$35</f>
        <v>88566459.125759989</v>
      </c>
      <c r="E63" s="1121">
        <f>'Septiembre - 2017'!O$45</f>
        <v>29274.220799999996</v>
      </c>
      <c r="F63" s="1304">
        <f t="shared" si="64"/>
        <v>88595733.346559986</v>
      </c>
      <c r="G63" s="1120">
        <f>'Septiembre - 2017'!E$10</f>
        <v>4659430.72</v>
      </c>
      <c r="H63" s="1121">
        <f>'Septiembre - 2017'!E$11</f>
        <v>1540.1</v>
      </c>
      <c r="I63" s="1305">
        <f t="shared" si="46"/>
        <v>4660970.8199999994</v>
      </c>
      <c r="J63" s="1115">
        <f>'Enero - 2016'!$H$24</f>
        <v>0.14699999999999999</v>
      </c>
      <c r="K63" s="1116">
        <f>'Enero - 2016'!$I$24</f>
        <v>1E-3</v>
      </c>
      <c r="L63" s="1104">
        <f t="shared" si="47"/>
        <v>30</v>
      </c>
      <c r="M63" s="1153">
        <f>'Noviembre - 2016'!$F$24</f>
        <v>31482640</v>
      </c>
      <c r="N63" s="1105">
        <f t="shared" si="48"/>
        <v>1049421.3333333333</v>
      </c>
      <c r="O63" s="1164">
        <f>'Septiembre - 2017'!I$24</f>
        <v>1E-3</v>
      </c>
      <c r="P63" s="1118">
        <f t="shared" si="58"/>
        <v>1518327.1722752801</v>
      </c>
      <c r="Q63" s="1118">
        <f>'Septiembre - 2017'!M$24</f>
        <v>1601323.7840000002</v>
      </c>
      <c r="R63" s="1117" t="str">
        <f>'Septiembre - 2017'!H$10</f>
        <v>FE 224</v>
      </c>
      <c r="S63" s="1303">
        <f t="shared" si="65"/>
        <v>19.007999999999999</v>
      </c>
      <c r="T63" s="1106">
        <f>'Septiembre - 2017'!V80</f>
        <v>1473028</v>
      </c>
      <c r="U63" s="1107">
        <f>'Septiembre - 2017'!W80</f>
        <v>1689486.2662519044</v>
      </c>
      <c r="V63" s="1107">
        <f t="shared" si="62"/>
        <v>-216458.26625190442</v>
      </c>
      <c r="W63" s="1107" t="e">
        <f t="shared" si="59"/>
        <v>#VALUE!</v>
      </c>
      <c r="X63" s="1108">
        <f t="shared" si="63"/>
        <v>53377.459466666674</v>
      </c>
      <c r="Y63" s="1109">
        <f t="shared" si="51"/>
        <v>31482640</v>
      </c>
      <c r="Z63" s="1109">
        <f t="shared" si="52"/>
        <v>1601323.7840000002</v>
      </c>
      <c r="AA63" s="1110">
        <f t="shared" si="53"/>
        <v>29881316.215999998</v>
      </c>
      <c r="AB63" s="1119">
        <f t="shared" si="54"/>
        <v>5.0863707236750162E-2</v>
      </c>
      <c r="AC63" s="1112">
        <f t="shared" si="55"/>
        <v>0.94913629276324984</v>
      </c>
      <c r="AP63" s="1082"/>
      <c r="AQ63" s="1082"/>
    </row>
    <row r="64" spans="2:43" hidden="1" x14ac:dyDescent="0.25">
      <c r="B64" s="1113">
        <f t="shared" si="13"/>
        <v>2017</v>
      </c>
      <c r="C64" s="1114">
        <v>43009</v>
      </c>
      <c r="D64" s="1120">
        <f>'Octubre - 2017'!O$35</f>
        <v>86594588.045056</v>
      </c>
      <c r="E64" s="1121">
        <f>'Octubre - 2017'!O$45</f>
        <v>13323.44312</v>
      </c>
      <c r="F64" s="1304">
        <f t="shared" si="64"/>
        <v>86607911.488176003</v>
      </c>
      <c r="G64" s="1120">
        <f>'Octubre - 2017'!E$10</f>
        <v>4659430.72</v>
      </c>
      <c r="H64" s="1121">
        <f>'Octubre - 2017'!E$11</f>
        <v>716.9</v>
      </c>
      <c r="I64" s="1305">
        <f t="shared" si="46"/>
        <v>4660147.62</v>
      </c>
      <c r="J64" s="1115">
        <f>'Enero - 2016'!$H$24</f>
        <v>0.14699999999999999</v>
      </c>
      <c r="K64" s="1116">
        <f>'Enero - 2016'!$I$24</f>
        <v>1E-3</v>
      </c>
      <c r="L64" s="1104">
        <f t="shared" si="47"/>
        <v>31</v>
      </c>
      <c r="M64" s="1153">
        <f>'Noviembre - 2016'!$F$24</f>
        <v>31482640</v>
      </c>
      <c r="N64" s="1105">
        <f t="shared" si="48"/>
        <v>1015569.0322580645</v>
      </c>
      <c r="O64" s="1164">
        <f>'Octubre - 2017'!I$24</f>
        <v>1E-3</v>
      </c>
      <c r="P64" s="1118">
        <f t="shared" si="58"/>
        <v>742606.60272077366</v>
      </c>
      <c r="Q64" s="1118">
        <f>'Octubre - 2017'!M$24</f>
        <v>783199.85099800001</v>
      </c>
      <c r="R64" s="1117" t="str">
        <f>'Octubre - 2017'!H$10</f>
        <v>233 FE</v>
      </c>
      <c r="S64" s="1303">
        <f t="shared" si="65"/>
        <v>18.584800000000001</v>
      </c>
      <c r="T64" s="1106">
        <f>'Octubre - 2017'!V80</f>
        <v>820574</v>
      </c>
      <c r="U64" s="1107">
        <f>'Octubre - 2017'!W80</f>
        <v>826319.70199454599</v>
      </c>
      <c r="V64" s="1107">
        <f t="shared" si="62"/>
        <v>-5745.7019945459906</v>
      </c>
      <c r="W64" s="1107" t="e">
        <f t="shared" si="59"/>
        <v>#VALUE!</v>
      </c>
      <c r="X64" s="1108">
        <f t="shared" si="63"/>
        <v>25264.511322516129</v>
      </c>
      <c r="Y64" s="1109">
        <f t="shared" si="51"/>
        <v>31482640</v>
      </c>
      <c r="Z64" s="1109">
        <f t="shared" si="52"/>
        <v>783199.85099800001</v>
      </c>
      <c r="AA64" s="1110">
        <f t="shared" si="53"/>
        <v>30699440.149002001</v>
      </c>
      <c r="AB64" s="1119">
        <f t="shared" si="54"/>
        <v>2.4877197433188575E-2</v>
      </c>
      <c r="AC64" s="1112">
        <f t="shared" si="55"/>
        <v>0.97512280256681139</v>
      </c>
      <c r="AP64" s="1082"/>
      <c r="AQ64" s="1082"/>
    </row>
    <row r="65" spans="2:43" hidden="1" x14ac:dyDescent="0.25">
      <c r="B65" s="1113">
        <f t="shared" si="13"/>
        <v>2017</v>
      </c>
      <c r="C65" s="1114">
        <v>43040</v>
      </c>
      <c r="D65" s="1120">
        <f>'Noviembre - 2017'!O$35</f>
        <v>89596659.25795199</v>
      </c>
      <c r="E65" s="1121">
        <f>'Noviembre - 2017'!O$45</f>
        <v>40266.119981999997</v>
      </c>
      <c r="F65" s="1304">
        <f t="shared" si="64"/>
        <v>89636925.377933994</v>
      </c>
      <c r="G65" s="1120">
        <f>'Noviembre - 2017'!E$10</f>
        <v>4659430.72</v>
      </c>
      <c r="H65" s="1121">
        <f>'Noviembre - 2017'!E$11</f>
        <v>2094.02</v>
      </c>
      <c r="I65" s="1304">
        <f t="shared" si="46"/>
        <v>4661524.7399999993</v>
      </c>
      <c r="J65" s="1115">
        <f>'Enero - 2016'!$H$24</f>
        <v>0.14699999999999999</v>
      </c>
      <c r="K65" s="1116">
        <f>'Enero - 2016'!$I$24</f>
        <v>1E-3</v>
      </c>
      <c r="L65" s="1104">
        <f t="shared" si="47"/>
        <v>30</v>
      </c>
      <c r="M65" s="1153">
        <f>'Noviembre - 2016'!$F$24</f>
        <v>31482640</v>
      </c>
      <c r="N65" s="1105">
        <f t="shared" si="48"/>
        <v>1049421.3333333333</v>
      </c>
      <c r="O65" s="1164">
        <f>'Noviembre - 2017'!I$24</f>
        <v>1E-3</v>
      </c>
      <c r="P65" s="1118">
        <f t="shared" si="58"/>
        <v>2052757.0827677997</v>
      </c>
      <c r="Q65" s="1118">
        <f>'Noviembre - 2017'!M$24</f>
        <v>2164967.34</v>
      </c>
      <c r="R65" s="1117" t="str">
        <f>'Noviembre - 2017'!H$10</f>
        <v>241 FE</v>
      </c>
      <c r="S65" s="1303">
        <f t="shared" si="65"/>
        <v>19.229100000000003</v>
      </c>
      <c r="T65" s="1106">
        <f>'Noviembre - 2017'!V80</f>
        <v>2046074</v>
      </c>
      <c r="U65" s="1107">
        <f>'Noviembre - 2017'!W80</f>
        <v>2284161.7818710399</v>
      </c>
      <c r="V65" s="1107">
        <f t="shared" si="62"/>
        <v>-238087.78187103989</v>
      </c>
      <c r="W65" s="1107" t="e">
        <f t="shared" si="59"/>
        <v>#VALUE!</v>
      </c>
      <c r="X65" s="1108">
        <f t="shared" si="63"/>
        <v>72165.577999999994</v>
      </c>
      <c r="Y65" s="1109">
        <f t="shared" si="51"/>
        <v>31482640</v>
      </c>
      <c r="Z65" s="1109">
        <f t="shared" si="52"/>
        <v>2164967.34</v>
      </c>
      <c r="AA65" s="1110">
        <f t="shared" si="53"/>
        <v>29317672.66</v>
      </c>
      <c r="AB65" s="1119">
        <f t="shared" si="54"/>
        <v>6.87670201736576E-2</v>
      </c>
      <c r="AC65" s="1112">
        <f t="shared" si="55"/>
        <v>0.93123297982634234</v>
      </c>
      <c r="AP65" s="1082"/>
      <c r="AQ65" s="1082"/>
    </row>
    <row r="66" spans="2:43" hidden="1" x14ac:dyDescent="0.25">
      <c r="B66" s="1113">
        <f t="shared" si="13"/>
        <v>2017</v>
      </c>
      <c r="C66" s="1114">
        <v>43070</v>
      </c>
      <c r="D66" s="1120">
        <f>'Diciembre - 2017'!O$35</f>
        <v>87186335.746496007</v>
      </c>
      <c r="E66" s="1121">
        <f>'Diciembre - 2017'!O$45</f>
        <v>39467.115678000002</v>
      </c>
      <c r="F66" s="1304">
        <f t="shared" ref="F66" si="66">SUM(D66:E66)</f>
        <v>87225802.862174004</v>
      </c>
      <c r="G66" s="1120">
        <f>'Diciembre - 2017'!E$10</f>
        <v>4659430.72</v>
      </c>
      <c r="H66" s="1121">
        <f>'Diciembre - 2017'!E$11</f>
        <v>2109.21</v>
      </c>
      <c r="I66" s="1304">
        <f t="shared" ref="I66" si="67">G66+H66</f>
        <v>4661539.93</v>
      </c>
      <c r="J66" s="1115">
        <f>'Enero - 2016'!$H$24</f>
        <v>0.14699999999999999</v>
      </c>
      <c r="K66" s="1116">
        <f>'Enero - 2016'!$I$24</f>
        <v>1E-3</v>
      </c>
      <c r="L66" s="1104">
        <f t="shared" ref="L66" si="68">_xlfn.DAYS(C67,C66)</f>
        <v>31</v>
      </c>
      <c r="M66" s="1153">
        <f>'Noviembre - 2016'!$F$24</f>
        <v>31482640</v>
      </c>
      <c r="N66" s="1105">
        <f t="shared" ref="N66" si="69">IFERROR(M66/L66,0)</f>
        <v>1015569.0322580645</v>
      </c>
      <c r="O66" s="1164">
        <f>'Diciembre - 2017'!I$24</f>
        <v>1E-3</v>
      </c>
      <c r="P66" s="1118">
        <f t="shared" si="58"/>
        <v>2057085.9525756815</v>
      </c>
      <c r="Q66" s="1118">
        <f>'Diciembre - 2017'!M$24</f>
        <v>2169532.8396550003</v>
      </c>
      <c r="R66" s="1117" t="str">
        <f>'Diciembre - 2017'!H$10</f>
        <v>250 FE</v>
      </c>
      <c r="S66" s="1303">
        <f t="shared" ref="S66" si="70">IFERROR(F66/I66,0)</f>
        <v>18.711800000000004</v>
      </c>
      <c r="T66" s="1106">
        <f>'Diciembre - 2017'!V81</f>
        <v>0</v>
      </c>
      <c r="U66" s="1107">
        <f>'Diciembre - 2017'!W81</f>
        <v>0</v>
      </c>
      <c r="V66" s="1107">
        <f t="shared" ref="V66" si="71">T66-U66</f>
        <v>0</v>
      </c>
      <c r="W66" s="1107" t="e">
        <f t="shared" ref="W66" si="72">V66+W65</f>
        <v>#VALUE!</v>
      </c>
      <c r="X66" s="1108">
        <f t="shared" ref="X66" si="73">Q66/L66</f>
        <v>69984.930311451622</v>
      </c>
      <c r="Y66" s="1109">
        <f t="shared" ref="Y66" si="74">M66</f>
        <v>31482640</v>
      </c>
      <c r="Z66" s="1109">
        <f t="shared" ref="Z66" si="75">Q66</f>
        <v>2169532.8396550003</v>
      </c>
      <c r="AA66" s="1110">
        <f t="shared" ref="AA66" si="76">Y66-Z66</f>
        <v>29313107.160344999</v>
      </c>
      <c r="AB66" s="1119">
        <f t="shared" ref="AB66" si="77">IFERROR(Z66/Y66,0)</f>
        <v>6.8912036590800529E-2</v>
      </c>
      <c r="AC66" s="1112">
        <f t="shared" ref="AC66" si="78">1-AB66</f>
        <v>0.93108796340919953</v>
      </c>
      <c r="AP66" s="1082"/>
      <c r="AQ66" s="1082"/>
    </row>
    <row r="67" spans="2:43" x14ac:dyDescent="0.25">
      <c r="B67" s="1113">
        <f t="shared" si="13"/>
        <v>2018</v>
      </c>
      <c r="C67" s="1114">
        <v>43101</v>
      </c>
      <c r="D67" s="1120">
        <f>'Enero - 2018'!$N$32</f>
        <v>86506524.804447994</v>
      </c>
      <c r="E67" s="1121">
        <f>'Enero - 2018'!$N$41</f>
        <v>38305.164879999997</v>
      </c>
      <c r="F67" s="1304">
        <f t="shared" si="64"/>
        <v>86544829.969327986</v>
      </c>
      <c r="G67" s="1120">
        <f>'Enero - 2018'!$M$32</f>
        <v>4659430.72</v>
      </c>
      <c r="H67" s="1121">
        <f>'Enero - 2018'!$M$41</f>
        <v>2063.1999999999998</v>
      </c>
      <c r="I67" s="1304">
        <f t="shared" si="46"/>
        <v>4661493.92</v>
      </c>
      <c r="J67" s="2065">
        <f>'Enero - 2018'!$H$21</f>
        <v>0.14799999999999999</v>
      </c>
      <c r="K67" s="2069">
        <f>'Enero - 2018'!$I$21</f>
        <v>1E-3</v>
      </c>
      <c r="L67" s="1104">
        <f t="shared" si="47"/>
        <v>31</v>
      </c>
      <c r="M67" s="1153">
        <v>31482640</v>
      </c>
      <c r="N67" s="1107">
        <f>IFERROR(M67/L67,0)</f>
        <v>1015569.0322580645</v>
      </c>
      <c r="O67" s="1164">
        <f>'Enero - 2018'!$I$21</f>
        <v>1E-3</v>
      </c>
      <c r="P67" s="1118">
        <f t="shared" si="58"/>
        <v>2006660.8405660996</v>
      </c>
      <c r="Q67" s="1118">
        <f>'Enero - 2018'!$K$41</f>
        <v>2116351.3299999996</v>
      </c>
      <c r="R67" s="1117" t="str">
        <f>'Enero - 2018'!$L$15</f>
        <v>257 FE</v>
      </c>
      <c r="S67" s="1743">
        <f t="shared" si="65"/>
        <v>18.565899999999996</v>
      </c>
      <c r="T67" s="1753">
        <f>'Enero - 2018'!$V$89</f>
        <v>2118184</v>
      </c>
      <c r="U67" s="1107">
        <f>'Enero - 2018'!$W$89</f>
        <v>2005913.7429671984</v>
      </c>
      <c r="V67" s="1107">
        <f t="shared" si="62"/>
        <v>112270.25703280163</v>
      </c>
      <c r="W67" s="1107" t="e">
        <f t="shared" si="59"/>
        <v>#VALUE!</v>
      </c>
      <c r="X67" s="1108">
        <f t="shared" si="63"/>
        <v>68269.397741935478</v>
      </c>
      <c r="Y67" s="1109">
        <f t="shared" si="51"/>
        <v>31482640</v>
      </c>
      <c r="Z67" s="1109">
        <f t="shared" si="52"/>
        <v>2116351.3299999996</v>
      </c>
      <c r="AA67" s="1110">
        <f t="shared" si="53"/>
        <v>29366288.670000002</v>
      </c>
      <c r="AB67" s="1119">
        <f t="shared" si="54"/>
        <v>6.7222803741998752E-2</v>
      </c>
      <c r="AC67" s="1754">
        <f t="shared" si="55"/>
        <v>0.93277719625800126</v>
      </c>
      <c r="AP67" s="1082"/>
      <c r="AQ67" s="1082"/>
    </row>
    <row r="68" spans="2:43" x14ac:dyDescent="0.25">
      <c r="B68" s="1113">
        <f t="shared" si="13"/>
        <v>2018</v>
      </c>
      <c r="C68" s="1114">
        <v>43132</v>
      </c>
      <c r="D68" s="1120">
        <f>'Febrero - 2018'!N$32</f>
        <v>86665877.335072011</v>
      </c>
      <c r="E68" s="1121">
        <f>'Febrero - 2018'!N$41</f>
        <v>36471.262081000001</v>
      </c>
      <c r="F68" s="1304">
        <f t="shared" si="64"/>
        <v>86702348.597153008</v>
      </c>
      <c r="G68" s="1120">
        <f>'Febrero - 2018'!M$32</f>
        <v>4659430.72</v>
      </c>
      <c r="H68" s="1121">
        <f>'Febrero - 2018'!M$41</f>
        <v>1960.81</v>
      </c>
      <c r="I68" s="1304">
        <f t="shared" si="46"/>
        <v>4661391.5299999993</v>
      </c>
      <c r="J68" s="2065">
        <f>'Febrero - 2018'!H$21</f>
        <v>0.14799999999999999</v>
      </c>
      <c r="K68" s="2069">
        <f>'Febrero - 2018'!$I$21</f>
        <v>1E-3</v>
      </c>
      <c r="L68" s="1104">
        <f t="shared" si="47"/>
        <v>28</v>
      </c>
      <c r="M68" s="1153">
        <v>31482640</v>
      </c>
      <c r="N68" s="1107">
        <f>IFERROR(M68/L68,0)</f>
        <v>1124380</v>
      </c>
      <c r="O68" s="1164">
        <f>'Febrero - 2018'!$I$21</f>
        <v>1E-3</v>
      </c>
      <c r="P68" s="1118">
        <f t="shared" si="58"/>
        <v>1893014.7393648999</v>
      </c>
      <c r="Q68" s="1118">
        <f>'Febrero - 2018'!K41</f>
        <v>1996492.97</v>
      </c>
      <c r="R68" s="1117" t="str">
        <f>'Febrero - 2018'!L16</f>
        <v xml:space="preserve">264FE </v>
      </c>
      <c r="S68" s="1743">
        <f t="shared" si="65"/>
        <v>18.600100000000005</v>
      </c>
      <c r="T68" s="1753">
        <f>'Febrero - 2018'!V$89</f>
        <v>2083290</v>
      </c>
      <c r="U68" s="1107">
        <f>'Febrero - 2018'!W$89</f>
        <v>1892309.9532157534</v>
      </c>
      <c r="V68" s="1107">
        <f t="shared" si="62"/>
        <v>190980.04678424657</v>
      </c>
      <c r="W68" s="1107" t="e">
        <f t="shared" si="59"/>
        <v>#VALUE!</v>
      </c>
      <c r="X68" s="1108">
        <f t="shared" si="63"/>
        <v>71303.32035714286</v>
      </c>
      <c r="Y68" s="1109">
        <f t="shared" si="51"/>
        <v>31482640</v>
      </c>
      <c r="Z68" s="1109">
        <f t="shared" si="52"/>
        <v>1996492.97</v>
      </c>
      <c r="AA68" s="1110">
        <f t="shared" si="53"/>
        <v>29486147.030000001</v>
      </c>
      <c r="AB68" s="1119">
        <f t="shared" si="54"/>
        <v>6.3415678291274175E-2</v>
      </c>
      <c r="AC68" s="1754">
        <f t="shared" si="55"/>
        <v>0.93658432170872585</v>
      </c>
      <c r="AP68" s="1082"/>
      <c r="AQ68" s="1082"/>
    </row>
    <row r="69" spans="2:43" x14ac:dyDescent="0.25">
      <c r="B69" s="1113">
        <f t="shared" si="13"/>
        <v>2018</v>
      </c>
      <c r="C69" s="1114">
        <v>43160</v>
      </c>
      <c r="D69" s="1120">
        <f>'Marzo - 2018'!N$32</f>
        <v>87662063.623007998</v>
      </c>
      <c r="E69" s="1121">
        <f>'Marzo - 2018'!N$41</f>
        <v>40997.557629000003</v>
      </c>
      <c r="F69" s="1304">
        <f t="shared" si="64"/>
        <v>87703061.180637002</v>
      </c>
      <c r="G69" s="1120">
        <f>'Marzo - 2018'!M$32</f>
        <v>4659430.72</v>
      </c>
      <c r="H69" s="1121">
        <f>'Marzo - 2018'!M$41</f>
        <v>2179.11</v>
      </c>
      <c r="I69" s="1304">
        <f t="shared" si="46"/>
        <v>4661609.83</v>
      </c>
      <c r="J69" s="2065">
        <f>'Marzo - 2018'!H$21</f>
        <v>0.14799999999999999</v>
      </c>
      <c r="K69" s="2069">
        <f>'Marzo - 2018'!$I$21</f>
        <v>1E-3</v>
      </c>
      <c r="L69" s="1104">
        <f t="shared" si="47"/>
        <v>31</v>
      </c>
      <c r="M69" s="1153">
        <v>31482640</v>
      </c>
      <c r="N69" s="1107">
        <f t="shared" si="48"/>
        <v>1015569.0322580645</v>
      </c>
      <c r="O69" s="1164">
        <f>'Marzo - 2018'!$I$21</f>
        <v>1E-3</v>
      </c>
      <c r="P69" s="1118">
        <f t="shared" si="58"/>
        <v>2087942.2018043003</v>
      </c>
      <c r="Q69" s="1118">
        <f>'Marzo - 2018'!K41</f>
        <v>2202075.7900000005</v>
      </c>
      <c r="R69" s="1117" t="str">
        <f>'Marzo - 2018'!L16</f>
        <v>271 FE</v>
      </c>
      <c r="S69" s="1743">
        <f t="shared" si="65"/>
        <v>18.8139</v>
      </c>
      <c r="T69" s="1753">
        <f>'Marzo - 2018'!V$89</f>
        <v>4428048.1035540011</v>
      </c>
      <c r="U69" s="1107">
        <f>'Marzo - 2018'!W$89</f>
        <v>2087164.8424349036</v>
      </c>
      <c r="V69" s="1107">
        <f t="shared" si="62"/>
        <v>2340883.2611190975</v>
      </c>
      <c r="W69" s="1107" t="e">
        <f t="shared" si="59"/>
        <v>#VALUE!</v>
      </c>
      <c r="X69" s="1108">
        <f t="shared" si="63"/>
        <v>71034.702903225829</v>
      </c>
      <c r="Y69" s="1109">
        <f t="shared" si="51"/>
        <v>31482640</v>
      </c>
      <c r="Z69" s="1109">
        <f t="shared" si="52"/>
        <v>2202075.7900000005</v>
      </c>
      <c r="AA69" s="1110">
        <f t="shared" si="53"/>
        <v>29280564.210000001</v>
      </c>
      <c r="AB69" s="1119">
        <f t="shared" si="54"/>
        <v>6.9945715797658667E-2</v>
      </c>
      <c r="AC69" s="1754">
        <f t="shared" si="55"/>
        <v>0.93005428420234137</v>
      </c>
      <c r="AP69" s="1082"/>
      <c r="AQ69" s="1082"/>
    </row>
    <row r="70" spans="2:43" x14ac:dyDescent="0.25">
      <c r="B70" s="1113">
        <f t="shared" si="13"/>
        <v>2018</v>
      </c>
      <c r="C70" s="1114">
        <v>43191</v>
      </c>
      <c r="D70" s="1120">
        <f>'Abril - 2018'!N$32</f>
        <v>91142192.427776009</v>
      </c>
      <c r="E70" s="1121">
        <f>'Abril - 2018'!N$41</f>
        <v>42363.020168000003</v>
      </c>
      <c r="F70" s="1304">
        <f t="shared" si="64"/>
        <v>91184555.447944015</v>
      </c>
      <c r="G70" s="1120">
        <f>'Abril - 2018'!M$32</f>
        <v>4659430.72</v>
      </c>
      <c r="H70" s="1121">
        <f>'Abril - 2018'!M$41</f>
        <v>2165.71</v>
      </c>
      <c r="I70" s="1304">
        <f t="shared" si="46"/>
        <v>4661596.43</v>
      </c>
      <c r="J70" s="2065">
        <f>'Abril - 2018'!H$21</f>
        <v>0.14799999999999999</v>
      </c>
      <c r="K70" s="2069">
        <f>'Abril - 2018'!$I$21</f>
        <v>1E-3</v>
      </c>
      <c r="L70" s="1104">
        <f t="shared" si="47"/>
        <v>30</v>
      </c>
      <c r="M70" s="1153">
        <v>31482640</v>
      </c>
      <c r="N70" s="1107">
        <f t="shared" si="48"/>
        <v>1049421.3333333333</v>
      </c>
      <c r="O70" s="1164">
        <f>'Abril - 2018'!$I$21</f>
        <v>1E-3</v>
      </c>
      <c r="P70" s="1118">
        <f t="shared" si="58"/>
        <v>2079268.2686870398</v>
      </c>
      <c r="Q70" s="1118">
        <f>'Abril - 2018'!K41</f>
        <v>2192927.7119999998</v>
      </c>
      <c r="R70" s="1117" t="str">
        <f>'Abril - 2018'!L16</f>
        <v>277 FE</v>
      </c>
      <c r="S70" s="1743">
        <f t="shared" si="65"/>
        <v>19.560800000000004</v>
      </c>
      <c r="T70" s="1753">
        <f>'Abril - 2018'!V$89</f>
        <v>2155306</v>
      </c>
      <c r="U70" s="1107">
        <f>'Abril - 2018'!W$89</f>
        <v>2078494.1386997472</v>
      </c>
      <c r="V70" s="1107">
        <f t="shared" si="62"/>
        <v>76811.861300252844</v>
      </c>
      <c r="W70" s="1107" t="e">
        <f t="shared" si="59"/>
        <v>#VALUE!</v>
      </c>
      <c r="X70" s="1108">
        <f t="shared" si="63"/>
        <v>73097.590400000001</v>
      </c>
      <c r="Y70" s="1109">
        <f t="shared" si="51"/>
        <v>31482640</v>
      </c>
      <c r="Z70" s="1109">
        <f t="shared" si="52"/>
        <v>2192927.7119999998</v>
      </c>
      <c r="AA70" s="1110">
        <f t="shared" si="53"/>
        <v>29289712.287999999</v>
      </c>
      <c r="AB70" s="1119">
        <f t="shared" si="54"/>
        <v>6.9655140483771374E-2</v>
      </c>
      <c r="AC70" s="1754">
        <f t="shared" si="55"/>
        <v>0.93034485951622858</v>
      </c>
      <c r="AP70" s="1082"/>
      <c r="AQ70" s="1082"/>
    </row>
    <row r="71" spans="2:43" s="1132" customFormat="1" x14ac:dyDescent="0.25">
      <c r="B71" s="1113">
        <f t="shared" si="13"/>
        <v>2018</v>
      </c>
      <c r="C71" s="1114">
        <v>43221</v>
      </c>
      <c r="D71" s="1168">
        <f>'Mayo - 2018'!$N$43+'Mayo - 2018'!$N$33</f>
        <v>101785973.21639799</v>
      </c>
      <c r="E71" s="1122">
        <f>'Mayo - 2018'!$N$53</f>
        <v>88149.841141186465</v>
      </c>
      <c r="F71" s="1305">
        <f t="shared" si="64"/>
        <v>101874123.05753917</v>
      </c>
      <c r="G71" s="1168">
        <f>'Mayo - 2018'!$M$33+'Mayo - 2018'!$M$43</f>
        <v>5019957.7299999995</v>
      </c>
      <c r="H71" s="1122">
        <f>'Mayo - 2018'!$M$53</f>
        <v>4514.9438796872582</v>
      </c>
      <c r="I71" s="1305">
        <f t="shared" si="46"/>
        <v>5024472.6738796867</v>
      </c>
      <c r="J71" s="2066">
        <f>'Mayo - 2018'!$H$22</f>
        <v>0.14799999999999999</v>
      </c>
      <c r="K71" s="2070">
        <f>'Mayo - 2018'!$I$22</f>
        <v>1.4200000000000001E-2</v>
      </c>
      <c r="L71" s="1123">
        <f t="shared" si="47"/>
        <v>31</v>
      </c>
      <c r="M71" s="1154">
        <v>31482640</v>
      </c>
      <c r="N71" s="1107">
        <f t="shared" si="48"/>
        <v>1015569.0322580645</v>
      </c>
      <c r="O71" s="1165">
        <f>'Mayo - 2018'!$I$22</f>
        <v>1.4200000000000001E-2</v>
      </c>
      <c r="P71" s="1118">
        <f t="shared" si="58"/>
        <v>4310889.1577628851</v>
      </c>
      <c r="Q71" s="1124">
        <f>'Mayo - 2018'!$K$53</f>
        <v>4546536.1251282841</v>
      </c>
      <c r="R71" s="1125" t="str">
        <f>'Mayo - 2018'!$L$17</f>
        <v>286 FE
295 FE</v>
      </c>
      <c r="S71" s="1752">
        <f t="shared" si="65"/>
        <v>20.275585055351936</v>
      </c>
      <c r="T71" s="1755">
        <f>'Mayo - 2018'!$Z$101</f>
        <v>4443010.0608438058</v>
      </c>
      <c r="U71" s="1126">
        <f>'Mayo - 2018'!$AA$101</f>
        <v>-488633.18353690841</v>
      </c>
      <c r="V71" s="1126">
        <f t="shared" si="62"/>
        <v>4931643.2443807144</v>
      </c>
      <c r="W71" s="1126" t="e">
        <f t="shared" si="59"/>
        <v>#VALUE!</v>
      </c>
      <c r="X71" s="1127">
        <f t="shared" si="63"/>
        <v>146662.45564929949</v>
      </c>
      <c r="Y71" s="1128">
        <f t="shared" si="51"/>
        <v>31482640</v>
      </c>
      <c r="Z71" s="1128">
        <f t="shared" si="52"/>
        <v>4546536.1251282841</v>
      </c>
      <c r="AA71" s="1129">
        <f t="shared" si="53"/>
        <v>26936103.874871716</v>
      </c>
      <c r="AB71" s="1130">
        <f t="shared" si="54"/>
        <v>0.14441406836047688</v>
      </c>
      <c r="AC71" s="1756">
        <f t="shared" si="55"/>
        <v>0.85558593163952312</v>
      </c>
      <c r="AD71" s="1131"/>
      <c r="AE71" s="1131"/>
      <c r="AF71" s="1131"/>
      <c r="AG71" s="1131"/>
      <c r="AH71" s="1131"/>
      <c r="AI71" s="1131"/>
      <c r="AJ71" s="1131"/>
      <c r="AK71" s="1131"/>
      <c r="AL71" s="1131"/>
      <c r="AM71" s="1131"/>
      <c r="AN71" s="1131"/>
      <c r="AO71" s="1131"/>
      <c r="AP71" s="1131"/>
      <c r="AQ71" s="1131"/>
    </row>
    <row r="72" spans="2:43" x14ac:dyDescent="0.25">
      <c r="B72" s="1113">
        <f t="shared" si="13"/>
        <v>2018</v>
      </c>
      <c r="C72" s="1114">
        <v>43252</v>
      </c>
      <c r="D72" s="1120">
        <f>'Junio - 2018'!$N$44+'Junio - 2018'!$N$33</f>
        <v>96260291.249025986</v>
      </c>
      <c r="E72" s="1122">
        <f>'Junio - 2018'!$N$54</f>
        <v>113071.12850314719</v>
      </c>
      <c r="F72" s="1305">
        <f t="shared" ref="F72:F73" si="79">SUM(D72:E72)</f>
        <v>96373362.377529129</v>
      </c>
      <c r="G72" s="1168">
        <f>'Junio - 2018'!$M$33+'Junio - 2018'!$M$43</f>
        <v>4659430.72</v>
      </c>
      <c r="H72" s="1122">
        <f>'Junio - 2018'!$M$54</f>
        <v>5988.4216312160552</v>
      </c>
      <c r="I72" s="1305">
        <f t="shared" ref="I72" si="80">G72+H72</f>
        <v>4665419.1416312158</v>
      </c>
      <c r="J72" s="2066">
        <f>'Junio - 2018'!$H$22</f>
        <v>0.14799999999999999</v>
      </c>
      <c r="K72" s="2070">
        <f>'Junio - 2018'!$I$22</f>
        <v>1.4200000000000001E-2</v>
      </c>
      <c r="L72" s="1123">
        <f t="shared" ref="L72" si="81">_xlfn.DAYS(C73,C72)</f>
        <v>30</v>
      </c>
      <c r="M72" s="1154">
        <v>31482640</v>
      </c>
      <c r="N72" s="1107">
        <f t="shared" ref="N72" si="82">IFERROR(M72/L72,0)</f>
        <v>1049421.3333333333</v>
      </c>
      <c r="O72" s="1165">
        <f>'Junio - 2018'!$I$22</f>
        <v>1.4200000000000001E-2</v>
      </c>
      <c r="P72" s="1118">
        <f t="shared" si="58"/>
        <v>5627744.7912543202</v>
      </c>
      <c r="Q72" s="1124">
        <f>'Junio - 2018'!$K$54</f>
        <v>5935375.2926735925</v>
      </c>
      <c r="R72" s="1125" t="str">
        <f>'Junio - 2018'!$L$17</f>
        <v>293 FE  
 296 FE
327 FE</v>
      </c>
      <c r="S72" s="1752">
        <f t="shared" ref="S72" si="83">IFERROR(F72/I72,0)</f>
        <v>20.656956953246688</v>
      </c>
      <c r="T72" s="1755">
        <f>'Junio - 2018'!$Z$101</f>
        <v>5462597.0461474685</v>
      </c>
      <c r="U72" s="1126">
        <f>'Junio - 2018'!$AA$101</f>
        <v>2419068.8729067096</v>
      </c>
      <c r="V72" s="1126">
        <f t="shared" ref="V72" si="84">T72-U72</f>
        <v>3043528.1732407589</v>
      </c>
      <c r="W72" s="1126" t="e">
        <f t="shared" ref="W72" si="85">V72+W71</f>
        <v>#VALUE!</v>
      </c>
      <c r="X72" s="1127">
        <f t="shared" ref="X72" si="86">Q72/L72</f>
        <v>197845.84308911973</v>
      </c>
      <c r="Y72" s="1128">
        <f t="shared" ref="Y72" si="87">M72</f>
        <v>31482640</v>
      </c>
      <c r="Z72" s="1128">
        <f t="shared" ref="Z72" si="88">Q72</f>
        <v>5935375.2926735925</v>
      </c>
      <c r="AA72" s="1129">
        <f t="shared" ref="AA72" si="89">Y72-Z72</f>
        <v>25547264.707326408</v>
      </c>
      <c r="AB72" s="1130">
        <f t="shared" ref="AB72" si="90">IFERROR(Z72/Y72,0)</f>
        <v>0.18852851262389661</v>
      </c>
      <c r="AC72" s="1756">
        <f t="shared" ref="AC72" si="91">1-AB72</f>
        <v>0.81147148737610342</v>
      </c>
      <c r="AP72" s="1082"/>
      <c r="AQ72" s="1082"/>
    </row>
    <row r="73" spans="2:43" x14ac:dyDescent="0.25">
      <c r="B73" s="1113">
        <f t="shared" si="13"/>
        <v>2018</v>
      </c>
      <c r="C73" s="1114">
        <v>43282</v>
      </c>
      <c r="D73" s="1168">
        <f>'Julio - 2018 '!N33+'Julio - 2018 '!N44</f>
        <v>96344803.878220975</v>
      </c>
      <c r="E73" s="1122">
        <f>'Julio - 2018 '!N54</f>
        <v>156876.12953814591</v>
      </c>
      <c r="F73" s="1305">
        <f t="shared" si="79"/>
        <v>96501680.007759124</v>
      </c>
      <c r="G73" s="1168">
        <f>'Julio - 2018 '!$M$33+'Julio - 2018 '!$M$43</f>
        <v>4659430.72</v>
      </c>
      <c r="H73" s="1122">
        <f>'Julio - 2018 '!$M$54</f>
        <v>8179.7131181051409</v>
      </c>
      <c r="I73" s="1305">
        <f t="shared" ref="I73:I78" si="92">G73+H73</f>
        <v>4667610.4331181049</v>
      </c>
      <c r="J73" s="2066">
        <f>'Julio - 2018 '!$H$22</f>
        <v>0.14799999999999999</v>
      </c>
      <c r="K73" s="2070">
        <f>'Julio - 2018 '!$I$22</f>
        <v>1.4200000000000001E-2</v>
      </c>
      <c r="L73" s="1123">
        <f t="shared" ref="L73:L78" si="93">_xlfn.DAYS(C74,C73)</f>
        <v>31</v>
      </c>
      <c r="M73" s="1154">
        <v>31482640</v>
      </c>
      <c r="N73" s="1107">
        <f t="shared" ref="N73:N78" si="94">IFERROR(M73/L73,0)</f>
        <v>1015569.0322580645</v>
      </c>
      <c r="O73" s="1165">
        <f>'Julio - 2018 '!$I$22</f>
        <v>1.4200000000000001E-2</v>
      </c>
      <c r="P73" s="1118">
        <f t="shared" si="58"/>
        <v>7649401.4976764694</v>
      </c>
      <c r="Q73" s="1124">
        <f>'Julio - 2018 '!$K$54</f>
        <v>8067542.2104437705</v>
      </c>
      <c r="R73" s="1125" t="str">
        <f>'Julio - 2018 '!$L$17</f>
        <v>304 FE
 308 FE
328 FE</v>
      </c>
      <c r="S73" s="1752">
        <f t="shared" ref="S73:S78" si="95">IFERROR(F73/I73,0)</f>
        <v>20.674750258301458</v>
      </c>
      <c r="T73" s="1755">
        <f>'Julio - 2018 '!$Z$101</f>
        <v>82998.233999999997</v>
      </c>
      <c r="U73" s="1126">
        <f>'Julio - 2018 '!$AA$101</f>
        <v>87567.778440767986</v>
      </c>
      <c r="V73" s="1126">
        <f t="shared" ref="V73:V78" si="96">T73-U73</f>
        <v>-4569.5444407679897</v>
      </c>
      <c r="W73" s="1126" t="e">
        <f t="shared" ref="W73:W78" si="97">V73+W72</f>
        <v>#VALUE!</v>
      </c>
      <c r="X73" s="1127">
        <f t="shared" ref="X73:X78" si="98">Q73/L73</f>
        <v>260243.29711108937</v>
      </c>
      <c r="Y73" s="1128">
        <f t="shared" ref="Y73:Y78" si="99">M73</f>
        <v>31482640</v>
      </c>
      <c r="Z73" s="1128">
        <f t="shared" ref="Z73:Z78" si="100">Q73</f>
        <v>8067542.2104437705</v>
      </c>
      <c r="AA73" s="1129">
        <f t="shared" ref="AA73:AA78" si="101">Y73-Z73</f>
        <v>23415097.789556228</v>
      </c>
      <c r="AB73" s="1130">
        <f t="shared" ref="AB73:AB78" si="102">IFERROR(Z73/Y73,0)</f>
        <v>0.25625367537296018</v>
      </c>
      <c r="AC73" s="1756">
        <f t="shared" ref="AC73:AC78" si="103">1-AB73</f>
        <v>0.74374632462703982</v>
      </c>
      <c r="AP73" s="1082"/>
      <c r="AQ73" s="1082"/>
    </row>
    <row r="74" spans="2:43" x14ac:dyDescent="0.25">
      <c r="B74" s="1113">
        <f t="shared" si="13"/>
        <v>2018</v>
      </c>
      <c r="C74" s="1114">
        <v>43313</v>
      </c>
      <c r="D74" s="1168">
        <f>'Agosto - 2018'!$N$43+'Agosto - 2018'!$N$33</f>
        <v>96265397.733235985</v>
      </c>
      <c r="E74" s="1122">
        <f>'Agosto - 2018'!$N$54</f>
        <v>158372.79441031817</v>
      </c>
      <c r="F74" s="1305">
        <f t="shared" ref="F74:F78" si="104">SUM(D74:E74)</f>
        <v>96423770.527646303</v>
      </c>
      <c r="G74" s="1168">
        <f>'Agosto - 2018'!$M$33+'Agosto - 2018'!$M$43</f>
        <v>5106484.21</v>
      </c>
      <c r="H74" s="1122">
        <f>'Agosto - 2018'!$M$54</f>
        <v>8307.2999999999993</v>
      </c>
      <c r="I74" s="1305">
        <f t="shared" si="92"/>
        <v>5114791.51</v>
      </c>
      <c r="J74" s="2066">
        <f>'Agosto - 2018'!$H$22</f>
        <v>0.14799999999999999</v>
      </c>
      <c r="K74" s="2070">
        <f>'Agosto - 2018'!$I$22</f>
        <v>1.4200000000000001E-2</v>
      </c>
      <c r="L74" s="1123">
        <f t="shared" si="93"/>
        <v>31</v>
      </c>
      <c r="M74" s="1154">
        <v>31482640</v>
      </c>
      <c r="N74" s="1107">
        <f t="shared" si="94"/>
        <v>1015569.0322580645</v>
      </c>
      <c r="O74" s="1165">
        <f>'Agosto - 2018'!$I$22</f>
        <v>1.4200000000000001E-2</v>
      </c>
      <c r="P74" s="1118">
        <f t="shared" si="58"/>
        <v>7749448.815577792</v>
      </c>
      <c r="Q74" s="1124">
        <f>'Agosto - 2018'!$K$54</f>
        <v>8173058.4342236016</v>
      </c>
      <c r="R74" s="1125" t="str">
        <f>'Agosto - 2018'!$L$17</f>
        <v>314 FE, 316 FE, 326 FE</v>
      </c>
      <c r="S74" s="1752">
        <f t="shared" si="95"/>
        <v>18.851945448632041</v>
      </c>
      <c r="T74" s="1755">
        <f>'Agosto - 2018'!$Z$101</f>
        <v>118116.66790741237</v>
      </c>
      <c r="U74" s="1126">
        <f>'Agosto - 2018'!$AA$101</f>
        <v>144493.08025850935</v>
      </c>
      <c r="V74" s="1126">
        <f t="shared" si="96"/>
        <v>-26376.41235109698</v>
      </c>
      <c r="W74" s="1126" t="e">
        <f t="shared" si="97"/>
        <v>#VALUE!</v>
      </c>
      <c r="X74" s="1127">
        <f t="shared" si="98"/>
        <v>263647.04626527749</v>
      </c>
      <c r="Y74" s="1128">
        <f t="shared" si="99"/>
        <v>31482640</v>
      </c>
      <c r="Z74" s="1128">
        <f t="shared" si="100"/>
        <v>8173058.4342236016</v>
      </c>
      <c r="AA74" s="1129">
        <f t="shared" si="101"/>
        <v>23309581.5657764</v>
      </c>
      <c r="AB74" s="1130">
        <f t="shared" si="102"/>
        <v>0.25960524384942307</v>
      </c>
      <c r="AC74" s="1756">
        <f t="shared" si="103"/>
        <v>0.74039475615057693</v>
      </c>
      <c r="AP74" s="1082"/>
      <c r="AQ74" s="1082"/>
    </row>
    <row r="75" spans="2:43" s="1132" customFormat="1" x14ac:dyDescent="0.25">
      <c r="B75" s="1113">
        <f t="shared" si="13"/>
        <v>2018</v>
      </c>
      <c r="C75" s="1114">
        <v>43344</v>
      </c>
      <c r="D75" s="1168">
        <f>'Septiembre - 2018 '!$N$33+'Septiembre - 2018 '!N44</f>
        <v>99261372.019243002</v>
      </c>
      <c r="E75" s="1122">
        <f>'Septiembre - 2018 '!$N$54</f>
        <v>578419.26450457657</v>
      </c>
      <c r="F75" s="1304">
        <f t="shared" si="104"/>
        <v>99839791.283747584</v>
      </c>
      <c r="G75" s="1120">
        <f>'Septiembre - 2018 '!$M$33+'Septiembre - 2018 '!M44</f>
        <v>5106484.209999999</v>
      </c>
      <c r="H75" s="1121">
        <f>'Septiembre - 2018 '!$M$54</f>
        <v>9195.260000000002</v>
      </c>
      <c r="I75" s="1304">
        <f t="shared" si="92"/>
        <v>5115679.4699999988</v>
      </c>
      <c r="J75" s="2065">
        <f>'Septiembre - 2018 '!$H$22</f>
        <v>0.14799999999999999</v>
      </c>
      <c r="K75" s="2069">
        <f>'Septiembre - 2018 '!$I$22</f>
        <v>1.4200000000000001E-2</v>
      </c>
      <c r="L75" s="1104">
        <f t="shared" si="93"/>
        <v>30</v>
      </c>
      <c r="M75" s="1153">
        <v>31482640</v>
      </c>
      <c r="N75" s="1107">
        <f t="shared" si="94"/>
        <v>1049421.3333333333</v>
      </c>
      <c r="O75" s="1164">
        <f>'Septiembre - 2018 '!$I$22</f>
        <v>1.4200000000000001E-2</v>
      </c>
      <c r="P75" s="1118">
        <f t="shared" si="58"/>
        <v>8649952.2835850641</v>
      </c>
      <c r="Q75" s="1118">
        <f>'Septiembre - 2018 '!$K$54</f>
        <v>9122786.297378175</v>
      </c>
      <c r="R75" s="1117" t="str">
        <f>'Septiembre - 2018 '!$L$15</f>
        <v>322 FE</v>
      </c>
      <c r="S75" s="1743">
        <f t="shared" si="95"/>
        <v>19.516428241691148</v>
      </c>
      <c r="T75" s="1753">
        <f>'Septiembre - 2018 '!$V$89</f>
        <v>115675.121</v>
      </c>
      <c r="U75" s="1107">
        <f>'Septiembre - 2018 '!$W$89</f>
        <v>1.6120336804306135E-2</v>
      </c>
      <c r="V75" s="1107">
        <f t="shared" si="96"/>
        <v>115675.10487966319</v>
      </c>
      <c r="W75" s="1107" t="e">
        <f t="shared" si="97"/>
        <v>#VALUE!</v>
      </c>
      <c r="X75" s="1108">
        <f t="shared" si="98"/>
        <v>304092.8765792725</v>
      </c>
      <c r="Y75" s="1109">
        <f t="shared" si="99"/>
        <v>31482640</v>
      </c>
      <c r="Z75" s="1109">
        <f t="shared" si="100"/>
        <v>9122786.297378175</v>
      </c>
      <c r="AA75" s="1110">
        <f t="shared" si="101"/>
        <v>22359853.702621825</v>
      </c>
      <c r="AB75" s="1119">
        <f t="shared" si="102"/>
        <v>0.28977195995565097</v>
      </c>
      <c r="AC75" s="1754">
        <f t="shared" si="103"/>
        <v>0.71022804004434903</v>
      </c>
      <c r="AD75" s="1131"/>
      <c r="AE75" s="1131"/>
      <c r="AF75" s="1131"/>
      <c r="AG75" s="1131"/>
      <c r="AH75" s="1131"/>
      <c r="AI75" s="1131"/>
      <c r="AJ75" s="1131"/>
      <c r="AK75" s="1131"/>
      <c r="AL75" s="1131"/>
      <c r="AM75" s="1131"/>
      <c r="AN75" s="1131"/>
      <c r="AO75" s="1131"/>
      <c r="AP75" s="1131"/>
      <c r="AQ75" s="1131"/>
    </row>
    <row r="76" spans="2:43" x14ac:dyDescent="0.25">
      <c r="B76" s="1113">
        <f t="shared" si="13"/>
        <v>2018</v>
      </c>
      <c r="C76" s="1114">
        <v>43374</v>
      </c>
      <c r="D76" s="1120">
        <f>'Octubre - 2018  '!N33+'Octubre - 2018  '!N44</f>
        <v>95652043.143175989</v>
      </c>
      <c r="E76" s="1121">
        <f>'Octubre - 2018  '!$N$55</f>
        <v>157455.54227400001</v>
      </c>
      <c r="F76" s="1304">
        <f t="shared" si="104"/>
        <v>95809498.685449988</v>
      </c>
      <c r="G76" s="1120">
        <f>'Octubre - 2018  '!M33+'Octubre - 2018  '!M44</f>
        <v>4666476.88</v>
      </c>
      <c r="H76" s="1121">
        <f>'Octubre - 2018  '!M55</f>
        <v>7681.6200000000008</v>
      </c>
      <c r="I76" s="1304">
        <f t="shared" si="92"/>
        <v>4674158.5</v>
      </c>
      <c r="J76" s="2065">
        <f>'Octubre - 2018  '!$H$22</f>
        <v>0.14799999999999999</v>
      </c>
      <c r="K76" s="2069">
        <f>'Octubre - 2018  '!$I$22</f>
        <v>1.4200000000000001E-2</v>
      </c>
      <c r="L76" s="1104">
        <f t="shared" si="93"/>
        <v>31</v>
      </c>
      <c r="M76" s="1153">
        <v>31482640</v>
      </c>
      <c r="N76" s="1107">
        <f t="shared" si="94"/>
        <v>1015569.0322580645</v>
      </c>
      <c r="O76" s="1164">
        <f>'Octubre - 2018  '!$I$22</f>
        <v>1.4200000000000001E-2</v>
      </c>
      <c r="P76" s="1118">
        <f t="shared" si="58"/>
        <v>7218957.5810756292</v>
      </c>
      <c r="Q76" s="1118">
        <f>'Octubre - 2018  '!$K$55</f>
        <v>7613568.8548210021</v>
      </c>
      <c r="R76" s="1117" t="str">
        <f>'Octubre - 2018  '!$L$15</f>
        <v>336 FE</v>
      </c>
      <c r="S76" s="1743">
        <f t="shared" si="95"/>
        <v>20.497699999999998</v>
      </c>
      <c r="T76" s="1753">
        <f>'Octubre - 2018  '!$W$90</f>
        <v>0</v>
      </c>
      <c r="U76" s="1107">
        <f>'Octubre - 2018  '!$X$90</f>
        <v>0</v>
      </c>
      <c r="V76" s="1107">
        <f t="shared" si="96"/>
        <v>0</v>
      </c>
      <c r="W76" s="1107" t="e">
        <f t="shared" si="97"/>
        <v>#VALUE!</v>
      </c>
      <c r="X76" s="1108">
        <f t="shared" si="98"/>
        <v>245598.99531680651</v>
      </c>
      <c r="Y76" s="1109">
        <f t="shared" si="99"/>
        <v>31482640</v>
      </c>
      <c r="Z76" s="1109">
        <f t="shared" si="100"/>
        <v>7613568.8548210021</v>
      </c>
      <c r="AA76" s="1110">
        <f t="shared" si="101"/>
        <v>23869071.145178996</v>
      </c>
      <c r="AB76" s="1119">
        <f t="shared" si="102"/>
        <v>0.24183387590179864</v>
      </c>
      <c r="AC76" s="1754">
        <f t="shared" si="103"/>
        <v>0.75816612409820139</v>
      </c>
    </row>
    <row r="77" spans="2:43" x14ac:dyDescent="0.25">
      <c r="B77" s="1113">
        <f t="shared" si="13"/>
        <v>2018</v>
      </c>
      <c r="C77" s="1114">
        <v>43405</v>
      </c>
      <c r="D77" s="1120">
        <f>'Noviembre - 2018  '!N33+'Noviembre - 2018  '!N44</f>
        <v>100024791.40863799</v>
      </c>
      <c r="E77" s="1121">
        <f>'Noviembre - 2018  '!$N$55</f>
        <v>107576.1976</v>
      </c>
      <c r="F77" s="1304">
        <f t="shared" si="104"/>
        <v>100132367.60623799</v>
      </c>
      <c r="G77" s="1120">
        <f>'Noviembre - 2018  '!M33+'Noviembre - 2018  '!M44</f>
        <v>5106484.21</v>
      </c>
      <c r="H77" s="1121">
        <f>'Noviembre - 2018  '!M55</f>
        <v>5492</v>
      </c>
      <c r="I77" s="1304">
        <f t="shared" si="92"/>
        <v>5111976.21</v>
      </c>
      <c r="J77" s="2065">
        <f>'Noviembre - 2018  '!$H$22</f>
        <v>0.14799999999999999</v>
      </c>
      <c r="K77" s="2069">
        <f>'Noviembre - 2018  '!$I$22</f>
        <v>1.4200000000000001E-2</v>
      </c>
      <c r="L77" s="1104">
        <f t="shared" si="93"/>
        <v>30</v>
      </c>
      <c r="M77" s="1153">
        <v>31482640</v>
      </c>
      <c r="N77" s="1107">
        <f t="shared" si="94"/>
        <v>1049421.3333333333</v>
      </c>
      <c r="O77" s="1164">
        <f>'Noviembre - 2018  '!$I$22</f>
        <v>1.4200000000000001E-2</v>
      </c>
      <c r="P77" s="1118">
        <f>Q77*0.94817</f>
        <v>5133429.0846088706</v>
      </c>
      <c r="Q77" s="1118">
        <f>'Noviembre - 2018  '!$K$55</f>
        <v>5414038.7110000011</v>
      </c>
      <c r="R77" s="1117" t="str">
        <f>'Noviembre - 2018  '!$L$15</f>
        <v>348 FE</v>
      </c>
      <c r="S77" s="1743">
        <f t="shared" si="95"/>
        <v>19.587799999999998</v>
      </c>
      <c r="T77" s="1753">
        <f>'Noviembre - 2018  '!$V$90</f>
        <v>0</v>
      </c>
      <c r="U77" s="1107">
        <f>'Noviembre - 2018  '!$W$90</f>
        <v>0</v>
      </c>
      <c r="V77" s="1107">
        <f t="shared" si="96"/>
        <v>0</v>
      </c>
      <c r="W77" s="1107" t="e">
        <f t="shared" si="97"/>
        <v>#VALUE!</v>
      </c>
      <c r="X77" s="1108">
        <f t="shared" si="98"/>
        <v>180467.95703333337</v>
      </c>
      <c r="Y77" s="1109">
        <f t="shared" si="99"/>
        <v>31482640</v>
      </c>
      <c r="Z77" s="1109">
        <f t="shared" si="100"/>
        <v>5414038.7110000011</v>
      </c>
      <c r="AA77" s="1110">
        <f t="shared" si="101"/>
        <v>26068601.288999997</v>
      </c>
      <c r="AB77" s="1119">
        <f t="shared" si="102"/>
        <v>0.17196901883069529</v>
      </c>
      <c r="AC77" s="1754">
        <f t="shared" si="103"/>
        <v>0.82803098116930474</v>
      </c>
    </row>
    <row r="78" spans="2:43" x14ac:dyDescent="0.25">
      <c r="B78" s="1113">
        <f t="shared" si="13"/>
        <v>2018</v>
      </c>
      <c r="C78" s="1114">
        <v>43435</v>
      </c>
      <c r="D78" s="1744">
        <f>'Diciembre - 2018 '!$N$34+'Diciembre - 2018 '!$N$43</f>
        <v>96951198.562638998</v>
      </c>
      <c r="E78" s="1121">
        <f>'Diciembre - 2018 '!$N$54</f>
        <v>102063.27907342515</v>
      </c>
      <c r="F78" s="1745">
        <f t="shared" si="104"/>
        <v>97053261.84171243</v>
      </c>
      <c r="G78" s="1120">
        <f>'Diciembre - 2018 '!M34+'Diciembre - 2018 '!M43</f>
        <v>5106484.21</v>
      </c>
      <c r="H78" s="1121">
        <f>'Diciembre - 2018 '!M54</f>
        <v>5673.4299999999985</v>
      </c>
      <c r="I78" s="1121">
        <f t="shared" si="92"/>
        <v>5112157.6399999997</v>
      </c>
      <c r="J78" s="2067">
        <f>'Diciembre - 2018 '!$H$22</f>
        <v>0.14799999999999999</v>
      </c>
      <c r="K78" s="2069">
        <f>'Diciembre - 2018 '!$I$22</f>
        <v>1.4200000000000001E-2</v>
      </c>
      <c r="L78" s="1104">
        <f t="shared" si="93"/>
        <v>31</v>
      </c>
      <c r="M78" s="1153">
        <v>31482640</v>
      </c>
      <c r="N78" s="1107">
        <f t="shared" si="94"/>
        <v>1015569.0322580645</v>
      </c>
      <c r="O78" s="1164">
        <f>'Diciembre - 2018 '!$I$22</f>
        <v>1.4200000000000001E-2</v>
      </c>
      <c r="P78" s="1118">
        <f t="shared" si="58"/>
        <v>5376705.3790957816</v>
      </c>
      <c r="Q78" s="1118">
        <f>'Diciembre - 2018 '!$K$54</f>
        <v>5670613.2645999994</v>
      </c>
      <c r="R78" s="1117" t="str">
        <f>'Diciembre - 2018 '!$L$15</f>
        <v>358-FE</v>
      </c>
      <c r="S78" s="1743">
        <f t="shared" si="95"/>
        <v>18.984794420719865</v>
      </c>
      <c r="T78" s="1753">
        <f>'Diciembre - 2018 '!$Y$90</f>
        <v>0</v>
      </c>
      <c r="U78" s="1107">
        <f>'Diciembre - 2018 '!$Z$90</f>
        <v>0</v>
      </c>
      <c r="V78" s="1107">
        <f t="shared" si="96"/>
        <v>0</v>
      </c>
      <c r="W78" s="1107" t="e">
        <f t="shared" si="97"/>
        <v>#VALUE!</v>
      </c>
      <c r="X78" s="1108">
        <f t="shared" si="98"/>
        <v>182923.00853548385</v>
      </c>
      <c r="Y78" s="1109">
        <f t="shared" si="99"/>
        <v>31482640</v>
      </c>
      <c r="Z78" s="1109">
        <f t="shared" si="100"/>
        <v>5670613.2645999994</v>
      </c>
      <c r="AA78" s="1110">
        <f t="shared" si="101"/>
        <v>25812026.735399999</v>
      </c>
      <c r="AB78" s="1119">
        <f t="shared" si="102"/>
        <v>0.18011873415317137</v>
      </c>
      <c r="AC78" s="1754">
        <f t="shared" si="103"/>
        <v>0.81988126584682863</v>
      </c>
    </row>
    <row r="79" spans="2:43" hidden="1" x14ac:dyDescent="0.25">
      <c r="B79" s="1113">
        <f t="shared" ref="B79:B142" si="105">YEAR(C79)</f>
        <v>2019</v>
      </c>
      <c r="C79" s="1114">
        <v>43466</v>
      </c>
      <c r="D79" s="1744">
        <f>'Diciembre - 2019  '!$N$34+'Diciembre - 2019  '!$N$43</f>
        <v>104018642.60000001</v>
      </c>
      <c r="E79" s="1121">
        <f>'Diciembre - 2019  '!$N$54</f>
        <v>113809.99999999999</v>
      </c>
      <c r="F79" s="1745">
        <f t="shared" ref="F79:F142" si="106">SUM(D79:E79)</f>
        <v>104132452.60000001</v>
      </c>
      <c r="G79" s="1121">
        <f>'Diciembre - 2019  '!$M$33</f>
        <v>4753878.6400000006</v>
      </c>
      <c r="H79" s="1121">
        <f>'Diciembre - 2019  '!$M$54</f>
        <v>5690.5</v>
      </c>
      <c r="I79" s="1121">
        <f t="shared" ref="I79:I142" si="107">G79+H79</f>
        <v>4759569.1400000006</v>
      </c>
      <c r="J79" s="2067">
        <f>'Diciembre - 2019  '!$H$22</f>
        <v>0.14799999999999999</v>
      </c>
      <c r="K79" s="2069">
        <f>'Diciembre - 2019  '!$I$22</f>
        <v>1.4200000000000001E-2</v>
      </c>
      <c r="L79" s="1104">
        <f t="shared" ref="L79:L142" si="108">_xlfn.DAYS(C80,C79)</f>
        <v>31</v>
      </c>
      <c r="M79" s="1153">
        <v>31482641</v>
      </c>
      <c r="N79" s="1107">
        <f t="shared" ref="N79:N142" si="109">IFERROR(M79/L79,0)</f>
        <v>1015569.0645161291</v>
      </c>
      <c r="O79" s="1164">
        <f>'Diciembre - 2019  '!$I$22</f>
        <v>1.4200000000000001E-2</v>
      </c>
      <c r="P79" s="1118">
        <f t="shared" ref="P79:P142" si="110">Q79*0.94817</f>
        <v>5869182.201933383</v>
      </c>
      <c r="Q79" s="1118">
        <f>'Diciembre - 2019  '!$K$54</f>
        <v>6190010.4432046823</v>
      </c>
      <c r="R79" s="1117">
        <f>'Diciembre - 2019  '!$L$15</f>
        <v>0</v>
      </c>
      <c r="S79" s="1743">
        <f t="shared" ref="S79:S142" si="111">IFERROR(F79/I79,0)</f>
        <v>21.878546048392941</v>
      </c>
      <c r="T79" s="1753">
        <f>'Diciembre - 2019  '!$Z$89</f>
        <v>0</v>
      </c>
      <c r="U79" s="1107">
        <f>'Diciembre - 2019  '!$AA$89</f>
        <v>0</v>
      </c>
      <c r="V79" s="1107">
        <f t="shared" ref="V79:V142" si="112">T79-U79</f>
        <v>0</v>
      </c>
      <c r="W79" s="1107" t="e">
        <f t="shared" ref="W79:W142" si="113">V79+W78</f>
        <v>#VALUE!</v>
      </c>
      <c r="X79" s="1108">
        <f t="shared" ref="X79:X142" si="114">Q79/L79</f>
        <v>199677.7562324091</v>
      </c>
      <c r="Y79" s="1109">
        <f t="shared" ref="Y79:Y142" si="115">M79</f>
        <v>31482641</v>
      </c>
      <c r="Z79" s="1109">
        <f t="shared" ref="Z79:Z142" si="116">Q79</f>
        <v>6190010.4432046823</v>
      </c>
      <c r="AA79" s="1110">
        <f t="shared" ref="AA79:AA142" si="117">Y79-Z79</f>
        <v>25292630.556795318</v>
      </c>
      <c r="AB79" s="1119">
        <f t="shared" ref="AB79:AB142" si="118">IFERROR(Z79/Y79,0)</f>
        <v>0.19661661940002689</v>
      </c>
      <c r="AC79" s="1754">
        <f t="shared" ref="AC79:AC142" si="119">1-AB79</f>
        <v>0.80338338059997305</v>
      </c>
    </row>
    <row r="80" spans="2:43" hidden="1" x14ac:dyDescent="0.25">
      <c r="B80" s="1113">
        <f t="shared" si="105"/>
        <v>2019</v>
      </c>
      <c r="C80" s="1114">
        <v>43497</v>
      </c>
      <c r="D80" s="1744">
        <f>'Diciembre - 2019  '!$N$34+'Diciembre - 2019  '!$N$43</f>
        <v>104018642.60000001</v>
      </c>
      <c r="E80" s="1121">
        <f>'Diciembre - 2019  '!$N$54</f>
        <v>113809.99999999999</v>
      </c>
      <c r="F80" s="1745">
        <f t="shared" si="106"/>
        <v>104132452.60000001</v>
      </c>
      <c r="G80" s="1121">
        <f>'Diciembre - 2019  '!$M$33</f>
        <v>4753878.6400000006</v>
      </c>
      <c r="H80" s="1121">
        <f>'Diciembre - 2019  '!$M$54</f>
        <v>5690.5</v>
      </c>
      <c r="I80" s="1121">
        <f t="shared" si="107"/>
        <v>4759569.1400000006</v>
      </c>
      <c r="J80" s="2067">
        <f>'Diciembre - 2019  '!$H$22</f>
        <v>0.14799999999999999</v>
      </c>
      <c r="K80" s="2069">
        <f>'Diciembre - 2019  '!$I$22</f>
        <v>1.4200000000000001E-2</v>
      </c>
      <c r="L80" s="1104">
        <f t="shared" si="108"/>
        <v>28</v>
      </c>
      <c r="M80" s="1153">
        <v>31482642</v>
      </c>
      <c r="N80" s="1107">
        <f t="shared" si="109"/>
        <v>1124380.0714285714</v>
      </c>
      <c r="O80" s="1164">
        <f>'Diciembre - 2019  '!$I$22</f>
        <v>1.4200000000000001E-2</v>
      </c>
      <c r="P80" s="1118">
        <f t="shared" si="110"/>
        <v>5869182.201933383</v>
      </c>
      <c r="Q80" s="1118">
        <f>'Diciembre - 2019  '!$K$54</f>
        <v>6190010.4432046823</v>
      </c>
      <c r="R80" s="1117">
        <f>'Diciembre - 2019  '!$L$15</f>
        <v>0</v>
      </c>
      <c r="S80" s="1743">
        <f t="shared" si="111"/>
        <v>21.878546048392941</v>
      </c>
      <c r="T80" s="1753">
        <f>'Diciembre - 2019  '!$Z$89</f>
        <v>0</v>
      </c>
      <c r="U80" s="1107">
        <f>'Diciembre - 2019  '!$AA$89</f>
        <v>0</v>
      </c>
      <c r="V80" s="1107">
        <f t="shared" si="112"/>
        <v>0</v>
      </c>
      <c r="W80" s="1107" t="e">
        <f t="shared" si="113"/>
        <v>#VALUE!</v>
      </c>
      <c r="X80" s="1108">
        <f t="shared" si="114"/>
        <v>221071.80154302437</v>
      </c>
      <c r="Y80" s="1109">
        <f t="shared" si="115"/>
        <v>31482642</v>
      </c>
      <c r="Z80" s="1109">
        <f t="shared" si="116"/>
        <v>6190010.4432046823</v>
      </c>
      <c r="AA80" s="1110">
        <f t="shared" si="117"/>
        <v>25292631.556795318</v>
      </c>
      <c r="AB80" s="1119">
        <f t="shared" si="118"/>
        <v>0.19661661315478804</v>
      </c>
      <c r="AC80" s="1754">
        <f t="shared" si="119"/>
        <v>0.80338338684521193</v>
      </c>
    </row>
    <row r="81" spans="2:29" hidden="1" x14ac:dyDescent="0.25">
      <c r="B81" s="1113">
        <f t="shared" si="105"/>
        <v>2019</v>
      </c>
      <c r="C81" s="1114">
        <v>43525</v>
      </c>
      <c r="D81" s="1744">
        <f>'Diciembre - 2019  '!$N$34+'Diciembre - 2019  '!$N$43</f>
        <v>104018642.60000001</v>
      </c>
      <c r="E81" s="1121">
        <f>'Diciembre - 2019  '!$N$54</f>
        <v>113809.99999999999</v>
      </c>
      <c r="F81" s="1745">
        <f t="shared" si="106"/>
        <v>104132452.60000001</v>
      </c>
      <c r="G81" s="1121">
        <f>'Diciembre - 2019  '!$M$33</f>
        <v>4753878.6400000006</v>
      </c>
      <c r="H81" s="1121">
        <f>'Diciembre - 2019  '!$M$54</f>
        <v>5690.5</v>
      </c>
      <c r="I81" s="1121">
        <f t="shared" si="107"/>
        <v>4759569.1400000006</v>
      </c>
      <c r="J81" s="2067">
        <f>'Diciembre - 2019  '!$H$22</f>
        <v>0.14799999999999999</v>
      </c>
      <c r="K81" s="2069">
        <f>'Diciembre - 2019  '!$I$22</f>
        <v>1.4200000000000001E-2</v>
      </c>
      <c r="L81" s="1104">
        <f t="shared" si="108"/>
        <v>31</v>
      </c>
      <c r="M81" s="1153">
        <v>31482643</v>
      </c>
      <c r="N81" s="1107">
        <f t="shared" si="109"/>
        <v>1015569.1290322581</v>
      </c>
      <c r="O81" s="1164">
        <f>'Diciembre - 2019  '!$I$22</f>
        <v>1.4200000000000001E-2</v>
      </c>
      <c r="P81" s="1118">
        <f t="shared" si="110"/>
        <v>5869182.201933383</v>
      </c>
      <c r="Q81" s="1118">
        <f>'Diciembre - 2019  '!$K$54</f>
        <v>6190010.4432046823</v>
      </c>
      <c r="R81" s="1117">
        <f>'Diciembre - 2019  '!$L$15</f>
        <v>0</v>
      </c>
      <c r="S81" s="1743">
        <f t="shared" si="111"/>
        <v>21.878546048392941</v>
      </c>
      <c r="T81" s="1753">
        <f>'Diciembre - 2019  '!$Z$89</f>
        <v>0</v>
      </c>
      <c r="U81" s="1107">
        <f>'Diciembre - 2019  '!$AA$89</f>
        <v>0</v>
      </c>
      <c r="V81" s="1107">
        <f t="shared" si="112"/>
        <v>0</v>
      </c>
      <c r="W81" s="1107" t="e">
        <f t="shared" si="113"/>
        <v>#VALUE!</v>
      </c>
      <c r="X81" s="1108">
        <f t="shared" si="114"/>
        <v>199677.7562324091</v>
      </c>
      <c r="Y81" s="1109">
        <f t="shared" si="115"/>
        <v>31482643</v>
      </c>
      <c r="Z81" s="1109">
        <f t="shared" si="116"/>
        <v>6190010.4432046823</v>
      </c>
      <c r="AA81" s="1110">
        <f t="shared" si="117"/>
        <v>25292632.556795318</v>
      </c>
      <c r="AB81" s="1119">
        <f t="shared" si="118"/>
        <v>0.19661660690954957</v>
      </c>
      <c r="AC81" s="1754">
        <f t="shared" si="119"/>
        <v>0.80338339309045037</v>
      </c>
    </row>
    <row r="82" spans="2:29" hidden="1" x14ac:dyDescent="0.25">
      <c r="B82" s="1113">
        <f t="shared" si="105"/>
        <v>2019</v>
      </c>
      <c r="C82" s="1114">
        <v>43556</v>
      </c>
      <c r="D82" s="1744">
        <f>'Diciembre - 2019  '!$N$34+'Diciembre - 2019  '!$N$43</f>
        <v>104018642.60000001</v>
      </c>
      <c r="E82" s="1121">
        <f>'Diciembre - 2019  '!$N$54</f>
        <v>113809.99999999999</v>
      </c>
      <c r="F82" s="1745">
        <f t="shared" si="106"/>
        <v>104132452.60000001</v>
      </c>
      <c r="G82" s="1121">
        <f>'Diciembre - 2019  '!$M$33</f>
        <v>4753878.6400000006</v>
      </c>
      <c r="H82" s="1121">
        <f>'Diciembre - 2019  '!$M$54</f>
        <v>5690.5</v>
      </c>
      <c r="I82" s="1121">
        <f t="shared" si="107"/>
        <v>4759569.1400000006</v>
      </c>
      <c r="J82" s="2067">
        <f>'Diciembre - 2019  '!$H$22</f>
        <v>0.14799999999999999</v>
      </c>
      <c r="K82" s="2069">
        <f>'Diciembre - 2019  '!$I$22</f>
        <v>1.4200000000000001E-2</v>
      </c>
      <c r="L82" s="1104">
        <f t="shared" si="108"/>
        <v>30</v>
      </c>
      <c r="M82" s="1153">
        <v>31482644</v>
      </c>
      <c r="N82" s="1107">
        <f t="shared" si="109"/>
        <v>1049421.4666666666</v>
      </c>
      <c r="O82" s="1164">
        <f>'Diciembre - 2019  '!$I$22</f>
        <v>1.4200000000000001E-2</v>
      </c>
      <c r="P82" s="1118">
        <f t="shared" si="110"/>
        <v>5869182.201933383</v>
      </c>
      <c r="Q82" s="1118">
        <f>'Diciembre - 2019  '!$K$54</f>
        <v>6190010.4432046823</v>
      </c>
      <c r="R82" s="1117">
        <f>'Diciembre - 2019  '!$L$15</f>
        <v>0</v>
      </c>
      <c r="S82" s="1743">
        <f t="shared" si="111"/>
        <v>21.878546048392941</v>
      </c>
      <c r="T82" s="1753">
        <f>'Diciembre - 2019  '!$Z$89</f>
        <v>0</v>
      </c>
      <c r="U82" s="1107">
        <f>'Diciembre - 2019  '!$AA$89</f>
        <v>0</v>
      </c>
      <c r="V82" s="1107">
        <f t="shared" si="112"/>
        <v>0</v>
      </c>
      <c r="W82" s="1107" t="e">
        <f t="shared" si="113"/>
        <v>#VALUE!</v>
      </c>
      <c r="X82" s="1108">
        <f t="shared" si="114"/>
        <v>206333.68144015607</v>
      </c>
      <c r="Y82" s="1109">
        <f t="shared" si="115"/>
        <v>31482644</v>
      </c>
      <c r="Z82" s="1109">
        <f t="shared" si="116"/>
        <v>6190010.4432046823</v>
      </c>
      <c r="AA82" s="1110">
        <f t="shared" si="117"/>
        <v>25292633.556795318</v>
      </c>
      <c r="AB82" s="1119">
        <f t="shared" si="118"/>
        <v>0.1966166006643115</v>
      </c>
      <c r="AC82" s="1754">
        <f t="shared" si="119"/>
        <v>0.80338339933568848</v>
      </c>
    </row>
    <row r="83" spans="2:29" hidden="1" x14ac:dyDescent="0.25">
      <c r="B83" s="1113">
        <f t="shared" si="105"/>
        <v>2019</v>
      </c>
      <c r="C83" s="1114">
        <v>43586</v>
      </c>
      <c r="D83" s="1744">
        <f>'Diciembre - 2019  '!$N$34+'Diciembre - 2019  '!$N$43</f>
        <v>104018642.60000001</v>
      </c>
      <c r="E83" s="1121">
        <f>'Diciembre - 2019  '!$N$54</f>
        <v>113809.99999999999</v>
      </c>
      <c r="F83" s="1745">
        <f t="shared" si="106"/>
        <v>104132452.60000001</v>
      </c>
      <c r="G83" s="1121">
        <f>'Diciembre - 2019  '!$M$33</f>
        <v>4753878.6400000006</v>
      </c>
      <c r="H83" s="1121">
        <f>'Diciembre - 2019  '!$M$54</f>
        <v>5690.5</v>
      </c>
      <c r="I83" s="1121">
        <f t="shared" si="107"/>
        <v>4759569.1400000006</v>
      </c>
      <c r="J83" s="2067">
        <f>'Diciembre - 2019  '!$H$22</f>
        <v>0.14799999999999999</v>
      </c>
      <c r="K83" s="2069">
        <f>'Diciembre - 2019  '!$I$22</f>
        <v>1.4200000000000001E-2</v>
      </c>
      <c r="L83" s="1104">
        <f t="shared" si="108"/>
        <v>31</v>
      </c>
      <c r="M83" s="1153">
        <v>31482645</v>
      </c>
      <c r="N83" s="1107">
        <f t="shared" si="109"/>
        <v>1015569.1935483871</v>
      </c>
      <c r="O83" s="1164">
        <f>'Diciembre - 2019  '!$I$22</f>
        <v>1.4200000000000001E-2</v>
      </c>
      <c r="P83" s="1118">
        <f t="shared" si="110"/>
        <v>5869182.201933383</v>
      </c>
      <c r="Q83" s="1118">
        <f>'Diciembre - 2019  '!$K$54</f>
        <v>6190010.4432046823</v>
      </c>
      <c r="R83" s="1117">
        <f>'Diciembre - 2019  '!$L$15</f>
        <v>0</v>
      </c>
      <c r="S83" s="1743">
        <f t="shared" si="111"/>
        <v>21.878546048392941</v>
      </c>
      <c r="T83" s="1753">
        <f>'Diciembre - 2019  '!$Z$89</f>
        <v>0</v>
      </c>
      <c r="U83" s="1107">
        <f>'Diciembre - 2019  '!$AA$89</f>
        <v>0</v>
      </c>
      <c r="V83" s="1107">
        <f t="shared" si="112"/>
        <v>0</v>
      </c>
      <c r="W83" s="1107" t="e">
        <f t="shared" si="113"/>
        <v>#VALUE!</v>
      </c>
      <c r="X83" s="1108">
        <f t="shared" si="114"/>
        <v>199677.7562324091</v>
      </c>
      <c r="Y83" s="1109">
        <f t="shared" si="115"/>
        <v>31482645</v>
      </c>
      <c r="Z83" s="1109">
        <f t="shared" si="116"/>
        <v>6190010.4432046823</v>
      </c>
      <c r="AA83" s="1110">
        <f t="shared" si="117"/>
        <v>25292634.556795318</v>
      </c>
      <c r="AB83" s="1119">
        <f t="shared" si="118"/>
        <v>0.19661659441907381</v>
      </c>
      <c r="AC83" s="1754">
        <f t="shared" si="119"/>
        <v>0.80338340558092614</v>
      </c>
    </row>
    <row r="84" spans="2:29" hidden="1" x14ac:dyDescent="0.25">
      <c r="B84" s="1113">
        <f t="shared" si="105"/>
        <v>2019</v>
      </c>
      <c r="C84" s="1114">
        <v>43617</v>
      </c>
      <c r="D84" s="1744">
        <f>'Diciembre - 2019  '!$N$34+'Diciembre - 2019  '!$N$43</f>
        <v>104018642.60000001</v>
      </c>
      <c r="E84" s="1121">
        <f>'Diciembre - 2019  '!$N$54</f>
        <v>113809.99999999999</v>
      </c>
      <c r="F84" s="1745">
        <f t="shared" si="106"/>
        <v>104132452.60000001</v>
      </c>
      <c r="G84" s="1121">
        <f>'Diciembre - 2019  '!$M$33</f>
        <v>4753878.6400000006</v>
      </c>
      <c r="H84" s="1121">
        <f>'Diciembre - 2019  '!$M$54</f>
        <v>5690.5</v>
      </c>
      <c r="I84" s="1121">
        <f t="shared" si="107"/>
        <v>4759569.1400000006</v>
      </c>
      <c r="J84" s="2067">
        <f>'Diciembre - 2019  '!$H$22</f>
        <v>0.14799999999999999</v>
      </c>
      <c r="K84" s="2069">
        <f>'Diciembre - 2019  '!$I$22</f>
        <v>1.4200000000000001E-2</v>
      </c>
      <c r="L84" s="1104">
        <f t="shared" si="108"/>
        <v>30</v>
      </c>
      <c r="M84" s="1153">
        <v>31482646</v>
      </c>
      <c r="N84" s="1107">
        <f t="shared" si="109"/>
        <v>1049421.5333333334</v>
      </c>
      <c r="O84" s="1164">
        <f>'Diciembre - 2019  '!$I$22</f>
        <v>1.4200000000000001E-2</v>
      </c>
      <c r="P84" s="1118">
        <f t="shared" si="110"/>
        <v>5869182.201933383</v>
      </c>
      <c r="Q84" s="1118">
        <f>'Diciembre - 2019  '!$K$54</f>
        <v>6190010.4432046823</v>
      </c>
      <c r="R84" s="1117">
        <f>'Diciembre - 2019  '!$L$15</f>
        <v>0</v>
      </c>
      <c r="S84" s="1743">
        <f t="shared" si="111"/>
        <v>21.878546048392941</v>
      </c>
      <c r="T84" s="1753">
        <f>'Diciembre - 2019  '!$Z$89</f>
        <v>0</v>
      </c>
      <c r="U84" s="1107">
        <f>'Diciembre - 2019  '!$AA$89</f>
        <v>0</v>
      </c>
      <c r="V84" s="1107">
        <f t="shared" si="112"/>
        <v>0</v>
      </c>
      <c r="W84" s="1107" t="e">
        <f t="shared" si="113"/>
        <v>#VALUE!</v>
      </c>
      <c r="X84" s="1108">
        <f t="shared" si="114"/>
        <v>206333.68144015607</v>
      </c>
      <c r="Y84" s="1109">
        <f t="shared" si="115"/>
        <v>31482646</v>
      </c>
      <c r="Z84" s="1109">
        <f t="shared" si="116"/>
        <v>6190010.4432046823</v>
      </c>
      <c r="AA84" s="1110">
        <f t="shared" si="117"/>
        <v>25292635.556795318</v>
      </c>
      <c r="AB84" s="1119">
        <f t="shared" si="118"/>
        <v>0.19661658817383654</v>
      </c>
      <c r="AC84" s="1754">
        <f t="shared" si="119"/>
        <v>0.80338341182616346</v>
      </c>
    </row>
    <row r="85" spans="2:29" hidden="1" x14ac:dyDescent="0.25">
      <c r="B85" s="1113">
        <f t="shared" si="105"/>
        <v>2019</v>
      </c>
      <c r="C85" s="1114">
        <v>43647</v>
      </c>
      <c r="D85" s="1744">
        <f>'Diciembre - 2019  '!$N$34+'Diciembre - 2019  '!$N$43</f>
        <v>104018642.60000001</v>
      </c>
      <c r="E85" s="1121">
        <f>'Diciembre - 2019  '!$N$54</f>
        <v>113809.99999999999</v>
      </c>
      <c r="F85" s="1745">
        <f t="shared" si="106"/>
        <v>104132452.60000001</v>
      </c>
      <c r="G85" s="1121">
        <f>'Diciembre - 2019  '!$M$33</f>
        <v>4753878.6400000006</v>
      </c>
      <c r="H85" s="1121">
        <f>'Diciembre - 2019  '!$M$54</f>
        <v>5690.5</v>
      </c>
      <c r="I85" s="1121">
        <f t="shared" si="107"/>
        <v>4759569.1400000006</v>
      </c>
      <c r="J85" s="2067">
        <f>'Diciembre - 2019  '!$H$22</f>
        <v>0.14799999999999999</v>
      </c>
      <c r="K85" s="2069">
        <f>'Diciembre - 2019  '!$I$22</f>
        <v>1.4200000000000001E-2</v>
      </c>
      <c r="L85" s="1104">
        <f t="shared" si="108"/>
        <v>31</v>
      </c>
      <c r="M85" s="1153">
        <v>31482647</v>
      </c>
      <c r="N85" s="1107">
        <f t="shared" si="109"/>
        <v>1015569.2580645161</v>
      </c>
      <c r="O85" s="1164">
        <f>'Diciembre - 2019  '!$I$22</f>
        <v>1.4200000000000001E-2</v>
      </c>
      <c r="P85" s="1118">
        <f t="shared" si="110"/>
        <v>5869182.201933383</v>
      </c>
      <c r="Q85" s="1118">
        <f>'Diciembre - 2019  '!$K$54</f>
        <v>6190010.4432046823</v>
      </c>
      <c r="R85" s="1117">
        <f>'Diciembre - 2019  '!$L$15</f>
        <v>0</v>
      </c>
      <c r="S85" s="1743">
        <f t="shared" si="111"/>
        <v>21.878546048392941</v>
      </c>
      <c r="T85" s="1753">
        <f>'Diciembre - 2019  '!$Z$89</f>
        <v>0</v>
      </c>
      <c r="U85" s="1107">
        <f>'Diciembre - 2019  '!$AA$89</f>
        <v>0</v>
      </c>
      <c r="V85" s="1107">
        <f t="shared" si="112"/>
        <v>0</v>
      </c>
      <c r="W85" s="1107" t="e">
        <f t="shared" si="113"/>
        <v>#VALUE!</v>
      </c>
      <c r="X85" s="1108">
        <f t="shared" si="114"/>
        <v>199677.7562324091</v>
      </c>
      <c r="Y85" s="1109">
        <f t="shared" si="115"/>
        <v>31482647</v>
      </c>
      <c r="Z85" s="1109">
        <f t="shared" si="116"/>
        <v>6190010.4432046823</v>
      </c>
      <c r="AA85" s="1110">
        <f t="shared" si="117"/>
        <v>25292636.556795318</v>
      </c>
      <c r="AB85" s="1119">
        <f t="shared" si="118"/>
        <v>0.19661658192859965</v>
      </c>
      <c r="AC85" s="1754">
        <f t="shared" si="119"/>
        <v>0.80338341807140035</v>
      </c>
    </row>
    <row r="86" spans="2:29" hidden="1" x14ac:dyDescent="0.25">
      <c r="B86" s="1113">
        <f t="shared" si="105"/>
        <v>2019</v>
      </c>
      <c r="C86" s="1114">
        <v>43678</v>
      </c>
      <c r="D86" s="1744">
        <f>'Diciembre - 2019  '!$N$34+'Diciembre - 2019  '!$N$43</f>
        <v>104018642.60000001</v>
      </c>
      <c r="E86" s="1121">
        <f>'Diciembre - 2019  '!$N$54</f>
        <v>113809.99999999999</v>
      </c>
      <c r="F86" s="1745">
        <f t="shared" si="106"/>
        <v>104132452.60000001</v>
      </c>
      <c r="G86" s="1121">
        <f>'Diciembre - 2019  '!$M$33</f>
        <v>4753878.6400000006</v>
      </c>
      <c r="H86" s="1121">
        <f>'Diciembre - 2019  '!$M$54</f>
        <v>5690.5</v>
      </c>
      <c r="I86" s="1121">
        <f t="shared" si="107"/>
        <v>4759569.1400000006</v>
      </c>
      <c r="J86" s="2067">
        <f>'Diciembre - 2019  '!$H$22</f>
        <v>0.14799999999999999</v>
      </c>
      <c r="K86" s="2069">
        <f>'Diciembre - 2019  '!$I$22</f>
        <v>1.4200000000000001E-2</v>
      </c>
      <c r="L86" s="1104">
        <f t="shared" si="108"/>
        <v>31</v>
      </c>
      <c r="M86" s="1153">
        <v>31482648</v>
      </c>
      <c r="N86" s="1107">
        <f t="shared" si="109"/>
        <v>1015569.2903225806</v>
      </c>
      <c r="O86" s="1164">
        <f>'Diciembre - 2019  '!$I$22</f>
        <v>1.4200000000000001E-2</v>
      </c>
      <c r="P86" s="1118">
        <f t="shared" si="110"/>
        <v>5869182.201933383</v>
      </c>
      <c r="Q86" s="1118">
        <f>'Diciembre - 2019  '!$K$54</f>
        <v>6190010.4432046823</v>
      </c>
      <c r="R86" s="1117">
        <f>'Diciembre - 2019  '!$L$15</f>
        <v>0</v>
      </c>
      <c r="S86" s="1743">
        <f t="shared" si="111"/>
        <v>21.878546048392941</v>
      </c>
      <c r="T86" s="1753">
        <f>'Diciembre - 2019  '!$Z$89</f>
        <v>0</v>
      </c>
      <c r="U86" s="1107">
        <f>'Diciembre - 2019  '!$AA$89</f>
        <v>0</v>
      </c>
      <c r="V86" s="1107">
        <f t="shared" si="112"/>
        <v>0</v>
      </c>
      <c r="W86" s="1107" t="e">
        <f t="shared" si="113"/>
        <v>#VALUE!</v>
      </c>
      <c r="X86" s="1108">
        <f t="shared" si="114"/>
        <v>199677.7562324091</v>
      </c>
      <c r="Y86" s="1109">
        <f t="shared" si="115"/>
        <v>31482648</v>
      </c>
      <c r="Z86" s="1109">
        <f t="shared" si="116"/>
        <v>6190010.4432046823</v>
      </c>
      <c r="AA86" s="1110">
        <f t="shared" si="117"/>
        <v>25292637.556795318</v>
      </c>
      <c r="AB86" s="1119">
        <f t="shared" si="118"/>
        <v>0.19661657568336319</v>
      </c>
      <c r="AC86" s="1754">
        <f t="shared" si="119"/>
        <v>0.80338342431663679</v>
      </c>
    </row>
    <row r="87" spans="2:29" hidden="1" x14ac:dyDescent="0.25">
      <c r="B87" s="1113">
        <f t="shared" si="105"/>
        <v>2019</v>
      </c>
      <c r="C87" s="1114">
        <v>43709</v>
      </c>
      <c r="D87" s="1744">
        <f>'Diciembre - 2019  '!$N$34+'Diciembre - 2019  '!$N$43</f>
        <v>104018642.60000001</v>
      </c>
      <c r="E87" s="1121">
        <f>'Diciembre - 2019  '!$N$54</f>
        <v>113809.99999999999</v>
      </c>
      <c r="F87" s="1745">
        <f t="shared" si="106"/>
        <v>104132452.60000001</v>
      </c>
      <c r="G87" s="1121">
        <f>'Diciembre - 2019  '!$M$33</f>
        <v>4753878.6400000006</v>
      </c>
      <c r="H87" s="1121">
        <f>'Diciembre - 2019  '!$M$54</f>
        <v>5690.5</v>
      </c>
      <c r="I87" s="1121">
        <f t="shared" si="107"/>
        <v>4759569.1400000006</v>
      </c>
      <c r="J87" s="2067">
        <f>'Diciembre - 2019  '!$H$22</f>
        <v>0.14799999999999999</v>
      </c>
      <c r="K87" s="2069">
        <f>'Diciembre - 2019  '!$I$22</f>
        <v>1.4200000000000001E-2</v>
      </c>
      <c r="L87" s="1104">
        <f t="shared" si="108"/>
        <v>30</v>
      </c>
      <c r="M87" s="1153">
        <v>31482649</v>
      </c>
      <c r="N87" s="1107">
        <f t="shared" si="109"/>
        <v>1049421.6333333333</v>
      </c>
      <c r="O87" s="1164">
        <f>'Diciembre - 2019  '!$I$22</f>
        <v>1.4200000000000001E-2</v>
      </c>
      <c r="P87" s="1118">
        <f t="shared" si="110"/>
        <v>5869182.201933383</v>
      </c>
      <c r="Q87" s="1118">
        <f>'Diciembre - 2019  '!$K$54</f>
        <v>6190010.4432046823</v>
      </c>
      <c r="R87" s="1117">
        <f>'Diciembre - 2019  '!$L$15</f>
        <v>0</v>
      </c>
      <c r="S87" s="1743">
        <f t="shared" si="111"/>
        <v>21.878546048392941</v>
      </c>
      <c r="T87" s="1753">
        <f>'Diciembre - 2019  '!$Z$89</f>
        <v>0</v>
      </c>
      <c r="U87" s="1107">
        <f>'Diciembre - 2019  '!$AA$89</f>
        <v>0</v>
      </c>
      <c r="V87" s="1107">
        <f t="shared" si="112"/>
        <v>0</v>
      </c>
      <c r="W87" s="1107" t="e">
        <f t="shared" si="113"/>
        <v>#VALUE!</v>
      </c>
      <c r="X87" s="1108">
        <f t="shared" si="114"/>
        <v>206333.68144015607</v>
      </c>
      <c r="Y87" s="1109">
        <f t="shared" si="115"/>
        <v>31482649</v>
      </c>
      <c r="Z87" s="1109">
        <f t="shared" si="116"/>
        <v>6190010.4432046823</v>
      </c>
      <c r="AA87" s="1110">
        <f t="shared" si="117"/>
        <v>25292638.556795318</v>
      </c>
      <c r="AB87" s="1119">
        <f t="shared" si="118"/>
        <v>0.19661656943812708</v>
      </c>
      <c r="AC87" s="1754">
        <f t="shared" si="119"/>
        <v>0.80338343056187289</v>
      </c>
    </row>
    <row r="88" spans="2:29" hidden="1" x14ac:dyDescent="0.25">
      <c r="B88" s="1113">
        <f t="shared" si="105"/>
        <v>2019</v>
      </c>
      <c r="C88" s="1114">
        <v>43739</v>
      </c>
      <c r="D88" s="1744">
        <f>'Diciembre - 2019  '!$N$34+'Diciembre - 2019  '!$N$43</f>
        <v>104018642.60000001</v>
      </c>
      <c r="E88" s="1121">
        <f>'Diciembre - 2019  '!$N$54</f>
        <v>113809.99999999999</v>
      </c>
      <c r="F88" s="1745">
        <f t="shared" si="106"/>
        <v>104132452.60000001</v>
      </c>
      <c r="G88" s="1121">
        <f>'Diciembre - 2019  '!$M$33</f>
        <v>4753878.6400000006</v>
      </c>
      <c r="H88" s="1121">
        <f>'Diciembre - 2019  '!$M$54</f>
        <v>5690.5</v>
      </c>
      <c r="I88" s="1121">
        <f t="shared" si="107"/>
        <v>4759569.1400000006</v>
      </c>
      <c r="J88" s="2067">
        <f>'Diciembre - 2019  '!$H$22</f>
        <v>0.14799999999999999</v>
      </c>
      <c r="K88" s="2069">
        <f>'Diciembre - 2019  '!$I$22</f>
        <v>1.4200000000000001E-2</v>
      </c>
      <c r="L88" s="1104">
        <f t="shared" si="108"/>
        <v>31</v>
      </c>
      <c r="M88" s="1153">
        <v>31482650</v>
      </c>
      <c r="N88" s="1107">
        <f t="shared" si="109"/>
        <v>1015569.3548387097</v>
      </c>
      <c r="O88" s="1164">
        <f>'Diciembre - 2019  '!$I$22</f>
        <v>1.4200000000000001E-2</v>
      </c>
      <c r="P88" s="1118">
        <f t="shared" si="110"/>
        <v>5869182.201933383</v>
      </c>
      <c r="Q88" s="1118">
        <f>'Diciembre - 2019  '!$K$54</f>
        <v>6190010.4432046823</v>
      </c>
      <c r="R88" s="1117">
        <f>'Diciembre - 2019  '!$L$15</f>
        <v>0</v>
      </c>
      <c r="S88" s="1743">
        <f t="shared" si="111"/>
        <v>21.878546048392941</v>
      </c>
      <c r="T88" s="1753">
        <f>'Diciembre - 2019  '!$Z$89</f>
        <v>0</v>
      </c>
      <c r="U88" s="1107">
        <f>'Diciembre - 2019  '!$AA$89</f>
        <v>0</v>
      </c>
      <c r="V88" s="1107">
        <f t="shared" si="112"/>
        <v>0</v>
      </c>
      <c r="W88" s="1107" t="e">
        <f t="shared" si="113"/>
        <v>#VALUE!</v>
      </c>
      <c r="X88" s="1108">
        <f t="shared" si="114"/>
        <v>199677.7562324091</v>
      </c>
      <c r="Y88" s="1109">
        <f t="shared" si="115"/>
        <v>31482650</v>
      </c>
      <c r="Z88" s="1109">
        <f t="shared" si="116"/>
        <v>6190010.4432046823</v>
      </c>
      <c r="AA88" s="1110">
        <f t="shared" si="117"/>
        <v>25292639.556795318</v>
      </c>
      <c r="AB88" s="1119">
        <f t="shared" si="118"/>
        <v>0.19661656319289139</v>
      </c>
      <c r="AC88" s="1754">
        <f t="shared" si="119"/>
        <v>0.80338343680710866</v>
      </c>
    </row>
    <row r="89" spans="2:29" hidden="1" x14ac:dyDescent="0.25">
      <c r="B89" s="1113">
        <f t="shared" si="105"/>
        <v>2019</v>
      </c>
      <c r="C89" s="1114">
        <v>43770</v>
      </c>
      <c r="D89" s="1744">
        <f>'Diciembre - 2019  '!$N$34+'Diciembre - 2019  '!$N$43</f>
        <v>104018642.60000001</v>
      </c>
      <c r="E89" s="1121">
        <f>'Diciembre - 2019  '!$N$54</f>
        <v>113809.99999999999</v>
      </c>
      <c r="F89" s="1745">
        <f t="shared" si="106"/>
        <v>104132452.60000001</v>
      </c>
      <c r="G89" s="1121">
        <f>'Diciembre - 2019  '!$M$33</f>
        <v>4753878.6400000006</v>
      </c>
      <c r="H89" s="1121">
        <f>'Diciembre - 2019  '!$M$54</f>
        <v>5690.5</v>
      </c>
      <c r="I89" s="1121">
        <f t="shared" si="107"/>
        <v>4759569.1400000006</v>
      </c>
      <c r="J89" s="2067">
        <f>'Diciembre - 2019  '!$H$22</f>
        <v>0.14799999999999999</v>
      </c>
      <c r="K89" s="2069">
        <f>'Diciembre - 2019  '!$I$22</f>
        <v>1.4200000000000001E-2</v>
      </c>
      <c r="L89" s="1104">
        <f t="shared" si="108"/>
        <v>30</v>
      </c>
      <c r="M89" s="1153">
        <v>31482651</v>
      </c>
      <c r="N89" s="1107">
        <f t="shared" si="109"/>
        <v>1049421.7</v>
      </c>
      <c r="O89" s="1164">
        <f>'Diciembre - 2019  '!$I$22</f>
        <v>1.4200000000000001E-2</v>
      </c>
      <c r="P89" s="1118">
        <f t="shared" si="110"/>
        <v>5869182.201933383</v>
      </c>
      <c r="Q89" s="1118">
        <f>'Diciembre - 2019  '!$K$54</f>
        <v>6190010.4432046823</v>
      </c>
      <c r="R89" s="1117">
        <f>'Diciembre - 2019  '!$L$15</f>
        <v>0</v>
      </c>
      <c r="S89" s="1743">
        <f t="shared" si="111"/>
        <v>21.878546048392941</v>
      </c>
      <c r="T89" s="1753">
        <f>'Diciembre - 2019  '!$Z$89</f>
        <v>0</v>
      </c>
      <c r="U89" s="1107">
        <f>'Diciembre - 2019  '!$AA$89</f>
        <v>0</v>
      </c>
      <c r="V89" s="1107">
        <f t="shared" si="112"/>
        <v>0</v>
      </c>
      <c r="W89" s="1107" t="e">
        <f t="shared" si="113"/>
        <v>#VALUE!</v>
      </c>
      <c r="X89" s="1108">
        <f t="shared" si="114"/>
        <v>206333.68144015607</v>
      </c>
      <c r="Y89" s="1109">
        <f t="shared" si="115"/>
        <v>31482651</v>
      </c>
      <c r="Z89" s="1109">
        <f t="shared" si="116"/>
        <v>6190010.4432046823</v>
      </c>
      <c r="AA89" s="1110">
        <f t="shared" si="117"/>
        <v>25292640.556795318</v>
      </c>
      <c r="AB89" s="1119">
        <f t="shared" si="118"/>
        <v>0.19661655694765609</v>
      </c>
      <c r="AC89" s="1754">
        <f t="shared" si="119"/>
        <v>0.80338344305234388</v>
      </c>
    </row>
    <row r="90" spans="2:29" hidden="1" x14ac:dyDescent="0.25">
      <c r="B90" s="1113">
        <f t="shared" si="105"/>
        <v>2019</v>
      </c>
      <c r="C90" s="1114">
        <v>43800</v>
      </c>
      <c r="D90" s="1744">
        <f>'Diciembre - 2019  '!$N$34+'Diciembre - 2019  '!$N$43</f>
        <v>104018642.60000001</v>
      </c>
      <c r="E90" s="1121">
        <f>'Diciembre - 2019  '!$N$54</f>
        <v>113809.99999999999</v>
      </c>
      <c r="F90" s="1745">
        <f t="shared" si="106"/>
        <v>104132452.60000001</v>
      </c>
      <c r="G90" s="1121">
        <f>'Diciembre - 2019  '!$M$33</f>
        <v>4753878.6400000006</v>
      </c>
      <c r="H90" s="1121">
        <f>'Diciembre - 2019  '!$M$54</f>
        <v>5690.5</v>
      </c>
      <c r="I90" s="1121">
        <f t="shared" si="107"/>
        <v>4759569.1400000006</v>
      </c>
      <c r="J90" s="2067">
        <f>'Diciembre - 2019  '!$H$22</f>
        <v>0.14799999999999999</v>
      </c>
      <c r="K90" s="2069">
        <f>'Diciembre - 2019  '!$I$22</f>
        <v>1.4200000000000001E-2</v>
      </c>
      <c r="L90" s="1104">
        <f t="shared" si="108"/>
        <v>31</v>
      </c>
      <c r="M90" s="1153">
        <v>31482652</v>
      </c>
      <c r="N90" s="1107">
        <f t="shared" si="109"/>
        <v>1015569.4193548387</v>
      </c>
      <c r="O90" s="1164">
        <f>'Diciembre - 2019  '!$I$22</f>
        <v>1.4200000000000001E-2</v>
      </c>
      <c r="P90" s="1118">
        <f t="shared" si="110"/>
        <v>5869182.201933383</v>
      </c>
      <c r="Q90" s="1118">
        <f>'Diciembre - 2019  '!$K$54</f>
        <v>6190010.4432046823</v>
      </c>
      <c r="R90" s="1117">
        <f>'Diciembre - 2019  '!$L$15</f>
        <v>0</v>
      </c>
      <c r="S90" s="1743">
        <f t="shared" si="111"/>
        <v>21.878546048392941</v>
      </c>
      <c r="T90" s="1753">
        <f>'Diciembre - 2019  '!$Z$89</f>
        <v>0</v>
      </c>
      <c r="U90" s="1107">
        <f>'Diciembre - 2019  '!$AA$89</f>
        <v>0</v>
      </c>
      <c r="V90" s="1107">
        <f t="shared" si="112"/>
        <v>0</v>
      </c>
      <c r="W90" s="1107" t="e">
        <f t="shared" si="113"/>
        <v>#VALUE!</v>
      </c>
      <c r="X90" s="1108">
        <f t="shared" si="114"/>
        <v>199677.7562324091</v>
      </c>
      <c r="Y90" s="1109">
        <f t="shared" si="115"/>
        <v>31482652</v>
      </c>
      <c r="Z90" s="1109">
        <f t="shared" si="116"/>
        <v>6190010.4432046823</v>
      </c>
      <c r="AA90" s="1110">
        <f t="shared" si="117"/>
        <v>25292641.556795318</v>
      </c>
      <c r="AB90" s="1119">
        <f t="shared" si="118"/>
        <v>0.19661655070242121</v>
      </c>
      <c r="AC90" s="1754">
        <f t="shared" si="119"/>
        <v>0.80338344929757877</v>
      </c>
    </row>
    <row r="91" spans="2:29" hidden="1" x14ac:dyDescent="0.25">
      <c r="B91" s="1113">
        <f t="shared" si="105"/>
        <v>2020</v>
      </c>
      <c r="C91" s="1114">
        <v>43831</v>
      </c>
      <c r="D91" s="1744">
        <f>'Diciembre - 2019  '!$N$34+'Diciembre - 2019  '!$N$43</f>
        <v>104018642.60000001</v>
      </c>
      <c r="E91" s="1121">
        <f>'Diciembre - 2019  '!$N$54</f>
        <v>113809.99999999999</v>
      </c>
      <c r="F91" s="1745">
        <f t="shared" si="106"/>
        <v>104132452.60000001</v>
      </c>
      <c r="G91" s="1121">
        <f>'Diciembre - 2019  '!$M$33</f>
        <v>4753878.6400000006</v>
      </c>
      <c r="H91" s="1121">
        <f>'Diciembre - 2019  '!$M$54</f>
        <v>5690.5</v>
      </c>
      <c r="I91" s="1121">
        <f t="shared" si="107"/>
        <v>4759569.1400000006</v>
      </c>
      <c r="J91" s="2067">
        <f>'Diciembre - 2019  '!$H$22</f>
        <v>0.14799999999999999</v>
      </c>
      <c r="K91" s="2069">
        <f>'Diciembre - 2019  '!$I$22</f>
        <v>1.4200000000000001E-2</v>
      </c>
      <c r="L91" s="1104">
        <f t="shared" si="108"/>
        <v>31</v>
      </c>
      <c r="M91" s="1153">
        <v>31482653</v>
      </c>
      <c r="N91" s="1107">
        <f t="shared" si="109"/>
        <v>1015569.4516129033</v>
      </c>
      <c r="O91" s="1164">
        <f>'Diciembre - 2019  '!$I$22</f>
        <v>1.4200000000000001E-2</v>
      </c>
      <c r="P91" s="1118">
        <f t="shared" si="110"/>
        <v>5869182.201933383</v>
      </c>
      <c r="Q91" s="1118">
        <f>'Diciembre - 2019  '!$K$54</f>
        <v>6190010.4432046823</v>
      </c>
      <c r="R91" s="1117">
        <f>'Diciembre - 2019  '!$L$15</f>
        <v>0</v>
      </c>
      <c r="S91" s="1743">
        <f t="shared" si="111"/>
        <v>21.878546048392941</v>
      </c>
      <c r="T91" s="1753">
        <f>'Diciembre - 2019  '!$Z$89</f>
        <v>0</v>
      </c>
      <c r="U91" s="1107">
        <f>'Diciembre - 2019  '!$AA$89</f>
        <v>0</v>
      </c>
      <c r="V91" s="1107">
        <f t="shared" si="112"/>
        <v>0</v>
      </c>
      <c r="W91" s="1107" t="e">
        <f t="shared" si="113"/>
        <v>#VALUE!</v>
      </c>
      <c r="X91" s="1108">
        <f t="shared" si="114"/>
        <v>199677.7562324091</v>
      </c>
      <c r="Y91" s="1109">
        <f t="shared" si="115"/>
        <v>31482653</v>
      </c>
      <c r="Z91" s="1109">
        <f t="shared" si="116"/>
        <v>6190010.4432046823</v>
      </c>
      <c r="AA91" s="1110">
        <f t="shared" si="117"/>
        <v>25292642.556795318</v>
      </c>
      <c r="AB91" s="1119">
        <f t="shared" si="118"/>
        <v>0.19661654445718671</v>
      </c>
      <c r="AC91" s="1754">
        <f t="shared" si="119"/>
        <v>0.80338345554281332</v>
      </c>
    </row>
    <row r="92" spans="2:29" hidden="1" x14ac:dyDescent="0.25">
      <c r="B92" s="1113">
        <f t="shared" si="105"/>
        <v>2020</v>
      </c>
      <c r="C92" s="1114">
        <v>43862</v>
      </c>
      <c r="D92" s="1744">
        <f>'Diciembre - 2019  '!$N$34+'Diciembre - 2019  '!$N$43</f>
        <v>104018642.60000001</v>
      </c>
      <c r="E92" s="1121">
        <f>'Diciembre - 2019  '!$N$54</f>
        <v>113809.99999999999</v>
      </c>
      <c r="F92" s="1745">
        <f t="shared" si="106"/>
        <v>104132452.60000001</v>
      </c>
      <c r="G92" s="1121">
        <f>'Diciembre - 2019  '!$M$33</f>
        <v>4753878.6400000006</v>
      </c>
      <c r="H92" s="1121">
        <f>'Diciembre - 2019  '!$M$54</f>
        <v>5690.5</v>
      </c>
      <c r="I92" s="1121">
        <f t="shared" si="107"/>
        <v>4759569.1400000006</v>
      </c>
      <c r="J92" s="2067">
        <f>'Diciembre - 2019  '!$H$22</f>
        <v>0.14799999999999999</v>
      </c>
      <c r="K92" s="2069">
        <f>'Diciembre - 2019  '!$I$22</f>
        <v>1.4200000000000001E-2</v>
      </c>
      <c r="L92" s="1104">
        <f t="shared" si="108"/>
        <v>29</v>
      </c>
      <c r="M92" s="1153">
        <v>31482654</v>
      </c>
      <c r="N92" s="1107">
        <f t="shared" si="109"/>
        <v>1085608.7586206896</v>
      </c>
      <c r="O92" s="1164">
        <f>'Diciembre - 2019  '!$I$22</f>
        <v>1.4200000000000001E-2</v>
      </c>
      <c r="P92" s="1118">
        <f t="shared" si="110"/>
        <v>5869182.201933383</v>
      </c>
      <c r="Q92" s="1118">
        <f>'Diciembre - 2019  '!$K$54</f>
        <v>6190010.4432046823</v>
      </c>
      <c r="R92" s="1117">
        <f>'Diciembre - 2019  '!$L$15</f>
        <v>0</v>
      </c>
      <c r="S92" s="1743">
        <f t="shared" si="111"/>
        <v>21.878546048392941</v>
      </c>
      <c r="T92" s="1753">
        <f>'Diciembre - 2019  '!$Z$89</f>
        <v>0</v>
      </c>
      <c r="U92" s="1107">
        <f>'Diciembre - 2019  '!$AA$89</f>
        <v>0</v>
      </c>
      <c r="V92" s="1107">
        <f t="shared" si="112"/>
        <v>0</v>
      </c>
      <c r="W92" s="1107" t="e">
        <f t="shared" si="113"/>
        <v>#VALUE!</v>
      </c>
      <c r="X92" s="1108">
        <f t="shared" si="114"/>
        <v>213448.63597257526</v>
      </c>
      <c r="Y92" s="1109">
        <f t="shared" si="115"/>
        <v>31482654</v>
      </c>
      <c r="Z92" s="1109">
        <f t="shared" si="116"/>
        <v>6190010.4432046823</v>
      </c>
      <c r="AA92" s="1110">
        <f t="shared" si="117"/>
        <v>25292643.556795318</v>
      </c>
      <c r="AB92" s="1119">
        <f t="shared" si="118"/>
        <v>0.1966165382119526</v>
      </c>
      <c r="AC92" s="1754">
        <f t="shared" si="119"/>
        <v>0.80338346178804743</v>
      </c>
    </row>
    <row r="93" spans="2:29" hidden="1" x14ac:dyDescent="0.25">
      <c r="B93" s="1113">
        <f t="shared" si="105"/>
        <v>2020</v>
      </c>
      <c r="C93" s="1114">
        <v>43891</v>
      </c>
      <c r="D93" s="1744">
        <f>'Diciembre - 2019  '!$N$34+'Diciembre - 2019  '!$N$43</f>
        <v>104018642.60000001</v>
      </c>
      <c r="E93" s="1121">
        <f>'Diciembre - 2019  '!$N$54</f>
        <v>113809.99999999999</v>
      </c>
      <c r="F93" s="1745">
        <f t="shared" si="106"/>
        <v>104132452.60000001</v>
      </c>
      <c r="G93" s="1121">
        <f>'Diciembre - 2019  '!$M$33</f>
        <v>4753878.6400000006</v>
      </c>
      <c r="H93" s="1121">
        <f>'Diciembre - 2019  '!$M$54</f>
        <v>5690.5</v>
      </c>
      <c r="I93" s="1121">
        <f t="shared" si="107"/>
        <v>4759569.1400000006</v>
      </c>
      <c r="J93" s="2067">
        <f>'Diciembre - 2019  '!$H$22</f>
        <v>0.14799999999999999</v>
      </c>
      <c r="K93" s="2069">
        <f>'Diciembre - 2019  '!$I$22</f>
        <v>1.4200000000000001E-2</v>
      </c>
      <c r="L93" s="1104">
        <f t="shared" si="108"/>
        <v>31</v>
      </c>
      <c r="M93" s="1153">
        <v>31482655</v>
      </c>
      <c r="N93" s="1107">
        <f t="shared" si="109"/>
        <v>1015569.5161290322</v>
      </c>
      <c r="O93" s="1164">
        <f>'Diciembre - 2019  '!$I$22</f>
        <v>1.4200000000000001E-2</v>
      </c>
      <c r="P93" s="1118">
        <f t="shared" si="110"/>
        <v>5869182.201933383</v>
      </c>
      <c r="Q93" s="1118">
        <f>'Diciembre - 2019  '!$K$54</f>
        <v>6190010.4432046823</v>
      </c>
      <c r="R93" s="1117">
        <f>'Diciembre - 2019  '!$L$15</f>
        <v>0</v>
      </c>
      <c r="S93" s="1743">
        <f t="shared" si="111"/>
        <v>21.878546048392941</v>
      </c>
      <c r="T93" s="1753">
        <f>'Diciembre - 2019  '!$Z$89</f>
        <v>0</v>
      </c>
      <c r="U93" s="1107">
        <f>'Diciembre - 2019  '!$AA$89</f>
        <v>0</v>
      </c>
      <c r="V93" s="1107">
        <f t="shared" si="112"/>
        <v>0</v>
      </c>
      <c r="W93" s="1107" t="e">
        <f t="shared" si="113"/>
        <v>#VALUE!</v>
      </c>
      <c r="X93" s="1108">
        <f t="shared" si="114"/>
        <v>199677.7562324091</v>
      </c>
      <c r="Y93" s="1109">
        <f t="shared" si="115"/>
        <v>31482655</v>
      </c>
      <c r="Z93" s="1109">
        <f t="shared" si="116"/>
        <v>6190010.4432046823</v>
      </c>
      <c r="AA93" s="1110">
        <f t="shared" si="117"/>
        <v>25292644.556795318</v>
      </c>
      <c r="AB93" s="1119">
        <f t="shared" si="118"/>
        <v>0.19661653196671888</v>
      </c>
      <c r="AC93" s="1754">
        <f t="shared" si="119"/>
        <v>0.80338346803328109</v>
      </c>
    </row>
    <row r="94" spans="2:29" hidden="1" x14ac:dyDescent="0.25">
      <c r="B94" s="1113">
        <f t="shared" si="105"/>
        <v>2020</v>
      </c>
      <c r="C94" s="1114">
        <v>43922</v>
      </c>
      <c r="D94" s="1744">
        <f>'Diciembre - 2019  '!$N$34+'Diciembre - 2019  '!$N$43</f>
        <v>104018642.60000001</v>
      </c>
      <c r="E94" s="1121">
        <f>'Diciembre - 2019  '!$N$54</f>
        <v>113809.99999999999</v>
      </c>
      <c r="F94" s="1745">
        <f t="shared" si="106"/>
        <v>104132452.60000001</v>
      </c>
      <c r="G94" s="1121">
        <f>'Diciembre - 2019  '!$M$33</f>
        <v>4753878.6400000006</v>
      </c>
      <c r="H94" s="1121">
        <f>'Diciembre - 2019  '!$M$54</f>
        <v>5690.5</v>
      </c>
      <c r="I94" s="1121">
        <f t="shared" si="107"/>
        <v>4759569.1400000006</v>
      </c>
      <c r="J94" s="2067">
        <f>'Diciembre - 2019  '!$H$22</f>
        <v>0.14799999999999999</v>
      </c>
      <c r="K94" s="2069">
        <f>'Diciembre - 2019  '!$I$22</f>
        <v>1.4200000000000001E-2</v>
      </c>
      <c r="L94" s="1104">
        <f t="shared" si="108"/>
        <v>30</v>
      </c>
      <c r="M94" s="1153">
        <v>31482656</v>
      </c>
      <c r="N94" s="1107">
        <f t="shared" si="109"/>
        <v>1049421.8666666667</v>
      </c>
      <c r="O94" s="1164">
        <f>'Diciembre - 2019  '!$I$22</f>
        <v>1.4200000000000001E-2</v>
      </c>
      <c r="P94" s="1118">
        <f t="shared" si="110"/>
        <v>5869182.201933383</v>
      </c>
      <c r="Q94" s="1118">
        <f>'Diciembre - 2019  '!$K$54</f>
        <v>6190010.4432046823</v>
      </c>
      <c r="R94" s="1117">
        <f>'Diciembre - 2019  '!$L$15</f>
        <v>0</v>
      </c>
      <c r="S94" s="1743">
        <f t="shared" si="111"/>
        <v>21.878546048392941</v>
      </c>
      <c r="T94" s="1753">
        <f>'Diciembre - 2019  '!$Z$89</f>
        <v>0</v>
      </c>
      <c r="U94" s="1107">
        <f>'Diciembre - 2019  '!$AA$89</f>
        <v>0</v>
      </c>
      <c r="V94" s="1107">
        <f t="shared" si="112"/>
        <v>0</v>
      </c>
      <c r="W94" s="1107" t="e">
        <f t="shared" si="113"/>
        <v>#VALUE!</v>
      </c>
      <c r="X94" s="1108">
        <f t="shared" si="114"/>
        <v>206333.68144015607</v>
      </c>
      <c r="Y94" s="1109">
        <f t="shared" si="115"/>
        <v>31482656</v>
      </c>
      <c r="Z94" s="1109">
        <f t="shared" si="116"/>
        <v>6190010.4432046823</v>
      </c>
      <c r="AA94" s="1110">
        <f t="shared" si="117"/>
        <v>25292645.556795318</v>
      </c>
      <c r="AB94" s="1119">
        <f t="shared" si="118"/>
        <v>0.19661652572148558</v>
      </c>
      <c r="AC94" s="1754">
        <f t="shared" si="119"/>
        <v>0.80338347427851442</v>
      </c>
    </row>
    <row r="95" spans="2:29" hidden="1" x14ac:dyDescent="0.25">
      <c r="B95" s="1113">
        <f t="shared" si="105"/>
        <v>2020</v>
      </c>
      <c r="C95" s="1114">
        <v>43952</v>
      </c>
      <c r="D95" s="1744">
        <f>'Diciembre - 2019  '!$N$34+'Diciembre - 2019  '!$N$43</f>
        <v>104018642.60000001</v>
      </c>
      <c r="E95" s="1121">
        <f>'Diciembre - 2019  '!$N$54</f>
        <v>113809.99999999999</v>
      </c>
      <c r="F95" s="1745">
        <f t="shared" si="106"/>
        <v>104132452.60000001</v>
      </c>
      <c r="G95" s="1121">
        <f>'Diciembre - 2019  '!$M$33</f>
        <v>4753878.6400000006</v>
      </c>
      <c r="H95" s="1121">
        <f>'Diciembre - 2019  '!$M$54</f>
        <v>5690.5</v>
      </c>
      <c r="I95" s="1121">
        <f t="shared" si="107"/>
        <v>4759569.1400000006</v>
      </c>
      <c r="J95" s="2067">
        <f>'Diciembre - 2019  '!$H$22</f>
        <v>0.14799999999999999</v>
      </c>
      <c r="K95" s="2069">
        <f>'Diciembre - 2019  '!$I$22</f>
        <v>1.4200000000000001E-2</v>
      </c>
      <c r="L95" s="1104">
        <f t="shared" si="108"/>
        <v>31</v>
      </c>
      <c r="M95" s="1153">
        <v>31482657</v>
      </c>
      <c r="N95" s="1107">
        <f t="shared" si="109"/>
        <v>1015569.5806451613</v>
      </c>
      <c r="O95" s="1164">
        <f>'Diciembre - 2019  '!$I$22</f>
        <v>1.4200000000000001E-2</v>
      </c>
      <c r="P95" s="1118">
        <f t="shared" si="110"/>
        <v>5869182.201933383</v>
      </c>
      <c r="Q95" s="1118">
        <f>'Diciembre - 2019  '!$K$54</f>
        <v>6190010.4432046823</v>
      </c>
      <c r="R95" s="1117">
        <f>'Diciembre - 2019  '!$L$15</f>
        <v>0</v>
      </c>
      <c r="S95" s="1743">
        <f t="shared" si="111"/>
        <v>21.878546048392941</v>
      </c>
      <c r="T95" s="1753">
        <f>'Diciembre - 2019  '!$Z$89</f>
        <v>0</v>
      </c>
      <c r="U95" s="1107">
        <f>'Diciembre - 2019  '!$AA$89</f>
        <v>0</v>
      </c>
      <c r="V95" s="1107">
        <f t="shared" si="112"/>
        <v>0</v>
      </c>
      <c r="W95" s="1107" t="e">
        <f t="shared" si="113"/>
        <v>#VALUE!</v>
      </c>
      <c r="X95" s="1108">
        <f t="shared" si="114"/>
        <v>199677.7562324091</v>
      </c>
      <c r="Y95" s="1109">
        <f t="shared" si="115"/>
        <v>31482657</v>
      </c>
      <c r="Z95" s="1109">
        <f t="shared" si="116"/>
        <v>6190010.4432046823</v>
      </c>
      <c r="AA95" s="1110">
        <f t="shared" si="117"/>
        <v>25292646.556795318</v>
      </c>
      <c r="AB95" s="1119">
        <f t="shared" si="118"/>
        <v>0.19661651947625267</v>
      </c>
      <c r="AC95" s="1754">
        <f t="shared" si="119"/>
        <v>0.80338348052374731</v>
      </c>
    </row>
    <row r="96" spans="2:29" hidden="1" x14ac:dyDescent="0.25">
      <c r="B96" s="1113">
        <f t="shared" si="105"/>
        <v>2020</v>
      </c>
      <c r="C96" s="1114">
        <v>43983</v>
      </c>
      <c r="D96" s="1744">
        <f>'Diciembre - 2019  '!$N$34+'Diciembre - 2019  '!$N$43</f>
        <v>104018642.60000001</v>
      </c>
      <c r="E96" s="1121">
        <f>'Diciembre - 2019  '!$N$54</f>
        <v>113809.99999999999</v>
      </c>
      <c r="F96" s="1745">
        <f t="shared" si="106"/>
        <v>104132452.60000001</v>
      </c>
      <c r="G96" s="1121">
        <f>'Diciembre - 2019  '!$M$33</f>
        <v>4753878.6400000006</v>
      </c>
      <c r="H96" s="1121">
        <f>'Diciembre - 2019  '!$M$54</f>
        <v>5690.5</v>
      </c>
      <c r="I96" s="1121">
        <f t="shared" si="107"/>
        <v>4759569.1400000006</v>
      </c>
      <c r="J96" s="2067">
        <f>'Diciembre - 2019  '!$H$22</f>
        <v>0.14799999999999999</v>
      </c>
      <c r="K96" s="2069">
        <f>'Diciembre - 2019  '!$I$22</f>
        <v>1.4200000000000001E-2</v>
      </c>
      <c r="L96" s="1104">
        <f t="shared" si="108"/>
        <v>30</v>
      </c>
      <c r="M96" s="1153">
        <v>31482658</v>
      </c>
      <c r="N96" s="1107">
        <f t="shared" si="109"/>
        <v>1049421.9333333333</v>
      </c>
      <c r="O96" s="1164">
        <f>'Diciembre - 2019  '!$I$22</f>
        <v>1.4200000000000001E-2</v>
      </c>
      <c r="P96" s="1118">
        <f t="shared" si="110"/>
        <v>5869182.201933383</v>
      </c>
      <c r="Q96" s="1118">
        <f>'Diciembre - 2019  '!$K$54</f>
        <v>6190010.4432046823</v>
      </c>
      <c r="R96" s="1117">
        <f>'Diciembre - 2019  '!$L$15</f>
        <v>0</v>
      </c>
      <c r="S96" s="1743">
        <f t="shared" si="111"/>
        <v>21.878546048392941</v>
      </c>
      <c r="T96" s="1753">
        <f>'Diciembre - 2019  '!$Z$89</f>
        <v>0</v>
      </c>
      <c r="U96" s="1107">
        <f>'Diciembre - 2019  '!$AA$89</f>
        <v>0</v>
      </c>
      <c r="V96" s="1107">
        <f t="shared" si="112"/>
        <v>0</v>
      </c>
      <c r="W96" s="1107" t="e">
        <f t="shared" si="113"/>
        <v>#VALUE!</v>
      </c>
      <c r="X96" s="1108">
        <f t="shared" si="114"/>
        <v>206333.68144015607</v>
      </c>
      <c r="Y96" s="1109">
        <f t="shared" si="115"/>
        <v>31482658</v>
      </c>
      <c r="Z96" s="1109">
        <f t="shared" si="116"/>
        <v>6190010.4432046823</v>
      </c>
      <c r="AA96" s="1110">
        <f t="shared" si="117"/>
        <v>25292647.556795318</v>
      </c>
      <c r="AB96" s="1119">
        <f t="shared" si="118"/>
        <v>0.19661651323102014</v>
      </c>
      <c r="AC96" s="1754">
        <f t="shared" si="119"/>
        <v>0.80338348676897986</v>
      </c>
    </row>
    <row r="97" spans="2:29" hidden="1" x14ac:dyDescent="0.25">
      <c r="B97" s="1113">
        <f t="shared" si="105"/>
        <v>2020</v>
      </c>
      <c r="C97" s="1114">
        <v>44013</v>
      </c>
      <c r="D97" s="1744">
        <f>'Diciembre - 2019  '!$N$34+'Diciembre - 2019  '!$N$43</f>
        <v>104018642.60000001</v>
      </c>
      <c r="E97" s="1121">
        <f>'Diciembre - 2019  '!$N$54</f>
        <v>113809.99999999999</v>
      </c>
      <c r="F97" s="1745">
        <f t="shared" si="106"/>
        <v>104132452.60000001</v>
      </c>
      <c r="G97" s="1121">
        <f>'Diciembre - 2019  '!$M$33</f>
        <v>4753878.6400000006</v>
      </c>
      <c r="H97" s="1121">
        <f>'Diciembre - 2019  '!$M$54</f>
        <v>5690.5</v>
      </c>
      <c r="I97" s="1121">
        <f t="shared" si="107"/>
        <v>4759569.1400000006</v>
      </c>
      <c r="J97" s="2067">
        <f>'Diciembre - 2019  '!$H$22</f>
        <v>0.14799999999999999</v>
      </c>
      <c r="K97" s="2069">
        <f>'Diciembre - 2019  '!$I$22</f>
        <v>1.4200000000000001E-2</v>
      </c>
      <c r="L97" s="1104">
        <f t="shared" si="108"/>
        <v>31</v>
      </c>
      <c r="M97" s="1153">
        <v>31482659</v>
      </c>
      <c r="N97" s="1107">
        <f t="shared" si="109"/>
        <v>1015569.6451612903</v>
      </c>
      <c r="O97" s="1164">
        <f>'Diciembre - 2019  '!$I$22</f>
        <v>1.4200000000000001E-2</v>
      </c>
      <c r="P97" s="1118">
        <f t="shared" si="110"/>
        <v>5869182.201933383</v>
      </c>
      <c r="Q97" s="1118">
        <f>'Diciembre - 2019  '!$K$54</f>
        <v>6190010.4432046823</v>
      </c>
      <c r="R97" s="1117">
        <f>'Diciembre - 2019  '!$L$15</f>
        <v>0</v>
      </c>
      <c r="S97" s="1743">
        <f t="shared" si="111"/>
        <v>21.878546048392941</v>
      </c>
      <c r="T97" s="1753">
        <f>'Diciembre - 2019  '!$Z$89</f>
        <v>0</v>
      </c>
      <c r="U97" s="1107">
        <f>'Diciembre - 2019  '!$AA$89</f>
        <v>0</v>
      </c>
      <c r="V97" s="1107">
        <f t="shared" si="112"/>
        <v>0</v>
      </c>
      <c r="W97" s="1107" t="e">
        <f t="shared" si="113"/>
        <v>#VALUE!</v>
      </c>
      <c r="X97" s="1108">
        <f t="shared" si="114"/>
        <v>199677.7562324091</v>
      </c>
      <c r="Y97" s="1109">
        <f t="shared" si="115"/>
        <v>31482659</v>
      </c>
      <c r="Z97" s="1109">
        <f t="shared" si="116"/>
        <v>6190010.4432046823</v>
      </c>
      <c r="AA97" s="1110">
        <f t="shared" si="117"/>
        <v>25292648.556795318</v>
      </c>
      <c r="AB97" s="1119">
        <f t="shared" si="118"/>
        <v>0.19661650698578803</v>
      </c>
      <c r="AC97" s="1754">
        <f t="shared" si="119"/>
        <v>0.80338349301421197</v>
      </c>
    </row>
    <row r="98" spans="2:29" hidden="1" x14ac:dyDescent="0.25">
      <c r="B98" s="1113">
        <f t="shared" si="105"/>
        <v>2020</v>
      </c>
      <c r="C98" s="1114">
        <v>44044</v>
      </c>
      <c r="D98" s="1744">
        <f>'Diciembre - 2019  '!$N$34+'Diciembre - 2019  '!$N$43</f>
        <v>104018642.60000001</v>
      </c>
      <c r="E98" s="1121">
        <f>'Diciembre - 2019  '!$N$54</f>
        <v>113809.99999999999</v>
      </c>
      <c r="F98" s="1745">
        <f t="shared" si="106"/>
        <v>104132452.60000001</v>
      </c>
      <c r="G98" s="1121">
        <f>'Diciembre - 2019  '!$M$33</f>
        <v>4753878.6400000006</v>
      </c>
      <c r="H98" s="1121">
        <f>'Diciembre - 2019  '!$M$54</f>
        <v>5690.5</v>
      </c>
      <c r="I98" s="1121">
        <f t="shared" si="107"/>
        <v>4759569.1400000006</v>
      </c>
      <c r="J98" s="2067">
        <f>'Diciembre - 2019  '!$H$22</f>
        <v>0.14799999999999999</v>
      </c>
      <c r="K98" s="2069">
        <f>'Diciembre - 2019  '!$I$22</f>
        <v>1.4200000000000001E-2</v>
      </c>
      <c r="L98" s="1104">
        <f t="shared" si="108"/>
        <v>31</v>
      </c>
      <c r="M98" s="1153">
        <v>31482660</v>
      </c>
      <c r="N98" s="1107">
        <f t="shared" si="109"/>
        <v>1015569.6774193548</v>
      </c>
      <c r="O98" s="1164">
        <f>'Diciembre - 2019  '!$I$22</f>
        <v>1.4200000000000001E-2</v>
      </c>
      <c r="P98" s="1118">
        <f t="shared" si="110"/>
        <v>5869182.201933383</v>
      </c>
      <c r="Q98" s="1118">
        <f>'Diciembre - 2019  '!$K$54</f>
        <v>6190010.4432046823</v>
      </c>
      <c r="R98" s="1117">
        <f>'Diciembre - 2019  '!$L$15</f>
        <v>0</v>
      </c>
      <c r="S98" s="1743">
        <f t="shared" si="111"/>
        <v>21.878546048392941</v>
      </c>
      <c r="T98" s="1753">
        <f>'Diciembre - 2019  '!$Z$89</f>
        <v>0</v>
      </c>
      <c r="U98" s="1107">
        <f>'Diciembre - 2019  '!$AA$89</f>
        <v>0</v>
      </c>
      <c r="V98" s="1107">
        <f t="shared" si="112"/>
        <v>0</v>
      </c>
      <c r="W98" s="1107" t="e">
        <f t="shared" si="113"/>
        <v>#VALUE!</v>
      </c>
      <c r="X98" s="1108">
        <f t="shared" si="114"/>
        <v>199677.7562324091</v>
      </c>
      <c r="Y98" s="1109">
        <f t="shared" si="115"/>
        <v>31482660</v>
      </c>
      <c r="Z98" s="1109">
        <f t="shared" si="116"/>
        <v>6190010.4432046823</v>
      </c>
      <c r="AA98" s="1110">
        <f t="shared" si="117"/>
        <v>25292649.556795318</v>
      </c>
      <c r="AB98" s="1119">
        <f t="shared" si="118"/>
        <v>0.19661650074055631</v>
      </c>
      <c r="AC98" s="1754">
        <f t="shared" si="119"/>
        <v>0.80338349925944375</v>
      </c>
    </row>
    <row r="99" spans="2:29" hidden="1" x14ac:dyDescent="0.25">
      <c r="B99" s="1113">
        <f t="shared" si="105"/>
        <v>2020</v>
      </c>
      <c r="C99" s="1114">
        <v>44075</v>
      </c>
      <c r="D99" s="1744">
        <f>'Diciembre - 2019  '!$N$34+'Diciembre - 2019  '!$N$43</f>
        <v>104018642.60000001</v>
      </c>
      <c r="E99" s="1121">
        <f>'Diciembre - 2019  '!$N$54</f>
        <v>113809.99999999999</v>
      </c>
      <c r="F99" s="1745">
        <f t="shared" si="106"/>
        <v>104132452.60000001</v>
      </c>
      <c r="G99" s="1121">
        <f>'Diciembre - 2019  '!$M$33</f>
        <v>4753878.6400000006</v>
      </c>
      <c r="H99" s="1121">
        <f>'Diciembre - 2019  '!$M$54</f>
        <v>5690.5</v>
      </c>
      <c r="I99" s="1121">
        <f t="shared" si="107"/>
        <v>4759569.1400000006</v>
      </c>
      <c r="J99" s="2067">
        <f>'Diciembre - 2019  '!$H$22</f>
        <v>0.14799999999999999</v>
      </c>
      <c r="K99" s="2069">
        <f>'Diciembre - 2019  '!$I$22</f>
        <v>1.4200000000000001E-2</v>
      </c>
      <c r="L99" s="1104">
        <f t="shared" si="108"/>
        <v>30</v>
      </c>
      <c r="M99" s="1153">
        <v>31482661</v>
      </c>
      <c r="N99" s="1107">
        <f t="shared" si="109"/>
        <v>1049422.0333333334</v>
      </c>
      <c r="O99" s="1164">
        <f>'Diciembre - 2019  '!$I$22</f>
        <v>1.4200000000000001E-2</v>
      </c>
      <c r="P99" s="1118">
        <f t="shared" si="110"/>
        <v>5869182.201933383</v>
      </c>
      <c r="Q99" s="1118">
        <f>'Diciembre - 2019  '!$K$54</f>
        <v>6190010.4432046823</v>
      </c>
      <c r="R99" s="1117">
        <f>'Diciembre - 2019  '!$L$15</f>
        <v>0</v>
      </c>
      <c r="S99" s="1743">
        <f t="shared" si="111"/>
        <v>21.878546048392941</v>
      </c>
      <c r="T99" s="1753">
        <f>'Diciembre - 2019  '!$Z$89</f>
        <v>0</v>
      </c>
      <c r="U99" s="1107">
        <f>'Diciembre - 2019  '!$AA$89</f>
        <v>0</v>
      </c>
      <c r="V99" s="1107">
        <f t="shared" si="112"/>
        <v>0</v>
      </c>
      <c r="W99" s="1107" t="e">
        <f t="shared" si="113"/>
        <v>#VALUE!</v>
      </c>
      <c r="X99" s="1108">
        <f t="shared" si="114"/>
        <v>206333.68144015607</v>
      </c>
      <c r="Y99" s="1109">
        <f t="shared" si="115"/>
        <v>31482661</v>
      </c>
      <c r="Z99" s="1109">
        <f t="shared" si="116"/>
        <v>6190010.4432046823</v>
      </c>
      <c r="AA99" s="1110">
        <f t="shared" si="117"/>
        <v>25292650.556795318</v>
      </c>
      <c r="AB99" s="1119">
        <f t="shared" si="118"/>
        <v>0.19661649449532498</v>
      </c>
      <c r="AC99" s="1754">
        <f t="shared" si="119"/>
        <v>0.80338350550467497</v>
      </c>
    </row>
    <row r="100" spans="2:29" hidden="1" x14ac:dyDescent="0.25">
      <c r="B100" s="1113">
        <f t="shared" si="105"/>
        <v>2020</v>
      </c>
      <c r="C100" s="1114">
        <v>44105</v>
      </c>
      <c r="D100" s="1744">
        <f>'Diciembre - 2019  '!$N$34+'Diciembre - 2019  '!$N$43</f>
        <v>104018642.60000001</v>
      </c>
      <c r="E100" s="1121">
        <f>'Diciembre - 2019  '!$N$54</f>
        <v>113809.99999999999</v>
      </c>
      <c r="F100" s="1745">
        <f t="shared" si="106"/>
        <v>104132452.60000001</v>
      </c>
      <c r="G100" s="1121">
        <f>'Diciembre - 2019  '!$M$33</f>
        <v>4753878.6400000006</v>
      </c>
      <c r="H100" s="1121">
        <f>'Diciembre - 2019  '!$M$54</f>
        <v>5690.5</v>
      </c>
      <c r="I100" s="1121">
        <f t="shared" si="107"/>
        <v>4759569.1400000006</v>
      </c>
      <c r="J100" s="2067">
        <f>'Diciembre - 2019  '!$H$22</f>
        <v>0.14799999999999999</v>
      </c>
      <c r="K100" s="2069">
        <f>'Diciembre - 2019  '!$I$22</f>
        <v>1.4200000000000001E-2</v>
      </c>
      <c r="L100" s="1104">
        <f t="shared" si="108"/>
        <v>31</v>
      </c>
      <c r="M100" s="1153">
        <v>31482662</v>
      </c>
      <c r="N100" s="1107">
        <f t="shared" si="109"/>
        <v>1015569.7419354839</v>
      </c>
      <c r="O100" s="1164">
        <f>'Diciembre - 2019  '!$I$22</f>
        <v>1.4200000000000001E-2</v>
      </c>
      <c r="P100" s="1118">
        <f t="shared" si="110"/>
        <v>5869182.201933383</v>
      </c>
      <c r="Q100" s="1118">
        <f>'Diciembre - 2019  '!$K$54</f>
        <v>6190010.4432046823</v>
      </c>
      <c r="R100" s="1117">
        <f>'Diciembre - 2019  '!$L$15</f>
        <v>0</v>
      </c>
      <c r="S100" s="1743">
        <f t="shared" si="111"/>
        <v>21.878546048392941</v>
      </c>
      <c r="T100" s="1753">
        <f>'Diciembre - 2019  '!$Z$89</f>
        <v>0</v>
      </c>
      <c r="U100" s="1107">
        <f>'Diciembre - 2019  '!$AA$89</f>
        <v>0</v>
      </c>
      <c r="V100" s="1107">
        <f t="shared" si="112"/>
        <v>0</v>
      </c>
      <c r="W100" s="1107" t="e">
        <f t="shared" si="113"/>
        <v>#VALUE!</v>
      </c>
      <c r="X100" s="1108">
        <f t="shared" si="114"/>
        <v>199677.7562324091</v>
      </c>
      <c r="Y100" s="1109">
        <f t="shared" si="115"/>
        <v>31482662</v>
      </c>
      <c r="Z100" s="1109">
        <f t="shared" si="116"/>
        <v>6190010.4432046823</v>
      </c>
      <c r="AA100" s="1110">
        <f t="shared" si="117"/>
        <v>25292651.556795318</v>
      </c>
      <c r="AB100" s="1119">
        <f t="shared" si="118"/>
        <v>0.19661648825009403</v>
      </c>
      <c r="AC100" s="1754">
        <f t="shared" si="119"/>
        <v>0.80338351174990597</v>
      </c>
    </row>
    <row r="101" spans="2:29" hidden="1" x14ac:dyDescent="0.25">
      <c r="B101" s="1113">
        <f t="shared" si="105"/>
        <v>2020</v>
      </c>
      <c r="C101" s="1114">
        <v>44136</v>
      </c>
      <c r="D101" s="1744">
        <f>'Diciembre - 2019  '!$N$34+'Diciembre - 2019  '!$N$43</f>
        <v>104018642.60000001</v>
      </c>
      <c r="E101" s="1121">
        <f>'Diciembre - 2019  '!$N$54</f>
        <v>113809.99999999999</v>
      </c>
      <c r="F101" s="1745">
        <f t="shared" si="106"/>
        <v>104132452.60000001</v>
      </c>
      <c r="G101" s="1121">
        <f>'Diciembre - 2019  '!$M$33</f>
        <v>4753878.6400000006</v>
      </c>
      <c r="H101" s="1121">
        <f>'Diciembre - 2019  '!$M$54</f>
        <v>5690.5</v>
      </c>
      <c r="I101" s="1121">
        <f t="shared" si="107"/>
        <v>4759569.1400000006</v>
      </c>
      <c r="J101" s="2067">
        <f>'Diciembre - 2019  '!$H$22</f>
        <v>0.14799999999999999</v>
      </c>
      <c r="K101" s="2069">
        <f>'Diciembre - 2019  '!$I$22</f>
        <v>1.4200000000000001E-2</v>
      </c>
      <c r="L101" s="1104">
        <f t="shared" si="108"/>
        <v>30</v>
      </c>
      <c r="M101" s="1153">
        <v>31482663</v>
      </c>
      <c r="N101" s="1107">
        <f t="shared" si="109"/>
        <v>1049422.1000000001</v>
      </c>
      <c r="O101" s="1164">
        <f>'Diciembre - 2019  '!$I$22</f>
        <v>1.4200000000000001E-2</v>
      </c>
      <c r="P101" s="1118">
        <f t="shared" si="110"/>
        <v>5869182.201933383</v>
      </c>
      <c r="Q101" s="1118">
        <f>'Diciembre - 2019  '!$K$54</f>
        <v>6190010.4432046823</v>
      </c>
      <c r="R101" s="1117">
        <f>'Diciembre - 2019  '!$L$15</f>
        <v>0</v>
      </c>
      <c r="S101" s="1743">
        <f t="shared" si="111"/>
        <v>21.878546048392941</v>
      </c>
      <c r="T101" s="1753">
        <f>'Diciembre - 2019  '!$Z$89</f>
        <v>0</v>
      </c>
      <c r="U101" s="1107">
        <f>'Diciembre - 2019  '!$AA$89</f>
        <v>0</v>
      </c>
      <c r="V101" s="1107">
        <f t="shared" si="112"/>
        <v>0</v>
      </c>
      <c r="W101" s="1107" t="e">
        <f t="shared" si="113"/>
        <v>#VALUE!</v>
      </c>
      <c r="X101" s="1108">
        <f t="shared" si="114"/>
        <v>206333.68144015607</v>
      </c>
      <c r="Y101" s="1109">
        <f t="shared" si="115"/>
        <v>31482663</v>
      </c>
      <c r="Z101" s="1109">
        <f t="shared" si="116"/>
        <v>6190010.4432046823</v>
      </c>
      <c r="AA101" s="1110">
        <f t="shared" si="117"/>
        <v>25292652.556795318</v>
      </c>
      <c r="AB101" s="1119">
        <f t="shared" si="118"/>
        <v>0.19661648200486351</v>
      </c>
      <c r="AC101" s="1754">
        <f t="shared" si="119"/>
        <v>0.80338351799513652</v>
      </c>
    </row>
    <row r="102" spans="2:29" hidden="1" x14ac:dyDescent="0.25">
      <c r="B102" s="1113">
        <f t="shared" si="105"/>
        <v>2020</v>
      </c>
      <c r="C102" s="1114">
        <v>44166</v>
      </c>
      <c r="D102" s="1744">
        <f>'Diciembre - 2019  '!$N$34+'Diciembre - 2019  '!$N$43</f>
        <v>104018642.60000001</v>
      </c>
      <c r="E102" s="1121">
        <f>'Diciembre - 2019  '!$N$54</f>
        <v>113809.99999999999</v>
      </c>
      <c r="F102" s="1745">
        <f t="shared" si="106"/>
        <v>104132452.60000001</v>
      </c>
      <c r="G102" s="1121">
        <f>'Diciembre - 2019  '!$M$33</f>
        <v>4753878.6400000006</v>
      </c>
      <c r="H102" s="1121">
        <f>'Diciembre - 2019  '!$M$54</f>
        <v>5690.5</v>
      </c>
      <c r="I102" s="1121">
        <f t="shared" si="107"/>
        <v>4759569.1400000006</v>
      </c>
      <c r="J102" s="2067">
        <f>'Diciembre - 2019  '!$H$22</f>
        <v>0.14799999999999999</v>
      </c>
      <c r="K102" s="2069">
        <f>'Diciembre - 2019  '!$I$22</f>
        <v>1.4200000000000001E-2</v>
      </c>
      <c r="L102" s="1104">
        <f t="shared" si="108"/>
        <v>31</v>
      </c>
      <c r="M102" s="1153">
        <v>31482664</v>
      </c>
      <c r="N102" s="1107">
        <f t="shared" si="109"/>
        <v>1015569.8064516129</v>
      </c>
      <c r="O102" s="1164">
        <f>'Diciembre - 2019  '!$I$22</f>
        <v>1.4200000000000001E-2</v>
      </c>
      <c r="P102" s="1118">
        <f t="shared" si="110"/>
        <v>5869182.201933383</v>
      </c>
      <c r="Q102" s="1118">
        <f>'Diciembre - 2019  '!$K$54</f>
        <v>6190010.4432046823</v>
      </c>
      <c r="R102" s="1117">
        <f>'Diciembre - 2019  '!$L$15</f>
        <v>0</v>
      </c>
      <c r="S102" s="1743">
        <f t="shared" si="111"/>
        <v>21.878546048392941</v>
      </c>
      <c r="T102" s="1753">
        <f>'Diciembre - 2019  '!$Z$89</f>
        <v>0</v>
      </c>
      <c r="U102" s="1107">
        <f>'Diciembre - 2019  '!$AA$89</f>
        <v>0</v>
      </c>
      <c r="V102" s="1107">
        <f t="shared" si="112"/>
        <v>0</v>
      </c>
      <c r="W102" s="1107" t="e">
        <f t="shared" si="113"/>
        <v>#VALUE!</v>
      </c>
      <c r="X102" s="1108">
        <f t="shared" si="114"/>
        <v>199677.7562324091</v>
      </c>
      <c r="Y102" s="1109">
        <f t="shared" si="115"/>
        <v>31482664</v>
      </c>
      <c r="Z102" s="1109">
        <f t="shared" si="116"/>
        <v>6190010.4432046823</v>
      </c>
      <c r="AA102" s="1110">
        <f t="shared" si="117"/>
        <v>25292653.556795318</v>
      </c>
      <c r="AB102" s="1119">
        <f t="shared" si="118"/>
        <v>0.19661647575963337</v>
      </c>
      <c r="AC102" s="1754">
        <f t="shared" si="119"/>
        <v>0.80338352424036663</v>
      </c>
    </row>
    <row r="103" spans="2:29" hidden="1" x14ac:dyDescent="0.25">
      <c r="B103" s="1113">
        <f t="shared" si="105"/>
        <v>2021</v>
      </c>
      <c r="C103" s="1114">
        <v>44197</v>
      </c>
      <c r="D103" s="1744">
        <f>'Diciembre - 2019  '!$N$34+'Diciembre - 2019  '!$N$43</f>
        <v>104018642.60000001</v>
      </c>
      <c r="E103" s="1121">
        <f>'Diciembre - 2019  '!$N$54</f>
        <v>113809.99999999999</v>
      </c>
      <c r="F103" s="1745">
        <f t="shared" si="106"/>
        <v>104132452.60000001</v>
      </c>
      <c r="G103" s="1121">
        <f>'Diciembre - 2019  '!$M$33</f>
        <v>4753878.6400000006</v>
      </c>
      <c r="H103" s="1121">
        <f>'Diciembre - 2019  '!$M$54</f>
        <v>5690.5</v>
      </c>
      <c r="I103" s="1121">
        <f t="shared" si="107"/>
        <v>4759569.1400000006</v>
      </c>
      <c r="J103" s="2067">
        <f>'Diciembre - 2019  '!$H$22</f>
        <v>0.14799999999999999</v>
      </c>
      <c r="K103" s="2069">
        <f>'Diciembre - 2019  '!$I$22</f>
        <v>1.4200000000000001E-2</v>
      </c>
      <c r="L103" s="1104">
        <f t="shared" si="108"/>
        <v>31</v>
      </c>
      <c r="M103" s="1153">
        <v>31482665</v>
      </c>
      <c r="N103" s="1107">
        <f t="shared" si="109"/>
        <v>1015569.8387096775</v>
      </c>
      <c r="O103" s="1164">
        <f>'Diciembre - 2019  '!$I$22</f>
        <v>1.4200000000000001E-2</v>
      </c>
      <c r="P103" s="1118">
        <f t="shared" si="110"/>
        <v>5869182.201933383</v>
      </c>
      <c r="Q103" s="1118">
        <f>'Diciembre - 2019  '!$K$54</f>
        <v>6190010.4432046823</v>
      </c>
      <c r="R103" s="1117">
        <f>'Diciembre - 2019  '!$L$15</f>
        <v>0</v>
      </c>
      <c r="S103" s="1743">
        <f t="shared" si="111"/>
        <v>21.878546048392941</v>
      </c>
      <c r="T103" s="1753">
        <f>'Diciembre - 2019  '!$Z$89</f>
        <v>0</v>
      </c>
      <c r="U103" s="1107">
        <f>'Diciembre - 2019  '!$AA$89</f>
        <v>0</v>
      </c>
      <c r="V103" s="1107">
        <f t="shared" si="112"/>
        <v>0</v>
      </c>
      <c r="W103" s="1107" t="e">
        <f t="shared" si="113"/>
        <v>#VALUE!</v>
      </c>
      <c r="X103" s="1108">
        <f t="shared" si="114"/>
        <v>199677.7562324091</v>
      </c>
      <c r="Y103" s="1109">
        <f t="shared" si="115"/>
        <v>31482665</v>
      </c>
      <c r="Z103" s="1109">
        <f t="shared" si="116"/>
        <v>6190010.4432046823</v>
      </c>
      <c r="AA103" s="1110">
        <f t="shared" si="117"/>
        <v>25292654.556795318</v>
      </c>
      <c r="AB103" s="1119">
        <f t="shared" si="118"/>
        <v>0.19661646951440365</v>
      </c>
      <c r="AC103" s="1754">
        <f t="shared" si="119"/>
        <v>0.8033835304855963</v>
      </c>
    </row>
    <row r="104" spans="2:29" hidden="1" x14ac:dyDescent="0.25">
      <c r="B104" s="1113">
        <f t="shared" si="105"/>
        <v>2021</v>
      </c>
      <c r="C104" s="1114">
        <v>44228</v>
      </c>
      <c r="D104" s="1744">
        <f>'Diciembre - 2019  '!$N$34+'Diciembre - 2019  '!$N$43</f>
        <v>104018642.60000001</v>
      </c>
      <c r="E104" s="1121">
        <f>'Diciembre - 2019  '!$N$54</f>
        <v>113809.99999999999</v>
      </c>
      <c r="F104" s="1745">
        <f t="shared" si="106"/>
        <v>104132452.60000001</v>
      </c>
      <c r="G104" s="1121">
        <f>'Diciembre - 2019  '!$M$33</f>
        <v>4753878.6400000006</v>
      </c>
      <c r="H104" s="1121">
        <f>'Diciembre - 2019  '!$M$54</f>
        <v>5690.5</v>
      </c>
      <c r="I104" s="1121">
        <f t="shared" si="107"/>
        <v>4759569.1400000006</v>
      </c>
      <c r="J104" s="2067">
        <f>'Diciembre - 2019  '!$H$22</f>
        <v>0.14799999999999999</v>
      </c>
      <c r="K104" s="2069">
        <f>'Diciembre - 2019  '!$I$22</f>
        <v>1.4200000000000001E-2</v>
      </c>
      <c r="L104" s="1104">
        <f t="shared" si="108"/>
        <v>28</v>
      </c>
      <c r="M104" s="1153">
        <v>31482666</v>
      </c>
      <c r="N104" s="1107">
        <f t="shared" si="109"/>
        <v>1124380.9285714286</v>
      </c>
      <c r="O104" s="1164">
        <f>'Diciembre - 2019  '!$I$22</f>
        <v>1.4200000000000001E-2</v>
      </c>
      <c r="P104" s="1118">
        <f t="shared" si="110"/>
        <v>5869182.201933383</v>
      </c>
      <c r="Q104" s="1118">
        <f>'Diciembre - 2019  '!$K$54</f>
        <v>6190010.4432046823</v>
      </c>
      <c r="R104" s="1117">
        <f>'Diciembre - 2019  '!$L$15</f>
        <v>0</v>
      </c>
      <c r="S104" s="1743">
        <f t="shared" si="111"/>
        <v>21.878546048392941</v>
      </c>
      <c r="T104" s="1753">
        <f>'Diciembre - 2019  '!$Z$89</f>
        <v>0</v>
      </c>
      <c r="U104" s="1107">
        <f>'Diciembre - 2019  '!$AA$89</f>
        <v>0</v>
      </c>
      <c r="V104" s="1107">
        <f t="shared" si="112"/>
        <v>0</v>
      </c>
      <c r="W104" s="1107" t="e">
        <f t="shared" si="113"/>
        <v>#VALUE!</v>
      </c>
      <c r="X104" s="1108">
        <f t="shared" si="114"/>
        <v>221071.80154302437</v>
      </c>
      <c r="Y104" s="1109">
        <f t="shared" si="115"/>
        <v>31482666</v>
      </c>
      <c r="Z104" s="1109">
        <f t="shared" si="116"/>
        <v>6190010.4432046823</v>
      </c>
      <c r="AA104" s="1110">
        <f t="shared" si="117"/>
        <v>25292655.556795318</v>
      </c>
      <c r="AB104" s="1119">
        <f t="shared" si="118"/>
        <v>0.19661646326917429</v>
      </c>
      <c r="AC104" s="1754">
        <f t="shared" si="119"/>
        <v>0.80338353673082574</v>
      </c>
    </row>
    <row r="105" spans="2:29" hidden="1" x14ac:dyDescent="0.25">
      <c r="B105" s="1113">
        <f t="shared" si="105"/>
        <v>2021</v>
      </c>
      <c r="C105" s="1114">
        <v>44256</v>
      </c>
      <c r="D105" s="1744">
        <f>'Diciembre - 2019  '!$N$34+'Diciembre - 2019  '!$N$43</f>
        <v>104018642.60000001</v>
      </c>
      <c r="E105" s="1121">
        <f>'Diciembre - 2019  '!$N$54</f>
        <v>113809.99999999999</v>
      </c>
      <c r="F105" s="1745">
        <f t="shared" si="106"/>
        <v>104132452.60000001</v>
      </c>
      <c r="G105" s="1121">
        <f>'Diciembre - 2019  '!$M$33</f>
        <v>4753878.6400000006</v>
      </c>
      <c r="H105" s="1121">
        <f>'Diciembre - 2019  '!$M$54</f>
        <v>5690.5</v>
      </c>
      <c r="I105" s="1121">
        <f t="shared" si="107"/>
        <v>4759569.1400000006</v>
      </c>
      <c r="J105" s="2067">
        <f>'Diciembre - 2019  '!$H$22</f>
        <v>0.14799999999999999</v>
      </c>
      <c r="K105" s="2069">
        <f>'Diciembre - 2019  '!$I$22</f>
        <v>1.4200000000000001E-2</v>
      </c>
      <c r="L105" s="1104">
        <f t="shared" si="108"/>
        <v>31</v>
      </c>
      <c r="M105" s="1153">
        <v>31482667</v>
      </c>
      <c r="N105" s="1107">
        <f t="shared" si="109"/>
        <v>1015569.9032258064</v>
      </c>
      <c r="O105" s="1164">
        <f>'Diciembre - 2019  '!$I$22</f>
        <v>1.4200000000000001E-2</v>
      </c>
      <c r="P105" s="1118">
        <f t="shared" si="110"/>
        <v>5869182.201933383</v>
      </c>
      <c r="Q105" s="1118">
        <f>'Diciembre - 2019  '!$K$54</f>
        <v>6190010.4432046823</v>
      </c>
      <c r="R105" s="1117">
        <f>'Diciembre - 2019  '!$L$15</f>
        <v>0</v>
      </c>
      <c r="S105" s="1743">
        <f t="shared" si="111"/>
        <v>21.878546048392941</v>
      </c>
      <c r="T105" s="1753">
        <f>'Diciembre - 2019  '!$Z$89</f>
        <v>0</v>
      </c>
      <c r="U105" s="1107">
        <f>'Diciembre - 2019  '!$AA$89</f>
        <v>0</v>
      </c>
      <c r="V105" s="1107">
        <f t="shared" si="112"/>
        <v>0</v>
      </c>
      <c r="W105" s="1107" t="e">
        <f t="shared" si="113"/>
        <v>#VALUE!</v>
      </c>
      <c r="X105" s="1108">
        <f t="shared" si="114"/>
        <v>199677.7562324091</v>
      </c>
      <c r="Y105" s="1109">
        <f t="shared" si="115"/>
        <v>31482667</v>
      </c>
      <c r="Z105" s="1109">
        <f t="shared" si="116"/>
        <v>6190010.4432046823</v>
      </c>
      <c r="AA105" s="1110">
        <f t="shared" si="117"/>
        <v>25292656.556795318</v>
      </c>
      <c r="AB105" s="1119">
        <f t="shared" si="118"/>
        <v>0.19661645702394534</v>
      </c>
      <c r="AC105" s="1754">
        <f t="shared" si="119"/>
        <v>0.80338354297605463</v>
      </c>
    </row>
    <row r="106" spans="2:29" hidden="1" x14ac:dyDescent="0.25">
      <c r="B106" s="1113">
        <f t="shared" si="105"/>
        <v>2021</v>
      </c>
      <c r="C106" s="1114">
        <v>44287</v>
      </c>
      <c r="D106" s="1744">
        <f>'Diciembre - 2019  '!$N$34+'Diciembre - 2019  '!$N$43</f>
        <v>104018642.60000001</v>
      </c>
      <c r="E106" s="1121">
        <f>'Diciembre - 2019  '!$N$54</f>
        <v>113809.99999999999</v>
      </c>
      <c r="F106" s="1745">
        <f t="shared" si="106"/>
        <v>104132452.60000001</v>
      </c>
      <c r="G106" s="1121">
        <f>'Diciembre - 2019  '!$M$33</f>
        <v>4753878.6400000006</v>
      </c>
      <c r="H106" s="1121">
        <f>'Diciembre - 2019  '!$M$54</f>
        <v>5690.5</v>
      </c>
      <c r="I106" s="1121">
        <f t="shared" si="107"/>
        <v>4759569.1400000006</v>
      </c>
      <c r="J106" s="2067">
        <f>'Diciembre - 2019  '!$H$22</f>
        <v>0.14799999999999999</v>
      </c>
      <c r="K106" s="2069">
        <f>'Diciembre - 2019  '!$I$22</f>
        <v>1.4200000000000001E-2</v>
      </c>
      <c r="L106" s="1104">
        <f t="shared" si="108"/>
        <v>30</v>
      </c>
      <c r="M106" s="1153">
        <v>31482668</v>
      </c>
      <c r="N106" s="1107">
        <f t="shared" si="109"/>
        <v>1049422.2666666666</v>
      </c>
      <c r="O106" s="1164">
        <f>'Diciembre - 2019  '!$I$22</f>
        <v>1.4200000000000001E-2</v>
      </c>
      <c r="P106" s="1118">
        <f t="shared" si="110"/>
        <v>5869182.201933383</v>
      </c>
      <c r="Q106" s="1118">
        <f>'Diciembre - 2019  '!$K$54</f>
        <v>6190010.4432046823</v>
      </c>
      <c r="R106" s="1117">
        <f>'Diciembre - 2019  '!$L$15</f>
        <v>0</v>
      </c>
      <c r="S106" s="1743">
        <f t="shared" si="111"/>
        <v>21.878546048392941</v>
      </c>
      <c r="T106" s="1753">
        <f>'Diciembre - 2019  '!$Z$89</f>
        <v>0</v>
      </c>
      <c r="U106" s="1107">
        <f>'Diciembre - 2019  '!$AA$89</f>
        <v>0</v>
      </c>
      <c r="V106" s="1107">
        <f t="shared" si="112"/>
        <v>0</v>
      </c>
      <c r="W106" s="1107" t="e">
        <f t="shared" si="113"/>
        <v>#VALUE!</v>
      </c>
      <c r="X106" s="1108">
        <f t="shared" si="114"/>
        <v>206333.68144015607</v>
      </c>
      <c r="Y106" s="1109">
        <f t="shared" si="115"/>
        <v>31482668</v>
      </c>
      <c r="Z106" s="1109">
        <f t="shared" si="116"/>
        <v>6190010.4432046823</v>
      </c>
      <c r="AA106" s="1110">
        <f t="shared" si="117"/>
        <v>25292657.556795318</v>
      </c>
      <c r="AB106" s="1119">
        <f t="shared" si="118"/>
        <v>0.19661645077871678</v>
      </c>
      <c r="AC106" s="1754">
        <f t="shared" si="119"/>
        <v>0.80338354922128319</v>
      </c>
    </row>
    <row r="107" spans="2:29" hidden="1" x14ac:dyDescent="0.25">
      <c r="B107" s="1113">
        <f t="shared" si="105"/>
        <v>2021</v>
      </c>
      <c r="C107" s="1114">
        <v>44317</v>
      </c>
      <c r="D107" s="1744">
        <f>'Diciembre - 2019  '!$N$34+'Diciembre - 2019  '!$N$43</f>
        <v>104018642.60000001</v>
      </c>
      <c r="E107" s="1121">
        <f>'Diciembre - 2019  '!$N$54</f>
        <v>113809.99999999999</v>
      </c>
      <c r="F107" s="1745">
        <f t="shared" si="106"/>
        <v>104132452.60000001</v>
      </c>
      <c r="G107" s="1121">
        <f>'Diciembre - 2019  '!$M$33</f>
        <v>4753878.6400000006</v>
      </c>
      <c r="H107" s="1121">
        <f>'Diciembre - 2019  '!$M$54</f>
        <v>5690.5</v>
      </c>
      <c r="I107" s="1121">
        <f t="shared" si="107"/>
        <v>4759569.1400000006</v>
      </c>
      <c r="J107" s="2067">
        <f>'Diciembre - 2019  '!$H$22</f>
        <v>0.14799999999999999</v>
      </c>
      <c r="K107" s="2069">
        <f>'Diciembre - 2019  '!$I$22</f>
        <v>1.4200000000000001E-2</v>
      </c>
      <c r="L107" s="1104">
        <f t="shared" si="108"/>
        <v>31</v>
      </c>
      <c r="M107" s="1153">
        <v>31482669</v>
      </c>
      <c r="N107" s="1107">
        <f t="shared" si="109"/>
        <v>1015569.9677419355</v>
      </c>
      <c r="O107" s="1164">
        <f>'Diciembre - 2019  '!$I$22</f>
        <v>1.4200000000000001E-2</v>
      </c>
      <c r="P107" s="1118">
        <f t="shared" si="110"/>
        <v>5869182.201933383</v>
      </c>
      <c r="Q107" s="1118">
        <f>'Diciembre - 2019  '!$K$54</f>
        <v>6190010.4432046823</v>
      </c>
      <c r="R107" s="1117">
        <f>'Diciembre - 2019  '!$L$15</f>
        <v>0</v>
      </c>
      <c r="S107" s="1743">
        <f t="shared" si="111"/>
        <v>21.878546048392941</v>
      </c>
      <c r="T107" s="1753">
        <f>'Diciembre - 2019  '!$Z$89</f>
        <v>0</v>
      </c>
      <c r="U107" s="1107">
        <f>'Diciembre - 2019  '!$AA$89</f>
        <v>0</v>
      </c>
      <c r="V107" s="1107">
        <f t="shared" si="112"/>
        <v>0</v>
      </c>
      <c r="W107" s="1107" t="e">
        <f t="shared" si="113"/>
        <v>#VALUE!</v>
      </c>
      <c r="X107" s="1108">
        <f t="shared" si="114"/>
        <v>199677.7562324091</v>
      </c>
      <c r="Y107" s="1109">
        <f t="shared" si="115"/>
        <v>31482669</v>
      </c>
      <c r="Z107" s="1109">
        <f t="shared" si="116"/>
        <v>6190010.4432046823</v>
      </c>
      <c r="AA107" s="1110">
        <f t="shared" si="117"/>
        <v>25292658.556795318</v>
      </c>
      <c r="AB107" s="1119">
        <f t="shared" si="118"/>
        <v>0.19661644453348864</v>
      </c>
      <c r="AC107" s="1754">
        <f t="shared" si="119"/>
        <v>0.80338355546651141</v>
      </c>
    </row>
    <row r="108" spans="2:29" hidden="1" x14ac:dyDescent="0.25">
      <c r="B108" s="1113">
        <f t="shared" si="105"/>
        <v>2021</v>
      </c>
      <c r="C108" s="1114">
        <v>44348</v>
      </c>
      <c r="D108" s="1744">
        <f>'Diciembre - 2019  '!$N$34+'Diciembre - 2019  '!$N$43</f>
        <v>104018642.60000001</v>
      </c>
      <c r="E108" s="1121">
        <f>'Diciembre - 2019  '!$N$54</f>
        <v>113809.99999999999</v>
      </c>
      <c r="F108" s="1745">
        <f t="shared" si="106"/>
        <v>104132452.60000001</v>
      </c>
      <c r="G108" s="1121">
        <f>'Diciembre - 2019  '!$M$33</f>
        <v>4753878.6400000006</v>
      </c>
      <c r="H108" s="1121">
        <f>'Diciembre - 2019  '!$M$54</f>
        <v>5690.5</v>
      </c>
      <c r="I108" s="1121">
        <f t="shared" si="107"/>
        <v>4759569.1400000006</v>
      </c>
      <c r="J108" s="2067">
        <f>'Diciembre - 2019  '!$H$22</f>
        <v>0.14799999999999999</v>
      </c>
      <c r="K108" s="2069">
        <f>'Diciembre - 2019  '!$I$22</f>
        <v>1.4200000000000001E-2</v>
      </c>
      <c r="L108" s="1104">
        <f t="shared" si="108"/>
        <v>30</v>
      </c>
      <c r="M108" s="1153">
        <v>31482670</v>
      </c>
      <c r="N108" s="1107">
        <f t="shared" si="109"/>
        <v>1049422.3333333333</v>
      </c>
      <c r="O108" s="1164">
        <f>'Diciembre - 2019  '!$I$22</f>
        <v>1.4200000000000001E-2</v>
      </c>
      <c r="P108" s="1118">
        <f t="shared" si="110"/>
        <v>5869182.201933383</v>
      </c>
      <c r="Q108" s="1118">
        <f>'Diciembre - 2019  '!$K$54</f>
        <v>6190010.4432046823</v>
      </c>
      <c r="R108" s="1117">
        <f>'Diciembre - 2019  '!$L$15</f>
        <v>0</v>
      </c>
      <c r="S108" s="1743">
        <f t="shared" si="111"/>
        <v>21.878546048392941</v>
      </c>
      <c r="T108" s="1753">
        <f>'Diciembre - 2019  '!$Z$89</f>
        <v>0</v>
      </c>
      <c r="U108" s="1107">
        <f>'Diciembre - 2019  '!$AA$89</f>
        <v>0</v>
      </c>
      <c r="V108" s="1107">
        <f t="shared" si="112"/>
        <v>0</v>
      </c>
      <c r="W108" s="1107" t="e">
        <f t="shared" si="113"/>
        <v>#VALUE!</v>
      </c>
      <c r="X108" s="1108">
        <f t="shared" si="114"/>
        <v>206333.68144015607</v>
      </c>
      <c r="Y108" s="1109">
        <f t="shared" si="115"/>
        <v>31482670</v>
      </c>
      <c r="Z108" s="1109">
        <f t="shared" si="116"/>
        <v>6190010.4432046823</v>
      </c>
      <c r="AA108" s="1110">
        <f t="shared" si="117"/>
        <v>25292659.556795318</v>
      </c>
      <c r="AB108" s="1119">
        <f t="shared" si="118"/>
        <v>0.19661643828826089</v>
      </c>
      <c r="AC108" s="1754">
        <f t="shared" si="119"/>
        <v>0.80338356171173908</v>
      </c>
    </row>
    <row r="109" spans="2:29" hidden="1" x14ac:dyDescent="0.25">
      <c r="B109" s="1113">
        <f t="shared" si="105"/>
        <v>2021</v>
      </c>
      <c r="C109" s="1114">
        <v>44378</v>
      </c>
      <c r="D109" s="1744">
        <f>'Diciembre - 2019  '!$N$34+'Diciembre - 2019  '!$N$43</f>
        <v>104018642.60000001</v>
      </c>
      <c r="E109" s="1121">
        <f>'Diciembre - 2019  '!$N$54</f>
        <v>113809.99999999999</v>
      </c>
      <c r="F109" s="1745">
        <f t="shared" si="106"/>
        <v>104132452.60000001</v>
      </c>
      <c r="G109" s="1121">
        <f>'Diciembre - 2019  '!$M$33</f>
        <v>4753878.6400000006</v>
      </c>
      <c r="H109" s="1121">
        <f>'Diciembre - 2019  '!$M$54</f>
        <v>5690.5</v>
      </c>
      <c r="I109" s="1121">
        <f t="shared" si="107"/>
        <v>4759569.1400000006</v>
      </c>
      <c r="J109" s="2067">
        <f>'Diciembre - 2019  '!$H$22</f>
        <v>0.14799999999999999</v>
      </c>
      <c r="K109" s="2069">
        <f>'Diciembre - 2019  '!$I$22</f>
        <v>1.4200000000000001E-2</v>
      </c>
      <c r="L109" s="1104">
        <f t="shared" si="108"/>
        <v>31</v>
      </c>
      <c r="M109" s="1153">
        <v>31482671</v>
      </c>
      <c r="N109" s="1107">
        <f t="shared" si="109"/>
        <v>1015570.0322580645</v>
      </c>
      <c r="O109" s="1164">
        <f>'Diciembre - 2019  '!$I$22</f>
        <v>1.4200000000000001E-2</v>
      </c>
      <c r="P109" s="1118">
        <f t="shared" si="110"/>
        <v>5869182.201933383</v>
      </c>
      <c r="Q109" s="1118">
        <f>'Diciembre - 2019  '!$K$54</f>
        <v>6190010.4432046823</v>
      </c>
      <c r="R109" s="1117">
        <f>'Diciembre - 2019  '!$L$15</f>
        <v>0</v>
      </c>
      <c r="S109" s="1743">
        <f t="shared" si="111"/>
        <v>21.878546048392941</v>
      </c>
      <c r="T109" s="1753">
        <f>'Diciembre - 2019  '!$Z$89</f>
        <v>0</v>
      </c>
      <c r="U109" s="1107">
        <f>'Diciembre - 2019  '!$AA$89</f>
        <v>0</v>
      </c>
      <c r="V109" s="1107">
        <f t="shared" si="112"/>
        <v>0</v>
      </c>
      <c r="W109" s="1107" t="e">
        <f t="shared" si="113"/>
        <v>#VALUE!</v>
      </c>
      <c r="X109" s="1108">
        <f t="shared" si="114"/>
        <v>199677.7562324091</v>
      </c>
      <c r="Y109" s="1109">
        <f t="shared" si="115"/>
        <v>31482671</v>
      </c>
      <c r="Z109" s="1109">
        <f t="shared" si="116"/>
        <v>6190010.4432046823</v>
      </c>
      <c r="AA109" s="1110">
        <f t="shared" si="117"/>
        <v>25292660.556795318</v>
      </c>
      <c r="AB109" s="1119">
        <f t="shared" si="118"/>
        <v>0.19661643204303353</v>
      </c>
      <c r="AC109" s="1754">
        <f t="shared" si="119"/>
        <v>0.80338356795696653</v>
      </c>
    </row>
    <row r="110" spans="2:29" hidden="1" x14ac:dyDescent="0.25">
      <c r="B110" s="1113">
        <f t="shared" si="105"/>
        <v>2021</v>
      </c>
      <c r="C110" s="1114">
        <v>44409</v>
      </c>
      <c r="D110" s="1744">
        <f>'Diciembre - 2019  '!$N$34+'Diciembre - 2019  '!$N$43</f>
        <v>104018642.60000001</v>
      </c>
      <c r="E110" s="1121">
        <f>'Diciembre - 2019  '!$N$54</f>
        <v>113809.99999999999</v>
      </c>
      <c r="F110" s="1745">
        <f t="shared" si="106"/>
        <v>104132452.60000001</v>
      </c>
      <c r="G110" s="1121">
        <f>'Diciembre - 2019  '!$M$33</f>
        <v>4753878.6400000006</v>
      </c>
      <c r="H110" s="1121">
        <f>'Diciembre - 2019  '!$M$54</f>
        <v>5690.5</v>
      </c>
      <c r="I110" s="1121">
        <f t="shared" si="107"/>
        <v>4759569.1400000006</v>
      </c>
      <c r="J110" s="2067">
        <f>'Diciembre - 2019  '!$H$22</f>
        <v>0.14799999999999999</v>
      </c>
      <c r="K110" s="2069">
        <f>'Diciembre - 2019  '!$I$22</f>
        <v>1.4200000000000001E-2</v>
      </c>
      <c r="L110" s="1104">
        <f t="shared" si="108"/>
        <v>31</v>
      </c>
      <c r="M110" s="1153">
        <v>31482672</v>
      </c>
      <c r="N110" s="1107">
        <f t="shared" si="109"/>
        <v>1015570.0645161291</v>
      </c>
      <c r="O110" s="1164">
        <f>'Diciembre - 2019  '!$I$22</f>
        <v>1.4200000000000001E-2</v>
      </c>
      <c r="P110" s="1118">
        <f t="shared" si="110"/>
        <v>5869182.201933383</v>
      </c>
      <c r="Q110" s="1118">
        <f>'Diciembre - 2019  '!$K$54</f>
        <v>6190010.4432046823</v>
      </c>
      <c r="R110" s="1117">
        <f>'Diciembre - 2019  '!$L$15</f>
        <v>0</v>
      </c>
      <c r="S110" s="1743">
        <f t="shared" si="111"/>
        <v>21.878546048392941</v>
      </c>
      <c r="T110" s="1753">
        <f>'Diciembre - 2019  '!$Z$89</f>
        <v>0</v>
      </c>
      <c r="U110" s="1107">
        <f>'Diciembre - 2019  '!$AA$89</f>
        <v>0</v>
      </c>
      <c r="V110" s="1107">
        <f t="shared" si="112"/>
        <v>0</v>
      </c>
      <c r="W110" s="1107" t="e">
        <f t="shared" si="113"/>
        <v>#VALUE!</v>
      </c>
      <c r="X110" s="1108">
        <f t="shared" si="114"/>
        <v>199677.7562324091</v>
      </c>
      <c r="Y110" s="1109">
        <f t="shared" si="115"/>
        <v>31482672</v>
      </c>
      <c r="Z110" s="1109">
        <f t="shared" si="116"/>
        <v>6190010.4432046823</v>
      </c>
      <c r="AA110" s="1110">
        <f t="shared" si="117"/>
        <v>25292661.556795318</v>
      </c>
      <c r="AB110" s="1119">
        <f t="shared" si="118"/>
        <v>0.19661642579780655</v>
      </c>
      <c r="AC110" s="1754">
        <f t="shared" si="119"/>
        <v>0.80338357420219342</v>
      </c>
    </row>
    <row r="111" spans="2:29" hidden="1" x14ac:dyDescent="0.25">
      <c r="B111" s="1113">
        <f t="shared" si="105"/>
        <v>2021</v>
      </c>
      <c r="C111" s="1114">
        <v>44440</v>
      </c>
      <c r="D111" s="1744">
        <f>'Diciembre - 2019  '!$N$34+'Diciembre - 2019  '!$N$43</f>
        <v>104018642.60000001</v>
      </c>
      <c r="E111" s="1121">
        <f>'Diciembre - 2019  '!$N$54</f>
        <v>113809.99999999999</v>
      </c>
      <c r="F111" s="1745">
        <f t="shared" si="106"/>
        <v>104132452.60000001</v>
      </c>
      <c r="G111" s="1121">
        <f>'Diciembre - 2019  '!$M$33</f>
        <v>4753878.6400000006</v>
      </c>
      <c r="H111" s="1121">
        <f>'Diciembre - 2019  '!$M$54</f>
        <v>5690.5</v>
      </c>
      <c r="I111" s="1121">
        <f t="shared" si="107"/>
        <v>4759569.1400000006</v>
      </c>
      <c r="J111" s="2067">
        <f>'Diciembre - 2019  '!$H$22</f>
        <v>0.14799999999999999</v>
      </c>
      <c r="K111" s="2069">
        <f>'Diciembre - 2019  '!$I$22</f>
        <v>1.4200000000000001E-2</v>
      </c>
      <c r="L111" s="1104">
        <f t="shared" si="108"/>
        <v>30</v>
      </c>
      <c r="M111" s="1153">
        <v>31482673</v>
      </c>
      <c r="N111" s="1107">
        <f t="shared" si="109"/>
        <v>1049422.4333333333</v>
      </c>
      <c r="O111" s="1164">
        <f>'Diciembre - 2019  '!$I$22</f>
        <v>1.4200000000000001E-2</v>
      </c>
      <c r="P111" s="1118">
        <f t="shared" si="110"/>
        <v>5869182.201933383</v>
      </c>
      <c r="Q111" s="1118">
        <f>'Diciembre - 2019  '!$K$54</f>
        <v>6190010.4432046823</v>
      </c>
      <c r="R111" s="1117">
        <f>'Diciembre - 2019  '!$L$15</f>
        <v>0</v>
      </c>
      <c r="S111" s="1743">
        <f t="shared" si="111"/>
        <v>21.878546048392941</v>
      </c>
      <c r="T111" s="1753">
        <f>'Diciembre - 2019  '!$Z$89</f>
        <v>0</v>
      </c>
      <c r="U111" s="1107">
        <f>'Diciembre - 2019  '!$AA$89</f>
        <v>0</v>
      </c>
      <c r="V111" s="1107">
        <f t="shared" si="112"/>
        <v>0</v>
      </c>
      <c r="W111" s="1107" t="e">
        <f t="shared" si="113"/>
        <v>#VALUE!</v>
      </c>
      <c r="X111" s="1108">
        <f t="shared" si="114"/>
        <v>206333.68144015607</v>
      </c>
      <c r="Y111" s="1109">
        <f t="shared" si="115"/>
        <v>31482673</v>
      </c>
      <c r="Z111" s="1109">
        <f t="shared" si="116"/>
        <v>6190010.4432046823</v>
      </c>
      <c r="AA111" s="1110">
        <f t="shared" si="117"/>
        <v>25292662.556795318</v>
      </c>
      <c r="AB111" s="1119">
        <f t="shared" si="118"/>
        <v>0.19661641955258</v>
      </c>
      <c r="AC111" s="1754">
        <f t="shared" si="119"/>
        <v>0.80338358044741998</v>
      </c>
    </row>
    <row r="112" spans="2:29" hidden="1" x14ac:dyDescent="0.25">
      <c r="B112" s="1113">
        <f t="shared" si="105"/>
        <v>2021</v>
      </c>
      <c r="C112" s="1114">
        <v>44470</v>
      </c>
      <c r="D112" s="1744">
        <f>'Diciembre - 2019  '!$N$34+'Diciembre - 2019  '!$N$43</f>
        <v>104018642.60000001</v>
      </c>
      <c r="E112" s="1121">
        <f>'Diciembre - 2019  '!$N$54</f>
        <v>113809.99999999999</v>
      </c>
      <c r="F112" s="1745">
        <f t="shared" si="106"/>
        <v>104132452.60000001</v>
      </c>
      <c r="G112" s="1121">
        <f>'Diciembre - 2019  '!$M$33</f>
        <v>4753878.6400000006</v>
      </c>
      <c r="H112" s="1121">
        <f>'Diciembre - 2019  '!$M$54</f>
        <v>5690.5</v>
      </c>
      <c r="I112" s="1121">
        <f t="shared" si="107"/>
        <v>4759569.1400000006</v>
      </c>
      <c r="J112" s="2067">
        <f>'Diciembre - 2019  '!$H$22</f>
        <v>0.14799999999999999</v>
      </c>
      <c r="K112" s="2069">
        <f>'Diciembre - 2019  '!$I$22</f>
        <v>1.4200000000000001E-2</v>
      </c>
      <c r="L112" s="1104">
        <f t="shared" si="108"/>
        <v>31</v>
      </c>
      <c r="M112" s="1153">
        <v>31482674</v>
      </c>
      <c r="N112" s="1107">
        <f t="shared" si="109"/>
        <v>1015570.1290322581</v>
      </c>
      <c r="O112" s="1164">
        <f>'Diciembre - 2019  '!$I$22</f>
        <v>1.4200000000000001E-2</v>
      </c>
      <c r="P112" s="1118">
        <f t="shared" si="110"/>
        <v>5869182.201933383</v>
      </c>
      <c r="Q112" s="1118">
        <f>'Diciembre - 2019  '!$K$54</f>
        <v>6190010.4432046823</v>
      </c>
      <c r="R112" s="1117">
        <f>'Diciembre - 2019  '!$L$15</f>
        <v>0</v>
      </c>
      <c r="S112" s="1743">
        <f t="shared" si="111"/>
        <v>21.878546048392941</v>
      </c>
      <c r="T112" s="1753">
        <f>'Diciembre - 2019  '!$Z$89</f>
        <v>0</v>
      </c>
      <c r="U112" s="1107">
        <f>'Diciembre - 2019  '!$AA$89</f>
        <v>0</v>
      </c>
      <c r="V112" s="1107">
        <f t="shared" si="112"/>
        <v>0</v>
      </c>
      <c r="W112" s="1107" t="e">
        <f t="shared" si="113"/>
        <v>#VALUE!</v>
      </c>
      <c r="X112" s="1108">
        <f t="shared" si="114"/>
        <v>199677.7562324091</v>
      </c>
      <c r="Y112" s="1109">
        <f t="shared" si="115"/>
        <v>31482674</v>
      </c>
      <c r="Z112" s="1109">
        <f t="shared" si="116"/>
        <v>6190010.4432046823</v>
      </c>
      <c r="AA112" s="1110">
        <f t="shared" si="117"/>
        <v>25292663.556795318</v>
      </c>
      <c r="AB112" s="1119">
        <f t="shared" si="118"/>
        <v>0.19661641330735383</v>
      </c>
      <c r="AC112" s="1754">
        <f t="shared" si="119"/>
        <v>0.8033835866926462</v>
      </c>
    </row>
    <row r="113" spans="2:29" hidden="1" x14ac:dyDescent="0.25">
      <c r="B113" s="1113">
        <f t="shared" si="105"/>
        <v>2021</v>
      </c>
      <c r="C113" s="1114">
        <v>44501</v>
      </c>
      <c r="D113" s="1744">
        <f>'Diciembre - 2019  '!$N$34+'Diciembre - 2019  '!$N$43</f>
        <v>104018642.60000001</v>
      </c>
      <c r="E113" s="1121">
        <f>'Diciembre - 2019  '!$N$54</f>
        <v>113809.99999999999</v>
      </c>
      <c r="F113" s="1745">
        <f t="shared" si="106"/>
        <v>104132452.60000001</v>
      </c>
      <c r="G113" s="1121">
        <f>'Diciembre - 2019  '!$M$33</f>
        <v>4753878.6400000006</v>
      </c>
      <c r="H113" s="1121">
        <f>'Diciembre - 2019  '!$M$54</f>
        <v>5690.5</v>
      </c>
      <c r="I113" s="1121">
        <f t="shared" si="107"/>
        <v>4759569.1400000006</v>
      </c>
      <c r="J113" s="2067">
        <f>'Diciembre - 2019  '!$H$22</f>
        <v>0.14799999999999999</v>
      </c>
      <c r="K113" s="2069">
        <f>'Diciembre - 2019  '!$I$22</f>
        <v>1.4200000000000001E-2</v>
      </c>
      <c r="L113" s="1104">
        <f t="shared" si="108"/>
        <v>30</v>
      </c>
      <c r="M113" s="1153">
        <v>31482675</v>
      </c>
      <c r="N113" s="1107">
        <f t="shared" si="109"/>
        <v>1049422.5</v>
      </c>
      <c r="O113" s="1164">
        <f>'Diciembre - 2019  '!$I$22</f>
        <v>1.4200000000000001E-2</v>
      </c>
      <c r="P113" s="1118">
        <f t="shared" si="110"/>
        <v>5869182.201933383</v>
      </c>
      <c r="Q113" s="1118">
        <f>'Diciembre - 2019  '!$K$54</f>
        <v>6190010.4432046823</v>
      </c>
      <c r="R113" s="1117">
        <f>'Diciembre - 2019  '!$L$15</f>
        <v>0</v>
      </c>
      <c r="S113" s="1743">
        <f t="shared" si="111"/>
        <v>21.878546048392941</v>
      </c>
      <c r="T113" s="1753">
        <f>'Diciembre - 2019  '!$Z$89</f>
        <v>0</v>
      </c>
      <c r="U113" s="1107">
        <f>'Diciembre - 2019  '!$AA$89</f>
        <v>0</v>
      </c>
      <c r="V113" s="1107">
        <f t="shared" si="112"/>
        <v>0</v>
      </c>
      <c r="W113" s="1107" t="e">
        <f t="shared" si="113"/>
        <v>#VALUE!</v>
      </c>
      <c r="X113" s="1108">
        <f t="shared" si="114"/>
        <v>206333.68144015607</v>
      </c>
      <c r="Y113" s="1109">
        <f t="shared" si="115"/>
        <v>31482675</v>
      </c>
      <c r="Z113" s="1109">
        <f t="shared" si="116"/>
        <v>6190010.4432046823</v>
      </c>
      <c r="AA113" s="1110">
        <f t="shared" si="117"/>
        <v>25292664.556795318</v>
      </c>
      <c r="AB113" s="1119">
        <f t="shared" si="118"/>
        <v>0.19661640706212805</v>
      </c>
      <c r="AC113" s="1754">
        <f t="shared" si="119"/>
        <v>0.80338359293787198</v>
      </c>
    </row>
    <row r="114" spans="2:29" hidden="1" x14ac:dyDescent="0.25">
      <c r="B114" s="1113">
        <f t="shared" si="105"/>
        <v>2021</v>
      </c>
      <c r="C114" s="1114">
        <v>44531</v>
      </c>
      <c r="D114" s="1744">
        <f>'Diciembre - 2019  '!$N$34+'Diciembre - 2019  '!$N$43</f>
        <v>104018642.60000001</v>
      </c>
      <c r="E114" s="1121">
        <f>'Diciembre - 2019  '!$N$54</f>
        <v>113809.99999999999</v>
      </c>
      <c r="F114" s="1745">
        <f t="shared" si="106"/>
        <v>104132452.60000001</v>
      </c>
      <c r="G114" s="1121">
        <f>'Diciembre - 2019  '!$M$33</f>
        <v>4753878.6400000006</v>
      </c>
      <c r="H114" s="1121">
        <f>'Diciembre - 2019  '!$M$54</f>
        <v>5690.5</v>
      </c>
      <c r="I114" s="1121">
        <f t="shared" si="107"/>
        <v>4759569.1400000006</v>
      </c>
      <c r="J114" s="2067">
        <f>'Diciembre - 2019  '!$H$22</f>
        <v>0.14799999999999999</v>
      </c>
      <c r="K114" s="2069">
        <f>'Diciembre - 2019  '!$I$22</f>
        <v>1.4200000000000001E-2</v>
      </c>
      <c r="L114" s="1104">
        <f t="shared" si="108"/>
        <v>31</v>
      </c>
      <c r="M114" s="1153">
        <v>31482676</v>
      </c>
      <c r="N114" s="1107">
        <f t="shared" si="109"/>
        <v>1015570.1935483871</v>
      </c>
      <c r="O114" s="1164">
        <f>'Diciembre - 2019  '!$I$22</f>
        <v>1.4200000000000001E-2</v>
      </c>
      <c r="P114" s="1118">
        <f t="shared" si="110"/>
        <v>5869182.201933383</v>
      </c>
      <c r="Q114" s="1118">
        <f>'Diciembre - 2019  '!$K$54</f>
        <v>6190010.4432046823</v>
      </c>
      <c r="R114" s="1117">
        <f>'Diciembre - 2019  '!$L$15</f>
        <v>0</v>
      </c>
      <c r="S114" s="1743">
        <f t="shared" si="111"/>
        <v>21.878546048392941</v>
      </c>
      <c r="T114" s="1753">
        <f>'Diciembre - 2019  '!$Z$89</f>
        <v>0</v>
      </c>
      <c r="U114" s="1107">
        <f>'Diciembre - 2019  '!$AA$89</f>
        <v>0</v>
      </c>
      <c r="V114" s="1107">
        <f t="shared" si="112"/>
        <v>0</v>
      </c>
      <c r="W114" s="1107" t="e">
        <f t="shared" si="113"/>
        <v>#VALUE!</v>
      </c>
      <c r="X114" s="1108">
        <f t="shared" si="114"/>
        <v>199677.7562324091</v>
      </c>
      <c r="Y114" s="1109">
        <f t="shared" si="115"/>
        <v>31482676</v>
      </c>
      <c r="Z114" s="1109">
        <f t="shared" si="116"/>
        <v>6190010.4432046823</v>
      </c>
      <c r="AA114" s="1110">
        <f t="shared" si="117"/>
        <v>25292665.556795318</v>
      </c>
      <c r="AB114" s="1119">
        <f t="shared" si="118"/>
        <v>0.19661640081690268</v>
      </c>
      <c r="AC114" s="1754">
        <f t="shared" si="119"/>
        <v>0.80338359918309732</v>
      </c>
    </row>
    <row r="115" spans="2:29" hidden="1" x14ac:dyDescent="0.25">
      <c r="B115" s="1113">
        <f t="shared" si="105"/>
        <v>2022</v>
      </c>
      <c r="C115" s="1114">
        <v>44562</v>
      </c>
      <c r="D115" s="1744">
        <f>'Diciembre - 2019  '!$N$34+'Diciembre - 2019  '!$N$43</f>
        <v>104018642.60000001</v>
      </c>
      <c r="E115" s="1121">
        <f>'Diciembre - 2019  '!$N$54</f>
        <v>113809.99999999999</v>
      </c>
      <c r="F115" s="1745">
        <f t="shared" si="106"/>
        <v>104132452.60000001</v>
      </c>
      <c r="G115" s="1121">
        <f>'Diciembre - 2019  '!$M$33</f>
        <v>4753878.6400000006</v>
      </c>
      <c r="H115" s="1121">
        <f>'Diciembre - 2019  '!$M$54</f>
        <v>5690.5</v>
      </c>
      <c r="I115" s="1121">
        <f t="shared" si="107"/>
        <v>4759569.1400000006</v>
      </c>
      <c r="J115" s="2067">
        <f>'Diciembre - 2019  '!$H$22</f>
        <v>0.14799999999999999</v>
      </c>
      <c r="K115" s="2069">
        <f>'Diciembre - 2019  '!$I$22</f>
        <v>1.4200000000000001E-2</v>
      </c>
      <c r="L115" s="1104">
        <f t="shared" si="108"/>
        <v>31</v>
      </c>
      <c r="M115" s="1153">
        <v>31482677</v>
      </c>
      <c r="N115" s="1107">
        <f t="shared" si="109"/>
        <v>1015570.2258064516</v>
      </c>
      <c r="O115" s="1164">
        <f>'Diciembre - 2019  '!$I$22</f>
        <v>1.4200000000000001E-2</v>
      </c>
      <c r="P115" s="1118">
        <f t="shared" si="110"/>
        <v>5869182.201933383</v>
      </c>
      <c r="Q115" s="1118">
        <f>'Diciembre - 2019  '!$K$54</f>
        <v>6190010.4432046823</v>
      </c>
      <c r="R115" s="1117">
        <f>'Diciembre - 2019  '!$L$15</f>
        <v>0</v>
      </c>
      <c r="S115" s="1743">
        <f t="shared" si="111"/>
        <v>21.878546048392941</v>
      </c>
      <c r="T115" s="1753">
        <f>'Diciembre - 2019  '!$Z$89</f>
        <v>0</v>
      </c>
      <c r="U115" s="1107">
        <f>'Diciembre - 2019  '!$AA$89</f>
        <v>0</v>
      </c>
      <c r="V115" s="1107">
        <f t="shared" si="112"/>
        <v>0</v>
      </c>
      <c r="W115" s="1107" t="e">
        <f t="shared" si="113"/>
        <v>#VALUE!</v>
      </c>
      <c r="X115" s="1108">
        <f t="shared" si="114"/>
        <v>199677.7562324091</v>
      </c>
      <c r="Y115" s="1109">
        <f t="shared" si="115"/>
        <v>31482677</v>
      </c>
      <c r="Z115" s="1109">
        <f t="shared" si="116"/>
        <v>6190010.4432046823</v>
      </c>
      <c r="AA115" s="1110">
        <f t="shared" si="117"/>
        <v>25292666.556795318</v>
      </c>
      <c r="AB115" s="1119">
        <f t="shared" si="118"/>
        <v>0.19661639457167771</v>
      </c>
      <c r="AC115" s="1754">
        <f t="shared" si="119"/>
        <v>0.80338360542832232</v>
      </c>
    </row>
    <row r="116" spans="2:29" hidden="1" x14ac:dyDescent="0.25">
      <c r="B116" s="1113">
        <f t="shared" si="105"/>
        <v>2022</v>
      </c>
      <c r="C116" s="1114">
        <v>44593</v>
      </c>
      <c r="D116" s="1744">
        <f>'Diciembre - 2019  '!$N$34+'Diciembre - 2019  '!$N$43</f>
        <v>104018642.60000001</v>
      </c>
      <c r="E116" s="1121">
        <f>'Diciembre - 2019  '!$N$54</f>
        <v>113809.99999999999</v>
      </c>
      <c r="F116" s="1745">
        <f t="shared" si="106"/>
        <v>104132452.60000001</v>
      </c>
      <c r="G116" s="1121">
        <f>'Diciembre - 2019  '!$M$33</f>
        <v>4753878.6400000006</v>
      </c>
      <c r="H116" s="1121">
        <f>'Diciembre - 2019  '!$M$54</f>
        <v>5690.5</v>
      </c>
      <c r="I116" s="1121">
        <f t="shared" si="107"/>
        <v>4759569.1400000006</v>
      </c>
      <c r="J116" s="2067">
        <f>'Diciembre - 2019  '!$H$22</f>
        <v>0.14799999999999999</v>
      </c>
      <c r="K116" s="2069">
        <f>'Diciembre - 2019  '!$I$22</f>
        <v>1.4200000000000001E-2</v>
      </c>
      <c r="L116" s="1104">
        <f t="shared" si="108"/>
        <v>28</v>
      </c>
      <c r="M116" s="1153">
        <v>31482678</v>
      </c>
      <c r="N116" s="1107">
        <f t="shared" si="109"/>
        <v>1124381.357142857</v>
      </c>
      <c r="O116" s="1164">
        <f>'Diciembre - 2019  '!$I$22</f>
        <v>1.4200000000000001E-2</v>
      </c>
      <c r="P116" s="1118">
        <f t="shared" si="110"/>
        <v>5869182.201933383</v>
      </c>
      <c r="Q116" s="1118">
        <f>'Diciembre - 2019  '!$K$54</f>
        <v>6190010.4432046823</v>
      </c>
      <c r="R116" s="1117">
        <f>'Diciembre - 2019  '!$L$15</f>
        <v>0</v>
      </c>
      <c r="S116" s="1743">
        <f t="shared" si="111"/>
        <v>21.878546048392941</v>
      </c>
      <c r="T116" s="1753">
        <f>'Diciembre - 2019  '!$Z$89</f>
        <v>0</v>
      </c>
      <c r="U116" s="1107">
        <f>'Diciembre - 2019  '!$AA$89</f>
        <v>0</v>
      </c>
      <c r="V116" s="1107">
        <f t="shared" si="112"/>
        <v>0</v>
      </c>
      <c r="W116" s="1107" t="e">
        <f t="shared" si="113"/>
        <v>#VALUE!</v>
      </c>
      <c r="X116" s="1108">
        <f t="shared" si="114"/>
        <v>221071.80154302437</v>
      </c>
      <c r="Y116" s="1109">
        <f t="shared" si="115"/>
        <v>31482678</v>
      </c>
      <c r="Z116" s="1109">
        <f t="shared" si="116"/>
        <v>6190010.4432046823</v>
      </c>
      <c r="AA116" s="1110">
        <f t="shared" si="117"/>
        <v>25292667.556795318</v>
      </c>
      <c r="AB116" s="1119">
        <f t="shared" si="118"/>
        <v>0.19661638832645312</v>
      </c>
      <c r="AC116" s="1754">
        <f t="shared" si="119"/>
        <v>0.80338361167354688</v>
      </c>
    </row>
    <row r="117" spans="2:29" hidden="1" x14ac:dyDescent="0.25">
      <c r="B117" s="1113">
        <f t="shared" si="105"/>
        <v>2022</v>
      </c>
      <c r="C117" s="1114">
        <v>44621</v>
      </c>
      <c r="D117" s="1744">
        <f>'Diciembre - 2019  '!$N$34+'Diciembre - 2019  '!$N$43</f>
        <v>104018642.60000001</v>
      </c>
      <c r="E117" s="1121">
        <f>'Diciembre - 2019  '!$N$54</f>
        <v>113809.99999999999</v>
      </c>
      <c r="F117" s="1745">
        <f t="shared" si="106"/>
        <v>104132452.60000001</v>
      </c>
      <c r="G117" s="1121">
        <f>'Diciembre - 2019  '!$M$33</f>
        <v>4753878.6400000006</v>
      </c>
      <c r="H117" s="1121">
        <f>'Diciembre - 2019  '!$M$54</f>
        <v>5690.5</v>
      </c>
      <c r="I117" s="1121">
        <f t="shared" si="107"/>
        <v>4759569.1400000006</v>
      </c>
      <c r="J117" s="2067">
        <f>'Diciembre - 2019  '!$H$22</f>
        <v>0.14799999999999999</v>
      </c>
      <c r="K117" s="2069">
        <f>'Diciembre - 2019  '!$I$22</f>
        <v>1.4200000000000001E-2</v>
      </c>
      <c r="L117" s="1104">
        <f t="shared" si="108"/>
        <v>31</v>
      </c>
      <c r="M117" s="1153">
        <v>31482679</v>
      </c>
      <c r="N117" s="1107">
        <f t="shared" si="109"/>
        <v>1015570.2903225806</v>
      </c>
      <c r="O117" s="1164">
        <f>'Diciembre - 2019  '!$I$22</f>
        <v>1.4200000000000001E-2</v>
      </c>
      <c r="P117" s="1118">
        <f t="shared" si="110"/>
        <v>5869182.201933383</v>
      </c>
      <c r="Q117" s="1118">
        <f>'Diciembre - 2019  '!$K$54</f>
        <v>6190010.4432046823</v>
      </c>
      <c r="R117" s="1117">
        <f>'Diciembre - 2019  '!$L$15</f>
        <v>0</v>
      </c>
      <c r="S117" s="1743">
        <f t="shared" si="111"/>
        <v>21.878546048392941</v>
      </c>
      <c r="T117" s="1753">
        <f>'Diciembre - 2019  '!$Z$89</f>
        <v>0</v>
      </c>
      <c r="U117" s="1107">
        <f>'Diciembre - 2019  '!$AA$89</f>
        <v>0</v>
      </c>
      <c r="V117" s="1107">
        <f t="shared" si="112"/>
        <v>0</v>
      </c>
      <c r="W117" s="1107" t="e">
        <f t="shared" si="113"/>
        <v>#VALUE!</v>
      </c>
      <c r="X117" s="1108">
        <f t="shared" si="114"/>
        <v>199677.7562324091</v>
      </c>
      <c r="Y117" s="1109">
        <f t="shared" si="115"/>
        <v>31482679</v>
      </c>
      <c r="Z117" s="1109">
        <f t="shared" si="116"/>
        <v>6190010.4432046823</v>
      </c>
      <c r="AA117" s="1110">
        <f t="shared" si="117"/>
        <v>25292668.556795318</v>
      </c>
      <c r="AB117" s="1119">
        <f t="shared" si="118"/>
        <v>0.19661638208122892</v>
      </c>
      <c r="AC117" s="1754">
        <f t="shared" si="119"/>
        <v>0.80338361791877111</v>
      </c>
    </row>
    <row r="118" spans="2:29" hidden="1" x14ac:dyDescent="0.25">
      <c r="B118" s="1113">
        <f t="shared" si="105"/>
        <v>2022</v>
      </c>
      <c r="C118" s="1114">
        <v>44652</v>
      </c>
      <c r="D118" s="1744">
        <f>'Diciembre - 2019  '!$N$34+'Diciembre - 2019  '!$N$43</f>
        <v>104018642.60000001</v>
      </c>
      <c r="E118" s="1121">
        <f>'Diciembre - 2019  '!$N$54</f>
        <v>113809.99999999999</v>
      </c>
      <c r="F118" s="1745">
        <f t="shared" si="106"/>
        <v>104132452.60000001</v>
      </c>
      <c r="G118" s="1121">
        <f>'Diciembre - 2019  '!$M$33</f>
        <v>4753878.6400000006</v>
      </c>
      <c r="H118" s="1121">
        <f>'Diciembre - 2019  '!$M$54</f>
        <v>5690.5</v>
      </c>
      <c r="I118" s="1121">
        <f t="shared" si="107"/>
        <v>4759569.1400000006</v>
      </c>
      <c r="J118" s="2067">
        <f>'Diciembre - 2019  '!$H$22</f>
        <v>0.14799999999999999</v>
      </c>
      <c r="K118" s="2069">
        <f>'Diciembre - 2019  '!$I$22</f>
        <v>1.4200000000000001E-2</v>
      </c>
      <c r="L118" s="1104">
        <f t="shared" si="108"/>
        <v>30</v>
      </c>
      <c r="M118" s="1153">
        <v>31482680</v>
      </c>
      <c r="N118" s="1107">
        <f t="shared" si="109"/>
        <v>1049422.6666666667</v>
      </c>
      <c r="O118" s="1164">
        <f>'Diciembre - 2019  '!$I$22</f>
        <v>1.4200000000000001E-2</v>
      </c>
      <c r="P118" s="1118">
        <f t="shared" si="110"/>
        <v>5869182.201933383</v>
      </c>
      <c r="Q118" s="1118">
        <f>'Diciembre - 2019  '!$K$54</f>
        <v>6190010.4432046823</v>
      </c>
      <c r="R118" s="1117">
        <f>'Diciembre - 2019  '!$L$15</f>
        <v>0</v>
      </c>
      <c r="S118" s="1743">
        <f t="shared" si="111"/>
        <v>21.878546048392941</v>
      </c>
      <c r="T118" s="1753">
        <f>'Diciembre - 2019  '!$Z$89</f>
        <v>0</v>
      </c>
      <c r="U118" s="1107">
        <f>'Diciembre - 2019  '!$AA$89</f>
        <v>0</v>
      </c>
      <c r="V118" s="1107">
        <f t="shared" si="112"/>
        <v>0</v>
      </c>
      <c r="W118" s="1107" t="e">
        <f t="shared" si="113"/>
        <v>#VALUE!</v>
      </c>
      <c r="X118" s="1108">
        <f t="shared" si="114"/>
        <v>206333.68144015607</v>
      </c>
      <c r="Y118" s="1109">
        <f t="shared" si="115"/>
        <v>31482680</v>
      </c>
      <c r="Z118" s="1109">
        <f t="shared" si="116"/>
        <v>6190010.4432046823</v>
      </c>
      <c r="AA118" s="1110">
        <f t="shared" si="117"/>
        <v>25292669.556795318</v>
      </c>
      <c r="AB118" s="1119">
        <f t="shared" si="118"/>
        <v>0.19661637583600514</v>
      </c>
      <c r="AC118" s="1754">
        <f t="shared" si="119"/>
        <v>0.80338362416399489</v>
      </c>
    </row>
    <row r="119" spans="2:29" hidden="1" x14ac:dyDescent="0.25">
      <c r="B119" s="1113">
        <f t="shared" si="105"/>
        <v>2022</v>
      </c>
      <c r="C119" s="1114">
        <v>44682</v>
      </c>
      <c r="D119" s="1744">
        <f>'Diciembre - 2019  '!$N$34+'Diciembre - 2019  '!$N$43</f>
        <v>104018642.60000001</v>
      </c>
      <c r="E119" s="1121">
        <f>'Diciembre - 2019  '!$N$54</f>
        <v>113809.99999999999</v>
      </c>
      <c r="F119" s="1745">
        <f t="shared" si="106"/>
        <v>104132452.60000001</v>
      </c>
      <c r="G119" s="1121">
        <f>'Diciembre - 2019  '!$M$33</f>
        <v>4753878.6400000006</v>
      </c>
      <c r="H119" s="1121">
        <f>'Diciembre - 2019  '!$M$54</f>
        <v>5690.5</v>
      </c>
      <c r="I119" s="1121">
        <f t="shared" si="107"/>
        <v>4759569.1400000006</v>
      </c>
      <c r="J119" s="2067">
        <f>'Diciembre - 2019  '!$H$22</f>
        <v>0.14799999999999999</v>
      </c>
      <c r="K119" s="2069">
        <f>'Diciembre - 2019  '!$I$22</f>
        <v>1.4200000000000001E-2</v>
      </c>
      <c r="L119" s="1104">
        <f t="shared" si="108"/>
        <v>31</v>
      </c>
      <c r="M119" s="1153">
        <v>31482681</v>
      </c>
      <c r="N119" s="1107">
        <f t="shared" si="109"/>
        <v>1015570.3548387097</v>
      </c>
      <c r="O119" s="1164">
        <f>'Diciembre - 2019  '!$I$22</f>
        <v>1.4200000000000001E-2</v>
      </c>
      <c r="P119" s="1118">
        <f t="shared" si="110"/>
        <v>5869182.201933383</v>
      </c>
      <c r="Q119" s="1118">
        <f>'Diciembre - 2019  '!$K$54</f>
        <v>6190010.4432046823</v>
      </c>
      <c r="R119" s="1117">
        <f>'Diciembre - 2019  '!$L$15</f>
        <v>0</v>
      </c>
      <c r="S119" s="1743">
        <f t="shared" si="111"/>
        <v>21.878546048392941</v>
      </c>
      <c r="T119" s="1753">
        <f>'Diciembre - 2019  '!$Z$89</f>
        <v>0</v>
      </c>
      <c r="U119" s="1107">
        <f>'Diciembre - 2019  '!$AA$89</f>
        <v>0</v>
      </c>
      <c r="V119" s="1107">
        <f t="shared" si="112"/>
        <v>0</v>
      </c>
      <c r="W119" s="1107" t="e">
        <f t="shared" si="113"/>
        <v>#VALUE!</v>
      </c>
      <c r="X119" s="1108">
        <f t="shared" si="114"/>
        <v>199677.7562324091</v>
      </c>
      <c r="Y119" s="1109">
        <f t="shared" si="115"/>
        <v>31482681</v>
      </c>
      <c r="Z119" s="1109">
        <f t="shared" si="116"/>
        <v>6190010.4432046823</v>
      </c>
      <c r="AA119" s="1110">
        <f t="shared" si="117"/>
        <v>25292670.556795318</v>
      </c>
      <c r="AB119" s="1119">
        <f t="shared" si="118"/>
        <v>0.19661636959078174</v>
      </c>
      <c r="AC119" s="1754">
        <f t="shared" si="119"/>
        <v>0.80338363040921823</v>
      </c>
    </row>
    <row r="120" spans="2:29" hidden="1" x14ac:dyDescent="0.25">
      <c r="B120" s="1113">
        <f t="shared" si="105"/>
        <v>2022</v>
      </c>
      <c r="C120" s="1114">
        <v>44713</v>
      </c>
      <c r="D120" s="1744">
        <f>'Diciembre - 2019  '!$N$34+'Diciembre - 2019  '!$N$43</f>
        <v>104018642.60000001</v>
      </c>
      <c r="E120" s="1121">
        <f>'Diciembre - 2019  '!$N$54</f>
        <v>113809.99999999999</v>
      </c>
      <c r="F120" s="1745">
        <f t="shared" si="106"/>
        <v>104132452.60000001</v>
      </c>
      <c r="G120" s="1121">
        <f>'Diciembre - 2019  '!$M$33</f>
        <v>4753878.6400000006</v>
      </c>
      <c r="H120" s="1121">
        <f>'Diciembre - 2019  '!$M$54</f>
        <v>5690.5</v>
      </c>
      <c r="I120" s="1121">
        <f t="shared" si="107"/>
        <v>4759569.1400000006</v>
      </c>
      <c r="J120" s="2067">
        <f>'Diciembre - 2019  '!$H$22</f>
        <v>0.14799999999999999</v>
      </c>
      <c r="K120" s="2069">
        <f>'Diciembre - 2019  '!$I$22</f>
        <v>1.4200000000000001E-2</v>
      </c>
      <c r="L120" s="1104">
        <f t="shared" si="108"/>
        <v>30</v>
      </c>
      <c r="M120" s="1153">
        <v>31482682</v>
      </c>
      <c r="N120" s="1107">
        <f t="shared" si="109"/>
        <v>1049422.7333333334</v>
      </c>
      <c r="O120" s="1164">
        <f>'Diciembre - 2019  '!$I$22</f>
        <v>1.4200000000000001E-2</v>
      </c>
      <c r="P120" s="1118">
        <f t="shared" si="110"/>
        <v>5869182.201933383</v>
      </c>
      <c r="Q120" s="1118">
        <f>'Diciembre - 2019  '!$K$54</f>
        <v>6190010.4432046823</v>
      </c>
      <c r="R120" s="1117">
        <f>'Diciembre - 2019  '!$L$15</f>
        <v>0</v>
      </c>
      <c r="S120" s="1743">
        <f t="shared" si="111"/>
        <v>21.878546048392941</v>
      </c>
      <c r="T120" s="1753">
        <f>'Diciembre - 2019  '!$Z$89</f>
        <v>0</v>
      </c>
      <c r="U120" s="1107">
        <f>'Diciembre - 2019  '!$AA$89</f>
        <v>0</v>
      </c>
      <c r="V120" s="1107">
        <f t="shared" si="112"/>
        <v>0</v>
      </c>
      <c r="W120" s="1107" t="e">
        <f t="shared" si="113"/>
        <v>#VALUE!</v>
      </c>
      <c r="X120" s="1108">
        <f t="shared" si="114"/>
        <v>206333.68144015607</v>
      </c>
      <c r="Y120" s="1109">
        <f t="shared" si="115"/>
        <v>31482682</v>
      </c>
      <c r="Z120" s="1109">
        <f t="shared" si="116"/>
        <v>6190010.4432046823</v>
      </c>
      <c r="AA120" s="1110">
        <f t="shared" si="117"/>
        <v>25292671.556795318</v>
      </c>
      <c r="AB120" s="1119">
        <f t="shared" si="118"/>
        <v>0.19661636334555876</v>
      </c>
      <c r="AC120" s="1754">
        <f t="shared" si="119"/>
        <v>0.80338363665444124</v>
      </c>
    </row>
    <row r="121" spans="2:29" hidden="1" x14ac:dyDescent="0.25">
      <c r="B121" s="1113">
        <f t="shared" si="105"/>
        <v>2022</v>
      </c>
      <c r="C121" s="1114">
        <v>44743</v>
      </c>
      <c r="D121" s="1744">
        <f>'Diciembre - 2019  '!$N$34+'Diciembre - 2019  '!$N$43</f>
        <v>104018642.60000001</v>
      </c>
      <c r="E121" s="1121">
        <f>'Diciembre - 2019  '!$N$54</f>
        <v>113809.99999999999</v>
      </c>
      <c r="F121" s="1745">
        <f t="shared" si="106"/>
        <v>104132452.60000001</v>
      </c>
      <c r="G121" s="1121">
        <f>'Diciembre - 2019  '!$M$33</f>
        <v>4753878.6400000006</v>
      </c>
      <c r="H121" s="1121">
        <f>'Diciembre - 2019  '!$M$54</f>
        <v>5690.5</v>
      </c>
      <c r="I121" s="1121">
        <f t="shared" si="107"/>
        <v>4759569.1400000006</v>
      </c>
      <c r="J121" s="2067">
        <f>'Diciembre - 2019  '!$H$22</f>
        <v>0.14799999999999999</v>
      </c>
      <c r="K121" s="2069">
        <f>'Diciembre - 2019  '!$I$22</f>
        <v>1.4200000000000001E-2</v>
      </c>
      <c r="L121" s="1104">
        <f t="shared" si="108"/>
        <v>31</v>
      </c>
      <c r="M121" s="1153">
        <v>31482683</v>
      </c>
      <c r="N121" s="1107">
        <f t="shared" si="109"/>
        <v>1015570.4193548387</v>
      </c>
      <c r="O121" s="1164">
        <f>'Diciembre - 2019  '!$I$22</f>
        <v>1.4200000000000001E-2</v>
      </c>
      <c r="P121" s="1118">
        <f t="shared" si="110"/>
        <v>5869182.201933383</v>
      </c>
      <c r="Q121" s="1118">
        <f>'Diciembre - 2019  '!$K$54</f>
        <v>6190010.4432046823</v>
      </c>
      <c r="R121" s="1117">
        <f>'Diciembre - 2019  '!$L$15</f>
        <v>0</v>
      </c>
      <c r="S121" s="1743">
        <f t="shared" si="111"/>
        <v>21.878546048392941</v>
      </c>
      <c r="T121" s="1753">
        <f>'Diciembre - 2019  '!$Z$89</f>
        <v>0</v>
      </c>
      <c r="U121" s="1107">
        <f>'Diciembre - 2019  '!$AA$89</f>
        <v>0</v>
      </c>
      <c r="V121" s="1107">
        <f t="shared" si="112"/>
        <v>0</v>
      </c>
      <c r="W121" s="1107" t="e">
        <f t="shared" si="113"/>
        <v>#VALUE!</v>
      </c>
      <c r="X121" s="1108">
        <f t="shared" si="114"/>
        <v>199677.7562324091</v>
      </c>
      <c r="Y121" s="1109">
        <f t="shared" si="115"/>
        <v>31482683</v>
      </c>
      <c r="Z121" s="1109">
        <f t="shared" si="116"/>
        <v>6190010.4432046823</v>
      </c>
      <c r="AA121" s="1110">
        <f t="shared" si="117"/>
        <v>25292672.556795318</v>
      </c>
      <c r="AB121" s="1119">
        <f t="shared" si="118"/>
        <v>0.19661635710033615</v>
      </c>
      <c r="AC121" s="1754">
        <f t="shared" si="119"/>
        <v>0.80338364289966391</v>
      </c>
    </row>
    <row r="122" spans="2:29" hidden="1" x14ac:dyDescent="0.25">
      <c r="B122" s="1113">
        <f t="shared" si="105"/>
        <v>2022</v>
      </c>
      <c r="C122" s="1114">
        <v>44774</v>
      </c>
      <c r="D122" s="1744">
        <f>'Diciembre - 2019  '!$N$34+'Diciembre - 2019  '!$N$43</f>
        <v>104018642.60000001</v>
      </c>
      <c r="E122" s="1121">
        <f>'Diciembre - 2019  '!$N$54</f>
        <v>113809.99999999999</v>
      </c>
      <c r="F122" s="1745">
        <f t="shared" si="106"/>
        <v>104132452.60000001</v>
      </c>
      <c r="G122" s="1121">
        <f>'Diciembre - 2019  '!$M$33</f>
        <v>4753878.6400000006</v>
      </c>
      <c r="H122" s="1121">
        <f>'Diciembre - 2019  '!$M$54</f>
        <v>5690.5</v>
      </c>
      <c r="I122" s="1121">
        <f t="shared" si="107"/>
        <v>4759569.1400000006</v>
      </c>
      <c r="J122" s="2067">
        <f>'Diciembre - 2019  '!$H$22</f>
        <v>0.14799999999999999</v>
      </c>
      <c r="K122" s="2069">
        <f>'Diciembre - 2019  '!$I$22</f>
        <v>1.4200000000000001E-2</v>
      </c>
      <c r="L122" s="1104">
        <f t="shared" si="108"/>
        <v>31</v>
      </c>
      <c r="M122" s="1153">
        <v>31482684</v>
      </c>
      <c r="N122" s="1107">
        <f t="shared" si="109"/>
        <v>1015570.4516129033</v>
      </c>
      <c r="O122" s="1164">
        <f>'Diciembre - 2019  '!$I$22</f>
        <v>1.4200000000000001E-2</v>
      </c>
      <c r="P122" s="1118">
        <f t="shared" si="110"/>
        <v>5869182.201933383</v>
      </c>
      <c r="Q122" s="1118">
        <f>'Diciembre - 2019  '!$K$54</f>
        <v>6190010.4432046823</v>
      </c>
      <c r="R122" s="1117">
        <f>'Diciembre - 2019  '!$L$15</f>
        <v>0</v>
      </c>
      <c r="S122" s="1743">
        <f t="shared" si="111"/>
        <v>21.878546048392941</v>
      </c>
      <c r="T122" s="1753">
        <f>'Diciembre - 2019  '!$Z$89</f>
        <v>0</v>
      </c>
      <c r="U122" s="1107">
        <f>'Diciembre - 2019  '!$AA$89</f>
        <v>0</v>
      </c>
      <c r="V122" s="1107">
        <f t="shared" si="112"/>
        <v>0</v>
      </c>
      <c r="W122" s="1107" t="e">
        <f t="shared" si="113"/>
        <v>#VALUE!</v>
      </c>
      <c r="X122" s="1108">
        <f t="shared" si="114"/>
        <v>199677.7562324091</v>
      </c>
      <c r="Y122" s="1109">
        <f t="shared" si="115"/>
        <v>31482684</v>
      </c>
      <c r="Z122" s="1109">
        <f t="shared" si="116"/>
        <v>6190010.4432046823</v>
      </c>
      <c r="AA122" s="1110">
        <f t="shared" si="117"/>
        <v>25292673.556795318</v>
      </c>
      <c r="AB122" s="1119">
        <f t="shared" si="118"/>
        <v>0.19661635085511395</v>
      </c>
      <c r="AC122" s="1754">
        <f t="shared" si="119"/>
        <v>0.80338364914488603</v>
      </c>
    </row>
    <row r="123" spans="2:29" hidden="1" x14ac:dyDescent="0.25">
      <c r="B123" s="1113">
        <f t="shared" si="105"/>
        <v>2022</v>
      </c>
      <c r="C123" s="1114">
        <v>44805</v>
      </c>
      <c r="D123" s="1744">
        <f>'Diciembre - 2019  '!$N$34+'Diciembre - 2019  '!$N$43</f>
        <v>104018642.60000001</v>
      </c>
      <c r="E123" s="1121">
        <f>'Diciembre - 2019  '!$N$54</f>
        <v>113809.99999999999</v>
      </c>
      <c r="F123" s="1745">
        <f t="shared" si="106"/>
        <v>104132452.60000001</v>
      </c>
      <c r="G123" s="1121">
        <f>'Diciembre - 2019  '!$M$33</f>
        <v>4753878.6400000006</v>
      </c>
      <c r="H123" s="1121">
        <f>'Diciembre - 2019  '!$M$54</f>
        <v>5690.5</v>
      </c>
      <c r="I123" s="1121">
        <f t="shared" si="107"/>
        <v>4759569.1400000006</v>
      </c>
      <c r="J123" s="2067">
        <f>'Diciembre - 2019  '!$H$22</f>
        <v>0.14799999999999999</v>
      </c>
      <c r="K123" s="2069">
        <f>'Diciembre - 2019  '!$I$22</f>
        <v>1.4200000000000001E-2</v>
      </c>
      <c r="L123" s="1104">
        <f t="shared" si="108"/>
        <v>30</v>
      </c>
      <c r="M123" s="1153">
        <v>31482685</v>
      </c>
      <c r="N123" s="1107">
        <f t="shared" si="109"/>
        <v>1049422.8333333333</v>
      </c>
      <c r="O123" s="1164">
        <f>'Diciembre - 2019  '!$I$22</f>
        <v>1.4200000000000001E-2</v>
      </c>
      <c r="P123" s="1118">
        <f t="shared" si="110"/>
        <v>5869182.201933383</v>
      </c>
      <c r="Q123" s="1118">
        <f>'Diciembre - 2019  '!$K$54</f>
        <v>6190010.4432046823</v>
      </c>
      <c r="R123" s="1117">
        <f>'Diciembre - 2019  '!$L$15</f>
        <v>0</v>
      </c>
      <c r="S123" s="1743">
        <f t="shared" si="111"/>
        <v>21.878546048392941</v>
      </c>
      <c r="T123" s="1753">
        <f>'Diciembre - 2019  '!$Z$89</f>
        <v>0</v>
      </c>
      <c r="U123" s="1107">
        <f>'Diciembre - 2019  '!$AA$89</f>
        <v>0</v>
      </c>
      <c r="V123" s="1107">
        <f t="shared" si="112"/>
        <v>0</v>
      </c>
      <c r="W123" s="1107" t="e">
        <f t="shared" si="113"/>
        <v>#VALUE!</v>
      </c>
      <c r="X123" s="1108">
        <f t="shared" si="114"/>
        <v>206333.68144015607</v>
      </c>
      <c r="Y123" s="1109">
        <f t="shared" si="115"/>
        <v>31482685</v>
      </c>
      <c r="Z123" s="1109">
        <f t="shared" si="116"/>
        <v>6190010.4432046823</v>
      </c>
      <c r="AA123" s="1110">
        <f t="shared" si="117"/>
        <v>25292674.556795318</v>
      </c>
      <c r="AB123" s="1119">
        <f t="shared" si="118"/>
        <v>0.19661634460989214</v>
      </c>
      <c r="AC123" s="1754">
        <f t="shared" si="119"/>
        <v>0.80338365539010792</v>
      </c>
    </row>
    <row r="124" spans="2:29" hidden="1" x14ac:dyDescent="0.25">
      <c r="B124" s="1113">
        <f t="shared" si="105"/>
        <v>2022</v>
      </c>
      <c r="C124" s="1114">
        <v>44835</v>
      </c>
      <c r="D124" s="1744">
        <f>'Diciembre - 2019  '!$N$34+'Diciembre - 2019  '!$N$43</f>
        <v>104018642.60000001</v>
      </c>
      <c r="E124" s="1121">
        <f>'Diciembre - 2019  '!$N$54</f>
        <v>113809.99999999999</v>
      </c>
      <c r="F124" s="1745">
        <f t="shared" si="106"/>
        <v>104132452.60000001</v>
      </c>
      <c r="G124" s="1121">
        <f>'Diciembre - 2019  '!$M$33</f>
        <v>4753878.6400000006</v>
      </c>
      <c r="H124" s="1121">
        <f>'Diciembre - 2019  '!$M$54</f>
        <v>5690.5</v>
      </c>
      <c r="I124" s="1121">
        <f t="shared" si="107"/>
        <v>4759569.1400000006</v>
      </c>
      <c r="J124" s="2067">
        <f>'Diciembre - 2019  '!$H$22</f>
        <v>0.14799999999999999</v>
      </c>
      <c r="K124" s="2069">
        <f>'Diciembre - 2019  '!$I$22</f>
        <v>1.4200000000000001E-2</v>
      </c>
      <c r="L124" s="1104">
        <f t="shared" si="108"/>
        <v>31</v>
      </c>
      <c r="M124" s="1153">
        <v>31482686</v>
      </c>
      <c r="N124" s="1107">
        <f t="shared" si="109"/>
        <v>1015570.5161290322</v>
      </c>
      <c r="O124" s="1164">
        <f>'Diciembre - 2019  '!$I$22</f>
        <v>1.4200000000000001E-2</v>
      </c>
      <c r="P124" s="1118">
        <f t="shared" si="110"/>
        <v>5869182.201933383</v>
      </c>
      <c r="Q124" s="1118">
        <f>'Diciembre - 2019  '!$K$54</f>
        <v>6190010.4432046823</v>
      </c>
      <c r="R124" s="1117">
        <f>'Diciembre - 2019  '!$L$15</f>
        <v>0</v>
      </c>
      <c r="S124" s="1743">
        <f t="shared" si="111"/>
        <v>21.878546048392941</v>
      </c>
      <c r="T124" s="1753">
        <f>'Diciembre - 2019  '!$Z$89</f>
        <v>0</v>
      </c>
      <c r="U124" s="1107">
        <f>'Diciembre - 2019  '!$AA$89</f>
        <v>0</v>
      </c>
      <c r="V124" s="1107">
        <f t="shared" si="112"/>
        <v>0</v>
      </c>
      <c r="W124" s="1107" t="e">
        <f t="shared" si="113"/>
        <v>#VALUE!</v>
      </c>
      <c r="X124" s="1108">
        <f t="shared" si="114"/>
        <v>199677.7562324091</v>
      </c>
      <c r="Y124" s="1109">
        <f t="shared" si="115"/>
        <v>31482686</v>
      </c>
      <c r="Z124" s="1109">
        <f t="shared" si="116"/>
        <v>6190010.4432046823</v>
      </c>
      <c r="AA124" s="1110">
        <f t="shared" si="117"/>
        <v>25292675.556795318</v>
      </c>
      <c r="AB124" s="1119">
        <f t="shared" si="118"/>
        <v>0.19661633836467074</v>
      </c>
      <c r="AC124" s="1754">
        <f t="shared" si="119"/>
        <v>0.80338366163532926</v>
      </c>
    </row>
    <row r="125" spans="2:29" hidden="1" x14ac:dyDescent="0.25">
      <c r="B125" s="1113">
        <f t="shared" si="105"/>
        <v>2022</v>
      </c>
      <c r="C125" s="1114">
        <v>44866</v>
      </c>
      <c r="D125" s="1744">
        <f>'Diciembre - 2019  '!$N$34+'Diciembre - 2019  '!$N$43</f>
        <v>104018642.60000001</v>
      </c>
      <c r="E125" s="1121">
        <f>'Diciembre - 2019  '!$N$54</f>
        <v>113809.99999999999</v>
      </c>
      <c r="F125" s="1745">
        <f t="shared" si="106"/>
        <v>104132452.60000001</v>
      </c>
      <c r="G125" s="1121">
        <f>'Diciembre - 2019  '!$M$33</f>
        <v>4753878.6400000006</v>
      </c>
      <c r="H125" s="1121">
        <f>'Diciembre - 2019  '!$M$54</f>
        <v>5690.5</v>
      </c>
      <c r="I125" s="1121">
        <f t="shared" si="107"/>
        <v>4759569.1400000006</v>
      </c>
      <c r="J125" s="2067">
        <f>'Diciembre - 2019  '!$H$22</f>
        <v>0.14799999999999999</v>
      </c>
      <c r="K125" s="2069">
        <f>'Diciembre - 2019  '!$I$22</f>
        <v>1.4200000000000001E-2</v>
      </c>
      <c r="L125" s="1104">
        <f t="shared" si="108"/>
        <v>30</v>
      </c>
      <c r="M125" s="1153">
        <v>31482687</v>
      </c>
      <c r="N125" s="1107">
        <f t="shared" si="109"/>
        <v>1049422.8999999999</v>
      </c>
      <c r="O125" s="1164">
        <f>'Diciembre - 2019  '!$I$22</f>
        <v>1.4200000000000001E-2</v>
      </c>
      <c r="P125" s="1118">
        <f t="shared" si="110"/>
        <v>5869182.201933383</v>
      </c>
      <c r="Q125" s="1118">
        <f>'Diciembre - 2019  '!$K$54</f>
        <v>6190010.4432046823</v>
      </c>
      <c r="R125" s="1117">
        <f>'Diciembre - 2019  '!$L$15</f>
        <v>0</v>
      </c>
      <c r="S125" s="1743">
        <f t="shared" si="111"/>
        <v>21.878546048392941</v>
      </c>
      <c r="T125" s="1753">
        <f>'Diciembre - 2019  '!$Z$89</f>
        <v>0</v>
      </c>
      <c r="U125" s="1107">
        <f>'Diciembre - 2019  '!$AA$89</f>
        <v>0</v>
      </c>
      <c r="V125" s="1107">
        <f t="shared" si="112"/>
        <v>0</v>
      </c>
      <c r="W125" s="1107" t="e">
        <f t="shared" si="113"/>
        <v>#VALUE!</v>
      </c>
      <c r="X125" s="1108">
        <f t="shared" si="114"/>
        <v>206333.68144015607</v>
      </c>
      <c r="Y125" s="1109">
        <f t="shared" si="115"/>
        <v>31482687</v>
      </c>
      <c r="Z125" s="1109">
        <f t="shared" si="116"/>
        <v>6190010.4432046823</v>
      </c>
      <c r="AA125" s="1110">
        <f t="shared" si="117"/>
        <v>25292676.556795318</v>
      </c>
      <c r="AB125" s="1119">
        <f t="shared" si="118"/>
        <v>0.19661633211944973</v>
      </c>
      <c r="AC125" s="1754">
        <f t="shared" si="119"/>
        <v>0.80338366788055027</v>
      </c>
    </row>
    <row r="126" spans="2:29" hidden="1" x14ac:dyDescent="0.25">
      <c r="B126" s="1113">
        <f t="shared" si="105"/>
        <v>2022</v>
      </c>
      <c r="C126" s="1114">
        <v>44896</v>
      </c>
      <c r="D126" s="1744">
        <f>'Diciembre - 2019  '!$N$34+'Diciembre - 2019  '!$N$43</f>
        <v>104018642.60000001</v>
      </c>
      <c r="E126" s="1121">
        <f>'Diciembre - 2019  '!$N$54</f>
        <v>113809.99999999999</v>
      </c>
      <c r="F126" s="1745">
        <f t="shared" si="106"/>
        <v>104132452.60000001</v>
      </c>
      <c r="G126" s="1121">
        <f>'Diciembre - 2019  '!$M$33</f>
        <v>4753878.6400000006</v>
      </c>
      <c r="H126" s="1121">
        <f>'Diciembre - 2019  '!$M$54</f>
        <v>5690.5</v>
      </c>
      <c r="I126" s="1121">
        <f t="shared" si="107"/>
        <v>4759569.1400000006</v>
      </c>
      <c r="J126" s="2067">
        <f>'Diciembre - 2019  '!$H$22</f>
        <v>0.14799999999999999</v>
      </c>
      <c r="K126" s="2069">
        <f>'Diciembre - 2019  '!$I$22</f>
        <v>1.4200000000000001E-2</v>
      </c>
      <c r="L126" s="1104">
        <f t="shared" si="108"/>
        <v>31</v>
      </c>
      <c r="M126" s="1153">
        <v>31482688</v>
      </c>
      <c r="N126" s="1107">
        <f t="shared" si="109"/>
        <v>1015570.5806451613</v>
      </c>
      <c r="O126" s="1164">
        <f>'Diciembre - 2019  '!$I$22</f>
        <v>1.4200000000000001E-2</v>
      </c>
      <c r="P126" s="1118">
        <f t="shared" si="110"/>
        <v>5869182.201933383</v>
      </c>
      <c r="Q126" s="1118">
        <f>'Diciembre - 2019  '!$K$54</f>
        <v>6190010.4432046823</v>
      </c>
      <c r="R126" s="1117">
        <f>'Diciembre - 2019  '!$L$15</f>
        <v>0</v>
      </c>
      <c r="S126" s="1743">
        <f t="shared" si="111"/>
        <v>21.878546048392941</v>
      </c>
      <c r="T126" s="1753">
        <f>'Diciembre - 2019  '!$Z$89</f>
        <v>0</v>
      </c>
      <c r="U126" s="1107">
        <f>'Diciembre - 2019  '!$AA$89</f>
        <v>0</v>
      </c>
      <c r="V126" s="1107">
        <f t="shared" si="112"/>
        <v>0</v>
      </c>
      <c r="W126" s="1107" t="e">
        <f t="shared" si="113"/>
        <v>#VALUE!</v>
      </c>
      <c r="X126" s="1108">
        <f t="shared" si="114"/>
        <v>199677.7562324091</v>
      </c>
      <c r="Y126" s="1109">
        <f t="shared" si="115"/>
        <v>31482688</v>
      </c>
      <c r="Z126" s="1109">
        <f t="shared" si="116"/>
        <v>6190010.4432046823</v>
      </c>
      <c r="AA126" s="1110">
        <f t="shared" si="117"/>
        <v>25292677.556795318</v>
      </c>
      <c r="AB126" s="1119">
        <f t="shared" si="118"/>
        <v>0.19661632587422911</v>
      </c>
      <c r="AC126" s="1754">
        <f t="shared" si="119"/>
        <v>0.80338367412577094</v>
      </c>
    </row>
    <row r="127" spans="2:29" hidden="1" x14ac:dyDescent="0.25">
      <c r="B127" s="1113">
        <f t="shared" si="105"/>
        <v>2023</v>
      </c>
      <c r="C127" s="1114">
        <v>44927</v>
      </c>
      <c r="D127" s="1744">
        <f>'Diciembre - 2019  '!$N$34+'Diciembre - 2019  '!$N$43</f>
        <v>104018642.60000001</v>
      </c>
      <c r="E127" s="1121">
        <f>'Diciembre - 2019  '!$N$54</f>
        <v>113809.99999999999</v>
      </c>
      <c r="F127" s="1745">
        <f t="shared" si="106"/>
        <v>104132452.60000001</v>
      </c>
      <c r="G127" s="1121">
        <f>'Diciembre - 2019  '!$M$33</f>
        <v>4753878.6400000006</v>
      </c>
      <c r="H127" s="1121">
        <f>'Diciembre - 2019  '!$M$54</f>
        <v>5690.5</v>
      </c>
      <c r="I127" s="1121">
        <f t="shared" si="107"/>
        <v>4759569.1400000006</v>
      </c>
      <c r="J127" s="2067">
        <f>'Diciembre - 2019  '!$H$22</f>
        <v>0.14799999999999999</v>
      </c>
      <c r="K127" s="2069">
        <f>'Diciembre - 2019  '!$I$22</f>
        <v>1.4200000000000001E-2</v>
      </c>
      <c r="L127" s="1104">
        <f t="shared" si="108"/>
        <v>31</v>
      </c>
      <c r="M127" s="1153">
        <v>31482689</v>
      </c>
      <c r="N127" s="1107">
        <f t="shared" si="109"/>
        <v>1015570.6129032258</v>
      </c>
      <c r="O127" s="1164">
        <f>'Diciembre - 2019  '!$I$22</f>
        <v>1.4200000000000001E-2</v>
      </c>
      <c r="P127" s="1118">
        <f t="shared" si="110"/>
        <v>5869182.201933383</v>
      </c>
      <c r="Q127" s="1118">
        <f>'Diciembre - 2019  '!$K$54</f>
        <v>6190010.4432046823</v>
      </c>
      <c r="R127" s="1117">
        <f>'Diciembre - 2019  '!$L$15</f>
        <v>0</v>
      </c>
      <c r="S127" s="1743">
        <f t="shared" si="111"/>
        <v>21.878546048392941</v>
      </c>
      <c r="T127" s="1753">
        <f>'Diciembre - 2019  '!$Z$89</f>
        <v>0</v>
      </c>
      <c r="U127" s="1107">
        <f>'Diciembre - 2019  '!$AA$89</f>
        <v>0</v>
      </c>
      <c r="V127" s="1107">
        <f t="shared" si="112"/>
        <v>0</v>
      </c>
      <c r="W127" s="1107" t="e">
        <f t="shared" si="113"/>
        <v>#VALUE!</v>
      </c>
      <c r="X127" s="1108">
        <f t="shared" si="114"/>
        <v>199677.7562324091</v>
      </c>
      <c r="Y127" s="1109">
        <f t="shared" si="115"/>
        <v>31482689</v>
      </c>
      <c r="Z127" s="1109">
        <f t="shared" si="116"/>
        <v>6190010.4432046823</v>
      </c>
      <c r="AA127" s="1110">
        <f t="shared" si="117"/>
        <v>25292678.556795318</v>
      </c>
      <c r="AB127" s="1119">
        <f t="shared" si="118"/>
        <v>0.19661631962900888</v>
      </c>
      <c r="AC127" s="1754">
        <f t="shared" si="119"/>
        <v>0.80338368037099106</v>
      </c>
    </row>
    <row r="128" spans="2:29" hidden="1" x14ac:dyDescent="0.25">
      <c r="B128" s="1113">
        <f t="shared" si="105"/>
        <v>2023</v>
      </c>
      <c r="C128" s="1114">
        <v>44958</v>
      </c>
      <c r="D128" s="1744">
        <f>'Diciembre - 2019  '!$N$34+'Diciembre - 2019  '!$N$43</f>
        <v>104018642.60000001</v>
      </c>
      <c r="E128" s="1121">
        <f>'Diciembre - 2019  '!$N$54</f>
        <v>113809.99999999999</v>
      </c>
      <c r="F128" s="1745">
        <f t="shared" si="106"/>
        <v>104132452.60000001</v>
      </c>
      <c r="G128" s="1121">
        <f>'Diciembre - 2019  '!$M$33</f>
        <v>4753878.6400000006</v>
      </c>
      <c r="H128" s="1121">
        <f>'Diciembre - 2019  '!$M$54</f>
        <v>5690.5</v>
      </c>
      <c r="I128" s="1121">
        <f t="shared" si="107"/>
        <v>4759569.1400000006</v>
      </c>
      <c r="J128" s="2067">
        <f>'Diciembre - 2019  '!$H$22</f>
        <v>0.14799999999999999</v>
      </c>
      <c r="K128" s="2069">
        <f>'Diciembre - 2019  '!$I$22</f>
        <v>1.4200000000000001E-2</v>
      </c>
      <c r="L128" s="1104">
        <f t="shared" si="108"/>
        <v>28</v>
      </c>
      <c r="M128" s="1153">
        <v>31482690</v>
      </c>
      <c r="N128" s="1107">
        <f t="shared" si="109"/>
        <v>1124381.7857142857</v>
      </c>
      <c r="O128" s="1164">
        <f>'Diciembre - 2019  '!$I$22</f>
        <v>1.4200000000000001E-2</v>
      </c>
      <c r="P128" s="1118">
        <f t="shared" si="110"/>
        <v>5869182.201933383</v>
      </c>
      <c r="Q128" s="1118">
        <f>'Diciembre - 2019  '!$K$54</f>
        <v>6190010.4432046823</v>
      </c>
      <c r="R128" s="1117">
        <f>'Diciembre - 2019  '!$L$15</f>
        <v>0</v>
      </c>
      <c r="S128" s="1743">
        <f t="shared" si="111"/>
        <v>21.878546048392941</v>
      </c>
      <c r="T128" s="1753">
        <f>'Diciembre - 2019  '!$Z$89</f>
        <v>0</v>
      </c>
      <c r="U128" s="1107">
        <f>'Diciembre - 2019  '!$AA$89</f>
        <v>0</v>
      </c>
      <c r="V128" s="1107">
        <f t="shared" si="112"/>
        <v>0</v>
      </c>
      <c r="W128" s="1107" t="e">
        <f t="shared" si="113"/>
        <v>#VALUE!</v>
      </c>
      <c r="X128" s="1108">
        <f t="shared" si="114"/>
        <v>221071.80154302437</v>
      </c>
      <c r="Y128" s="1109">
        <f t="shared" si="115"/>
        <v>31482690</v>
      </c>
      <c r="Z128" s="1109">
        <f t="shared" si="116"/>
        <v>6190010.4432046823</v>
      </c>
      <c r="AA128" s="1110">
        <f t="shared" si="117"/>
        <v>25292679.556795318</v>
      </c>
      <c r="AB128" s="1119">
        <f t="shared" si="118"/>
        <v>0.19661631338378907</v>
      </c>
      <c r="AC128" s="1754">
        <f t="shared" si="119"/>
        <v>0.80338368661621096</v>
      </c>
    </row>
    <row r="129" spans="2:29" hidden="1" x14ac:dyDescent="0.25">
      <c r="B129" s="1113">
        <f t="shared" si="105"/>
        <v>2023</v>
      </c>
      <c r="C129" s="1114">
        <v>44986</v>
      </c>
      <c r="D129" s="1744">
        <f>'Diciembre - 2019  '!$N$34+'Diciembre - 2019  '!$N$43</f>
        <v>104018642.60000001</v>
      </c>
      <c r="E129" s="1121">
        <f>'Diciembre - 2019  '!$N$54</f>
        <v>113809.99999999999</v>
      </c>
      <c r="F129" s="1745">
        <f t="shared" si="106"/>
        <v>104132452.60000001</v>
      </c>
      <c r="G129" s="1121">
        <f>'Diciembre - 2019  '!$M$33</f>
        <v>4753878.6400000006</v>
      </c>
      <c r="H129" s="1121">
        <f>'Diciembre - 2019  '!$M$54</f>
        <v>5690.5</v>
      </c>
      <c r="I129" s="1121">
        <f t="shared" si="107"/>
        <v>4759569.1400000006</v>
      </c>
      <c r="J129" s="2067">
        <f>'Diciembre - 2019  '!$H$22</f>
        <v>0.14799999999999999</v>
      </c>
      <c r="K129" s="2069">
        <f>'Diciembre - 2019  '!$I$22</f>
        <v>1.4200000000000001E-2</v>
      </c>
      <c r="L129" s="1104">
        <f t="shared" si="108"/>
        <v>31</v>
      </c>
      <c r="M129" s="1153">
        <v>31482691</v>
      </c>
      <c r="N129" s="1107">
        <f t="shared" si="109"/>
        <v>1015570.6774193548</v>
      </c>
      <c r="O129" s="1164">
        <f>'Diciembre - 2019  '!$I$22</f>
        <v>1.4200000000000001E-2</v>
      </c>
      <c r="P129" s="1118">
        <f t="shared" si="110"/>
        <v>5869182.201933383</v>
      </c>
      <c r="Q129" s="1118">
        <f>'Diciembre - 2019  '!$K$54</f>
        <v>6190010.4432046823</v>
      </c>
      <c r="R129" s="1117">
        <f>'Diciembre - 2019  '!$L$15</f>
        <v>0</v>
      </c>
      <c r="S129" s="1743">
        <f t="shared" si="111"/>
        <v>21.878546048392941</v>
      </c>
      <c r="T129" s="1753">
        <f>'Diciembre - 2019  '!$Z$89</f>
        <v>0</v>
      </c>
      <c r="U129" s="1107">
        <f>'Diciembre - 2019  '!$AA$89</f>
        <v>0</v>
      </c>
      <c r="V129" s="1107">
        <f t="shared" si="112"/>
        <v>0</v>
      </c>
      <c r="W129" s="1107" t="e">
        <f t="shared" si="113"/>
        <v>#VALUE!</v>
      </c>
      <c r="X129" s="1108">
        <f t="shared" si="114"/>
        <v>199677.7562324091</v>
      </c>
      <c r="Y129" s="1109">
        <f t="shared" si="115"/>
        <v>31482691</v>
      </c>
      <c r="Z129" s="1109">
        <f t="shared" si="116"/>
        <v>6190010.4432046823</v>
      </c>
      <c r="AA129" s="1110">
        <f t="shared" si="117"/>
        <v>25292680.556795318</v>
      </c>
      <c r="AB129" s="1119">
        <f t="shared" si="118"/>
        <v>0.19661630713856965</v>
      </c>
      <c r="AC129" s="1754">
        <f t="shared" si="119"/>
        <v>0.80338369286143041</v>
      </c>
    </row>
    <row r="130" spans="2:29" hidden="1" x14ac:dyDescent="0.25">
      <c r="B130" s="1113">
        <f t="shared" si="105"/>
        <v>2023</v>
      </c>
      <c r="C130" s="1114">
        <v>45017</v>
      </c>
      <c r="D130" s="1744">
        <f>'Diciembre - 2019  '!$N$34+'Diciembre - 2019  '!$N$43</f>
        <v>104018642.60000001</v>
      </c>
      <c r="E130" s="1121">
        <f>'Diciembre - 2019  '!$N$54</f>
        <v>113809.99999999999</v>
      </c>
      <c r="F130" s="1745">
        <f t="shared" si="106"/>
        <v>104132452.60000001</v>
      </c>
      <c r="G130" s="1121">
        <f>'Diciembre - 2019  '!$M$33</f>
        <v>4753878.6400000006</v>
      </c>
      <c r="H130" s="1121">
        <f>'Diciembre - 2019  '!$M$54</f>
        <v>5690.5</v>
      </c>
      <c r="I130" s="1121">
        <f t="shared" si="107"/>
        <v>4759569.1400000006</v>
      </c>
      <c r="J130" s="2067">
        <f>'Diciembre - 2019  '!$H$22</f>
        <v>0.14799999999999999</v>
      </c>
      <c r="K130" s="2069">
        <f>'Diciembre - 2019  '!$I$22</f>
        <v>1.4200000000000001E-2</v>
      </c>
      <c r="L130" s="1104">
        <f t="shared" si="108"/>
        <v>30</v>
      </c>
      <c r="M130" s="1153">
        <v>31482692</v>
      </c>
      <c r="N130" s="1107">
        <f t="shared" si="109"/>
        <v>1049423.0666666667</v>
      </c>
      <c r="O130" s="1164">
        <f>'Diciembre - 2019  '!$I$22</f>
        <v>1.4200000000000001E-2</v>
      </c>
      <c r="P130" s="1118">
        <f t="shared" si="110"/>
        <v>5869182.201933383</v>
      </c>
      <c r="Q130" s="1118">
        <f>'Diciembre - 2019  '!$K$54</f>
        <v>6190010.4432046823</v>
      </c>
      <c r="R130" s="1117">
        <f>'Diciembre - 2019  '!$L$15</f>
        <v>0</v>
      </c>
      <c r="S130" s="1743">
        <f t="shared" si="111"/>
        <v>21.878546048392941</v>
      </c>
      <c r="T130" s="1753">
        <f>'Diciembre - 2019  '!$Z$89</f>
        <v>0</v>
      </c>
      <c r="U130" s="1107">
        <f>'Diciembre - 2019  '!$AA$89</f>
        <v>0</v>
      </c>
      <c r="V130" s="1107">
        <f t="shared" si="112"/>
        <v>0</v>
      </c>
      <c r="W130" s="1107" t="e">
        <f t="shared" si="113"/>
        <v>#VALUE!</v>
      </c>
      <c r="X130" s="1108">
        <f t="shared" si="114"/>
        <v>206333.68144015607</v>
      </c>
      <c r="Y130" s="1109">
        <f t="shared" si="115"/>
        <v>31482692</v>
      </c>
      <c r="Z130" s="1109">
        <f t="shared" si="116"/>
        <v>6190010.4432046823</v>
      </c>
      <c r="AA130" s="1110">
        <f t="shared" si="117"/>
        <v>25292681.556795318</v>
      </c>
      <c r="AB130" s="1119">
        <f t="shared" si="118"/>
        <v>0.19661630089335061</v>
      </c>
      <c r="AC130" s="1754">
        <f t="shared" si="119"/>
        <v>0.80338369910664942</v>
      </c>
    </row>
    <row r="131" spans="2:29" hidden="1" x14ac:dyDescent="0.25">
      <c r="B131" s="1113">
        <f t="shared" si="105"/>
        <v>2023</v>
      </c>
      <c r="C131" s="1114">
        <v>45047</v>
      </c>
      <c r="D131" s="1744">
        <f>'Diciembre - 2019  '!$N$34+'Diciembre - 2019  '!$N$43</f>
        <v>104018642.60000001</v>
      </c>
      <c r="E131" s="1121">
        <f>'Diciembre - 2019  '!$N$54</f>
        <v>113809.99999999999</v>
      </c>
      <c r="F131" s="1745">
        <f t="shared" si="106"/>
        <v>104132452.60000001</v>
      </c>
      <c r="G131" s="1121">
        <f>'Diciembre - 2019  '!$M$33</f>
        <v>4753878.6400000006</v>
      </c>
      <c r="H131" s="1121">
        <f>'Diciembre - 2019  '!$M$54</f>
        <v>5690.5</v>
      </c>
      <c r="I131" s="1121">
        <f t="shared" si="107"/>
        <v>4759569.1400000006</v>
      </c>
      <c r="J131" s="2067">
        <f>'Diciembre - 2019  '!$H$22</f>
        <v>0.14799999999999999</v>
      </c>
      <c r="K131" s="2069">
        <f>'Diciembre - 2019  '!$I$22</f>
        <v>1.4200000000000001E-2</v>
      </c>
      <c r="L131" s="1104">
        <f t="shared" si="108"/>
        <v>31</v>
      </c>
      <c r="M131" s="1153">
        <v>31482693</v>
      </c>
      <c r="N131" s="1107">
        <f t="shared" si="109"/>
        <v>1015570.7419354839</v>
      </c>
      <c r="O131" s="1164">
        <f>'Diciembre - 2019  '!$I$22</f>
        <v>1.4200000000000001E-2</v>
      </c>
      <c r="P131" s="1118">
        <f t="shared" si="110"/>
        <v>5869182.201933383</v>
      </c>
      <c r="Q131" s="1118">
        <f>'Diciembre - 2019  '!$K$54</f>
        <v>6190010.4432046823</v>
      </c>
      <c r="R131" s="1117">
        <f>'Diciembre - 2019  '!$L$15</f>
        <v>0</v>
      </c>
      <c r="S131" s="1743">
        <f t="shared" si="111"/>
        <v>21.878546048392941</v>
      </c>
      <c r="T131" s="1753">
        <f>'Diciembre - 2019  '!$Z$89</f>
        <v>0</v>
      </c>
      <c r="U131" s="1107">
        <f>'Diciembre - 2019  '!$AA$89</f>
        <v>0</v>
      </c>
      <c r="V131" s="1107">
        <f t="shared" si="112"/>
        <v>0</v>
      </c>
      <c r="W131" s="1107" t="e">
        <f t="shared" si="113"/>
        <v>#VALUE!</v>
      </c>
      <c r="X131" s="1108">
        <f t="shared" si="114"/>
        <v>199677.7562324091</v>
      </c>
      <c r="Y131" s="1109">
        <f t="shared" si="115"/>
        <v>31482693</v>
      </c>
      <c r="Z131" s="1109">
        <f t="shared" si="116"/>
        <v>6190010.4432046823</v>
      </c>
      <c r="AA131" s="1110">
        <f t="shared" si="117"/>
        <v>25292682.556795318</v>
      </c>
      <c r="AB131" s="1119">
        <f t="shared" si="118"/>
        <v>0.19661629464813199</v>
      </c>
      <c r="AC131" s="1754">
        <f t="shared" si="119"/>
        <v>0.80338370535186798</v>
      </c>
    </row>
    <row r="132" spans="2:29" hidden="1" x14ac:dyDescent="0.25">
      <c r="B132" s="1113">
        <f t="shared" si="105"/>
        <v>2023</v>
      </c>
      <c r="C132" s="1114">
        <v>45078</v>
      </c>
      <c r="D132" s="1744">
        <f>'Diciembre - 2019  '!$N$34+'Diciembre - 2019  '!$N$43</f>
        <v>104018642.60000001</v>
      </c>
      <c r="E132" s="1121">
        <f>'Diciembre - 2019  '!$N$54</f>
        <v>113809.99999999999</v>
      </c>
      <c r="F132" s="1745">
        <f t="shared" si="106"/>
        <v>104132452.60000001</v>
      </c>
      <c r="G132" s="1121">
        <f>'Diciembre - 2019  '!$M$33</f>
        <v>4753878.6400000006</v>
      </c>
      <c r="H132" s="1121">
        <f>'Diciembre - 2019  '!$M$54</f>
        <v>5690.5</v>
      </c>
      <c r="I132" s="1121">
        <f t="shared" si="107"/>
        <v>4759569.1400000006</v>
      </c>
      <c r="J132" s="2067">
        <f>'Diciembre - 2019  '!$H$22</f>
        <v>0.14799999999999999</v>
      </c>
      <c r="K132" s="2069">
        <f>'Diciembre - 2019  '!$I$22</f>
        <v>1.4200000000000001E-2</v>
      </c>
      <c r="L132" s="1104">
        <f t="shared" si="108"/>
        <v>30</v>
      </c>
      <c r="M132" s="1153">
        <v>31482694</v>
      </c>
      <c r="N132" s="1107">
        <f t="shared" si="109"/>
        <v>1049423.1333333333</v>
      </c>
      <c r="O132" s="1164">
        <f>'Diciembre - 2019  '!$I$22</f>
        <v>1.4200000000000001E-2</v>
      </c>
      <c r="P132" s="1118">
        <f t="shared" si="110"/>
        <v>5869182.201933383</v>
      </c>
      <c r="Q132" s="1118">
        <f>'Diciembre - 2019  '!$K$54</f>
        <v>6190010.4432046823</v>
      </c>
      <c r="R132" s="1117">
        <f>'Diciembre - 2019  '!$L$15</f>
        <v>0</v>
      </c>
      <c r="S132" s="1743">
        <f t="shared" si="111"/>
        <v>21.878546048392941</v>
      </c>
      <c r="T132" s="1753">
        <f>'Diciembre - 2019  '!$Z$89</f>
        <v>0</v>
      </c>
      <c r="U132" s="1107">
        <f>'Diciembre - 2019  '!$AA$89</f>
        <v>0</v>
      </c>
      <c r="V132" s="1107">
        <f t="shared" si="112"/>
        <v>0</v>
      </c>
      <c r="W132" s="1107" t="e">
        <f t="shared" si="113"/>
        <v>#VALUE!</v>
      </c>
      <c r="X132" s="1108">
        <f t="shared" si="114"/>
        <v>206333.68144015607</v>
      </c>
      <c r="Y132" s="1109">
        <f t="shared" si="115"/>
        <v>31482694</v>
      </c>
      <c r="Z132" s="1109">
        <f t="shared" si="116"/>
        <v>6190010.4432046823</v>
      </c>
      <c r="AA132" s="1110">
        <f t="shared" si="117"/>
        <v>25292683.556795318</v>
      </c>
      <c r="AB132" s="1119">
        <f t="shared" si="118"/>
        <v>0.19661628840291376</v>
      </c>
      <c r="AC132" s="1754">
        <f t="shared" si="119"/>
        <v>0.80338371159708621</v>
      </c>
    </row>
    <row r="133" spans="2:29" hidden="1" x14ac:dyDescent="0.25">
      <c r="B133" s="1113">
        <f t="shared" si="105"/>
        <v>2023</v>
      </c>
      <c r="C133" s="1114">
        <v>45108</v>
      </c>
      <c r="D133" s="1744">
        <f>'Diciembre - 2019  '!$N$34+'Diciembre - 2019  '!$N$43</f>
        <v>104018642.60000001</v>
      </c>
      <c r="E133" s="1121">
        <f>'Diciembre - 2019  '!$N$54</f>
        <v>113809.99999999999</v>
      </c>
      <c r="F133" s="1745">
        <f t="shared" si="106"/>
        <v>104132452.60000001</v>
      </c>
      <c r="G133" s="1121">
        <f>'Diciembre - 2019  '!$M$33</f>
        <v>4753878.6400000006</v>
      </c>
      <c r="H133" s="1121">
        <f>'Diciembre - 2019  '!$M$54</f>
        <v>5690.5</v>
      </c>
      <c r="I133" s="1121">
        <f t="shared" si="107"/>
        <v>4759569.1400000006</v>
      </c>
      <c r="J133" s="2067">
        <f>'Diciembre - 2019  '!$H$22</f>
        <v>0.14799999999999999</v>
      </c>
      <c r="K133" s="2069">
        <f>'Diciembre - 2019  '!$I$22</f>
        <v>1.4200000000000001E-2</v>
      </c>
      <c r="L133" s="1104">
        <f t="shared" si="108"/>
        <v>31</v>
      </c>
      <c r="M133" s="1153">
        <v>31482695</v>
      </c>
      <c r="N133" s="1107">
        <f t="shared" si="109"/>
        <v>1015570.8064516129</v>
      </c>
      <c r="O133" s="1164">
        <f>'Diciembre - 2019  '!$I$22</f>
        <v>1.4200000000000001E-2</v>
      </c>
      <c r="P133" s="1118">
        <f t="shared" si="110"/>
        <v>5869182.201933383</v>
      </c>
      <c r="Q133" s="1118">
        <f>'Diciembre - 2019  '!$K$54</f>
        <v>6190010.4432046823</v>
      </c>
      <c r="R133" s="1117">
        <f>'Diciembre - 2019  '!$L$15</f>
        <v>0</v>
      </c>
      <c r="S133" s="1743">
        <f t="shared" si="111"/>
        <v>21.878546048392941</v>
      </c>
      <c r="T133" s="1753">
        <f>'Diciembre - 2019  '!$Z$89</f>
        <v>0</v>
      </c>
      <c r="U133" s="1107">
        <f>'Diciembre - 2019  '!$AA$89</f>
        <v>0</v>
      </c>
      <c r="V133" s="1107">
        <f t="shared" si="112"/>
        <v>0</v>
      </c>
      <c r="W133" s="1107" t="e">
        <f t="shared" si="113"/>
        <v>#VALUE!</v>
      </c>
      <c r="X133" s="1108">
        <f t="shared" si="114"/>
        <v>199677.7562324091</v>
      </c>
      <c r="Y133" s="1109">
        <f t="shared" si="115"/>
        <v>31482695</v>
      </c>
      <c r="Z133" s="1109">
        <f t="shared" si="116"/>
        <v>6190010.4432046823</v>
      </c>
      <c r="AA133" s="1110">
        <f t="shared" si="117"/>
        <v>25292684.556795318</v>
      </c>
      <c r="AB133" s="1119">
        <f t="shared" si="118"/>
        <v>0.19661628215769592</v>
      </c>
      <c r="AC133" s="1754">
        <f t="shared" si="119"/>
        <v>0.80338371784230411</v>
      </c>
    </row>
    <row r="134" spans="2:29" hidden="1" x14ac:dyDescent="0.25">
      <c r="B134" s="1113">
        <f t="shared" si="105"/>
        <v>2023</v>
      </c>
      <c r="C134" s="1114">
        <v>45139</v>
      </c>
      <c r="D134" s="1744">
        <f>'Diciembre - 2019  '!$N$34+'Diciembre - 2019  '!$N$43</f>
        <v>104018642.60000001</v>
      </c>
      <c r="E134" s="1121">
        <f>'Diciembre - 2019  '!$N$54</f>
        <v>113809.99999999999</v>
      </c>
      <c r="F134" s="1745">
        <f t="shared" si="106"/>
        <v>104132452.60000001</v>
      </c>
      <c r="G134" s="1121">
        <f>'Diciembre - 2019  '!$M$33</f>
        <v>4753878.6400000006</v>
      </c>
      <c r="H134" s="1121">
        <f>'Diciembre - 2019  '!$M$54</f>
        <v>5690.5</v>
      </c>
      <c r="I134" s="1121">
        <f t="shared" si="107"/>
        <v>4759569.1400000006</v>
      </c>
      <c r="J134" s="2067">
        <f>'Diciembre - 2019  '!$H$22</f>
        <v>0.14799999999999999</v>
      </c>
      <c r="K134" s="2069">
        <f>'Diciembre - 2019  '!$I$22</f>
        <v>1.4200000000000001E-2</v>
      </c>
      <c r="L134" s="1104">
        <f t="shared" si="108"/>
        <v>31</v>
      </c>
      <c r="M134" s="1153">
        <v>31482696</v>
      </c>
      <c r="N134" s="1107">
        <f t="shared" si="109"/>
        <v>1015570.8387096775</v>
      </c>
      <c r="O134" s="1164">
        <f>'Diciembre - 2019  '!$I$22</f>
        <v>1.4200000000000001E-2</v>
      </c>
      <c r="P134" s="1118">
        <f t="shared" si="110"/>
        <v>5869182.201933383</v>
      </c>
      <c r="Q134" s="1118">
        <f>'Diciembre - 2019  '!$K$54</f>
        <v>6190010.4432046823</v>
      </c>
      <c r="R134" s="1117">
        <f>'Diciembre - 2019  '!$L$15</f>
        <v>0</v>
      </c>
      <c r="S134" s="1743">
        <f t="shared" si="111"/>
        <v>21.878546048392941</v>
      </c>
      <c r="T134" s="1753">
        <f>'Diciembre - 2019  '!$Z$89</f>
        <v>0</v>
      </c>
      <c r="U134" s="1107">
        <f>'Diciembre - 2019  '!$AA$89</f>
        <v>0</v>
      </c>
      <c r="V134" s="1107">
        <f t="shared" si="112"/>
        <v>0</v>
      </c>
      <c r="W134" s="1107" t="e">
        <f t="shared" si="113"/>
        <v>#VALUE!</v>
      </c>
      <c r="X134" s="1108">
        <f t="shared" si="114"/>
        <v>199677.7562324091</v>
      </c>
      <c r="Y134" s="1109">
        <f t="shared" si="115"/>
        <v>31482696</v>
      </c>
      <c r="Z134" s="1109">
        <f t="shared" si="116"/>
        <v>6190010.4432046823</v>
      </c>
      <c r="AA134" s="1110">
        <f t="shared" si="117"/>
        <v>25292685.556795318</v>
      </c>
      <c r="AB134" s="1119">
        <f t="shared" si="118"/>
        <v>0.19661627591247846</v>
      </c>
      <c r="AC134" s="1754">
        <f t="shared" si="119"/>
        <v>0.80338372408752157</v>
      </c>
    </row>
    <row r="135" spans="2:29" hidden="1" x14ac:dyDescent="0.25">
      <c r="B135" s="1113">
        <f t="shared" si="105"/>
        <v>2023</v>
      </c>
      <c r="C135" s="1114">
        <v>45170</v>
      </c>
      <c r="D135" s="1744">
        <f>'Diciembre - 2019  '!$N$34+'Diciembre - 2019  '!$N$43</f>
        <v>104018642.60000001</v>
      </c>
      <c r="E135" s="1121">
        <f>'Diciembre - 2019  '!$N$54</f>
        <v>113809.99999999999</v>
      </c>
      <c r="F135" s="1745">
        <f t="shared" si="106"/>
        <v>104132452.60000001</v>
      </c>
      <c r="G135" s="1121">
        <f>'Diciembre - 2019  '!$M$33</f>
        <v>4753878.6400000006</v>
      </c>
      <c r="H135" s="1121">
        <f>'Diciembre - 2019  '!$M$54</f>
        <v>5690.5</v>
      </c>
      <c r="I135" s="1121">
        <f t="shared" si="107"/>
        <v>4759569.1400000006</v>
      </c>
      <c r="J135" s="2067">
        <f>'Diciembre - 2019  '!$H$22</f>
        <v>0.14799999999999999</v>
      </c>
      <c r="K135" s="2069">
        <f>'Diciembre - 2019  '!$I$22</f>
        <v>1.4200000000000001E-2</v>
      </c>
      <c r="L135" s="1104">
        <f t="shared" si="108"/>
        <v>30</v>
      </c>
      <c r="M135" s="1153">
        <v>31482697</v>
      </c>
      <c r="N135" s="1107">
        <f t="shared" si="109"/>
        <v>1049423.2333333334</v>
      </c>
      <c r="O135" s="1164">
        <f>'Diciembre - 2019  '!$I$22</f>
        <v>1.4200000000000001E-2</v>
      </c>
      <c r="P135" s="1118">
        <f t="shared" si="110"/>
        <v>5869182.201933383</v>
      </c>
      <c r="Q135" s="1118">
        <f>'Diciembre - 2019  '!$K$54</f>
        <v>6190010.4432046823</v>
      </c>
      <c r="R135" s="1117">
        <f>'Diciembre - 2019  '!$L$15</f>
        <v>0</v>
      </c>
      <c r="S135" s="1743">
        <f t="shared" si="111"/>
        <v>21.878546048392941</v>
      </c>
      <c r="T135" s="1753">
        <f>'Diciembre - 2019  '!$Z$89</f>
        <v>0</v>
      </c>
      <c r="U135" s="1107">
        <f>'Diciembre - 2019  '!$AA$89</f>
        <v>0</v>
      </c>
      <c r="V135" s="1107">
        <f t="shared" si="112"/>
        <v>0</v>
      </c>
      <c r="W135" s="1107" t="e">
        <f t="shared" si="113"/>
        <v>#VALUE!</v>
      </c>
      <c r="X135" s="1108">
        <f t="shared" si="114"/>
        <v>206333.68144015607</v>
      </c>
      <c r="Y135" s="1109">
        <f t="shared" si="115"/>
        <v>31482697</v>
      </c>
      <c r="Z135" s="1109">
        <f t="shared" si="116"/>
        <v>6190010.4432046823</v>
      </c>
      <c r="AA135" s="1110">
        <f t="shared" si="117"/>
        <v>25292686.556795318</v>
      </c>
      <c r="AB135" s="1119">
        <f t="shared" si="118"/>
        <v>0.19661626966726142</v>
      </c>
      <c r="AC135" s="1754">
        <f t="shared" si="119"/>
        <v>0.80338373033273858</v>
      </c>
    </row>
    <row r="136" spans="2:29" hidden="1" x14ac:dyDescent="0.25">
      <c r="B136" s="1113">
        <f t="shared" si="105"/>
        <v>2023</v>
      </c>
      <c r="C136" s="1114">
        <v>45200</v>
      </c>
      <c r="D136" s="1744">
        <f>'Diciembre - 2019  '!$N$34+'Diciembre - 2019  '!$N$43</f>
        <v>104018642.60000001</v>
      </c>
      <c r="E136" s="1121">
        <f>'Diciembre - 2019  '!$N$54</f>
        <v>113809.99999999999</v>
      </c>
      <c r="F136" s="1745">
        <f t="shared" si="106"/>
        <v>104132452.60000001</v>
      </c>
      <c r="G136" s="1121">
        <f>'Diciembre - 2019  '!$M$33</f>
        <v>4753878.6400000006</v>
      </c>
      <c r="H136" s="1121">
        <f>'Diciembre - 2019  '!$M$54</f>
        <v>5690.5</v>
      </c>
      <c r="I136" s="1121">
        <f t="shared" si="107"/>
        <v>4759569.1400000006</v>
      </c>
      <c r="J136" s="2067">
        <f>'Diciembre - 2019  '!$H$22</f>
        <v>0.14799999999999999</v>
      </c>
      <c r="K136" s="2069">
        <f>'Diciembre - 2019  '!$I$22</f>
        <v>1.4200000000000001E-2</v>
      </c>
      <c r="L136" s="1104">
        <f t="shared" si="108"/>
        <v>31</v>
      </c>
      <c r="M136" s="1153">
        <v>31482698</v>
      </c>
      <c r="N136" s="1107">
        <f t="shared" si="109"/>
        <v>1015570.9032258064</v>
      </c>
      <c r="O136" s="1164">
        <f>'Diciembre - 2019  '!$I$22</f>
        <v>1.4200000000000001E-2</v>
      </c>
      <c r="P136" s="1118">
        <f t="shared" si="110"/>
        <v>5869182.201933383</v>
      </c>
      <c r="Q136" s="1118">
        <f>'Diciembre - 2019  '!$K$54</f>
        <v>6190010.4432046823</v>
      </c>
      <c r="R136" s="1117">
        <f>'Diciembre - 2019  '!$L$15</f>
        <v>0</v>
      </c>
      <c r="S136" s="1743">
        <f t="shared" si="111"/>
        <v>21.878546048392941</v>
      </c>
      <c r="T136" s="1753">
        <f>'Diciembre - 2019  '!$Z$89</f>
        <v>0</v>
      </c>
      <c r="U136" s="1107">
        <f>'Diciembre - 2019  '!$AA$89</f>
        <v>0</v>
      </c>
      <c r="V136" s="1107">
        <f t="shared" si="112"/>
        <v>0</v>
      </c>
      <c r="W136" s="1107" t="e">
        <f t="shared" si="113"/>
        <v>#VALUE!</v>
      </c>
      <c r="X136" s="1108">
        <f t="shared" si="114"/>
        <v>199677.7562324091</v>
      </c>
      <c r="Y136" s="1109">
        <f t="shared" si="115"/>
        <v>31482698</v>
      </c>
      <c r="Z136" s="1109">
        <f t="shared" si="116"/>
        <v>6190010.4432046823</v>
      </c>
      <c r="AA136" s="1110">
        <f t="shared" si="117"/>
        <v>25292687.556795318</v>
      </c>
      <c r="AB136" s="1119">
        <f t="shared" si="118"/>
        <v>0.19661626342204477</v>
      </c>
      <c r="AC136" s="1754">
        <f t="shared" si="119"/>
        <v>0.80338373657795525</v>
      </c>
    </row>
    <row r="137" spans="2:29" hidden="1" x14ac:dyDescent="0.25">
      <c r="B137" s="1113">
        <f t="shared" si="105"/>
        <v>2023</v>
      </c>
      <c r="C137" s="1114">
        <v>45231</v>
      </c>
      <c r="D137" s="1744">
        <f>'Diciembre - 2019  '!$N$34+'Diciembre - 2019  '!$N$43</f>
        <v>104018642.60000001</v>
      </c>
      <c r="E137" s="1121">
        <f>'Diciembre - 2019  '!$N$54</f>
        <v>113809.99999999999</v>
      </c>
      <c r="F137" s="1745">
        <f t="shared" si="106"/>
        <v>104132452.60000001</v>
      </c>
      <c r="G137" s="1121">
        <f>'Diciembre - 2019  '!$M$33</f>
        <v>4753878.6400000006</v>
      </c>
      <c r="H137" s="1121">
        <f>'Diciembre - 2019  '!$M$54</f>
        <v>5690.5</v>
      </c>
      <c r="I137" s="1121">
        <f t="shared" si="107"/>
        <v>4759569.1400000006</v>
      </c>
      <c r="J137" s="2067">
        <f>'Diciembre - 2019  '!$H$22</f>
        <v>0.14799999999999999</v>
      </c>
      <c r="K137" s="2069">
        <f>'Diciembre - 2019  '!$I$22</f>
        <v>1.4200000000000001E-2</v>
      </c>
      <c r="L137" s="1104">
        <f t="shared" si="108"/>
        <v>30</v>
      </c>
      <c r="M137" s="1153">
        <v>31482699</v>
      </c>
      <c r="N137" s="1107">
        <f t="shared" si="109"/>
        <v>1049423.3</v>
      </c>
      <c r="O137" s="1164">
        <f>'Diciembre - 2019  '!$I$22</f>
        <v>1.4200000000000001E-2</v>
      </c>
      <c r="P137" s="1118">
        <f t="shared" si="110"/>
        <v>5869182.201933383</v>
      </c>
      <c r="Q137" s="1118">
        <f>'Diciembre - 2019  '!$K$54</f>
        <v>6190010.4432046823</v>
      </c>
      <c r="R137" s="1117">
        <f>'Diciembre - 2019  '!$L$15</f>
        <v>0</v>
      </c>
      <c r="S137" s="1743">
        <f t="shared" si="111"/>
        <v>21.878546048392941</v>
      </c>
      <c r="T137" s="1753">
        <f>'Diciembre - 2019  '!$Z$89</f>
        <v>0</v>
      </c>
      <c r="U137" s="1107">
        <f>'Diciembre - 2019  '!$AA$89</f>
        <v>0</v>
      </c>
      <c r="V137" s="1107">
        <f t="shared" si="112"/>
        <v>0</v>
      </c>
      <c r="W137" s="1107" t="e">
        <f t="shared" si="113"/>
        <v>#VALUE!</v>
      </c>
      <c r="X137" s="1108">
        <f t="shared" si="114"/>
        <v>206333.68144015607</v>
      </c>
      <c r="Y137" s="1109">
        <f t="shared" si="115"/>
        <v>31482699</v>
      </c>
      <c r="Z137" s="1109">
        <f t="shared" si="116"/>
        <v>6190010.4432046823</v>
      </c>
      <c r="AA137" s="1110">
        <f t="shared" si="117"/>
        <v>25292688.556795318</v>
      </c>
      <c r="AB137" s="1119">
        <f t="shared" si="118"/>
        <v>0.19661625717682854</v>
      </c>
      <c r="AC137" s="1754">
        <f t="shared" si="119"/>
        <v>0.80338374282317149</v>
      </c>
    </row>
    <row r="138" spans="2:29" hidden="1" x14ac:dyDescent="0.25">
      <c r="B138" s="1113">
        <f t="shared" si="105"/>
        <v>2023</v>
      </c>
      <c r="C138" s="1114">
        <v>45261</v>
      </c>
      <c r="D138" s="1744">
        <f>'Diciembre - 2019  '!$N$34+'Diciembre - 2019  '!$N$43</f>
        <v>104018642.60000001</v>
      </c>
      <c r="E138" s="1121">
        <f>'Diciembre - 2019  '!$N$54</f>
        <v>113809.99999999999</v>
      </c>
      <c r="F138" s="1745">
        <f t="shared" si="106"/>
        <v>104132452.60000001</v>
      </c>
      <c r="G138" s="1121">
        <f>'Diciembre - 2019  '!$M$33</f>
        <v>4753878.6400000006</v>
      </c>
      <c r="H138" s="1121">
        <f>'Diciembre - 2019  '!$M$54</f>
        <v>5690.5</v>
      </c>
      <c r="I138" s="1121">
        <f t="shared" si="107"/>
        <v>4759569.1400000006</v>
      </c>
      <c r="J138" s="2067">
        <f>'Diciembre - 2019  '!$H$22</f>
        <v>0.14799999999999999</v>
      </c>
      <c r="K138" s="2069">
        <f>'Diciembre - 2019  '!$I$22</f>
        <v>1.4200000000000001E-2</v>
      </c>
      <c r="L138" s="1104">
        <f t="shared" si="108"/>
        <v>31</v>
      </c>
      <c r="M138" s="1153">
        <v>31482700</v>
      </c>
      <c r="N138" s="1107">
        <f t="shared" si="109"/>
        <v>1015570.9677419355</v>
      </c>
      <c r="O138" s="1164">
        <f>'Diciembre - 2019  '!$I$22</f>
        <v>1.4200000000000001E-2</v>
      </c>
      <c r="P138" s="1118">
        <f t="shared" si="110"/>
        <v>5869182.201933383</v>
      </c>
      <c r="Q138" s="1118">
        <f>'Diciembre - 2019  '!$K$54</f>
        <v>6190010.4432046823</v>
      </c>
      <c r="R138" s="1117">
        <f>'Diciembre - 2019  '!$L$15</f>
        <v>0</v>
      </c>
      <c r="S138" s="1743">
        <f t="shared" si="111"/>
        <v>21.878546048392941</v>
      </c>
      <c r="T138" s="1753">
        <f>'Diciembre - 2019  '!$Z$89</f>
        <v>0</v>
      </c>
      <c r="U138" s="1107">
        <f>'Diciembre - 2019  '!$AA$89</f>
        <v>0</v>
      </c>
      <c r="V138" s="1107">
        <f t="shared" si="112"/>
        <v>0</v>
      </c>
      <c r="W138" s="1107" t="e">
        <f t="shared" si="113"/>
        <v>#VALUE!</v>
      </c>
      <c r="X138" s="1108">
        <f t="shared" si="114"/>
        <v>199677.7562324091</v>
      </c>
      <c r="Y138" s="1109">
        <f t="shared" si="115"/>
        <v>31482700</v>
      </c>
      <c r="Z138" s="1109">
        <f t="shared" si="116"/>
        <v>6190010.4432046823</v>
      </c>
      <c r="AA138" s="1110">
        <f t="shared" si="117"/>
        <v>25292689.556795318</v>
      </c>
      <c r="AB138" s="1119">
        <f t="shared" si="118"/>
        <v>0.19661625093161267</v>
      </c>
      <c r="AC138" s="1754">
        <f t="shared" si="119"/>
        <v>0.80338374906838728</v>
      </c>
    </row>
    <row r="139" spans="2:29" hidden="1" x14ac:dyDescent="0.25">
      <c r="B139" s="1113">
        <f t="shared" si="105"/>
        <v>2024</v>
      </c>
      <c r="C139" s="1114">
        <v>45292</v>
      </c>
      <c r="D139" s="1744">
        <f>'Diciembre - 2019  '!$N$34+'Diciembre - 2019  '!$N$43</f>
        <v>104018642.60000001</v>
      </c>
      <c r="E139" s="1121">
        <f>'Diciembre - 2019  '!$N$54</f>
        <v>113809.99999999999</v>
      </c>
      <c r="F139" s="1745">
        <f t="shared" si="106"/>
        <v>104132452.60000001</v>
      </c>
      <c r="G139" s="1121">
        <f>'Diciembre - 2019  '!$M$33</f>
        <v>4753878.6400000006</v>
      </c>
      <c r="H139" s="1121">
        <f>'Diciembre - 2019  '!$M$54</f>
        <v>5690.5</v>
      </c>
      <c r="I139" s="1121">
        <f t="shared" si="107"/>
        <v>4759569.1400000006</v>
      </c>
      <c r="J139" s="2067">
        <f>'Diciembre - 2019  '!$H$22</f>
        <v>0.14799999999999999</v>
      </c>
      <c r="K139" s="2069">
        <f>'Diciembre - 2019  '!$I$22</f>
        <v>1.4200000000000001E-2</v>
      </c>
      <c r="L139" s="1104">
        <f t="shared" si="108"/>
        <v>31</v>
      </c>
      <c r="M139" s="1153">
        <v>31482701</v>
      </c>
      <c r="N139" s="1107">
        <f t="shared" si="109"/>
        <v>1015571</v>
      </c>
      <c r="O139" s="1164">
        <f>'Diciembre - 2019  '!$I$22</f>
        <v>1.4200000000000001E-2</v>
      </c>
      <c r="P139" s="1118">
        <f t="shared" si="110"/>
        <v>5869182.201933383</v>
      </c>
      <c r="Q139" s="1118">
        <f>'Diciembre - 2019  '!$K$54</f>
        <v>6190010.4432046823</v>
      </c>
      <c r="R139" s="1117">
        <f>'Diciembre - 2019  '!$L$15</f>
        <v>0</v>
      </c>
      <c r="S139" s="1743">
        <f t="shared" si="111"/>
        <v>21.878546048392941</v>
      </c>
      <c r="T139" s="1753">
        <f>'Diciembre - 2019  '!$Z$89</f>
        <v>0</v>
      </c>
      <c r="U139" s="1107">
        <f>'Diciembre - 2019  '!$AA$89</f>
        <v>0</v>
      </c>
      <c r="V139" s="1107">
        <f t="shared" si="112"/>
        <v>0</v>
      </c>
      <c r="W139" s="1107" t="e">
        <f t="shared" si="113"/>
        <v>#VALUE!</v>
      </c>
      <c r="X139" s="1108">
        <f t="shared" si="114"/>
        <v>199677.7562324091</v>
      </c>
      <c r="Y139" s="1109">
        <f t="shared" si="115"/>
        <v>31482701</v>
      </c>
      <c r="Z139" s="1109">
        <f t="shared" si="116"/>
        <v>6190010.4432046823</v>
      </c>
      <c r="AA139" s="1110">
        <f t="shared" si="117"/>
        <v>25292690.556795318</v>
      </c>
      <c r="AB139" s="1119">
        <f t="shared" si="118"/>
        <v>0.19661624468639721</v>
      </c>
      <c r="AC139" s="1754">
        <f t="shared" si="119"/>
        <v>0.80338375531360273</v>
      </c>
    </row>
    <row r="140" spans="2:29" hidden="1" x14ac:dyDescent="0.25">
      <c r="B140" s="1113">
        <f t="shared" si="105"/>
        <v>2024</v>
      </c>
      <c r="C140" s="1114">
        <v>45323</v>
      </c>
      <c r="D140" s="1744">
        <f>'Diciembre - 2019  '!$N$34+'Diciembre - 2019  '!$N$43</f>
        <v>104018642.60000001</v>
      </c>
      <c r="E140" s="1121">
        <f>'Diciembre - 2019  '!$N$54</f>
        <v>113809.99999999999</v>
      </c>
      <c r="F140" s="1745">
        <f t="shared" si="106"/>
        <v>104132452.60000001</v>
      </c>
      <c r="G140" s="1121">
        <f>'Diciembre - 2019  '!$M$33</f>
        <v>4753878.6400000006</v>
      </c>
      <c r="H140" s="1121">
        <f>'Diciembre - 2019  '!$M$54</f>
        <v>5690.5</v>
      </c>
      <c r="I140" s="1121">
        <f t="shared" si="107"/>
        <v>4759569.1400000006</v>
      </c>
      <c r="J140" s="2067">
        <f>'Diciembre - 2019  '!$H$22</f>
        <v>0.14799999999999999</v>
      </c>
      <c r="K140" s="2069">
        <f>'Diciembre - 2019  '!$I$22</f>
        <v>1.4200000000000001E-2</v>
      </c>
      <c r="L140" s="1104">
        <f t="shared" si="108"/>
        <v>29</v>
      </c>
      <c r="M140" s="1153">
        <v>31482702</v>
      </c>
      <c r="N140" s="1107">
        <f t="shared" si="109"/>
        <v>1085610.4137931035</v>
      </c>
      <c r="O140" s="1164">
        <f>'Diciembre - 2019  '!$I$22</f>
        <v>1.4200000000000001E-2</v>
      </c>
      <c r="P140" s="1118">
        <f t="shared" si="110"/>
        <v>5869182.201933383</v>
      </c>
      <c r="Q140" s="1118">
        <f>'Diciembre - 2019  '!$K$54</f>
        <v>6190010.4432046823</v>
      </c>
      <c r="R140" s="1117">
        <f>'Diciembre - 2019  '!$L$15</f>
        <v>0</v>
      </c>
      <c r="S140" s="1743">
        <f t="shared" si="111"/>
        <v>21.878546048392941</v>
      </c>
      <c r="T140" s="1753">
        <f>'Diciembre - 2019  '!$Z$89</f>
        <v>0</v>
      </c>
      <c r="U140" s="1107">
        <f>'Diciembre - 2019  '!$AA$89</f>
        <v>0</v>
      </c>
      <c r="V140" s="1107">
        <f t="shared" si="112"/>
        <v>0</v>
      </c>
      <c r="W140" s="1107" t="e">
        <f t="shared" si="113"/>
        <v>#VALUE!</v>
      </c>
      <c r="X140" s="1108">
        <f t="shared" si="114"/>
        <v>213448.63597257526</v>
      </c>
      <c r="Y140" s="1109">
        <f t="shared" si="115"/>
        <v>31482702</v>
      </c>
      <c r="Z140" s="1109">
        <f t="shared" si="116"/>
        <v>6190010.4432046823</v>
      </c>
      <c r="AA140" s="1110">
        <f t="shared" si="117"/>
        <v>25292691.556795318</v>
      </c>
      <c r="AB140" s="1119">
        <f t="shared" si="118"/>
        <v>0.19661623844118215</v>
      </c>
      <c r="AC140" s="1754">
        <f t="shared" si="119"/>
        <v>0.80338376155881785</v>
      </c>
    </row>
    <row r="141" spans="2:29" hidden="1" x14ac:dyDescent="0.25">
      <c r="B141" s="1113">
        <f t="shared" si="105"/>
        <v>2024</v>
      </c>
      <c r="C141" s="1114">
        <v>45352</v>
      </c>
      <c r="D141" s="1744">
        <f>'Diciembre - 2019  '!$N$34+'Diciembre - 2019  '!$N$43</f>
        <v>104018642.60000001</v>
      </c>
      <c r="E141" s="1121">
        <f>'Diciembre - 2019  '!$N$54</f>
        <v>113809.99999999999</v>
      </c>
      <c r="F141" s="1745">
        <f t="shared" si="106"/>
        <v>104132452.60000001</v>
      </c>
      <c r="G141" s="1121">
        <f>'Diciembre - 2019  '!$M$33</f>
        <v>4753878.6400000006</v>
      </c>
      <c r="H141" s="1121">
        <f>'Diciembre - 2019  '!$M$54</f>
        <v>5690.5</v>
      </c>
      <c r="I141" s="1121">
        <f t="shared" si="107"/>
        <v>4759569.1400000006</v>
      </c>
      <c r="J141" s="2067">
        <f>'Diciembre - 2019  '!$H$22</f>
        <v>0.14799999999999999</v>
      </c>
      <c r="K141" s="2069">
        <f>'Diciembre - 2019  '!$I$22</f>
        <v>1.4200000000000001E-2</v>
      </c>
      <c r="L141" s="1104">
        <f t="shared" si="108"/>
        <v>31</v>
      </c>
      <c r="M141" s="1153">
        <v>31482703</v>
      </c>
      <c r="N141" s="1107">
        <f t="shared" si="109"/>
        <v>1015571.0645161291</v>
      </c>
      <c r="O141" s="1164">
        <f>'Diciembre - 2019  '!$I$22</f>
        <v>1.4200000000000001E-2</v>
      </c>
      <c r="P141" s="1118">
        <f t="shared" si="110"/>
        <v>5869182.201933383</v>
      </c>
      <c r="Q141" s="1118">
        <f>'Diciembre - 2019  '!$K$54</f>
        <v>6190010.4432046823</v>
      </c>
      <c r="R141" s="1117">
        <f>'Diciembre - 2019  '!$L$15</f>
        <v>0</v>
      </c>
      <c r="S141" s="1743">
        <f t="shared" si="111"/>
        <v>21.878546048392941</v>
      </c>
      <c r="T141" s="1753">
        <f>'Diciembre - 2019  '!$Z$89</f>
        <v>0</v>
      </c>
      <c r="U141" s="1107">
        <f>'Diciembre - 2019  '!$AA$89</f>
        <v>0</v>
      </c>
      <c r="V141" s="1107">
        <f t="shared" si="112"/>
        <v>0</v>
      </c>
      <c r="W141" s="1107" t="e">
        <f t="shared" si="113"/>
        <v>#VALUE!</v>
      </c>
      <c r="X141" s="1108">
        <f t="shared" si="114"/>
        <v>199677.7562324091</v>
      </c>
      <c r="Y141" s="1109">
        <f t="shared" si="115"/>
        <v>31482703</v>
      </c>
      <c r="Z141" s="1109">
        <f t="shared" si="116"/>
        <v>6190010.4432046823</v>
      </c>
      <c r="AA141" s="1110">
        <f t="shared" si="117"/>
        <v>25292692.556795318</v>
      </c>
      <c r="AB141" s="1119">
        <f t="shared" si="118"/>
        <v>0.19661623219596749</v>
      </c>
      <c r="AC141" s="1754">
        <f t="shared" si="119"/>
        <v>0.80338376780403253</v>
      </c>
    </row>
    <row r="142" spans="2:29" hidden="1" x14ac:dyDescent="0.25">
      <c r="B142" s="1113">
        <f t="shared" si="105"/>
        <v>2024</v>
      </c>
      <c r="C142" s="1114">
        <v>45383</v>
      </c>
      <c r="D142" s="1744">
        <f>'Diciembre - 2019  '!$N$34+'Diciembre - 2019  '!$N$43</f>
        <v>104018642.60000001</v>
      </c>
      <c r="E142" s="1121">
        <f>'Diciembre - 2019  '!$N$54</f>
        <v>113809.99999999999</v>
      </c>
      <c r="F142" s="1745">
        <f t="shared" si="106"/>
        <v>104132452.60000001</v>
      </c>
      <c r="G142" s="1121">
        <f>'Diciembre - 2019  '!$M$33</f>
        <v>4753878.6400000006</v>
      </c>
      <c r="H142" s="1121">
        <f>'Diciembre - 2019  '!$M$54</f>
        <v>5690.5</v>
      </c>
      <c r="I142" s="1121">
        <f t="shared" si="107"/>
        <v>4759569.1400000006</v>
      </c>
      <c r="J142" s="2067">
        <f>'Diciembre - 2019  '!$H$22</f>
        <v>0.14799999999999999</v>
      </c>
      <c r="K142" s="2069">
        <f>'Diciembre - 2019  '!$I$22</f>
        <v>1.4200000000000001E-2</v>
      </c>
      <c r="L142" s="1104">
        <f t="shared" si="108"/>
        <v>30</v>
      </c>
      <c r="M142" s="1153">
        <v>31482704</v>
      </c>
      <c r="N142" s="1107">
        <f t="shared" si="109"/>
        <v>1049423.4666666666</v>
      </c>
      <c r="O142" s="1164">
        <f>'Diciembre - 2019  '!$I$22</f>
        <v>1.4200000000000001E-2</v>
      </c>
      <c r="P142" s="1118">
        <f t="shared" si="110"/>
        <v>5869182.201933383</v>
      </c>
      <c r="Q142" s="1118">
        <f>'Diciembre - 2019  '!$K$54</f>
        <v>6190010.4432046823</v>
      </c>
      <c r="R142" s="1117">
        <f>'Diciembre - 2019  '!$L$15</f>
        <v>0</v>
      </c>
      <c r="S142" s="1743">
        <f t="shared" si="111"/>
        <v>21.878546048392941</v>
      </c>
      <c r="T142" s="1753">
        <f>'Diciembre - 2019  '!$Z$89</f>
        <v>0</v>
      </c>
      <c r="U142" s="1107">
        <f>'Diciembre - 2019  '!$AA$89</f>
        <v>0</v>
      </c>
      <c r="V142" s="1107">
        <f t="shared" si="112"/>
        <v>0</v>
      </c>
      <c r="W142" s="1107" t="e">
        <f t="shared" si="113"/>
        <v>#VALUE!</v>
      </c>
      <c r="X142" s="1108">
        <f t="shared" si="114"/>
        <v>206333.68144015607</v>
      </c>
      <c r="Y142" s="1109">
        <f t="shared" si="115"/>
        <v>31482704</v>
      </c>
      <c r="Z142" s="1109">
        <f t="shared" si="116"/>
        <v>6190010.4432046823</v>
      </c>
      <c r="AA142" s="1110">
        <f t="shared" si="117"/>
        <v>25292693.556795318</v>
      </c>
      <c r="AB142" s="1119">
        <f t="shared" si="118"/>
        <v>0.19661622595075323</v>
      </c>
      <c r="AC142" s="1754">
        <f t="shared" si="119"/>
        <v>0.80338377404924677</v>
      </c>
    </row>
    <row r="143" spans="2:29" hidden="1" x14ac:dyDescent="0.25">
      <c r="B143" s="1113">
        <f t="shared" ref="B143:B206" si="120">YEAR(C143)</f>
        <v>2024</v>
      </c>
      <c r="C143" s="1114">
        <v>45413</v>
      </c>
      <c r="D143" s="1744">
        <f>'Diciembre - 2019  '!$N$34+'Diciembre - 2019  '!$N$43</f>
        <v>104018642.60000001</v>
      </c>
      <c r="E143" s="1121">
        <f>'Diciembre - 2019  '!$N$54</f>
        <v>113809.99999999999</v>
      </c>
      <c r="F143" s="1745">
        <f t="shared" ref="F143:F206" si="121">SUM(D143:E143)</f>
        <v>104132452.60000001</v>
      </c>
      <c r="G143" s="1121">
        <f>'Diciembre - 2019  '!$M$33</f>
        <v>4753878.6400000006</v>
      </c>
      <c r="H143" s="1121">
        <f>'Diciembre - 2019  '!$M$54</f>
        <v>5690.5</v>
      </c>
      <c r="I143" s="1121">
        <f t="shared" ref="I143:I206" si="122">G143+H143</f>
        <v>4759569.1400000006</v>
      </c>
      <c r="J143" s="2067">
        <f>'Diciembre - 2019  '!$H$22</f>
        <v>0.14799999999999999</v>
      </c>
      <c r="K143" s="2069">
        <f>'Diciembre - 2019  '!$I$22</f>
        <v>1.4200000000000001E-2</v>
      </c>
      <c r="L143" s="1104">
        <f t="shared" ref="L143:L206" si="123">_xlfn.DAYS(C144,C143)</f>
        <v>31</v>
      </c>
      <c r="M143" s="1153">
        <v>31482705</v>
      </c>
      <c r="N143" s="1107">
        <f t="shared" ref="N143:N206" si="124">IFERROR(M143/L143,0)</f>
        <v>1015571.1290322581</v>
      </c>
      <c r="O143" s="1164">
        <f>'Diciembre - 2019  '!$I$22</f>
        <v>1.4200000000000001E-2</v>
      </c>
      <c r="P143" s="1118">
        <f t="shared" ref="P143:P206" si="125">Q143*0.94817</f>
        <v>5869182.201933383</v>
      </c>
      <c r="Q143" s="1118">
        <f>'Diciembre - 2019  '!$K$54</f>
        <v>6190010.4432046823</v>
      </c>
      <c r="R143" s="1117">
        <f>'Diciembre - 2019  '!$L$15</f>
        <v>0</v>
      </c>
      <c r="S143" s="1743">
        <f t="shared" ref="S143:S206" si="126">IFERROR(F143/I143,0)</f>
        <v>21.878546048392941</v>
      </c>
      <c r="T143" s="1753">
        <f>'Diciembre - 2019  '!$Z$89</f>
        <v>0</v>
      </c>
      <c r="U143" s="1107">
        <f>'Diciembre - 2019  '!$AA$89</f>
        <v>0</v>
      </c>
      <c r="V143" s="1107">
        <f t="shared" ref="V143:V206" si="127">T143-U143</f>
        <v>0</v>
      </c>
      <c r="W143" s="1107" t="e">
        <f t="shared" ref="W143:W206" si="128">V143+W142</f>
        <v>#VALUE!</v>
      </c>
      <c r="X143" s="1108">
        <f t="shared" ref="X143:X206" si="129">Q143/L143</f>
        <v>199677.7562324091</v>
      </c>
      <c r="Y143" s="1109">
        <f t="shared" ref="Y143:Y206" si="130">M143</f>
        <v>31482705</v>
      </c>
      <c r="Z143" s="1109">
        <f t="shared" ref="Z143:Z206" si="131">Q143</f>
        <v>6190010.4432046823</v>
      </c>
      <c r="AA143" s="1110">
        <f t="shared" ref="AA143:AA206" si="132">Y143-Z143</f>
        <v>25292694.556795318</v>
      </c>
      <c r="AB143" s="1119">
        <f t="shared" ref="AB143:AB206" si="133">IFERROR(Z143/Y143,0)</f>
        <v>0.19661621970553936</v>
      </c>
      <c r="AC143" s="1754">
        <f t="shared" ref="AC143:AC206" si="134">1-AB143</f>
        <v>0.80338378029446067</v>
      </c>
    </row>
    <row r="144" spans="2:29" hidden="1" x14ac:dyDescent="0.25">
      <c r="B144" s="1113">
        <f t="shared" si="120"/>
        <v>2024</v>
      </c>
      <c r="C144" s="1114">
        <v>45444</v>
      </c>
      <c r="D144" s="1744">
        <f>'Diciembre - 2019  '!$N$34+'Diciembre - 2019  '!$N$43</f>
        <v>104018642.60000001</v>
      </c>
      <c r="E144" s="1121">
        <f>'Diciembre - 2019  '!$N$54</f>
        <v>113809.99999999999</v>
      </c>
      <c r="F144" s="1745">
        <f t="shared" si="121"/>
        <v>104132452.60000001</v>
      </c>
      <c r="G144" s="1121">
        <f>'Diciembre - 2019  '!$M$33</f>
        <v>4753878.6400000006</v>
      </c>
      <c r="H144" s="1121">
        <f>'Diciembre - 2019  '!$M$54</f>
        <v>5690.5</v>
      </c>
      <c r="I144" s="1121">
        <f t="shared" si="122"/>
        <v>4759569.1400000006</v>
      </c>
      <c r="J144" s="2067">
        <f>'Diciembre - 2019  '!$H$22</f>
        <v>0.14799999999999999</v>
      </c>
      <c r="K144" s="2069">
        <f>'Diciembre - 2019  '!$I$22</f>
        <v>1.4200000000000001E-2</v>
      </c>
      <c r="L144" s="1104">
        <f t="shared" si="123"/>
        <v>30</v>
      </c>
      <c r="M144" s="1153">
        <v>31482706</v>
      </c>
      <c r="N144" s="1107">
        <f t="shared" si="124"/>
        <v>1049423.5333333334</v>
      </c>
      <c r="O144" s="1164">
        <f>'Diciembre - 2019  '!$I$22</f>
        <v>1.4200000000000001E-2</v>
      </c>
      <c r="P144" s="1118">
        <f t="shared" si="125"/>
        <v>5869182.201933383</v>
      </c>
      <c r="Q144" s="1118">
        <f>'Diciembre - 2019  '!$K$54</f>
        <v>6190010.4432046823</v>
      </c>
      <c r="R144" s="1117">
        <f>'Diciembre - 2019  '!$L$15</f>
        <v>0</v>
      </c>
      <c r="S144" s="1743">
        <f t="shared" si="126"/>
        <v>21.878546048392941</v>
      </c>
      <c r="T144" s="1753">
        <f>'Diciembre - 2019  '!$Z$89</f>
        <v>0</v>
      </c>
      <c r="U144" s="1107">
        <f>'Diciembre - 2019  '!$AA$89</f>
        <v>0</v>
      </c>
      <c r="V144" s="1107">
        <f t="shared" si="127"/>
        <v>0</v>
      </c>
      <c r="W144" s="1107" t="e">
        <f t="shared" si="128"/>
        <v>#VALUE!</v>
      </c>
      <c r="X144" s="1108">
        <f t="shared" si="129"/>
        <v>206333.68144015607</v>
      </c>
      <c r="Y144" s="1109">
        <f t="shared" si="130"/>
        <v>31482706</v>
      </c>
      <c r="Z144" s="1109">
        <f t="shared" si="131"/>
        <v>6190010.4432046823</v>
      </c>
      <c r="AA144" s="1110">
        <f t="shared" si="132"/>
        <v>25292695.556795318</v>
      </c>
      <c r="AB144" s="1119">
        <f t="shared" si="133"/>
        <v>0.19661621346032587</v>
      </c>
      <c r="AC144" s="1754">
        <f t="shared" si="134"/>
        <v>0.80338378653967413</v>
      </c>
    </row>
    <row r="145" spans="2:29" hidden="1" x14ac:dyDescent="0.25">
      <c r="B145" s="1113">
        <f t="shared" si="120"/>
        <v>2024</v>
      </c>
      <c r="C145" s="1114">
        <v>45474</v>
      </c>
      <c r="D145" s="1744">
        <f>'Diciembre - 2019  '!$N$34+'Diciembre - 2019  '!$N$43</f>
        <v>104018642.60000001</v>
      </c>
      <c r="E145" s="1121">
        <f>'Diciembre - 2019  '!$N$54</f>
        <v>113809.99999999999</v>
      </c>
      <c r="F145" s="1745">
        <f t="shared" si="121"/>
        <v>104132452.60000001</v>
      </c>
      <c r="G145" s="1121">
        <f>'Diciembre - 2019  '!$M$33</f>
        <v>4753878.6400000006</v>
      </c>
      <c r="H145" s="1121">
        <f>'Diciembre - 2019  '!$M$54</f>
        <v>5690.5</v>
      </c>
      <c r="I145" s="1121">
        <f t="shared" si="122"/>
        <v>4759569.1400000006</v>
      </c>
      <c r="J145" s="2067">
        <f>'Diciembre - 2019  '!$H$22</f>
        <v>0.14799999999999999</v>
      </c>
      <c r="K145" s="2069">
        <f>'Diciembre - 2019  '!$I$22</f>
        <v>1.4200000000000001E-2</v>
      </c>
      <c r="L145" s="1104">
        <f t="shared" si="123"/>
        <v>31</v>
      </c>
      <c r="M145" s="1153">
        <v>31482707</v>
      </c>
      <c r="N145" s="1107">
        <f t="shared" si="124"/>
        <v>1015571.1935483871</v>
      </c>
      <c r="O145" s="1164">
        <f>'Diciembre - 2019  '!$I$22</f>
        <v>1.4200000000000001E-2</v>
      </c>
      <c r="P145" s="1118">
        <f t="shared" si="125"/>
        <v>5869182.201933383</v>
      </c>
      <c r="Q145" s="1118">
        <f>'Diciembre - 2019  '!$K$54</f>
        <v>6190010.4432046823</v>
      </c>
      <c r="R145" s="1117">
        <f>'Diciembre - 2019  '!$L$15</f>
        <v>0</v>
      </c>
      <c r="S145" s="1743">
        <f t="shared" si="126"/>
        <v>21.878546048392941</v>
      </c>
      <c r="T145" s="1753">
        <f>'Diciembre - 2019  '!$Z$89</f>
        <v>0</v>
      </c>
      <c r="U145" s="1107">
        <f>'Diciembre - 2019  '!$AA$89</f>
        <v>0</v>
      </c>
      <c r="V145" s="1107">
        <f t="shared" si="127"/>
        <v>0</v>
      </c>
      <c r="W145" s="1107" t="e">
        <f t="shared" si="128"/>
        <v>#VALUE!</v>
      </c>
      <c r="X145" s="1108">
        <f t="shared" si="129"/>
        <v>199677.7562324091</v>
      </c>
      <c r="Y145" s="1109">
        <f t="shared" si="130"/>
        <v>31482707</v>
      </c>
      <c r="Z145" s="1109">
        <f t="shared" si="131"/>
        <v>6190010.4432046823</v>
      </c>
      <c r="AA145" s="1110">
        <f t="shared" si="132"/>
        <v>25292696.556795318</v>
      </c>
      <c r="AB145" s="1119">
        <f t="shared" si="133"/>
        <v>0.1966162072151128</v>
      </c>
      <c r="AC145" s="1754">
        <f t="shared" si="134"/>
        <v>0.80338379278488725</v>
      </c>
    </row>
    <row r="146" spans="2:29" hidden="1" x14ac:dyDescent="0.25">
      <c r="B146" s="1113">
        <f t="shared" si="120"/>
        <v>2024</v>
      </c>
      <c r="C146" s="1114">
        <v>45505</v>
      </c>
      <c r="D146" s="1744">
        <f>'Diciembre - 2019  '!$N$34+'Diciembre - 2019  '!$N$43</f>
        <v>104018642.60000001</v>
      </c>
      <c r="E146" s="1121">
        <f>'Diciembre - 2019  '!$N$54</f>
        <v>113809.99999999999</v>
      </c>
      <c r="F146" s="1745">
        <f t="shared" si="121"/>
        <v>104132452.60000001</v>
      </c>
      <c r="G146" s="1121">
        <f>'Diciembre - 2019  '!$M$33</f>
        <v>4753878.6400000006</v>
      </c>
      <c r="H146" s="1121">
        <f>'Diciembre - 2019  '!$M$54</f>
        <v>5690.5</v>
      </c>
      <c r="I146" s="1121">
        <f t="shared" si="122"/>
        <v>4759569.1400000006</v>
      </c>
      <c r="J146" s="2067">
        <f>'Diciembre - 2019  '!$H$22</f>
        <v>0.14799999999999999</v>
      </c>
      <c r="K146" s="2069">
        <f>'Diciembre - 2019  '!$I$22</f>
        <v>1.4200000000000001E-2</v>
      </c>
      <c r="L146" s="1104">
        <f t="shared" si="123"/>
        <v>31</v>
      </c>
      <c r="M146" s="1153">
        <v>31482708</v>
      </c>
      <c r="N146" s="1107">
        <f t="shared" si="124"/>
        <v>1015571.2258064516</v>
      </c>
      <c r="O146" s="1164">
        <f>'Diciembre - 2019  '!$I$22</f>
        <v>1.4200000000000001E-2</v>
      </c>
      <c r="P146" s="1118">
        <f t="shared" si="125"/>
        <v>5869182.201933383</v>
      </c>
      <c r="Q146" s="1118">
        <f>'Diciembre - 2019  '!$K$54</f>
        <v>6190010.4432046823</v>
      </c>
      <c r="R146" s="1117">
        <f>'Diciembre - 2019  '!$L$15</f>
        <v>0</v>
      </c>
      <c r="S146" s="1743">
        <f t="shared" si="126"/>
        <v>21.878546048392941</v>
      </c>
      <c r="T146" s="1753">
        <f>'Diciembre - 2019  '!$Z$89</f>
        <v>0</v>
      </c>
      <c r="U146" s="1107">
        <f>'Diciembre - 2019  '!$AA$89</f>
        <v>0</v>
      </c>
      <c r="V146" s="1107">
        <f t="shared" si="127"/>
        <v>0</v>
      </c>
      <c r="W146" s="1107" t="e">
        <f t="shared" si="128"/>
        <v>#VALUE!</v>
      </c>
      <c r="X146" s="1108">
        <f t="shared" si="129"/>
        <v>199677.7562324091</v>
      </c>
      <c r="Y146" s="1109">
        <f t="shared" si="130"/>
        <v>31482708</v>
      </c>
      <c r="Z146" s="1109">
        <f t="shared" si="131"/>
        <v>6190010.4432046823</v>
      </c>
      <c r="AA146" s="1110">
        <f t="shared" si="132"/>
        <v>25292697.556795318</v>
      </c>
      <c r="AB146" s="1119">
        <f t="shared" si="133"/>
        <v>0.19661620096990012</v>
      </c>
      <c r="AC146" s="1754">
        <f t="shared" si="134"/>
        <v>0.80338379903009982</v>
      </c>
    </row>
    <row r="147" spans="2:29" hidden="1" x14ac:dyDescent="0.25">
      <c r="B147" s="1113">
        <f t="shared" si="120"/>
        <v>2024</v>
      </c>
      <c r="C147" s="1114">
        <v>45536</v>
      </c>
      <c r="D147" s="1744">
        <f>'Diciembre - 2019  '!$N$34+'Diciembre - 2019  '!$N$43</f>
        <v>104018642.60000001</v>
      </c>
      <c r="E147" s="1121">
        <f>'Diciembre - 2019  '!$N$54</f>
        <v>113809.99999999999</v>
      </c>
      <c r="F147" s="1745">
        <f t="shared" si="121"/>
        <v>104132452.60000001</v>
      </c>
      <c r="G147" s="1121">
        <f>'Diciembre - 2019  '!$M$33</f>
        <v>4753878.6400000006</v>
      </c>
      <c r="H147" s="1121">
        <f>'Diciembre - 2019  '!$M$54</f>
        <v>5690.5</v>
      </c>
      <c r="I147" s="1121">
        <f t="shared" si="122"/>
        <v>4759569.1400000006</v>
      </c>
      <c r="J147" s="2067">
        <f>'Diciembre - 2019  '!$H$22</f>
        <v>0.14799999999999999</v>
      </c>
      <c r="K147" s="2069">
        <f>'Diciembre - 2019  '!$I$22</f>
        <v>1.4200000000000001E-2</v>
      </c>
      <c r="L147" s="1104">
        <f t="shared" si="123"/>
        <v>30</v>
      </c>
      <c r="M147" s="1153">
        <v>31482709</v>
      </c>
      <c r="N147" s="1107">
        <f t="shared" si="124"/>
        <v>1049423.6333333333</v>
      </c>
      <c r="O147" s="1164">
        <f>'Diciembre - 2019  '!$I$22</f>
        <v>1.4200000000000001E-2</v>
      </c>
      <c r="P147" s="1118">
        <f t="shared" si="125"/>
        <v>5869182.201933383</v>
      </c>
      <c r="Q147" s="1118">
        <f>'Diciembre - 2019  '!$K$54</f>
        <v>6190010.4432046823</v>
      </c>
      <c r="R147" s="1117">
        <f>'Diciembre - 2019  '!$L$15</f>
        <v>0</v>
      </c>
      <c r="S147" s="1743">
        <f t="shared" si="126"/>
        <v>21.878546048392941</v>
      </c>
      <c r="T147" s="1753">
        <f>'Diciembre - 2019  '!$Z$89</f>
        <v>0</v>
      </c>
      <c r="U147" s="1107">
        <f>'Diciembre - 2019  '!$AA$89</f>
        <v>0</v>
      </c>
      <c r="V147" s="1107">
        <f t="shared" si="127"/>
        <v>0</v>
      </c>
      <c r="W147" s="1107" t="e">
        <f t="shared" si="128"/>
        <v>#VALUE!</v>
      </c>
      <c r="X147" s="1108">
        <f t="shared" si="129"/>
        <v>206333.68144015607</v>
      </c>
      <c r="Y147" s="1109">
        <f t="shared" si="130"/>
        <v>31482709</v>
      </c>
      <c r="Z147" s="1109">
        <f t="shared" si="131"/>
        <v>6190010.4432046823</v>
      </c>
      <c r="AA147" s="1110">
        <f t="shared" si="132"/>
        <v>25292698.556795318</v>
      </c>
      <c r="AB147" s="1119">
        <f t="shared" si="133"/>
        <v>0.19661619472468783</v>
      </c>
      <c r="AC147" s="1754">
        <f t="shared" si="134"/>
        <v>0.80338380527531217</v>
      </c>
    </row>
    <row r="148" spans="2:29" hidden="1" x14ac:dyDescent="0.25">
      <c r="B148" s="1113">
        <f t="shared" si="120"/>
        <v>2024</v>
      </c>
      <c r="C148" s="1114">
        <v>45566</v>
      </c>
      <c r="D148" s="1744">
        <f>'Diciembre - 2019  '!$N$34+'Diciembre - 2019  '!$N$43</f>
        <v>104018642.60000001</v>
      </c>
      <c r="E148" s="1121">
        <f>'Diciembre - 2019  '!$N$54</f>
        <v>113809.99999999999</v>
      </c>
      <c r="F148" s="1745">
        <f t="shared" si="121"/>
        <v>104132452.60000001</v>
      </c>
      <c r="G148" s="1121">
        <f>'Diciembre - 2019  '!$M$33</f>
        <v>4753878.6400000006</v>
      </c>
      <c r="H148" s="1121">
        <f>'Diciembre - 2019  '!$M$54</f>
        <v>5690.5</v>
      </c>
      <c r="I148" s="1121">
        <f t="shared" si="122"/>
        <v>4759569.1400000006</v>
      </c>
      <c r="J148" s="2067">
        <f>'Diciembre - 2019  '!$H$22</f>
        <v>0.14799999999999999</v>
      </c>
      <c r="K148" s="2069">
        <f>'Diciembre - 2019  '!$I$22</f>
        <v>1.4200000000000001E-2</v>
      </c>
      <c r="L148" s="1104">
        <f t="shared" si="123"/>
        <v>31</v>
      </c>
      <c r="M148" s="1153">
        <v>31482710</v>
      </c>
      <c r="N148" s="1107">
        <f t="shared" si="124"/>
        <v>1015571.2903225806</v>
      </c>
      <c r="O148" s="1164">
        <f>'Diciembre - 2019  '!$I$22</f>
        <v>1.4200000000000001E-2</v>
      </c>
      <c r="P148" s="1118">
        <f t="shared" si="125"/>
        <v>5869182.201933383</v>
      </c>
      <c r="Q148" s="1118">
        <f>'Diciembre - 2019  '!$K$54</f>
        <v>6190010.4432046823</v>
      </c>
      <c r="R148" s="1117">
        <f>'Diciembre - 2019  '!$L$15</f>
        <v>0</v>
      </c>
      <c r="S148" s="1743">
        <f t="shared" si="126"/>
        <v>21.878546048392941</v>
      </c>
      <c r="T148" s="1753">
        <f>'Diciembre - 2019  '!$Z$89</f>
        <v>0</v>
      </c>
      <c r="U148" s="1107">
        <f>'Diciembre - 2019  '!$AA$89</f>
        <v>0</v>
      </c>
      <c r="V148" s="1107">
        <f t="shared" si="127"/>
        <v>0</v>
      </c>
      <c r="W148" s="1107" t="e">
        <f t="shared" si="128"/>
        <v>#VALUE!</v>
      </c>
      <c r="X148" s="1108">
        <f t="shared" si="129"/>
        <v>199677.7562324091</v>
      </c>
      <c r="Y148" s="1109">
        <f t="shared" si="130"/>
        <v>31482710</v>
      </c>
      <c r="Z148" s="1109">
        <f t="shared" si="131"/>
        <v>6190010.4432046823</v>
      </c>
      <c r="AA148" s="1110">
        <f t="shared" si="132"/>
        <v>25292699.556795318</v>
      </c>
      <c r="AB148" s="1119">
        <f t="shared" si="133"/>
        <v>0.19661618847947596</v>
      </c>
      <c r="AC148" s="1754">
        <f t="shared" si="134"/>
        <v>0.80338381152052407</v>
      </c>
    </row>
    <row r="149" spans="2:29" hidden="1" x14ac:dyDescent="0.25">
      <c r="B149" s="1113">
        <f t="shared" si="120"/>
        <v>2024</v>
      </c>
      <c r="C149" s="1114">
        <v>45597</v>
      </c>
      <c r="D149" s="1744">
        <f>'Diciembre - 2019  '!$N$34+'Diciembre - 2019  '!$N$43</f>
        <v>104018642.60000001</v>
      </c>
      <c r="E149" s="1121">
        <f>'Diciembre - 2019  '!$N$54</f>
        <v>113809.99999999999</v>
      </c>
      <c r="F149" s="1745">
        <f t="shared" si="121"/>
        <v>104132452.60000001</v>
      </c>
      <c r="G149" s="1121">
        <f>'Diciembre - 2019  '!$M$33</f>
        <v>4753878.6400000006</v>
      </c>
      <c r="H149" s="1121">
        <f>'Diciembre - 2019  '!$M$54</f>
        <v>5690.5</v>
      </c>
      <c r="I149" s="1121">
        <f t="shared" si="122"/>
        <v>4759569.1400000006</v>
      </c>
      <c r="J149" s="2067">
        <f>'Diciembre - 2019  '!$H$22</f>
        <v>0.14799999999999999</v>
      </c>
      <c r="K149" s="2069">
        <f>'Diciembre - 2019  '!$I$22</f>
        <v>1.4200000000000001E-2</v>
      </c>
      <c r="L149" s="1104">
        <f t="shared" si="123"/>
        <v>30</v>
      </c>
      <c r="M149" s="1153">
        <v>31482711</v>
      </c>
      <c r="N149" s="1107">
        <f t="shared" si="124"/>
        <v>1049423.7</v>
      </c>
      <c r="O149" s="1164">
        <f>'Diciembre - 2019  '!$I$22</f>
        <v>1.4200000000000001E-2</v>
      </c>
      <c r="P149" s="1118">
        <f t="shared" si="125"/>
        <v>5869182.201933383</v>
      </c>
      <c r="Q149" s="1118">
        <f>'Diciembre - 2019  '!$K$54</f>
        <v>6190010.4432046823</v>
      </c>
      <c r="R149" s="1117">
        <f>'Diciembre - 2019  '!$L$15</f>
        <v>0</v>
      </c>
      <c r="S149" s="1743">
        <f t="shared" si="126"/>
        <v>21.878546048392941</v>
      </c>
      <c r="T149" s="1753">
        <f>'Diciembre - 2019  '!$Z$89</f>
        <v>0</v>
      </c>
      <c r="U149" s="1107">
        <f>'Diciembre - 2019  '!$AA$89</f>
        <v>0</v>
      </c>
      <c r="V149" s="1107">
        <f t="shared" si="127"/>
        <v>0</v>
      </c>
      <c r="W149" s="1107" t="e">
        <f t="shared" si="128"/>
        <v>#VALUE!</v>
      </c>
      <c r="X149" s="1108">
        <f t="shared" si="129"/>
        <v>206333.68144015607</v>
      </c>
      <c r="Y149" s="1109">
        <f t="shared" si="130"/>
        <v>31482711</v>
      </c>
      <c r="Z149" s="1109">
        <f t="shared" si="131"/>
        <v>6190010.4432046823</v>
      </c>
      <c r="AA149" s="1110">
        <f t="shared" si="132"/>
        <v>25292700.556795318</v>
      </c>
      <c r="AB149" s="1119">
        <f t="shared" si="133"/>
        <v>0.19661618223426447</v>
      </c>
      <c r="AC149" s="1754">
        <f t="shared" si="134"/>
        <v>0.80338381776573553</v>
      </c>
    </row>
    <row r="150" spans="2:29" hidden="1" x14ac:dyDescent="0.25">
      <c r="B150" s="1113">
        <f t="shared" si="120"/>
        <v>2024</v>
      </c>
      <c r="C150" s="1114">
        <v>45627</v>
      </c>
      <c r="D150" s="1744">
        <f>'Diciembre - 2019  '!$N$34+'Diciembre - 2019  '!$N$43</f>
        <v>104018642.60000001</v>
      </c>
      <c r="E150" s="1121">
        <f>'Diciembre - 2019  '!$N$54</f>
        <v>113809.99999999999</v>
      </c>
      <c r="F150" s="1745">
        <f t="shared" si="121"/>
        <v>104132452.60000001</v>
      </c>
      <c r="G150" s="1121">
        <f>'Diciembre - 2019  '!$M$33</f>
        <v>4753878.6400000006</v>
      </c>
      <c r="H150" s="1121">
        <f>'Diciembre - 2019  '!$M$54</f>
        <v>5690.5</v>
      </c>
      <c r="I150" s="1121">
        <f t="shared" si="122"/>
        <v>4759569.1400000006</v>
      </c>
      <c r="J150" s="2067">
        <f>'Diciembre - 2019  '!$H$22</f>
        <v>0.14799999999999999</v>
      </c>
      <c r="K150" s="2069">
        <f>'Diciembre - 2019  '!$I$22</f>
        <v>1.4200000000000001E-2</v>
      </c>
      <c r="L150" s="1104">
        <f t="shared" si="123"/>
        <v>31</v>
      </c>
      <c r="M150" s="1153">
        <v>31482712</v>
      </c>
      <c r="N150" s="1107">
        <f t="shared" si="124"/>
        <v>1015571.3548387097</v>
      </c>
      <c r="O150" s="1164">
        <f>'Diciembre - 2019  '!$I$22</f>
        <v>1.4200000000000001E-2</v>
      </c>
      <c r="P150" s="1118">
        <f t="shared" si="125"/>
        <v>5869182.201933383</v>
      </c>
      <c r="Q150" s="1118">
        <f>'Diciembre - 2019  '!$K$54</f>
        <v>6190010.4432046823</v>
      </c>
      <c r="R150" s="1117">
        <f>'Diciembre - 2019  '!$L$15</f>
        <v>0</v>
      </c>
      <c r="S150" s="1743">
        <f t="shared" si="126"/>
        <v>21.878546048392941</v>
      </c>
      <c r="T150" s="1753">
        <f>'Diciembre - 2019  '!$Z$89</f>
        <v>0</v>
      </c>
      <c r="U150" s="1107">
        <f>'Diciembre - 2019  '!$AA$89</f>
        <v>0</v>
      </c>
      <c r="V150" s="1107">
        <f t="shared" si="127"/>
        <v>0</v>
      </c>
      <c r="W150" s="1107" t="e">
        <f t="shared" si="128"/>
        <v>#VALUE!</v>
      </c>
      <c r="X150" s="1108">
        <f t="shared" si="129"/>
        <v>199677.7562324091</v>
      </c>
      <c r="Y150" s="1109">
        <f t="shared" si="130"/>
        <v>31482712</v>
      </c>
      <c r="Z150" s="1109">
        <f t="shared" si="131"/>
        <v>6190010.4432046823</v>
      </c>
      <c r="AA150" s="1110">
        <f t="shared" si="132"/>
        <v>25292701.556795318</v>
      </c>
      <c r="AB150" s="1119">
        <f t="shared" si="133"/>
        <v>0.19661617598905337</v>
      </c>
      <c r="AC150" s="1754">
        <f t="shared" si="134"/>
        <v>0.80338382401094666</v>
      </c>
    </row>
    <row r="151" spans="2:29" hidden="1" x14ac:dyDescent="0.25">
      <c r="B151" s="1113">
        <f t="shared" si="120"/>
        <v>2025</v>
      </c>
      <c r="C151" s="1114">
        <v>45658</v>
      </c>
      <c r="D151" s="1744">
        <f>'Diciembre - 2019  '!$N$34+'Diciembre - 2019  '!$N$43</f>
        <v>104018642.60000001</v>
      </c>
      <c r="E151" s="1121">
        <f>'Diciembre - 2019  '!$N$54</f>
        <v>113809.99999999999</v>
      </c>
      <c r="F151" s="1745">
        <f t="shared" si="121"/>
        <v>104132452.60000001</v>
      </c>
      <c r="G151" s="1121">
        <f>'Diciembre - 2019  '!$M$33</f>
        <v>4753878.6400000006</v>
      </c>
      <c r="H151" s="1121">
        <f>'Diciembre - 2019  '!$M$54</f>
        <v>5690.5</v>
      </c>
      <c r="I151" s="1121">
        <f t="shared" si="122"/>
        <v>4759569.1400000006</v>
      </c>
      <c r="J151" s="2067">
        <f>'Diciembre - 2019  '!$H$22</f>
        <v>0.14799999999999999</v>
      </c>
      <c r="K151" s="2069">
        <f>'Diciembre - 2019  '!$I$22</f>
        <v>1.4200000000000001E-2</v>
      </c>
      <c r="L151" s="1104">
        <f t="shared" si="123"/>
        <v>31</v>
      </c>
      <c r="M151" s="1153">
        <v>31482713</v>
      </c>
      <c r="N151" s="1107">
        <f t="shared" si="124"/>
        <v>1015571.3870967742</v>
      </c>
      <c r="O151" s="1164">
        <f>'Diciembre - 2019  '!$I$22</f>
        <v>1.4200000000000001E-2</v>
      </c>
      <c r="P151" s="1118">
        <f t="shared" si="125"/>
        <v>5869182.201933383</v>
      </c>
      <c r="Q151" s="1118">
        <f>'Diciembre - 2019  '!$K$54</f>
        <v>6190010.4432046823</v>
      </c>
      <c r="R151" s="1117">
        <f>'Diciembre - 2019  '!$L$15</f>
        <v>0</v>
      </c>
      <c r="S151" s="1743">
        <f t="shared" si="126"/>
        <v>21.878546048392941</v>
      </c>
      <c r="T151" s="1753">
        <f>'Diciembre - 2019  '!$Z$89</f>
        <v>0</v>
      </c>
      <c r="U151" s="1107">
        <f>'Diciembre - 2019  '!$AA$89</f>
        <v>0</v>
      </c>
      <c r="V151" s="1107">
        <f t="shared" si="127"/>
        <v>0</v>
      </c>
      <c r="W151" s="1107" t="e">
        <f t="shared" si="128"/>
        <v>#VALUE!</v>
      </c>
      <c r="X151" s="1108">
        <f t="shared" si="129"/>
        <v>199677.7562324091</v>
      </c>
      <c r="Y151" s="1109">
        <f t="shared" si="130"/>
        <v>31482713</v>
      </c>
      <c r="Z151" s="1109">
        <f t="shared" si="131"/>
        <v>6190010.4432046823</v>
      </c>
      <c r="AA151" s="1110">
        <f t="shared" si="132"/>
        <v>25292702.556795318</v>
      </c>
      <c r="AB151" s="1119">
        <f t="shared" si="133"/>
        <v>0.19661616974384266</v>
      </c>
      <c r="AC151" s="1754">
        <f t="shared" si="134"/>
        <v>0.80338383025615734</v>
      </c>
    </row>
    <row r="152" spans="2:29" hidden="1" x14ac:dyDescent="0.25">
      <c r="B152" s="1113">
        <f t="shared" si="120"/>
        <v>2025</v>
      </c>
      <c r="C152" s="1114">
        <v>45689</v>
      </c>
      <c r="D152" s="1744">
        <f>'Diciembre - 2019  '!$N$34+'Diciembre - 2019  '!$N$43</f>
        <v>104018642.60000001</v>
      </c>
      <c r="E152" s="1121">
        <f>'Diciembre - 2019  '!$N$54</f>
        <v>113809.99999999999</v>
      </c>
      <c r="F152" s="1745">
        <f t="shared" si="121"/>
        <v>104132452.60000001</v>
      </c>
      <c r="G152" s="1121">
        <f>'Diciembre - 2019  '!$M$33</f>
        <v>4753878.6400000006</v>
      </c>
      <c r="H152" s="1121">
        <f>'Diciembre - 2019  '!$M$54</f>
        <v>5690.5</v>
      </c>
      <c r="I152" s="1121">
        <f t="shared" si="122"/>
        <v>4759569.1400000006</v>
      </c>
      <c r="J152" s="2067">
        <f>'Diciembre - 2019  '!$H$22</f>
        <v>0.14799999999999999</v>
      </c>
      <c r="K152" s="2069">
        <f>'Diciembre - 2019  '!$I$22</f>
        <v>1.4200000000000001E-2</v>
      </c>
      <c r="L152" s="1104">
        <f t="shared" si="123"/>
        <v>28</v>
      </c>
      <c r="M152" s="1153">
        <v>31482714</v>
      </c>
      <c r="N152" s="1107">
        <f t="shared" si="124"/>
        <v>1124382.642857143</v>
      </c>
      <c r="O152" s="1164">
        <f>'Diciembre - 2019  '!$I$22</f>
        <v>1.4200000000000001E-2</v>
      </c>
      <c r="P152" s="1118">
        <f t="shared" si="125"/>
        <v>5869182.201933383</v>
      </c>
      <c r="Q152" s="1118">
        <f>'Diciembre - 2019  '!$K$54</f>
        <v>6190010.4432046823</v>
      </c>
      <c r="R152" s="1117">
        <f>'Diciembre - 2019  '!$L$15</f>
        <v>0</v>
      </c>
      <c r="S152" s="1743">
        <f t="shared" si="126"/>
        <v>21.878546048392941</v>
      </c>
      <c r="T152" s="1753">
        <f>'Diciembre - 2019  '!$Z$89</f>
        <v>0</v>
      </c>
      <c r="U152" s="1107">
        <f>'Diciembre - 2019  '!$AA$89</f>
        <v>0</v>
      </c>
      <c r="V152" s="1107">
        <f t="shared" si="127"/>
        <v>0</v>
      </c>
      <c r="W152" s="1107" t="e">
        <f t="shared" si="128"/>
        <v>#VALUE!</v>
      </c>
      <c r="X152" s="1108">
        <f t="shared" si="129"/>
        <v>221071.80154302437</v>
      </c>
      <c r="Y152" s="1109">
        <f t="shared" si="130"/>
        <v>31482714</v>
      </c>
      <c r="Z152" s="1109">
        <f t="shared" si="131"/>
        <v>6190010.4432046823</v>
      </c>
      <c r="AA152" s="1110">
        <f t="shared" si="132"/>
        <v>25292703.556795318</v>
      </c>
      <c r="AB152" s="1119">
        <f t="shared" si="133"/>
        <v>0.19661616349863237</v>
      </c>
      <c r="AC152" s="1754">
        <f t="shared" si="134"/>
        <v>0.80338383650136769</v>
      </c>
    </row>
    <row r="153" spans="2:29" hidden="1" x14ac:dyDescent="0.25">
      <c r="B153" s="1113">
        <f t="shared" si="120"/>
        <v>2025</v>
      </c>
      <c r="C153" s="1114">
        <v>45717</v>
      </c>
      <c r="D153" s="1744">
        <f>'Diciembre - 2019  '!$N$34+'Diciembre - 2019  '!$N$43</f>
        <v>104018642.60000001</v>
      </c>
      <c r="E153" s="1121">
        <f>'Diciembre - 2019  '!$N$54</f>
        <v>113809.99999999999</v>
      </c>
      <c r="F153" s="1745">
        <f t="shared" si="121"/>
        <v>104132452.60000001</v>
      </c>
      <c r="G153" s="1121">
        <f>'Diciembre - 2019  '!$M$33</f>
        <v>4753878.6400000006</v>
      </c>
      <c r="H153" s="1121">
        <f>'Diciembre - 2019  '!$M$54</f>
        <v>5690.5</v>
      </c>
      <c r="I153" s="1121">
        <f t="shared" si="122"/>
        <v>4759569.1400000006</v>
      </c>
      <c r="J153" s="2067">
        <f>'Diciembre - 2019  '!$H$22</f>
        <v>0.14799999999999999</v>
      </c>
      <c r="K153" s="2069">
        <f>'Diciembre - 2019  '!$I$22</f>
        <v>1.4200000000000001E-2</v>
      </c>
      <c r="L153" s="1104">
        <f t="shared" si="123"/>
        <v>31</v>
      </c>
      <c r="M153" s="1153">
        <v>31482715</v>
      </c>
      <c r="N153" s="1107">
        <f t="shared" si="124"/>
        <v>1015571.4516129033</v>
      </c>
      <c r="O153" s="1164">
        <f>'Diciembre - 2019  '!$I$22</f>
        <v>1.4200000000000001E-2</v>
      </c>
      <c r="P153" s="1118">
        <f t="shared" si="125"/>
        <v>5869182.201933383</v>
      </c>
      <c r="Q153" s="1118">
        <f>'Diciembre - 2019  '!$K$54</f>
        <v>6190010.4432046823</v>
      </c>
      <c r="R153" s="1117">
        <f>'Diciembre - 2019  '!$L$15</f>
        <v>0</v>
      </c>
      <c r="S153" s="1743">
        <f t="shared" si="126"/>
        <v>21.878546048392941</v>
      </c>
      <c r="T153" s="1753">
        <f>'Diciembre - 2019  '!$Z$89</f>
        <v>0</v>
      </c>
      <c r="U153" s="1107">
        <f>'Diciembre - 2019  '!$AA$89</f>
        <v>0</v>
      </c>
      <c r="V153" s="1107">
        <f t="shared" si="127"/>
        <v>0</v>
      </c>
      <c r="W153" s="1107" t="e">
        <f t="shared" si="128"/>
        <v>#VALUE!</v>
      </c>
      <c r="X153" s="1108">
        <f t="shared" si="129"/>
        <v>199677.7562324091</v>
      </c>
      <c r="Y153" s="1109">
        <f t="shared" si="130"/>
        <v>31482715</v>
      </c>
      <c r="Z153" s="1109">
        <f t="shared" si="131"/>
        <v>6190010.4432046823</v>
      </c>
      <c r="AA153" s="1110">
        <f t="shared" si="132"/>
        <v>25292704.556795318</v>
      </c>
      <c r="AB153" s="1119">
        <f t="shared" si="133"/>
        <v>0.19661615725342246</v>
      </c>
      <c r="AC153" s="1754">
        <f t="shared" si="134"/>
        <v>0.80338384274657759</v>
      </c>
    </row>
    <row r="154" spans="2:29" hidden="1" x14ac:dyDescent="0.25">
      <c r="B154" s="1113">
        <f t="shared" si="120"/>
        <v>2025</v>
      </c>
      <c r="C154" s="1114">
        <v>45748</v>
      </c>
      <c r="D154" s="1744">
        <f>'Diciembre - 2019  '!$N$34+'Diciembre - 2019  '!$N$43</f>
        <v>104018642.60000001</v>
      </c>
      <c r="E154" s="1121">
        <f>'Diciembre - 2019  '!$N$54</f>
        <v>113809.99999999999</v>
      </c>
      <c r="F154" s="1745">
        <f t="shared" si="121"/>
        <v>104132452.60000001</v>
      </c>
      <c r="G154" s="1121">
        <f>'Diciembre - 2019  '!$M$33</f>
        <v>4753878.6400000006</v>
      </c>
      <c r="H154" s="1121">
        <f>'Diciembre - 2019  '!$M$54</f>
        <v>5690.5</v>
      </c>
      <c r="I154" s="1121">
        <f t="shared" si="122"/>
        <v>4759569.1400000006</v>
      </c>
      <c r="J154" s="2067">
        <f>'Diciembre - 2019  '!$H$22</f>
        <v>0.14799999999999999</v>
      </c>
      <c r="K154" s="2069">
        <f>'Diciembre - 2019  '!$I$22</f>
        <v>1.4200000000000001E-2</v>
      </c>
      <c r="L154" s="1104">
        <f t="shared" si="123"/>
        <v>30</v>
      </c>
      <c r="M154" s="1153">
        <v>31482716</v>
      </c>
      <c r="N154" s="1107">
        <f t="shared" si="124"/>
        <v>1049423.8666666667</v>
      </c>
      <c r="O154" s="1164">
        <f>'Diciembre - 2019  '!$I$22</f>
        <v>1.4200000000000001E-2</v>
      </c>
      <c r="P154" s="1118">
        <f t="shared" si="125"/>
        <v>5869182.201933383</v>
      </c>
      <c r="Q154" s="1118">
        <f>'Diciembre - 2019  '!$K$54</f>
        <v>6190010.4432046823</v>
      </c>
      <c r="R154" s="1117">
        <f>'Diciembre - 2019  '!$L$15</f>
        <v>0</v>
      </c>
      <c r="S154" s="1743">
        <f t="shared" si="126"/>
        <v>21.878546048392941</v>
      </c>
      <c r="T154" s="1753">
        <f>'Diciembre - 2019  '!$Z$89</f>
        <v>0</v>
      </c>
      <c r="U154" s="1107">
        <f>'Diciembre - 2019  '!$AA$89</f>
        <v>0</v>
      </c>
      <c r="V154" s="1107">
        <f t="shared" si="127"/>
        <v>0</v>
      </c>
      <c r="W154" s="1107" t="e">
        <f t="shared" si="128"/>
        <v>#VALUE!</v>
      </c>
      <c r="X154" s="1108">
        <f t="shared" si="129"/>
        <v>206333.68144015607</v>
      </c>
      <c r="Y154" s="1109">
        <f t="shared" si="130"/>
        <v>31482716</v>
      </c>
      <c r="Z154" s="1109">
        <f t="shared" si="131"/>
        <v>6190010.4432046823</v>
      </c>
      <c r="AA154" s="1110">
        <f t="shared" si="132"/>
        <v>25292705.556795318</v>
      </c>
      <c r="AB154" s="1119">
        <f t="shared" si="133"/>
        <v>0.19661615100821297</v>
      </c>
      <c r="AC154" s="1754">
        <f t="shared" si="134"/>
        <v>0.80338384899178705</v>
      </c>
    </row>
    <row r="155" spans="2:29" hidden="1" x14ac:dyDescent="0.25">
      <c r="B155" s="1113">
        <f t="shared" si="120"/>
        <v>2025</v>
      </c>
      <c r="C155" s="1114">
        <v>45778</v>
      </c>
      <c r="D155" s="1744">
        <f>'Diciembre - 2019  '!$N$34+'Diciembre - 2019  '!$N$43</f>
        <v>104018642.60000001</v>
      </c>
      <c r="E155" s="1121">
        <f>'Diciembre - 2019  '!$N$54</f>
        <v>113809.99999999999</v>
      </c>
      <c r="F155" s="1745">
        <f t="shared" si="121"/>
        <v>104132452.60000001</v>
      </c>
      <c r="G155" s="1121">
        <f>'Diciembre - 2019  '!$M$33</f>
        <v>4753878.6400000006</v>
      </c>
      <c r="H155" s="1121">
        <f>'Diciembre - 2019  '!$M$54</f>
        <v>5690.5</v>
      </c>
      <c r="I155" s="1121">
        <f t="shared" si="122"/>
        <v>4759569.1400000006</v>
      </c>
      <c r="J155" s="2067">
        <f>'Diciembre - 2019  '!$H$22</f>
        <v>0.14799999999999999</v>
      </c>
      <c r="K155" s="2069">
        <f>'Diciembre - 2019  '!$I$22</f>
        <v>1.4200000000000001E-2</v>
      </c>
      <c r="L155" s="1104">
        <f t="shared" si="123"/>
        <v>31</v>
      </c>
      <c r="M155" s="1153">
        <v>31482717</v>
      </c>
      <c r="N155" s="1107">
        <f t="shared" si="124"/>
        <v>1015571.5161290322</v>
      </c>
      <c r="O155" s="1164">
        <f>'Diciembre - 2019  '!$I$22</f>
        <v>1.4200000000000001E-2</v>
      </c>
      <c r="P155" s="1118">
        <f t="shared" si="125"/>
        <v>5869182.201933383</v>
      </c>
      <c r="Q155" s="1118">
        <f>'Diciembre - 2019  '!$K$54</f>
        <v>6190010.4432046823</v>
      </c>
      <c r="R155" s="1117">
        <f>'Diciembre - 2019  '!$L$15</f>
        <v>0</v>
      </c>
      <c r="S155" s="1743">
        <f t="shared" si="126"/>
        <v>21.878546048392941</v>
      </c>
      <c r="T155" s="1753">
        <f>'Diciembre - 2019  '!$Z$89</f>
        <v>0</v>
      </c>
      <c r="U155" s="1107">
        <f>'Diciembre - 2019  '!$AA$89</f>
        <v>0</v>
      </c>
      <c r="V155" s="1107">
        <f t="shared" si="127"/>
        <v>0</v>
      </c>
      <c r="W155" s="1107" t="e">
        <f t="shared" si="128"/>
        <v>#VALUE!</v>
      </c>
      <c r="X155" s="1108">
        <f t="shared" si="129"/>
        <v>199677.7562324091</v>
      </c>
      <c r="Y155" s="1109">
        <f t="shared" si="130"/>
        <v>31482717</v>
      </c>
      <c r="Z155" s="1109">
        <f t="shared" si="131"/>
        <v>6190010.4432046823</v>
      </c>
      <c r="AA155" s="1110">
        <f t="shared" si="132"/>
        <v>25292706.556795318</v>
      </c>
      <c r="AB155" s="1119">
        <f t="shared" si="133"/>
        <v>0.19661614476300385</v>
      </c>
      <c r="AC155" s="1754">
        <f t="shared" si="134"/>
        <v>0.80338385523699618</v>
      </c>
    </row>
    <row r="156" spans="2:29" hidden="1" x14ac:dyDescent="0.25">
      <c r="B156" s="1113">
        <f t="shared" si="120"/>
        <v>2025</v>
      </c>
      <c r="C156" s="1114">
        <v>45809</v>
      </c>
      <c r="D156" s="1744">
        <f>'Diciembre - 2019  '!$N$34+'Diciembre - 2019  '!$N$43</f>
        <v>104018642.60000001</v>
      </c>
      <c r="E156" s="1121">
        <f>'Diciembre - 2019  '!$N$54</f>
        <v>113809.99999999999</v>
      </c>
      <c r="F156" s="1745">
        <f t="shared" si="121"/>
        <v>104132452.60000001</v>
      </c>
      <c r="G156" s="1121">
        <f>'Diciembre - 2019  '!$M$33</f>
        <v>4753878.6400000006</v>
      </c>
      <c r="H156" s="1121">
        <f>'Diciembre - 2019  '!$M$54</f>
        <v>5690.5</v>
      </c>
      <c r="I156" s="1121">
        <f t="shared" si="122"/>
        <v>4759569.1400000006</v>
      </c>
      <c r="J156" s="2067">
        <f>'Diciembre - 2019  '!$H$22</f>
        <v>0.14799999999999999</v>
      </c>
      <c r="K156" s="2069">
        <f>'Diciembre - 2019  '!$I$22</f>
        <v>1.4200000000000001E-2</v>
      </c>
      <c r="L156" s="1104">
        <f t="shared" si="123"/>
        <v>30</v>
      </c>
      <c r="M156" s="1153">
        <v>31482718</v>
      </c>
      <c r="N156" s="1107">
        <f t="shared" si="124"/>
        <v>1049423.9333333333</v>
      </c>
      <c r="O156" s="1164">
        <f>'Diciembre - 2019  '!$I$22</f>
        <v>1.4200000000000001E-2</v>
      </c>
      <c r="P156" s="1118">
        <f t="shared" si="125"/>
        <v>5869182.201933383</v>
      </c>
      <c r="Q156" s="1118">
        <f>'Diciembre - 2019  '!$K$54</f>
        <v>6190010.4432046823</v>
      </c>
      <c r="R156" s="1117">
        <f>'Diciembre - 2019  '!$L$15</f>
        <v>0</v>
      </c>
      <c r="S156" s="1743">
        <f t="shared" si="126"/>
        <v>21.878546048392941</v>
      </c>
      <c r="T156" s="1753">
        <f>'Diciembre - 2019  '!$Z$89</f>
        <v>0</v>
      </c>
      <c r="U156" s="1107">
        <f>'Diciembre - 2019  '!$AA$89</f>
        <v>0</v>
      </c>
      <c r="V156" s="1107">
        <f t="shared" si="127"/>
        <v>0</v>
      </c>
      <c r="W156" s="1107" t="e">
        <f t="shared" si="128"/>
        <v>#VALUE!</v>
      </c>
      <c r="X156" s="1108">
        <f t="shared" si="129"/>
        <v>206333.68144015607</v>
      </c>
      <c r="Y156" s="1109">
        <f t="shared" si="130"/>
        <v>31482718</v>
      </c>
      <c r="Z156" s="1109">
        <f t="shared" si="131"/>
        <v>6190010.4432046823</v>
      </c>
      <c r="AA156" s="1110">
        <f t="shared" si="132"/>
        <v>25292707.556795318</v>
      </c>
      <c r="AB156" s="1119">
        <f t="shared" si="133"/>
        <v>0.19661613851779514</v>
      </c>
      <c r="AC156" s="1754">
        <f t="shared" si="134"/>
        <v>0.80338386148220486</v>
      </c>
    </row>
    <row r="157" spans="2:29" hidden="1" x14ac:dyDescent="0.25">
      <c r="B157" s="1113">
        <f t="shared" si="120"/>
        <v>2025</v>
      </c>
      <c r="C157" s="1114">
        <v>45839</v>
      </c>
      <c r="D157" s="1744">
        <f>'Diciembre - 2019  '!$N$34+'Diciembre - 2019  '!$N$43</f>
        <v>104018642.60000001</v>
      </c>
      <c r="E157" s="1121">
        <f>'Diciembre - 2019  '!$N$54</f>
        <v>113809.99999999999</v>
      </c>
      <c r="F157" s="1745">
        <f t="shared" si="121"/>
        <v>104132452.60000001</v>
      </c>
      <c r="G157" s="1121">
        <f>'Diciembre - 2019  '!$M$33</f>
        <v>4753878.6400000006</v>
      </c>
      <c r="H157" s="1121">
        <f>'Diciembre - 2019  '!$M$54</f>
        <v>5690.5</v>
      </c>
      <c r="I157" s="1121">
        <f t="shared" si="122"/>
        <v>4759569.1400000006</v>
      </c>
      <c r="J157" s="2067">
        <f>'Diciembre - 2019  '!$H$22</f>
        <v>0.14799999999999999</v>
      </c>
      <c r="K157" s="2069">
        <f>'Diciembre - 2019  '!$I$22</f>
        <v>1.4200000000000001E-2</v>
      </c>
      <c r="L157" s="1104">
        <f t="shared" si="123"/>
        <v>31</v>
      </c>
      <c r="M157" s="1153">
        <v>31482719</v>
      </c>
      <c r="N157" s="1107">
        <f t="shared" si="124"/>
        <v>1015571.5806451613</v>
      </c>
      <c r="O157" s="1164">
        <f>'Diciembre - 2019  '!$I$22</f>
        <v>1.4200000000000001E-2</v>
      </c>
      <c r="P157" s="1118">
        <f t="shared" si="125"/>
        <v>5869182.201933383</v>
      </c>
      <c r="Q157" s="1118">
        <f>'Diciembre - 2019  '!$K$54</f>
        <v>6190010.4432046823</v>
      </c>
      <c r="R157" s="1117">
        <f>'Diciembre - 2019  '!$L$15</f>
        <v>0</v>
      </c>
      <c r="S157" s="1743">
        <f t="shared" si="126"/>
        <v>21.878546048392941</v>
      </c>
      <c r="T157" s="1753">
        <f>'Diciembre - 2019  '!$Z$89</f>
        <v>0</v>
      </c>
      <c r="U157" s="1107">
        <f>'Diciembre - 2019  '!$AA$89</f>
        <v>0</v>
      </c>
      <c r="V157" s="1107">
        <f t="shared" si="127"/>
        <v>0</v>
      </c>
      <c r="W157" s="1107" t="e">
        <f t="shared" si="128"/>
        <v>#VALUE!</v>
      </c>
      <c r="X157" s="1108">
        <f t="shared" si="129"/>
        <v>199677.7562324091</v>
      </c>
      <c r="Y157" s="1109">
        <f t="shared" si="130"/>
        <v>31482719</v>
      </c>
      <c r="Z157" s="1109">
        <f t="shared" si="131"/>
        <v>6190010.4432046823</v>
      </c>
      <c r="AA157" s="1110">
        <f t="shared" si="132"/>
        <v>25292708.556795318</v>
      </c>
      <c r="AB157" s="1119">
        <f t="shared" si="133"/>
        <v>0.19661613227258681</v>
      </c>
      <c r="AC157" s="1754">
        <f t="shared" si="134"/>
        <v>0.80338386772741321</v>
      </c>
    </row>
    <row r="158" spans="2:29" hidden="1" x14ac:dyDescent="0.25">
      <c r="B158" s="1113">
        <f t="shared" si="120"/>
        <v>2025</v>
      </c>
      <c r="C158" s="1114">
        <v>45870</v>
      </c>
      <c r="D158" s="1744">
        <f>'Diciembre - 2019  '!$N$34+'Diciembre - 2019  '!$N$43</f>
        <v>104018642.60000001</v>
      </c>
      <c r="E158" s="1121">
        <f>'Diciembre - 2019  '!$N$54</f>
        <v>113809.99999999999</v>
      </c>
      <c r="F158" s="1745">
        <f t="shared" si="121"/>
        <v>104132452.60000001</v>
      </c>
      <c r="G158" s="1121">
        <f>'Diciembre - 2019  '!$M$33</f>
        <v>4753878.6400000006</v>
      </c>
      <c r="H158" s="1121">
        <f>'Diciembre - 2019  '!$M$54</f>
        <v>5690.5</v>
      </c>
      <c r="I158" s="1121">
        <f t="shared" si="122"/>
        <v>4759569.1400000006</v>
      </c>
      <c r="J158" s="2067">
        <f>'Diciembre - 2019  '!$H$22</f>
        <v>0.14799999999999999</v>
      </c>
      <c r="K158" s="2069">
        <f>'Diciembre - 2019  '!$I$22</f>
        <v>1.4200000000000001E-2</v>
      </c>
      <c r="L158" s="1104">
        <f t="shared" si="123"/>
        <v>31</v>
      </c>
      <c r="M158" s="1153">
        <v>31482720</v>
      </c>
      <c r="N158" s="1107">
        <f t="shared" si="124"/>
        <v>1015571.6129032258</v>
      </c>
      <c r="O158" s="1164">
        <f>'Diciembre - 2019  '!$I$22</f>
        <v>1.4200000000000001E-2</v>
      </c>
      <c r="P158" s="1118">
        <f t="shared" si="125"/>
        <v>5869182.201933383</v>
      </c>
      <c r="Q158" s="1118">
        <f>'Diciembre - 2019  '!$K$54</f>
        <v>6190010.4432046823</v>
      </c>
      <c r="R158" s="1117">
        <f>'Diciembre - 2019  '!$L$15</f>
        <v>0</v>
      </c>
      <c r="S158" s="1743">
        <f t="shared" si="126"/>
        <v>21.878546048392941</v>
      </c>
      <c r="T158" s="1753">
        <f>'Diciembre - 2019  '!$Z$89</f>
        <v>0</v>
      </c>
      <c r="U158" s="1107">
        <f>'Diciembre - 2019  '!$AA$89</f>
        <v>0</v>
      </c>
      <c r="V158" s="1107">
        <f t="shared" si="127"/>
        <v>0</v>
      </c>
      <c r="W158" s="1107" t="e">
        <f t="shared" si="128"/>
        <v>#VALUE!</v>
      </c>
      <c r="X158" s="1108">
        <f t="shared" si="129"/>
        <v>199677.7562324091</v>
      </c>
      <c r="Y158" s="1109">
        <f t="shared" si="130"/>
        <v>31482720</v>
      </c>
      <c r="Z158" s="1109">
        <f t="shared" si="131"/>
        <v>6190010.4432046823</v>
      </c>
      <c r="AA158" s="1110">
        <f t="shared" si="132"/>
        <v>25292709.556795318</v>
      </c>
      <c r="AB158" s="1119">
        <f t="shared" si="133"/>
        <v>0.19661612602737891</v>
      </c>
      <c r="AC158" s="1754">
        <f t="shared" si="134"/>
        <v>0.80338387397262112</v>
      </c>
    </row>
    <row r="159" spans="2:29" hidden="1" x14ac:dyDescent="0.25">
      <c r="B159" s="1113">
        <f t="shared" si="120"/>
        <v>2025</v>
      </c>
      <c r="C159" s="1114">
        <v>45901</v>
      </c>
      <c r="D159" s="1744">
        <f>'Diciembre - 2019  '!$N$34+'Diciembre - 2019  '!$N$43</f>
        <v>104018642.60000001</v>
      </c>
      <c r="E159" s="1121">
        <f>'Diciembre - 2019  '!$N$54</f>
        <v>113809.99999999999</v>
      </c>
      <c r="F159" s="1745">
        <f t="shared" si="121"/>
        <v>104132452.60000001</v>
      </c>
      <c r="G159" s="1121">
        <f>'Diciembre - 2019  '!$M$33</f>
        <v>4753878.6400000006</v>
      </c>
      <c r="H159" s="1121">
        <f>'Diciembre - 2019  '!$M$54</f>
        <v>5690.5</v>
      </c>
      <c r="I159" s="1121">
        <f t="shared" si="122"/>
        <v>4759569.1400000006</v>
      </c>
      <c r="J159" s="2067">
        <f>'Diciembre - 2019  '!$H$22</f>
        <v>0.14799999999999999</v>
      </c>
      <c r="K159" s="2069">
        <f>'Diciembre - 2019  '!$I$22</f>
        <v>1.4200000000000001E-2</v>
      </c>
      <c r="L159" s="1104">
        <f t="shared" si="123"/>
        <v>30</v>
      </c>
      <c r="M159" s="1153">
        <v>31482721</v>
      </c>
      <c r="N159" s="1107">
        <f t="shared" si="124"/>
        <v>1049424.0333333334</v>
      </c>
      <c r="O159" s="1164">
        <f>'Diciembre - 2019  '!$I$22</f>
        <v>1.4200000000000001E-2</v>
      </c>
      <c r="P159" s="1118">
        <f t="shared" si="125"/>
        <v>5869182.201933383</v>
      </c>
      <c r="Q159" s="1118">
        <f>'Diciembre - 2019  '!$K$54</f>
        <v>6190010.4432046823</v>
      </c>
      <c r="R159" s="1117">
        <f>'Diciembre - 2019  '!$L$15</f>
        <v>0</v>
      </c>
      <c r="S159" s="1743">
        <f t="shared" si="126"/>
        <v>21.878546048392941</v>
      </c>
      <c r="T159" s="1753">
        <f>'Diciembre - 2019  '!$Z$89</f>
        <v>0</v>
      </c>
      <c r="U159" s="1107">
        <f>'Diciembre - 2019  '!$AA$89</f>
        <v>0</v>
      </c>
      <c r="V159" s="1107">
        <f t="shared" si="127"/>
        <v>0</v>
      </c>
      <c r="W159" s="1107" t="e">
        <f t="shared" si="128"/>
        <v>#VALUE!</v>
      </c>
      <c r="X159" s="1108">
        <f t="shared" si="129"/>
        <v>206333.68144015607</v>
      </c>
      <c r="Y159" s="1109">
        <f t="shared" si="130"/>
        <v>31482721</v>
      </c>
      <c r="Z159" s="1109">
        <f t="shared" si="131"/>
        <v>6190010.4432046823</v>
      </c>
      <c r="AA159" s="1110">
        <f t="shared" si="132"/>
        <v>25292710.556795318</v>
      </c>
      <c r="AB159" s="1119">
        <f t="shared" si="133"/>
        <v>0.19661611978217139</v>
      </c>
      <c r="AC159" s="1754">
        <f t="shared" si="134"/>
        <v>0.80338388021782858</v>
      </c>
    </row>
    <row r="160" spans="2:29" hidden="1" x14ac:dyDescent="0.25">
      <c r="B160" s="1113">
        <f t="shared" si="120"/>
        <v>2025</v>
      </c>
      <c r="C160" s="1114">
        <v>45931</v>
      </c>
      <c r="D160" s="1744">
        <f>'Diciembre - 2019  '!$N$34+'Diciembre - 2019  '!$N$43</f>
        <v>104018642.60000001</v>
      </c>
      <c r="E160" s="1121">
        <f>'Diciembre - 2019  '!$N$54</f>
        <v>113809.99999999999</v>
      </c>
      <c r="F160" s="1745">
        <f t="shared" si="121"/>
        <v>104132452.60000001</v>
      </c>
      <c r="G160" s="1121">
        <f>'Diciembre - 2019  '!$M$33</f>
        <v>4753878.6400000006</v>
      </c>
      <c r="H160" s="1121">
        <f>'Diciembre - 2019  '!$M$54</f>
        <v>5690.5</v>
      </c>
      <c r="I160" s="1121">
        <f t="shared" si="122"/>
        <v>4759569.1400000006</v>
      </c>
      <c r="J160" s="2067">
        <f>'Diciembre - 2019  '!$H$22</f>
        <v>0.14799999999999999</v>
      </c>
      <c r="K160" s="2069">
        <f>'Diciembre - 2019  '!$I$22</f>
        <v>1.4200000000000001E-2</v>
      </c>
      <c r="L160" s="1104">
        <f t="shared" si="123"/>
        <v>31</v>
      </c>
      <c r="M160" s="1153">
        <v>31482722</v>
      </c>
      <c r="N160" s="1107">
        <f t="shared" si="124"/>
        <v>1015571.6774193548</v>
      </c>
      <c r="O160" s="1164">
        <f>'Diciembre - 2019  '!$I$22</f>
        <v>1.4200000000000001E-2</v>
      </c>
      <c r="P160" s="1118">
        <f t="shared" si="125"/>
        <v>5869182.201933383</v>
      </c>
      <c r="Q160" s="1118">
        <f>'Diciembre - 2019  '!$K$54</f>
        <v>6190010.4432046823</v>
      </c>
      <c r="R160" s="1117">
        <f>'Diciembre - 2019  '!$L$15</f>
        <v>0</v>
      </c>
      <c r="S160" s="1743">
        <f t="shared" si="126"/>
        <v>21.878546048392941</v>
      </c>
      <c r="T160" s="1753">
        <f>'Diciembre - 2019  '!$Z$89</f>
        <v>0</v>
      </c>
      <c r="U160" s="1107">
        <f>'Diciembre - 2019  '!$AA$89</f>
        <v>0</v>
      </c>
      <c r="V160" s="1107">
        <f t="shared" si="127"/>
        <v>0</v>
      </c>
      <c r="W160" s="1107" t="e">
        <f t="shared" si="128"/>
        <v>#VALUE!</v>
      </c>
      <c r="X160" s="1108">
        <f t="shared" si="129"/>
        <v>199677.7562324091</v>
      </c>
      <c r="Y160" s="1109">
        <f t="shared" si="130"/>
        <v>31482722</v>
      </c>
      <c r="Z160" s="1109">
        <f t="shared" si="131"/>
        <v>6190010.4432046823</v>
      </c>
      <c r="AA160" s="1110">
        <f t="shared" si="132"/>
        <v>25292711.556795318</v>
      </c>
      <c r="AB160" s="1119">
        <f t="shared" si="133"/>
        <v>0.19661611353696426</v>
      </c>
      <c r="AC160" s="1754">
        <f t="shared" si="134"/>
        <v>0.80338388646303571</v>
      </c>
    </row>
    <row r="161" spans="2:29" hidden="1" x14ac:dyDescent="0.25">
      <c r="B161" s="1113">
        <f t="shared" si="120"/>
        <v>2025</v>
      </c>
      <c r="C161" s="1114">
        <v>45962</v>
      </c>
      <c r="D161" s="1744">
        <f>'Diciembre - 2019  '!$N$34+'Diciembre - 2019  '!$N$43</f>
        <v>104018642.60000001</v>
      </c>
      <c r="E161" s="1121">
        <f>'Diciembre - 2019  '!$N$54</f>
        <v>113809.99999999999</v>
      </c>
      <c r="F161" s="1745">
        <f t="shared" si="121"/>
        <v>104132452.60000001</v>
      </c>
      <c r="G161" s="1121">
        <f>'Diciembre - 2019  '!$M$33</f>
        <v>4753878.6400000006</v>
      </c>
      <c r="H161" s="1121">
        <f>'Diciembre - 2019  '!$M$54</f>
        <v>5690.5</v>
      </c>
      <c r="I161" s="1121">
        <f t="shared" si="122"/>
        <v>4759569.1400000006</v>
      </c>
      <c r="J161" s="2067">
        <f>'Diciembre - 2019  '!$H$22</f>
        <v>0.14799999999999999</v>
      </c>
      <c r="K161" s="2069">
        <f>'Diciembre - 2019  '!$I$22</f>
        <v>1.4200000000000001E-2</v>
      </c>
      <c r="L161" s="1104">
        <f t="shared" si="123"/>
        <v>30</v>
      </c>
      <c r="M161" s="1153">
        <v>31482723</v>
      </c>
      <c r="N161" s="1107">
        <f t="shared" si="124"/>
        <v>1049424.1000000001</v>
      </c>
      <c r="O161" s="1164">
        <f>'Diciembre - 2019  '!$I$22</f>
        <v>1.4200000000000001E-2</v>
      </c>
      <c r="P161" s="1118">
        <f t="shared" si="125"/>
        <v>5869182.201933383</v>
      </c>
      <c r="Q161" s="1118">
        <f>'Diciembre - 2019  '!$K$54</f>
        <v>6190010.4432046823</v>
      </c>
      <c r="R161" s="1117">
        <f>'Diciembre - 2019  '!$L$15</f>
        <v>0</v>
      </c>
      <c r="S161" s="1743">
        <f t="shared" si="126"/>
        <v>21.878546048392941</v>
      </c>
      <c r="T161" s="1753">
        <f>'Diciembre - 2019  '!$Z$89</f>
        <v>0</v>
      </c>
      <c r="U161" s="1107">
        <f>'Diciembre - 2019  '!$AA$89</f>
        <v>0</v>
      </c>
      <c r="V161" s="1107">
        <f t="shared" si="127"/>
        <v>0</v>
      </c>
      <c r="W161" s="1107" t="e">
        <f t="shared" si="128"/>
        <v>#VALUE!</v>
      </c>
      <c r="X161" s="1108">
        <f t="shared" si="129"/>
        <v>206333.68144015607</v>
      </c>
      <c r="Y161" s="1109">
        <f t="shared" si="130"/>
        <v>31482723</v>
      </c>
      <c r="Z161" s="1109">
        <f t="shared" si="131"/>
        <v>6190010.4432046823</v>
      </c>
      <c r="AA161" s="1110">
        <f t="shared" si="132"/>
        <v>25292712.556795318</v>
      </c>
      <c r="AB161" s="1119">
        <f t="shared" si="133"/>
        <v>0.19661610729175752</v>
      </c>
      <c r="AC161" s="1754">
        <f t="shared" si="134"/>
        <v>0.80338389270824251</v>
      </c>
    </row>
    <row r="162" spans="2:29" hidden="1" x14ac:dyDescent="0.25">
      <c r="B162" s="1113">
        <f t="shared" si="120"/>
        <v>2025</v>
      </c>
      <c r="C162" s="1114">
        <v>45992</v>
      </c>
      <c r="D162" s="1744">
        <f>'Diciembre - 2019  '!$N$34+'Diciembre - 2019  '!$N$43</f>
        <v>104018642.60000001</v>
      </c>
      <c r="E162" s="1121">
        <f>'Diciembre - 2019  '!$N$54</f>
        <v>113809.99999999999</v>
      </c>
      <c r="F162" s="1745">
        <f t="shared" si="121"/>
        <v>104132452.60000001</v>
      </c>
      <c r="G162" s="1121">
        <f>'Diciembre - 2019  '!$M$33</f>
        <v>4753878.6400000006</v>
      </c>
      <c r="H162" s="1121">
        <f>'Diciembre - 2019  '!$M$54</f>
        <v>5690.5</v>
      </c>
      <c r="I162" s="1121">
        <f t="shared" si="122"/>
        <v>4759569.1400000006</v>
      </c>
      <c r="J162" s="2067">
        <f>'Diciembre - 2019  '!$H$22</f>
        <v>0.14799999999999999</v>
      </c>
      <c r="K162" s="2069">
        <f>'Diciembre - 2019  '!$I$22</f>
        <v>1.4200000000000001E-2</v>
      </c>
      <c r="L162" s="1104">
        <f t="shared" si="123"/>
        <v>31</v>
      </c>
      <c r="M162" s="1153">
        <v>31482724</v>
      </c>
      <c r="N162" s="1107">
        <f t="shared" si="124"/>
        <v>1015571.7419354839</v>
      </c>
      <c r="O162" s="1164">
        <f>'Diciembre - 2019  '!$I$22</f>
        <v>1.4200000000000001E-2</v>
      </c>
      <c r="P162" s="1118">
        <f t="shared" si="125"/>
        <v>5869182.201933383</v>
      </c>
      <c r="Q162" s="1118">
        <f>'Diciembre - 2019  '!$K$54</f>
        <v>6190010.4432046823</v>
      </c>
      <c r="R162" s="1117">
        <f>'Diciembre - 2019  '!$L$15</f>
        <v>0</v>
      </c>
      <c r="S162" s="1743">
        <f t="shared" si="126"/>
        <v>21.878546048392941</v>
      </c>
      <c r="T162" s="1753">
        <f>'Diciembre - 2019  '!$Z$89</f>
        <v>0</v>
      </c>
      <c r="U162" s="1107">
        <f>'Diciembre - 2019  '!$AA$89</f>
        <v>0</v>
      </c>
      <c r="V162" s="1107">
        <f t="shared" si="127"/>
        <v>0</v>
      </c>
      <c r="W162" s="1107" t="e">
        <f t="shared" si="128"/>
        <v>#VALUE!</v>
      </c>
      <c r="X162" s="1108">
        <f t="shared" si="129"/>
        <v>199677.7562324091</v>
      </c>
      <c r="Y162" s="1109">
        <f t="shared" si="130"/>
        <v>31482724</v>
      </c>
      <c r="Z162" s="1109">
        <f t="shared" si="131"/>
        <v>6190010.4432046823</v>
      </c>
      <c r="AA162" s="1110">
        <f t="shared" si="132"/>
        <v>25292713.556795318</v>
      </c>
      <c r="AB162" s="1119">
        <f t="shared" si="133"/>
        <v>0.19661610104655119</v>
      </c>
      <c r="AC162" s="1754">
        <f t="shared" si="134"/>
        <v>0.80338389895344875</v>
      </c>
    </row>
    <row r="163" spans="2:29" hidden="1" x14ac:dyDescent="0.25">
      <c r="B163" s="1113">
        <f t="shared" si="120"/>
        <v>2026</v>
      </c>
      <c r="C163" s="1114">
        <v>46023</v>
      </c>
      <c r="D163" s="1744">
        <f>'Diciembre - 2019  '!$N$34+'Diciembre - 2019  '!$N$43</f>
        <v>104018642.60000001</v>
      </c>
      <c r="E163" s="1121">
        <f>'Diciembre - 2019  '!$N$54</f>
        <v>113809.99999999999</v>
      </c>
      <c r="F163" s="1745">
        <f t="shared" si="121"/>
        <v>104132452.60000001</v>
      </c>
      <c r="G163" s="1121">
        <f>'Diciembre - 2019  '!$M$33</f>
        <v>4753878.6400000006</v>
      </c>
      <c r="H163" s="1121">
        <f>'Diciembre - 2019  '!$M$54</f>
        <v>5690.5</v>
      </c>
      <c r="I163" s="1121">
        <f t="shared" si="122"/>
        <v>4759569.1400000006</v>
      </c>
      <c r="J163" s="2067">
        <f>'Diciembre - 2019  '!$H$22</f>
        <v>0.14799999999999999</v>
      </c>
      <c r="K163" s="2069">
        <f>'Diciembre - 2019  '!$I$22</f>
        <v>1.4200000000000001E-2</v>
      </c>
      <c r="L163" s="1104">
        <f t="shared" si="123"/>
        <v>31</v>
      </c>
      <c r="M163" s="1153">
        <v>31482725</v>
      </c>
      <c r="N163" s="1107">
        <f t="shared" si="124"/>
        <v>1015571.7741935484</v>
      </c>
      <c r="O163" s="1164">
        <f>'Diciembre - 2019  '!$I$22</f>
        <v>1.4200000000000001E-2</v>
      </c>
      <c r="P163" s="1118">
        <f t="shared" si="125"/>
        <v>5869182.201933383</v>
      </c>
      <c r="Q163" s="1118">
        <f>'Diciembre - 2019  '!$K$54</f>
        <v>6190010.4432046823</v>
      </c>
      <c r="R163" s="1117">
        <f>'Diciembre - 2019  '!$L$15</f>
        <v>0</v>
      </c>
      <c r="S163" s="1743">
        <f t="shared" si="126"/>
        <v>21.878546048392941</v>
      </c>
      <c r="T163" s="1753">
        <f>'Diciembre - 2019  '!$Z$89</f>
        <v>0</v>
      </c>
      <c r="U163" s="1107">
        <f>'Diciembre - 2019  '!$AA$89</f>
        <v>0</v>
      </c>
      <c r="V163" s="1107">
        <f t="shared" si="127"/>
        <v>0</v>
      </c>
      <c r="W163" s="1107" t="e">
        <f t="shared" si="128"/>
        <v>#VALUE!</v>
      </c>
      <c r="X163" s="1108">
        <f t="shared" si="129"/>
        <v>199677.7562324091</v>
      </c>
      <c r="Y163" s="1109">
        <f t="shared" si="130"/>
        <v>31482725</v>
      </c>
      <c r="Z163" s="1109">
        <f t="shared" si="131"/>
        <v>6190010.4432046823</v>
      </c>
      <c r="AA163" s="1110">
        <f t="shared" si="132"/>
        <v>25292714.556795318</v>
      </c>
      <c r="AB163" s="1119">
        <f t="shared" si="133"/>
        <v>0.19661609480134526</v>
      </c>
      <c r="AC163" s="1754">
        <f t="shared" si="134"/>
        <v>0.80338390519865477</v>
      </c>
    </row>
    <row r="164" spans="2:29" hidden="1" x14ac:dyDescent="0.25">
      <c r="B164" s="1113">
        <f t="shared" si="120"/>
        <v>2026</v>
      </c>
      <c r="C164" s="1114">
        <v>46054</v>
      </c>
      <c r="D164" s="1744">
        <f>'Diciembre - 2019  '!$N$34+'Diciembre - 2019  '!$N$43</f>
        <v>104018642.60000001</v>
      </c>
      <c r="E164" s="1121">
        <f>'Diciembre - 2019  '!$N$54</f>
        <v>113809.99999999999</v>
      </c>
      <c r="F164" s="1745">
        <f t="shared" si="121"/>
        <v>104132452.60000001</v>
      </c>
      <c r="G164" s="1121">
        <f>'Diciembre - 2019  '!$M$33</f>
        <v>4753878.6400000006</v>
      </c>
      <c r="H164" s="1121">
        <f>'Diciembre - 2019  '!$M$54</f>
        <v>5690.5</v>
      </c>
      <c r="I164" s="1121">
        <f t="shared" si="122"/>
        <v>4759569.1400000006</v>
      </c>
      <c r="J164" s="2067">
        <f>'Diciembre - 2019  '!$H$22</f>
        <v>0.14799999999999999</v>
      </c>
      <c r="K164" s="2069">
        <f>'Diciembre - 2019  '!$I$22</f>
        <v>1.4200000000000001E-2</v>
      </c>
      <c r="L164" s="1104">
        <f t="shared" si="123"/>
        <v>28</v>
      </c>
      <c r="M164" s="1153">
        <v>31482726</v>
      </c>
      <c r="N164" s="1107">
        <f t="shared" si="124"/>
        <v>1124383.0714285714</v>
      </c>
      <c r="O164" s="1164">
        <f>'Diciembre - 2019  '!$I$22</f>
        <v>1.4200000000000001E-2</v>
      </c>
      <c r="P164" s="1118">
        <f t="shared" si="125"/>
        <v>5869182.201933383</v>
      </c>
      <c r="Q164" s="1118">
        <f>'Diciembre - 2019  '!$K$54</f>
        <v>6190010.4432046823</v>
      </c>
      <c r="R164" s="1117">
        <f>'Diciembre - 2019  '!$L$15</f>
        <v>0</v>
      </c>
      <c r="S164" s="1743">
        <f t="shared" si="126"/>
        <v>21.878546048392941</v>
      </c>
      <c r="T164" s="1753">
        <f>'Diciembre - 2019  '!$Z$89</f>
        <v>0</v>
      </c>
      <c r="U164" s="1107">
        <f>'Diciembre - 2019  '!$AA$89</f>
        <v>0</v>
      </c>
      <c r="V164" s="1107">
        <f t="shared" si="127"/>
        <v>0</v>
      </c>
      <c r="W164" s="1107" t="e">
        <f t="shared" si="128"/>
        <v>#VALUE!</v>
      </c>
      <c r="X164" s="1108">
        <f t="shared" si="129"/>
        <v>221071.80154302437</v>
      </c>
      <c r="Y164" s="1109">
        <f t="shared" si="130"/>
        <v>31482726</v>
      </c>
      <c r="Z164" s="1109">
        <f t="shared" si="131"/>
        <v>6190010.4432046823</v>
      </c>
      <c r="AA164" s="1110">
        <f t="shared" si="132"/>
        <v>25292715.556795318</v>
      </c>
      <c r="AB164" s="1119">
        <f t="shared" si="133"/>
        <v>0.19661608855613971</v>
      </c>
      <c r="AC164" s="1754">
        <f t="shared" si="134"/>
        <v>0.80338391144386034</v>
      </c>
    </row>
    <row r="165" spans="2:29" hidden="1" x14ac:dyDescent="0.25">
      <c r="B165" s="1113">
        <f t="shared" si="120"/>
        <v>2026</v>
      </c>
      <c r="C165" s="1114">
        <v>46082</v>
      </c>
      <c r="D165" s="1744">
        <f>'Diciembre - 2019  '!$N$34+'Diciembre - 2019  '!$N$43</f>
        <v>104018642.60000001</v>
      </c>
      <c r="E165" s="1121">
        <f>'Diciembre - 2019  '!$N$54</f>
        <v>113809.99999999999</v>
      </c>
      <c r="F165" s="1745">
        <f t="shared" si="121"/>
        <v>104132452.60000001</v>
      </c>
      <c r="G165" s="1121">
        <f>'Diciembre - 2019  '!$M$33</f>
        <v>4753878.6400000006</v>
      </c>
      <c r="H165" s="1121">
        <f>'Diciembre - 2019  '!$M$54</f>
        <v>5690.5</v>
      </c>
      <c r="I165" s="1121">
        <f t="shared" si="122"/>
        <v>4759569.1400000006</v>
      </c>
      <c r="J165" s="2067">
        <f>'Diciembre - 2019  '!$H$22</f>
        <v>0.14799999999999999</v>
      </c>
      <c r="K165" s="2069">
        <f>'Diciembre - 2019  '!$I$22</f>
        <v>1.4200000000000001E-2</v>
      </c>
      <c r="L165" s="1104">
        <f t="shared" si="123"/>
        <v>31</v>
      </c>
      <c r="M165" s="1153">
        <v>31482727</v>
      </c>
      <c r="N165" s="1107">
        <f t="shared" si="124"/>
        <v>1015571.8387096775</v>
      </c>
      <c r="O165" s="1164">
        <f>'Diciembre - 2019  '!$I$22</f>
        <v>1.4200000000000001E-2</v>
      </c>
      <c r="P165" s="1118">
        <f t="shared" si="125"/>
        <v>5869182.201933383</v>
      </c>
      <c r="Q165" s="1118">
        <f>'Diciembre - 2019  '!$K$54</f>
        <v>6190010.4432046823</v>
      </c>
      <c r="R165" s="1117">
        <f>'Diciembre - 2019  '!$L$15</f>
        <v>0</v>
      </c>
      <c r="S165" s="1743">
        <f t="shared" si="126"/>
        <v>21.878546048392941</v>
      </c>
      <c r="T165" s="1753">
        <f>'Diciembre - 2019  '!$Z$89</f>
        <v>0</v>
      </c>
      <c r="U165" s="1107">
        <f>'Diciembre - 2019  '!$AA$89</f>
        <v>0</v>
      </c>
      <c r="V165" s="1107">
        <f t="shared" si="127"/>
        <v>0</v>
      </c>
      <c r="W165" s="1107" t="e">
        <f t="shared" si="128"/>
        <v>#VALUE!</v>
      </c>
      <c r="X165" s="1108">
        <f t="shared" si="129"/>
        <v>199677.7562324091</v>
      </c>
      <c r="Y165" s="1109">
        <f t="shared" si="130"/>
        <v>31482727</v>
      </c>
      <c r="Z165" s="1109">
        <f t="shared" si="131"/>
        <v>6190010.4432046823</v>
      </c>
      <c r="AA165" s="1110">
        <f t="shared" si="132"/>
        <v>25292716.556795318</v>
      </c>
      <c r="AB165" s="1119">
        <f t="shared" si="133"/>
        <v>0.19661608231093458</v>
      </c>
      <c r="AC165" s="1754">
        <f t="shared" si="134"/>
        <v>0.80338391768906536</v>
      </c>
    </row>
    <row r="166" spans="2:29" hidden="1" x14ac:dyDescent="0.25">
      <c r="B166" s="1113">
        <f t="shared" si="120"/>
        <v>2026</v>
      </c>
      <c r="C166" s="1114">
        <v>46113</v>
      </c>
      <c r="D166" s="1744">
        <f>'Diciembre - 2019  '!$N$34+'Diciembre - 2019  '!$N$43</f>
        <v>104018642.60000001</v>
      </c>
      <c r="E166" s="1121">
        <f>'Diciembre - 2019  '!$N$54</f>
        <v>113809.99999999999</v>
      </c>
      <c r="F166" s="1745">
        <f t="shared" si="121"/>
        <v>104132452.60000001</v>
      </c>
      <c r="G166" s="1121">
        <f>'Diciembre - 2019  '!$M$33</f>
        <v>4753878.6400000006</v>
      </c>
      <c r="H166" s="1121">
        <f>'Diciembre - 2019  '!$M$54</f>
        <v>5690.5</v>
      </c>
      <c r="I166" s="1121">
        <f t="shared" si="122"/>
        <v>4759569.1400000006</v>
      </c>
      <c r="J166" s="2067">
        <f>'Diciembre - 2019  '!$H$22</f>
        <v>0.14799999999999999</v>
      </c>
      <c r="K166" s="2069">
        <f>'Diciembre - 2019  '!$I$22</f>
        <v>1.4200000000000001E-2</v>
      </c>
      <c r="L166" s="1104">
        <f t="shared" si="123"/>
        <v>30</v>
      </c>
      <c r="M166" s="1153">
        <v>31482728</v>
      </c>
      <c r="N166" s="1107">
        <f t="shared" si="124"/>
        <v>1049424.2666666666</v>
      </c>
      <c r="O166" s="1164">
        <f>'Diciembre - 2019  '!$I$22</f>
        <v>1.4200000000000001E-2</v>
      </c>
      <c r="P166" s="1118">
        <f t="shared" si="125"/>
        <v>5869182.201933383</v>
      </c>
      <c r="Q166" s="1118">
        <f>'Diciembre - 2019  '!$K$54</f>
        <v>6190010.4432046823</v>
      </c>
      <c r="R166" s="1117">
        <f>'Diciembre - 2019  '!$L$15</f>
        <v>0</v>
      </c>
      <c r="S166" s="1743">
        <f t="shared" si="126"/>
        <v>21.878546048392941</v>
      </c>
      <c r="T166" s="1753">
        <f>'Diciembre - 2019  '!$Z$89</f>
        <v>0</v>
      </c>
      <c r="U166" s="1107">
        <f>'Diciembre - 2019  '!$AA$89</f>
        <v>0</v>
      </c>
      <c r="V166" s="1107">
        <f t="shared" si="127"/>
        <v>0</v>
      </c>
      <c r="W166" s="1107" t="e">
        <f t="shared" si="128"/>
        <v>#VALUE!</v>
      </c>
      <c r="X166" s="1108">
        <f t="shared" si="129"/>
        <v>206333.68144015607</v>
      </c>
      <c r="Y166" s="1109">
        <f t="shared" si="130"/>
        <v>31482728</v>
      </c>
      <c r="Z166" s="1109">
        <f t="shared" si="131"/>
        <v>6190010.4432046823</v>
      </c>
      <c r="AA166" s="1110">
        <f t="shared" si="132"/>
        <v>25292717.556795318</v>
      </c>
      <c r="AB166" s="1119">
        <f t="shared" si="133"/>
        <v>0.19661607606572984</v>
      </c>
      <c r="AC166" s="1754">
        <f t="shared" si="134"/>
        <v>0.80338392393427016</v>
      </c>
    </row>
    <row r="167" spans="2:29" hidden="1" x14ac:dyDescent="0.25">
      <c r="B167" s="1113">
        <f t="shared" si="120"/>
        <v>2026</v>
      </c>
      <c r="C167" s="1114">
        <v>46143</v>
      </c>
      <c r="D167" s="1744">
        <f>'Diciembre - 2019  '!$N$34+'Diciembre - 2019  '!$N$43</f>
        <v>104018642.60000001</v>
      </c>
      <c r="E167" s="1121">
        <f>'Diciembre - 2019  '!$N$54</f>
        <v>113809.99999999999</v>
      </c>
      <c r="F167" s="1745">
        <f t="shared" si="121"/>
        <v>104132452.60000001</v>
      </c>
      <c r="G167" s="1121">
        <f>'Diciembre - 2019  '!$M$33</f>
        <v>4753878.6400000006</v>
      </c>
      <c r="H167" s="1121">
        <f>'Diciembre - 2019  '!$M$54</f>
        <v>5690.5</v>
      </c>
      <c r="I167" s="1121">
        <f t="shared" si="122"/>
        <v>4759569.1400000006</v>
      </c>
      <c r="J167" s="2067">
        <f>'Diciembre - 2019  '!$H$22</f>
        <v>0.14799999999999999</v>
      </c>
      <c r="K167" s="2069">
        <f>'Diciembre - 2019  '!$I$22</f>
        <v>1.4200000000000001E-2</v>
      </c>
      <c r="L167" s="1104">
        <f t="shared" si="123"/>
        <v>31</v>
      </c>
      <c r="M167" s="1153">
        <v>31482729</v>
      </c>
      <c r="N167" s="1107">
        <f t="shared" si="124"/>
        <v>1015571.9032258064</v>
      </c>
      <c r="O167" s="1164">
        <f>'Diciembre - 2019  '!$I$22</f>
        <v>1.4200000000000001E-2</v>
      </c>
      <c r="P167" s="1118">
        <f t="shared" si="125"/>
        <v>5869182.201933383</v>
      </c>
      <c r="Q167" s="1118">
        <f>'Diciembre - 2019  '!$K$54</f>
        <v>6190010.4432046823</v>
      </c>
      <c r="R167" s="1117">
        <f>'Diciembre - 2019  '!$L$15</f>
        <v>0</v>
      </c>
      <c r="S167" s="1743">
        <f t="shared" si="126"/>
        <v>21.878546048392941</v>
      </c>
      <c r="T167" s="1753">
        <f>'Diciembre - 2019  '!$Z$89</f>
        <v>0</v>
      </c>
      <c r="U167" s="1107">
        <f>'Diciembre - 2019  '!$AA$89</f>
        <v>0</v>
      </c>
      <c r="V167" s="1107">
        <f t="shared" si="127"/>
        <v>0</v>
      </c>
      <c r="W167" s="1107" t="e">
        <f t="shared" si="128"/>
        <v>#VALUE!</v>
      </c>
      <c r="X167" s="1108">
        <f t="shared" si="129"/>
        <v>199677.7562324091</v>
      </c>
      <c r="Y167" s="1109">
        <f t="shared" si="130"/>
        <v>31482729</v>
      </c>
      <c r="Z167" s="1109">
        <f t="shared" si="131"/>
        <v>6190010.4432046823</v>
      </c>
      <c r="AA167" s="1110">
        <f t="shared" si="132"/>
        <v>25292718.556795318</v>
      </c>
      <c r="AB167" s="1119">
        <f t="shared" si="133"/>
        <v>0.19661606982052549</v>
      </c>
      <c r="AC167" s="1754">
        <f t="shared" si="134"/>
        <v>0.80338393017947451</v>
      </c>
    </row>
    <row r="168" spans="2:29" hidden="1" x14ac:dyDescent="0.25">
      <c r="B168" s="1113">
        <f t="shared" si="120"/>
        <v>2026</v>
      </c>
      <c r="C168" s="1114">
        <v>46174</v>
      </c>
      <c r="D168" s="1744">
        <f>'Diciembre - 2019  '!$N$34+'Diciembre - 2019  '!$N$43</f>
        <v>104018642.60000001</v>
      </c>
      <c r="E168" s="1121">
        <f>'Diciembre - 2019  '!$N$54</f>
        <v>113809.99999999999</v>
      </c>
      <c r="F168" s="1745">
        <f t="shared" si="121"/>
        <v>104132452.60000001</v>
      </c>
      <c r="G168" s="1121">
        <f>'Diciembre - 2019  '!$M$33</f>
        <v>4753878.6400000006</v>
      </c>
      <c r="H168" s="1121">
        <f>'Diciembre - 2019  '!$M$54</f>
        <v>5690.5</v>
      </c>
      <c r="I168" s="1121">
        <f t="shared" si="122"/>
        <v>4759569.1400000006</v>
      </c>
      <c r="J168" s="2067">
        <f>'Diciembre - 2019  '!$H$22</f>
        <v>0.14799999999999999</v>
      </c>
      <c r="K168" s="2069">
        <f>'Diciembre - 2019  '!$I$22</f>
        <v>1.4200000000000001E-2</v>
      </c>
      <c r="L168" s="1104">
        <f t="shared" si="123"/>
        <v>30</v>
      </c>
      <c r="M168" s="1153">
        <v>31482730</v>
      </c>
      <c r="N168" s="1107">
        <f t="shared" si="124"/>
        <v>1049424.3333333333</v>
      </c>
      <c r="O168" s="1164">
        <f>'Diciembre - 2019  '!$I$22</f>
        <v>1.4200000000000001E-2</v>
      </c>
      <c r="P168" s="1118">
        <f t="shared" si="125"/>
        <v>5869182.201933383</v>
      </c>
      <c r="Q168" s="1118">
        <f>'Diciembre - 2019  '!$K$54</f>
        <v>6190010.4432046823</v>
      </c>
      <c r="R168" s="1117">
        <f>'Diciembre - 2019  '!$L$15</f>
        <v>0</v>
      </c>
      <c r="S168" s="1743">
        <f t="shared" si="126"/>
        <v>21.878546048392941</v>
      </c>
      <c r="T168" s="1753">
        <f>'Diciembre - 2019  '!$Z$89</f>
        <v>0</v>
      </c>
      <c r="U168" s="1107">
        <f>'Diciembre - 2019  '!$AA$89</f>
        <v>0</v>
      </c>
      <c r="V168" s="1107">
        <f t="shared" si="127"/>
        <v>0</v>
      </c>
      <c r="W168" s="1107" t="e">
        <f t="shared" si="128"/>
        <v>#VALUE!</v>
      </c>
      <c r="X168" s="1108">
        <f t="shared" si="129"/>
        <v>206333.68144015607</v>
      </c>
      <c r="Y168" s="1109">
        <f t="shared" si="130"/>
        <v>31482730</v>
      </c>
      <c r="Z168" s="1109">
        <f t="shared" si="131"/>
        <v>6190010.4432046823</v>
      </c>
      <c r="AA168" s="1110">
        <f t="shared" si="132"/>
        <v>25292719.556795318</v>
      </c>
      <c r="AB168" s="1119">
        <f t="shared" si="133"/>
        <v>0.19661606357532152</v>
      </c>
      <c r="AC168" s="1754">
        <f t="shared" si="134"/>
        <v>0.80338393642467842</v>
      </c>
    </row>
    <row r="169" spans="2:29" hidden="1" x14ac:dyDescent="0.25">
      <c r="B169" s="1113">
        <f t="shared" si="120"/>
        <v>2026</v>
      </c>
      <c r="C169" s="1114">
        <v>46204</v>
      </c>
      <c r="D169" s="1744">
        <f>'Diciembre - 2019  '!$N$34+'Diciembre - 2019  '!$N$43</f>
        <v>104018642.60000001</v>
      </c>
      <c r="E169" s="1121">
        <f>'Diciembre - 2019  '!$N$54</f>
        <v>113809.99999999999</v>
      </c>
      <c r="F169" s="1745">
        <f t="shared" si="121"/>
        <v>104132452.60000001</v>
      </c>
      <c r="G169" s="1121">
        <f>'Diciembre - 2019  '!$M$33</f>
        <v>4753878.6400000006</v>
      </c>
      <c r="H169" s="1121">
        <f>'Diciembre - 2019  '!$M$54</f>
        <v>5690.5</v>
      </c>
      <c r="I169" s="1121">
        <f t="shared" si="122"/>
        <v>4759569.1400000006</v>
      </c>
      <c r="J169" s="2067">
        <f>'Diciembre - 2019  '!$H$22</f>
        <v>0.14799999999999999</v>
      </c>
      <c r="K169" s="2069">
        <f>'Diciembre - 2019  '!$I$22</f>
        <v>1.4200000000000001E-2</v>
      </c>
      <c r="L169" s="1104">
        <f t="shared" si="123"/>
        <v>31</v>
      </c>
      <c r="M169" s="1153">
        <v>31482731</v>
      </c>
      <c r="N169" s="1107">
        <f t="shared" si="124"/>
        <v>1015571.9677419355</v>
      </c>
      <c r="O169" s="1164">
        <f>'Diciembre - 2019  '!$I$22</f>
        <v>1.4200000000000001E-2</v>
      </c>
      <c r="P169" s="1118">
        <f t="shared" si="125"/>
        <v>5869182.201933383</v>
      </c>
      <c r="Q169" s="1118">
        <f>'Diciembre - 2019  '!$K$54</f>
        <v>6190010.4432046823</v>
      </c>
      <c r="R169" s="1117">
        <f>'Diciembre - 2019  '!$L$15</f>
        <v>0</v>
      </c>
      <c r="S169" s="1743">
        <f t="shared" si="126"/>
        <v>21.878546048392941</v>
      </c>
      <c r="T169" s="1753">
        <f>'Diciembre - 2019  '!$Z$89</f>
        <v>0</v>
      </c>
      <c r="U169" s="1107">
        <f>'Diciembre - 2019  '!$AA$89</f>
        <v>0</v>
      </c>
      <c r="V169" s="1107">
        <f t="shared" si="127"/>
        <v>0</v>
      </c>
      <c r="W169" s="1107" t="e">
        <f t="shared" si="128"/>
        <v>#VALUE!</v>
      </c>
      <c r="X169" s="1108">
        <f t="shared" si="129"/>
        <v>199677.7562324091</v>
      </c>
      <c r="Y169" s="1109">
        <f t="shared" si="130"/>
        <v>31482731</v>
      </c>
      <c r="Z169" s="1109">
        <f t="shared" si="131"/>
        <v>6190010.4432046823</v>
      </c>
      <c r="AA169" s="1110">
        <f t="shared" si="132"/>
        <v>25292720.556795318</v>
      </c>
      <c r="AB169" s="1119">
        <f t="shared" si="133"/>
        <v>0.19661605733011797</v>
      </c>
      <c r="AC169" s="1754">
        <f t="shared" si="134"/>
        <v>0.803383942669882</v>
      </c>
    </row>
    <row r="170" spans="2:29" hidden="1" x14ac:dyDescent="0.25">
      <c r="B170" s="1113">
        <f t="shared" si="120"/>
        <v>2026</v>
      </c>
      <c r="C170" s="1114">
        <v>46235</v>
      </c>
      <c r="D170" s="1744">
        <f>'Diciembre - 2019  '!$N$34+'Diciembre - 2019  '!$N$43</f>
        <v>104018642.60000001</v>
      </c>
      <c r="E170" s="1121">
        <f>'Diciembre - 2019  '!$N$54</f>
        <v>113809.99999999999</v>
      </c>
      <c r="F170" s="1745">
        <f t="shared" si="121"/>
        <v>104132452.60000001</v>
      </c>
      <c r="G170" s="1121">
        <f>'Diciembre - 2019  '!$M$33</f>
        <v>4753878.6400000006</v>
      </c>
      <c r="H170" s="1121">
        <f>'Diciembre - 2019  '!$M$54</f>
        <v>5690.5</v>
      </c>
      <c r="I170" s="1121">
        <f t="shared" si="122"/>
        <v>4759569.1400000006</v>
      </c>
      <c r="J170" s="2067">
        <f>'Diciembre - 2019  '!$H$22</f>
        <v>0.14799999999999999</v>
      </c>
      <c r="K170" s="2069">
        <f>'Diciembre - 2019  '!$I$22</f>
        <v>1.4200000000000001E-2</v>
      </c>
      <c r="L170" s="1104">
        <f t="shared" si="123"/>
        <v>31</v>
      </c>
      <c r="M170" s="1153">
        <v>31482732</v>
      </c>
      <c r="N170" s="1107">
        <f t="shared" si="124"/>
        <v>1015572</v>
      </c>
      <c r="O170" s="1164">
        <f>'Diciembre - 2019  '!$I$22</f>
        <v>1.4200000000000001E-2</v>
      </c>
      <c r="P170" s="1118">
        <f t="shared" si="125"/>
        <v>5869182.201933383</v>
      </c>
      <c r="Q170" s="1118">
        <f>'Diciembre - 2019  '!$K$54</f>
        <v>6190010.4432046823</v>
      </c>
      <c r="R170" s="1117">
        <f>'Diciembre - 2019  '!$L$15</f>
        <v>0</v>
      </c>
      <c r="S170" s="1743">
        <f t="shared" si="126"/>
        <v>21.878546048392941</v>
      </c>
      <c r="T170" s="1753">
        <f>'Diciembre - 2019  '!$Z$89</f>
        <v>0</v>
      </c>
      <c r="U170" s="1107">
        <f>'Diciembre - 2019  '!$AA$89</f>
        <v>0</v>
      </c>
      <c r="V170" s="1107">
        <f t="shared" si="127"/>
        <v>0</v>
      </c>
      <c r="W170" s="1107" t="e">
        <f t="shared" si="128"/>
        <v>#VALUE!</v>
      </c>
      <c r="X170" s="1108">
        <f t="shared" si="129"/>
        <v>199677.7562324091</v>
      </c>
      <c r="Y170" s="1109">
        <f t="shared" si="130"/>
        <v>31482732</v>
      </c>
      <c r="Z170" s="1109">
        <f t="shared" si="131"/>
        <v>6190010.4432046823</v>
      </c>
      <c r="AA170" s="1110">
        <f t="shared" si="132"/>
        <v>25292721.556795318</v>
      </c>
      <c r="AB170" s="1119">
        <f t="shared" si="133"/>
        <v>0.19661605108491481</v>
      </c>
      <c r="AC170" s="1754">
        <f t="shared" si="134"/>
        <v>0.80338394891508513</v>
      </c>
    </row>
    <row r="171" spans="2:29" hidden="1" x14ac:dyDescent="0.25">
      <c r="B171" s="1113">
        <f t="shared" si="120"/>
        <v>2026</v>
      </c>
      <c r="C171" s="1114">
        <v>46266</v>
      </c>
      <c r="D171" s="1744">
        <f>'Diciembre - 2019  '!$N$34+'Diciembre - 2019  '!$N$43</f>
        <v>104018642.60000001</v>
      </c>
      <c r="E171" s="1121">
        <f>'Diciembre - 2019  '!$N$54</f>
        <v>113809.99999999999</v>
      </c>
      <c r="F171" s="1745">
        <f t="shared" si="121"/>
        <v>104132452.60000001</v>
      </c>
      <c r="G171" s="1121">
        <f>'Diciembre - 2019  '!$M$33</f>
        <v>4753878.6400000006</v>
      </c>
      <c r="H171" s="1121">
        <f>'Diciembre - 2019  '!$M$54</f>
        <v>5690.5</v>
      </c>
      <c r="I171" s="1121">
        <f t="shared" si="122"/>
        <v>4759569.1400000006</v>
      </c>
      <c r="J171" s="2067">
        <f>'Diciembre - 2019  '!$H$22</f>
        <v>0.14799999999999999</v>
      </c>
      <c r="K171" s="2069">
        <f>'Diciembre - 2019  '!$I$22</f>
        <v>1.4200000000000001E-2</v>
      </c>
      <c r="L171" s="1104">
        <f t="shared" si="123"/>
        <v>30</v>
      </c>
      <c r="M171" s="1153">
        <v>31482733</v>
      </c>
      <c r="N171" s="1107">
        <f t="shared" si="124"/>
        <v>1049424.4333333333</v>
      </c>
      <c r="O171" s="1164">
        <f>'Diciembre - 2019  '!$I$22</f>
        <v>1.4200000000000001E-2</v>
      </c>
      <c r="P171" s="1118">
        <f t="shared" si="125"/>
        <v>5869182.201933383</v>
      </c>
      <c r="Q171" s="1118">
        <f>'Diciembre - 2019  '!$K$54</f>
        <v>6190010.4432046823</v>
      </c>
      <c r="R171" s="1117">
        <f>'Diciembre - 2019  '!$L$15</f>
        <v>0</v>
      </c>
      <c r="S171" s="1743">
        <f t="shared" si="126"/>
        <v>21.878546048392941</v>
      </c>
      <c r="T171" s="1753">
        <f>'Diciembre - 2019  '!$Z$89</f>
        <v>0</v>
      </c>
      <c r="U171" s="1107">
        <f>'Diciembre - 2019  '!$AA$89</f>
        <v>0</v>
      </c>
      <c r="V171" s="1107">
        <f t="shared" si="127"/>
        <v>0</v>
      </c>
      <c r="W171" s="1107" t="e">
        <f t="shared" si="128"/>
        <v>#VALUE!</v>
      </c>
      <c r="X171" s="1108">
        <f t="shared" si="129"/>
        <v>206333.68144015607</v>
      </c>
      <c r="Y171" s="1109">
        <f t="shared" si="130"/>
        <v>31482733</v>
      </c>
      <c r="Z171" s="1109">
        <f t="shared" si="131"/>
        <v>6190010.4432046823</v>
      </c>
      <c r="AA171" s="1110">
        <f t="shared" si="132"/>
        <v>25292722.556795318</v>
      </c>
      <c r="AB171" s="1119">
        <f t="shared" si="133"/>
        <v>0.19661604483971204</v>
      </c>
      <c r="AC171" s="1754">
        <f t="shared" si="134"/>
        <v>0.80338395516028793</v>
      </c>
    </row>
    <row r="172" spans="2:29" hidden="1" x14ac:dyDescent="0.25">
      <c r="B172" s="1113">
        <f t="shared" si="120"/>
        <v>2026</v>
      </c>
      <c r="C172" s="1114">
        <v>46296</v>
      </c>
      <c r="D172" s="1744">
        <f>'Diciembre - 2019  '!$N$34+'Diciembre - 2019  '!$N$43</f>
        <v>104018642.60000001</v>
      </c>
      <c r="E172" s="1121">
        <f>'Diciembre - 2019  '!$N$54</f>
        <v>113809.99999999999</v>
      </c>
      <c r="F172" s="1745">
        <f t="shared" si="121"/>
        <v>104132452.60000001</v>
      </c>
      <c r="G172" s="1121">
        <f>'Diciembre - 2019  '!$M$33</f>
        <v>4753878.6400000006</v>
      </c>
      <c r="H172" s="1121">
        <f>'Diciembre - 2019  '!$M$54</f>
        <v>5690.5</v>
      </c>
      <c r="I172" s="1121">
        <f t="shared" si="122"/>
        <v>4759569.1400000006</v>
      </c>
      <c r="J172" s="2067">
        <f>'Diciembre - 2019  '!$H$22</f>
        <v>0.14799999999999999</v>
      </c>
      <c r="K172" s="2069">
        <f>'Diciembre - 2019  '!$I$22</f>
        <v>1.4200000000000001E-2</v>
      </c>
      <c r="L172" s="1104">
        <f t="shared" si="123"/>
        <v>31</v>
      </c>
      <c r="M172" s="1153">
        <v>31482734</v>
      </c>
      <c r="N172" s="1107">
        <f t="shared" si="124"/>
        <v>1015572.0645161291</v>
      </c>
      <c r="O172" s="1164">
        <f>'Diciembre - 2019  '!$I$22</f>
        <v>1.4200000000000001E-2</v>
      </c>
      <c r="P172" s="1118">
        <f t="shared" si="125"/>
        <v>5869182.201933383</v>
      </c>
      <c r="Q172" s="1118">
        <f>'Diciembre - 2019  '!$K$54</f>
        <v>6190010.4432046823</v>
      </c>
      <c r="R172" s="1117">
        <f>'Diciembre - 2019  '!$L$15</f>
        <v>0</v>
      </c>
      <c r="S172" s="1743">
        <f t="shared" si="126"/>
        <v>21.878546048392941</v>
      </c>
      <c r="T172" s="1753">
        <f>'Diciembre - 2019  '!$Z$89</f>
        <v>0</v>
      </c>
      <c r="U172" s="1107">
        <f>'Diciembre - 2019  '!$AA$89</f>
        <v>0</v>
      </c>
      <c r="V172" s="1107">
        <f t="shared" si="127"/>
        <v>0</v>
      </c>
      <c r="W172" s="1107" t="e">
        <f t="shared" si="128"/>
        <v>#VALUE!</v>
      </c>
      <c r="X172" s="1108">
        <f t="shared" si="129"/>
        <v>199677.7562324091</v>
      </c>
      <c r="Y172" s="1109">
        <f t="shared" si="130"/>
        <v>31482734</v>
      </c>
      <c r="Z172" s="1109">
        <f t="shared" si="131"/>
        <v>6190010.4432046823</v>
      </c>
      <c r="AA172" s="1110">
        <f t="shared" si="132"/>
        <v>25292723.556795318</v>
      </c>
      <c r="AB172" s="1119">
        <f t="shared" si="133"/>
        <v>0.19661603859450968</v>
      </c>
      <c r="AC172" s="1754">
        <f t="shared" si="134"/>
        <v>0.80338396140549029</v>
      </c>
    </row>
    <row r="173" spans="2:29" hidden="1" x14ac:dyDescent="0.25">
      <c r="B173" s="1113">
        <f t="shared" si="120"/>
        <v>2026</v>
      </c>
      <c r="C173" s="1114">
        <v>46327</v>
      </c>
      <c r="D173" s="1744">
        <f>'Diciembre - 2019  '!$N$34+'Diciembre - 2019  '!$N$43</f>
        <v>104018642.60000001</v>
      </c>
      <c r="E173" s="1121">
        <f>'Diciembre - 2019  '!$N$54</f>
        <v>113809.99999999999</v>
      </c>
      <c r="F173" s="1745">
        <f t="shared" si="121"/>
        <v>104132452.60000001</v>
      </c>
      <c r="G173" s="1121">
        <f>'Diciembre - 2019  '!$M$33</f>
        <v>4753878.6400000006</v>
      </c>
      <c r="H173" s="1121">
        <f>'Diciembre - 2019  '!$M$54</f>
        <v>5690.5</v>
      </c>
      <c r="I173" s="1121">
        <f t="shared" si="122"/>
        <v>4759569.1400000006</v>
      </c>
      <c r="J173" s="2067">
        <f>'Diciembre - 2019  '!$H$22</f>
        <v>0.14799999999999999</v>
      </c>
      <c r="K173" s="2069">
        <f>'Diciembre - 2019  '!$I$22</f>
        <v>1.4200000000000001E-2</v>
      </c>
      <c r="L173" s="1104">
        <f t="shared" si="123"/>
        <v>30</v>
      </c>
      <c r="M173" s="1153">
        <v>31482735</v>
      </c>
      <c r="N173" s="1107">
        <f t="shared" si="124"/>
        <v>1049424.5</v>
      </c>
      <c r="O173" s="1164">
        <f>'Diciembre - 2019  '!$I$22</f>
        <v>1.4200000000000001E-2</v>
      </c>
      <c r="P173" s="1118">
        <f t="shared" si="125"/>
        <v>5869182.201933383</v>
      </c>
      <c r="Q173" s="1118">
        <f>'Diciembre - 2019  '!$K$54</f>
        <v>6190010.4432046823</v>
      </c>
      <c r="R173" s="1117">
        <f>'Diciembre - 2019  '!$L$15</f>
        <v>0</v>
      </c>
      <c r="S173" s="1743">
        <f t="shared" si="126"/>
        <v>21.878546048392941</v>
      </c>
      <c r="T173" s="1753">
        <f>'Diciembre - 2019  '!$Z$89</f>
        <v>0</v>
      </c>
      <c r="U173" s="1107">
        <f>'Diciembre - 2019  '!$AA$89</f>
        <v>0</v>
      </c>
      <c r="V173" s="1107">
        <f t="shared" si="127"/>
        <v>0</v>
      </c>
      <c r="W173" s="1107" t="e">
        <f t="shared" si="128"/>
        <v>#VALUE!</v>
      </c>
      <c r="X173" s="1108">
        <f t="shared" si="129"/>
        <v>206333.68144015607</v>
      </c>
      <c r="Y173" s="1109">
        <f t="shared" si="130"/>
        <v>31482735</v>
      </c>
      <c r="Z173" s="1109">
        <f t="shared" si="131"/>
        <v>6190010.4432046823</v>
      </c>
      <c r="AA173" s="1110">
        <f t="shared" si="132"/>
        <v>25292724.556795318</v>
      </c>
      <c r="AB173" s="1119">
        <f t="shared" si="133"/>
        <v>0.19661603234930772</v>
      </c>
      <c r="AC173" s="1754">
        <f t="shared" si="134"/>
        <v>0.80338396765069231</v>
      </c>
    </row>
    <row r="174" spans="2:29" hidden="1" x14ac:dyDescent="0.25">
      <c r="B174" s="1113">
        <f t="shared" si="120"/>
        <v>2026</v>
      </c>
      <c r="C174" s="1114">
        <v>46357</v>
      </c>
      <c r="D174" s="1744">
        <f>'Diciembre - 2019  '!$N$34+'Diciembre - 2019  '!$N$43</f>
        <v>104018642.60000001</v>
      </c>
      <c r="E174" s="1121">
        <f>'Diciembre - 2019  '!$N$54</f>
        <v>113809.99999999999</v>
      </c>
      <c r="F174" s="1745">
        <f t="shared" si="121"/>
        <v>104132452.60000001</v>
      </c>
      <c r="G174" s="1121">
        <f>'Diciembre - 2019  '!$M$33</f>
        <v>4753878.6400000006</v>
      </c>
      <c r="H174" s="1121">
        <f>'Diciembre - 2019  '!$M$54</f>
        <v>5690.5</v>
      </c>
      <c r="I174" s="1121">
        <f t="shared" si="122"/>
        <v>4759569.1400000006</v>
      </c>
      <c r="J174" s="2067">
        <f>'Diciembre - 2019  '!$H$22</f>
        <v>0.14799999999999999</v>
      </c>
      <c r="K174" s="2069">
        <f>'Diciembre - 2019  '!$I$22</f>
        <v>1.4200000000000001E-2</v>
      </c>
      <c r="L174" s="1104">
        <f t="shared" si="123"/>
        <v>31</v>
      </c>
      <c r="M174" s="1153">
        <v>31482736</v>
      </c>
      <c r="N174" s="1107">
        <f t="shared" si="124"/>
        <v>1015572.1290322581</v>
      </c>
      <c r="O174" s="1164">
        <f>'Diciembre - 2019  '!$I$22</f>
        <v>1.4200000000000001E-2</v>
      </c>
      <c r="P174" s="1118">
        <f t="shared" si="125"/>
        <v>5869182.201933383</v>
      </c>
      <c r="Q174" s="1118">
        <f>'Diciembre - 2019  '!$K$54</f>
        <v>6190010.4432046823</v>
      </c>
      <c r="R174" s="1117">
        <f>'Diciembre - 2019  '!$L$15</f>
        <v>0</v>
      </c>
      <c r="S174" s="1743">
        <f t="shared" si="126"/>
        <v>21.878546048392941</v>
      </c>
      <c r="T174" s="1753">
        <f>'Diciembre - 2019  '!$Z$89</f>
        <v>0</v>
      </c>
      <c r="U174" s="1107">
        <f>'Diciembre - 2019  '!$AA$89</f>
        <v>0</v>
      </c>
      <c r="V174" s="1107">
        <f t="shared" si="127"/>
        <v>0</v>
      </c>
      <c r="W174" s="1107" t="e">
        <f t="shared" si="128"/>
        <v>#VALUE!</v>
      </c>
      <c r="X174" s="1108">
        <f t="shared" si="129"/>
        <v>199677.7562324091</v>
      </c>
      <c r="Y174" s="1109">
        <f t="shared" si="130"/>
        <v>31482736</v>
      </c>
      <c r="Z174" s="1109">
        <f t="shared" si="131"/>
        <v>6190010.4432046823</v>
      </c>
      <c r="AA174" s="1110">
        <f t="shared" si="132"/>
        <v>25292725.556795318</v>
      </c>
      <c r="AB174" s="1119">
        <f t="shared" si="133"/>
        <v>0.19661602610410614</v>
      </c>
      <c r="AC174" s="1754">
        <f t="shared" si="134"/>
        <v>0.80338397389589389</v>
      </c>
    </row>
    <row r="175" spans="2:29" hidden="1" x14ac:dyDescent="0.25">
      <c r="B175" s="1113">
        <f t="shared" si="120"/>
        <v>2027</v>
      </c>
      <c r="C175" s="1114">
        <v>46388</v>
      </c>
      <c r="D175" s="1744">
        <f>'Diciembre - 2019  '!$N$34+'Diciembre - 2019  '!$N$43</f>
        <v>104018642.60000001</v>
      </c>
      <c r="E175" s="1121">
        <f>'Diciembre - 2019  '!$N$54</f>
        <v>113809.99999999999</v>
      </c>
      <c r="F175" s="1745">
        <f t="shared" si="121"/>
        <v>104132452.60000001</v>
      </c>
      <c r="G175" s="1121">
        <f>'Diciembre - 2019  '!$M$33</f>
        <v>4753878.6400000006</v>
      </c>
      <c r="H175" s="1121">
        <f>'Diciembre - 2019  '!$M$54</f>
        <v>5690.5</v>
      </c>
      <c r="I175" s="1121">
        <f t="shared" si="122"/>
        <v>4759569.1400000006</v>
      </c>
      <c r="J175" s="2067">
        <f>'Diciembre - 2019  '!$H$22</f>
        <v>0.14799999999999999</v>
      </c>
      <c r="K175" s="2069">
        <f>'Diciembre - 2019  '!$I$22</f>
        <v>1.4200000000000001E-2</v>
      </c>
      <c r="L175" s="1104">
        <f t="shared" si="123"/>
        <v>31</v>
      </c>
      <c r="M175" s="1153">
        <v>31482737</v>
      </c>
      <c r="N175" s="1107">
        <f t="shared" si="124"/>
        <v>1015572.1612903225</v>
      </c>
      <c r="O175" s="1164">
        <f>'Diciembre - 2019  '!$I$22</f>
        <v>1.4200000000000001E-2</v>
      </c>
      <c r="P175" s="1118">
        <f t="shared" si="125"/>
        <v>5869182.201933383</v>
      </c>
      <c r="Q175" s="1118">
        <f>'Diciembre - 2019  '!$K$54</f>
        <v>6190010.4432046823</v>
      </c>
      <c r="R175" s="1117">
        <f>'Diciembre - 2019  '!$L$15</f>
        <v>0</v>
      </c>
      <c r="S175" s="1743">
        <f t="shared" si="126"/>
        <v>21.878546048392941</v>
      </c>
      <c r="T175" s="1753">
        <f>'Diciembre - 2019  '!$Z$89</f>
        <v>0</v>
      </c>
      <c r="U175" s="1107">
        <f>'Diciembre - 2019  '!$AA$89</f>
        <v>0</v>
      </c>
      <c r="V175" s="1107">
        <f t="shared" si="127"/>
        <v>0</v>
      </c>
      <c r="W175" s="1107" t="e">
        <f t="shared" si="128"/>
        <v>#VALUE!</v>
      </c>
      <c r="X175" s="1108">
        <f t="shared" si="129"/>
        <v>199677.7562324091</v>
      </c>
      <c r="Y175" s="1109">
        <f t="shared" si="130"/>
        <v>31482737</v>
      </c>
      <c r="Z175" s="1109">
        <f t="shared" si="131"/>
        <v>6190010.4432046823</v>
      </c>
      <c r="AA175" s="1110">
        <f t="shared" si="132"/>
        <v>25292726.556795318</v>
      </c>
      <c r="AB175" s="1119">
        <f t="shared" si="133"/>
        <v>0.19661601985890498</v>
      </c>
      <c r="AC175" s="1754">
        <f t="shared" si="134"/>
        <v>0.80338398014109502</v>
      </c>
    </row>
    <row r="176" spans="2:29" hidden="1" x14ac:dyDescent="0.25">
      <c r="B176" s="1113">
        <f t="shared" si="120"/>
        <v>2027</v>
      </c>
      <c r="C176" s="1114">
        <v>46419</v>
      </c>
      <c r="D176" s="1744">
        <f>'Diciembre - 2019  '!$N$34+'Diciembre - 2019  '!$N$43</f>
        <v>104018642.60000001</v>
      </c>
      <c r="E176" s="1121">
        <f>'Diciembre - 2019  '!$N$54</f>
        <v>113809.99999999999</v>
      </c>
      <c r="F176" s="1745">
        <f t="shared" si="121"/>
        <v>104132452.60000001</v>
      </c>
      <c r="G176" s="1121">
        <f>'Diciembre - 2019  '!$M$33</f>
        <v>4753878.6400000006</v>
      </c>
      <c r="H176" s="1121">
        <f>'Diciembre - 2019  '!$M$54</f>
        <v>5690.5</v>
      </c>
      <c r="I176" s="1121">
        <f t="shared" si="122"/>
        <v>4759569.1400000006</v>
      </c>
      <c r="J176" s="2067">
        <f>'Diciembre - 2019  '!$H$22</f>
        <v>0.14799999999999999</v>
      </c>
      <c r="K176" s="2069">
        <f>'Diciembre - 2019  '!$I$22</f>
        <v>1.4200000000000001E-2</v>
      </c>
      <c r="L176" s="1104">
        <f t="shared" si="123"/>
        <v>28</v>
      </c>
      <c r="M176" s="1153">
        <v>31482738</v>
      </c>
      <c r="N176" s="1107">
        <f t="shared" si="124"/>
        <v>1124383.5</v>
      </c>
      <c r="O176" s="1164">
        <f>'Diciembre - 2019  '!$I$22</f>
        <v>1.4200000000000001E-2</v>
      </c>
      <c r="P176" s="1118">
        <f t="shared" si="125"/>
        <v>5869182.201933383</v>
      </c>
      <c r="Q176" s="1118">
        <f>'Diciembre - 2019  '!$K$54</f>
        <v>6190010.4432046823</v>
      </c>
      <c r="R176" s="1117">
        <f>'Diciembre - 2019  '!$L$15</f>
        <v>0</v>
      </c>
      <c r="S176" s="1743">
        <f t="shared" si="126"/>
        <v>21.878546048392941</v>
      </c>
      <c r="T176" s="1753">
        <f>'Diciembre - 2019  '!$Z$89</f>
        <v>0</v>
      </c>
      <c r="U176" s="1107">
        <f>'Diciembre - 2019  '!$AA$89</f>
        <v>0</v>
      </c>
      <c r="V176" s="1107">
        <f t="shared" si="127"/>
        <v>0</v>
      </c>
      <c r="W176" s="1107" t="e">
        <f t="shared" si="128"/>
        <v>#VALUE!</v>
      </c>
      <c r="X176" s="1108">
        <f t="shared" si="129"/>
        <v>221071.80154302437</v>
      </c>
      <c r="Y176" s="1109">
        <f t="shared" si="130"/>
        <v>31482738</v>
      </c>
      <c r="Z176" s="1109">
        <f t="shared" si="131"/>
        <v>6190010.4432046823</v>
      </c>
      <c r="AA176" s="1110">
        <f t="shared" si="132"/>
        <v>25292727.556795318</v>
      </c>
      <c r="AB176" s="1119">
        <f t="shared" si="133"/>
        <v>0.1966160136137042</v>
      </c>
      <c r="AC176" s="1754">
        <f t="shared" si="134"/>
        <v>0.80338398638629582</v>
      </c>
    </row>
    <row r="177" spans="2:29" hidden="1" x14ac:dyDescent="0.25">
      <c r="B177" s="1113">
        <f t="shared" si="120"/>
        <v>2027</v>
      </c>
      <c r="C177" s="1114">
        <v>46447</v>
      </c>
      <c r="D177" s="1744">
        <f>'Diciembre - 2019  '!$N$34+'Diciembre - 2019  '!$N$43</f>
        <v>104018642.60000001</v>
      </c>
      <c r="E177" s="1121">
        <f>'Diciembre - 2019  '!$N$54</f>
        <v>113809.99999999999</v>
      </c>
      <c r="F177" s="1745">
        <f t="shared" si="121"/>
        <v>104132452.60000001</v>
      </c>
      <c r="G177" s="1121">
        <f>'Diciembre - 2019  '!$M$33</f>
        <v>4753878.6400000006</v>
      </c>
      <c r="H177" s="1121">
        <f>'Diciembre - 2019  '!$M$54</f>
        <v>5690.5</v>
      </c>
      <c r="I177" s="1121">
        <f t="shared" si="122"/>
        <v>4759569.1400000006</v>
      </c>
      <c r="J177" s="2067">
        <f>'Diciembre - 2019  '!$H$22</f>
        <v>0.14799999999999999</v>
      </c>
      <c r="K177" s="2069">
        <f>'Diciembre - 2019  '!$I$22</f>
        <v>1.4200000000000001E-2</v>
      </c>
      <c r="L177" s="1104">
        <f t="shared" si="123"/>
        <v>31</v>
      </c>
      <c r="M177" s="1153">
        <v>31482739</v>
      </c>
      <c r="N177" s="1107">
        <f t="shared" si="124"/>
        <v>1015572.2258064516</v>
      </c>
      <c r="O177" s="1164">
        <f>'Diciembre - 2019  '!$I$22</f>
        <v>1.4200000000000001E-2</v>
      </c>
      <c r="P177" s="1118">
        <f t="shared" si="125"/>
        <v>5869182.201933383</v>
      </c>
      <c r="Q177" s="1118">
        <f>'Diciembre - 2019  '!$K$54</f>
        <v>6190010.4432046823</v>
      </c>
      <c r="R177" s="1117">
        <f>'Diciembre - 2019  '!$L$15</f>
        <v>0</v>
      </c>
      <c r="S177" s="1743">
        <f t="shared" si="126"/>
        <v>21.878546048392941</v>
      </c>
      <c r="T177" s="1753">
        <f>'Diciembre - 2019  '!$Z$89</f>
        <v>0</v>
      </c>
      <c r="U177" s="1107">
        <f>'Diciembre - 2019  '!$AA$89</f>
        <v>0</v>
      </c>
      <c r="V177" s="1107">
        <f t="shared" si="127"/>
        <v>0</v>
      </c>
      <c r="W177" s="1107" t="e">
        <f t="shared" si="128"/>
        <v>#VALUE!</v>
      </c>
      <c r="X177" s="1108">
        <f t="shared" si="129"/>
        <v>199677.7562324091</v>
      </c>
      <c r="Y177" s="1109">
        <f t="shared" si="130"/>
        <v>31482739</v>
      </c>
      <c r="Z177" s="1109">
        <f t="shared" si="131"/>
        <v>6190010.4432046823</v>
      </c>
      <c r="AA177" s="1110">
        <f t="shared" si="132"/>
        <v>25292728.556795318</v>
      </c>
      <c r="AB177" s="1119">
        <f t="shared" si="133"/>
        <v>0.19661600736850382</v>
      </c>
      <c r="AC177" s="1754">
        <f t="shared" si="134"/>
        <v>0.80338399263149618</v>
      </c>
    </row>
    <row r="178" spans="2:29" hidden="1" x14ac:dyDescent="0.25">
      <c r="B178" s="1113">
        <f t="shared" si="120"/>
        <v>2027</v>
      </c>
      <c r="C178" s="1114">
        <v>46478</v>
      </c>
      <c r="D178" s="1744">
        <f>'Diciembre - 2019  '!$N$34+'Diciembre - 2019  '!$N$43</f>
        <v>104018642.60000001</v>
      </c>
      <c r="E178" s="1121">
        <f>'Diciembre - 2019  '!$N$54</f>
        <v>113809.99999999999</v>
      </c>
      <c r="F178" s="1745">
        <f t="shared" si="121"/>
        <v>104132452.60000001</v>
      </c>
      <c r="G178" s="1121">
        <f>'Diciembre - 2019  '!$M$33</f>
        <v>4753878.6400000006</v>
      </c>
      <c r="H178" s="1121">
        <f>'Diciembre - 2019  '!$M$54</f>
        <v>5690.5</v>
      </c>
      <c r="I178" s="1121">
        <f t="shared" si="122"/>
        <v>4759569.1400000006</v>
      </c>
      <c r="J178" s="2067">
        <f>'Diciembre - 2019  '!$H$22</f>
        <v>0.14799999999999999</v>
      </c>
      <c r="K178" s="2069">
        <f>'Diciembre - 2019  '!$I$22</f>
        <v>1.4200000000000001E-2</v>
      </c>
      <c r="L178" s="1104">
        <f t="shared" si="123"/>
        <v>30</v>
      </c>
      <c r="M178" s="1153">
        <v>31482740</v>
      </c>
      <c r="N178" s="1107">
        <f t="shared" si="124"/>
        <v>1049424.6666666667</v>
      </c>
      <c r="O178" s="1164">
        <f>'Diciembre - 2019  '!$I$22</f>
        <v>1.4200000000000001E-2</v>
      </c>
      <c r="P178" s="1118">
        <f t="shared" si="125"/>
        <v>5869182.201933383</v>
      </c>
      <c r="Q178" s="1118">
        <f>'Diciembre - 2019  '!$K$54</f>
        <v>6190010.4432046823</v>
      </c>
      <c r="R178" s="1117">
        <f>'Diciembre - 2019  '!$L$15</f>
        <v>0</v>
      </c>
      <c r="S178" s="1743">
        <f t="shared" si="126"/>
        <v>21.878546048392941</v>
      </c>
      <c r="T178" s="1753">
        <f>'Diciembre - 2019  '!$Z$89</f>
        <v>0</v>
      </c>
      <c r="U178" s="1107">
        <f>'Diciembre - 2019  '!$AA$89</f>
        <v>0</v>
      </c>
      <c r="V178" s="1107">
        <f t="shared" si="127"/>
        <v>0</v>
      </c>
      <c r="W178" s="1107" t="e">
        <f t="shared" si="128"/>
        <v>#VALUE!</v>
      </c>
      <c r="X178" s="1108">
        <f t="shared" si="129"/>
        <v>206333.68144015607</v>
      </c>
      <c r="Y178" s="1109">
        <f t="shared" si="130"/>
        <v>31482740</v>
      </c>
      <c r="Z178" s="1109">
        <f t="shared" si="131"/>
        <v>6190010.4432046823</v>
      </c>
      <c r="AA178" s="1110">
        <f t="shared" si="132"/>
        <v>25292729.556795318</v>
      </c>
      <c r="AB178" s="1119">
        <f t="shared" si="133"/>
        <v>0.19661600112330382</v>
      </c>
      <c r="AC178" s="1754">
        <f t="shared" si="134"/>
        <v>0.8033839988766962</v>
      </c>
    </row>
    <row r="179" spans="2:29" hidden="1" x14ac:dyDescent="0.25">
      <c r="B179" s="1113">
        <f t="shared" si="120"/>
        <v>2027</v>
      </c>
      <c r="C179" s="1114">
        <v>46508</v>
      </c>
      <c r="D179" s="1744">
        <f>'Diciembre - 2019  '!$N$34+'Diciembre - 2019  '!$N$43</f>
        <v>104018642.60000001</v>
      </c>
      <c r="E179" s="1121">
        <f>'Diciembre - 2019  '!$N$54</f>
        <v>113809.99999999999</v>
      </c>
      <c r="F179" s="1745">
        <f t="shared" si="121"/>
        <v>104132452.60000001</v>
      </c>
      <c r="G179" s="1121">
        <f>'Diciembre - 2019  '!$M$33</f>
        <v>4753878.6400000006</v>
      </c>
      <c r="H179" s="1121">
        <f>'Diciembre - 2019  '!$M$54</f>
        <v>5690.5</v>
      </c>
      <c r="I179" s="1121">
        <f t="shared" si="122"/>
        <v>4759569.1400000006</v>
      </c>
      <c r="J179" s="2067">
        <f>'Diciembre - 2019  '!$H$22</f>
        <v>0.14799999999999999</v>
      </c>
      <c r="K179" s="2069">
        <f>'Diciembre - 2019  '!$I$22</f>
        <v>1.4200000000000001E-2</v>
      </c>
      <c r="L179" s="1104">
        <f t="shared" si="123"/>
        <v>31</v>
      </c>
      <c r="M179" s="1153">
        <v>31482741</v>
      </c>
      <c r="N179" s="1107">
        <f t="shared" si="124"/>
        <v>1015572.2903225806</v>
      </c>
      <c r="O179" s="1164">
        <f>'Diciembre - 2019  '!$I$22</f>
        <v>1.4200000000000001E-2</v>
      </c>
      <c r="P179" s="1118">
        <f t="shared" si="125"/>
        <v>5869182.201933383</v>
      </c>
      <c r="Q179" s="1118">
        <f>'Diciembre - 2019  '!$K$54</f>
        <v>6190010.4432046823</v>
      </c>
      <c r="R179" s="1117">
        <f>'Diciembre - 2019  '!$L$15</f>
        <v>0</v>
      </c>
      <c r="S179" s="1743">
        <f t="shared" si="126"/>
        <v>21.878546048392941</v>
      </c>
      <c r="T179" s="1753">
        <f>'Diciembre - 2019  '!$Z$89</f>
        <v>0</v>
      </c>
      <c r="U179" s="1107">
        <f>'Diciembre - 2019  '!$AA$89</f>
        <v>0</v>
      </c>
      <c r="V179" s="1107">
        <f t="shared" si="127"/>
        <v>0</v>
      </c>
      <c r="W179" s="1107" t="e">
        <f t="shared" si="128"/>
        <v>#VALUE!</v>
      </c>
      <c r="X179" s="1108">
        <f t="shared" si="129"/>
        <v>199677.7562324091</v>
      </c>
      <c r="Y179" s="1109">
        <f t="shared" si="130"/>
        <v>31482741</v>
      </c>
      <c r="Z179" s="1109">
        <f t="shared" si="131"/>
        <v>6190010.4432046823</v>
      </c>
      <c r="AA179" s="1110">
        <f t="shared" si="132"/>
        <v>25292730.556795318</v>
      </c>
      <c r="AB179" s="1119">
        <f t="shared" si="133"/>
        <v>0.19661599487810424</v>
      </c>
      <c r="AC179" s="1754">
        <f t="shared" si="134"/>
        <v>0.80338400512189578</v>
      </c>
    </row>
    <row r="180" spans="2:29" hidden="1" x14ac:dyDescent="0.25">
      <c r="B180" s="1113">
        <f t="shared" si="120"/>
        <v>2027</v>
      </c>
      <c r="C180" s="1114">
        <v>46539</v>
      </c>
      <c r="D180" s="1744">
        <f>'Diciembre - 2019  '!$N$34+'Diciembre - 2019  '!$N$43</f>
        <v>104018642.60000001</v>
      </c>
      <c r="E180" s="1121">
        <f>'Diciembre - 2019  '!$N$54</f>
        <v>113809.99999999999</v>
      </c>
      <c r="F180" s="1745">
        <f t="shared" si="121"/>
        <v>104132452.60000001</v>
      </c>
      <c r="G180" s="1121">
        <f>'Diciembre - 2019  '!$M$33</f>
        <v>4753878.6400000006</v>
      </c>
      <c r="H180" s="1121">
        <f>'Diciembre - 2019  '!$M$54</f>
        <v>5690.5</v>
      </c>
      <c r="I180" s="1121">
        <f t="shared" si="122"/>
        <v>4759569.1400000006</v>
      </c>
      <c r="J180" s="2067">
        <f>'Diciembre - 2019  '!$H$22</f>
        <v>0.14799999999999999</v>
      </c>
      <c r="K180" s="2069">
        <f>'Diciembre - 2019  '!$I$22</f>
        <v>1.4200000000000001E-2</v>
      </c>
      <c r="L180" s="1104">
        <f t="shared" si="123"/>
        <v>30</v>
      </c>
      <c r="M180" s="1153">
        <v>31482742</v>
      </c>
      <c r="N180" s="1107">
        <f t="shared" si="124"/>
        <v>1049424.7333333334</v>
      </c>
      <c r="O180" s="1164">
        <f>'Diciembre - 2019  '!$I$22</f>
        <v>1.4200000000000001E-2</v>
      </c>
      <c r="P180" s="1118">
        <f t="shared" si="125"/>
        <v>5869182.201933383</v>
      </c>
      <c r="Q180" s="1118">
        <f>'Diciembre - 2019  '!$K$54</f>
        <v>6190010.4432046823</v>
      </c>
      <c r="R180" s="1117">
        <f>'Diciembre - 2019  '!$L$15</f>
        <v>0</v>
      </c>
      <c r="S180" s="1743">
        <f t="shared" si="126"/>
        <v>21.878546048392941</v>
      </c>
      <c r="T180" s="1753">
        <f>'Diciembre - 2019  '!$Z$89</f>
        <v>0</v>
      </c>
      <c r="U180" s="1107">
        <f>'Diciembre - 2019  '!$AA$89</f>
        <v>0</v>
      </c>
      <c r="V180" s="1107">
        <f t="shared" si="127"/>
        <v>0</v>
      </c>
      <c r="W180" s="1107" t="e">
        <f t="shared" si="128"/>
        <v>#VALUE!</v>
      </c>
      <c r="X180" s="1108">
        <f t="shared" si="129"/>
        <v>206333.68144015607</v>
      </c>
      <c r="Y180" s="1109">
        <f t="shared" si="130"/>
        <v>31482742</v>
      </c>
      <c r="Z180" s="1109">
        <f t="shared" si="131"/>
        <v>6190010.4432046823</v>
      </c>
      <c r="AA180" s="1110">
        <f t="shared" si="132"/>
        <v>25292731.556795318</v>
      </c>
      <c r="AB180" s="1119">
        <f t="shared" si="133"/>
        <v>0.19661598863290505</v>
      </c>
      <c r="AC180" s="1754">
        <f t="shared" si="134"/>
        <v>0.80338401136709492</v>
      </c>
    </row>
    <row r="181" spans="2:29" hidden="1" x14ac:dyDescent="0.25">
      <c r="B181" s="1113">
        <f t="shared" si="120"/>
        <v>2027</v>
      </c>
      <c r="C181" s="1114">
        <v>46569</v>
      </c>
      <c r="D181" s="1744">
        <f>'Diciembre - 2019  '!$N$34+'Diciembre - 2019  '!$N$43</f>
        <v>104018642.60000001</v>
      </c>
      <c r="E181" s="1121">
        <f>'Diciembre - 2019  '!$N$54</f>
        <v>113809.99999999999</v>
      </c>
      <c r="F181" s="1745">
        <f t="shared" si="121"/>
        <v>104132452.60000001</v>
      </c>
      <c r="G181" s="1121">
        <f>'Diciembre - 2019  '!$M$33</f>
        <v>4753878.6400000006</v>
      </c>
      <c r="H181" s="1121">
        <f>'Diciembre - 2019  '!$M$54</f>
        <v>5690.5</v>
      </c>
      <c r="I181" s="1121">
        <f t="shared" si="122"/>
        <v>4759569.1400000006</v>
      </c>
      <c r="J181" s="2067">
        <f>'Diciembre - 2019  '!$H$22</f>
        <v>0.14799999999999999</v>
      </c>
      <c r="K181" s="2069">
        <f>'Diciembre - 2019  '!$I$22</f>
        <v>1.4200000000000001E-2</v>
      </c>
      <c r="L181" s="1104">
        <f t="shared" si="123"/>
        <v>31</v>
      </c>
      <c r="M181" s="1153">
        <v>31482743</v>
      </c>
      <c r="N181" s="1107">
        <f t="shared" si="124"/>
        <v>1015572.3548387097</v>
      </c>
      <c r="O181" s="1164">
        <f>'Diciembre - 2019  '!$I$22</f>
        <v>1.4200000000000001E-2</v>
      </c>
      <c r="P181" s="1118">
        <f t="shared" si="125"/>
        <v>5869182.201933383</v>
      </c>
      <c r="Q181" s="1118">
        <f>'Diciembre - 2019  '!$K$54</f>
        <v>6190010.4432046823</v>
      </c>
      <c r="R181" s="1117">
        <f>'Diciembre - 2019  '!$L$15</f>
        <v>0</v>
      </c>
      <c r="S181" s="1743">
        <f t="shared" si="126"/>
        <v>21.878546048392941</v>
      </c>
      <c r="T181" s="1753">
        <f>'Diciembre - 2019  '!$Z$89</f>
        <v>0</v>
      </c>
      <c r="U181" s="1107">
        <f>'Diciembre - 2019  '!$AA$89</f>
        <v>0</v>
      </c>
      <c r="V181" s="1107">
        <f t="shared" si="127"/>
        <v>0</v>
      </c>
      <c r="W181" s="1107" t="e">
        <f t="shared" si="128"/>
        <v>#VALUE!</v>
      </c>
      <c r="X181" s="1108">
        <f t="shared" si="129"/>
        <v>199677.7562324091</v>
      </c>
      <c r="Y181" s="1109">
        <f t="shared" si="130"/>
        <v>31482743</v>
      </c>
      <c r="Z181" s="1109">
        <f t="shared" si="131"/>
        <v>6190010.4432046823</v>
      </c>
      <c r="AA181" s="1110">
        <f t="shared" si="132"/>
        <v>25292732.556795318</v>
      </c>
      <c r="AB181" s="1119">
        <f t="shared" si="133"/>
        <v>0.19661598238770625</v>
      </c>
      <c r="AC181" s="1754">
        <f t="shared" si="134"/>
        <v>0.80338401761229372</v>
      </c>
    </row>
    <row r="182" spans="2:29" hidden="1" x14ac:dyDescent="0.25">
      <c r="B182" s="1113">
        <f t="shared" si="120"/>
        <v>2027</v>
      </c>
      <c r="C182" s="1114">
        <v>46600</v>
      </c>
      <c r="D182" s="1744">
        <f>'Diciembre - 2019  '!$N$34+'Diciembre - 2019  '!$N$43</f>
        <v>104018642.60000001</v>
      </c>
      <c r="E182" s="1121">
        <f>'Diciembre - 2019  '!$N$54</f>
        <v>113809.99999999999</v>
      </c>
      <c r="F182" s="1745">
        <f t="shared" si="121"/>
        <v>104132452.60000001</v>
      </c>
      <c r="G182" s="1121">
        <f>'Diciembre - 2019  '!$M$33</f>
        <v>4753878.6400000006</v>
      </c>
      <c r="H182" s="1121">
        <f>'Diciembre - 2019  '!$M$54</f>
        <v>5690.5</v>
      </c>
      <c r="I182" s="1121">
        <f t="shared" si="122"/>
        <v>4759569.1400000006</v>
      </c>
      <c r="J182" s="2067">
        <f>'Diciembre - 2019  '!$H$22</f>
        <v>0.14799999999999999</v>
      </c>
      <c r="K182" s="2069">
        <f>'Diciembre - 2019  '!$I$22</f>
        <v>1.4200000000000001E-2</v>
      </c>
      <c r="L182" s="1104">
        <f t="shared" si="123"/>
        <v>31</v>
      </c>
      <c r="M182" s="1153">
        <v>31482744</v>
      </c>
      <c r="N182" s="1107">
        <f t="shared" si="124"/>
        <v>1015572.3870967742</v>
      </c>
      <c r="O182" s="1164">
        <f>'Diciembre - 2019  '!$I$22</f>
        <v>1.4200000000000001E-2</v>
      </c>
      <c r="P182" s="1118">
        <f t="shared" si="125"/>
        <v>5869182.201933383</v>
      </c>
      <c r="Q182" s="1118">
        <f>'Diciembre - 2019  '!$K$54</f>
        <v>6190010.4432046823</v>
      </c>
      <c r="R182" s="1117">
        <f>'Diciembre - 2019  '!$L$15</f>
        <v>0</v>
      </c>
      <c r="S182" s="1743">
        <f t="shared" si="126"/>
        <v>21.878546048392941</v>
      </c>
      <c r="T182" s="1753">
        <f>'Diciembre - 2019  '!$Z$89</f>
        <v>0</v>
      </c>
      <c r="U182" s="1107">
        <f>'Diciembre - 2019  '!$AA$89</f>
        <v>0</v>
      </c>
      <c r="V182" s="1107">
        <f t="shared" si="127"/>
        <v>0</v>
      </c>
      <c r="W182" s="1107" t="e">
        <f t="shared" si="128"/>
        <v>#VALUE!</v>
      </c>
      <c r="X182" s="1108">
        <f t="shared" si="129"/>
        <v>199677.7562324091</v>
      </c>
      <c r="Y182" s="1109">
        <f t="shared" si="130"/>
        <v>31482744</v>
      </c>
      <c r="Z182" s="1109">
        <f t="shared" si="131"/>
        <v>6190010.4432046823</v>
      </c>
      <c r="AA182" s="1110">
        <f t="shared" si="132"/>
        <v>25292733.556795318</v>
      </c>
      <c r="AB182" s="1119">
        <f t="shared" si="133"/>
        <v>0.19661597614250786</v>
      </c>
      <c r="AC182" s="1754">
        <f t="shared" si="134"/>
        <v>0.80338402385749208</v>
      </c>
    </row>
    <row r="183" spans="2:29" hidden="1" x14ac:dyDescent="0.25">
      <c r="B183" s="1113">
        <f t="shared" si="120"/>
        <v>2027</v>
      </c>
      <c r="C183" s="1114">
        <v>46631</v>
      </c>
      <c r="D183" s="1744">
        <f>'Diciembre - 2019  '!$N$34+'Diciembre - 2019  '!$N$43</f>
        <v>104018642.60000001</v>
      </c>
      <c r="E183" s="1121">
        <f>'Diciembre - 2019  '!$N$54</f>
        <v>113809.99999999999</v>
      </c>
      <c r="F183" s="1745">
        <f t="shared" si="121"/>
        <v>104132452.60000001</v>
      </c>
      <c r="G183" s="1121">
        <f>'Diciembre - 2019  '!$M$33</f>
        <v>4753878.6400000006</v>
      </c>
      <c r="H183" s="1121">
        <f>'Diciembre - 2019  '!$M$54</f>
        <v>5690.5</v>
      </c>
      <c r="I183" s="1121">
        <f t="shared" si="122"/>
        <v>4759569.1400000006</v>
      </c>
      <c r="J183" s="2067">
        <f>'Diciembre - 2019  '!$H$22</f>
        <v>0.14799999999999999</v>
      </c>
      <c r="K183" s="2069">
        <f>'Diciembre - 2019  '!$I$22</f>
        <v>1.4200000000000001E-2</v>
      </c>
      <c r="L183" s="1104">
        <f t="shared" si="123"/>
        <v>30</v>
      </c>
      <c r="M183" s="1153">
        <v>31482745</v>
      </c>
      <c r="N183" s="1107">
        <f t="shared" si="124"/>
        <v>1049424.8333333333</v>
      </c>
      <c r="O183" s="1164">
        <f>'Diciembre - 2019  '!$I$22</f>
        <v>1.4200000000000001E-2</v>
      </c>
      <c r="P183" s="1118">
        <f t="shared" si="125"/>
        <v>5869182.201933383</v>
      </c>
      <c r="Q183" s="1118">
        <f>'Diciembre - 2019  '!$K$54</f>
        <v>6190010.4432046823</v>
      </c>
      <c r="R183" s="1117">
        <f>'Diciembre - 2019  '!$L$15</f>
        <v>0</v>
      </c>
      <c r="S183" s="1743">
        <f t="shared" si="126"/>
        <v>21.878546048392941</v>
      </c>
      <c r="T183" s="1753">
        <f>'Diciembre - 2019  '!$Z$89</f>
        <v>0</v>
      </c>
      <c r="U183" s="1107">
        <f>'Diciembre - 2019  '!$AA$89</f>
        <v>0</v>
      </c>
      <c r="V183" s="1107">
        <f t="shared" si="127"/>
        <v>0</v>
      </c>
      <c r="W183" s="1107" t="e">
        <f t="shared" si="128"/>
        <v>#VALUE!</v>
      </c>
      <c r="X183" s="1108">
        <f t="shared" si="129"/>
        <v>206333.68144015607</v>
      </c>
      <c r="Y183" s="1109">
        <f t="shared" si="130"/>
        <v>31482745</v>
      </c>
      <c r="Z183" s="1109">
        <f t="shared" si="131"/>
        <v>6190010.4432046823</v>
      </c>
      <c r="AA183" s="1110">
        <f t="shared" si="132"/>
        <v>25292734.556795318</v>
      </c>
      <c r="AB183" s="1119">
        <f t="shared" si="133"/>
        <v>0.19661596989730987</v>
      </c>
      <c r="AC183" s="1754">
        <f t="shared" si="134"/>
        <v>0.80338403010269011</v>
      </c>
    </row>
    <row r="184" spans="2:29" hidden="1" x14ac:dyDescent="0.25">
      <c r="B184" s="1113">
        <f t="shared" si="120"/>
        <v>2027</v>
      </c>
      <c r="C184" s="1114">
        <v>46661</v>
      </c>
      <c r="D184" s="1744">
        <f>'Diciembre - 2019  '!$N$34+'Diciembre - 2019  '!$N$43</f>
        <v>104018642.60000001</v>
      </c>
      <c r="E184" s="1121">
        <f>'Diciembre - 2019  '!$N$54</f>
        <v>113809.99999999999</v>
      </c>
      <c r="F184" s="1745">
        <f t="shared" si="121"/>
        <v>104132452.60000001</v>
      </c>
      <c r="G184" s="1121">
        <f>'Diciembre - 2019  '!$M$33</f>
        <v>4753878.6400000006</v>
      </c>
      <c r="H184" s="1121">
        <f>'Diciembre - 2019  '!$M$54</f>
        <v>5690.5</v>
      </c>
      <c r="I184" s="1121">
        <f t="shared" si="122"/>
        <v>4759569.1400000006</v>
      </c>
      <c r="J184" s="2067">
        <f>'Diciembre - 2019  '!$H$22</f>
        <v>0.14799999999999999</v>
      </c>
      <c r="K184" s="2069">
        <f>'Diciembre - 2019  '!$I$22</f>
        <v>1.4200000000000001E-2</v>
      </c>
      <c r="L184" s="1104">
        <f t="shared" si="123"/>
        <v>31</v>
      </c>
      <c r="M184" s="1153">
        <v>31482746</v>
      </c>
      <c r="N184" s="1107">
        <f t="shared" si="124"/>
        <v>1015572.4516129033</v>
      </c>
      <c r="O184" s="1164">
        <f>'Diciembre - 2019  '!$I$22</f>
        <v>1.4200000000000001E-2</v>
      </c>
      <c r="P184" s="1118">
        <f t="shared" si="125"/>
        <v>5869182.201933383</v>
      </c>
      <c r="Q184" s="1118">
        <f>'Diciembre - 2019  '!$K$54</f>
        <v>6190010.4432046823</v>
      </c>
      <c r="R184" s="1117">
        <f>'Diciembre - 2019  '!$L$15</f>
        <v>0</v>
      </c>
      <c r="S184" s="1743">
        <f t="shared" si="126"/>
        <v>21.878546048392941</v>
      </c>
      <c r="T184" s="1753">
        <f>'Diciembre - 2019  '!$Z$89</f>
        <v>0</v>
      </c>
      <c r="U184" s="1107">
        <f>'Diciembre - 2019  '!$AA$89</f>
        <v>0</v>
      </c>
      <c r="V184" s="1107">
        <f t="shared" si="127"/>
        <v>0</v>
      </c>
      <c r="W184" s="1107" t="e">
        <f t="shared" si="128"/>
        <v>#VALUE!</v>
      </c>
      <c r="X184" s="1108">
        <f t="shared" si="129"/>
        <v>199677.7562324091</v>
      </c>
      <c r="Y184" s="1109">
        <f t="shared" si="130"/>
        <v>31482746</v>
      </c>
      <c r="Z184" s="1109">
        <f t="shared" si="131"/>
        <v>6190010.4432046823</v>
      </c>
      <c r="AA184" s="1110">
        <f t="shared" si="132"/>
        <v>25292735.556795318</v>
      </c>
      <c r="AB184" s="1119">
        <f t="shared" si="133"/>
        <v>0.19661596365211226</v>
      </c>
      <c r="AC184" s="1754">
        <f t="shared" si="134"/>
        <v>0.80338403634788769</v>
      </c>
    </row>
    <row r="185" spans="2:29" hidden="1" x14ac:dyDescent="0.25">
      <c r="B185" s="1113">
        <f t="shared" si="120"/>
        <v>2027</v>
      </c>
      <c r="C185" s="1114">
        <v>46692</v>
      </c>
      <c r="D185" s="1744">
        <f>'Diciembre - 2019  '!$N$34+'Diciembre - 2019  '!$N$43</f>
        <v>104018642.60000001</v>
      </c>
      <c r="E185" s="1121">
        <f>'Diciembre - 2019  '!$N$54</f>
        <v>113809.99999999999</v>
      </c>
      <c r="F185" s="1745">
        <f t="shared" si="121"/>
        <v>104132452.60000001</v>
      </c>
      <c r="G185" s="1121">
        <f>'Diciembre - 2019  '!$M$33</f>
        <v>4753878.6400000006</v>
      </c>
      <c r="H185" s="1121">
        <f>'Diciembre - 2019  '!$M$54</f>
        <v>5690.5</v>
      </c>
      <c r="I185" s="1121">
        <f t="shared" si="122"/>
        <v>4759569.1400000006</v>
      </c>
      <c r="J185" s="2067">
        <f>'Diciembre - 2019  '!$H$22</f>
        <v>0.14799999999999999</v>
      </c>
      <c r="K185" s="2069">
        <f>'Diciembre - 2019  '!$I$22</f>
        <v>1.4200000000000001E-2</v>
      </c>
      <c r="L185" s="1104">
        <f t="shared" si="123"/>
        <v>30</v>
      </c>
      <c r="M185" s="1153">
        <v>31482747</v>
      </c>
      <c r="N185" s="1107">
        <f t="shared" si="124"/>
        <v>1049424.8999999999</v>
      </c>
      <c r="O185" s="1164">
        <f>'Diciembre - 2019  '!$I$22</f>
        <v>1.4200000000000001E-2</v>
      </c>
      <c r="P185" s="1118">
        <f t="shared" si="125"/>
        <v>5869182.201933383</v>
      </c>
      <c r="Q185" s="1118">
        <f>'Diciembre - 2019  '!$K$54</f>
        <v>6190010.4432046823</v>
      </c>
      <c r="R185" s="1117">
        <f>'Diciembre - 2019  '!$L$15</f>
        <v>0</v>
      </c>
      <c r="S185" s="1743">
        <f t="shared" si="126"/>
        <v>21.878546048392941</v>
      </c>
      <c r="T185" s="1753">
        <f>'Diciembre - 2019  '!$Z$89</f>
        <v>0</v>
      </c>
      <c r="U185" s="1107">
        <f>'Diciembre - 2019  '!$AA$89</f>
        <v>0</v>
      </c>
      <c r="V185" s="1107">
        <f t="shared" si="127"/>
        <v>0</v>
      </c>
      <c r="W185" s="1107" t="e">
        <f t="shared" si="128"/>
        <v>#VALUE!</v>
      </c>
      <c r="X185" s="1108">
        <f t="shared" si="129"/>
        <v>206333.68144015607</v>
      </c>
      <c r="Y185" s="1109">
        <f t="shared" si="130"/>
        <v>31482747</v>
      </c>
      <c r="Z185" s="1109">
        <f t="shared" si="131"/>
        <v>6190010.4432046823</v>
      </c>
      <c r="AA185" s="1110">
        <f t="shared" si="132"/>
        <v>25292736.556795318</v>
      </c>
      <c r="AB185" s="1119">
        <f t="shared" si="133"/>
        <v>0.19661595740691504</v>
      </c>
      <c r="AC185" s="1754">
        <f t="shared" si="134"/>
        <v>0.80338404259308493</v>
      </c>
    </row>
    <row r="186" spans="2:29" hidden="1" x14ac:dyDescent="0.25">
      <c r="B186" s="1113">
        <f t="shared" si="120"/>
        <v>2027</v>
      </c>
      <c r="C186" s="1114">
        <v>46722</v>
      </c>
      <c r="D186" s="1744">
        <f>'Diciembre - 2019  '!$N$34+'Diciembre - 2019  '!$N$43</f>
        <v>104018642.60000001</v>
      </c>
      <c r="E186" s="1121">
        <f>'Diciembre - 2019  '!$N$54</f>
        <v>113809.99999999999</v>
      </c>
      <c r="F186" s="1745">
        <f t="shared" si="121"/>
        <v>104132452.60000001</v>
      </c>
      <c r="G186" s="1121">
        <f>'Diciembre - 2019  '!$M$33</f>
        <v>4753878.6400000006</v>
      </c>
      <c r="H186" s="1121">
        <f>'Diciembre - 2019  '!$M$54</f>
        <v>5690.5</v>
      </c>
      <c r="I186" s="1121">
        <f t="shared" si="122"/>
        <v>4759569.1400000006</v>
      </c>
      <c r="J186" s="2067">
        <f>'Diciembre - 2019  '!$H$22</f>
        <v>0.14799999999999999</v>
      </c>
      <c r="K186" s="2069">
        <f>'Diciembre - 2019  '!$I$22</f>
        <v>1.4200000000000001E-2</v>
      </c>
      <c r="L186" s="1104">
        <f t="shared" si="123"/>
        <v>31</v>
      </c>
      <c r="M186" s="1153">
        <v>31482748</v>
      </c>
      <c r="N186" s="1107">
        <f t="shared" si="124"/>
        <v>1015572.5161290322</v>
      </c>
      <c r="O186" s="1164">
        <f>'Diciembre - 2019  '!$I$22</f>
        <v>1.4200000000000001E-2</v>
      </c>
      <c r="P186" s="1118">
        <f t="shared" si="125"/>
        <v>5869182.201933383</v>
      </c>
      <c r="Q186" s="1118">
        <f>'Diciembre - 2019  '!$K$54</f>
        <v>6190010.4432046823</v>
      </c>
      <c r="R186" s="1117">
        <f>'Diciembre - 2019  '!$L$15</f>
        <v>0</v>
      </c>
      <c r="S186" s="1743">
        <f t="shared" si="126"/>
        <v>21.878546048392941</v>
      </c>
      <c r="T186" s="1753">
        <f>'Diciembre - 2019  '!$Z$89</f>
        <v>0</v>
      </c>
      <c r="U186" s="1107">
        <f>'Diciembre - 2019  '!$AA$89</f>
        <v>0</v>
      </c>
      <c r="V186" s="1107">
        <f t="shared" si="127"/>
        <v>0</v>
      </c>
      <c r="W186" s="1107" t="e">
        <f t="shared" si="128"/>
        <v>#VALUE!</v>
      </c>
      <c r="X186" s="1108">
        <f t="shared" si="129"/>
        <v>199677.7562324091</v>
      </c>
      <c r="Y186" s="1109">
        <f t="shared" si="130"/>
        <v>31482748</v>
      </c>
      <c r="Z186" s="1109">
        <f t="shared" si="131"/>
        <v>6190010.4432046823</v>
      </c>
      <c r="AA186" s="1110">
        <f t="shared" si="132"/>
        <v>25292737.556795318</v>
      </c>
      <c r="AB186" s="1119">
        <f t="shared" si="133"/>
        <v>0.19661595116171823</v>
      </c>
      <c r="AC186" s="1754">
        <f t="shared" si="134"/>
        <v>0.80338404883828174</v>
      </c>
    </row>
    <row r="187" spans="2:29" hidden="1" x14ac:dyDescent="0.25">
      <c r="B187" s="1113">
        <f t="shared" si="120"/>
        <v>2028</v>
      </c>
      <c r="C187" s="1114">
        <v>46753</v>
      </c>
      <c r="D187" s="1744">
        <f>'Diciembre - 2019  '!$N$34+'Diciembre - 2019  '!$N$43</f>
        <v>104018642.60000001</v>
      </c>
      <c r="E187" s="1121">
        <f>'Diciembre - 2019  '!$N$54</f>
        <v>113809.99999999999</v>
      </c>
      <c r="F187" s="1745">
        <f t="shared" si="121"/>
        <v>104132452.60000001</v>
      </c>
      <c r="G187" s="1121">
        <f>'Diciembre - 2019  '!$M$33</f>
        <v>4753878.6400000006</v>
      </c>
      <c r="H187" s="1121">
        <f>'Diciembre - 2019  '!$M$54</f>
        <v>5690.5</v>
      </c>
      <c r="I187" s="1121">
        <f t="shared" si="122"/>
        <v>4759569.1400000006</v>
      </c>
      <c r="J187" s="2067">
        <f>'Diciembre - 2019  '!$H$22</f>
        <v>0.14799999999999999</v>
      </c>
      <c r="K187" s="2069">
        <f>'Diciembre - 2019  '!$I$22</f>
        <v>1.4200000000000001E-2</v>
      </c>
      <c r="L187" s="1104">
        <f t="shared" si="123"/>
        <v>31</v>
      </c>
      <c r="M187" s="1153">
        <v>31482749</v>
      </c>
      <c r="N187" s="1107">
        <f t="shared" si="124"/>
        <v>1015572.5483870967</v>
      </c>
      <c r="O187" s="1164">
        <f>'Diciembre - 2019  '!$I$22</f>
        <v>1.4200000000000001E-2</v>
      </c>
      <c r="P187" s="1118">
        <f t="shared" si="125"/>
        <v>5869182.201933383</v>
      </c>
      <c r="Q187" s="1118">
        <f>'Diciembre - 2019  '!$K$54</f>
        <v>6190010.4432046823</v>
      </c>
      <c r="R187" s="1117">
        <f>'Diciembre - 2019  '!$L$15</f>
        <v>0</v>
      </c>
      <c r="S187" s="1743">
        <f t="shared" si="126"/>
        <v>21.878546048392941</v>
      </c>
      <c r="T187" s="1753">
        <f>'Diciembre - 2019  '!$Z$89</f>
        <v>0</v>
      </c>
      <c r="U187" s="1107">
        <f>'Diciembre - 2019  '!$AA$89</f>
        <v>0</v>
      </c>
      <c r="V187" s="1107">
        <f t="shared" si="127"/>
        <v>0</v>
      </c>
      <c r="W187" s="1107" t="e">
        <f t="shared" si="128"/>
        <v>#VALUE!</v>
      </c>
      <c r="X187" s="1108">
        <f t="shared" si="129"/>
        <v>199677.7562324091</v>
      </c>
      <c r="Y187" s="1109">
        <f t="shared" si="130"/>
        <v>31482749</v>
      </c>
      <c r="Z187" s="1109">
        <f t="shared" si="131"/>
        <v>6190010.4432046823</v>
      </c>
      <c r="AA187" s="1110">
        <f t="shared" si="132"/>
        <v>25292738.556795318</v>
      </c>
      <c r="AB187" s="1119">
        <f t="shared" si="133"/>
        <v>0.19661594491652182</v>
      </c>
      <c r="AC187" s="1754">
        <f t="shared" si="134"/>
        <v>0.80338405508347821</v>
      </c>
    </row>
    <row r="188" spans="2:29" hidden="1" x14ac:dyDescent="0.25">
      <c r="B188" s="1113">
        <f t="shared" si="120"/>
        <v>2028</v>
      </c>
      <c r="C188" s="1114">
        <v>46784</v>
      </c>
      <c r="D188" s="1744">
        <f>'Diciembre - 2019  '!$N$34+'Diciembre - 2019  '!$N$43</f>
        <v>104018642.60000001</v>
      </c>
      <c r="E188" s="1121">
        <f>'Diciembre - 2019  '!$N$54</f>
        <v>113809.99999999999</v>
      </c>
      <c r="F188" s="1745">
        <f t="shared" si="121"/>
        <v>104132452.60000001</v>
      </c>
      <c r="G188" s="1121">
        <f>'Diciembre - 2019  '!$M$33</f>
        <v>4753878.6400000006</v>
      </c>
      <c r="H188" s="1121">
        <f>'Diciembre - 2019  '!$M$54</f>
        <v>5690.5</v>
      </c>
      <c r="I188" s="1121">
        <f t="shared" si="122"/>
        <v>4759569.1400000006</v>
      </c>
      <c r="J188" s="2067">
        <f>'Diciembre - 2019  '!$H$22</f>
        <v>0.14799999999999999</v>
      </c>
      <c r="K188" s="2069">
        <f>'Diciembre - 2019  '!$I$22</f>
        <v>1.4200000000000001E-2</v>
      </c>
      <c r="L188" s="1104">
        <f t="shared" si="123"/>
        <v>29</v>
      </c>
      <c r="M188" s="1153">
        <v>31482750</v>
      </c>
      <c r="N188" s="1107">
        <f t="shared" si="124"/>
        <v>1085612.0689655172</v>
      </c>
      <c r="O188" s="1164">
        <f>'Diciembre - 2019  '!$I$22</f>
        <v>1.4200000000000001E-2</v>
      </c>
      <c r="P188" s="1118">
        <f t="shared" si="125"/>
        <v>5869182.201933383</v>
      </c>
      <c r="Q188" s="1118">
        <f>'Diciembre - 2019  '!$K$54</f>
        <v>6190010.4432046823</v>
      </c>
      <c r="R188" s="1117">
        <f>'Diciembre - 2019  '!$L$15</f>
        <v>0</v>
      </c>
      <c r="S188" s="1743">
        <f t="shared" si="126"/>
        <v>21.878546048392941</v>
      </c>
      <c r="T188" s="1753">
        <f>'Diciembre - 2019  '!$Z$89</f>
        <v>0</v>
      </c>
      <c r="U188" s="1107">
        <f>'Diciembre - 2019  '!$AA$89</f>
        <v>0</v>
      </c>
      <c r="V188" s="1107">
        <f t="shared" si="127"/>
        <v>0</v>
      </c>
      <c r="W188" s="1107" t="e">
        <f t="shared" si="128"/>
        <v>#VALUE!</v>
      </c>
      <c r="X188" s="1108">
        <f t="shared" si="129"/>
        <v>213448.63597257526</v>
      </c>
      <c r="Y188" s="1109">
        <f t="shared" si="130"/>
        <v>31482750</v>
      </c>
      <c r="Z188" s="1109">
        <f t="shared" si="131"/>
        <v>6190010.4432046823</v>
      </c>
      <c r="AA188" s="1110">
        <f t="shared" si="132"/>
        <v>25292739.556795318</v>
      </c>
      <c r="AB188" s="1119">
        <f t="shared" si="133"/>
        <v>0.19661593867132579</v>
      </c>
      <c r="AC188" s="1754">
        <f t="shared" si="134"/>
        <v>0.80338406132867424</v>
      </c>
    </row>
    <row r="189" spans="2:29" hidden="1" x14ac:dyDescent="0.25">
      <c r="B189" s="1113">
        <f t="shared" si="120"/>
        <v>2028</v>
      </c>
      <c r="C189" s="1114">
        <v>46813</v>
      </c>
      <c r="D189" s="1744">
        <f>'Diciembre - 2019  '!$N$34+'Diciembre - 2019  '!$N$43</f>
        <v>104018642.60000001</v>
      </c>
      <c r="E189" s="1121">
        <f>'Diciembre - 2019  '!$N$54</f>
        <v>113809.99999999999</v>
      </c>
      <c r="F189" s="1745">
        <f t="shared" si="121"/>
        <v>104132452.60000001</v>
      </c>
      <c r="G189" s="1121">
        <f>'Diciembre - 2019  '!$M$33</f>
        <v>4753878.6400000006</v>
      </c>
      <c r="H189" s="1121">
        <f>'Diciembre - 2019  '!$M$54</f>
        <v>5690.5</v>
      </c>
      <c r="I189" s="1121">
        <f t="shared" si="122"/>
        <v>4759569.1400000006</v>
      </c>
      <c r="J189" s="2067">
        <f>'Diciembre - 2019  '!$H$22</f>
        <v>0.14799999999999999</v>
      </c>
      <c r="K189" s="2069">
        <f>'Diciembre - 2019  '!$I$22</f>
        <v>1.4200000000000001E-2</v>
      </c>
      <c r="L189" s="1104">
        <f t="shared" si="123"/>
        <v>31</v>
      </c>
      <c r="M189" s="1153">
        <v>31482751</v>
      </c>
      <c r="N189" s="1107">
        <f t="shared" si="124"/>
        <v>1015572.6129032258</v>
      </c>
      <c r="O189" s="1164">
        <f>'Diciembre - 2019  '!$I$22</f>
        <v>1.4200000000000001E-2</v>
      </c>
      <c r="P189" s="1118">
        <f t="shared" si="125"/>
        <v>5869182.201933383</v>
      </c>
      <c r="Q189" s="1118">
        <f>'Diciembre - 2019  '!$K$54</f>
        <v>6190010.4432046823</v>
      </c>
      <c r="R189" s="1117">
        <f>'Diciembre - 2019  '!$L$15</f>
        <v>0</v>
      </c>
      <c r="S189" s="1743">
        <f t="shared" si="126"/>
        <v>21.878546048392941</v>
      </c>
      <c r="T189" s="1753">
        <f>'Diciembre - 2019  '!$Z$89</f>
        <v>0</v>
      </c>
      <c r="U189" s="1107">
        <f>'Diciembre - 2019  '!$AA$89</f>
        <v>0</v>
      </c>
      <c r="V189" s="1107">
        <f t="shared" si="127"/>
        <v>0</v>
      </c>
      <c r="W189" s="1107" t="e">
        <f t="shared" si="128"/>
        <v>#VALUE!</v>
      </c>
      <c r="X189" s="1108">
        <f t="shared" si="129"/>
        <v>199677.7562324091</v>
      </c>
      <c r="Y189" s="1109">
        <f t="shared" si="130"/>
        <v>31482751</v>
      </c>
      <c r="Z189" s="1109">
        <f t="shared" si="131"/>
        <v>6190010.4432046823</v>
      </c>
      <c r="AA189" s="1110">
        <f t="shared" si="132"/>
        <v>25292740.556795318</v>
      </c>
      <c r="AB189" s="1119">
        <f t="shared" si="133"/>
        <v>0.19661593242613018</v>
      </c>
      <c r="AC189" s="1754">
        <f t="shared" si="134"/>
        <v>0.80338406757386982</v>
      </c>
    </row>
    <row r="190" spans="2:29" hidden="1" x14ac:dyDescent="0.25">
      <c r="B190" s="1113">
        <f t="shared" si="120"/>
        <v>2028</v>
      </c>
      <c r="C190" s="1114">
        <v>46844</v>
      </c>
      <c r="D190" s="1744">
        <f>'Diciembre - 2019  '!$N$34+'Diciembre - 2019  '!$N$43</f>
        <v>104018642.60000001</v>
      </c>
      <c r="E190" s="1121">
        <f>'Diciembre - 2019  '!$N$54</f>
        <v>113809.99999999999</v>
      </c>
      <c r="F190" s="1745">
        <f t="shared" si="121"/>
        <v>104132452.60000001</v>
      </c>
      <c r="G190" s="1121">
        <f>'Diciembre - 2019  '!$M$33</f>
        <v>4753878.6400000006</v>
      </c>
      <c r="H190" s="1121">
        <f>'Diciembre - 2019  '!$M$54</f>
        <v>5690.5</v>
      </c>
      <c r="I190" s="1121">
        <f t="shared" si="122"/>
        <v>4759569.1400000006</v>
      </c>
      <c r="J190" s="2067">
        <f>'Diciembre - 2019  '!$H$22</f>
        <v>0.14799999999999999</v>
      </c>
      <c r="K190" s="2069">
        <f>'Diciembre - 2019  '!$I$22</f>
        <v>1.4200000000000001E-2</v>
      </c>
      <c r="L190" s="1104">
        <f t="shared" si="123"/>
        <v>30</v>
      </c>
      <c r="M190" s="1153">
        <v>31482752</v>
      </c>
      <c r="N190" s="1107">
        <f t="shared" si="124"/>
        <v>1049425.0666666667</v>
      </c>
      <c r="O190" s="1164">
        <f>'Diciembre - 2019  '!$I$22</f>
        <v>1.4200000000000001E-2</v>
      </c>
      <c r="P190" s="1118">
        <f t="shared" si="125"/>
        <v>5869182.201933383</v>
      </c>
      <c r="Q190" s="1118">
        <f>'Diciembre - 2019  '!$K$54</f>
        <v>6190010.4432046823</v>
      </c>
      <c r="R190" s="1117">
        <f>'Diciembre - 2019  '!$L$15</f>
        <v>0</v>
      </c>
      <c r="S190" s="1743">
        <f t="shared" si="126"/>
        <v>21.878546048392941</v>
      </c>
      <c r="T190" s="1753">
        <f>'Diciembre - 2019  '!$Z$89</f>
        <v>0</v>
      </c>
      <c r="U190" s="1107">
        <f>'Diciembre - 2019  '!$AA$89</f>
        <v>0</v>
      </c>
      <c r="V190" s="1107">
        <f t="shared" si="127"/>
        <v>0</v>
      </c>
      <c r="W190" s="1107" t="e">
        <f t="shared" si="128"/>
        <v>#VALUE!</v>
      </c>
      <c r="X190" s="1108">
        <f t="shared" si="129"/>
        <v>206333.68144015607</v>
      </c>
      <c r="Y190" s="1109">
        <f t="shared" si="130"/>
        <v>31482752</v>
      </c>
      <c r="Z190" s="1109">
        <f t="shared" si="131"/>
        <v>6190010.4432046823</v>
      </c>
      <c r="AA190" s="1110">
        <f t="shared" si="132"/>
        <v>25292741.556795318</v>
      </c>
      <c r="AB190" s="1119">
        <f t="shared" si="133"/>
        <v>0.19661592618093496</v>
      </c>
      <c r="AC190" s="1754">
        <f t="shared" si="134"/>
        <v>0.80338407381906507</v>
      </c>
    </row>
    <row r="191" spans="2:29" hidden="1" x14ac:dyDescent="0.25">
      <c r="B191" s="1113">
        <f t="shared" si="120"/>
        <v>2028</v>
      </c>
      <c r="C191" s="1114">
        <v>46874</v>
      </c>
      <c r="D191" s="1744">
        <f>'Diciembre - 2019  '!$N$34+'Diciembre - 2019  '!$N$43</f>
        <v>104018642.60000001</v>
      </c>
      <c r="E191" s="1121">
        <f>'Diciembre - 2019  '!$N$54</f>
        <v>113809.99999999999</v>
      </c>
      <c r="F191" s="1745">
        <f t="shared" si="121"/>
        <v>104132452.60000001</v>
      </c>
      <c r="G191" s="1121">
        <f>'Diciembre - 2019  '!$M$33</f>
        <v>4753878.6400000006</v>
      </c>
      <c r="H191" s="1121">
        <f>'Diciembre - 2019  '!$M$54</f>
        <v>5690.5</v>
      </c>
      <c r="I191" s="1121">
        <f t="shared" si="122"/>
        <v>4759569.1400000006</v>
      </c>
      <c r="J191" s="2067">
        <f>'Diciembre - 2019  '!$H$22</f>
        <v>0.14799999999999999</v>
      </c>
      <c r="K191" s="2069">
        <f>'Diciembre - 2019  '!$I$22</f>
        <v>1.4200000000000001E-2</v>
      </c>
      <c r="L191" s="1104">
        <f t="shared" si="123"/>
        <v>31</v>
      </c>
      <c r="M191" s="1153">
        <v>31482753</v>
      </c>
      <c r="N191" s="1107">
        <f t="shared" si="124"/>
        <v>1015572.6774193548</v>
      </c>
      <c r="O191" s="1164">
        <f>'Diciembre - 2019  '!$I$22</f>
        <v>1.4200000000000001E-2</v>
      </c>
      <c r="P191" s="1118">
        <f t="shared" si="125"/>
        <v>5869182.201933383</v>
      </c>
      <c r="Q191" s="1118">
        <f>'Diciembre - 2019  '!$K$54</f>
        <v>6190010.4432046823</v>
      </c>
      <c r="R191" s="1117">
        <f>'Diciembre - 2019  '!$L$15</f>
        <v>0</v>
      </c>
      <c r="S191" s="1743">
        <f t="shared" si="126"/>
        <v>21.878546048392941</v>
      </c>
      <c r="T191" s="1753">
        <f>'Diciembre - 2019  '!$Z$89</f>
        <v>0</v>
      </c>
      <c r="U191" s="1107">
        <f>'Diciembre - 2019  '!$AA$89</f>
        <v>0</v>
      </c>
      <c r="V191" s="1107">
        <f t="shared" si="127"/>
        <v>0</v>
      </c>
      <c r="W191" s="1107" t="e">
        <f t="shared" si="128"/>
        <v>#VALUE!</v>
      </c>
      <c r="X191" s="1108">
        <f t="shared" si="129"/>
        <v>199677.7562324091</v>
      </c>
      <c r="Y191" s="1109">
        <f t="shared" si="130"/>
        <v>31482753</v>
      </c>
      <c r="Z191" s="1109">
        <f t="shared" si="131"/>
        <v>6190010.4432046823</v>
      </c>
      <c r="AA191" s="1110">
        <f t="shared" si="132"/>
        <v>25292742.556795318</v>
      </c>
      <c r="AB191" s="1119">
        <f t="shared" si="133"/>
        <v>0.19661591993574012</v>
      </c>
      <c r="AC191" s="1754">
        <f t="shared" si="134"/>
        <v>0.80338408006425988</v>
      </c>
    </row>
    <row r="192" spans="2:29" hidden="1" x14ac:dyDescent="0.25">
      <c r="B192" s="1113">
        <f t="shared" si="120"/>
        <v>2028</v>
      </c>
      <c r="C192" s="1114">
        <v>46905</v>
      </c>
      <c r="D192" s="1744">
        <f>'Diciembre - 2019  '!$N$34+'Diciembre - 2019  '!$N$43</f>
        <v>104018642.60000001</v>
      </c>
      <c r="E192" s="1121">
        <f>'Diciembre - 2019  '!$N$54</f>
        <v>113809.99999999999</v>
      </c>
      <c r="F192" s="1745">
        <f t="shared" si="121"/>
        <v>104132452.60000001</v>
      </c>
      <c r="G192" s="1121">
        <f>'Diciembre - 2019  '!$M$33</f>
        <v>4753878.6400000006</v>
      </c>
      <c r="H192" s="1121">
        <f>'Diciembre - 2019  '!$M$54</f>
        <v>5690.5</v>
      </c>
      <c r="I192" s="1121">
        <f t="shared" si="122"/>
        <v>4759569.1400000006</v>
      </c>
      <c r="J192" s="2067">
        <f>'Diciembre - 2019  '!$H$22</f>
        <v>0.14799999999999999</v>
      </c>
      <c r="K192" s="2069">
        <f>'Diciembre - 2019  '!$I$22</f>
        <v>1.4200000000000001E-2</v>
      </c>
      <c r="L192" s="1104">
        <f t="shared" si="123"/>
        <v>30</v>
      </c>
      <c r="M192" s="1153">
        <v>31482754</v>
      </c>
      <c r="N192" s="1107">
        <f t="shared" si="124"/>
        <v>1049425.1333333333</v>
      </c>
      <c r="O192" s="1164">
        <f>'Diciembre - 2019  '!$I$22</f>
        <v>1.4200000000000001E-2</v>
      </c>
      <c r="P192" s="1118">
        <f t="shared" si="125"/>
        <v>5869182.201933383</v>
      </c>
      <c r="Q192" s="1118">
        <f>'Diciembre - 2019  '!$K$54</f>
        <v>6190010.4432046823</v>
      </c>
      <c r="R192" s="1117">
        <f>'Diciembre - 2019  '!$L$15</f>
        <v>0</v>
      </c>
      <c r="S192" s="1743">
        <f t="shared" si="126"/>
        <v>21.878546048392941</v>
      </c>
      <c r="T192" s="1753">
        <f>'Diciembre - 2019  '!$Z$89</f>
        <v>0</v>
      </c>
      <c r="U192" s="1107">
        <f>'Diciembre - 2019  '!$AA$89</f>
        <v>0</v>
      </c>
      <c r="V192" s="1107">
        <f t="shared" si="127"/>
        <v>0</v>
      </c>
      <c r="W192" s="1107" t="e">
        <f t="shared" si="128"/>
        <v>#VALUE!</v>
      </c>
      <c r="X192" s="1108">
        <f t="shared" si="129"/>
        <v>206333.68144015607</v>
      </c>
      <c r="Y192" s="1109">
        <f t="shared" si="130"/>
        <v>31482754</v>
      </c>
      <c r="Z192" s="1109">
        <f t="shared" si="131"/>
        <v>6190010.4432046823</v>
      </c>
      <c r="AA192" s="1110">
        <f t="shared" si="132"/>
        <v>25292743.556795318</v>
      </c>
      <c r="AB192" s="1119">
        <f t="shared" si="133"/>
        <v>0.19661591369054571</v>
      </c>
      <c r="AC192" s="1754">
        <f t="shared" si="134"/>
        <v>0.80338408630945435</v>
      </c>
    </row>
    <row r="193" spans="2:29" hidden="1" x14ac:dyDescent="0.25">
      <c r="B193" s="1113">
        <f t="shared" si="120"/>
        <v>2028</v>
      </c>
      <c r="C193" s="1114">
        <v>46935</v>
      </c>
      <c r="D193" s="1744">
        <f>'Diciembre - 2019  '!$N$34+'Diciembre - 2019  '!$N$43</f>
        <v>104018642.60000001</v>
      </c>
      <c r="E193" s="1121">
        <f>'Diciembre - 2019  '!$N$54</f>
        <v>113809.99999999999</v>
      </c>
      <c r="F193" s="1745">
        <f t="shared" si="121"/>
        <v>104132452.60000001</v>
      </c>
      <c r="G193" s="1121">
        <f>'Diciembre - 2019  '!$M$33</f>
        <v>4753878.6400000006</v>
      </c>
      <c r="H193" s="1121">
        <f>'Diciembre - 2019  '!$M$54</f>
        <v>5690.5</v>
      </c>
      <c r="I193" s="1121">
        <f t="shared" si="122"/>
        <v>4759569.1400000006</v>
      </c>
      <c r="J193" s="2067">
        <f>'Diciembre - 2019  '!$H$22</f>
        <v>0.14799999999999999</v>
      </c>
      <c r="K193" s="2069">
        <f>'Diciembre - 2019  '!$I$22</f>
        <v>1.4200000000000001E-2</v>
      </c>
      <c r="L193" s="1104">
        <f t="shared" si="123"/>
        <v>31</v>
      </c>
      <c r="M193" s="1153">
        <v>31482755</v>
      </c>
      <c r="N193" s="1107">
        <f t="shared" si="124"/>
        <v>1015572.7419354839</v>
      </c>
      <c r="O193" s="1164">
        <f>'Diciembre - 2019  '!$I$22</f>
        <v>1.4200000000000001E-2</v>
      </c>
      <c r="P193" s="1118">
        <f t="shared" si="125"/>
        <v>5869182.201933383</v>
      </c>
      <c r="Q193" s="1118">
        <f>'Diciembre - 2019  '!$K$54</f>
        <v>6190010.4432046823</v>
      </c>
      <c r="R193" s="1117">
        <f>'Diciembre - 2019  '!$L$15</f>
        <v>0</v>
      </c>
      <c r="S193" s="1743">
        <f t="shared" si="126"/>
        <v>21.878546048392941</v>
      </c>
      <c r="T193" s="1753">
        <f>'Diciembre - 2019  '!$Z$89</f>
        <v>0</v>
      </c>
      <c r="U193" s="1107">
        <f>'Diciembre - 2019  '!$AA$89</f>
        <v>0</v>
      </c>
      <c r="V193" s="1107">
        <f t="shared" si="127"/>
        <v>0</v>
      </c>
      <c r="W193" s="1107" t="e">
        <f t="shared" si="128"/>
        <v>#VALUE!</v>
      </c>
      <c r="X193" s="1108">
        <f t="shared" si="129"/>
        <v>199677.7562324091</v>
      </c>
      <c r="Y193" s="1109">
        <f t="shared" si="130"/>
        <v>31482755</v>
      </c>
      <c r="Z193" s="1109">
        <f t="shared" si="131"/>
        <v>6190010.4432046823</v>
      </c>
      <c r="AA193" s="1110">
        <f t="shared" si="132"/>
        <v>25292744.556795318</v>
      </c>
      <c r="AB193" s="1119">
        <f t="shared" si="133"/>
        <v>0.19661590744535165</v>
      </c>
      <c r="AC193" s="1754">
        <f t="shared" si="134"/>
        <v>0.80338409255464838</v>
      </c>
    </row>
    <row r="194" spans="2:29" hidden="1" x14ac:dyDescent="0.25">
      <c r="B194" s="1113">
        <f t="shared" si="120"/>
        <v>2028</v>
      </c>
      <c r="C194" s="1114">
        <v>46966</v>
      </c>
      <c r="D194" s="1744">
        <f>'Diciembre - 2019  '!$N$34+'Diciembre - 2019  '!$N$43</f>
        <v>104018642.60000001</v>
      </c>
      <c r="E194" s="1121">
        <f>'Diciembre - 2019  '!$N$54</f>
        <v>113809.99999999999</v>
      </c>
      <c r="F194" s="1745">
        <f t="shared" si="121"/>
        <v>104132452.60000001</v>
      </c>
      <c r="G194" s="1121">
        <f>'Diciembre - 2019  '!$M$33</f>
        <v>4753878.6400000006</v>
      </c>
      <c r="H194" s="1121">
        <f>'Diciembre - 2019  '!$M$54</f>
        <v>5690.5</v>
      </c>
      <c r="I194" s="1121">
        <f t="shared" si="122"/>
        <v>4759569.1400000006</v>
      </c>
      <c r="J194" s="2067">
        <f>'Diciembre - 2019  '!$H$22</f>
        <v>0.14799999999999999</v>
      </c>
      <c r="K194" s="2069">
        <f>'Diciembre - 2019  '!$I$22</f>
        <v>1.4200000000000001E-2</v>
      </c>
      <c r="L194" s="1104">
        <f t="shared" si="123"/>
        <v>31</v>
      </c>
      <c r="M194" s="1153">
        <v>31482756</v>
      </c>
      <c r="N194" s="1107">
        <f t="shared" si="124"/>
        <v>1015572.7741935484</v>
      </c>
      <c r="O194" s="1164">
        <f>'Diciembre - 2019  '!$I$22</f>
        <v>1.4200000000000001E-2</v>
      </c>
      <c r="P194" s="1118">
        <f t="shared" si="125"/>
        <v>5869182.201933383</v>
      </c>
      <c r="Q194" s="1118">
        <f>'Diciembre - 2019  '!$K$54</f>
        <v>6190010.4432046823</v>
      </c>
      <c r="R194" s="1117">
        <f>'Diciembre - 2019  '!$L$15</f>
        <v>0</v>
      </c>
      <c r="S194" s="1743">
        <f t="shared" si="126"/>
        <v>21.878546048392941</v>
      </c>
      <c r="T194" s="1753">
        <f>'Diciembre - 2019  '!$Z$89</f>
        <v>0</v>
      </c>
      <c r="U194" s="1107">
        <f>'Diciembre - 2019  '!$AA$89</f>
        <v>0</v>
      </c>
      <c r="V194" s="1107">
        <f t="shared" si="127"/>
        <v>0</v>
      </c>
      <c r="W194" s="1107" t="e">
        <f t="shared" si="128"/>
        <v>#VALUE!</v>
      </c>
      <c r="X194" s="1108">
        <f t="shared" si="129"/>
        <v>199677.7562324091</v>
      </c>
      <c r="Y194" s="1109">
        <f t="shared" si="130"/>
        <v>31482756</v>
      </c>
      <c r="Z194" s="1109">
        <f t="shared" si="131"/>
        <v>6190010.4432046823</v>
      </c>
      <c r="AA194" s="1110">
        <f t="shared" si="132"/>
        <v>25292745.556795318</v>
      </c>
      <c r="AB194" s="1119">
        <f t="shared" si="133"/>
        <v>0.19661590120015804</v>
      </c>
      <c r="AC194" s="1754">
        <f t="shared" si="134"/>
        <v>0.80338409879984196</v>
      </c>
    </row>
    <row r="195" spans="2:29" hidden="1" x14ac:dyDescent="0.25">
      <c r="B195" s="1113">
        <f t="shared" si="120"/>
        <v>2028</v>
      </c>
      <c r="C195" s="1114">
        <v>46997</v>
      </c>
      <c r="D195" s="1744">
        <f>'Diciembre - 2019  '!$N$34+'Diciembre - 2019  '!$N$43</f>
        <v>104018642.60000001</v>
      </c>
      <c r="E195" s="1121">
        <f>'Diciembre - 2019  '!$N$54</f>
        <v>113809.99999999999</v>
      </c>
      <c r="F195" s="1745">
        <f t="shared" si="121"/>
        <v>104132452.60000001</v>
      </c>
      <c r="G195" s="1121">
        <f>'Diciembre - 2019  '!$M$33</f>
        <v>4753878.6400000006</v>
      </c>
      <c r="H195" s="1121">
        <f>'Diciembre - 2019  '!$M$54</f>
        <v>5690.5</v>
      </c>
      <c r="I195" s="1121">
        <f t="shared" si="122"/>
        <v>4759569.1400000006</v>
      </c>
      <c r="J195" s="2067">
        <f>'Diciembre - 2019  '!$H$22</f>
        <v>0.14799999999999999</v>
      </c>
      <c r="K195" s="2069">
        <f>'Diciembre - 2019  '!$I$22</f>
        <v>1.4200000000000001E-2</v>
      </c>
      <c r="L195" s="1104">
        <f t="shared" si="123"/>
        <v>30</v>
      </c>
      <c r="M195" s="1153">
        <v>31482757</v>
      </c>
      <c r="N195" s="1107">
        <f t="shared" si="124"/>
        <v>1049425.2333333334</v>
      </c>
      <c r="O195" s="1164">
        <f>'Diciembre - 2019  '!$I$22</f>
        <v>1.4200000000000001E-2</v>
      </c>
      <c r="P195" s="1118">
        <f t="shared" si="125"/>
        <v>5869182.201933383</v>
      </c>
      <c r="Q195" s="1118">
        <f>'Diciembre - 2019  '!$K$54</f>
        <v>6190010.4432046823</v>
      </c>
      <c r="R195" s="1117">
        <f>'Diciembre - 2019  '!$L$15</f>
        <v>0</v>
      </c>
      <c r="S195" s="1743">
        <f t="shared" si="126"/>
        <v>21.878546048392941</v>
      </c>
      <c r="T195" s="1753">
        <f>'Diciembre - 2019  '!$Z$89</f>
        <v>0</v>
      </c>
      <c r="U195" s="1107">
        <f>'Diciembre - 2019  '!$AA$89</f>
        <v>0</v>
      </c>
      <c r="V195" s="1107">
        <f t="shared" si="127"/>
        <v>0</v>
      </c>
      <c r="W195" s="1107" t="e">
        <f t="shared" si="128"/>
        <v>#VALUE!</v>
      </c>
      <c r="X195" s="1108">
        <f t="shared" si="129"/>
        <v>206333.68144015607</v>
      </c>
      <c r="Y195" s="1109">
        <f t="shared" si="130"/>
        <v>31482757</v>
      </c>
      <c r="Z195" s="1109">
        <f t="shared" si="131"/>
        <v>6190010.4432046823</v>
      </c>
      <c r="AA195" s="1110">
        <f t="shared" si="132"/>
        <v>25292746.556795318</v>
      </c>
      <c r="AB195" s="1119">
        <f t="shared" si="133"/>
        <v>0.19661589495496479</v>
      </c>
      <c r="AC195" s="1754">
        <f t="shared" si="134"/>
        <v>0.80338410504503521</v>
      </c>
    </row>
    <row r="196" spans="2:29" hidden="1" x14ac:dyDescent="0.25">
      <c r="B196" s="1113">
        <f t="shared" si="120"/>
        <v>2028</v>
      </c>
      <c r="C196" s="1114">
        <v>47027</v>
      </c>
      <c r="D196" s="1744">
        <f>'Diciembre - 2019  '!$N$34+'Diciembre - 2019  '!$N$43</f>
        <v>104018642.60000001</v>
      </c>
      <c r="E196" s="1121">
        <f>'Diciembre - 2019  '!$N$54</f>
        <v>113809.99999999999</v>
      </c>
      <c r="F196" s="1745">
        <f t="shared" si="121"/>
        <v>104132452.60000001</v>
      </c>
      <c r="G196" s="1121">
        <f>'Diciembre - 2019  '!$M$33</f>
        <v>4753878.6400000006</v>
      </c>
      <c r="H196" s="1121">
        <f>'Diciembre - 2019  '!$M$54</f>
        <v>5690.5</v>
      </c>
      <c r="I196" s="1121">
        <f t="shared" si="122"/>
        <v>4759569.1400000006</v>
      </c>
      <c r="J196" s="2067">
        <f>'Diciembre - 2019  '!$H$22</f>
        <v>0.14799999999999999</v>
      </c>
      <c r="K196" s="2069">
        <f>'Diciembre - 2019  '!$I$22</f>
        <v>1.4200000000000001E-2</v>
      </c>
      <c r="L196" s="1104">
        <f t="shared" si="123"/>
        <v>31</v>
      </c>
      <c r="M196" s="1153">
        <v>31482758</v>
      </c>
      <c r="N196" s="1107">
        <f t="shared" si="124"/>
        <v>1015572.8387096775</v>
      </c>
      <c r="O196" s="1164">
        <f>'Diciembre - 2019  '!$I$22</f>
        <v>1.4200000000000001E-2</v>
      </c>
      <c r="P196" s="1118">
        <f t="shared" si="125"/>
        <v>5869182.201933383</v>
      </c>
      <c r="Q196" s="1118">
        <f>'Diciembre - 2019  '!$K$54</f>
        <v>6190010.4432046823</v>
      </c>
      <c r="R196" s="1117">
        <f>'Diciembre - 2019  '!$L$15</f>
        <v>0</v>
      </c>
      <c r="S196" s="1743">
        <f t="shared" si="126"/>
        <v>21.878546048392941</v>
      </c>
      <c r="T196" s="1753">
        <f>'Diciembre - 2019  '!$Z$89</f>
        <v>0</v>
      </c>
      <c r="U196" s="1107">
        <f>'Diciembre - 2019  '!$AA$89</f>
        <v>0</v>
      </c>
      <c r="V196" s="1107">
        <f t="shared" si="127"/>
        <v>0</v>
      </c>
      <c r="W196" s="1107" t="e">
        <f t="shared" si="128"/>
        <v>#VALUE!</v>
      </c>
      <c r="X196" s="1108">
        <f t="shared" si="129"/>
        <v>199677.7562324091</v>
      </c>
      <c r="Y196" s="1109">
        <f t="shared" si="130"/>
        <v>31482758</v>
      </c>
      <c r="Z196" s="1109">
        <f t="shared" si="131"/>
        <v>6190010.4432046823</v>
      </c>
      <c r="AA196" s="1110">
        <f t="shared" si="132"/>
        <v>25292747.556795318</v>
      </c>
      <c r="AB196" s="1119">
        <f t="shared" si="133"/>
        <v>0.19661588870977195</v>
      </c>
      <c r="AC196" s="1754">
        <f t="shared" si="134"/>
        <v>0.80338411129022802</v>
      </c>
    </row>
    <row r="197" spans="2:29" hidden="1" x14ac:dyDescent="0.25">
      <c r="B197" s="1113">
        <f t="shared" si="120"/>
        <v>2028</v>
      </c>
      <c r="C197" s="1114">
        <v>47058</v>
      </c>
      <c r="D197" s="1744">
        <f>'Diciembre - 2019  '!$N$34+'Diciembre - 2019  '!$N$43</f>
        <v>104018642.60000001</v>
      </c>
      <c r="E197" s="1121">
        <f>'Diciembre - 2019  '!$N$54</f>
        <v>113809.99999999999</v>
      </c>
      <c r="F197" s="1745">
        <f t="shared" si="121"/>
        <v>104132452.60000001</v>
      </c>
      <c r="G197" s="1121">
        <f>'Diciembre - 2019  '!$M$33</f>
        <v>4753878.6400000006</v>
      </c>
      <c r="H197" s="1121">
        <f>'Diciembre - 2019  '!$M$54</f>
        <v>5690.5</v>
      </c>
      <c r="I197" s="1121">
        <f t="shared" si="122"/>
        <v>4759569.1400000006</v>
      </c>
      <c r="J197" s="2067">
        <f>'Diciembre - 2019  '!$H$22</f>
        <v>0.14799999999999999</v>
      </c>
      <c r="K197" s="2069">
        <f>'Diciembre - 2019  '!$I$22</f>
        <v>1.4200000000000001E-2</v>
      </c>
      <c r="L197" s="1104">
        <f t="shared" si="123"/>
        <v>30</v>
      </c>
      <c r="M197" s="1153">
        <v>31482759</v>
      </c>
      <c r="N197" s="1107">
        <f t="shared" si="124"/>
        <v>1049425.3</v>
      </c>
      <c r="O197" s="1164">
        <f>'Diciembre - 2019  '!$I$22</f>
        <v>1.4200000000000001E-2</v>
      </c>
      <c r="P197" s="1118">
        <f t="shared" si="125"/>
        <v>5869182.201933383</v>
      </c>
      <c r="Q197" s="1118">
        <f>'Diciembre - 2019  '!$K$54</f>
        <v>6190010.4432046823</v>
      </c>
      <c r="R197" s="1117">
        <f>'Diciembre - 2019  '!$L$15</f>
        <v>0</v>
      </c>
      <c r="S197" s="1743">
        <f t="shared" si="126"/>
        <v>21.878546048392941</v>
      </c>
      <c r="T197" s="1753">
        <f>'Diciembre - 2019  '!$Z$89</f>
        <v>0</v>
      </c>
      <c r="U197" s="1107">
        <f>'Diciembre - 2019  '!$AA$89</f>
        <v>0</v>
      </c>
      <c r="V197" s="1107">
        <f t="shared" si="127"/>
        <v>0</v>
      </c>
      <c r="W197" s="1107" t="e">
        <f t="shared" si="128"/>
        <v>#VALUE!</v>
      </c>
      <c r="X197" s="1108">
        <f t="shared" si="129"/>
        <v>206333.68144015607</v>
      </c>
      <c r="Y197" s="1109">
        <f t="shared" si="130"/>
        <v>31482759</v>
      </c>
      <c r="Z197" s="1109">
        <f t="shared" si="131"/>
        <v>6190010.4432046823</v>
      </c>
      <c r="AA197" s="1110">
        <f t="shared" si="132"/>
        <v>25292748.556795318</v>
      </c>
      <c r="AB197" s="1119">
        <f t="shared" si="133"/>
        <v>0.19661588246457951</v>
      </c>
      <c r="AC197" s="1754">
        <f t="shared" si="134"/>
        <v>0.80338411753542049</v>
      </c>
    </row>
    <row r="198" spans="2:29" hidden="1" x14ac:dyDescent="0.25">
      <c r="B198" s="1113">
        <f t="shared" si="120"/>
        <v>2028</v>
      </c>
      <c r="C198" s="1114">
        <v>47088</v>
      </c>
      <c r="D198" s="1744">
        <f>'Diciembre - 2019  '!$N$34+'Diciembre - 2019  '!$N$43</f>
        <v>104018642.60000001</v>
      </c>
      <c r="E198" s="1121">
        <f>'Diciembre - 2019  '!$N$54</f>
        <v>113809.99999999999</v>
      </c>
      <c r="F198" s="1745">
        <f t="shared" si="121"/>
        <v>104132452.60000001</v>
      </c>
      <c r="G198" s="1121">
        <f>'Diciembre - 2019  '!$M$33</f>
        <v>4753878.6400000006</v>
      </c>
      <c r="H198" s="1121">
        <f>'Diciembre - 2019  '!$M$54</f>
        <v>5690.5</v>
      </c>
      <c r="I198" s="1121">
        <f t="shared" si="122"/>
        <v>4759569.1400000006</v>
      </c>
      <c r="J198" s="2067">
        <f>'Diciembre - 2019  '!$H$22</f>
        <v>0.14799999999999999</v>
      </c>
      <c r="K198" s="2069">
        <f>'Diciembre - 2019  '!$I$22</f>
        <v>1.4200000000000001E-2</v>
      </c>
      <c r="L198" s="1104">
        <f t="shared" si="123"/>
        <v>31</v>
      </c>
      <c r="M198" s="1153">
        <v>31482760</v>
      </c>
      <c r="N198" s="1107">
        <f t="shared" si="124"/>
        <v>1015572.9032258064</v>
      </c>
      <c r="O198" s="1164">
        <f>'Diciembre - 2019  '!$I$22</f>
        <v>1.4200000000000001E-2</v>
      </c>
      <c r="P198" s="1118">
        <f t="shared" si="125"/>
        <v>5869182.201933383</v>
      </c>
      <c r="Q198" s="1118">
        <f>'Diciembre - 2019  '!$K$54</f>
        <v>6190010.4432046823</v>
      </c>
      <c r="R198" s="1117">
        <f>'Diciembre - 2019  '!$L$15</f>
        <v>0</v>
      </c>
      <c r="S198" s="1743">
        <f t="shared" si="126"/>
        <v>21.878546048392941</v>
      </c>
      <c r="T198" s="1753">
        <f>'Diciembre - 2019  '!$Z$89</f>
        <v>0</v>
      </c>
      <c r="U198" s="1107">
        <f>'Diciembre - 2019  '!$AA$89</f>
        <v>0</v>
      </c>
      <c r="V198" s="1107">
        <f t="shared" si="127"/>
        <v>0</v>
      </c>
      <c r="W198" s="1107" t="e">
        <f t="shared" si="128"/>
        <v>#VALUE!</v>
      </c>
      <c r="X198" s="1108">
        <f t="shared" si="129"/>
        <v>199677.7562324091</v>
      </c>
      <c r="Y198" s="1109">
        <f t="shared" si="130"/>
        <v>31482760</v>
      </c>
      <c r="Z198" s="1109">
        <f t="shared" si="131"/>
        <v>6190010.4432046823</v>
      </c>
      <c r="AA198" s="1110">
        <f t="shared" si="132"/>
        <v>25292749.556795318</v>
      </c>
      <c r="AB198" s="1119">
        <f t="shared" si="133"/>
        <v>0.19661587621938745</v>
      </c>
      <c r="AC198" s="1754">
        <f t="shared" si="134"/>
        <v>0.80338412378061252</v>
      </c>
    </row>
    <row r="199" spans="2:29" hidden="1" x14ac:dyDescent="0.25">
      <c r="B199" s="1113">
        <f t="shared" si="120"/>
        <v>2029</v>
      </c>
      <c r="C199" s="1114">
        <v>47119</v>
      </c>
      <c r="D199" s="1744">
        <f>'Diciembre - 2019  '!$N$34+'Diciembre - 2019  '!$N$43</f>
        <v>104018642.60000001</v>
      </c>
      <c r="E199" s="1121">
        <f>'Diciembre - 2019  '!$N$54</f>
        <v>113809.99999999999</v>
      </c>
      <c r="F199" s="1745">
        <f t="shared" si="121"/>
        <v>104132452.60000001</v>
      </c>
      <c r="G199" s="1121">
        <f>'Diciembre - 2019  '!$M$33</f>
        <v>4753878.6400000006</v>
      </c>
      <c r="H199" s="1121">
        <f>'Diciembre - 2019  '!$M$54</f>
        <v>5690.5</v>
      </c>
      <c r="I199" s="1121">
        <f t="shared" si="122"/>
        <v>4759569.1400000006</v>
      </c>
      <c r="J199" s="2067">
        <f>'Diciembre - 2019  '!$H$22</f>
        <v>0.14799999999999999</v>
      </c>
      <c r="K199" s="2069">
        <f>'Diciembre - 2019  '!$I$22</f>
        <v>1.4200000000000001E-2</v>
      </c>
      <c r="L199" s="1104">
        <f t="shared" si="123"/>
        <v>31</v>
      </c>
      <c r="M199" s="1153">
        <v>31482761</v>
      </c>
      <c r="N199" s="1107">
        <f t="shared" si="124"/>
        <v>1015572.9354838709</v>
      </c>
      <c r="O199" s="1164">
        <f>'Diciembre - 2019  '!$I$22</f>
        <v>1.4200000000000001E-2</v>
      </c>
      <c r="P199" s="1118">
        <f t="shared" si="125"/>
        <v>5869182.201933383</v>
      </c>
      <c r="Q199" s="1118">
        <f>'Diciembre - 2019  '!$K$54</f>
        <v>6190010.4432046823</v>
      </c>
      <c r="R199" s="1117">
        <f>'Diciembre - 2019  '!$L$15</f>
        <v>0</v>
      </c>
      <c r="S199" s="1743">
        <f t="shared" si="126"/>
        <v>21.878546048392941</v>
      </c>
      <c r="T199" s="1753">
        <f>'Diciembre - 2019  '!$Z$89</f>
        <v>0</v>
      </c>
      <c r="U199" s="1107">
        <f>'Diciembre - 2019  '!$AA$89</f>
        <v>0</v>
      </c>
      <c r="V199" s="1107">
        <f t="shared" si="127"/>
        <v>0</v>
      </c>
      <c r="W199" s="1107" t="e">
        <f t="shared" si="128"/>
        <v>#VALUE!</v>
      </c>
      <c r="X199" s="1108">
        <f t="shared" si="129"/>
        <v>199677.7562324091</v>
      </c>
      <c r="Y199" s="1109">
        <f t="shared" si="130"/>
        <v>31482761</v>
      </c>
      <c r="Z199" s="1109">
        <f t="shared" si="131"/>
        <v>6190010.4432046823</v>
      </c>
      <c r="AA199" s="1110">
        <f t="shared" si="132"/>
        <v>25292750.556795318</v>
      </c>
      <c r="AB199" s="1119">
        <f t="shared" si="133"/>
        <v>0.19661586997419581</v>
      </c>
      <c r="AC199" s="1754">
        <f t="shared" si="134"/>
        <v>0.80338413002580422</v>
      </c>
    </row>
    <row r="200" spans="2:29" hidden="1" x14ac:dyDescent="0.25">
      <c r="B200" s="1113">
        <f t="shared" si="120"/>
        <v>2029</v>
      </c>
      <c r="C200" s="1114">
        <v>47150</v>
      </c>
      <c r="D200" s="1744">
        <f>'Diciembre - 2019  '!$N$34+'Diciembre - 2019  '!$N$43</f>
        <v>104018642.60000001</v>
      </c>
      <c r="E200" s="1121">
        <f>'Diciembre - 2019  '!$N$54</f>
        <v>113809.99999999999</v>
      </c>
      <c r="F200" s="1745">
        <f t="shared" si="121"/>
        <v>104132452.60000001</v>
      </c>
      <c r="G200" s="1121">
        <f>'Diciembre - 2019  '!$M$33</f>
        <v>4753878.6400000006</v>
      </c>
      <c r="H200" s="1121">
        <f>'Diciembre - 2019  '!$M$54</f>
        <v>5690.5</v>
      </c>
      <c r="I200" s="1121">
        <f t="shared" si="122"/>
        <v>4759569.1400000006</v>
      </c>
      <c r="J200" s="2067">
        <f>'Diciembre - 2019  '!$H$22</f>
        <v>0.14799999999999999</v>
      </c>
      <c r="K200" s="2069">
        <f>'Diciembre - 2019  '!$I$22</f>
        <v>1.4200000000000001E-2</v>
      </c>
      <c r="L200" s="1104">
        <f t="shared" si="123"/>
        <v>28</v>
      </c>
      <c r="M200" s="1153">
        <v>31482762</v>
      </c>
      <c r="N200" s="1107">
        <f t="shared" si="124"/>
        <v>1124384.357142857</v>
      </c>
      <c r="O200" s="1164">
        <f>'Diciembre - 2019  '!$I$22</f>
        <v>1.4200000000000001E-2</v>
      </c>
      <c r="P200" s="1118">
        <f t="shared" si="125"/>
        <v>5869182.201933383</v>
      </c>
      <c r="Q200" s="1118">
        <f>'Diciembre - 2019  '!$K$54</f>
        <v>6190010.4432046823</v>
      </c>
      <c r="R200" s="1117">
        <f>'Diciembre - 2019  '!$L$15</f>
        <v>0</v>
      </c>
      <c r="S200" s="1743">
        <f t="shared" si="126"/>
        <v>21.878546048392941</v>
      </c>
      <c r="T200" s="1753">
        <f>'Diciembre - 2019  '!$Z$89</f>
        <v>0</v>
      </c>
      <c r="U200" s="1107">
        <f>'Diciembre - 2019  '!$AA$89</f>
        <v>0</v>
      </c>
      <c r="V200" s="1107">
        <f t="shared" si="127"/>
        <v>0</v>
      </c>
      <c r="W200" s="1107" t="e">
        <f t="shared" si="128"/>
        <v>#VALUE!</v>
      </c>
      <c r="X200" s="1108">
        <f t="shared" si="129"/>
        <v>221071.80154302437</v>
      </c>
      <c r="Y200" s="1109">
        <f t="shared" si="130"/>
        <v>31482762</v>
      </c>
      <c r="Z200" s="1109">
        <f t="shared" si="131"/>
        <v>6190010.4432046823</v>
      </c>
      <c r="AA200" s="1110">
        <f t="shared" si="132"/>
        <v>25292751.556795318</v>
      </c>
      <c r="AB200" s="1119">
        <f t="shared" si="133"/>
        <v>0.19661586372900453</v>
      </c>
      <c r="AC200" s="1754">
        <f t="shared" si="134"/>
        <v>0.80338413627099547</v>
      </c>
    </row>
    <row r="201" spans="2:29" hidden="1" x14ac:dyDescent="0.25">
      <c r="B201" s="1113">
        <f t="shared" si="120"/>
        <v>2029</v>
      </c>
      <c r="C201" s="1114">
        <v>47178</v>
      </c>
      <c r="D201" s="1744">
        <f>'Diciembre - 2019  '!$N$34+'Diciembre - 2019  '!$N$43</f>
        <v>104018642.60000001</v>
      </c>
      <c r="E201" s="1121">
        <f>'Diciembre - 2019  '!$N$54</f>
        <v>113809.99999999999</v>
      </c>
      <c r="F201" s="1745">
        <f t="shared" si="121"/>
        <v>104132452.60000001</v>
      </c>
      <c r="G201" s="1121">
        <f>'Diciembre - 2019  '!$M$33</f>
        <v>4753878.6400000006</v>
      </c>
      <c r="H201" s="1121">
        <f>'Diciembre - 2019  '!$M$54</f>
        <v>5690.5</v>
      </c>
      <c r="I201" s="1121">
        <f t="shared" si="122"/>
        <v>4759569.1400000006</v>
      </c>
      <c r="J201" s="2067">
        <f>'Diciembre - 2019  '!$H$22</f>
        <v>0.14799999999999999</v>
      </c>
      <c r="K201" s="2069">
        <f>'Diciembre - 2019  '!$I$22</f>
        <v>1.4200000000000001E-2</v>
      </c>
      <c r="L201" s="1104">
        <f t="shared" si="123"/>
        <v>31</v>
      </c>
      <c r="M201" s="1153">
        <v>31482763</v>
      </c>
      <c r="N201" s="1107">
        <f t="shared" si="124"/>
        <v>1015573</v>
      </c>
      <c r="O201" s="1164">
        <f>'Diciembre - 2019  '!$I$22</f>
        <v>1.4200000000000001E-2</v>
      </c>
      <c r="P201" s="1118">
        <f t="shared" si="125"/>
        <v>5869182.201933383</v>
      </c>
      <c r="Q201" s="1118">
        <f>'Diciembre - 2019  '!$K$54</f>
        <v>6190010.4432046823</v>
      </c>
      <c r="R201" s="1117">
        <f>'Diciembre - 2019  '!$L$15</f>
        <v>0</v>
      </c>
      <c r="S201" s="1743">
        <f t="shared" si="126"/>
        <v>21.878546048392941</v>
      </c>
      <c r="T201" s="1753">
        <f>'Diciembre - 2019  '!$Z$89</f>
        <v>0</v>
      </c>
      <c r="U201" s="1107">
        <f>'Diciembre - 2019  '!$AA$89</f>
        <v>0</v>
      </c>
      <c r="V201" s="1107">
        <f t="shared" si="127"/>
        <v>0</v>
      </c>
      <c r="W201" s="1107" t="e">
        <f t="shared" si="128"/>
        <v>#VALUE!</v>
      </c>
      <c r="X201" s="1108">
        <f t="shared" si="129"/>
        <v>199677.7562324091</v>
      </c>
      <c r="Y201" s="1109">
        <f t="shared" si="130"/>
        <v>31482763</v>
      </c>
      <c r="Z201" s="1109">
        <f t="shared" si="131"/>
        <v>6190010.4432046823</v>
      </c>
      <c r="AA201" s="1110">
        <f t="shared" si="132"/>
        <v>25292752.556795318</v>
      </c>
      <c r="AB201" s="1119">
        <f t="shared" si="133"/>
        <v>0.19661585748381369</v>
      </c>
      <c r="AC201" s="1754">
        <f t="shared" si="134"/>
        <v>0.80338414251618628</v>
      </c>
    </row>
    <row r="202" spans="2:29" hidden="1" x14ac:dyDescent="0.25">
      <c r="B202" s="1113">
        <f t="shared" si="120"/>
        <v>2029</v>
      </c>
      <c r="C202" s="1114">
        <v>47209</v>
      </c>
      <c r="D202" s="1744">
        <f>'Diciembre - 2019  '!$N$34+'Diciembre - 2019  '!$N$43</f>
        <v>104018642.60000001</v>
      </c>
      <c r="E202" s="1121">
        <f>'Diciembre - 2019  '!$N$54</f>
        <v>113809.99999999999</v>
      </c>
      <c r="F202" s="1745">
        <f t="shared" si="121"/>
        <v>104132452.60000001</v>
      </c>
      <c r="G202" s="1121">
        <f>'Diciembre - 2019  '!$M$33</f>
        <v>4753878.6400000006</v>
      </c>
      <c r="H202" s="1121">
        <f>'Diciembre - 2019  '!$M$54</f>
        <v>5690.5</v>
      </c>
      <c r="I202" s="1121">
        <f t="shared" si="122"/>
        <v>4759569.1400000006</v>
      </c>
      <c r="J202" s="2067">
        <f>'Diciembre - 2019  '!$H$22</f>
        <v>0.14799999999999999</v>
      </c>
      <c r="K202" s="2069">
        <f>'Diciembre - 2019  '!$I$22</f>
        <v>1.4200000000000001E-2</v>
      </c>
      <c r="L202" s="1104">
        <f t="shared" si="123"/>
        <v>30</v>
      </c>
      <c r="M202" s="1153">
        <v>31482764</v>
      </c>
      <c r="N202" s="1107">
        <f t="shared" si="124"/>
        <v>1049425.4666666666</v>
      </c>
      <c r="O202" s="1164">
        <f>'Diciembre - 2019  '!$I$22</f>
        <v>1.4200000000000001E-2</v>
      </c>
      <c r="P202" s="1118">
        <f t="shared" si="125"/>
        <v>5869182.201933383</v>
      </c>
      <c r="Q202" s="1118">
        <f>'Diciembre - 2019  '!$K$54</f>
        <v>6190010.4432046823</v>
      </c>
      <c r="R202" s="1117">
        <f>'Diciembre - 2019  '!$L$15</f>
        <v>0</v>
      </c>
      <c r="S202" s="1743">
        <f t="shared" si="126"/>
        <v>21.878546048392941</v>
      </c>
      <c r="T202" s="1753">
        <f>'Diciembre - 2019  '!$Z$89</f>
        <v>0</v>
      </c>
      <c r="U202" s="1107">
        <f>'Diciembre - 2019  '!$AA$89</f>
        <v>0</v>
      </c>
      <c r="V202" s="1107">
        <f t="shared" si="127"/>
        <v>0</v>
      </c>
      <c r="W202" s="1107" t="e">
        <f t="shared" si="128"/>
        <v>#VALUE!</v>
      </c>
      <c r="X202" s="1108">
        <f t="shared" si="129"/>
        <v>206333.68144015607</v>
      </c>
      <c r="Y202" s="1109">
        <f t="shared" si="130"/>
        <v>31482764</v>
      </c>
      <c r="Z202" s="1109">
        <f t="shared" si="131"/>
        <v>6190010.4432046823</v>
      </c>
      <c r="AA202" s="1110">
        <f t="shared" si="132"/>
        <v>25292753.556795318</v>
      </c>
      <c r="AB202" s="1119">
        <f t="shared" si="133"/>
        <v>0.19661585123862321</v>
      </c>
      <c r="AC202" s="1754">
        <f t="shared" si="134"/>
        <v>0.80338414876137676</v>
      </c>
    </row>
    <row r="203" spans="2:29" hidden="1" x14ac:dyDescent="0.25">
      <c r="B203" s="1113">
        <f t="shared" si="120"/>
        <v>2029</v>
      </c>
      <c r="C203" s="1114">
        <v>47239</v>
      </c>
      <c r="D203" s="1744">
        <f>'Diciembre - 2019  '!$N$34+'Diciembre - 2019  '!$N$43</f>
        <v>104018642.60000001</v>
      </c>
      <c r="E203" s="1121">
        <f>'Diciembre - 2019  '!$N$54</f>
        <v>113809.99999999999</v>
      </c>
      <c r="F203" s="1745">
        <f t="shared" si="121"/>
        <v>104132452.60000001</v>
      </c>
      <c r="G203" s="1121">
        <f>'Diciembre - 2019  '!$M$33</f>
        <v>4753878.6400000006</v>
      </c>
      <c r="H203" s="1121">
        <f>'Diciembre - 2019  '!$M$54</f>
        <v>5690.5</v>
      </c>
      <c r="I203" s="1121">
        <f t="shared" si="122"/>
        <v>4759569.1400000006</v>
      </c>
      <c r="J203" s="2067">
        <f>'Diciembre - 2019  '!$H$22</f>
        <v>0.14799999999999999</v>
      </c>
      <c r="K203" s="2069">
        <f>'Diciembre - 2019  '!$I$22</f>
        <v>1.4200000000000001E-2</v>
      </c>
      <c r="L203" s="1104">
        <f t="shared" si="123"/>
        <v>31</v>
      </c>
      <c r="M203" s="1153">
        <v>31482765</v>
      </c>
      <c r="N203" s="1107">
        <f t="shared" si="124"/>
        <v>1015573.0645161291</v>
      </c>
      <c r="O203" s="1164">
        <f>'Diciembre - 2019  '!$I$22</f>
        <v>1.4200000000000001E-2</v>
      </c>
      <c r="P203" s="1118">
        <f t="shared" si="125"/>
        <v>5869182.201933383</v>
      </c>
      <c r="Q203" s="1118">
        <f>'Diciembre - 2019  '!$K$54</f>
        <v>6190010.4432046823</v>
      </c>
      <c r="R203" s="1117">
        <f>'Diciembre - 2019  '!$L$15</f>
        <v>0</v>
      </c>
      <c r="S203" s="1743">
        <f t="shared" si="126"/>
        <v>21.878546048392941</v>
      </c>
      <c r="T203" s="1753">
        <f>'Diciembre - 2019  '!$Z$89</f>
        <v>0</v>
      </c>
      <c r="U203" s="1107">
        <f>'Diciembre - 2019  '!$AA$89</f>
        <v>0</v>
      </c>
      <c r="V203" s="1107">
        <f t="shared" si="127"/>
        <v>0</v>
      </c>
      <c r="W203" s="1107" t="e">
        <f t="shared" si="128"/>
        <v>#VALUE!</v>
      </c>
      <c r="X203" s="1108">
        <f t="shared" si="129"/>
        <v>199677.7562324091</v>
      </c>
      <c r="Y203" s="1109">
        <f t="shared" si="130"/>
        <v>31482765</v>
      </c>
      <c r="Z203" s="1109">
        <f t="shared" si="131"/>
        <v>6190010.4432046823</v>
      </c>
      <c r="AA203" s="1110">
        <f t="shared" si="132"/>
        <v>25292754.556795318</v>
      </c>
      <c r="AB203" s="1119">
        <f t="shared" si="133"/>
        <v>0.19661584499343315</v>
      </c>
      <c r="AC203" s="1754">
        <f t="shared" si="134"/>
        <v>0.80338415500656679</v>
      </c>
    </row>
    <row r="204" spans="2:29" hidden="1" x14ac:dyDescent="0.25">
      <c r="B204" s="1113">
        <f t="shared" si="120"/>
        <v>2029</v>
      </c>
      <c r="C204" s="1114">
        <v>47270</v>
      </c>
      <c r="D204" s="1744">
        <f>'Diciembre - 2019  '!$N$34+'Diciembre - 2019  '!$N$43</f>
        <v>104018642.60000001</v>
      </c>
      <c r="E204" s="1121">
        <f>'Diciembre - 2019  '!$N$54</f>
        <v>113809.99999999999</v>
      </c>
      <c r="F204" s="1745">
        <f t="shared" si="121"/>
        <v>104132452.60000001</v>
      </c>
      <c r="G204" s="1121">
        <f>'Diciembre - 2019  '!$M$33</f>
        <v>4753878.6400000006</v>
      </c>
      <c r="H204" s="1121">
        <f>'Diciembre - 2019  '!$M$54</f>
        <v>5690.5</v>
      </c>
      <c r="I204" s="1121">
        <f t="shared" si="122"/>
        <v>4759569.1400000006</v>
      </c>
      <c r="J204" s="2067">
        <f>'Diciembre - 2019  '!$H$22</f>
        <v>0.14799999999999999</v>
      </c>
      <c r="K204" s="2069">
        <f>'Diciembre - 2019  '!$I$22</f>
        <v>1.4200000000000001E-2</v>
      </c>
      <c r="L204" s="1104">
        <f t="shared" si="123"/>
        <v>30</v>
      </c>
      <c r="M204" s="1153">
        <v>31482766</v>
      </c>
      <c r="N204" s="1107">
        <f t="shared" si="124"/>
        <v>1049425.5333333334</v>
      </c>
      <c r="O204" s="1164">
        <f>'Diciembre - 2019  '!$I$22</f>
        <v>1.4200000000000001E-2</v>
      </c>
      <c r="P204" s="1118">
        <f t="shared" si="125"/>
        <v>5869182.201933383</v>
      </c>
      <c r="Q204" s="1118">
        <f>'Diciembre - 2019  '!$K$54</f>
        <v>6190010.4432046823</v>
      </c>
      <c r="R204" s="1117">
        <f>'Diciembre - 2019  '!$L$15</f>
        <v>0</v>
      </c>
      <c r="S204" s="1743">
        <f t="shared" si="126"/>
        <v>21.878546048392941</v>
      </c>
      <c r="T204" s="1753">
        <f>'Diciembre - 2019  '!$Z$89</f>
        <v>0</v>
      </c>
      <c r="U204" s="1107">
        <f>'Diciembre - 2019  '!$AA$89</f>
        <v>0</v>
      </c>
      <c r="V204" s="1107">
        <f t="shared" si="127"/>
        <v>0</v>
      </c>
      <c r="W204" s="1107" t="e">
        <f t="shared" si="128"/>
        <v>#VALUE!</v>
      </c>
      <c r="X204" s="1108">
        <f t="shared" si="129"/>
        <v>206333.68144015607</v>
      </c>
      <c r="Y204" s="1109">
        <f t="shared" si="130"/>
        <v>31482766</v>
      </c>
      <c r="Z204" s="1109">
        <f t="shared" si="131"/>
        <v>6190010.4432046823</v>
      </c>
      <c r="AA204" s="1110">
        <f t="shared" si="132"/>
        <v>25292755.556795318</v>
      </c>
      <c r="AB204" s="1119">
        <f t="shared" si="133"/>
        <v>0.19661583874824348</v>
      </c>
      <c r="AC204" s="1754">
        <f t="shared" si="134"/>
        <v>0.80338416125175649</v>
      </c>
    </row>
    <row r="205" spans="2:29" hidden="1" x14ac:dyDescent="0.25">
      <c r="B205" s="1113">
        <f t="shared" si="120"/>
        <v>2029</v>
      </c>
      <c r="C205" s="1114">
        <v>47300</v>
      </c>
      <c r="D205" s="1744">
        <f>'Diciembre - 2019  '!$N$34+'Diciembre - 2019  '!$N$43</f>
        <v>104018642.60000001</v>
      </c>
      <c r="E205" s="1121">
        <f>'Diciembre - 2019  '!$N$54</f>
        <v>113809.99999999999</v>
      </c>
      <c r="F205" s="1745">
        <f t="shared" si="121"/>
        <v>104132452.60000001</v>
      </c>
      <c r="G205" s="1121">
        <f>'Diciembre - 2019  '!$M$33</f>
        <v>4753878.6400000006</v>
      </c>
      <c r="H205" s="1121">
        <f>'Diciembre - 2019  '!$M$54</f>
        <v>5690.5</v>
      </c>
      <c r="I205" s="1121">
        <f t="shared" si="122"/>
        <v>4759569.1400000006</v>
      </c>
      <c r="J205" s="2067">
        <f>'Diciembre - 2019  '!$H$22</f>
        <v>0.14799999999999999</v>
      </c>
      <c r="K205" s="2069">
        <f>'Diciembre - 2019  '!$I$22</f>
        <v>1.4200000000000001E-2</v>
      </c>
      <c r="L205" s="1104">
        <f t="shared" si="123"/>
        <v>31</v>
      </c>
      <c r="M205" s="1153">
        <v>31482767</v>
      </c>
      <c r="N205" s="1107">
        <f t="shared" si="124"/>
        <v>1015573.1290322581</v>
      </c>
      <c r="O205" s="1164">
        <f>'Diciembre - 2019  '!$I$22</f>
        <v>1.4200000000000001E-2</v>
      </c>
      <c r="P205" s="1118">
        <f t="shared" si="125"/>
        <v>5869182.201933383</v>
      </c>
      <c r="Q205" s="1118">
        <f>'Diciembre - 2019  '!$K$54</f>
        <v>6190010.4432046823</v>
      </c>
      <c r="R205" s="1117">
        <f>'Diciembre - 2019  '!$L$15</f>
        <v>0</v>
      </c>
      <c r="S205" s="1743">
        <f t="shared" si="126"/>
        <v>21.878546048392941</v>
      </c>
      <c r="T205" s="1753">
        <f>'Diciembre - 2019  '!$Z$89</f>
        <v>0</v>
      </c>
      <c r="U205" s="1107">
        <f>'Diciembre - 2019  '!$AA$89</f>
        <v>0</v>
      </c>
      <c r="V205" s="1107">
        <f t="shared" si="127"/>
        <v>0</v>
      </c>
      <c r="W205" s="1107" t="e">
        <f t="shared" si="128"/>
        <v>#VALUE!</v>
      </c>
      <c r="X205" s="1108">
        <f t="shared" si="129"/>
        <v>199677.7562324091</v>
      </c>
      <c r="Y205" s="1109">
        <f t="shared" si="130"/>
        <v>31482767</v>
      </c>
      <c r="Z205" s="1109">
        <f t="shared" si="131"/>
        <v>6190010.4432046823</v>
      </c>
      <c r="AA205" s="1110">
        <f t="shared" si="132"/>
        <v>25292756.556795318</v>
      </c>
      <c r="AB205" s="1119">
        <f t="shared" si="133"/>
        <v>0.1966158325030542</v>
      </c>
      <c r="AC205" s="1754">
        <f t="shared" si="134"/>
        <v>0.80338416749694574</v>
      </c>
    </row>
    <row r="206" spans="2:29" hidden="1" x14ac:dyDescent="0.25">
      <c r="B206" s="1113">
        <f t="shared" si="120"/>
        <v>2029</v>
      </c>
      <c r="C206" s="1114">
        <v>47331</v>
      </c>
      <c r="D206" s="1744">
        <f>'Diciembre - 2019  '!$N$34+'Diciembre - 2019  '!$N$43</f>
        <v>104018642.60000001</v>
      </c>
      <c r="E206" s="1121">
        <f>'Diciembre - 2019  '!$N$54</f>
        <v>113809.99999999999</v>
      </c>
      <c r="F206" s="1745">
        <f t="shared" si="121"/>
        <v>104132452.60000001</v>
      </c>
      <c r="G206" s="1121">
        <f>'Diciembre - 2019  '!$M$33</f>
        <v>4753878.6400000006</v>
      </c>
      <c r="H206" s="1121">
        <f>'Diciembre - 2019  '!$M$54</f>
        <v>5690.5</v>
      </c>
      <c r="I206" s="1121">
        <f t="shared" si="122"/>
        <v>4759569.1400000006</v>
      </c>
      <c r="J206" s="2067">
        <f>'Diciembre - 2019  '!$H$22</f>
        <v>0.14799999999999999</v>
      </c>
      <c r="K206" s="2069">
        <f>'Diciembre - 2019  '!$I$22</f>
        <v>1.4200000000000001E-2</v>
      </c>
      <c r="L206" s="1104">
        <f t="shared" si="123"/>
        <v>31</v>
      </c>
      <c r="M206" s="1153">
        <v>31482768</v>
      </c>
      <c r="N206" s="1107">
        <f t="shared" si="124"/>
        <v>1015573.1612903225</v>
      </c>
      <c r="O206" s="1164">
        <f>'Diciembre - 2019  '!$I$22</f>
        <v>1.4200000000000001E-2</v>
      </c>
      <c r="P206" s="1118">
        <f t="shared" si="125"/>
        <v>5869182.201933383</v>
      </c>
      <c r="Q206" s="1118">
        <f>'Diciembre - 2019  '!$K$54</f>
        <v>6190010.4432046823</v>
      </c>
      <c r="R206" s="1117">
        <f>'Diciembre - 2019  '!$L$15</f>
        <v>0</v>
      </c>
      <c r="S206" s="1743">
        <f t="shared" si="126"/>
        <v>21.878546048392941</v>
      </c>
      <c r="T206" s="1753">
        <f>'Diciembre - 2019  '!$Z$89</f>
        <v>0</v>
      </c>
      <c r="U206" s="1107">
        <f>'Diciembre - 2019  '!$AA$89</f>
        <v>0</v>
      </c>
      <c r="V206" s="1107">
        <f t="shared" si="127"/>
        <v>0</v>
      </c>
      <c r="W206" s="1107" t="e">
        <f t="shared" si="128"/>
        <v>#VALUE!</v>
      </c>
      <c r="X206" s="1108">
        <f t="shared" si="129"/>
        <v>199677.7562324091</v>
      </c>
      <c r="Y206" s="1109">
        <f t="shared" si="130"/>
        <v>31482768</v>
      </c>
      <c r="Z206" s="1109">
        <f t="shared" si="131"/>
        <v>6190010.4432046823</v>
      </c>
      <c r="AA206" s="1110">
        <f t="shared" si="132"/>
        <v>25292757.556795318</v>
      </c>
      <c r="AB206" s="1119">
        <f t="shared" si="133"/>
        <v>0.19661582625786533</v>
      </c>
      <c r="AC206" s="1754">
        <f t="shared" si="134"/>
        <v>0.80338417374213467</v>
      </c>
    </row>
    <row r="207" spans="2:29" hidden="1" x14ac:dyDescent="0.25">
      <c r="B207" s="1113">
        <f t="shared" ref="B207:B270" si="135">YEAR(C207)</f>
        <v>2029</v>
      </c>
      <c r="C207" s="1114">
        <v>47362</v>
      </c>
      <c r="D207" s="1744">
        <f>'Diciembre - 2019  '!$N$34+'Diciembre - 2019  '!$N$43</f>
        <v>104018642.60000001</v>
      </c>
      <c r="E207" s="1121">
        <f>'Diciembre - 2019  '!$N$54</f>
        <v>113809.99999999999</v>
      </c>
      <c r="F207" s="1745">
        <f t="shared" ref="F207:F270" si="136">SUM(D207:E207)</f>
        <v>104132452.60000001</v>
      </c>
      <c r="G207" s="1121">
        <f>'Diciembre - 2019  '!$M$33</f>
        <v>4753878.6400000006</v>
      </c>
      <c r="H207" s="1121">
        <f>'Diciembre - 2019  '!$M$54</f>
        <v>5690.5</v>
      </c>
      <c r="I207" s="1121">
        <f t="shared" ref="I207:I270" si="137">G207+H207</f>
        <v>4759569.1400000006</v>
      </c>
      <c r="J207" s="2067">
        <f>'Diciembre - 2019  '!$H$22</f>
        <v>0.14799999999999999</v>
      </c>
      <c r="K207" s="2069">
        <f>'Diciembre - 2019  '!$I$22</f>
        <v>1.4200000000000001E-2</v>
      </c>
      <c r="L207" s="1104">
        <f t="shared" ref="L207:L270" si="138">_xlfn.DAYS(C208,C207)</f>
        <v>30</v>
      </c>
      <c r="M207" s="1153">
        <v>31482769</v>
      </c>
      <c r="N207" s="1107">
        <f t="shared" ref="N207:N270" si="139">IFERROR(M207/L207,0)</f>
        <v>1049425.6333333333</v>
      </c>
      <c r="O207" s="1164">
        <f>'Diciembre - 2019  '!$I$22</f>
        <v>1.4200000000000001E-2</v>
      </c>
      <c r="P207" s="1118">
        <f t="shared" ref="P207:P270" si="140">Q207*0.94817</f>
        <v>5869182.201933383</v>
      </c>
      <c r="Q207" s="1118">
        <f>'Diciembre - 2019  '!$K$54</f>
        <v>6190010.4432046823</v>
      </c>
      <c r="R207" s="1117">
        <f>'Diciembre - 2019  '!$L$15</f>
        <v>0</v>
      </c>
      <c r="S207" s="1743">
        <f t="shared" ref="S207:S270" si="141">IFERROR(F207/I207,0)</f>
        <v>21.878546048392941</v>
      </c>
      <c r="T207" s="1753">
        <f>'Diciembre - 2019  '!$Z$89</f>
        <v>0</v>
      </c>
      <c r="U207" s="1107">
        <f>'Diciembre - 2019  '!$AA$89</f>
        <v>0</v>
      </c>
      <c r="V207" s="1107">
        <f t="shared" ref="V207:V270" si="142">T207-U207</f>
        <v>0</v>
      </c>
      <c r="W207" s="1107" t="e">
        <f t="shared" ref="W207:W270" si="143">V207+W206</f>
        <v>#VALUE!</v>
      </c>
      <c r="X207" s="1108">
        <f t="shared" ref="X207:X270" si="144">Q207/L207</f>
        <v>206333.68144015607</v>
      </c>
      <c r="Y207" s="1109">
        <f t="shared" ref="Y207:Y270" si="145">M207</f>
        <v>31482769</v>
      </c>
      <c r="Z207" s="1109">
        <f t="shared" ref="Z207:Z270" si="146">Q207</f>
        <v>6190010.4432046823</v>
      </c>
      <c r="AA207" s="1110">
        <f t="shared" ref="AA207:AA270" si="147">Y207-Z207</f>
        <v>25292758.556795318</v>
      </c>
      <c r="AB207" s="1119">
        <f t="shared" ref="AB207:AB270" si="148">IFERROR(Z207/Y207,0)</f>
        <v>0.19661582001267686</v>
      </c>
      <c r="AC207" s="1754">
        <f t="shared" ref="AC207:AC270" si="149">1-AB207</f>
        <v>0.80338417998732314</v>
      </c>
    </row>
    <row r="208" spans="2:29" hidden="1" x14ac:dyDescent="0.25">
      <c r="B208" s="1113">
        <f t="shared" si="135"/>
        <v>2029</v>
      </c>
      <c r="C208" s="1114">
        <v>47392</v>
      </c>
      <c r="D208" s="1744">
        <f>'Diciembre - 2019  '!$N$34+'Diciembre - 2019  '!$N$43</f>
        <v>104018642.60000001</v>
      </c>
      <c r="E208" s="1121">
        <f>'Diciembre - 2019  '!$N$54</f>
        <v>113809.99999999999</v>
      </c>
      <c r="F208" s="1745">
        <f t="shared" si="136"/>
        <v>104132452.60000001</v>
      </c>
      <c r="G208" s="1121">
        <f>'Diciembre - 2019  '!$M$33</f>
        <v>4753878.6400000006</v>
      </c>
      <c r="H208" s="1121">
        <f>'Diciembre - 2019  '!$M$54</f>
        <v>5690.5</v>
      </c>
      <c r="I208" s="1121">
        <f t="shared" si="137"/>
        <v>4759569.1400000006</v>
      </c>
      <c r="J208" s="2067">
        <f>'Diciembre - 2019  '!$H$22</f>
        <v>0.14799999999999999</v>
      </c>
      <c r="K208" s="2069">
        <f>'Diciembre - 2019  '!$I$22</f>
        <v>1.4200000000000001E-2</v>
      </c>
      <c r="L208" s="1104">
        <f t="shared" si="138"/>
        <v>31</v>
      </c>
      <c r="M208" s="1153">
        <v>31482770</v>
      </c>
      <c r="N208" s="1107">
        <f t="shared" si="139"/>
        <v>1015573.2258064516</v>
      </c>
      <c r="O208" s="1164">
        <f>'Diciembre - 2019  '!$I$22</f>
        <v>1.4200000000000001E-2</v>
      </c>
      <c r="P208" s="1118">
        <f t="shared" si="140"/>
        <v>5869182.201933383</v>
      </c>
      <c r="Q208" s="1118">
        <f>'Diciembre - 2019  '!$K$54</f>
        <v>6190010.4432046823</v>
      </c>
      <c r="R208" s="1117">
        <f>'Diciembre - 2019  '!$L$15</f>
        <v>0</v>
      </c>
      <c r="S208" s="1743">
        <f t="shared" si="141"/>
        <v>21.878546048392941</v>
      </c>
      <c r="T208" s="1753">
        <f>'Diciembre - 2019  '!$Z$89</f>
        <v>0</v>
      </c>
      <c r="U208" s="1107">
        <f>'Diciembre - 2019  '!$AA$89</f>
        <v>0</v>
      </c>
      <c r="V208" s="1107">
        <f t="shared" si="142"/>
        <v>0</v>
      </c>
      <c r="W208" s="1107" t="e">
        <f t="shared" si="143"/>
        <v>#VALUE!</v>
      </c>
      <c r="X208" s="1108">
        <f t="shared" si="144"/>
        <v>199677.7562324091</v>
      </c>
      <c r="Y208" s="1109">
        <f t="shared" si="145"/>
        <v>31482770</v>
      </c>
      <c r="Z208" s="1109">
        <f t="shared" si="146"/>
        <v>6190010.4432046823</v>
      </c>
      <c r="AA208" s="1110">
        <f t="shared" si="147"/>
        <v>25292759.556795318</v>
      </c>
      <c r="AB208" s="1119">
        <f t="shared" si="148"/>
        <v>0.19661581376748877</v>
      </c>
      <c r="AC208" s="1754">
        <f t="shared" si="149"/>
        <v>0.80338418623251129</v>
      </c>
    </row>
    <row r="209" spans="2:29" hidden="1" x14ac:dyDescent="0.25">
      <c r="B209" s="1113">
        <f t="shared" si="135"/>
        <v>2029</v>
      </c>
      <c r="C209" s="1114">
        <v>47423</v>
      </c>
      <c r="D209" s="1744">
        <f>'Diciembre - 2019  '!$N$34+'Diciembre - 2019  '!$N$43</f>
        <v>104018642.60000001</v>
      </c>
      <c r="E209" s="1121">
        <f>'Diciembre - 2019  '!$N$54</f>
        <v>113809.99999999999</v>
      </c>
      <c r="F209" s="1745">
        <f t="shared" si="136"/>
        <v>104132452.60000001</v>
      </c>
      <c r="G209" s="1121">
        <f>'Diciembre - 2019  '!$M$33</f>
        <v>4753878.6400000006</v>
      </c>
      <c r="H209" s="1121">
        <f>'Diciembre - 2019  '!$M$54</f>
        <v>5690.5</v>
      </c>
      <c r="I209" s="1121">
        <f t="shared" si="137"/>
        <v>4759569.1400000006</v>
      </c>
      <c r="J209" s="2067">
        <f>'Diciembre - 2019  '!$H$22</f>
        <v>0.14799999999999999</v>
      </c>
      <c r="K209" s="2069">
        <f>'Diciembre - 2019  '!$I$22</f>
        <v>1.4200000000000001E-2</v>
      </c>
      <c r="L209" s="1104">
        <f t="shared" si="138"/>
        <v>30</v>
      </c>
      <c r="M209" s="1153">
        <v>31482771</v>
      </c>
      <c r="N209" s="1107">
        <f t="shared" si="139"/>
        <v>1049425.7</v>
      </c>
      <c r="O209" s="1164">
        <f>'Diciembre - 2019  '!$I$22</f>
        <v>1.4200000000000001E-2</v>
      </c>
      <c r="P209" s="1118">
        <f t="shared" si="140"/>
        <v>5869182.201933383</v>
      </c>
      <c r="Q209" s="1118">
        <f>'Diciembre - 2019  '!$K$54</f>
        <v>6190010.4432046823</v>
      </c>
      <c r="R209" s="1117">
        <f>'Diciembre - 2019  '!$L$15</f>
        <v>0</v>
      </c>
      <c r="S209" s="1743">
        <f t="shared" si="141"/>
        <v>21.878546048392941</v>
      </c>
      <c r="T209" s="1753">
        <f>'Diciembre - 2019  '!$Z$89</f>
        <v>0</v>
      </c>
      <c r="U209" s="1107">
        <f>'Diciembre - 2019  '!$AA$89</f>
        <v>0</v>
      </c>
      <c r="V209" s="1107">
        <f t="shared" si="142"/>
        <v>0</v>
      </c>
      <c r="W209" s="1107" t="e">
        <f t="shared" si="143"/>
        <v>#VALUE!</v>
      </c>
      <c r="X209" s="1108">
        <f t="shared" si="144"/>
        <v>206333.68144015607</v>
      </c>
      <c r="Y209" s="1109">
        <f t="shared" si="145"/>
        <v>31482771</v>
      </c>
      <c r="Z209" s="1109">
        <f t="shared" si="146"/>
        <v>6190010.4432046823</v>
      </c>
      <c r="AA209" s="1110">
        <f t="shared" si="147"/>
        <v>25292760.556795318</v>
      </c>
      <c r="AB209" s="1119">
        <f t="shared" si="148"/>
        <v>0.19661580752230107</v>
      </c>
      <c r="AC209" s="1754">
        <f t="shared" si="149"/>
        <v>0.80338419247769899</v>
      </c>
    </row>
    <row r="210" spans="2:29" hidden="1" x14ac:dyDescent="0.25">
      <c r="B210" s="1113">
        <f t="shared" si="135"/>
        <v>2029</v>
      </c>
      <c r="C210" s="1114">
        <v>47453</v>
      </c>
      <c r="D210" s="1744">
        <f>'Diciembre - 2019  '!$N$34+'Diciembre - 2019  '!$N$43</f>
        <v>104018642.60000001</v>
      </c>
      <c r="E210" s="1121">
        <f>'Diciembre - 2019  '!$N$54</f>
        <v>113809.99999999999</v>
      </c>
      <c r="F210" s="1745">
        <f t="shared" si="136"/>
        <v>104132452.60000001</v>
      </c>
      <c r="G210" s="1121">
        <f>'Diciembre - 2019  '!$M$33</f>
        <v>4753878.6400000006</v>
      </c>
      <c r="H210" s="1121">
        <f>'Diciembre - 2019  '!$M$54</f>
        <v>5690.5</v>
      </c>
      <c r="I210" s="1121">
        <f t="shared" si="137"/>
        <v>4759569.1400000006</v>
      </c>
      <c r="J210" s="2067">
        <f>'Diciembre - 2019  '!$H$22</f>
        <v>0.14799999999999999</v>
      </c>
      <c r="K210" s="2069">
        <f>'Diciembre - 2019  '!$I$22</f>
        <v>1.4200000000000001E-2</v>
      </c>
      <c r="L210" s="1104">
        <f t="shared" si="138"/>
        <v>31</v>
      </c>
      <c r="M210" s="1153">
        <v>31482772</v>
      </c>
      <c r="N210" s="1107">
        <f t="shared" si="139"/>
        <v>1015573.2903225806</v>
      </c>
      <c r="O210" s="1164">
        <f>'Diciembre - 2019  '!$I$22</f>
        <v>1.4200000000000001E-2</v>
      </c>
      <c r="P210" s="1118">
        <f t="shared" si="140"/>
        <v>5869182.201933383</v>
      </c>
      <c r="Q210" s="1118">
        <f>'Diciembre - 2019  '!$K$54</f>
        <v>6190010.4432046823</v>
      </c>
      <c r="R210" s="1117">
        <f>'Diciembre - 2019  '!$L$15</f>
        <v>0</v>
      </c>
      <c r="S210" s="1743">
        <f t="shared" si="141"/>
        <v>21.878546048392941</v>
      </c>
      <c r="T210" s="1753">
        <f>'Diciembre - 2019  '!$Z$89</f>
        <v>0</v>
      </c>
      <c r="U210" s="1107">
        <f>'Diciembre - 2019  '!$AA$89</f>
        <v>0</v>
      </c>
      <c r="V210" s="1107">
        <f t="shared" si="142"/>
        <v>0</v>
      </c>
      <c r="W210" s="1107" t="e">
        <f t="shared" si="143"/>
        <v>#VALUE!</v>
      </c>
      <c r="X210" s="1108">
        <f t="shared" si="144"/>
        <v>199677.7562324091</v>
      </c>
      <c r="Y210" s="1109">
        <f t="shared" si="145"/>
        <v>31482772</v>
      </c>
      <c r="Z210" s="1109">
        <f t="shared" si="146"/>
        <v>6190010.4432046823</v>
      </c>
      <c r="AA210" s="1110">
        <f t="shared" si="147"/>
        <v>25292761.556795318</v>
      </c>
      <c r="AB210" s="1119">
        <f t="shared" si="148"/>
        <v>0.19661580127711378</v>
      </c>
      <c r="AC210" s="1754">
        <f t="shared" si="149"/>
        <v>0.80338419872288624</v>
      </c>
    </row>
    <row r="211" spans="2:29" hidden="1" x14ac:dyDescent="0.25">
      <c r="B211" s="1113">
        <f t="shared" si="135"/>
        <v>2030</v>
      </c>
      <c r="C211" s="1114">
        <v>47484</v>
      </c>
      <c r="D211" s="1744">
        <f>'Diciembre - 2019  '!$N$34+'Diciembre - 2019  '!$N$43</f>
        <v>104018642.60000001</v>
      </c>
      <c r="E211" s="1121">
        <f>'Diciembre - 2019  '!$N$54</f>
        <v>113809.99999999999</v>
      </c>
      <c r="F211" s="1745">
        <f t="shared" si="136"/>
        <v>104132452.60000001</v>
      </c>
      <c r="G211" s="1121">
        <f>'Diciembre - 2019  '!$M$33</f>
        <v>4753878.6400000006</v>
      </c>
      <c r="H211" s="1121">
        <f>'Diciembre - 2019  '!$M$54</f>
        <v>5690.5</v>
      </c>
      <c r="I211" s="1121">
        <f t="shared" si="137"/>
        <v>4759569.1400000006</v>
      </c>
      <c r="J211" s="2067">
        <f>'Diciembre - 2019  '!$H$22</f>
        <v>0.14799999999999999</v>
      </c>
      <c r="K211" s="2069">
        <f>'Diciembre - 2019  '!$I$22</f>
        <v>1.4200000000000001E-2</v>
      </c>
      <c r="L211" s="1104">
        <f t="shared" si="138"/>
        <v>31</v>
      </c>
      <c r="M211" s="1153">
        <v>31482773</v>
      </c>
      <c r="N211" s="1107">
        <f t="shared" si="139"/>
        <v>1015573.3225806452</v>
      </c>
      <c r="O211" s="1164">
        <f>'Diciembre - 2019  '!$I$22</f>
        <v>1.4200000000000001E-2</v>
      </c>
      <c r="P211" s="1118">
        <f t="shared" si="140"/>
        <v>5869182.201933383</v>
      </c>
      <c r="Q211" s="1118">
        <f>'Diciembre - 2019  '!$K$54</f>
        <v>6190010.4432046823</v>
      </c>
      <c r="R211" s="1117">
        <f>'Diciembre - 2019  '!$L$15</f>
        <v>0</v>
      </c>
      <c r="S211" s="1743">
        <f t="shared" si="141"/>
        <v>21.878546048392941</v>
      </c>
      <c r="T211" s="1753">
        <f>'Diciembre - 2019  '!$Z$89</f>
        <v>0</v>
      </c>
      <c r="U211" s="1107">
        <f>'Diciembre - 2019  '!$AA$89</f>
        <v>0</v>
      </c>
      <c r="V211" s="1107">
        <f t="shared" si="142"/>
        <v>0</v>
      </c>
      <c r="W211" s="1107" t="e">
        <f t="shared" si="143"/>
        <v>#VALUE!</v>
      </c>
      <c r="X211" s="1108">
        <f t="shared" si="144"/>
        <v>199677.7562324091</v>
      </c>
      <c r="Y211" s="1109">
        <f t="shared" si="145"/>
        <v>31482773</v>
      </c>
      <c r="Z211" s="1109">
        <f t="shared" si="146"/>
        <v>6190010.4432046823</v>
      </c>
      <c r="AA211" s="1110">
        <f t="shared" si="147"/>
        <v>25292762.556795318</v>
      </c>
      <c r="AB211" s="1119">
        <f t="shared" si="148"/>
        <v>0.19661579503192689</v>
      </c>
      <c r="AC211" s="1754">
        <f t="shared" si="149"/>
        <v>0.80338420496807306</v>
      </c>
    </row>
    <row r="212" spans="2:29" hidden="1" x14ac:dyDescent="0.25">
      <c r="B212" s="1113">
        <f t="shared" si="135"/>
        <v>2030</v>
      </c>
      <c r="C212" s="1114">
        <v>47515</v>
      </c>
      <c r="D212" s="1744">
        <f>'Diciembre - 2019  '!$N$34+'Diciembre - 2019  '!$N$43</f>
        <v>104018642.60000001</v>
      </c>
      <c r="E212" s="1121">
        <f>'Diciembre - 2019  '!$N$54</f>
        <v>113809.99999999999</v>
      </c>
      <c r="F212" s="1745">
        <f t="shared" si="136"/>
        <v>104132452.60000001</v>
      </c>
      <c r="G212" s="1121">
        <f>'Diciembre - 2019  '!$M$33</f>
        <v>4753878.6400000006</v>
      </c>
      <c r="H212" s="1121">
        <f>'Diciembre - 2019  '!$M$54</f>
        <v>5690.5</v>
      </c>
      <c r="I212" s="1121">
        <f t="shared" si="137"/>
        <v>4759569.1400000006</v>
      </c>
      <c r="J212" s="2067">
        <f>'Diciembre - 2019  '!$H$22</f>
        <v>0.14799999999999999</v>
      </c>
      <c r="K212" s="2069">
        <f>'Diciembre - 2019  '!$I$22</f>
        <v>1.4200000000000001E-2</v>
      </c>
      <c r="L212" s="1104">
        <f t="shared" si="138"/>
        <v>28</v>
      </c>
      <c r="M212" s="1153">
        <v>31482774</v>
      </c>
      <c r="N212" s="1107">
        <f t="shared" si="139"/>
        <v>1124384.7857142857</v>
      </c>
      <c r="O212" s="1164">
        <f>'Diciembre - 2019  '!$I$22</f>
        <v>1.4200000000000001E-2</v>
      </c>
      <c r="P212" s="1118">
        <f t="shared" si="140"/>
        <v>5869182.201933383</v>
      </c>
      <c r="Q212" s="1118">
        <f>'Diciembre - 2019  '!$K$54</f>
        <v>6190010.4432046823</v>
      </c>
      <c r="R212" s="1117">
        <f>'Diciembre - 2019  '!$L$15</f>
        <v>0</v>
      </c>
      <c r="S212" s="1743">
        <f t="shared" si="141"/>
        <v>21.878546048392941</v>
      </c>
      <c r="T212" s="1753">
        <f>'Diciembre - 2019  '!$Z$89</f>
        <v>0</v>
      </c>
      <c r="U212" s="1107">
        <f>'Diciembre - 2019  '!$AA$89</f>
        <v>0</v>
      </c>
      <c r="V212" s="1107">
        <f t="shared" si="142"/>
        <v>0</v>
      </c>
      <c r="W212" s="1107" t="e">
        <f t="shared" si="143"/>
        <v>#VALUE!</v>
      </c>
      <c r="X212" s="1108">
        <f t="shared" si="144"/>
        <v>221071.80154302437</v>
      </c>
      <c r="Y212" s="1109">
        <f t="shared" si="145"/>
        <v>31482774</v>
      </c>
      <c r="Z212" s="1109">
        <f t="shared" si="146"/>
        <v>6190010.4432046823</v>
      </c>
      <c r="AA212" s="1110">
        <f t="shared" si="147"/>
        <v>25292763.556795318</v>
      </c>
      <c r="AB212" s="1119">
        <f t="shared" si="148"/>
        <v>0.19661578878674041</v>
      </c>
      <c r="AC212" s="1754">
        <f t="shared" si="149"/>
        <v>0.80338421121325965</v>
      </c>
    </row>
    <row r="213" spans="2:29" hidden="1" x14ac:dyDescent="0.25">
      <c r="B213" s="1113">
        <f t="shared" si="135"/>
        <v>2030</v>
      </c>
      <c r="C213" s="1114">
        <v>47543</v>
      </c>
      <c r="D213" s="1744">
        <f>'Diciembre - 2019  '!$N$34+'Diciembre - 2019  '!$N$43</f>
        <v>104018642.60000001</v>
      </c>
      <c r="E213" s="1121">
        <f>'Diciembre - 2019  '!$N$54</f>
        <v>113809.99999999999</v>
      </c>
      <c r="F213" s="1745">
        <f t="shared" si="136"/>
        <v>104132452.60000001</v>
      </c>
      <c r="G213" s="1121">
        <f>'Diciembre - 2019  '!$M$33</f>
        <v>4753878.6400000006</v>
      </c>
      <c r="H213" s="1121">
        <f>'Diciembre - 2019  '!$M$54</f>
        <v>5690.5</v>
      </c>
      <c r="I213" s="1121">
        <f t="shared" si="137"/>
        <v>4759569.1400000006</v>
      </c>
      <c r="J213" s="2067">
        <f>'Diciembre - 2019  '!$H$22</f>
        <v>0.14799999999999999</v>
      </c>
      <c r="K213" s="2069">
        <f>'Diciembre - 2019  '!$I$22</f>
        <v>1.4200000000000001E-2</v>
      </c>
      <c r="L213" s="1104">
        <f t="shared" si="138"/>
        <v>31</v>
      </c>
      <c r="M213" s="1153">
        <v>31482775</v>
      </c>
      <c r="N213" s="1107">
        <f t="shared" si="139"/>
        <v>1015573.3870967742</v>
      </c>
      <c r="O213" s="1164">
        <f>'Diciembre - 2019  '!$I$22</f>
        <v>1.4200000000000001E-2</v>
      </c>
      <c r="P213" s="1118">
        <f t="shared" si="140"/>
        <v>5869182.201933383</v>
      </c>
      <c r="Q213" s="1118">
        <f>'Diciembre - 2019  '!$K$54</f>
        <v>6190010.4432046823</v>
      </c>
      <c r="R213" s="1117">
        <f>'Diciembre - 2019  '!$L$15</f>
        <v>0</v>
      </c>
      <c r="S213" s="1743">
        <f t="shared" si="141"/>
        <v>21.878546048392941</v>
      </c>
      <c r="T213" s="1753">
        <f>'Diciembre - 2019  '!$Z$89</f>
        <v>0</v>
      </c>
      <c r="U213" s="1107">
        <f>'Diciembre - 2019  '!$AA$89</f>
        <v>0</v>
      </c>
      <c r="V213" s="1107">
        <f t="shared" si="142"/>
        <v>0</v>
      </c>
      <c r="W213" s="1107" t="e">
        <f t="shared" si="143"/>
        <v>#VALUE!</v>
      </c>
      <c r="X213" s="1108">
        <f t="shared" si="144"/>
        <v>199677.7562324091</v>
      </c>
      <c r="Y213" s="1109">
        <f t="shared" si="145"/>
        <v>31482775</v>
      </c>
      <c r="Z213" s="1109">
        <f t="shared" si="146"/>
        <v>6190010.4432046823</v>
      </c>
      <c r="AA213" s="1110">
        <f t="shared" si="147"/>
        <v>25292764.556795318</v>
      </c>
      <c r="AB213" s="1119">
        <f t="shared" si="148"/>
        <v>0.19661578254155432</v>
      </c>
      <c r="AC213" s="1754">
        <f t="shared" si="149"/>
        <v>0.80338421745844568</v>
      </c>
    </row>
    <row r="214" spans="2:29" hidden="1" x14ac:dyDescent="0.25">
      <c r="B214" s="1113">
        <f t="shared" si="135"/>
        <v>2030</v>
      </c>
      <c r="C214" s="1114">
        <v>47574</v>
      </c>
      <c r="D214" s="1744">
        <f>'Diciembre - 2019  '!$N$34+'Diciembre - 2019  '!$N$43</f>
        <v>104018642.60000001</v>
      </c>
      <c r="E214" s="1121">
        <f>'Diciembre - 2019  '!$N$54</f>
        <v>113809.99999999999</v>
      </c>
      <c r="F214" s="1745">
        <f t="shared" si="136"/>
        <v>104132452.60000001</v>
      </c>
      <c r="G214" s="1121">
        <f>'Diciembre - 2019  '!$M$33</f>
        <v>4753878.6400000006</v>
      </c>
      <c r="H214" s="1121">
        <f>'Diciembre - 2019  '!$M$54</f>
        <v>5690.5</v>
      </c>
      <c r="I214" s="1121">
        <f t="shared" si="137"/>
        <v>4759569.1400000006</v>
      </c>
      <c r="J214" s="2067">
        <f>'Diciembre - 2019  '!$H$22</f>
        <v>0.14799999999999999</v>
      </c>
      <c r="K214" s="2069">
        <f>'Diciembre - 2019  '!$I$22</f>
        <v>1.4200000000000001E-2</v>
      </c>
      <c r="L214" s="1104">
        <f t="shared" si="138"/>
        <v>30</v>
      </c>
      <c r="M214" s="1153">
        <v>31482776</v>
      </c>
      <c r="N214" s="1107">
        <f t="shared" si="139"/>
        <v>1049425.8666666667</v>
      </c>
      <c r="O214" s="1164">
        <f>'Diciembre - 2019  '!$I$22</f>
        <v>1.4200000000000001E-2</v>
      </c>
      <c r="P214" s="1118">
        <f t="shared" si="140"/>
        <v>5869182.201933383</v>
      </c>
      <c r="Q214" s="1118">
        <f>'Diciembre - 2019  '!$K$54</f>
        <v>6190010.4432046823</v>
      </c>
      <c r="R214" s="1117">
        <f>'Diciembre - 2019  '!$L$15</f>
        <v>0</v>
      </c>
      <c r="S214" s="1743">
        <f t="shared" si="141"/>
        <v>21.878546048392941</v>
      </c>
      <c r="T214" s="1753">
        <f>'Diciembre - 2019  '!$Z$89</f>
        <v>0</v>
      </c>
      <c r="U214" s="1107">
        <f>'Diciembre - 2019  '!$AA$89</f>
        <v>0</v>
      </c>
      <c r="V214" s="1107">
        <f t="shared" si="142"/>
        <v>0</v>
      </c>
      <c r="W214" s="1107" t="e">
        <f t="shared" si="143"/>
        <v>#VALUE!</v>
      </c>
      <c r="X214" s="1108">
        <f t="shared" si="144"/>
        <v>206333.68144015607</v>
      </c>
      <c r="Y214" s="1109">
        <f t="shared" si="145"/>
        <v>31482776</v>
      </c>
      <c r="Z214" s="1109">
        <f t="shared" si="146"/>
        <v>6190010.4432046823</v>
      </c>
      <c r="AA214" s="1110">
        <f t="shared" si="147"/>
        <v>25292765.556795318</v>
      </c>
      <c r="AB214" s="1119">
        <f t="shared" si="148"/>
        <v>0.19661577629636862</v>
      </c>
      <c r="AC214" s="1754">
        <f t="shared" si="149"/>
        <v>0.80338422370363138</v>
      </c>
    </row>
    <row r="215" spans="2:29" hidden="1" x14ac:dyDescent="0.25">
      <c r="B215" s="1113">
        <f t="shared" si="135"/>
        <v>2030</v>
      </c>
      <c r="C215" s="1114">
        <v>47604</v>
      </c>
      <c r="D215" s="1744">
        <f>'Diciembre - 2019  '!$N$34+'Diciembre - 2019  '!$N$43</f>
        <v>104018642.60000001</v>
      </c>
      <c r="E215" s="1121">
        <f>'Diciembre - 2019  '!$N$54</f>
        <v>113809.99999999999</v>
      </c>
      <c r="F215" s="1745">
        <f t="shared" si="136"/>
        <v>104132452.60000001</v>
      </c>
      <c r="G215" s="1121">
        <f>'Diciembre - 2019  '!$M$33</f>
        <v>4753878.6400000006</v>
      </c>
      <c r="H215" s="1121">
        <f>'Diciembre - 2019  '!$M$54</f>
        <v>5690.5</v>
      </c>
      <c r="I215" s="1121">
        <f t="shared" si="137"/>
        <v>4759569.1400000006</v>
      </c>
      <c r="J215" s="2067">
        <f>'Diciembre - 2019  '!$H$22</f>
        <v>0.14799999999999999</v>
      </c>
      <c r="K215" s="2069">
        <f>'Diciembre - 2019  '!$I$22</f>
        <v>1.4200000000000001E-2</v>
      </c>
      <c r="L215" s="1104">
        <f t="shared" si="138"/>
        <v>31</v>
      </c>
      <c r="M215" s="1153">
        <v>31482777</v>
      </c>
      <c r="N215" s="1107">
        <f t="shared" si="139"/>
        <v>1015573.4516129033</v>
      </c>
      <c r="O215" s="1164">
        <f>'Diciembre - 2019  '!$I$22</f>
        <v>1.4200000000000001E-2</v>
      </c>
      <c r="P215" s="1118">
        <f t="shared" si="140"/>
        <v>5869182.201933383</v>
      </c>
      <c r="Q215" s="1118">
        <f>'Diciembre - 2019  '!$K$54</f>
        <v>6190010.4432046823</v>
      </c>
      <c r="R215" s="1117">
        <f>'Diciembre - 2019  '!$L$15</f>
        <v>0</v>
      </c>
      <c r="S215" s="1743">
        <f t="shared" si="141"/>
        <v>21.878546048392941</v>
      </c>
      <c r="T215" s="1753">
        <f>'Diciembre - 2019  '!$Z$89</f>
        <v>0</v>
      </c>
      <c r="U215" s="1107">
        <f>'Diciembre - 2019  '!$AA$89</f>
        <v>0</v>
      </c>
      <c r="V215" s="1107">
        <f t="shared" si="142"/>
        <v>0</v>
      </c>
      <c r="W215" s="1107" t="e">
        <f t="shared" si="143"/>
        <v>#VALUE!</v>
      </c>
      <c r="X215" s="1108">
        <f t="shared" si="144"/>
        <v>199677.7562324091</v>
      </c>
      <c r="Y215" s="1109">
        <f t="shared" si="145"/>
        <v>31482777</v>
      </c>
      <c r="Z215" s="1109">
        <f t="shared" si="146"/>
        <v>6190010.4432046823</v>
      </c>
      <c r="AA215" s="1110">
        <f t="shared" si="147"/>
        <v>25292766.556795318</v>
      </c>
      <c r="AB215" s="1119">
        <f t="shared" si="148"/>
        <v>0.1966157700511833</v>
      </c>
      <c r="AC215" s="1754">
        <f t="shared" si="149"/>
        <v>0.80338422994881675</v>
      </c>
    </row>
    <row r="216" spans="2:29" hidden="1" x14ac:dyDescent="0.25">
      <c r="B216" s="1113">
        <f t="shared" si="135"/>
        <v>2030</v>
      </c>
      <c r="C216" s="1114">
        <v>47635</v>
      </c>
      <c r="D216" s="1744">
        <f>'Diciembre - 2019  '!$N$34+'Diciembre - 2019  '!$N$43</f>
        <v>104018642.60000001</v>
      </c>
      <c r="E216" s="1121">
        <f>'Diciembre - 2019  '!$N$54</f>
        <v>113809.99999999999</v>
      </c>
      <c r="F216" s="1745">
        <f t="shared" si="136"/>
        <v>104132452.60000001</v>
      </c>
      <c r="G216" s="1121">
        <f>'Diciembre - 2019  '!$M$33</f>
        <v>4753878.6400000006</v>
      </c>
      <c r="H216" s="1121">
        <f>'Diciembre - 2019  '!$M$54</f>
        <v>5690.5</v>
      </c>
      <c r="I216" s="1121">
        <f t="shared" si="137"/>
        <v>4759569.1400000006</v>
      </c>
      <c r="J216" s="2067">
        <f>'Diciembre - 2019  '!$H$22</f>
        <v>0.14799999999999999</v>
      </c>
      <c r="K216" s="2069">
        <f>'Diciembre - 2019  '!$I$22</f>
        <v>1.4200000000000001E-2</v>
      </c>
      <c r="L216" s="1104">
        <f t="shared" si="138"/>
        <v>30</v>
      </c>
      <c r="M216" s="1153">
        <v>31482778</v>
      </c>
      <c r="N216" s="1107">
        <f t="shared" si="139"/>
        <v>1049425.9333333333</v>
      </c>
      <c r="O216" s="1164">
        <f>'Diciembre - 2019  '!$I$22</f>
        <v>1.4200000000000001E-2</v>
      </c>
      <c r="P216" s="1118">
        <f t="shared" si="140"/>
        <v>5869182.201933383</v>
      </c>
      <c r="Q216" s="1118">
        <f>'Diciembre - 2019  '!$K$54</f>
        <v>6190010.4432046823</v>
      </c>
      <c r="R216" s="1117">
        <f>'Diciembre - 2019  '!$L$15</f>
        <v>0</v>
      </c>
      <c r="S216" s="1743">
        <f t="shared" si="141"/>
        <v>21.878546048392941</v>
      </c>
      <c r="T216" s="1753">
        <f>'Diciembre - 2019  '!$Z$89</f>
        <v>0</v>
      </c>
      <c r="U216" s="1107">
        <f>'Diciembre - 2019  '!$AA$89</f>
        <v>0</v>
      </c>
      <c r="V216" s="1107">
        <f t="shared" si="142"/>
        <v>0</v>
      </c>
      <c r="W216" s="1107" t="e">
        <f t="shared" si="143"/>
        <v>#VALUE!</v>
      </c>
      <c r="X216" s="1108">
        <f t="shared" si="144"/>
        <v>206333.68144015607</v>
      </c>
      <c r="Y216" s="1109">
        <f t="shared" si="145"/>
        <v>31482778</v>
      </c>
      <c r="Z216" s="1109">
        <f t="shared" si="146"/>
        <v>6190010.4432046823</v>
      </c>
      <c r="AA216" s="1110">
        <f t="shared" si="147"/>
        <v>25292767.556795318</v>
      </c>
      <c r="AB216" s="1119">
        <f t="shared" si="148"/>
        <v>0.19661576380599838</v>
      </c>
      <c r="AC216" s="1754">
        <f t="shared" si="149"/>
        <v>0.80338423619400157</v>
      </c>
    </row>
    <row r="217" spans="2:29" hidden="1" x14ac:dyDescent="0.25">
      <c r="B217" s="1113">
        <f t="shared" si="135"/>
        <v>2030</v>
      </c>
      <c r="C217" s="1114">
        <v>47665</v>
      </c>
      <c r="D217" s="1744">
        <f>'Diciembre - 2019  '!$N$34+'Diciembre - 2019  '!$N$43</f>
        <v>104018642.60000001</v>
      </c>
      <c r="E217" s="1121">
        <f>'Diciembre - 2019  '!$N$54</f>
        <v>113809.99999999999</v>
      </c>
      <c r="F217" s="1745">
        <f t="shared" si="136"/>
        <v>104132452.60000001</v>
      </c>
      <c r="G217" s="1121">
        <f>'Diciembre - 2019  '!$M$33</f>
        <v>4753878.6400000006</v>
      </c>
      <c r="H217" s="1121">
        <f>'Diciembre - 2019  '!$M$54</f>
        <v>5690.5</v>
      </c>
      <c r="I217" s="1121">
        <f t="shared" si="137"/>
        <v>4759569.1400000006</v>
      </c>
      <c r="J217" s="2067">
        <f>'Diciembre - 2019  '!$H$22</f>
        <v>0.14799999999999999</v>
      </c>
      <c r="K217" s="2069">
        <f>'Diciembre - 2019  '!$I$22</f>
        <v>1.4200000000000001E-2</v>
      </c>
      <c r="L217" s="1104">
        <f t="shared" si="138"/>
        <v>31</v>
      </c>
      <c r="M217" s="1153">
        <v>31482779</v>
      </c>
      <c r="N217" s="1107">
        <f t="shared" si="139"/>
        <v>1015573.5161290322</v>
      </c>
      <c r="O217" s="1164">
        <f>'Diciembre - 2019  '!$I$22</f>
        <v>1.4200000000000001E-2</v>
      </c>
      <c r="P217" s="1118">
        <f t="shared" si="140"/>
        <v>5869182.201933383</v>
      </c>
      <c r="Q217" s="1118">
        <f>'Diciembre - 2019  '!$K$54</f>
        <v>6190010.4432046823</v>
      </c>
      <c r="R217" s="1117">
        <f>'Diciembre - 2019  '!$L$15</f>
        <v>0</v>
      </c>
      <c r="S217" s="1743">
        <f t="shared" si="141"/>
        <v>21.878546048392941</v>
      </c>
      <c r="T217" s="1753">
        <f>'Diciembre - 2019  '!$Z$89</f>
        <v>0</v>
      </c>
      <c r="U217" s="1107">
        <f>'Diciembre - 2019  '!$AA$89</f>
        <v>0</v>
      </c>
      <c r="V217" s="1107">
        <f t="shared" si="142"/>
        <v>0</v>
      </c>
      <c r="W217" s="1107" t="e">
        <f t="shared" si="143"/>
        <v>#VALUE!</v>
      </c>
      <c r="X217" s="1108">
        <f t="shared" si="144"/>
        <v>199677.7562324091</v>
      </c>
      <c r="Y217" s="1109">
        <f t="shared" si="145"/>
        <v>31482779</v>
      </c>
      <c r="Z217" s="1109">
        <f t="shared" si="146"/>
        <v>6190010.4432046823</v>
      </c>
      <c r="AA217" s="1110">
        <f t="shared" si="147"/>
        <v>25292768.556795318</v>
      </c>
      <c r="AB217" s="1119">
        <f t="shared" si="148"/>
        <v>0.19661575756081387</v>
      </c>
      <c r="AC217" s="1754">
        <f t="shared" si="149"/>
        <v>0.80338424243918616</v>
      </c>
    </row>
    <row r="218" spans="2:29" hidden="1" x14ac:dyDescent="0.25">
      <c r="B218" s="1113">
        <f t="shared" si="135"/>
        <v>2030</v>
      </c>
      <c r="C218" s="1114">
        <v>47696</v>
      </c>
      <c r="D218" s="1744">
        <f>'Diciembre - 2019  '!$N$34+'Diciembre - 2019  '!$N$43</f>
        <v>104018642.60000001</v>
      </c>
      <c r="E218" s="1121">
        <f>'Diciembre - 2019  '!$N$54</f>
        <v>113809.99999999999</v>
      </c>
      <c r="F218" s="1745">
        <f t="shared" si="136"/>
        <v>104132452.60000001</v>
      </c>
      <c r="G218" s="1121">
        <f>'Diciembre - 2019  '!$M$33</f>
        <v>4753878.6400000006</v>
      </c>
      <c r="H218" s="1121">
        <f>'Diciembre - 2019  '!$M$54</f>
        <v>5690.5</v>
      </c>
      <c r="I218" s="1121">
        <f t="shared" si="137"/>
        <v>4759569.1400000006</v>
      </c>
      <c r="J218" s="2067">
        <f>'Diciembre - 2019  '!$H$22</f>
        <v>0.14799999999999999</v>
      </c>
      <c r="K218" s="2069">
        <f>'Diciembre - 2019  '!$I$22</f>
        <v>1.4200000000000001E-2</v>
      </c>
      <c r="L218" s="1104">
        <f t="shared" si="138"/>
        <v>31</v>
      </c>
      <c r="M218" s="1153">
        <v>31482780</v>
      </c>
      <c r="N218" s="1107">
        <f t="shared" si="139"/>
        <v>1015573.5483870967</v>
      </c>
      <c r="O218" s="1164">
        <f>'Diciembre - 2019  '!$I$22</f>
        <v>1.4200000000000001E-2</v>
      </c>
      <c r="P218" s="1118">
        <f t="shared" si="140"/>
        <v>5869182.201933383</v>
      </c>
      <c r="Q218" s="1118">
        <f>'Diciembre - 2019  '!$K$54</f>
        <v>6190010.4432046823</v>
      </c>
      <c r="R218" s="1117">
        <f>'Diciembre - 2019  '!$L$15</f>
        <v>0</v>
      </c>
      <c r="S218" s="1743">
        <f t="shared" si="141"/>
        <v>21.878546048392941</v>
      </c>
      <c r="T218" s="1753">
        <f>'Diciembre - 2019  '!$Z$89</f>
        <v>0</v>
      </c>
      <c r="U218" s="1107">
        <f>'Diciembre - 2019  '!$AA$89</f>
        <v>0</v>
      </c>
      <c r="V218" s="1107">
        <f t="shared" si="142"/>
        <v>0</v>
      </c>
      <c r="W218" s="1107" t="e">
        <f t="shared" si="143"/>
        <v>#VALUE!</v>
      </c>
      <c r="X218" s="1108">
        <f t="shared" si="144"/>
        <v>199677.7562324091</v>
      </c>
      <c r="Y218" s="1109">
        <f t="shared" si="145"/>
        <v>31482780</v>
      </c>
      <c r="Z218" s="1109">
        <f t="shared" si="146"/>
        <v>6190010.4432046823</v>
      </c>
      <c r="AA218" s="1110">
        <f t="shared" si="147"/>
        <v>25292769.556795318</v>
      </c>
      <c r="AB218" s="1119">
        <f t="shared" si="148"/>
        <v>0.19661575131562975</v>
      </c>
      <c r="AC218" s="1754">
        <f t="shared" si="149"/>
        <v>0.80338424868437031</v>
      </c>
    </row>
    <row r="219" spans="2:29" hidden="1" x14ac:dyDescent="0.25">
      <c r="B219" s="1113">
        <f t="shared" si="135"/>
        <v>2030</v>
      </c>
      <c r="C219" s="1114">
        <v>47727</v>
      </c>
      <c r="D219" s="1744">
        <f>'Diciembre - 2019  '!$N$34+'Diciembre - 2019  '!$N$43</f>
        <v>104018642.60000001</v>
      </c>
      <c r="E219" s="1121">
        <f>'Diciembre - 2019  '!$N$54</f>
        <v>113809.99999999999</v>
      </c>
      <c r="F219" s="1745">
        <f t="shared" si="136"/>
        <v>104132452.60000001</v>
      </c>
      <c r="G219" s="1121">
        <f>'Diciembre - 2019  '!$M$33</f>
        <v>4753878.6400000006</v>
      </c>
      <c r="H219" s="1121">
        <f>'Diciembre - 2019  '!$M$54</f>
        <v>5690.5</v>
      </c>
      <c r="I219" s="1121">
        <f t="shared" si="137"/>
        <v>4759569.1400000006</v>
      </c>
      <c r="J219" s="2067">
        <f>'Diciembre - 2019  '!$H$22</f>
        <v>0.14799999999999999</v>
      </c>
      <c r="K219" s="2069">
        <f>'Diciembre - 2019  '!$I$22</f>
        <v>1.4200000000000001E-2</v>
      </c>
      <c r="L219" s="1104">
        <f t="shared" si="138"/>
        <v>30</v>
      </c>
      <c r="M219" s="1153">
        <v>31482781</v>
      </c>
      <c r="N219" s="1107">
        <f t="shared" si="139"/>
        <v>1049426.0333333334</v>
      </c>
      <c r="O219" s="1164">
        <f>'Diciembre - 2019  '!$I$22</f>
        <v>1.4200000000000001E-2</v>
      </c>
      <c r="P219" s="1118">
        <f t="shared" si="140"/>
        <v>5869182.201933383</v>
      </c>
      <c r="Q219" s="1118">
        <f>'Diciembre - 2019  '!$K$54</f>
        <v>6190010.4432046823</v>
      </c>
      <c r="R219" s="1117">
        <f>'Diciembre - 2019  '!$L$15</f>
        <v>0</v>
      </c>
      <c r="S219" s="1743">
        <f t="shared" si="141"/>
        <v>21.878546048392941</v>
      </c>
      <c r="T219" s="1753">
        <f>'Diciembre - 2019  '!$Z$89</f>
        <v>0</v>
      </c>
      <c r="U219" s="1107">
        <f>'Diciembre - 2019  '!$AA$89</f>
        <v>0</v>
      </c>
      <c r="V219" s="1107">
        <f t="shared" si="142"/>
        <v>0</v>
      </c>
      <c r="W219" s="1107" t="e">
        <f t="shared" si="143"/>
        <v>#VALUE!</v>
      </c>
      <c r="X219" s="1108">
        <f t="shared" si="144"/>
        <v>206333.68144015607</v>
      </c>
      <c r="Y219" s="1109">
        <f t="shared" si="145"/>
        <v>31482781</v>
      </c>
      <c r="Z219" s="1109">
        <f t="shared" si="146"/>
        <v>6190010.4432046823</v>
      </c>
      <c r="AA219" s="1110">
        <f t="shared" si="147"/>
        <v>25292770.556795318</v>
      </c>
      <c r="AB219" s="1119">
        <f t="shared" si="148"/>
        <v>0.19661574507044605</v>
      </c>
      <c r="AC219" s="1754">
        <f t="shared" si="149"/>
        <v>0.80338425492955401</v>
      </c>
    </row>
    <row r="220" spans="2:29" hidden="1" x14ac:dyDescent="0.25">
      <c r="B220" s="1113">
        <f t="shared" si="135"/>
        <v>2030</v>
      </c>
      <c r="C220" s="1114">
        <v>47757</v>
      </c>
      <c r="D220" s="1744">
        <f>'Diciembre - 2019  '!$N$34+'Diciembre - 2019  '!$N$43</f>
        <v>104018642.60000001</v>
      </c>
      <c r="E220" s="1121">
        <f>'Diciembre - 2019  '!$N$54</f>
        <v>113809.99999999999</v>
      </c>
      <c r="F220" s="1745">
        <f t="shared" si="136"/>
        <v>104132452.60000001</v>
      </c>
      <c r="G220" s="1121">
        <f>'Diciembre - 2019  '!$M$33</f>
        <v>4753878.6400000006</v>
      </c>
      <c r="H220" s="1121">
        <f>'Diciembre - 2019  '!$M$54</f>
        <v>5690.5</v>
      </c>
      <c r="I220" s="1121">
        <f t="shared" si="137"/>
        <v>4759569.1400000006</v>
      </c>
      <c r="J220" s="2067">
        <f>'Diciembre - 2019  '!$H$22</f>
        <v>0.14799999999999999</v>
      </c>
      <c r="K220" s="2069">
        <f>'Diciembre - 2019  '!$I$22</f>
        <v>1.4200000000000001E-2</v>
      </c>
      <c r="L220" s="1104">
        <f t="shared" si="138"/>
        <v>31</v>
      </c>
      <c r="M220" s="1153">
        <v>31482782</v>
      </c>
      <c r="N220" s="1107">
        <f t="shared" si="139"/>
        <v>1015573.6129032258</v>
      </c>
      <c r="O220" s="1164">
        <f>'Diciembre - 2019  '!$I$22</f>
        <v>1.4200000000000001E-2</v>
      </c>
      <c r="P220" s="1118">
        <f t="shared" si="140"/>
        <v>5869182.201933383</v>
      </c>
      <c r="Q220" s="1118">
        <f>'Diciembre - 2019  '!$K$54</f>
        <v>6190010.4432046823</v>
      </c>
      <c r="R220" s="1117">
        <f>'Diciembre - 2019  '!$L$15</f>
        <v>0</v>
      </c>
      <c r="S220" s="1743">
        <f t="shared" si="141"/>
        <v>21.878546048392941</v>
      </c>
      <c r="T220" s="1753">
        <f>'Diciembre - 2019  '!$Z$89</f>
        <v>0</v>
      </c>
      <c r="U220" s="1107">
        <f>'Diciembre - 2019  '!$AA$89</f>
        <v>0</v>
      </c>
      <c r="V220" s="1107">
        <f t="shared" si="142"/>
        <v>0</v>
      </c>
      <c r="W220" s="1107" t="e">
        <f t="shared" si="143"/>
        <v>#VALUE!</v>
      </c>
      <c r="X220" s="1108">
        <f t="shared" si="144"/>
        <v>199677.7562324091</v>
      </c>
      <c r="Y220" s="1109">
        <f t="shared" si="145"/>
        <v>31482782</v>
      </c>
      <c r="Z220" s="1109">
        <f t="shared" si="146"/>
        <v>6190010.4432046823</v>
      </c>
      <c r="AA220" s="1110">
        <f t="shared" si="147"/>
        <v>25292771.556795318</v>
      </c>
      <c r="AB220" s="1119">
        <f t="shared" si="148"/>
        <v>0.19661573882526273</v>
      </c>
      <c r="AC220" s="1754">
        <f t="shared" si="149"/>
        <v>0.80338426117473727</v>
      </c>
    </row>
    <row r="221" spans="2:29" hidden="1" x14ac:dyDescent="0.25">
      <c r="B221" s="1113">
        <f t="shared" si="135"/>
        <v>2030</v>
      </c>
      <c r="C221" s="1114">
        <v>47788</v>
      </c>
      <c r="D221" s="1744">
        <f>'Diciembre - 2019  '!$N$34+'Diciembre - 2019  '!$N$43</f>
        <v>104018642.60000001</v>
      </c>
      <c r="E221" s="1121">
        <f>'Diciembre - 2019  '!$N$54</f>
        <v>113809.99999999999</v>
      </c>
      <c r="F221" s="1745">
        <f t="shared" si="136"/>
        <v>104132452.60000001</v>
      </c>
      <c r="G221" s="1121">
        <f>'Diciembre - 2019  '!$M$33</f>
        <v>4753878.6400000006</v>
      </c>
      <c r="H221" s="1121">
        <f>'Diciembre - 2019  '!$M$54</f>
        <v>5690.5</v>
      </c>
      <c r="I221" s="1121">
        <f t="shared" si="137"/>
        <v>4759569.1400000006</v>
      </c>
      <c r="J221" s="2067">
        <f>'Diciembre - 2019  '!$H$22</f>
        <v>0.14799999999999999</v>
      </c>
      <c r="K221" s="2069">
        <f>'Diciembre - 2019  '!$I$22</f>
        <v>1.4200000000000001E-2</v>
      </c>
      <c r="L221" s="1104">
        <f t="shared" si="138"/>
        <v>30</v>
      </c>
      <c r="M221" s="1153">
        <v>31482783</v>
      </c>
      <c r="N221" s="1107">
        <f t="shared" si="139"/>
        <v>1049426.1000000001</v>
      </c>
      <c r="O221" s="1164">
        <f>'Diciembre - 2019  '!$I$22</f>
        <v>1.4200000000000001E-2</v>
      </c>
      <c r="P221" s="1118">
        <f t="shared" si="140"/>
        <v>5869182.201933383</v>
      </c>
      <c r="Q221" s="1118">
        <f>'Diciembre - 2019  '!$K$54</f>
        <v>6190010.4432046823</v>
      </c>
      <c r="R221" s="1117">
        <f>'Diciembre - 2019  '!$L$15</f>
        <v>0</v>
      </c>
      <c r="S221" s="1743">
        <f t="shared" si="141"/>
        <v>21.878546048392941</v>
      </c>
      <c r="T221" s="1753">
        <f>'Diciembre - 2019  '!$Z$89</f>
        <v>0</v>
      </c>
      <c r="U221" s="1107">
        <f>'Diciembre - 2019  '!$AA$89</f>
        <v>0</v>
      </c>
      <c r="V221" s="1107">
        <f t="shared" si="142"/>
        <v>0</v>
      </c>
      <c r="W221" s="1107" t="e">
        <f t="shared" si="143"/>
        <v>#VALUE!</v>
      </c>
      <c r="X221" s="1108">
        <f t="shared" si="144"/>
        <v>206333.68144015607</v>
      </c>
      <c r="Y221" s="1109">
        <f t="shared" si="145"/>
        <v>31482783</v>
      </c>
      <c r="Z221" s="1109">
        <f t="shared" si="146"/>
        <v>6190010.4432046823</v>
      </c>
      <c r="AA221" s="1110">
        <f t="shared" si="147"/>
        <v>25292772.556795318</v>
      </c>
      <c r="AB221" s="1119">
        <f t="shared" si="148"/>
        <v>0.19661573258007981</v>
      </c>
      <c r="AC221" s="1754">
        <f t="shared" si="149"/>
        <v>0.80338426741992019</v>
      </c>
    </row>
    <row r="222" spans="2:29" hidden="1" x14ac:dyDescent="0.25">
      <c r="B222" s="1113">
        <f t="shared" si="135"/>
        <v>2030</v>
      </c>
      <c r="C222" s="1114">
        <v>47818</v>
      </c>
      <c r="D222" s="1744">
        <f>'Diciembre - 2019  '!$N$34+'Diciembre - 2019  '!$N$43</f>
        <v>104018642.60000001</v>
      </c>
      <c r="E222" s="1121">
        <f>'Diciembre - 2019  '!$N$54</f>
        <v>113809.99999999999</v>
      </c>
      <c r="F222" s="1745">
        <f t="shared" si="136"/>
        <v>104132452.60000001</v>
      </c>
      <c r="G222" s="1121">
        <f>'Diciembre - 2019  '!$M$33</f>
        <v>4753878.6400000006</v>
      </c>
      <c r="H222" s="1121">
        <f>'Diciembre - 2019  '!$M$54</f>
        <v>5690.5</v>
      </c>
      <c r="I222" s="1121">
        <f t="shared" si="137"/>
        <v>4759569.1400000006</v>
      </c>
      <c r="J222" s="2067">
        <f>'Diciembre - 2019  '!$H$22</f>
        <v>0.14799999999999999</v>
      </c>
      <c r="K222" s="2069">
        <f>'Diciembre - 2019  '!$I$22</f>
        <v>1.4200000000000001E-2</v>
      </c>
      <c r="L222" s="1104">
        <f t="shared" si="138"/>
        <v>31</v>
      </c>
      <c r="M222" s="1153">
        <v>31482784</v>
      </c>
      <c r="N222" s="1107">
        <f t="shared" si="139"/>
        <v>1015573.6774193548</v>
      </c>
      <c r="O222" s="1164">
        <f>'Diciembre - 2019  '!$I$22</f>
        <v>1.4200000000000001E-2</v>
      </c>
      <c r="P222" s="1118">
        <f t="shared" si="140"/>
        <v>5869182.201933383</v>
      </c>
      <c r="Q222" s="1118">
        <f>'Diciembre - 2019  '!$K$54</f>
        <v>6190010.4432046823</v>
      </c>
      <c r="R222" s="1117">
        <f>'Diciembre - 2019  '!$L$15</f>
        <v>0</v>
      </c>
      <c r="S222" s="1743">
        <f t="shared" si="141"/>
        <v>21.878546048392941</v>
      </c>
      <c r="T222" s="1753">
        <f>'Diciembre - 2019  '!$Z$89</f>
        <v>0</v>
      </c>
      <c r="U222" s="1107">
        <f>'Diciembre - 2019  '!$AA$89</f>
        <v>0</v>
      </c>
      <c r="V222" s="1107">
        <f t="shared" si="142"/>
        <v>0</v>
      </c>
      <c r="W222" s="1107" t="e">
        <f t="shared" si="143"/>
        <v>#VALUE!</v>
      </c>
      <c r="X222" s="1108">
        <f t="shared" si="144"/>
        <v>199677.7562324091</v>
      </c>
      <c r="Y222" s="1109">
        <f t="shared" si="145"/>
        <v>31482784</v>
      </c>
      <c r="Z222" s="1109">
        <f t="shared" si="146"/>
        <v>6190010.4432046823</v>
      </c>
      <c r="AA222" s="1110">
        <f t="shared" si="147"/>
        <v>25292773.556795318</v>
      </c>
      <c r="AB222" s="1119">
        <f t="shared" si="148"/>
        <v>0.19661572633489727</v>
      </c>
      <c r="AC222" s="1754">
        <f t="shared" si="149"/>
        <v>0.80338427366510268</v>
      </c>
    </row>
    <row r="223" spans="2:29" hidden="1" x14ac:dyDescent="0.25">
      <c r="B223" s="1113">
        <f t="shared" si="135"/>
        <v>2031</v>
      </c>
      <c r="C223" s="1114">
        <v>47849</v>
      </c>
      <c r="D223" s="1744">
        <f>'Diciembre - 2019  '!$N$34+'Diciembre - 2019  '!$N$43</f>
        <v>104018642.60000001</v>
      </c>
      <c r="E223" s="1121">
        <f>'Diciembre - 2019  '!$N$54</f>
        <v>113809.99999999999</v>
      </c>
      <c r="F223" s="1745">
        <f t="shared" si="136"/>
        <v>104132452.60000001</v>
      </c>
      <c r="G223" s="1121">
        <f>'Diciembre - 2019  '!$M$33</f>
        <v>4753878.6400000006</v>
      </c>
      <c r="H223" s="1121">
        <f>'Diciembre - 2019  '!$M$54</f>
        <v>5690.5</v>
      </c>
      <c r="I223" s="1121">
        <f t="shared" si="137"/>
        <v>4759569.1400000006</v>
      </c>
      <c r="J223" s="2067">
        <f>'Diciembre - 2019  '!$H$22</f>
        <v>0.14799999999999999</v>
      </c>
      <c r="K223" s="2069">
        <f>'Diciembre - 2019  '!$I$22</f>
        <v>1.4200000000000001E-2</v>
      </c>
      <c r="L223" s="1104">
        <f t="shared" si="138"/>
        <v>31</v>
      </c>
      <c r="M223" s="1153">
        <v>31482785</v>
      </c>
      <c r="N223" s="1107">
        <f t="shared" si="139"/>
        <v>1015573.7096774194</v>
      </c>
      <c r="O223" s="1164">
        <f>'Diciembre - 2019  '!$I$22</f>
        <v>1.4200000000000001E-2</v>
      </c>
      <c r="P223" s="1118">
        <f t="shared" si="140"/>
        <v>5869182.201933383</v>
      </c>
      <c r="Q223" s="1118">
        <f>'Diciembre - 2019  '!$K$54</f>
        <v>6190010.4432046823</v>
      </c>
      <c r="R223" s="1117">
        <f>'Diciembre - 2019  '!$L$15</f>
        <v>0</v>
      </c>
      <c r="S223" s="1743">
        <f t="shared" si="141"/>
        <v>21.878546048392941</v>
      </c>
      <c r="T223" s="1753">
        <f>'Diciembre - 2019  '!$Z$89</f>
        <v>0</v>
      </c>
      <c r="U223" s="1107">
        <f>'Diciembre - 2019  '!$AA$89</f>
        <v>0</v>
      </c>
      <c r="V223" s="1107">
        <f t="shared" si="142"/>
        <v>0</v>
      </c>
      <c r="W223" s="1107" t="e">
        <f t="shared" si="143"/>
        <v>#VALUE!</v>
      </c>
      <c r="X223" s="1108">
        <f t="shared" si="144"/>
        <v>199677.7562324091</v>
      </c>
      <c r="Y223" s="1109">
        <f t="shared" si="145"/>
        <v>31482785</v>
      </c>
      <c r="Z223" s="1109">
        <f t="shared" si="146"/>
        <v>6190010.4432046823</v>
      </c>
      <c r="AA223" s="1110">
        <f t="shared" si="147"/>
        <v>25292774.556795318</v>
      </c>
      <c r="AB223" s="1119">
        <f t="shared" si="148"/>
        <v>0.19661572008971515</v>
      </c>
      <c r="AC223" s="1754">
        <f t="shared" si="149"/>
        <v>0.80338427991028483</v>
      </c>
    </row>
    <row r="224" spans="2:29" hidden="1" x14ac:dyDescent="0.25">
      <c r="B224" s="1113">
        <f t="shared" si="135"/>
        <v>2031</v>
      </c>
      <c r="C224" s="1114">
        <v>47880</v>
      </c>
      <c r="D224" s="1744">
        <f>'Diciembre - 2019  '!$N$34+'Diciembre - 2019  '!$N$43</f>
        <v>104018642.60000001</v>
      </c>
      <c r="E224" s="1121">
        <f>'Diciembre - 2019  '!$N$54</f>
        <v>113809.99999999999</v>
      </c>
      <c r="F224" s="1745">
        <f t="shared" si="136"/>
        <v>104132452.60000001</v>
      </c>
      <c r="G224" s="1121">
        <f>'Diciembre - 2019  '!$M$33</f>
        <v>4753878.6400000006</v>
      </c>
      <c r="H224" s="1121">
        <f>'Diciembre - 2019  '!$M$54</f>
        <v>5690.5</v>
      </c>
      <c r="I224" s="1121">
        <f t="shared" si="137"/>
        <v>4759569.1400000006</v>
      </c>
      <c r="J224" s="2067">
        <f>'Diciembre - 2019  '!$H$22</f>
        <v>0.14799999999999999</v>
      </c>
      <c r="K224" s="2069">
        <f>'Diciembre - 2019  '!$I$22</f>
        <v>1.4200000000000001E-2</v>
      </c>
      <c r="L224" s="1104">
        <f t="shared" si="138"/>
        <v>28</v>
      </c>
      <c r="M224" s="1153">
        <v>31482786</v>
      </c>
      <c r="N224" s="1107">
        <f t="shared" si="139"/>
        <v>1124385.2142857143</v>
      </c>
      <c r="O224" s="1164">
        <f>'Diciembre - 2019  '!$I$22</f>
        <v>1.4200000000000001E-2</v>
      </c>
      <c r="P224" s="1118">
        <f t="shared" si="140"/>
        <v>5869182.201933383</v>
      </c>
      <c r="Q224" s="1118">
        <f>'Diciembre - 2019  '!$K$54</f>
        <v>6190010.4432046823</v>
      </c>
      <c r="R224" s="1117">
        <f>'Diciembre - 2019  '!$L$15</f>
        <v>0</v>
      </c>
      <c r="S224" s="1743">
        <f t="shared" si="141"/>
        <v>21.878546048392941</v>
      </c>
      <c r="T224" s="1753">
        <f>'Diciembre - 2019  '!$Z$89</f>
        <v>0</v>
      </c>
      <c r="U224" s="1107">
        <f>'Diciembre - 2019  '!$AA$89</f>
        <v>0</v>
      </c>
      <c r="V224" s="1107">
        <f t="shared" si="142"/>
        <v>0</v>
      </c>
      <c r="W224" s="1107" t="e">
        <f t="shared" si="143"/>
        <v>#VALUE!</v>
      </c>
      <c r="X224" s="1108">
        <f t="shared" si="144"/>
        <v>221071.80154302437</v>
      </c>
      <c r="Y224" s="1109">
        <f t="shared" si="145"/>
        <v>31482786</v>
      </c>
      <c r="Z224" s="1109">
        <f t="shared" si="146"/>
        <v>6190010.4432046823</v>
      </c>
      <c r="AA224" s="1110">
        <f t="shared" si="147"/>
        <v>25292775.556795318</v>
      </c>
      <c r="AB224" s="1119">
        <f t="shared" si="148"/>
        <v>0.19661571384453341</v>
      </c>
      <c r="AC224" s="1754">
        <f t="shared" si="149"/>
        <v>0.80338428615546653</v>
      </c>
    </row>
    <row r="225" spans="2:29" hidden="1" x14ac:dyDescent="0.25">
      <c r="B225" s="1113">
        <f t="shared" si="135"/>
        <v>2031</v>
      </c>
      <c r="C225" s="1114">
        <v>47908</v>
      </c>
      <c r="D225" s="1744">
        <f>'Diciembre - 2019  '!$N$34+'Diciembre - 2019  '!$N$43</f>
        <v>104018642.60000001</v>
      </c>
      <c r="E225" s="1121">
        <f>'Diciembre - 2019  '!$N$54</f>
        <v>113809.99999999999</v>
      </c>
      <c r="F225" s="1745">
        <f t="shared" si="136"/>
        <v>104132452.60000001</v>
      </c>
      <c r="G225" s="1121">
        <f>'Diciembre - 2019  '!$M$33</f>
        <v>4753878.6400000006</v>
      </c>
      <c r="H225" s="1121">
        <f>'Diciembre - 2019  '!$M$54</f>
        <v>5690.5</v>
      </c>
      <c r="I225" s="1121">
        <f t="shared" si="137"/>
        <v>4759569.1400000006</v>
      </c>
      <c r="J225" s="2067">
        <f>'Diciembre - 2019  '!$H$22</f>
        <v>0.14799999999999999</v>
      </c>
      <c r="K225" s="2069">
        <f>'Diciembre - 2019  '!$I$22</f>
        <v>1.4200000000000001E-2</v>
      </c>
      <c r="L225" s="1104">
        <f t="shared" si="138"/>
        <v>31</v>
      </c>
      <c r="M225" s="1153">
        <v>31482787</v>
      </c>
      <c r="N225" s="1107">
        <f t="shared" si="139"/>
        <v>1015573.7741935484</v>
      </c>
      <c r="O225" s="1164">
        <f>'Diciembre - 2019  '!$I$22</f>
        <v>1.4200000000000001E-2</v>
      </c>
      <c r="P225" s="1118">
        <f t="shared" si="140"/>
        <v>5869182.201933383</v>
      </c>
      <c r="Q225" s="1118">
        <f>'Diciembre - 2019  '!$K$54</f>
        <v>6190010.4432046823</v>
      </c>
      <c r="R225" s="1117">
        <f>'Diciembre - 2019  '!$L$15</f>
        <v>0</v>
      </c>
      <c r="S225" s="1743">
        <f t="shared" si="141"/>
        <v>21.878546048392941</v>
      </c>
      <c r="T225" s="1753">
        <f>'Diciembre - 2019  '!$Z$89</f>
        <v>0</v>
      </c>
      <c r="U225" s="1107">
        <f>'Diciembre - 2019  '!$AA$89</f>
        <v>0</v>
      </c>
      <c r="V225" s="1107">
        <f t="shared" si="142"/>
        <v>0</v>
      </c>
      <c r="W225" s="1107" t="e">
        <f t="shared" si="143"/>
        <v>#VALUE!</v>
      </c>
      <c r="X225" s="1108">
        <f t="shared" si="144"/>
        <v>199677.7562324091</v>
      </c>
      <c r="Y225" s="1109">
        <f t="shared" si="145"/>
        <v>31482787</v>
      </c>
      <c r="Z225" s="1109">
        <f t="shared" si="146"/>
        <v>6190010.4432046823</v>
      </c>
      <c r="AA225" s="1110">
        <f t="shared" si="147"/>
        <v>25292776.556795318</v>
      </c>
      <c r="AB225" s="1119">
        <f t="shared" si="148"/>
        <v>0.19661570759935207</v>
      </c>
      <c r="AC225" s="1754">
        <f t="shared" si="149"/>
        <v>0.8033842924006479</v>
      </c>
    </row>
    <row r="226" spans="2:29" hidden="1" x14ac:dyDescent="0.25">
      <c r="B226" s="1113">
        <f t="shared" si="135"/>
        <v>2031</v>
      </c>
      <c r="C226" s="1114">
        <v>47939</v>
      </c>
      <c r="D226" s="1744">
        <f>'Diciembre - 2019  '!$N$34+'Diciembre - 2019  '!$N$43</f>
        <v>104018642.60000001</v>
      </c>
      <c r="E226" s="1121">
        <f>'Diciembre - 2019  '!$N$54</f>
        <v>113809.99999999999</v>
      </c>
      <c r="F226" s="1745">
        <f t="shared" si="136"/>
        <v>104132452.60000001</v>
      </c>
      <c r="G226" s="1121">
        <f>'Diciembre - 2019  '!$M$33</f>
        <v>4753878.6400000006</v>
      </c>
      <c r="H226" s="1121">
        <f>'Diciembre - 2019  '!$M$54</f>
        <v>5690.5</v>
      </c>
      <c r="I226" s="1121">
        <f t="shared" si="137"/>
        <v>4759569.1400000006</v>
      </c>
      <c r="J226" s="2067">
        <f>'Diciembre - 2019  '!$H$22</f>
        <v>0.14799999999999999</v>
      </c>
      <c r="K226" s="2069">
        <f>'Diciembre - 2019  '!$I$22</f>
        <v>1.4200000000000001E-2</v>
      </c>
      <c r="L226" s="1104">
        <f t="shared" si="138"/>
        <v>30</v>
      </c>
      <c r="M226" s="1153">
        <v>31482788</v>
      </c>
      <c r="N226" s="1107">
        <f t="shared" si="139"/>
        <v>1049426.2666666666</v>
      </c>
      <c r="O226" s="1164">
        <f>'Diciembre - 2019  '!$I$22</f>
        <v>1.4200000000000001E-2</v>
      </c>
      <c r="P226" s="1118">
        <f t="shared" si="140"/>
        <v>5869182.201933383</v>
      </c>
      <c r="Q226" s="1118">
        <f>'Diciembre - 2019  '!$K$54</f>
        <v>6190010.4432046823</v>
      </c>
      <c r="R226" s="1117">
        <f>'Diciembre - 2019  '!$L$15</f>
        <v>0</v>
      </c>
      <c r="S226" s="1743">
        <f t="shared" si="141"/>
        <v>21.878546048392941</v>
      </c>
      <c r="T226" s="1753">
        <f>'Diciembre - 2019  '!$Z$89</f>
        <v>0</v>
      </c>
      <c r="U226" s="1107">
        <f>'Diciembre - 2019  '!$AA$89</f>
        <v>0</v>
      </c>
      <c r="V226" s="1107">
        <f t="shared" si="142"/>
        <v>0</v>
      </c>
      <c r="W226" s="1107" t="e">
        <f t="shared" si="143"/>
        <v>#VALUE!</v>
      </c>
      <c r="X226" s="1108">
        <f t="shared" si="144"/>
        <v>206333.68144015607</v>
      </c>
      <c r="Y226" s="1109">
        <f t="shared" si="145"/>
        <v>31482788</v>
      </c>
      <c r="Z226" s="1109">
        <f t="shared" si="146"/>
        <v>6190010.4432046823</v>
      </c>
      <c r="AA226" s="1110">
        <f t="shared" si="147"/>
        <v>25292777.556795318</v>
      </c>
      <c r="AB226" s="1119">
        <f t="shared" si="148"/>
        <v>0.19661570135417111</v>
      </c>
      <c r="AC226" s="1754">
        <f t="shared" si="149"/>
        <v>0.80338429864582883</v>
      </c>
    </row>
    <row r="227" spans="2:29" hidden="1" x14ac:dyDescent="0.25">
      <c r="B227" s="1113">
        <f t="shared" si="135"/>
        <v>2031</v>
      </c>
      <c r="C227" s="1114">
        <v>47969</v>
      </c>
      <c r="D227" s="1744">
        <f>'Diciembre - 2019  '!$N$34+'Diciembre - 2019  '!$N$43</f>
        <v>104018642.60000001</v>
      </c>
      <c r="E227" s="1121">
        <f>'Diciembre - 2019  '!$N$54</f>
        <v>113809.99999999999</v>
      </c>
      <c r="F227" s="1745">
        <f t="shared" si="136"/>
        <v>104132452.60000001</v>
      </c>
      <c r="G227" s="1121">
        <f>'Diciembre - 2019  '!$M$33</f>
        <v>4753878.6400000006</v>
      </c>
      <c r="H227" s="1121">
        <f>'Diciembre - 2019  '!$M$54</f>
        <v>5690.5</v>
      </c>
      <c r="I227" s="1121">
        <f t="shared" si="137"/>
        <v>4759569.1400000006</v>
      </c>
      <c r="J227" s="2067">
        <f>'Diciembre - 2019  '!$H$22</f>
        <v>0.14799999999999999</v>
      </c>
      <c r="K227" s="2069">
        <f>'Diciembre - 2019  '!$I$22</f>
        <v>1.4200000000000001E-2</v>
      </c>
      <c r="L227" s="1104">
        <f t="shared" si="138"/>
        <v>31</v>
      </c>
      <c r="M227" s="1153">
        <v>31482789</v>
      </c>
      <c r="N227" s="1107">
        <f t="shared" si="139"/>
        <v>1015573.8387096775</v>
      </c>
      <c r="O227" s="1164">
        <f>'Diciembre - 2019  '!$I$22</f>
        <v>1.4200000000000001E-2</v>
      </c>
      <c r="P227" s="1118">
        <f t="shared" si="140"/>
        <v>5869182.201933383</v>
      </c>
      <c r="Q227" s="1118">
        <f>'Diciembre - 2019  '!$K$54</f>
        <v>6190010.4432046823</v>
      </c>
      <c r="R227" s="1117">
        <f>'Diciembre - 2019  '!$L$15</f>
        <v>0</v>
      </c>
      <c r="S227" s="1743">
        <f t="shared" si="141"/>
        <v>21.878546048392941</v>
      </c>
      <c r="T227" s="1753">
        <f>'Diciembre - 2019  '!$Z$89</f>
        <v>0</v>
      </c>
      <c r="U227" s="1107">
        <f>'Diciembre - 2019  '!$AA$89</f>
        <v>0</v>
      </c>
      <c r="V227" s="1107">
        <f t="shared" si="142"/>
        <v>0</v>
      </c>
      <c r="W227" s="1107" t="e">
        <f t="shared" si="143"/>
        <v>#VALUE!</v>
      </c>
      <c r="X227" s="1108">
        <f t="shared" si="144"/>
        <v>199677.7562324091</v>
      </c>
      <c r="Y227" s="1109">
        <f t="shared" si="145"/>
        <v>31482789</v>
      </c>
      <c r="Z227" s="1109">
        <f t="shared" si="146"/>
        <v>6190010.4432046823</v>
      </c>
      <c r="AA227" s="1110">
        <f t="shared" si="147"/>
        <v>25292778.556795318</v>
      </c>
      <c r="AB227" s="1119">
        <f t="shared" si="148"/>
        <v>0.19661569510899057</v>
      </c>
      <c r="AC227" s="1754">
        <f t="shared" si="149"/>
        <v>0.80338430489100943</v>
      </c>
    </row>
    <row r="228" spans="2:29" hidden="1" x14ac:dyDescent="0.25">
      <c r="B228" s="1113">
        <f t="shared" si="135"/>
        <v>2031</v>
      </c>
      <c r="C228" s="1114">
        <v>48000</v>
      </c>
      <c r="D228" s="1744">
        <f>'Diciembre - 2019  '!$N$34+'Diciembre - 2019  '!$N$43</f>
        <v>104018642.60000001</v>
      </c>
      <c r="E228" s="1121">
        <f>'Diciembre - 2019  '!$N$54</f>
        <v>113809.99999999999</v>
      </c>
      <c r="F228" s="1745">
        <f t="shared" si="136"/>
        <v>104132452.60000001</v>
      </c>
      <c r="G228" s="1121">
        <f>'Diciembre - 2019  '!$M$33</f>
        <v>4753878.6400000006</v>
      </c>
      <c r="H228" s="1121">
        <f>'Diciembre - 2019  '!$M$54</f>
        <v>5690.5</v>
      </c>
      <c r="I228" s="1121">
        <f t="shared" si="137"/>
        <v>4759569.1400000006</v>
      </c>
      <c r="J228" s="2067">
        <f>'Diciembre - 2019  '!$H$22</f>
        <v>0.14799999999999999</v>
      </c>
      <c r="K228" s="2069">
        <f>'Diciembre - 2019  '!$I$22</f>
        <v>1.4200000000000001E-2</v>
      </c>
      <c r="L228" s="1104">
        <f t="shared" si="138"/>
        <v>30</v>
      </c>
      <c r="M228" s="1153">
        <v>31482790</v>
      </c>
      <c r="N228" s="1107">
        <f t="shared" si="139"/>
        <v>1049426.3333333333</v>
      </c>
      <c r="O228" s="1164">
        <f>'Diciembre - 2019  '!$I$22</f>
        <v>1.4200000000000001E-2</v>
      </c>
      <c r="P228" s="1118">
        <f t="shared" si="140"/>
        <v>5869182.201933383</v>
      </c>
      <c r="Q228" s="1118">
        <f>'Diciembre - 2019  '!$K$54</f>
        <v>6190010.4432046823</v>
      </c>
      <c r="R228" s="1117">
        <f>'Diciembre - 2019  '!$L$15</f>
        <v>0</v>
      </c>
      <c r="S228" s="1743">
        <f t="shared" si="141"/>
        <v>21.878546048392941</v>
      </c>
      <c r="T228" s="1753">
        <f>'Diciembre - 2019  '!$Z$89</f>
        <v>0</v>
      </c>
      <c r="U228" s="1107">
        <f>'Diciembre - 2019  '!$AA$89</f>
        <v>0</v>
      </c>
      <c r="V228" s="1107">
        <f t="shared" si="142"/>
        <v>0</v>
      </c>
      <c r="W228" s="1107" t="e">
        <f t="shared" si="143"/>
        <v>#VALUE!</v>
      </c>
      <c r="X228" s="1108">
        <f t="shared" si="144"/>
        <v>206333.68144015607</v>
      </c>
      <c r="Y228" s="1109">
        <f t="shared" si="145"/>
        <v>31482790</v>
      </c>
      <c r="Z228" s="1109">
        <f t="shared" si="146"/>
        <v>6190010.4432046823</v>
      </c>
      <c r="AA228" s="1110">
        <f t="shared" si="147"/>
        <v>25292779.556795318</v>
      </c>
      <c r="AB228" s="1119">
        <f t="shared" si="148"/>
        <v>0.19661568886381042</v>
      </c>
      <c r="AC228" s="1754">
        <f t="shared" si="149"/>
        <v>0.80338431113618958</v>
      </c>
    </row>
    <row r="229" spans="2:29" hidden="1" x14ac:dyDescent="0.25">
      <c r="B229" s="1113">
        <f t="shared" si="135"/>
        <v>2031</v>
      </c>
      <c r="C229" s="1114">
        <v>48030</v>
      </c>
      <c r="D229" s="1744">
        <f>'Diciembre - 2019  '!$N$34+'Diciembre - 2019  '!$N$43</f>
        <v>104018642.60000001</v>
      </c>
      <c r="E229" s="1121">
        <f>'Diciembre - 2019  '!$N$54</f>
        <v>113809.99999999999</v>
      </c>
      <c r="F229" s="1745">
        <f t="shared" si="136"/>
        <v>104132452.60000001</v>
      </c>
      <c r="G229" s="1121">
        <f>'Diciembre - 2019  '!$M$33</f>
        <v>4753878.6400000006</v>
      </c>
      <c r="H229" s="1121">
        <f>'Diciembre - 2019  '!$M$54</f>
        <v>5690.5</v>
      </c>
      <c r="I229" s="1121">
        <f t="shared" si="137"/>
        <v>4759569.1400000006</v>
      </c>
      <c r="J229" s="2067">
        <f>'Diciembre - 2019  '!$H$22</f>
        <v>0.14799999999999999</v>
      </c>
      <c r="K229" s="2069">
        <f>'Diciembre - 2019  '!$I$22</f>
        <v>1.4200000000000001E-2</v>
      </c>
      <c r="L229" s="1104">
        <f t="shared" si="138"/>
        <v>31</v>
      </c>
      <c r="M229" s="1153">
        <v>31482791</v>
      </c>
      <c r="N229" s="1107">
        <f t="shared" si="139"/>
        <v>1015573.9032258064</v>
      </c>
      <c r="O229" s="1164">
        <f>'Diciembre - 2019  '!$I$22</f>
        <v>1.4200000000000001E-2</v>
      </c>
      <c r="P229" s="1118">
        <f t="shared" si="140"/>
        <v>5869182.201933383</v>
      </c>
      <c r="Q229" s="1118">
        <f>'Diciembre - 2019  '!$K$54</f>
        <v>6190010.4432046823</v>
      </c>
      <c r="R229" s="1117">
        <f>'Diciembre - 2019  '!$L$15</f>
        <v>0</v>
      </c>
      <c r="S229" s="1743">
        <f t="shared" si="141"/>
        <v>21.878546048392941</v>
      </c>
      <c r="T229" s="1753">
        <f>'Diciembre - 2019  '!$Z$89</f>
        <v>0</v>
      </c>
      <c r="U229" s="1107">
        <f>'Diciembre - 2019  '!$AA$89</f>
        <v>0</v>
      </c>
      <c r="V229" s="1107">
        <f t="shared" si="142"/>
        <v>0</v>
      </c>
      <c r="W229" s="1107" t="e">
        <f t="shared" si="143"/>
        <v>#VALUE!</v>
      </c>
      <c r="X229" s="1108">
        <f t="shared" si="144"/>
        <v>199677.7562324091</v>
      </c>
      <c r="Y229" s="1109">
        <f t="shared" si="145"/>
        <v>31482791</v>
      </c>
      <c r="Z229" s="1109">
        <f t="shared" si="146"/>
        <v>6190010.4432046823</v>
      </c>
      <c r="AA229" s="1110">
        <f t="shared" si="147"/>
        <v>25292780.556795318</v>
      </c>
      <c r="AB229" s="1119">
        <f t="shared" si="148"/>
        <v>0.19661568261863069</v>
      </c>
      <c r="AC229" s="1754">
        <f t="shared" si="149"/>
        <v>0.80338431738136928</v>
      </c>
    </row>
    <row r="230" spans="2:29" hidden="1" x14ac:dyDescent="0.25">
      <c r="B230" s="1113">
        <f t="shared" si="135"/>
        <v>2031</v>
      </c>
      <c r="C230" s="1114">
        <v>48061</v>
      </c>
      <c r="D230" s="1744">
        <f>'Diciembre - 2019  '!$N$34+'Diciembre - 2019  '!$N$43</f>
        <v>104018642.60000001</v>
      </c>
      <c r="E230" s="1121">
        <f>'Diciembre - 2019  '!$N$54</f>
        <v>113809.99999999999</v>
      </c>
      <c r="F230" s="1745">
        <f t="shared" si="136"/>
        <v>104132452.60000001</v>
      </c>
      <c r="G230" s="1121">
        <f>'Diciembre - 2019  '!$M$33</f>
        <v>4753878.6400000006</v>
      </c>
      <c r="H230" s="1121">
        <f>'Diciembre - 2019  '!$M$54</f>
        <v>5690.5</v>
      </c>
      <c r="I230" s="1121">
        <f t="shared" si="137"/>
        <v>4759569.1400000006</v>
      </c>
      <c r="J230" s="2067">
        <f>'Diciembre - 2019  '!$H$22</f>
        <v>0.14799999999999999</v>
      </c>
      <c r="K230" s="2069">
        <f>'Diciembre - 2019  '!$I$22</f>
        <v>1.4200000000000001E-2</v>
      </c>
      <c r="L230" s="1104">
        <f t="shared" si="138"/>
        <v>31</v>
      </c>
      <c r="M230" s="1153">
        <v>31482792</v>
      </c>
      <c r="N230" s="1107">
        <f t="shared" si="139"/>
        <v>1015573.9354838709</v>
      </c>
      <c r="O230" s="1164">
        <f>'Diciembre - 2019  '!$I$22</f>
        <v>1.4200000000000001E-2</v>
      </c>
      <c r="P230" s="1118">
        <f t="shared" si="140"/>
        <v>5869182.201933383</v>
      </c>
      <c r="Q230" s="1118">
        <f>'Diciembre - 2019  '!$K$54</f>
        <v>6190010.4432046823</v>
      </c>
      <c r="R230" s="1117">
        <f>'Diciembre - 2019  '!$L$15</f>
        <v>0</v>
      </c>
      <c r="S230" s="1743">
        <f t="shared" si="141"/>
        <v>21.878546048392941</v>
      </c>
      <c r="T230" s="1753">
        <f>'Diciembre - 2019  '!$Z$89</f>
        <v>0</v>
      </c>
      <c r="U230" s="1107">
        <f>'Diciembre - 2019  '!$AA$89</f>
        <v>0</v>
      </c>
      <c r="V230" s="1107">
        <f t="shared" si="142"/>
        <v>0</v>
      </c>
      <c r="W230" s="1107" t="e">
        <f t="shared" si="143"/>
        <v>#VALUE!</v>
      </c>
      <c r="X230" s="1108">
        <f t="shared" si="144"/>
        <v>199677.7562324091</v>
      </c>
      <c r="Y230" s="1109">
        <f t="shared" si="145"/>
        <v>31482792</v>
      </c>
      <c r="Z230" s="1109">
        <f t="shared" si="146"/>
        <v>6190010.4432046823</v>
      </c>
      <c r="AA230" s="1110">
        <f t="shared" si="147"/>
        <v>25292781.556795318</v>
      </c>
      <c r="AB230" s="1119">
        <f t="shared" si="148"/>
        <v>0.19661567637345131</v>
      </c>
      <c r="AC230" s="1754">
        <f t="shared" si="149"/>
        <v>0.80338432362654866</v>
      </c>
    </row>
    <row r="231" spans="2:29" hidden="1" x14ac:dyDescent="0.25">
      <c r="B231" s="1113">
        <f t="shared" si="135"/>
        <v>2031</v>
      </c>
      <c r="C231" s="1114">
        <v>48092</v>
      </c>
      <c r="D231" s="1744">
        <f>'Diciembre - 2019  '!$N$34+'Diciembre - 2019  '!$N$43</f>
        <v>104018642.60000001</v>
      </c>
      <c r="E231" s="1121">
        <f>'Diciembre - 2019  '!$N$54</f>
        <v>113809.99999999999</v>
      </c>
      <c r="F231" s="1745">
        <f t="shared" si="136"/>
        <v>104132452.60000001</v>
      </c>
      <c r="G231" s="1121">
        <f>'Diciembre - 2019  '!$M$33</f>
        <v>4753878.6400000006</v>
      </c>
      <c r="H231" s="1121">
        <f>'Diciembre - 2019  '!$M$54</f>
        <v>5690.5</v>
      </c>
      <c r="I231" s="1121">
        <f t="shared" si="137"/>
        <v>4759569.1400000006</v>
      </c>
      <c r="J231" s="2067">
        <f>'Diciembre - 2019  '!$H$22</f>
        <v>0.14799999999999999</v>
      </c>
      <c r="K231" s="2069">
        <f>'Diciembre - 2019  '!$I$22</f>
        <v>1.4200000000000001E-2</v>
      </c>
      <c r="L231" s="1104">
        <f t="shared" si="138"/>
        <v>30</v>
      </c>
      <c r="M231" s="1153">
        <v>31482793</v>
      </c>
      <c r="N231" s="1107">
        <f t="shared" si="139"/>
        <v>1049426.4333333333</v>
      </c>
      <c r="O231" s="1164">
        <f>'Diciembre - 2019  '!$I$22</f>
        <v>1.4200000000000001E-2</v>
      </c>
      <c r="P231" s="1118">
        <f t="shared" si="140"/>
        <v>5869182.201933383</v>
      </c>
      <c r="Q231" s="1118">
        <f>'Diciembre - 2019  '!$K$54</f>
        <v>6190010.4432046823</v>
      </c>
      <c r="R231" s="1117">
        <f>'Diciembre - 2019  '!$L$15</f>
        <v>0</v>
      </c>
      <c r="S231" s="1743">
        <f t="shared" si="141"/>
        <v>21.878546048392941</v>
      </c>
      <c r="T231" s="1753">
        <f>'Diciembre - 2019  '!$Z$89</f>
        <v>0</v>
      </c>
      <c r="U231" s="1107">
        <f>'Diciembre - 2019  '!$AA$89</f>
        <v>0</v>
      </c>
      <c r="V231" s="1107">
        <f t="shared" si="142"/>
        <v>0</v>
      </c>
      <c r="W231" s="1107" t="e">
        <f t="shared" si="143"/>
        <v>#VALUE!</v>
      </c>
      <c r="X231" s="1108">
        <f t="shared" si="144"/>
        <v>206333.68144015607</v>
      </c>
      <c r="Y231" s="1109">
        <f t="shared" si="145"/>
        <v>31482793</v>
      </c>
      <c r="Z231" s="1109">
        <f t="shared" si="146"/>
        <v>6190010.4432046823</v>
      </c>
      <c r="AA231" s="1110">
        <f t="shared" si="147"/>
        <v>25292782.556795318</v>
      </c>
      <c r="AB231" s="1119">
        <f t="shared" si="148"/>
        <v>0.19661567012827236</v>
      </c>
      <c r="AC231" s="1754">
        <f t="shared" si="149"/>
        <v>0.80338432987172759</v>
      </c>
    </row>
    <row r="232" spans="2:29" hidden="1" x14ac:dyDescent="0.25">
      <c r="B232" s="1113">
        <f t="shared" si="135"/>
        <v>2031</v>
      </c>
      <c r="C232" s="1114">
        <v>48122</v>
      </c>
      <c r="D232" s="1744">
        <f>'Diciembre - 2019  '!$N$34+'Diciembre - 2019  '!$N$43</f>
        <v>104018642.60000001</v>
      </c>
      <c r="E232" s="1121">
        <f>'Diciembre - 2019  '!$N$54</f>
        <v>113809.99999999999</v>
      </c>
      <c r="F232" s="1745">
        <f t="shared" si="136"/>
        <v>104132452.60000001</v>
      </c>
      <c r="G232" s="1121">
        <f>'Diciembre - 2019  '!$M$33</f>
        <v>4753878.6400000006</v>
      </c>
      <c r="H232" s="1121">
        <f>'Diciembre - 2019  '!$M$54</f>
        <v>5690.5</v>
      </c>
      <c r="I232" s="1121">
        <f t="shared" si="137"/>
        <v>4759569.1400000006</v>
      </c>
      <c r="J232" s="2067">
        <f>'Diciembre - 2019  '!$H$22</f>
        <v>0.14799999999999999</v>
      </c>
      <c r="K232" s="2069">
        <f>'Diciembre - 2019  '!$I$22</f>
        <v>1.4200000000000001E-2</v>
      </c>
      <c r="L232" s="1104">
        <f t="shared" si="138"/>
        <v>31</v>
      </c>
      <c r="M232" s="1153">
        <v>31482794</v>
      </c>
      <c r="N232" s="1107">
        <f t="shared" si="139"/>
        <v>1015574</v>
      </c>
      <c r="O232" s="1164">
        <f>'Diciembre - 2019  '!$I$22</f>
        <v>1.4200000000000001E-2</v>
      </c>
      <c r="P232" s="1118">
        <f t="shared" si="140"/>
        <v>5869182.201933383</v>
      </c>
      <c r="Q232" s="1118">
        <f>'Diciembre - 2019  '!$K$54</f>
        <v>6190010.4432046823</v>
      </c>
      <c r="R232" s="1117">
        <f>'Diciembre - 2019  '!$L$15</f>
        <v>0</v>
      </c>
      <c r="S232" s="1743">
        <f t="shared" si="141"/>
        <v>21.878546048392941</v>
      </c>
      <c r="T232" s="1753">
        <f>'Diciembre - 2019  '!$Z$89</f>
        <v>0</v>
      </c>
      <c r="U232" s="1107">
        <f>'Diciembre - 2019  '!$AA$89</f>
        <v>0</v>
      </c>
      <c r="V232" s="1107">
        <f t="shared" si="142"/>
        <v>0</v>
      </c>
      <c r="W232" s="1107" t="e">
        <f t="shared" si="143"/>
        <v>#VALUE!</v>
      </c>
      <c r="X232" s="1108">
        <f t="shared" si="144"/>
        <v>199677.7562324091</v>
      </c>
      <c r="Y232" s="1109">
        <f t="shared" si="145"/>
        <v>31482794</v>
      </c>
      <c r="Z232" s="1109">
        <f t="shared" si="146"/>
        <v>6190010.4432046823</v>
      </c>
      <c r="AA232" s="1110">
        <f t="shared" si="147"/>
        <v>25292783.556795318</v>
      </c>
      <c r="AB232" s="1119">
        <f t="shared" si="148"/>
        <v>0.19661566388309382</v>
      </c>
      <c r="AC232" s="1754">
        <f t="shared" si="149"/>
        <v>0.80338433611690618</v>
      </c>
    </row>
    <row r="233" spans="2:29" hidden="1" x14ac:dyDescent="0.25">
      <c r="B233" s="1113">
        <f t="shared" si="135"/>
        <v>2031</v>
      </c>
      <c r="C233" s="1114">
        <v>48153</v>
      </c>
      <c r="D233" s="1744">
        <f>'Diciembre - 2019  '!$N$34+'Diciembre - 2019  '!$N$43</f>
        <v>104018642.60000001</v>
      </c>
      <c r="E233" s="1121">
        <f>'Diciembre - 2019  '!$N$54</f>
        <v>113809.99999999999</v>
      </c>
      <c r="F233" s="1745">
        <f t="shared" si="136"/>
        <v>104132452.60000001</v>
      </c>
      <c r="G233" s="1121">
        <f>'Diciembre - 2019  '!$M$33</f>
        <v>4753878.6400000006</v>
      </c>
      <c r="H233" s="1121">
        <f>'Diciembre - 2019  '!$M$54</f>
        <v>5690.5</v>
      </c>
      <c r="I233" s="1121">
        <f t="shared" si="137"/>
        <v>4759569.1400000006</v>
      </c>
      <c r="J233" s="2067">
        <f>'Diciembre - 2019  '!$H$22</f>
        <v>0.14799999999999999</v>
      </c>
      <c r="K233" s="2069">
        <f>'Diciembre - 2019  '!$I$22</f>
        <v>1.4200000000000001E-2</v>
      </c>
      <c r="L233" s="1104">
        <f t="shared" si="138"/>
        <v>30</v>
      </c>
      <c r="M233" s="1153">
        <v>31482795</v>
      </c>
      <c r="N233" s="1107">
        <f t="shared" si="139"/>
        <v>1049426.5</v>
      </c>
      <c r="O233" s="1164">
        <f>'Diciembre - 2019  '!$I$22</f>
        <v>1.4200000000000001E-2</v>
      </c>
      <c r="P233" s="1118">
        <f t="shared" si="140"/>
        <v>5869182.201933383</v>
      </c>
      <c r="Q233" s="1118">
        <f>'Diciembre - 2019  '!$K$54</f>
        <v>6190010.4432046823</v>
      </c>
      <c r="R233" s="1117">
        <f>'Diciembre - 2019  '!$L$15</f>
        <v>0</v>
      </c>
      <c r="S233" s="1743">
        <f t="shared" si="141"/>
        <v>21.878546048392941</v>
      </c>
      <c r="T233" s="1753">
        <f>'Diciembre - 2019  '!$Z$89</f>
        <v>0</v>
      </c>
      <c r="U233" s="1107">
        <f>'Diciembre - 2019  '!$AA$89</f>
        <v>0</v>
      </c>
      <c r="V233" s="1107">
        <f t="shared" si="142"/>
        <v>0</v>
      </c>
      <c r="W233" s="1107" t="e">
        <f t="shared" si="143"/>
        <v>#VALUE!</v>
      </c>
      <c r="X233" s="1108">
        <f t="shared" si="144"/>
        <v>206333.68144015607</v>
      </c>
      <c r="Y233" s="1109">
        <f t="shared" si="145"/>
        <v>31482795</v>
      </c>
      <c r="Z233" s="1109">
        <f t="shared" si="146"/>
        <v>6190010.4432046823</v>
      </c>
      <c r="AA233" s="1110">
        <f t="shared" si="147"/>
        <v>25292784.556795318</v>
      </c>
      <c r="AB233" s="1119">
        <f t="shared" si="148"/>
        <v>0.19661565763791564</v>
      </c>
      <c r="AC233" s="1754">
        <f t="shared" si="149"/>
        <v>0.80338434236208434</v>
      </c>
    </row>
    <row r="234" spans="2:29" hidden="1" x14ac:dyDescent="0.25">
      <c r="B234" s="1113">
        <f t="shared" si="135"/>
        <v>2031</v>
      </c>
      <c r="C234" s="1114">
        <v>48183</v>
      </c>
      <c r="D234" s="1744">
        <f>'Diciembre - 2019  '!$N$34+'Diciembre - 2019  '!$N$43</f>
        <v>104018642.60000001</v>
      </c>
      <c r="E234" s="1121">
        <f>'Diciembre - 2019  '!$N$54</f>
        <v>113809.99999999999</v>
      </c>
      <c r="F234" s="1745">
        <f t="shared" si="136"/>
        <v>104132452.60000001</v>
      </c>
      <c r="G234" s="1121">
        <f>'Diciembre - 2019  '!$M$33</f>
        <v>4753878.6400000006</v>
      </c>
      <c r="H234" s="1121">
        <f>'Diciembre - 2019  '!$M$54</f>
        <v>5690.5</v>
      </c>
      <c r="I234" s="1121">
        <f t="shared" si="137"/>
        <v>4759569.1400000006</v>
      </c>
      <c r="J234" s="2067">
        <f>'Diciembre - 2019  '!$H$22</f>
        <v>0.14799999999999999</v>
      </c>
      <c r="K234" s="2069">
        <f>'Diciembre - 2019  '!$I$22</f>
        <v>1.4200000000000001E-2</v>
      </c>
      <c r="L234" s="1104">
        <f t="shared" si="138"/>
        <v>31</v>
      </c>
      <c r="M234" s="1153">
        <v>31482796</v>
      </c>
      <c r="N234" s="1107">
        <f t="shared" si="139"/>
        <v>1015574.0645161291</v>
      </c>
      <c r="O234" s="1164">
        <f>'Diciembre - 2019  '!$I$22</f>
        <v>1.4200000000000001E-2</v>
      </c>
      <c r="P234" s="1118">
        <f t="shared" si="140"/>
        <v>5869182.201933383</v>
      </c>
      <c r="Q234" s="1118">
        <f>'Diciembre - 2019  '!$K$54</f>
        <v>6190010.4432046823</v>
      </c>
      <c r="R234" s="1117">
        <f>'Diciembre - 2019  '!$L$15</f>
        <v>0</v>
      </c>
      <c r="S234" s="1743">
        <f t="shared" si="141"/>
        <v>21.878546048392941</v>
      </c>
      <c r="T234" s="1753">
        <f>'Diciembre - 2019  '!$Z$89</f>
        <v>0</v>
      </c>
      <c r="U234" s="1107">
        <f>'Diciembre - 2019  '!$AA$89</f>
        <v>0</v>
      </c>
      <c r="V234" s="1107">
        <f t="shared" si="142"/>
        <v>0</v>
      </c>
      <c r="W234" s="1107" t="e">
        <f t="shared" si="143"/>
        <v>#VALUE!</v>
      </c>
      <c r="X234" s="1108">
        <f t="shared" si="144"/>
        <v>199677.7562324091</v>
      </c>
      <c r="Y234" s="1109">
        <f t="shared" si="145"/>
        <v>31482796</v>
      </c>
      <c r="Z234" s="1109">
        <f t="shared" si="146"/>
        <v>6190010.4432046823</v>
      </c>
      <c r="AA234" s="1110">
        <f t="shared" si="147"/>
        <v>25292785.556795318</v>
      </c>
      <c r="AB234" s="1119">
        <f t="shared" si="148"/>
        <v>0.19661565139273787</v>
      </c>
      <c r="AC234" s="1754">
        <f t="shared" si="149"/>
        <v>0.80338434860726216</v>
      </c>
    </row>
    <row r="235" spans="2:29" hidden="1" x14ac:dyDescent="0.25">
      <c r="B235" s="1113">
        <f t="shared" si="135"/>
        <v>2032</v>
      </c>
      <c r="C235" s="1114">
        <v>48214</v>
      </c>
      <c r="D235" s="1744">
        <f>'Diciembre - 2019  '!$N$34+'Diciembre - 2019  '!$N$43</f>
        <v>104018642.60000001</v>
      </c>
      <c r="E235" s="1121">
        <f>'Diciembre - 2019  '!$N$54</f>
        <v>113809.99999999999</v>
      </c>
      <c r="F235" s="1745">
        <f t="shared" si="136"/>
        <v>104132452.60000001</v>
      </c>
      <c r="G235" s="1121">
        <f>'Diciembre - 2019  '!$M$33</f>
        <v>4753878.6400000006</v>
      </c>
      <c r="H235" s="1121">
        <f>'Diciembre - 2019  '!$M$54</f>
        <v>5690.5</v>
      </c>
      <c r="I235" s="1121">
        <f t="shared" si="137"/>
        <v>4759569.1400000006</v>
      </c>
      <c r="J235" s="2067">
        <f>'Diciembre - 2019  '!$H$22</f>
        <v>0.14799999999999999</v>
      </c>
      <c r="K235" s="2069">
        <f>'Diciembre - 2019  '!$I$22</f>
        <v>1.4200000000000001E-2</v>
      </c>
      <c r="L235" s="1104">
        <f t="shared" si="138"/>
        <v>31</v>
      </c>
      <c r="M235" s="1153">
        <v>31482797</v>
      </c>
      <c r="N235" s="1107">
        <f t="shared" si="139"/>
        <v>1015574.0967741936</v>
      </c>
      <c r="O235" s="1164">
        <f>'Diciembre - 2019  '!$I$22</f>
        <v>1.4200000000000001E-2</v>
      </c>
      <c r="P235" s="1118">
        <f t="shared" si="140"/>
        <v>5869182.201933383</v>
      </c>
      <c r="Q235" s="1118">
        <f>'Diciembre - 2019  '!$K$54</f>
        <v>6190010.4432046823</v>
      </c>
      <c r="R235" s="1117">
        <f>'Diciembre - 2019  '!$L$15</f>
        <v>0</v>
      </c>
      <c r="S235" s="1743">
        <f t="shared" si="141"/>
        <v>21.878546048392941</v>
      </c>
      <c r="T235" s="1753">
        <f>'Diciembre - 2019  '!$Z$89</f>
        <v>0</v>
      </c>
      <c r="U235" s="1107">
        <f>'Diciembre - 2019  '!$AA$89</f>
        <v>0</v>
      </c>
      <c r="V235" s="1107">
        <f t="shared" si="142"/>
        <v>0</v>
      </c>
      <c r="W235" s="1107" t="e">
        <f t="shared" si="143"/>
        <v>#VALUE!</v>
      </c>
      <c r="X235" s="1108">
        <f t="shared" si="144"/>
        <v>199677.7562324091</v>
      </c>
      <c r="Y235" s="1109">
        <f t="shared" si="145"/>
        <v>31482797</v>
      </c>
      <c r="Z235" s="1109">
        <f t="shared" si="146"/>
        <v>6190010.4432046823</v>
      </c>
      <c r="AA235" s="1110">
        <f t="shared" si="147"/>
        <v>25292786.556795318</v>
      </c>
      <c r="AB235" s="1119">
        <f t="shared" si="148"/>
        <v>0.1966156451475605</v>
      </c>
      <c r="AC235" s="1754">
        <f t="shared" si="149"/>
        <v>0.80338435485243953</v>
      </c>
    </row>
    <row r="236" spans="2:29" hidden="1" x14ac:dyDescent="0.25">
      <c r="B236" s="1113">
        <f t="shared" si="135"/>
        <v>2032</v>
      </c>
      <c r="C236" s="1114">
        <v>48245</v>
      </c>
      <c r="D236" s="1744">
        <f>'Diciembre - 2019  '!$N$34+'Diciembre - 2019  '!$N$43</f>
        <v>104018642.60000001</v>
      </c>
      <c r="E236" s="1121">
        <f>'Diciembre - 2019  '!$N$54</f>
        <v>113809.99999999999</v>
      </c>
      <c r="F236" s="1745">
        <f t="shared" si="136"/>
        <v>104132452.60000001</v>
      </c>
      <c r="G236" s="1121">
        <f>'Diciembre - 2019  '!$M$33</f>
        <v>4753878.6400000006</v>
      </c>
      <c r="H236" s="1121">
        <f>'Diciembre - 2019  '!$M$54</f>
        <v>5690.5</v>
      </c>
      <c r="I236" s="1121">
        <f t="shared" si="137"/>
        <v>4759569.1400000006</v>
      </c>
      <c r="J236" s="2067">
        <f>'Diciembre - 2019  '!$H$22</f>
        <v>0.14799999999999999</v>
      </c>
      <c r="K236" s="2069">
        <f>'Diciembre - 2019  '!$I$22</f>
        <v>1.4200000000000001E-2</v>
      </c>
      <c r="L236" s="1104">
        <f t="shared" si="138"/>
        <v>29</v>
      </c>
      <c r="M236" s="1153">
        <v>31482798</v>
      </c>
      <c r="N236" s="1107">
        <f t="shared" si="139"/>
        <v>1085613.7241379311</v>
      </c>
      <c r="O236" s="1164">
        <f>'Diciembre - 2019  '!$I$22</f>
        <v>1.4200000000000001E-2</v>
      </c>
      <c r="P236" s="1118">
        <f t="shared" si="140"/>
        <v>5869182.201933383</v>
      </c>
      <c r="Q236" s="1118">
        <f>'Diciembre - 2019  '!$K$54</f>
        <v>6190010.4432046823</v>
      </c>
      <c r="R236" s="1117">
        <f>'Diciembre - 2019  '!$L$15</f>
        <v>0</v>
      </c>
      <c r="S236" s="1743">
        <f t="shared" si="141"/>
        <v>21.878546048392941</v>
      </c>
      <c r="T236" s="1753">
        <f>'Diciembre - 2019  '!$Z$89</f>
        <v>0</v>
      </c>
      <c r="U236" s="1107">
        <f>'Diciembre - 2019  '!$AA$89</f>
        <v>0</v>
      </c>
      <c r="V236" s="1107">
        <f t="shared" si="142"/>
        <v>0</v>
      </c>
      <c r="W236" s="1107" t="e">
        <f t="shared" si="143"/>
        <v>#VALUE!</v>
      </c>
      <c r="X236" s="1108">
        <f t="shared" si="144"/>
        <v>213448.63597257526</v>
      </c>
      <c r="Y236" s="1109">
        <f t="shared" si="145"/>
        <v>31482798</v>
      </c>
      <c r="Z236" s="1109">
        <f t="shared" si="146"/>
        <v>6190010.4432046823</v>
      </c>
      <c r="AA236" s="1110">
        <f t="shared" si="147"/>
        <v>25292787.556795318</v>
      </c>
      <c r="AB236" s="1119">
        <f t="shared" si="148"/>
        <v>0.19661563890238354</v>
      </c>
      <c r="AC236" s="1754">
        <f t="shared" si="149"/>
        <v>0.80338436109761646</v>
      </c>
    </row>
    <row r="237" spans="2:29" hidden="1" x14ac:dyDescent="0.25">
      <c r="B237" s="1113">
        <f t="shared" si="135"/>
        <v>2032</v>
      </c>
      <c r="C237" s="1114">
        <v>48274</v>
      </c>
      <c r="D237" s="1744">
        <f>'Diciembre - 2019  '!$N$34+'Diciembre - 2019  '!$N$43</f>
        <v>104018642.60000001</v>
      </c>
      <c r="E237" s="1121">
        <f>'Diciembre - 2019  '!$N$54</f>
        <v>113809.99999999999</v>
      </c>
      <c r="F237" s="1745">
        <f t="shared" si="136"/>
        <v>104132452.60000001</v>
      </c>
      <c r="G237" s="1121">
        <f>'Diciembre - 2019  '!$M$33</f>
        <v>4753878.6400000006</v>
      </c>
      <c r="H237" s="1121">
        <f>'Diciembre - 2019  '!$M$54</f>
        <v>5690.5</v>
      </c>
      <c r="I237" s="1121">
        <f t="shared" si="137"/>
        <v>4759569.1400000006</v>
      </c>
      <c r="J237" s="2067">
        <f>'Diciembre - 2019  '!$H$22</f>
        <v>0.14799999999999999</v>
      </c>
      <c r="K237" s="2069">
        <f>'Diciembre - 2019  '!$I$22</f>
        <v>1.4200000000000001E-2</v>
      </c>
      <c r="L237" s="1104">
        <f t="shared" si="138"/>
        <v>31</v>
      </c>
      <c r="M237" s="1153">
        <v>31482799</v>
      </c>
      <c r="N237" s="1107">
        <f t="shared" si="139"/>
        <v>1015574.1612903225</v>
      </c>
      <c r="O237" s="1164">
        <f>'Diciembre - 2019  '!$I$22</f>
        <v>1.4200000000000001E-2</v>
      </c>
      <c r="P237" s="1118">
        <f t="shared" si="140"/>
        <v>5869182.201933383</v>
      </c>
      <c r="Q237" s="1118">
        <f>'Diciembre - 2019  '!$K$54</f>
        <v>6190010.4432046823</v>
      </c>
      <c r="R237" s="1117">
        <f>'Diciembre - 2019  '!$L$15</f>
        <v>0</v>
      </c>
      <c r="S237" s="1743">
        <f t="shared" si="141"/>
        <v>21.878546048392941</v>
      </c>
      <c r="T237" s="1753">
        <f>'Diciembre - 2019  '!$Z$89</f>
        <v>0</v>
      </c>
      <c r="U237" s="1107">
        <f>'Diciembre - 2019  '!$AA$89</f>
        <v>0</v>
      </c>
      <c r="V237" s="1107">
        <f t="shared" si="142"/>
        <v>0</v>
      </c>
      <c r="W237" s="1107" t="e">
        <f t="shared" si="143"/>
        <v>#VALUE!</v>
      </c>
      <c r="X237" s="1108">
        <f t="shared" si="144"/>
        <v>199677.7562324091</v>
      </c>
      <c r="Y237" s="1109">
        <f t="shared" si="145"/>
        <v>31482799</v>
      </c>
      <c r="Z237" s="1109">
        <f t="shared" si="146"/>
        <v>6190010.4432046823</v>
      </c>
      <c r="AA237" s="1110">
        <f t="shared" si="147"/>
        <v>25292788.556795318</v>
      </c>
      <c r="AB237" s="1119">
        <f t="shared" si="148"/>
        <v>0.19661563265720694</v>
      </c>
      <c r="AC237" s="1754">
        <f t="shared" si="149"/>
        <v>0.80338436734279306</v>
      </c>
    </row>
    <row r="238" spans="2:29" hidden="1" x14ac:dyDescent="0.25">
      <c r="B238" s="1113">
        <f t="shared" si="135"/>
        <v>2032</v>
      </c>
      <c r="C238" s="1114">
        <v>48305</v>
      </c>
      <c r="D238" s="1744">
        <f>'Diciembre - 2019  '!$N$34+'Diciembre - 2019  '!$N$43</f>
        <v>104018642.60000001</v>
      </c>
      <c r="E238" s="1121">
        <f>'Diciembre - 2019  '!$N$54</f>
        <v>113809.99999999999</v>
      </c>
      <c r="F238" s="1745">
        <f t="shared" si="136"/>
        <v>104132452.60000001</v>
      </c>
      <c r="G238" s="1121">
        <f>'Diciembre - 2019  '!$M$33</f>
        <v>4753878.6400000006</v>
      </c>
      <c r="H238" s="1121">
        <f>'Diciembre - 2019  '!$M$54</f>
        <v>5690.5</v>
      </c>
      <c r="I238" s="1121">
        <f t="shared" si="137"/>
        <v>4759569.1400000006</v>
      </c>
      <c r="J238" s="2067">
        <f>'Diciembre - 2019  '!$H$22</f>
        <v>0.14799999999999999</v>
      </c>
      <c r="K238" s="2069">
        <f>'Diciembre - 2019  '!$I$22</f>
        <v>1.4200000000000001E-2</v>
      </c>
      <c r="L238" s="1104">
        <f t="shared" si="138"/>
        <v>30</v>
      </c>
      <c r="M238" s="1153">
        <v>31482800</v>
      </c>
      <c r="N238" s="1107">
        <f t="shared" si="139"/>
        <v>1049426.6666666667</v>
      </c>
      <c r="O238" s="1164">
        <f>'Diciembre - 2019  '!$I$22</f>
        <v>1.4200000000000001E-2</v>
      </c>
      <c r="P238" s="1118">
        <f t="shared" si="140"/>
        <v>5869182.201933383</v>
      </c>
      <c r="Q238" s="1118">
        <f>'Diciembre - 2019  '!$K$54</f>
        <v>6190010.4432046823</v>
      </c>
      <c r="R238" s="1117">
        <f>'Diciembre - 2019  '!$L$15</f>
        <v>0</v>
      </c>
      <c r="S238" s="1743">
        <f t="shared" si="141"/>
        <v>21.878546048392941</v>
      </c>
      <c r="T238" s="1753">
        <f>'Diciembre - 2019  '!$Z$89</f>
        <v>0</v>
      </c>
      <c r="U238" s="1107">
        <f>'Diciembre - 2019  '!$AA$89</f>
        <v>0</v>
      </c>
      <c r="V238" s="1107">
        <f t="shared" si="142"/>
        <v>0</v>
      </c>
      <c r="W238" s="1107" t="e">
        <f t="shared" si="143"/>
        <v>#VALUE!</v>
      </c>
      <c r="X238" s="1108">
        <f t="shared" si="144"/>
        <v>206333.68144015607</v>
      </c>
      <c r="Y238" s="1109">
        <f t="shared" si="145"/>
        <v>31482800</v>
      </c>
      <c r="Z238" s="1109">
        <f t="shared" si="146"/>
        <v>6190010.4432046823</v>
      </c>
      <c r="AA238" s="1110">
        <f t="shared" si="147"/>
        <v>25292789.556795318</v>
      </c>
      <c r="AB238" s="1119">
        <f t="shared" si="148"/>
        <v>0.19661562641203076</v>
      </c>
      <c r="AC238" s="1754">
        <f t="shared" si="149"/>
        <v>0.80338437358796921</v>
      </c>
    </row>
    <row r="239" spans="2:29" hidden="1" x14ac:dyDescent="0.25">
      <c r="B239" s="1113">
        <f t="shared" si="135"/>
        <v>2032</v>
      </c>
      <c r="C239" s="1114">
        <v>48335</v>
      </c>
      <c r="D239" s="1744">
        <f>'Diciembre - 2019  '!$N$34+'Diciembre - 2019  '!$N$43</f>
        <v>104018642.60000001</v>
      </c>
      <c r="E239" s="1121">
        <f>'Diciembre - 2019  '!$N$54</f>
        <v>113809.99999999999</v>
      </c>
      <c r="F239" s="1745">
        <f t="shared" si="136"/>
        <v>104132452.60000001</v>
      </c>
      <c r="G239" s="1121">
        <f>'Diciembre - 2019  '!$M$33</f>
        <v>4753878.6400000006</v>
      </c>
      <c r="H239" s="1121">
        <f>'Diciembre - 2019  '!$M$54</f>
        <v>5690.5</v>
      </c>
      <c r="I239" s="1121">
        <f t="shared" si="137"/>
        <v>4759569.1400000006</v>
      </c>
      <c r="J239" s="2067">
        <f>'Diciembre - 2019  '!$H$22</f>
        <v>0.14799999999999999</v>
      </c>
      <c r="K239" s="2069">
        <f>'Diciembre - 2019  '!$I$22</f>
        <v>1.4200000000000001E-2</v>
      </c>
      <c r="L239" s="1104">
        <f t="shared" si="138"/>
        <v>31</v>
      </c>
      <c r="M239" s="1153">
        <v>31482801</v>
      </c>
      <c r="N239" s="1107">
        <f t="shared" si="139"/>
        <v>1015574.2258064516</v>
      </c>
      <c r="O239" s="1164">
        <f>'Diciembre - 2019  '!$I$22</f>
        <v>1.4200000000000001E-2</v>
      </c>
      <c r="P239" s="1118">
        <f t="shared" si="140"/>
        <v>5869182.201933383</v>
      </c>
      <c r="Q239" s="1118">
        <f>'Diciembre - 2019  '!$K$54</f>
        <v>6190010.4432046823</v>
      </c>
      <c r="R239" s="1117">
        <f>'Diciembre - 2019  '!$L$15</f>
        <v>0</v>
      </c>
      <c r="S239" s="1743">
        <f t="shared" si="141"/>
        <v>21.878546048392941</v>
      </c>
      <c r="T239" s="1753">
        <f>'Diciembre - 2019  '!$Z$89</f>
        <v>0</v>
      </c>
      <c r="U239" s="1107">
        <f>'Diciembre - 2019  '!$AA$89</f>
        <v>0</v>
      </c>
      <c r="V239" s="1107">
        <f t="shared" si="142"/>
        <v>0</v>
      </c>
      <c r="W239" s="1107" t="e">
        <f t="shared" si="143"/>
        <v>#VALUE!</v>
      </c>
      <c r="X239" s="1108">
        <f t="shared" si="144"/>
        <v>199677.7562324091</v>
      </c>
      <c r="Y239" s="1109">
        <f t="shared" si="145"/>
        <v>31482801</v>
      </c>
      <c r="Z239" s="1109">
        <f t="shared" si="146"/>
        <v>6190010.4432046823</v>
      </c>
      <c r="AA239" s="1110">
        <f t="shared" si="147"/>
        <v>25292790.556795318</v>
      </c>
      <c r="AB239" s="1119">
        <f t="shared" si="148"/>
        <v>0.19661562016685499</v>
      </c>
      <c r="AC239" s="1754">
        <f t="shared" si="149"/>
        <v>0.80338437983314503</v>
      </c>
    </row>
    <row r="240" spans="2:29" hidden="1" x14ac:dyDescent="0.25">
      <c r="B240" s="1113">
        <f t="shared" si="135"/>
        <v>2032</v>
      </c>
      <c r="C240" s="1114">
        <v>48366</v>
      </c>
      <c r="D240" s="1744">
        <f>'Diciembre - 2019  '!$N$34+'Diciembre - 2019  '!$N$43</f>
        <v>104018642.60000001</v>
      </c>
      <c r="E240" s="1121">
        <f>'Diciembre - 2019  '!$N$54</f>
        <v>113809.99999999999</v>
      </c>
      <c r="F240" s="1745">
        <f t="shared" si="136"/>
        <v>104132452.60000001</v>
      </c>
      <c r="G240" s="1121">
        <f>'Diciembre - 2019  '!$M$33</f>
        <v>4753878.6400000006</v>
      </c>
      <c r="H240" s="1121">
        <f>'Diciembre - 2019  '!$M$54</f>
        <v>5690.5</v>
      </c>
      <c r="I240" s="1121">
        <f t="shared" si="137"/>
        <v>4759569.1400000006</v>
      </c>
      <c r="J240" s="2067">
        <f>'Diciembre - 2019  '!$H$22</f>
        <v>0.14799999999999999</v>
      </c>
      <c r="K240" s="2069">
        <f>'Diciembre - 2019  '!$I$22</f>
        <v>1.4200000000000001E-2</v>
      </c>
      <c r="L240" s="1104">
        <f t="shared" si="138"/>
        <v>30</v>
      </c>
      <c r="M240" s="1153">
        <v>31482802</v>
      </c>
      <c r="N240" s="1107">
        <f t="shared" si="139"/>
        <v>1049426.7333333334</v>
      </c>
      <c r="O240" s="1164">
        <f>'Diciembre - 2019  '!$I$22</f>
        <v>1.4200000000000001E-2</v>
      </c>
      <c r="P240" s="1118">
        <f t="shared" si="140"/>
        <v>5869182.201933383</v>
      </c>
      <c r="Q240" s="1118">
        <f>'Diciembre - 2019  '!$K$54</f>
        <v>6190010.4432046823</v>
      </c>
      <c r="R240" s="1117">
        <f>'Diciembre - 2019  '!$L$15</f>
        <v>0</v>
      </c>
      <c r="S240" s="1743">
        <f t="shared" si="141"/>
        <v>21.878546048392941</v>
      </c>
      <c r="T240" s="1753">
        <f>'Diciembre - 2019  '!$Z$89</f>
        <v>0</v>
      </c>
      <c r="U240" s="1107">
        <f>'Diciembre - 2019  '!$AA$89</f>
        <v>0</v>
      </c>
      <c r="V240" s="1107">
        <f t="shared" si="142"/>
        <v>0</v>
      </c>
      <c r="W240" s="1107" t="e">
        <f t="shared" si="143"/>
        <v>#VALUE!</v>
      </c>
      <c r="X240" s="1108">
        <f t="shared" si="144"/>
        <v>206333.68144015607</v>
      </c>
      <c r="Y240" s="1109">
        <f t="shared" si="145"/>
        <v>31482802</v>
      </c>
      <c r="Z240" s="1109">
        <f t="shared" si="146"/>
        <v>6190010.4432046823</v>
      </c>
      <c r="AA240" s="1110">
        <f t="shared" si="147"/>
        <v>25292791.556795318</v>
      </c>
      <c r="AB240" s="1119">
        <f t="shared" si="148"/>
        <v>0.19661561392167959</v>
      </c>
      <c r="AC240" s="1754">
        <f t="shared" si="149"/>
        <v>0.80338438607832041</v>
      </c>
    </row>
    <row r="241" spans="2:29" hidden="1" x14ac:dyDescent="0.25">
      <c r="B241" s="1113">
        <f t="shared" si="135"/>
        <v>2032</v>
      </c>
      <c r="C241" s="1114">
        <v>48396</v>
      </c>
      <c r="D241" s="1744">
        <f>'Diciembre - 2019  '!$N$34+'Diciembre - 2019  '!$N$43</f>
        <v>104018642.60000001</v>
      </c>
      <c r="E241" s="1121">
        <f>'Diciembre - 2019  '!$N$54</f>
        <v>113809.99999999999</v>
      </c>
      <c r="F241" s="1745">
        <f t="shared" si="136"/>
        <v>104132452.60000001</v>
      </c>
      <c r="G241" s="1121">
        <f>'Diciembre - 2019  '!$M$33</f>
        <v>4753878.6400000006</v>
      </c>
      <c r="H241" s="1121">
        <f>'Diciembre - 2019  '!$M$54</f>
        <v>5690.5</v>
      </c>
      <c r="I241" s="1121">
        <f t="shared" si="137"/>
        <v>4759569.1400000006</v>
      </c>
      <c r="J241" s="2067">
        <f>'Diciembre - 2019  '!$H$22</f>
        <v>0.14799999999999999</v>
      </c>
      <c r="K241" s="2069">
        <f>'Diciembre - 2019  '!$I$22</f>
        <v>1.4200000000000001E-2</v>
      </c>
      <c r="L241" s="1104">
        <f t="shared" si="138"/>
        <v>31</v>
      </c>
      <c r="M241" s="1153">
        <v>31482803</v>
      </c>
      <c r="N241" s="1107">
        <f t="shared" si="139"/>
        <v>1015574.2903225806</v>
      </c>
      <c r="O241" s="1164">
        <f>'Diciembre - 2019  '!$I$22</f>
        <v>1.4200000000000001E-2</v>
      </c>
      <c r="P241" s="1118">
        <f t="shared" si="140"/>
        <v>5869182.201933383</v>
      </c>
      <c r="Q241" s="1118">
        <f>'Diciembre - 2019  '!$K$54</f>
        <v>6190010.4432046823</v>
      </c>
      <c r="R241" s="1117">
        <f>'Diciembre - 2019  '!$L$15</f>
        <v>0</v>
      </c>
      <c r="S241" s="1743">
        <f t="shared" si="141"/>
        <v>21.878546048392941</v>
      </c>
      <c r="T241" s="1753">
        <f>'Diciembre - 2019  '!$Z$89</f>
        <v>0</v>
      </c>
      <c r="U241" s="1107">
        <f>'Diciembre - 2019  '!$AA$89</f>
        <v>0</v>
      </c>
      <c r="V241" s="1107">
        <f t="shared" si="142"/>
        <v>0</v>
      </c>
      <c r="W241" s="1107" t="e">
        <f t="shared" si="143"/>
        <v>#VALUE!</v>
      </c>
      <c r="X241" s="1108">
        <f t="shared" si="144"/>
        <v>199677.7562324091</v>
      </c>
      <c r="Y241" s="1109">
        <f t="shared" si="145"/>
        <v>31482803</v>
      </c>
      <c r="Z241" s="1109">
        <f t="shared" si="146"/>
        <v>6190010.4432046823</v>
      </c>
      <c r="AA241" s="1110">
        <f t="shared" si="147"/>
        <v>25292792.556795318</v>
      </c>
      <c r="AB241" s="1119">
        <f t="shared" si="148"/>
        <v>0.1966156076765046</v>
      </c>
      <c r="AC241" s="1754">
        <f t="shared" si="149"/>
        <v>0.80338439232349534</v>
      </c>
    </row>
    <row r="242" spans="2:29" hidden="1" x14ac:dyDescent="0.25">
      <c r="B242" s="1113">
        <f t="shared" si="135"/>
        <v>2032</v>
      </c>
      <c r="C242" s="1114">
        <v>48427</v>
      </c>
      <c r="D242" s="1744">
        <f>'Diciembre - 2019  '!$N$34+'Diciembre - 2019  '!$N$43</f>
        <v>104018642.60000001</v>
      </c>
      <c r="E242" s="1121">
        <f>'Diciembre - 2019  '!$N$54</f>
        <v>113809.99999999999</v>
      </c>
      <c r="F242" s="1745">
        <f t="shared" si="136"/>
        <v>104132452.60000001</v>
      </c>
      <c r="G242" s="1121">
        <f>'Diciembre - 2019  '!$M$33</f>
        <v>4753878.6400000006</v>
      </c>
      <c r="H242" s="1121">
        <f>'Diciembre - 2019  '!$M$54</f>
        <v>5690.5</v>
      </c>
      <c r="I242" s="1121">
        <f t="shared" si="137"/>
        <v>4759569.1400000006</v>
      </c>
      <c r="J242" s="2067">
        <f>'Diciembre - 2019  '!$H$22</f>
        <v>0.14799999999999999</v>
      </c>
      <c r="K242" s="2069">
        <f>'Diciembre - 2019  '!$I$22</f>
        <v>1.4200000000000001E-2</v>
      </c>
      <c r="L242" s="1104">
        <f t="shared" si="138"/>
        <v>31</v>
      </c>
      <c r="M242" s="1153">
        <v>31482804</v>
      </c>
      <c r="N242" s="1107">
        <f t="shared" si="139"/>
        <v>1015574.3225806452</v>
      </c>
      <c r="O242" s="1164">
        <f>'Diciembre - 2019  '!$I$22</f>
        <v>1.4200000000000001E-2</v>
      </c>
      <c r="P242" s="1118">
        <f t="shared" si="140"/>
        <v>5869182.201933383</v>
      </c>
      <c r="Q242" s="1118">
        <f>'Diciembre - 2019  '!$K$54</f>
        <v>6190010.4432046823</v>
      </c>
      <c r="R242" s="1117">
        <f>'Diciembre - 2019  '!$L$15</f>
        <v>0</v>
      </c>
      <c r="S242" s="1743">
        <f t="shared" si="141"/>
        <v>21.878546048392941</v>
      </c>
      <c r="T242" s="1753">
        <f>'Diciembre - 2019  '!$Z$89</f>
        <v>0</v>
      </c>
      <c r="U242" s="1107">
        <f>'Diciembre - 2019  '!$AA$89</f>
        <v>0</v>
      </c>
      <c r="V242" s="1107">
        <f t="shared" si="142"/>
        <v>0</v>
      </c>
      <c r="W242" s="1107" t="e">
        <f t="shared" si="143"/>
        <v>#VALUE!</v>
      </c>
      <c r="X242" s="1108">
        <f t="shared" si="144"/>
        <v>199677.7562324091</v>
      </c>
      <c r="Y242" s="1109">
        <f t="shared" si="145"/>
        <v>31482804</v>
      </c>
      <c r="Z242" s="1109">
        <f t="shared" si="146"/>
        <v>6190010.4432046823</v>
      </c>
      <c r="AA242" s="1110">
        <f t="shared" si="147"/>
        <v>25292793.556795318</v>
      </c>
      <c r="AB242" s="1119">
        <f t="shared" si="148"/>
        <v>0.19661560143133003</v>
      </c>
      <c r="AC242" s="1754">
        <f t="shared" si="149"/>
        <v>0.80338439856866994</v>
      </c>
    </row>
    <row r="243" spans="2:29" hidden="1" x14ac:dyDescent="0.25">
      <c r="B243" s="1113">
        <f t="shared" si="135"/>
        <v>2032</v>
      </c>
      <c r="C243" s="1114">
        <v>48458</v>
      </c>
      <c r="D243" s="1744">
        <f>'Diciembre - 2019  '!$N$34+'Diciembre - 2019  '!$N$43</f>
        <v>104018642.60000001</v>
      </c>
      <c r="E243" s="1121">
        <f>'Diciembre - 2019  '!$N$54</f>
        <v>113809.99999999999</v>
      </c>
      <c r="F243" s="1745">
        <f t="shared" si="136"/>
        <v>104132452.60000001</v>
      </c>
      <c r="G243" s="1121">
        <f>'Diciembre - 2019  '!$M$33</f>
        <v>4753878.6400000006</v>
      </c>
      <c r="H243" s="1121">
        <f>'Diciembre - 2019  '!$M$54</f>
        <v>5690.5</v>
      </c>
      <c r="I243" s="1121">
        <f t="shared" si="137"/>
        <v>4759569.1400000006</v>
      </c>
      <c r="J243" s="2067">
        <f>'Diciembre - 2019  '!$H$22</f>
        <v>0.14799999999999999</v>
      </c>
      <c r="K243" s="2069">
        <f>'Diciembre - 2019  '!$I$22</f>
        <v>1.4200000000000001E-2</v>
      </c>
      <c r="L243" s="1104">
        <f t="shared" si="138"/>
        <v>30</v>
      </c>
      <c r="M243" s="1153">
        <v>31482805</v>
      </c>
      <c r="N243" s="1107">
        <f t="shared" si="139"/>
        <v>1049426.8333333333</v>
      </c>
      <c r="O243" s="1164">
        <f>'Diciembre - 2019  '!$I$22</f>
        <v>1.4200000000000001E-2</v>
      </c>
      <c r="P243" s="1118">
        <f t="shared" si="140"/>
        <v>5869182.201933383</v>
      </c>
      <c r="Q243" s="1118">
        <f>'Diciembre - 2019  '!$K$54</f>
        <v>6190010.4432046823</v>
      </c>
      <c r="R243" s="1117">
        <f>'Diciembre - 2019  '!$L$15</f>
        <v>0</v>
      </c>
      <c r="S243" s="1743">
        <f t="shared" si="141"/>
        <v>21.878546048392941</v>
      </c>
      <c r="T243" s="1753">
        <f>'Diciembre - 2019  '!$Z$89</f>
        <v>0</v>
      </c>
      <c r="U243" s="1107">
        <f>'Diciembre - 2019  '!$AA$89</f>
        <v>0</v>
      </c>
      <c r="V243" s="1107">
        <f t="shared" si="142"/>
        <v>0</v>
      </c>
      <c r="W243" s="1107" t="e">
        <f t="shared" si="143"/>
        <v>#VALUE!</v>
      </c>
      <c r="X243" s="1108">
        <f t="shared" si="144"/>
        <v>206333.68144015607</v>
      </c>
      <c r="Y243" s="1109">
        <f t="shared" si="145"/>
        <v>31482805</v>
      </c>
      <c r="Z243" s="1109">
        <f t="shared" si="146"/>
        <v>6190010.4432046823</v>
      </c>
      <c r="AA243" s="1110">
        <f t="shared" si="147"/>
        <v>25292794.556795318</v>
      </c>
      <c r="AB243" s="1119">
        <f t="shared" si="148"/>
        <v>0.19661559518615582</v>
      </c>
      <c r="AC243" s="1754">
        <f t="shared" si="149"/>
        <v>0.80338440481384421</v>
      </c>
    </row>
    <row r="244" spans="2:29" hidden="1" x14ac:dyDescent="0.25">
      <c r="B244" s="1113">
        <f t="shared" si="135"/>
        <v>2032</v>
      </c>
      <c r="C244" s="1114">
        <v>48488</v>
      </c>
      <c r="D244" s="1744">
        <f>'Diciembre - 2019  '!$N$34+'Diciembre - 2019  '!$N$43</f>
        <v>104018642.60000001</v>
      </c>
      <c r="E244" s="1121">
        <f>'Diciembre - 2019  '!$N$54</f>
        <v>113809.99999999999</v>
      </c>
      <c r="F244" s="1745">
        <f t="shared" si="136"/>
        <v>104132452.60000001</v>
      </c>
      <c r="G244" s="1121">
        <f>'Diciembre - 2019  '!$M$33</f>
        <v>4753878.6400000006</v>
      </c>
      <c r="H244" s="1121">
        <f>'Diciembre - 2019  '!$M$54</f>
        <v>5690.5</v>
      </c>
      <c r="I244" s="1121">
        <f t="shared" si="137"/>
        <v>4759569.1400000006</v>
      </c>
      <c r="J244" s="2067">
        <f>'Diciembre - 2019  '!$H$22</f>
        <v>0.14799999999999999</v>
      </c>
      <c r="K244" s="2069">
        <f>'Diciembre - 2019  '!$I$22</f>
        <v>1.4200000000000001E-2</v>
      </c>
      <c r="L244" s="1104">
        <f t="shared" si="138"/>
        <v>31</v>
      </c>
      <c r="M244" s="1153">
        <v>31482806</v>
      </c>
      <c r="N244" s="1107">
        <f t="shared" si="139"/>
        <v>1015574.3870967742</v>
      </c>
      <c r="O244" s="1164">
        <f>'Diciembre - 2019  '!$I$22</f>
        <v>1.4200000000000001E-2</v>
      </c>
      <c r="P244" s="1118">
        <f t="shared" si="140"/>
        <v>5869182.201933383</v>
      </c>
      <c r="Q244" s="1118">
        <f>'Diciembre - 2019  '!$K$54</f>
        <v>6190010.4432046823</v>
      </c>
      <c r="R244" s="1117">
        <f>'Diciembre - 2019  '!$L$15</f>
        <v>0</v>
      </c>
      <c r="S244" s="1743">
        <f t="shared" si="141"/>
        <v>21.878546048392941</v>
      </c>
      <c r="T244" s="1753">
        <f>'Diciembre - 2019  '!$Z$89</f>
        <v>0</v>
      </c>
      <c r="U244" s="1107">
        <f>'Diciembre - 2019  '!$AA$89</f>
        <v>0</v>
      </c>
      <c r="V244" s="1107">
        <f t="shared" si="142"/>
        <v>0</v>
      </c>
      <c r="W244" s="1107" t="e">
        <f t="shared" si="143"/>
        <v>#VALUE!</v>
      </c>
      <c r="X244" s="1108">
        <f t="shared" si="144"/>
        <v>199677.7562324091</v>
      </c>
      <c r="Y244" s="1109">
        <f t="shared" si="145"/>
        <v>31482806</v>
      </c>
      <c r="Z244" s="1109">
        <f t="shared" si="146"/>
        <v>6190010.4432046823</v>
      </c>
      <c r="AA244" s="1110">
        <f t="shared" si="147"/>
        <v>25292795.556795318</v>
      </c>
      <c r="AB244" s="1119">
        <f t="shared" si="148"/>
        <v>0.19661558894098202</v>
      </c>
      <c r="AC244" s="1754">
        <f t="shared" si="149"/>
        <v>0.80338441105901803</v>
      </c>
    </row>
    <row r="245" spans="2:29" hidden="1" x14ac:dyDescent="0.25">
      <c r="B245" s="1113">
        <f t="shared" si="135"/>
        <v>2032</v>
      </c>
      <c r="C245" s="1114">
        <v>48519</v>
      </c>
      <c r="D245" s="1744">
        <f>'Diciembre - 2019  '!$N$34+'Diciembre - 2019  '!$N$43</f>
        <v>104018642.60000001</v>
      </c>
      <c r="E245" s="1121">
        <f>'Diciembre - 2019  '!$N$54</f>
        <v>113809.99999999999</v>
      </c>
      <c r="F245" s="1745">
        <f t="shared" si="136"/>
        <v>104132452.60000001</v>
      </c>
      <c r="G245" s="1121">
        <f>'Diciembre - 2019  '!$M$33</f>
        <v>4753878.6400000006</v>
      </c>
      <c r="H245" s="1121">
        <f>'Diciembre - 2019  '!$M$54</f>
        <v>5690.5</v>
      </c>
      <c r="I245" s="1121">
        <f t="shared" si="137"/>
        <v>4759569.1400000006</v>
      </c>
      <c r="J245" s="2067">
        <f>'Diciembre - 2019  '!$H$22</f>
        <v>0.14799999999999999</v>
      </c>
      <c r="K245" s="2069">
        <f>'Diciembre - 2019  '!$I$22</f>
        <v>1.4200000000000001E-2</v>
      </c>
      <c r="L245" s="1104">
        <f t="shared" si="138"/>
        <v>30</v>
      </c>
      <c r="M245" s="1153">
        <v>31482807</v>
      </c>
      <c r="N245" s="1107">
        <f t="shared" si="139"/>
        <v>1049426.8999999999</v>
      </c>
      <c r="O245" s="1164">
        <f>'Diciembre - 2019  '!$I$22</f>
        <v>1.4200000000000001E-2</v>
      </c>
      <c r="P245" s="1118">
        <f t="shared" si="140"/>
        <v>5869182.201933383</v>
      </c>
      <c r="Q245" s="1118">
        <f>'Diciembre - 2019  '!$K$54</f>
        <v>6190010.4432046823</v>
      </c>
      <c r="R245" s="1117">
        <f>'Diciembre - 2019  '!$L$15</f>
        <v>0</v>
      </c>
      <c r="S245" s="1743">
        <f t="shared" si="141"/>
        <v>21.878546048392941</v>
      </c>
      <c r="T245" s="1753">
        <f>'Diciembre - 2019  '!$Z$89</f>
        <v>0</v>
      </c>
      <c r="U245" s="1107">
        <f>'Diciembre - 2019  '!$AA$89</f>
        <v>0</v>
      </c>
      <c r="V245" s="1107">
        <f t="shared" si="142"/>
        <v>0</v>
      </c>
      <c r="W245" s="1107" t="e">
        <f t="shared" si="143"/>
        <v>#VALUE!</v>
      </c>
      <c r="X245" s="1108">
        <f t="shared" si="144"/>
        <v>206333.68144015607</v>
      </c>
      <c r="Y245" s="1109">
        <f t="shared" si="145"/>
        <v>31482807</v>
      </c>
      <c r="Z245" s="1109">
        <f t="shared" si="146"/>
        <v>6190010.4432046823</v>
      </c>
      <c r="AA245" s="1110">
        <f t="shared" si="147"/>
        <v>25292796.556795318</v>
      </c>
      <c r="AB245" s="1119">
        <f t="shared" si="148"/>
        <v>0.19661558269580862</v>
      </c>
      <c r="AC245" s="1754">
        <f t="shared" si="149"/>
        <v>0.80338441730419141</v>
      </c>
    </row>
    <row r="246" spans="2:29" hidden="1" x14ac:dyDescent="0.25">
      <c r="B246" s="1113">
        <f t="shared" si="135"/>
        <v>2032</v>
      </c>
      <c r="C246" s="1114">
        <v>48549</v>
      </c>
      <c r="D246" s="1744">
        <f>'Diciembre - 2019  '!$N$34+'Diciembre - 2019  '!$N$43</f>
        <v>104018642.60000001</v>
      </c>
      <c r="E246" s="1121">
        <f>'Diciembre - 2019  '!$N$54</f>
        <v>113809.99999999999</v>
      </c>
      <c r="F246" s="1745">
        <f t="shared" si="136"/>
        <v>104132452.60000001</v>
      </c>
      <c r="G246" s="1121">
        <f>'Diciembre - 2019  '!$M$33</f>
        <v>4753878.6400000006</v>
      </c>
      <c r="H246" s="1121">
        <f>'Diciembre - 2019  '!$M$54</f>
        <v>5690.5</v>
      </c>
      <c r="I246" s="1121">
        <f t="shared" si="137"/>
        <v>4759569.1400000006</v>
      </c>
      <c r="J246" s="2067">
        <f>'Diciembre - 2019  '!$H$22</f>
        <v>0.14799999999999999</v>
      </c>
      <c r="K246" s="2069">
        <f>'Diciembre - 2019  '!$I$22</f>
        <v>1.4200000000000001E-2</v>
      </c>
      <c r="L246" s="1104">
        <f t="shared" si="138"/>
        <v>31</v>
      </c>
      <c r="M246" s="1153">
        <v>31482808</v>
      </c>
      <c r="N246" s="1107">
        <f t="shared" si="139"/>
        <v>1015574.4516129033</v>
      </c>
      <c r="O246" s="1164">
        <f>'Diciembre - 2019  '!$I$22</f>
        <v>1.4200000000000001E-2</v>
      </c>
      <c r="P246" s="1118">
        <f t="shared" si="140"/>
        <v>5869182.201933383</v>
      </c>
      <c r="Q246" s="1118">
        <f>'Diciembre - 2019  '!$K$54</f>
        <v>6190010.4432046823</v>
      </c>
      <c r="R246" s="1117">
        <f>'Diciembre - 2019  '!$L$15</f>
        <v>0</v>
      </c>
      <c r="S246" s="1743">
        <f t="shared" si="141"/>
        <v>21.878546048392941</v>
      </c>
      <c r="T246" s="1753">
        <f>'Diciembre - 2019  '!$Z$89</f>
        <v>0</v>
      </c>
      <c r="U246" s="1107">
        <f>'Diciembre - 2019  '!$AA$89</f>
        <v>0</v>
      </c>
      <c r="V246" s="1107">
        <f t="shared" si="142"/>
        <v>0</v>
      </c>
      <c r="W246" s="1107" t="e">
        <f t="shared" si="143"/>
        <v>#VALUE!</v>
      </c>
      <c r="X246" s="1108">
        <f t="shared" si="144"/>
        <v>199677.7562324091</v>
      </c>
      <c r="Y246" s="1109">
        <f t="shared" si="145"/>
        <v>31482808</v>
      </c>
      <c r="Z246" s="1109">
        <f t="shared" si="146"/>
        <v>6190010.4432046823</v>
      </c>
      <c r="AA246" s="1110">
        <f t="shared" si="147"/>
        <v>25292797.556795318</v>
      </c>
      <c r="AB246" s="1119">
        <f t="shared" si="148"/>
        <v>0.1966155764506356</v>
      </c>
      <c r="AC246" s="1754">
        <f t="shared" si="149"/>
        <v>0.80338442354936435</v>
      </c>
    </row>
    <row r="247" spans="2:29" hidden="1" x14ac:dyDescent="0.25">
      <c r="B247" s="1113">
        <f t="shared" si="135"/>
        <v>2033</v>
      </c>
      <c r="C247" s="1114">
        <v>48580</v>
      </c>
      <c r="D247" s="1744">
        <f>'Diciembre - 2019  '!$N$34+'Diciembre - 2019  '!$N$43</f>
        <v>104018642.60000001</v>
      </c>
      <c r="E247" s="1121">
        <f>'Diciembre - 2019  '!$N$54</f>
        <v>113809.99999999999</v>
      </c>
      <c r="F247" s="1745">
        <f t="shared" si="136"/>
        <v>104132452.60000001</v>
      </c>
      <c r="G247" s="1121">
        <f>'Diciembre - 2019  '!$M$33</f>
        <v>4753878.6400000006</v>
      </c>
      <c r="H247" s="1121">
        <f>'Diciembre - 2019  '!$M$54</f>
        <v>5690.5</v>
      </c>
      <c r="I247" s="1121">
        <f t="shared" si="137"/>
        <v>4759569.1400000006</v>
      </c>
      <c r="J247" s="2067">
        <f>'Diciembre - 2019  '!$H$22</f>
        <v>0.14799999999999999</v>
      </c>
      <c r="K247" s="2069">
        <f>'Diciembre - 2019  '!$I$22</f>
        <v>1.4200000000000001E-2</v>
      </c>
      <c r="L247" s="1104">
        <f t="shared" si="138"/>
        <v>31</v>
      </c>
      <c r="M247" s="1153">
        <v>31482809</v>
      </c>
      <c r="N247" s="1107">
        <f t="shared" si="139"/>
        <v>1015574.4838709678</v>
      </c>
      <c r="O247" s="1164">
        <f>'Diciembre - 2019  '!$I$22</f>
        <v>1.4200000000000001E-2</v>
      </c>
      <c r="P247" s="1118">
        <f t="shared" si="140"/>
        <v>5869182.201933383</v>
      </c>
      <c r="Q247" s="1118">
        <f>'Diciembre - 2019  '!$K$54</f>
        <v>6190010.4432046823</v>
      </c>
      <c r="R247" s="1117">
        <f>'Diciembre - 2019  '!$L$15</f>
        <v>0</v>
      </c>
      <c r="S247" s="1743">
        <f t="shared" si="141"/>
        <v>21.878546048392941</v>
      </c>
      <c r="T247" s="1753">
        <f>'Diciembre - 2019  '!$Z$89</f>
        <v>0</v>
      </c>
      <c r="U247" s="1107">
        <f>'Diciembre - 2019  '!$AA$89</f>
        <v>0</v>
      </c>
      <c r="V247" s="1107">
        <f t="shared" si="142"/>
        <v>0</v>
      </c>
      <c r="W247" s="1107" t="e">
        <f t="shared" si="143"/>
        <v>#VALUE!</v>
      </c>
      <c r="X247" s="1108">
        <f t="shared" si="144"/>
        <v>199677.7562324091</v>
      </c>
      <c r="Y247" s="1109">
        <f t="shared" si="145"/>
        <v>31482809</v>
      </c>
      <c r="Z247" s="1109">
        <f t="shared" si="146"/>
        <v>6190010.4432046823</v>
      </c>
      <c r="AA247" s="1110">
        <f t="shared" si="147"/>
        <v>25292798.556795318</v>
      </c>
      <c r="AB247" s="1119">
        <f t="shared" si="148"/>
        <v>0.196615570205463</v>
      </c>
      <c r="AC247" s="1754">
        <f t="shared" si="149"/>
        <v>0.80338442979453695</v>
      </c>
    </row>
    <row r="248" spans="2:29" hidden="1" x14ac:dyDescent="0.25">
      <c r="B248" s="1113">
        <f t="shared" si="135"/>
        <v>2033</v>
      </c>
      <c r="C248" s="1114">
        <v>48611</v>
      </c>
      <c r="D248" s="1744">
        <f>'Diciembre - 2019  '!$N$34+'Diciembre - 2019  '!$N$43</f>
        <v>104018642.60000001</v>
      </c>
      <c r="E248" s="1121">
        <f>'Diciembre - 2019  '!$N$54</f>
        <v>113809.99999999999</v>
      </c>
      <c r="F248" s="1745">
        <f t="shared" si="136"/>
        <v>104132452.60000001</v>
      </c>
      <c r="G248" s="1121">
        <f>'Diciembre - 2019  '!$M$33</f>
        <v>4753878.6400000006</v>
      </c>
      <c r="H248" s="1121">
        <f>'Diciembre - 2019  '!$M$54</f>
        <v>5690.5</v>
      </c>
      <c r="I248" s="1121">
        <f t="shared" si="137"/>
        <v>4759569.1400000006</v>
      </c>
      <c r="J248" s="2067">
        <f>'Diciembre - 2019  '!$H$22</f>
        <v>0.14799999999999999</v>
      </c>
      <c r="K248" s="2069">
        <f>'Diciembre - 2019  '!$I$22</f>
        <v>1.4200000000000001E-2</v>
      </c>
      <c r="L248" s="1104">
        <f t="shared" si="138"/>
        <v>28</v>
      </c>
      <c r="M248" s="1153">
        <v>31482810</v>
      </c>
      <c r="N248" s="1107">
        <f t="shared" si="139"/>
        <v>1124386.0714285714</v>
      </c>
      <c r="O248" s="1164">
        <f>'Diciembre - 2019  '!$I$22</f>
        <v>1.4200000000000001E-2</v>
      </c>
      <c r="P248" s="1118">
        <f t="shared" si="140"/>
        <v>5869182.201933383</v>
      </c>
      <c r="Q248" s="1118">
        <f>'Diciembre - 2019  '!$K$54</f>
        <v>6190010.4432046823</v>
      </c>
      <c r="R248" s="1117">
        <f>'Diciembre - 2019  '!$L$15</f>
        <v>0</v>
      </c>
      <c r="S248" s="1743">
        <f t="shared" si="141"/>
        <v>21.878546048392941</v>
      </c>
      <c r="T248" s="1753">
        <f>'Diciembre - 2019  '!$Z$89</f>
        <v>0</v>
      </c>
      <c r="U248" s="1107">
        <f>'Diciembre - 2019  '!$AA$89</f>
        <v>0</v>
      </c>
      <c r="V248" s="1107">
        <f t="shared" si="142"/>
        <v>0</v>
      </c>
      <c r="W248" s="1107" t="e">
        <f t="shared" si="143"/>
        <v>#VALUE!</v>
      </c>
      <c r="X248" s="1108">
        <f t="shared" si="144"/>
        <v>221071.80154302437</v>
      </c>
      <c r="Y248" s="1109">
        <f t="shared" si="145"/>
        <v>31482810</v>
      </c>
      <c r="Z248" s="1109">
        <f t="shared" si="146"/>
        <v>6190010.4432046823</v>
      </c>
      <c r="AA248" s="1110">
        <f t="shared" si="147"/>
        <v>25292799.556795318</v>
      </c>
      <c r="AB248" s="1119">
        <f t="shared" si="148"/>
        <v>0.19661556396029078</v>
      </c>
      <c r="AC248" s="1754">
        <f t="shared" si="149"/>
        <v>0.80338443603970922</v>
      </c>
    </row>
    <row r="249" spans="2:29" hidden="1" x14ac:dyDescent="0.25">
      <c r="B249" s="1113">
        <f t="shared" si="135"/>
        <v>2033</v>
      </c>
      <c r="C249" s="1114">
        <v>48639</v>
      </c>
      <c r="D249" s="1744">
        <f>'Diciembre - 2019  '!$N$34+'Diciembre - 2019  '!$N$43</f>
        <v>104018642.60000001</v>
      </c>
      <c r="E249" s="1121">
        <f>'Diciembre - 2019  '!$N$54</f>
        <v>113809.99999999999</v>
      </c>
      <c r="F249" s="1745">
        <f t="shared" si="136"/>
        <v>104132452.60000001</v>
      </c>
      <c r="G249" s="1121">
        <f>'Diciembre - 2019  '!$M$33</f>
        <v>4753878.6400000006</v>
      </c>
      <c r="H249" s="1121">
        <f>'Diciembre - 2019  '!$M$54</f>
        <v>5690.5</v>
      </c>
      <c r="I249" s="1121">
        <f t="shared" si="137"/>
        <v>4759569.1400000006</v>
      </c>
      <c r="J249" s="2067">
        <f>'Diciembre - 2019  '!$H$22</f>
        <v>0.14799999999999999</v>
      </c>
      <c r="K249" s="2069">
        <f>'Diciembre - 2019  '!$I$22</f>
        <v>1.4200000000000001E-2</v>
      </c>
      <c r="L249" s="1104">
        <f t="shared" si="138"/>
        <v>31</v>
      </c>
      <c r="M249" s="1153">
        <v>31482811</v>
      </c>
      <c r="N249" s="1107">
        <f t="shared" si="139"/>
        <v>1015574.5483870967</v>
      </c>
      <c r="O249" s="1164">
        <f>'Diciembre - 2019  '!$I$22</f>
        <v>1.4200000000000001E-2</v>
      </c>
      <c r="P249" s="1118">
        <f t="shared" si="140"/>
        <v>5869182.201933383</v>
      </c>
      <c r="Q249" s="1118">
        <f>'Diciembre - 2019  '!$K$54</f>
        <v>6190010.4432046823</v>
      </c>
      <c r="R249" s="1117">
        <f>'Diciembre - 2019  '!$L$15</f>
        <v>0</v>
      </c>
      <c r="S249" s="1743">
        <f t="shared" si="141"/>
        <v>21.878546048392941</v>
      </c>
      <c r="T249" s="1753">
        <f>'Diciembre - 2019  '!$Z$89</f>
        <v>0</v>
      </c>
      <c r="U249" s="1107">
        <f>'Diciembre - 2019  '!$AA$89</f>
        <v>0</v>
      </c>
      <c r="V249" s="1107">
        <f t="shared" si="142"/>
        <v>0</v>
      </c>
      <c r="W249" s="1107" t="e">
        <f t="shared" si="143"/>
        <v>#VALUE!</v>
      </c>
      <c r="X249" s="1108">
        <f t="shared" si="144"/>
        <v>199677.7562324091</v>
      </c>
      <c r="Y249" s="1109">
        <f t="shared" si="145"/>
        <v>31482811</v>
      </c>
      <c r="Z249" s="1109">
        <f t="shared" si="146"/>
        <v>6190010.4432046823</v>
      </c>
      <c r="AA249" s="1110">
        <f t="shared" si="147"/>
        <v>25292800.556795318</v>
      </c>
      <c r="AB249" s="1119">
        <f t="shared" si="148"/>
        <v>0.19661555771511896</v>
      </c>
      <c r="AC249" s="1754">
        <f t="shared" si="149"/>
        <v>0.80338444228488104</v>
      </c>
    </row>
    <row r="250" spans="2:29" hidden="1" x14ac:dyDescent="0.25">
      <c r="B250" s="1113">
        <f t="shared" si="135"/>
        <v>2033</v>
      </c>
      <c r="C250" s="1114">
        <v>48670</v>
      </c>
      <c r="D250" s="1744">
        <f>'Diciembre - 2019  '!$N$34+'Diciembre - 2019  '!$N$43</f>
        <v>104018642.60000001</v>
      </c>
      <c r="E250" s="1121">
        <f>'Diciembre - 2019  '!$N$54</f>
        <v>113809.99999999999</v>
      </c>
      <c r="F250" s="1745">
        <f t="shared" si="136"/>
        <v>104132452.60000001</v>
      </c>
      <c r="G250" s="1121">
        <f>'Diciembre - 2019  '!$M$33</f>
        <v>4753878.6400000006</v>
      </c>
      <c r="H250" s="1121">
        <f>'Diciembre - 2019  '!$M$54</f>
        <v>5690.5</v>
      </c>
      <c r="I250" s="1121">
        <f t="shared" si="137"/>
        <v>4759569.1400000006</v>
      </c>
      <c r="J250" s="2067">
        <f>'Diciembre - 2019  '!$H$22</f>
        <v>0.14799999999999999</v>
      </c>
      <c r="K250" s="2069">
        <f>'Diciembre - 2019  '!$I$22</f>
        <v>1.4200000000000001E-2</v>
      </c>
      <c r="L250" s="1104">
        <f t="shared" si="138"/>
        <v>30</v>
      </c>
      <c r="M250" s="1153">
        <v>31482812</v>
      </c>
      <c r="N250" s="1107">
        <f t="shared" si="139"/>
        <v>1049427.0666666667</v>
      </c>
      <c r="O250" s="1164">
        <f>'Diciembre - 2019  '!$I$22</f>
        <v>1.4200000000000001E-2</v>
      </c>
      <c r="P250" s="1118">
        <f t="shared" si="140"/>
        <v>5869182.201933383</v>
      </c>
      <c r="Q250" s="1118">
        <f>'Diciembre - 2019  '!$K$54</f>
        <v>6190010.4432046823</v>
      </c>
      <c r="R250" s="1117">
        <f>'Diciembre - 2019  '!$L$15</f>
        <v>0</v>
      </c>
      <c r="S250" s="1743">
        <f t="shared" si="141"/>
        <v>21.878546048392941</v>
      </c>
      <c r="T250" s="1753">
        <f>'Diciembre - 2019  '!$Z$89</f>
        <v>0</v>
      </c>
      <c r="U250" s="1107">
        <f>'Diciembre - 2019  '!$AA$89</f>
        <v>0</v>
      </c>
      <c r="V250" s="1107">
        <f t="shared" si="142"/>
        <v>0</v>
      </c>
      <c r="W250" s="1107" t="e">
        <f t="shared" si="143"/>
        <v>#VALUE!</v>
      </c>
      <c r="X250" s="1108">
        <f t="shared" si="144"/>
        <v>206333.68144015607</v>
      </c>
      <c r="Y250" s="1109">
        <f t="shared" si="145"/>
        <v>31482812</v>
      </c>
      <c r="Z250" s="1109">
        <f t="shared" si="146"/>
        <v>6190010.4432046823</v>
      </c>
      <c r="AA250" s="1110">
        <f t="shared" si="147"/>
        <v>25292801.556795318</v>
      </c>
      <c r="AB250" s="1119">
        <f t="shared" si="148"/>
        <v>0.19661555146994755</v>
      </c>
      <c r="AC250" s="1754">
        <f t="shared" si="149"/>
        <v>0.80338444853005242</v>
      </c>
    </row>
    <row r="251" spans="2:29" hidden="1" x14ac:dyDescent="0.25">
      <c r="B251" s="1113">
        <f t="shared" si="135"/>
        <v>2033</v>
      </c>
      <c r="C251" s="1114">
        <v>48700</v>
      </c>
      <c r="D251" s="1744">
        <f>'Diciembre - 2019  '!$N$34+'Diciembre - 2019  '!$N$43</f>
        <v>104018642.60000001</v>
      </c>
      <c r="E251" s="1121">
        <f>'Diciembre - 2019  '!$N$54</f>
        <v>113809.99999999999</v>
      </c>
      <c r="F251" s="1745">
        <f t="shared" si="136"/>
        <v>104132452.60000001</v>
      </c>
      <c r="G251" s="1121">
        <f>'Diciembre - 2019  '!$M$33</f>
        <v>4753878.6400000006</v>
      </c>
      <c r="H251" s="1121">
        <f>'Diciembre - 2019  '!$M$54</f>
        <v>5690.5</v>
      </c>
      <c r="I251" s="1121">
        <f t="shared" si="137"/>
        <v>4759569.1400000006</v>
      </c>
      <c r="J251" s="2067">
        <f>'Diciembre - 2019  '!$H$22</f>
        <v>0.14799999999999999</v>
      </c>
      <c r="K251" s="2069">
        <f>'Diciembre - 2019  '!$I$22</f>
        <v>1.4200000000000001E-2</v>
      </c>
      <c r="L251" s="1104">
        <f t="shared" si="138"/>
        <v>31</v>
      </c>
      <c r="M251" s="1153">
        <v>31482813</v>
      </c>
      <c r="N251" s="1107">
        <f t="shared" si="139"/>
        <v>1015574.6129032258</v>
      </c>
      <c r="O251" s="1164">
        <f>'Diciembre - 2019  '!$I$22</f>
        <v>1.4200000000000001E-2</v>
      </c>
      <c r="P251" s="1118">
        <f t="shared" si="140"/>
        <v>5869182.201933383</v>
      </c>
      <c r="Q251" s="1118">
        <f>'Diciembre - 2019  '!$K$54</f>
        <v>6190010.4432046823</v>
      </c>
      <c r="R251" s="1117">
        <f>'Diciembre - 2019  '!$L$15</f>
        <v>0</v>
      </c>
      <c r="S251" s="1743">
        <f t="shared" si="141"/>
        <v>21.878546048392941</v>
      </c>
      <c r="T251" s="1753">
        <f>'Diciembre - 2019  '!$Z$89</f>
        <v>0</v>
      </c>
      <c r="U251" s="1107">
        <f>'Diciembre - 2019  '!$AA$89</f>
        <v>0</v>
      </c>
      <c r="V251" s="1107">
        <f t="shared" si="142"/>
        <v>0</v>
      </c>
      <c r="W251" s="1107" t="e">
        <f t="shared" si="143"/>
        <v>#VALUE!</v>
      </c>
      <c r="X251" s="1108">
        <f t="shared" si="144"/>
        <v>199677.7562324091</v>
      </c>
      <c r="Y251" s="1109">
        <f t="shared" si="145"/>
        <v>31482813</v>
      </c>
      <c r="Z251" s="1109">
        <f t="shared" si="146"/>
        <v>6190010.4432046823</v>
      </c>
      <c r="AA251" s="1110">
        <f t="shared" si="147"/>
        <v>25292802.556795318</v>
      </c>
      <c r="AB251" s="1119">
        <f t="shared" si="148"/>
        <v>0.19661554522477653</v>
      </c>
      <c r="AC251" s="1754">
        <f t="shared" si="149"/>
        <v>0.80338445477522347</v>
      </c>
    </row>
    <row r="252" spans="2:29" hidden="1" x14ac:dyDescent="0.25">
      <c r="B252" s="1113">
        <f t="shared" si="135"/>
        <v>2033</v>
      </c>
      <c r="C252" s="1114">
        <v>48731</v>
      </c>
      <c r="D252" s="1744">
        <f>'Diciembre - 2019  '!$N$34+'Diciembre - 2019  '!$N$43</f>
        <v>104018642.60000001</v>
      </c>
      <c r="E252" s="1121">
        <f>'Diciembre - 2019  '!$N$54</f>
        <v>113809.99999999999</v>
      </c>
      <c r="F252" s="1745">
        <f t="shared" si="136"/>
        <v>104132452.60000001</v>
      </c>
      <c r="G252" s="1121">
        <f>'Diciembre - 2019  '!$M$33</f>
        <v>4753878.6400000006</v>
      </c>
      <c r="H252" s="1121">
        <f>'Diciembre - 2019  '!$M$54</f>
        <v>5690.5</v>
      </c>
      <c r="I252" s="1121">
        <f t="shared" si="137"/>
        <v>4759569.1400000006</v>
      </c>
      <c r="J252" s="2067">
        <f>'Diciembre - 2019  '!$H$22</f>
        <v>0.14799999999999999</v>
      </c>
      <c r="K252" s="2069">
        <f>'Diciembre - 2019  '!$I$22</f>
        <v>1.4200000000000001E-2</v>
      </c>
      <c r="L252" s="1104">
        <f t="shared" si="138"/>
        <v>30</v>
      </c>
      <c r="M252" s="1153">
        <v>31482814</v>
      </c>
      <c r="N252" s="1107">
        <f t="shared" si="139"/>
        <v>1049427.1333333333</v>
      </c>
      <c r="O252" s="1164">
        <f>'Diciembre - 2019  '!$I$22</f>
        <v>1.4200000000000001E-2</v>
      </c>
      <c r="P252" s="1118">
        <f t="shared" si="140"/>
        <v>5869182.201933383</v>
      </c>
      <c r="Q252" s="1118">
        <f>'Diciembre - 2019  '!$K$54</f>
        <v>6190010.4432046823</v>
      </c>
      <c r="R252" s="1117">
        <f>'Diciembre - 2019  '!$L$15</f>
        <v>0</v>
      </c>
      <c r="S252" s="1743">
        <f t="shared" si="141"/>
        <v>21.878546048392941</v>
      </c>
      <c r="T252" s="1753">
        <f>'Diciembre - 2019  '!$Z$89</f>
        <v>0</v>
      </c>
      <c r="U252" s="1107">
        <f>'Diciembre - 2019  '!$AA$89</f>
        <v>0</v>
      </c>
      <c r="V252" s="1107">
        <f t="shared" si="142"/>
        <v>0</v>
      </c>
      <c r="W252" s="1107" t="e">
        <f t="shared" si="143"/>
        <v>#VALUE!</v>
      </c>
      <c r="X252" s="1108">
        <f t="shared" si="144"/>
        <v>206333.68144015607</v>
      </c>
      <c r="Y252" s="1109">
        <f t="shared" si="145"/>
        <v>31482814</v>
      </c>
      <c r="Z252" s="1109">
        <f t="shared" si="146"/>
        <v>6190010.4432046823</v>
      </c>
      <c r="AA252" s="1110">
        <f t="shared" si="147"/>
        <v>25292803.556795318</v>
      </c>
      <c r="AB252" s="1119">
        <f t="shared" si="148"/>
        <v>0.1966155389796059</v>
      </c>
      <c r="AC252" s="1754">
        <f t="shared" si="149"/>
        <v>0.80338446102039407</v>
      </c>
    </row>
    <row r="253" spans="2:29" hidden="1" x14ac:dyDescent="0.25">
      <c r="B253" s="1113">
        <f t="shared" si="135"/>
        <v>2033</v>
      </c>
      <c r="C253" s="1114">
        <v>48761</v>
      </c>
      <c r="D253" s="1744">
        <f>'Diciembre - 2019  '!$N$34+'Diciembre - 2019  '!$N$43</f>
        <v>104018642.60000001</v>
      </c>
      <c r="E253" s="1121">
        <f>'Diciembre - 2019  '!$N$54</f>
        <v>113809.99999999999</v>
      </c>
      <c r="F253" s="1745">
        <f t="shared" si="136"/>
        <v>104132452.60000001</v>
      </c>
      <c r="G253" s="1121">
        <f>'Diciembre - 2019  '!$M$33</f>
        <v>4753878.6400000006</v>
      </c>
      <c r="H253" s="1121">
        <f>'Diciembre - 2019  '!$M$54</f>
        <v>5690.5</v>
      </c>
      <c r="I253" s="1121">
        <f t="shared" si="137"/>
        <v>4759569.1400000006</v>
      </c>
      <c r="J253" s="2067">
        <f>'Diciembre - 2019  '!$H$22</f>
        <v>0.14799999999999999</v>
      </c>
      <c r="K253" s="2069">
        <f>'Diciembre - 2019  '!$I$22</f>
        <v>1.4200000000000001E-2</v>
      </c>
      <c r="L253" s="1104">
        <f t="shared" si="138"/>
        <v>31</v>
      </c>
      <c r="M253" s="1153">
        <v>31482815</v>
      </c>
      <c r="N253" s="1107">
        <f t="shared" si="139"/>
        <v>1015574.6774193548</v>
      </c>
      <c r="O253" s="1164">
        <f>'Diciembre - 2019  '!$I$22</f>
        <v>1.4200000000000001E-2</v>
      </c>
      <c r="P253" s="1118">
        <f t="shared" si="140"/>
        <v>5869182.201933383</v>
      </c>
      <c r="Q253" s="1118">
        <f>'Diciembre - 2019  '!$K$54</f>
        <v>6190010.4432046823</v>
      </c>
      <c r="R253" s="1117">
        <f>'Diciembre - 2019  '!$L$15</f>
        <v>0</v>
      </c>
      <c r="S253" s="1743">
        <f t="shared" si="141"/>
        <v>21.878546048392941</v>
      </c>
      <c r="T253" s="1753">
        <f>'Diciembre - 2019  '!$Z$89</f>
        <v>0</v>
      </c>
      <c r="U253" s="1107">
        <f>'Diciembre - 2019  '!$AA$89</f>
        <v>0</v>
      </c>
      <c r="V253" s="1107">
        <f t="shared" si="142"/>
        <v>0</v>
      </c>
      <c r="W253" s="1107" t="e">
        <f t="shared" si="143"/>
        <v>#VALUE!</v>
      </c>
      <c r="X253" s="1108">
        <f t="shared" si="144"/>
        <v>199677.7562324091</v>
      </c>
      <c r="Y253" s="1109">
        <f t="shared" si="145"/>
        <v>31482815</v>
      </c>
      <c r="Z253" s="1109">
        <f t="shared" si="146"/>
        <v>6190010.4432046823</v>
      </c>
      <c r="AA253" s="1110">
        <f t="shared" si="147"/>
        <v>25292804.556795318</v>
      </c>
      <c r="AB253" s="1119">
        <f t="shared" si="148"/>
        <v>0.19661553273443566</v>
      </c>
      <c r="AC253" s="1754">
        <f t="shared" si="149"/>
        <v>0.80338446726556434</v>
      </c>
    </row>
    <row r="254" spans="2:29" hidden="1" x14ac:dyDescent="0.25">
      <c r="B254" s="1113">
        <f t="shared" si="135"/>
        <v>2033</v>
      </c>
      <c r="C254" s="1114">
        <v>48792</v>
      </c>
      <c r="D254" s="1744">
        <f>'Diciembre - 2019  '!$N$34+'Diciembre - 2019  '!$N$43</f>
        <v>104018642.60000001</v>
      </c>
      <c r="E254" s="1121">
        <f>'Diciembre - 2019  '!$N$54</f>
        <v>113809.99999999999</v>
      </c>
      <c r="F254" s="1745">
        <f t="shared" si="136"/>
        <v>104132452.60000001</v>
      </c>
      <c r="G254" s="1121">
        <f>'Diciembre - 2019  '!$M$33</f>
        <v>4753878.6400000006</v>
      </c>
      <c r="H254" s="1121">
        <f>'Diciembre - 2019  '!$M$54</f>
        <v>5690.5</v>
      </c>
      <c r="I254" s="1121">
        <f t="shared" si="137"/>
        <v>4759569.1400000006</v>
      </c>
      <c r="J254" s="2067">
        <f>'Diciembre - 2019  '!$H$22</f>
        <v>0.14799999999999999</v>
      </c>
      <c r="K254" s="2069">
        <f>'Diciembre - 2019  '!$I$22</f>
        <v>1.4200000000000001E-2</v>
      </c>
      <c r="L254" s="1104">
        <f t="shared" si="138"/>
        <v>31</v>
      </c>
      <c r="M254" s="1153">
        <v>31482816</v>
      </c>
      <c r="N254" s="1107">
        <f t="shared" si="139"/>
        <v>1015574.7096774194</v>
      </c>
      <c r="O254" s="1164">
        <f>'Diciembre - 2019  '!$I$22</f>
        <v>1.4200000000000001E-2</v>
      </c>
      <c r="P254" s="1118">
        <f t="shared" si="140"/>
        <v>5869182.201933383</v>
      </c>
      <c r="Q254" s="1118">
        <f>'Diciembre - 2019  '!$K$54</f>
        <v>6190010.4432046823</v>
      </c>
      <c r="R254" s="1117">
        <f>'Diciembre - 2019  '!$L$15</f>
        <v>0</v>
      </c>
      <c r="S254" s="1743">
        <f t="shared" si="141"/>
        <v>21.878546048392941</v>
      </c>
      <c r="T254" s="1753">
        <f>'Diciembre - 2019  '!$Z$89</f>
        <v>0</v>
      </c>
      <c r="U254" s="1107">
        <f>'Diciembre - 2019  '!$AA$89</f>
        <v>0</v>
      </c>
      <c r="V254" s="1107">
        <f t="shared" si="142"/>
        <v>0</v>
      </c>
      <c r="W254" s="1107" t="e">
        <f t="shared" si="143"/>
        <v>#VALUE!</v>
      </c>
      <c r="X254" s="1108">
        <f t="shared" si="144"/>
        <v>199677.7562324091</v>
      </c>
      <c r="Y254" s="1109">
        <f t="shared" si="145"/>
        <v>31482816</v>
      </c>
      <c r="Z254" s="1109">
        <f t="shared" si="146"/>
        <v>6190010.4432046823</v>
      </c>
      <c r="AA254" s="1110">
        <f t="shared" si="147"/>
        <v>25292805.556795318</v>
      </c>
      <c r="AB254" s="1119">
        <f t="shared" si="148"/>
        <v>0.19661552648926583</v>
      </c>
      <c r="AC254" s="1754">
        <f t="shared" si="149"/>
        <v>0.80338447351073417</v>
      </c>
    </row>
    <row r="255" spans="2:29" hidden="1" x14ac:dyDescent="0.25">
      <c r="B255" s="1113">
        <f t="shared" si="135"/>
        <v>2033</v>
      </c>
      <c r="C255" s="1114">
        <v>48823</v>
      </c>
      <c r="D255" s="1744">
        <f>'Diciembre - 2019  '!$N$34+'Diciembre - 2019  '!$N$43</f>
        <v>104018642.60000001</v>
      </c>
      <c r="E255" s="1121">
        <f>'Diciembre - 2019  '!$N$54</f>
        <v>113809.99999999999</v>
      </c>
      <c r="F255" s="1745">
        <f t="shared" si="136"/>
        <v>104132452.60000001</v>
      </c>
      <c r="G255" s="1121">
        <f>'Diciembre - 2019  '!$M$33</f>
        <v>4753878.6400000006</v>
      </c>
      <c r="H255" s="1121">
        <f>'Diciembre - 2019  '!$M$54</f>
        <v>5690.5</v>
      </c>
      <c r="I255" s="1121">
        <f t="shared" si="137"/>
        <v>4759569.1400000006</v>
      </c>
      <c r="J255" s="2067">
        <f>'Diciembre - 2019  '!$H$22</f>
        <v>0.14799999999999999</v>
      </c>
      <c r="K255" s="2069">
        <f>'Diciembre - 2019  '!$I$22</f>
        <v>1.4200000000000001E-2</v>
      </c>
      <c r="L255" s="1104">
        <f t="shared" si="138"/>
        <v>30</v>
      </c>
      <c r="M255" s="1153">
        <v>31482817</v>
      </c>
      <c r="N255" s="1107">
        <f t="shared" si="139"/>
        <v>1049427.2333333334</v>
      </c>
      <c r="O255" s="1164">
        <f>'Diciembre - 2019  '!$I$22</f>
        <v>1.4200000000000001E-2</v>
      </c>
      <c r="P255" s="1118">
        <f t="shared" si="140"/>
        <v>5869182.201933383</v>
      </c>
      <c r="Q255" s="1118">
        <f>'Diciembre - 2019  '!$K$54</f>
        <v>6190010.4432046823</v>
      </c>
      <c r="R255" s="1117">
        <f>'Diciembre - 2019  '!$L$15</f>
        <v>0</v>
      </c>
      <c r="S255" s="1743">
        <f t="shared" si="141"/>
        <v>21.878546048392941</v>
      </c>
      <c r="T255" s="1753">
        <f>'Diciembre - 2019  '!$Z$89</f>
        <v>0</v>
      </c>
      <c r="U255" s="1107">
        <f>'Diciembre - 2019  '!$AA$89</f>
        <v>0</v>
      </c>
      <c r="V255" s="1107">
        <f t="shared" si="142"/>
        <v>0</v>
      </c>
      <c r="W255" s="1107" t="e">
        <f t="shared" si="143"/>
        <v>#VALUE!</v>
      </c>
      <c r="X255" s="1108">
        <f t="shared" si="144"/>
        <v>206333.68144015607</v>
      </c>
      <c r="Y255" s="1109">
        <f t="shared" si="145"/>
        <v>31482817</v>
      </c>
      <c r="Z255" s="1109">
        <f t="shared" si="146"/>
        <v>6190010.4432046823</v>
      </c>
      <c r="AA255" s="1110">
        <f t="shared" si="147"/>
        <v>25292806.556795318</v>
      </c>
      <c r="AB255" s="1119">
        <f t="shared" si="148"/>
        <v>0.1966155202440964</v>
      </c>
      <c r="AC255" s="1754">
        <f t="shared" si="149"/>
        <v>0.80338447975590355</v>
      </c>
    </row>
    <row r="256" spans="2:29" hidden="1" x14ac:dyDescent="0.25">
      <c r="B256" s="1113">
        <f t="shared" si="135"/>
        <v>2033</v>
      </c>
      <c r="C256" s="1114">
        <v>48853</v>
      </c>
      <c r="D256" s="1744">
        <f>'Diciembre - 2019  '!$N$34+'Diciembre - 2019  '!$N$43</f>
        <v>104018642.60000001</v>
      </c>
      <c r="E256" s="1121">
        <f>'Diciembre - 2019  '!$N$54</f>
        <v>113809.99999999999</v>
      </c>
      <c r="F256" s="1745">
        <f t="shared" si="136"/>
        <v>104132452.60000001</v>
      </c>
      <c r="G256" s="1121">
        <f>'Diciembre - 2019  '!$M$33</f>
        <v>4753878.6400000006</v>
      </c>
      <c r="H256" s="1121">
        <f>'Diciembre - 2019  '!$M$54</f>
        <v>5690.5</v>
      </c>
      <c r="I256" s="1121">
        <f t="shared" si="137"/>
        <v>4759569.1400000006</v>
      </c>
      <c r="J256" s="2067">
        <f>'Diciembre - 2019  '!$H$22</f>
        <v>0.14799999999999999</v>
      </c>
      <c r="K256" s="2069">
        <f>'Diciembre - 2019  '!$I$22</f>
        <v>1.4200000000000001E-2</v>
      </c>
      <c r="L256" s="1104">
        <f t="shared" si="138"/>
        <v>31</v>
      </c>
      <c r="M256" s="1153">
        <v>31482818</v>
      </c>
      <c r="N256" s="1107">
        <f t="shared" si="139"/>
        <v>1015574.7741935484</v>
      </c>
      <c r="O256" s="1164">
        <f>'Diciembre - 2019  '!$I$22</f>
        <v>1.4200000000000001E-2</v>
      </c>
      <c r="P256" s="1118">
        <f t="shared" si="140"/>
        <v>5869182.201933383</v>
      </c>
      <c r="Q256" s="1118">
        <f>'Diciembre - 2019  '!$K$54</f>
        <v>6190010.4432046823</v>
      </c>
      <c r="R256" s="1117">
        <f>'Diciembre - 2019  '!$L$15</f>
        <v>0</v>
      </c>
      <c r="S256" s="1743">
        <f t="shared" si="141"/>
        <v>21.878546048392941</v>
      </c>
      <c r="T256" s="1753">
        <f>'Diciembre - 2019  '!$Z$89</f>
        <v>0</v>
      </c>
      <c r="U256" s="1107">
        <f>'Diciembre - 2019  '!$AA$89</f>
        <v>0</v>
      </c>
      <c r="V256" s="1107">
        <f t="shared" si="142"/>
        <v>0</v>
      </c>
      <c r="W256" s="1107" t="e">
        <f t="shared" si="143"/>
        <v>#VALUE!</v>
      </c>
      <c r="X256" s="1108">
        <f t="shared" si="144"/>
        <v>199677.7562324091</v>
      </c>
      <c r="Y256" s="1109">
        <f t="shared" si="145"/>
        <v>31482818</v>
      </c>
      <c r="Z256" s="1109">
        <f t="shared" si="146"/>
        <v>6190010.4432046823</v>
      </c>
      <c r="AA256" s="1110">
        <f t="shared" si="147"/>
        <v>25292807.556795318</v>
      </c>
      <c r="AB256" s="1119">
        <f t="shared" si="148"/>
        <v>0.19661551399892735</v>
      </c>
      <c r="AC256" s="1754">
        <f t="shared" si="149"/>
        <v>0.8033844860010726</v>
      </c>
    </row>
    <row r="257" spans="2:29" hidden="1" x14ac:dyDescent="0.25">
      <c r="B257" s="1113">
        <f t="shared" si="135"/>
        <v>2033</v>
      </c>
      <c r="C257" s="1114">
        <v>48884</v>
      </c>
      <c r="D257" s="1744">
        <f>'Diciembre - 2019  '!$N$34+'Diciembre - 2019  '!$N$43</f>
        <v>104018642.60000001</v>
      </c>
      <c r="E257" s="1121">
        <f>'Diciembre - 2019  '!$N$54</f>
        <v>113809.99999999999</v>
      </c>
      <c r="F257" s="1745">
        <f t="shared" si="136"/>
        <v>104132452.60000001</v>
      </c>
      <c r="G257" s="1121">
        <f>'Diciembre - 2019  '!$M$33</f>
        <v>4753878.6400000006</v>
      </c>
      <c r="H257" s="1121">
        <f>'Diciembre - 2019  '!$M$54</f>
        <v>5690.5</v>
      </c>
      <c r="I257" s="1121">
        <f t="shared" si="137"/>
        <v>4759569.1400000006</v>
      </c>
      <c r="J257" s="2067">
        <f>'Diciembre - 2019  '!$H$22</f>
        <v>0.14799999999999999</v>
      </c>
      <c r="K257" s="2069">
        <f>'Diciembre - 2019  '!$I$22</f>
        <v>1.4200000000000001E-2</v>
      </c>
      <c r="L257" s="1104">
        <f t="shared" si="138"/>
        <v>30</v>
      </c>
      <c r="M257" s="1153">
        <v>31482819</v>
      </c>
      <c r="N257" s="1107">
        <f t="shared" si="139"/>
        <v>1049427.3</v>
      </c>
      <c r="O257" s="1164">
        <f>'Diciembre - 2019  '!$I$22</f>
        <v>1.4200000000000001E-2</v>
      </c>
      <c r="P257" s="1118">
        <f t="shared" si="140"/>
        <v>5869182.201933383</v>
      </c>
      <c r="Q257" s="1118">
        <f>'Diciembre - 2019  '!$K$54</f>
        <v>6190010.4432046823</v>
      </c>
      <c r="R257" s="1117">
        <f>'Diciembre - 2019  '!$L$15</f>
        <v>0</v>
      </c>
      <c r="S257" s="1743">
        <f t="shared" si="141"/>
        <v>21.878546048392941</v>
      </c>
      <c r="T257" s="1753">
        <f>'Diciembre - 2019  '!$Z$89</f>
        <v>0</v>
      </c>
      <c r="U257" s="1107">
        <f>'Diciembre - 2019  '!$AA$89</f>
        <v>0</v>
      </c>
      <c r="V257" s="1107">
        <f t="shared" si="142"/>
        <v>0</v>
      </c>
      <c r="W257" s="1107" t="e">
        <f t="shared" si="143"/>
        <v>#VALUE!</v>
      </c>
      <c r="X257" s="1108">
        <f t="shared" si="144"/>
        <v>206333.68144015607</v>
      </c>
      <c r="Y257" s="1109">
        <f t="shared" si="145"/>
        <v>31482819</v>
      </c>
      <c r="Z257" s="1109">
        <f t="shared" si="146"/>
        <v>6190010.4432046823</v>
      </c>
      <c r="AA257" s="1110">
        <f t="shared" si="147"/>
        <v>25292808.556795318</v>
      </c>
      <c r="AB257" s="1119">
        <f t="shared" si="148"/>
        <v>0.19661550775375872</v>
      </c>
      <c r="AC257" s="1754">
        <f t="shared" si="149"/>
        <v>0.80338449224624131</v>
      </c>
    </row>
    <row r="258" spans="2:29" hidden="1" x14ac:dyDescent="0.25">
      <c r="B258" s="1113">
        <f t="shared" si="135"/>
        <v>2033</v>
      </c>
      <c r="C258" s="1114">
        <v>48914</v>
      </c>
      <c r="D258" s="1744">
        <f>'Diciembre - 2019  '!$N$34+'Diciembre - 2019  '!$N$43</f>
        <v>104018642.60000001</v>
      </c>
      <c r="E258" s="1121">
        <f>'Diciembre - 2019  '!$N$54</f>
        <v>113809.99999999999</v>
      </c>
      <c r="F258" s="1745">
        <f t="shared" si="136"/>
        <v>104132452.60000001</v>
      </c>
      <c r="G258" s="1121">
        <f>'Diciembre - 2019  '!$M$33</f>
        <v>4753878.6400000006</v>
      </c>
      <c r="H258" s="1121">
        <f>'Diciembre - 2019  '!$M$54</f>
        <v>5690.5</v>
      </c>
      <c r="I258" s="1121">
        <f t="shared" si="137"/>
        <v>4759569.1400000006</v>
      </c>
      <c r="J258" s="2067">
        <f>'Diciembre - 2019  '!$H$22</f>
        <v>0.14799999999999999</v>
      </c>
      <c r="K258" s="2069">
        <f>'Diciembre - 2019  '!$I$22</f>
        <v>1.4200000000000001E-2</v>
      </c>
      <c r="L258" s="1104">
        <f t="shared" si="138"/>
        <v>31</v>
      </c>
      <c r="M258" s="1153">
        <v>31482820</v>
      </c>
      <c r="N258" s="1107">
        <f t="shared" si="139"/>
        <v>1015574.8387096775</v>
      </c>
      <c r="O258" s="1164">
        <f>'Diciembre - 2019  '!$I$22</f>
        <v>1.4200000000000001E-2</v>
      </c>
      <c r="P258" s="1118">
        <f t="shared" si="140"/>
        <v>5869182.201933383</v>
      </c>
      <c r="Q258" s="1118">
        <f>'Diciembre - 2019  '!$K$54</f>
        <v>6190010.4432046823</v>
      </c>
      <c r="R258" s="1117">
        <f>'Diciembre - 2019  '!$L$15</f>
        <v>0</v>
      </c>
      <c r="S258" s="1743">
        <f t="shared" si="141"/>
        <v>21.878546048392941</v>
      </c>
      <c r="T258" s="1753">
        <f>'Diciembre - 2019  '!$Z$89</f>
        <v>0</v>
      </c>
      <c r="U258" s="1107">
        <f>'Diciembre - 2019  '!$AA$89</f>
        <v>0</v>
      </c>
      <c r="V258" s="1107">
        <f t="shared" si="142"/>
        <v>0</v>
      </c>
      <c r="W258" s="1107" t="e">
        <f t="shared" si="143"/>
        <v>#VALUE!</v>
      </c>
      <c r="X258" s="1108">
        <f t="shared" si="144"/>
        <v>199677.7562324091</v>
      </c>
      <c r="Y258" s="1109">
        <f t="shared" si="145"/>
        <v>31482820</v>
      </c>
      <c r="Z258" s="1109">
        <f t="shared" si="146"/>
        <v>6190010.4432046823</v>
      </c>
      <c r="AA258" s="1110">
        <f t="shared" si="147"/>
        <v>25292809.556795318</v>
      </c>
      <c r="AB258" s="1119">
        <f t="shared" si="148"/>
        <v>0.19661550150859047</v>
      </c>
      <c r="AC258" s="1754">
        <f t="shared" si="149"/>
        <v>0.80338449849140958</v>
      </c>
    </row>
    <row r="259" spans="2:29" hidden="1" x14ac:dyDescent="0.25">
      <c r="B259" s="1113">
        <f t="shared" si="135"/>
        <v>2034</v>
      </c>
      <c r="C259" s="1114">
        <v>48945</v>
      </c>
      <c r="D259" s="1744">
        <f>'Diciembre - 2019  '!$N$34+'Diciembre - 2019  '!$N$43</f>
        <v>104018642.60000001</v>
      </c>
      <c r="E259" s="1121">
        <f>'Diciembre - 2019  '!$N$54</f>
        <v>113809.99999999999</v>
      </c>
      <c r="F259" s="1745">
        <f t="shared" si="136"/>
        <v>104132452.60000001</v>
      </c>
      <c r="G259" s="1121">
        <f>'Diciembre - 2019  '!$M$33</f>
        <v>4753878.6400000006</v>
      </c>
      <c r="H259" s="1121">
        <f>'Diciembre - 2019  '!$M$54</f>
        <v>5690.5</v>
      </c>
      <c r="I259" s="1121">
        <f t="shared" si="137"/>
        <v>4759569.1400000006</v>
      </c>
      <c r="J259" s="2067">
        <f>'Diciembre - 2019  '!$H$22</f>
        <v>0.14799999999999999</v>
      </c>
      <c r="K259" s="2069">
        <f>'Diciembre - 2019  '!$I$22</f>
        <v>1.4200000000000001E-2</v>
      </c>
      <c r="L259" s="1104">
        <f t="shared" si="138"/>
        <v>31</v>
      </c>
      <c r="M259" s="1153">
        <v>31482821</v>
      </c>
      <c r="N259" s="1107">
        <f t="shared" si="139"/>
        <v>1015574.8709677419</v>
      </c>
      <c r="O259" s="1164">
        <f>'Diciembre - 2019  '!$I$22</f>
        <v>1.4200000000000001E-2</v>
      </c>
      <c r="P259" s="1118">
        <f t="shared" si="140"/>
        <v>5869182.201933383</v>
      </c>
      <c r="Q259" s="1118">
        <f>'Diciembre - 2019  '!$K$54</f>
        <v>6190010.4432046823</v>
      </c>
      <c r="R259" s="1117">
        <f>'Diciembre - 2019  '!$L$15</f>
        <v>0</v>
      </c>
      <c r="S259" s="1743">
        <f t="shared" si="141"/>
        <v>21.878546048392941</v>
      </c>
      <c r="T259" s="1753">
        <f>'Diciembre - 2019  '!$Z$89</f>
        <v>0</v>
      </c>
      <c r="U259" s="1107">
        <f>'Diciembre - 2019  '!$AA$89</f>
        <v>0</v>
      </c>
      <c r="V259" s="1107">
        <f t="shared" si="142"/>
        <v>0</v>
      </c>
      <c r="W259" s="1107" t="e">
        <f t="shared" si="143"/>
        <v>#VALUE!</v>
      </c>
      <c r="X259" s="1108">
        <f t="shared" si="144"/>
        <v>199677.7562324091</v>
      </c>
      <c r="Y259" s="1109">
        <f t="shared" si="145"/>
        <v>31482821</v>
      </c>
      <c r="Z259" s="1109">
        <f t="shared" si="146"/>
        <v>6190010.4432046823</v>
      </c>
      <c r="AA259" s="1110">
        <f t="shared" si="147"/>
        <v>25292810.556795318</v>
      </c>
      <c r="AB259" s="1119">
        <f t="shared" si="148"/>
        <v>0.19661549526342262</v>
      </c>
      <c r="AC259" s="1754">
        <f t="shared" si="149"/>
        <v>0.80338450473657741</v>
      </c>
    </row>
    <row r="260" spans="2:29" hidden="1" x14ac:dyDescent="0.25">
      <c r="B260" s="1113">
        <f t="shared" si="135"/>
        <v>2034</v>
      </c>
      <c r="C260" s="1114">
        <v>48976</v>
      </c>
      <c r="D260" s="1744">
        <f>'Diciembre - 2019  '!$N$34+'Diciembre - 2019  '!$N$43</f>
        <v>104018642.60000001</v>
      </c>
      <c r="E260" s="1121">
        <f>'Diciembre - 2019  '!$N$54</f>
        <v>113809.99999999999</v>
      </c>
      <c r="F260" s="1745">
        <f t="shared" si="136"/>
        <v>104132452.60000001</v>
      </c>
      <c r="G260" s="1121">
        <f>'Diciembre - 2019  '!$M$33</f>
        <v>4753878.6400000006</v>
      </c>
      <c r="H260" s="1121">
        <f>'Diciembre - 2019  '!$M$54</f>
        <v>5690.5</v>
      </c>
      <c r="I260" s="1121">
        <f t="shared" si="137"/>
        <v>4759569.1400000006</v>
      </c>
      <c r="J260" s="2067">
        <f>'Diciembre - 2019  '!$H$22</f>
        <v>0.14799999999999999</v>
      </c>
      <c r="K260" s="2069">
        <f>'Diciembre - 2019  '!$I$22</f>
        <v>1.4200000000000001E-2</v>
      </c>
      <c r="L260" s="1104">
        <f t="shared" si="138"/>
        <v>28</v>
      </c>
      <c r="M260" s="1153">
        <v>31482822</v>
      </c>
      <c r="N260" s="1107">
        <f t="shared" si="139"/>
        <v>1124386.5</v>
      </c>
      <c r="O260" s="1164">
        <f>'Diciembre - 2019  '!$I$22</f>
        <v>1.4200000000000001E-2</v>
      </c>
      <c r="P260" s="1118">
        <f t="shared" si="140"/>
        <v>5869182.201933383</v>
      </c>
      <c r="Q260" s="1118">
        <f>'Diciembre - 2019  '!$K$54</f>
        <v>6190010.4432046823</v>
      </c>
      <c r="R260" s="1117">
        <f>'Diciembre - 2019  '!$L$15</f>
        <v>0</v>
      </c>
      <c r="S260" s="1743">
        <f t="shared" si="141"/>
        <v>21.878546048392941</v>
      </c>
      <c r="T260" s="1753">
        <f>'Diciembre - 2019  '!$Z$89</f>
        <v>0</v>
      </c>
      <c r="U260" s="1107">
        <f>'Diciembre - 2019  '!$AA$89</f>
        <v>0</v>
      </c>
      <c r="V260" s="1107">
        <f t="shared" si="142"/>
        <v>0</v>
      </c>
      <c r="W260" s="1107" t="e">
        <f t="shared" si="143"/>
        <v>#VALUE!</v>
      </c>
      <c r="X260" s="1108">
        <f t="shared" si="144"/>
        <v>221071.80154302437</v>
      </c>
      <c r="Y260" s="1109">
        <f t="shared" si="145"/>
        <v>31482822</v>
      </c>
      <c r="Z260" s="1109">
        <f t="shared" si="146"/>
        <v>6190010.4432046823</v>
      </c>
      <c r="AA260" s="1110">
        <f t="shared" si="147"/>
        <v>25292811.556795318</v>
      </c>
      <c r="AB260" s="1119">
        <f t="shared" si="148"/>
        <v>0.19661548901825518</v>
      </c>
      <c r="AC260" s="1754">
        <f t="shared" si="149"/>
        <v>0.80338451098174479</v>
      </c>
    </row>
    <row r="261" spans="2:29" hidden="1" x14ac:dyDescent="0.25">
      <c r="B261" s="1113">
        <f t="shared" si="135"/>
        <v>2034</v>
      </c>
      <c r="C261" s="1114">
        <v>49004</v>
      </c>
      <c r="D261" s="1744">
        <f>'Diciembre - 2019  '!$N$34+'Diciembre - 2019  '!$N$43</f>
        <v>104018642.60000001</v>
      </c>
      <c r="E261" s="1121">
        <f>'Diciembre - 2019  '!$N$54</f>
        <v>113809.99999999999</v>
      </c>
      <c r="F261" s="1745">
        <f t="shared" si="136"/>
        <v>104132452.60000001</v>
      </c>
      <c r="G261" s="1121">
        <f>'Diciembre - 2019  '!$M$33</f>
        <v>4753878.6400000006</v>
      </c>
      <c r="H261" s="1121">
        <f>'Diciembre - 2019  '!$M$54</f>
        <v>5690.5</v>
      </c>
      <c r="I261" s="1121">
        <f t="shared" si="137"/>
        <v>4759569.1400000006</v>
      </c>
      <c r="J261" s="2067">
        <f>'Diciembre - 2019  '!$H$22</f>
        <v>0.14799999999999999</v>
      </c>
      <c r="K261" s="2069">
        <f>'Diciembre - 2019  '!$I$22</f>
        <v>1.4200000000000001E-2</v>
      </c>
      <c r="L261" s="1104">
        <f t="shared" si="138"/>
        <v>31</v>
      </c>
      <c r="M261" s="1153">
        <v>31482823</v>
      </c>
      <c r="N261" s="1107">
        <f t="shared" si="139"/>
        <v>1015574.9354838709</v>
      </c>
      <c r="O261" s="1164">
        <f>'Diciembre - 2019  '!$I$22</f>
        <v>1.4200000000000001E-2</v>
      </c>
      <c r="P261" s="1118">
        <f t="shared" si="140"/>
        <v>5869182.201933383</v>
      </c>
      <c r="Q261" s="1118">
        <f>'Diciembre - 2019  '!$K$54</f>
        <v>6190010.4432046823</v>
      </c>
      <c r="R261" s="1117">
        <f>'Diciembre - 2019  '!$L$15</f>
        <v>0</v>
      </c>
      <c r="S261" s="1743">
        <f t="shared" si="141"/>
        <v>21.878546048392941</v>
      </c>
      <c r="T261" s="1753">
        <f>'Diciembre - 2019  '!$Z$89</f>
        <v>0</v>
      </c>
      <c r="U261" s="1107">
        <f>'Diciembre - 2019  '!$AA$89</f>
        <v>0</v>
      </c>
      <c r="V261" s="1107">
        <f t="shared" si="142"/>
        <v>0</v>
      </c>
      <c r="W261" s="1107" t="e">
        <f t="shared" si="143"/>
        <v>#VALUE!</v>
      </c>
      <c r="X261" s="1108">
        <f t="shared" si="144"/>
        <v>199677.7562324091</v>
      </c>
      <c r="Y261" s="1109">
        <f t="shared" si="145"/>
        <v>31482823</v>
      </c>
      <c r="Z261" s="1109">
        <f t="shared" si="146"/>
        <v>6190010.4432046823</v>
      </c>
      <c r="AA261" s="1110">
        <f t="shared" si="147"/>
        <v>25292812.556795318</v>
      </c>
      <c r="AB261" s="1119">
        <f t="shared" si="148"/>
        <v>0.19661548277308813</v>
      </c>
      <c r="AC261" s="1754">
        <f t="shared" si="149"/>
        <v>0.80338451722691184</v>
      </c>
    </row>
    <row r="262" spans="2:29" hidden="1" x14ac:dyDescent="0.25">
      <c r="B262" s="1113">
        <f t="shared" si="135"/>
        <v>2034</v>
      </c>
      <c r="C262" s="1114">
        <v>49035</v>
      </c>
      <c r="D262" s="1744">
        <f>'Diciembre - 2019  '!$N$34+'Diciembre - 2019  '!$N$43</f>
        <v>104018642.60000001</v>
      </c>
      <c r="E262" s="1121">
        <f>'Diciembre - 2019  '!$N$54</f>
        <v>113809.99999999999</v>
      </c>
      <c r="F262" s="1745">
        <f t="shared" si="136"/>
        <v>104132452.60000001</v>
      </c>
      <c r="G262" s="1121">
        <f>'Diciembre - 2019  '!$M$33</f>
        <v>4753878.6400000006</v>
      </c>
      <c r="H262" s="1121">
        <f>'Diciembre - 2019  '!$M$54</f>
        <v>5690.5</v>
      </c>
      <c r="I262" s="1121">
        <f t="shared" si="137"/>
        <v>4759569.1400000006</v>
      </c>
      <c r="J262" s="2067">
        <f>'Diciembre - 2019  '!$H$22</f>
        <v>0.14799999999999999</v>
      </c>
      <c r="K262" s="2069">
        <f>'Diciembre - 2019  '!$I$22</f>
        <v>1.4200000000000001E-2</v>
      </c>
      <c r="L262" s="1104">
        <f t="shared" si="138"/>
        <v>30</v>
      </c>
      <c r="M262" s="1153">
        <v>31482824</v>
      </c>
      <c r="N262" s="1107">
        <f t="shared" si="139"/>
        <v>1049427.4666666666</v>
      </c>
      <c r="O262" s="1164">
        <f>'Diciembre - 2019  '!$I$22</f>
        <v>1.4200000000000001E-2</v>
      </c>
      <c r="P262" s="1118">
        <f t="shared" si="140"/>
        <v>5869182.201933383</v>
      </c>
      <c r="Q262" s="1118">
        <f>'Diciembre - 2019  '!$K$54</f>
        <v>6190010.4432046823</v>
      </c>
      <c r="R262" s="1117">
        <f>'Diciembre - 2019  '!$L$15</f>
        <v>0</v>
      </c>
      <c r="S262" s="1743">
        <f t="shared" si="141"/>
        <v>21.878546048392941</v>
      </c>
      <c r="T262" s="1753">
        <f>'Diciembre - 2019  '!$Z$89</f>
        <v>0</v>
      </c>
      <c r="U262" s="1107">
        <f>'Diciembre - 2019  '!$AA$89</f>
        <v>0</v>
      </c>
      <c r="V262" s="1107">
        <f t="shared" si="142"/>
        <v>0</v>
      </c>
      <c r="W262" s="1107" t="e">
        <f t="shared" si="143"/>
        <v>#VALUE!</v>
      </c>
      <c r="X262" s="1108">
        <f t="shared" si="144"/>
        <v>206333.68144015607</v>
      </c>
      <c r="Y262" s="1109">
        <f t="shared" si="145"/>
        <v>31482824</v>
      </c>
      <c r="Z262" s="1109">
        <f t="shared" si="146"/>
        <v>6190010.4432046823</v>
      </c>
      <c r="AA262" s="1110">
        <f t="shared" si="147"/>
        <v>25292813.556795318</v>
      </c>
      <c r="AB262" s="1119">
        <f t="shared" si="148"/>
        <v>0.19661547652792147</v>
      </c>
      <c r="AC262" s="1754">
        <f t="shared" si="149"/>
        <v>0.80338452347207856</v>
      </c>
    </row>
    <row r="263" spans="2:29" hidden="1" x14ac:dyDescent="0.25">
      <c r="B263" s="1113">
        <f t="shared" si="135"/>
        <v>2034</v>
      </c>
      <c r="C263" s="1114">
        <v>49065</v>
      </c>
      <c r="D263" s="1744">
        <f>'Diciembre - 2019  '!$N$34+'Diciembre - 2019  '!$N$43</f>
        <v>104018642.60000001</v>
      </c>
      <c r="E263" s="1121">
        <f>'Diciembre - 2019  '!$N$54</f>
        <v>113809.99999999999</v>
      </c>
      <c r="F263" s="1745">
        <f t="shared" si="136"/>
        <v>104132452.60000001</v>
      </c>
      <c r="G263" s="1121">
        <f>'Diciembre - 2019  '!$M$33</f>
        <v>4753878.6400000006</v>
      </c>
      <c r="H263" s="1121">
        <f>'Diciembre - 2019  '!$M$54</f>
        <v>5690.5</v>
      </c>
      <c r="I263" s="1121">
        <f t="shared" si="137"/>
        <v>4759569.1400000006</v>
      </c>
      <c r="J263" s="2067">
        <f>'Diciembre - 2019  '!$H$22</f>
        <v>0.14799999999999999</v>
      </c>
      <c r="K263" s="2069">
        <f>'Diciembre - 2019  '!$I$22</f>
        <v>1.4200000000000001E-2</v>
      </c>
      <c r="L263" s="1104">
        <f t="shared" si="138"/>
        <v>31</v>
      </c>
      <c r="M263" s="1153">
        <v>31482825</v>
      </c>
      <c r="N263" s="1107">
        <f t="shared" si="139"/>
        <v>1015575</v>
      </c>
      <c r="O263" s="1164">
        <f>'Diciembre - 2019  '!$I$22</f>
        <v>1.4200000000000001E-2</v>
      </c>
      <c r="P263" s="1118">
        <f t="shared" si="140"/>
        <v>5869182.201933383</v>
      </c>
      <c r="Q263" s="1118">
        <f>'Diciembre - 2019  '!$K$54</f>
        <v>6190010.4432046823</v>
      </c>
      <c r="R263" s="1117">
        <f>'Diciembre - 2019  '!$L$15</f>
        <v>0</v>
      </c>
      <c r="S263" s="1743">
        <f t="shared" si="141"/>
        <v>21.878546048392941</v>
      </c>
      <c r="T263" s="1753">
        <f>'Diciembre - 2019  '!$Z$89</f>
        <v>0</v>
      </c>
      <c r="U263" s="1107">
        <f>'Diciembre - 2019  '!$AA$89</f>
        <v>0</v>
      </c>
      <c r="V263" s="1107">
        <f t="shared" si="142"/>
        <v>0</v>
      </c>
      <c r="W263" s="1107" t="e">
        <f t="shared" si="143"/>
        <v>#VALUE!</v>
      </c>
      <c r="X263" s="1108">
        <f t="shared" si="144"/>
        <v>199677.7562324091</v>
      </c>
      <c r="Y263" s="1109">
        <f t="shared" si="145"/>
        <v>31482825</v>
      </c>
      <c r="Z263" s="1109">
        <f t="shared" si="146"/>
        <v>6190010.4432046823</v>
      </c>
      <c r="AA263" s="1110">
        <f t="shared" si="147"/>
        <v>25292814.556795318</v>
      </c>
      <c r="AB263" s="1119">
        <f t="shared" si="148"/>
        <v>0.19661547028275519</v>
      </c>
      <c r="AC263" s="1754">
        <f t="shared" si="149"/>
        <v>0.80338452971724483</v>
      </c>
    </row>
    <row r="264" spans="2:29" hidden="1" x14ac:dyDescent="0.25">
      <c r="B264" s="1113">
        <f t="shared" si="135"/>
        <v>2034</v>
      </c>
      <c r="C264" s="1114">
        <v>49096</v>
      </c>
      <c r="D264" s="1744">
        <f>'Diciembre - 2019  '!$N$34+'Diciembre - 2019  '!$N$43</f>
        <v>104018642.60000001</v>
      </c>
      <c r="E264" s="1121">
        <f>'Diciembre - 2019  '!$N$54</f>
        <v>113809.99999999999</v>
      </c>
      <c r="F264" s="1745">
        <f t="shared" si="136"/>
        <v>104132452.60000001</v>
      </c>
      <c r="G264" s="1121">
        <f>'Diciembre - 2019  '!$M$33</f>
        <v>4753878.6400000006</v>
      </c>
      <c r="H264" s="1121">
        <f>'Diciembre - 2019  '!$M$54</f>
        <v>5690.5</v>
      </c>
      <c r="I264" s="1121">
        <f t="shared" si="137"/>
        <v>4759569.1400000006</v>
      </c>
      <c r="J264" s="2067">
        <f>'Diciembre - 2019  '!$H$22</f>
        <v>0.14799999999999999</v>
      </c>
      <c r="K264" s="2069">
        <f>'Diciembre - 2019  '!$I$22</f>
        <v>1.4200000000000001E-2</v>
      </c>
      <c r="L264" s="1104">
        <f t="shared" si="138"/>
        <v>30</v>
      </c>
      <c r="M264" s="1153">
        <v>31482826</v>
      </c>
      <c r="N264" s="1107">
        <f t="shared" si="139"/>
        <v>1049427.5333333334</v>
      </c>
      <c r="O264" s="1164">
        <f>'Diciembre - 2019  '!$I$22</f>
        <v>1.4200000000000001E-2</v>
      </c>
      <c r="P264" s="1118">
        <f t="shared" si="140"/>
        <v>5869182.201933383</v>
      </c>
      <c r="Q264" s="1118">
        <f>'Diciembre - 2019  '!$K$54</f>
        <v>6190010.4432046823</v>
      </c>
      <c r="R264" s="1117">
        <f>'Diciembre - 2019  '!$L$15</f>
        <v>0</v>
      </c>
      <c r="S264" s="1743">
        <f t="shared" si="141"/>
        <v>21.878546048392941</v>
      </c>
      <c r="T264" s="1753">
        <f>'Diciembre - 2019  '!$Z$89</f>
        <v>0</v>
      </c>
      <c r="U264" s="1107">
        <f>'Diciembre - 2019  '!$AA$89</f>
        <v>0</v>
      </c>
      <c r="V264" s="1107">
        <f t="shared" si="142"/>
        <v>0</v>
      </c>
      <c r="W264" s="1107" t="e">
        <f t="shared" si="143"/>
        <v>#VALUE!</v>
      </c>
      <c r="X264" s="1108">
        <f t="shared" si="144"/>
        <v>206333.68144015607</v>
      </c>
      <c r="Y264" s="1109">
        <f t="shared" si="145"/>
        <v>31482826</v>
      </c>
      <c r="Z264" s="1109">
        <f t="shared" si="146"/>
        <v>6190010.4432046823</v>
      </c>
      <c r="AA264" s="1110">
        <f t="shared" si="147"/>
        <v>25292815.556795318</v>
      </c>
      <c r="AB264" s="1119">
        <f t="shared" si="148"/>
        <v>0.19661546403758934</v>
      </c>
      <c r="AC264" s="1754">
        <f t="shared" si="149"/>
        <v>0.80338453596241066</v>
      </c>
    </row>
    <row r="265" spans="2:29" hidden="1" x14ac:dyDescent="0.25">
      <c r="B265" s="1113">
        <f t="shared" si="135"/>
        <v>2034</v>
      </c>
      <c r="C265" s="1114">
        <v>49126</v>
      </c>
      <c r="D265" s="1744">
        <f>'Diciembre - 2019  '!$N$34+'Diciembre - 2019  '!$N$43</f>
        <v>104018642.60000001</v>
      </c>
      <c r="E265" s="1121">
        <f>'Diciembre - 2019  '!$N$54</f>
        <v>113809.99999999999</v>
      </c>
      <c r="F265" s="1745">
        <f t="shared" si="136"/>
        <v>104132452.60000001</v>
      </c>
      <c r="G265" s="1121">
        <f>'Diciembre - 2019  '!$M$33</f>
        <v>4753878.6400000006</v>
      </c>
      <c r="H265" s="1121">
        <f>'Diciembre - 2019  '!$M$54</f>
        <v>5690.5</v>
      </c>
      <c r="I265" s="1121">
        <f t="shared" si="137"/>
        <v>4759569.1400000006</v>
      </c>
      <c r="J265" s="2067">
        <f>'Diciembre - 2019  '!$H$22</f>
        <v>0.14799999999999999</v>
      </c>
      <c r="K265" s="2069">
        <f>'Diciembre - 2019  '!$I$22</f>
        <v>1.4200000000000001E-2</v>
      </c>
      <c r="L265" s="1104">
        <f t="shared" si="138"/>
        <v>31</v>
      </c>
      <c r="M265" s="1153">
        <v>31482827</v>
      </c>
      <c r="N265" s="1107">
        <f t="shared" si="139"/>
        <v>1015575.0645161291</v>
      </c>
      <c r="O265" s="1164">
        <f>'Diciembre - 2019  '!$I$22</f>
        <v>1.4200000000000001E-2</v>
      </c>
      <c r="P265" s="1118">
        <f t="shared" si="140"/>
        <v>5869182.201933383</v>
      </c>
      <c r="Q265" s="1118">
        <f>'Diciembre - 2019  '!$K$54</f>
        <v>6190010.4432046823</v>
      </c>
      <c r="R265" s="1117">
        <f>'Diciembre - 2019  '!$L$15</f>
        <v>0</v>
      </c>
      <c r="S265" s="1743">
        <f t="shared" si="141"/>
        <v>21.878546048392941</v>
      </c>
      <c r="T265" s="1753">
        <f>'Diciembre - 2019  '!$Z$89</f>
        <v>0</v>
      </c>
      <c r="U265" s="1107">
        <f>'Diciembre - 2019  '!$AA$89</f>
        <v>0</v>
      </c>
      <c r="V265" s="1107">
        <f t="shared" si="142"/>
        <v>0</v>
      </c>
      <c r="W265" s="1107" t="e">
        <f t="shared" si="143"/>
        <v>#VALUE!</v>
      </c>
      <c r="X265" s="1108">
        <f t="shared" si="144"/>
        <v>199677.7562324091</v>
      </c>
      <c r="Y265" s="1109">
        <f t="shared" si="145"/>
        <v>31482827</v>
      </c>
      <c r="Z265" s="1109">
        <f t="shared" si="146"/>
        <v>6190010.4432046823</v>
      </c>
      <c r="AA265" s="1110">
        <f t="shared" si="147"/>
        <v>25292816.556795318</v>
      </c>
      <c r="AB265" s="1119">
        <f t="shared" si="148"/>
        <v>0.19661545779242387</v>
      </c>
      <c r="AC265" s="1754">
        <f t="shared" si="149"/>
        <v>0.80338454220757616</v>
      </c>
    </row>
    <row r="266" spans="2:29" hidden="1" x14ac:dyDescent="0.25">
      <c r="B266" s="1113">
        <f t="shared" si="135"/>
        <v>2034</v>
      </c>
      <c r="C266" s="1114">
        <v>49157</v>
      </c>
      <c r="D266" s="1744">
        <f>'Diciembre - 2019  '!$N$34+'Diciembre - 2019  '!$N$43</f>
        <v>104018642.60000001</v>
      </c>
      <c r="E266" s="1121">
        <f>'Diciembre - 2019  '!$N$54</f>
        <v>113809.99999999999</v>
      </c>
      <c r="F266" s="1745">
        <f t="shared" si="136"/>
        <v>104132452.60000001</v>
      </c>
      <c r="G266" s="1121">
        <f>'Diciembre - 2019  '!$M$33</f>
        <v>4753878.6400000006</v>
      </c>
      <c r="H266" s="1121">
        <f>'Diciembre - 2019  '!$M$54</f>
        <v>5690.5</v>
      </c>
      <c r="I266" s="1121">
        <f t="shared" si="137"/>
        <v>4759569.1400000006</v>
      </c>
      <c r="J266" s="2067">
        <f>'Diciembre - 2019  '!$H$22</f>
        <v>0.14799999999999999</v>
      </c>
      <c r="K266" s="2069">
        <f>'Diciembre - 2019  '!$I$22</f>
        <v>1.4200000000000001E-2</v>
      </c>
      <c r="L266" s="1104">
        <f t="shared" si="138"/>
        <v>31</v>
      </c>
      <c r="M266" s="1153">
        <v>31482828</v>
      </c>
      <c r="N266" s="1107">
        <f t="shared" si="139"/>
        <v>1015575.0967741936</v>
      </c>
      <c r="O266" s="1164">
        <f>'Diciembre - 2019  '!$I$22</f>
        <v>1.4200000000000001E-2</v>
      </c>
      <c r="P266" s="1118">
        <f t="shared" si="140"/>
        <v>5869182.201933383</v>
      </c>
      <c r="Q266" s="1118">
        <f>'Diciembre - 2019  '!$K$54</f>
        <v>6190010.4432046823</v>
      </c>
      <c r="R266" s="1117">
        <f>'Diciembre - 2019  '!$L$15</f>
        <v>0</v>
      </c>
      <c r="S266" s="1743">
        <f t="shared" si="141"/>
        <v>21.878546048392941</v>
      </c>
      <c r="T266" s="1753">
        <f>'Diciembre - 2019  '!$Z$89</f>
        <v>0</v>
      </c>
      <c r="U266" s="1107">
        <f>'Diciembre - 2019  '!$AA$89</f>
        <v>0</v>
      </c>
      <c r="V266" s="1107">
        <f t="shared" si="142"/>
        <v>0</v>
      </c>
      <c r="W266" s="1107" t="e">
        <f t="shared" si="143"/>
        <v>#VALUE!</v>
      </c>
      <c r="X266" s="1108">
        <f t="shared" si="144"/>
        <v>199677.7562324091</v>
      </c>
      <c r="Y266" s="1109">
        <f t="shared" si="145"/>
        <v>31482828</v>
      </c>
      <c r="Z266" s="1109">
        <f t="shared" si="146"/>
        <v>6190010.4432046823</v>
      </c>
      <c r="AA266" s="1110">
        <f t="shared" si="147"/>
        <v>25292817.556795318</v>
      </c>
      <c r="AB266" s="1119">
        <f t="shared" si="148"/>
        <v>0.19661545154725879</v>
      </c>
      <c r="AC266" s="1754">
        <f t="shared" si="149"/>
        <v>0.80338454845274121</v>
      </c>
    </row>
    <row r="267" spans="2:29" hidden="1" x14ac:dyDescent="0.25">
      <c r="B267" s="1113">
        <f t="shared" si="135"/>
        <v>2034</v>
      </c>
      <c r="C267" s="1114">
        <v>49188</v>
      </c>
      <c r="D267" s="1744">
        <f>'Diciembre - 2019  '!$N$34+'Diciembre - 2019  '!$N$43</f>
        <v>104018642.60000001</v>
      </c>
      <c r="E267" s="1121">
        <f>'Diciembre - 2019  '!$N$54</f>
        <v>113809.99999999999</v>
      </c>
      <c r="F267" s="1745">
        <f t="shared" si="136"/>
        <v>104132452.60000001</v>
      </c>
      <c r="G267" s="1121">
        <f>'Diciembre - 2019  '!$M$33</f>
        <v>4753878.6400000006</v>
      </c>
      <c r="H267" s="1121">
        <f>'Diciembre - 2019  '!$M$54</f>
        <v>5690.5</v>
      </c>
      <c r="I267" s="1121">
        <f t="shared" si="137"/>
        <v>4759569.1400000006</v>
      </c>
      <c r="J267" s="2067">
        <f>'Diciembre - 2019  '!$H$22</f>
        <v>0.14799999999999999</v>
      </c>
      <c r="K267" s="2069">
        <f>'Diciembre - 2019  '!$I$22</f>
        <v>1.4200000000000001E-2</v>
      </c>
      <c r="L267" s="1104">
        <f t="shared" si="138"/>
        <v>30</v>
      </c>
      <c r="M267" s="1153">
        <v>31482829</v>
      </c>
      <c r="N267" s="1107">
        <f t="shared" si="139"/>
        <v>1049427.6333333333</v>
      </c>
      <c r="O267" s="1164">
        <f>'Diciembre - 2019  '!$I$22</f>
        <v>1.4200000000000001E-2</v>
      </c>
      <c r="P267" s="1118">
        <f t="shared" si="140"/>
        <v>5869182.201933383</v>
      </c>
      <c r="Q267" s="1118">
        <f>'Diciembre - 2019  '!$K$54</f>
        <v>6190010.4432046823</v>
      </c>
      <c r="R267" s="1117">
        <f>'Diciembre - 2019  '!$L$15</f>
        <v>0</v>
      </c>
      <c r="S267" s="1743">
        <f t="shared" si="141"/>
        <v>21.878546048392941</v>
      </c>
      <c r="T267" s="1753">
        <f>'Diciembre - 2019  '!$Z$89</f>
        <v>0</v>
      </c>
      <c r="U267" s="1107">
        <f>'Diciembre - 2019  '!$AA$89</f>
        <v>0</v>
      </c>
      <c r="V267" s="1107">
        <f t="shared" si="142"/>
        <v>0</v>
      </c>
      <c r="W267" s="1107" t="e">
        <f t="shared" si="143"/>
        <v>#VALUE!</v>
      </c>
      <c r="X267" s="1108">
        <f t="shared" si="144"/>
        <v>206333.68144015607</v>
      </c>
      <c r="Y267" s="1109">
        <f t="shared" si="145"/>
        <v>31482829</v>
      </c>
      <c r="Z267" s="1109">
        <f t="shared" si="146"/>
        <v>6190010.4432046823</v>
      </c>
      <c r="AA267" s="1110">
        <f t="shared" si="147"/>
        <v>25292818.556795318</v>
      </c>
      <c r="AB267" s="1119">
        <f t="shared" si="148"/>
        <v>0.19661544530209413</v>
      </c>
      <c r="AC267" s="1754">
        <f t="shared" si="149"/>
        <v>0.80338455469790593</v>
      </c>
    </row>
    <row r="268" spans="2:29" hidden="1" x14ac:dyDescent="0.25">
      <c r="B268" s="1113">
        <f t="shared" si="135"/>
        <v>2034</v>
      </c>
      <c r="C268" s="1114">
        <v>49218</v>
      </c>
      <c r="D268" s="1744">
        <f>'Diciembre - 2019  '!$N$34+'Diciembre - 2019  '!$N$43</f>
        <v>104018642.60000001</v>
      </c>
      <c r="E268" s="1121">
        <f>'Diciembre - 2019  '!$N$54</f>
        <v>113809.99999999999</v>
      </c>
      <c r="F268" s="1745">
        <f t="shared" si="136"/>
        <v>104132452.60000001</v>
      </c>
      <c r="G268" s="1121">
        <f>'Diciembre - 2019  '!$M$33</f>
        <v>4753878.6400000006</v>
      </c>
      <c r="H268" s="1121">
        <f>'Diciembre - 2019  '!$M$54</f>
        <v>5690.5</v>
      </c>
      <c r="I268" s="1121">
        <f t="shared" si="137"/>
        <v>4759569.1400000006</v>
      </c>
      <c r="J268" s="2067">
        <f>'Diciembre - 2019  '!$H$22</f>
        <v>0.14799999999999999</v>
      </c>
      <c r="K268" s="2069">
        <f>'Diciembre - 2019  '!$I$22</f>
        <v>1.4200000000000001E-2</v>
      </c>
      <c r="L268" s="1104">
        <f t="shared" si="138"/>
        <v>31</v>
      </c>
      <c r="M268" s="1153">
        <v>31482830</v>
      </c>
      <c r="N268" s="1107">
        <f t="shared" si="139"/>
        <v>1015575.1612903225</v>
      </c>
      <c r="O268" s="1164">
        <f>'Diciembre - 2019  '!$I$22</f>
        <v>1.4200000000000001E-2</v>
      </c>
      <c r="P268" s="1118">
        <f t="shared" si="140"/>
        <v>5869182.201933383</v>
      </c>
      <c r="Q268" s="1118">
        <f>'Diciembre - 2019  '!$K$54</f>
        <v>6190010.4432046823</v>
      </c>
      <c r="R268" s="1117">
        <f>'Diciembre - 2019  '!$L$15</f>
        <v>0</v>
      </c>
      <c r="S268" s="1743">
        <f t="shared" si="141"/>
        <v>21.878546048392941</v>
      </c>
      <c r="T268" s="1753">
        <f>'Diciembre - 2019  '!$Z$89</f>
        <v>0</v>
      </c>
      <c r="U268" s="1107">
        <f>'Diciembre - 2019  '!$AA$89</f>
        <v>0</v>
      </c>
      <c r="V268" s="1107">
        <f t="shared" si="142"/>
        <v>0</v>
      </c>
      <c r="W268" s="1107" t="e">
        <f t="shared" si="143"/>
        <v>#VALUE!</v>
      </c>
      <c r="X268" s="1108">
        <f t="shared" si="144"/>
        <v>199677.7562324091</v>
      </c>
      <c r="Y268" s="1109">
        <f t="shared" si="145"/>
        <v>31482830</v>
      </c>
      <c r="Z268" s="1109">
        <f t="shared" si="146"/>
        <v>6190010.4432046823</v>
      </c>
      <c r="AA268" s="1110">
        <f t="shared" si="147"/>
        <v>25292819.556795318</v>
      </c>
      <c r="AB268" s="1119">
        <f t="shared" si="148"/>
        <v>0.19661543905692982</v>
      </c>
      <c r="AC268" s="1754">
        <f t="shared" si="149"/>
        <v>0.8033845609430702</v>
      </c>
    </row>
    <row r="269" spans="2:29" hidden="1" x14ac:dyDescent="0.25">
      <c r="B269" s="1113">
        <f t="shared" si="135"/>
        <v>2034</v>
      </c>
      <c r="C269" s="1114">
        <v>49249</v>
      </c>
      <c r="D269" s="1744">
        <f>'Diciembre - 2019  '!$N$34+'Diciembre - 2019  '!$N$43</f>
        <v>104018642.60000001</v>
      </c>
      <c r="E269" s="1121">
        <f>'Diciembre - 2019  '!$N$54</f>
        <v>113809.99999999999</v>
      </c>
      <c r="F269" s="1745">
        <f t="shared" si="136"/>
        <v>104132452.60000001</v>
      </c>
      <c r="G269" s="1121">
        <f>'Diciembre - 2019  '!$M$33</f>
        <v>4753878.6400000006</v>
      </c>
      <c r="H269" s="1121">
        <f>'Diciembre - 2019  '!$M$54</f>
        <v>5690.5</v>
      </c>
      <c r="I269" s="1121">
        <f t="shared" si="137"/>
        <v>4759569.1400000006</v>
      </c>
      <c r="J269" s="2067">
        <f>'Diciembre - 2019  '!$H$22</f>
        <v>0.14799999999999999</v>
      </c>
      <c r="K269" s="2069">
        <f>'Diciembre - 2019  '!$I$22</f>
        <v>1.4200000000000001E-2</v>
      </c>
      <c r="L269" s="1104">
        <f t="shared" si="138"/>
        <v>30</v>
      </c>
      <c r="M269" s="1153">
        <v>31482831</v>
      </c>
      <c r="N269" s="1107">
        <f t="shared" si="139"/>
        <v>1049427.7</v>
      </c>
      <c r="O269" s="1164">
        <f>'Diciembre - 2019  '!$I$22</f>
        <v>1.4200000000000001E-2</v>
      </c>
      <c r="P269" s="1118">
        <f t="shared" si="140"/>
        <v>5869182.201933383</v>
      </c>
      <c r="Q269" s="1118">
        <f>'Diciembre - 2019  '!$K$54</f>
        <v>6190010.4432046823</v>
      </c>
      <c r="R269" s="1117">
        <f>'Diciembre - 2019  '!$L$15</f>
        <v>0</v>
      </c>
      <c r="S269" s="1743">
        <f t="shared" si="141"/>
        <v>21.878546048392941</v>
      </c>
      <c r="T269" s="1753">
        <f>'Diciembre - 2019  '!$Z$89</f>
        <v>0</v>
      </c>
      <c r="U269" s="1107">
        <f>'Diciembre - 2019  '!$AA$89</f>
        <v>0</v>
      </c>
      <c r="V269" s="1107">
        <f t="shared" si="142"/>
        <v>0</v>
      </c>
      <c r="W269" s="1107" t="e">
        <f t="shared" si="143"/>
        <v>#VALUE!</v>
      </c>
      <c r="X269" s="1108">
        <f t="shared" si="144"/>
        <v>206333.68144015607</v>
      </c>
      <c r="Y269" s="1109">
        <f t="shared" si="145"/>
        <v>31482831</v>
      </c>
      <c r="Z269" s="1109">
        <f t="shared" si="146"/>
        <v>6190010.4432046823</v>
      </c>
      <c r="AA269" s="1110">
        <f t="shared" si="147"/>
        <v>25292820.556795318</v>
      </c>
      <c r="AB269" s="1119">
        <f t="shared" si="148"/>
        <v>0.19661543281176597</v>
      </c>
      <c r="AC269" s="1754">
        <f t="shared" si="149"/>
        <v>0.80338456718823403</v>
      </c>
    </row>
    <row r="270" spans="2:29" hidden="1" x14ac:dyDescent="0.25">
      <c r="B270" s="1113">
        <f t="shared" si="135"/>
        <v>2034</v>
      </c>
      <c r="C270" s="1114">
        <v>49279</v>
      </c>
      <c r="D270" s="1744">
        <f>'Diciembre - 2019  '!$N$34+'Diciembre - 2019  '!$N$43</f>
        <v>104018642.60000001</v>
      </c>
      <c r="E270" s="1121">
        <f>'Diciembre - 2019  '!$N$54</f>
        <v>113809.99999999999</v>
      </c>
      <c r="F270" s="1745">
        <f t="shared" si="136"/>
        <v>104132452.60000001</v>
      </c>
      <c r="G270" s="1121">
        <f>'Diciembre - 2019  '!$M$33</f>
        <v>4753878.6400000006</v>
      </c>
      <c r="H270" s="1121">
        <f>'Diciembre - 2019  '!$M$54</f>
        <v>5690.5</v>
      </c>
      <c r="I270" s="1121">
        <f t="shared" si="137"/>
        <v>4759569.1400000006</v>
      </c>
      <c r="J270" s="2067">
        <f>'Diciembre - 2019  '!$H$22</f>
        <v>0.14799999999999999</v>
      </c>
      <c r="K270" s="2069">
        <f>'Diciembre - 2019  '!$I$22</f>
        <v>1.4200000000000001E-2</v>
      </c>
      <c r="L270" s="1104">
        <f t="shared" si="138"/>
        <v>31</v>
      </c>
      <c r="M270" s="1153">
        <v>31482832</v>
      </c>
      <c r="N270" s="1107">
        <f t="shared" si="139"/>
        <v>1015575.2258064516</v>
      </c>
      <c r="O270" s="1164">
        <f>'Diciembre - 2019  '!$I$22</f>
        <v>1.4200000000000001E-2</v>
      </c>
      <c r="P270" s="1118">
        <f t="shared" si="140"/>
        <v>5869182.201933383</v>
      </c>
      <c r="Q270" s="1118">
        <f>'Diciembre - 2019  '!$K$54</f>
        <v>6190010.4432046823</v>
      </c>
      <c r="R270" s="1117">
        <f>'Diciembre - 2019  '!$L$15</f>
        <v>0</v>
      </c>
      <c r="S270" s="1743">
        <f t="shared" si="141"/>
        <v>21.878546048392941</v>
      </c>
      <c r="T270" s="1753">
        <f>'Diciembre - 2019  '!$Z$89</f>
        <v>0</v>
      </c>
      <c r="U270" s="1107">
        <f>'Diciembre - 2019  '!$AA$89</f>
        <v>0</v>
      </c>
      <c r="V270" s="1107">
        <f t="shared" si="142"/>
        <v>0</v>
      </c>
      <c r="W270" s="1107" t="e">
        <f t="shared" si="143"/>
        <v>#VALUE!</v>
      </c>
      <c r="X270" s="1108">
        <f t="shared" si="144"/>
        <v>199677.7562324091</v>
      </c>
      <c r="Y270" s="1109">
        <f t="shared" si="145"/>
        <v>31482832</v>
      </c>
      <c r="Z270" s="1109">
        <f t="shared" si="146"/>
        <v>6190010.4432046823</v>
      </c>
      <c r="AA270" s="1110">
        <f t="shared" si="147"/>
        <v>25292821.556795318</v>
      </c>
      <c r="AB270" s="1119">
        <f t="shared" si="148"/>
        <v>0.19661542656660247</v>
      </c>
      <c r="AC270" s="1754">
        <f t="shared" si="149"/>
        <v>0.80338457343339753</v>
      </c>
    </row>
    <row r="271" spans="2:29" hidden="1" x14ac:dyDescent="0.25">
      <c r="B271" s="1113">
        <f t="shared" ref="B271:B313" si="150">YEAR(C271)</f>
        <v>2035</v>
      </c>
      <c r="C271" s="1114">
        <v>49310</v>
      </c>
      <c r="D271" s="1744">
        <f>'Diciembre - 2019  '!$N$34+'Diciembre - 2019  '!$N$43</f>
        <v>104018642.60000001</v>
      </c>
      <c r="E271" s="1121">
        <f>'Diciembre - 2019  '!$N$54</f>
        <v>113809.99999999999</v>
      </c>
      <c r="F271" s="1745">
        <f t="shared" ref="F271:F328" si="151">SUM(D271:E271)</f>
        <v>104132452.60000001</v>
      </c>
      <c r="G271" s="1121">
        <f>'Diciembre - 2019  '!$M$33</f>
        <v>4753878.6400000006</v>
      </c>
      <c r="H271" s="1121">
        <f>'Diciembre - 2019  '!$M$54</f>
        <v>5690.5</v>
      </c>
      <c r="I271" s="1121">
        <f t="shared" ref="I271:I328" si="152">G271+H271</f>
        <v>4759569.1400000006</v>
      </c>
      <c r="J271" s="2067">
        <f>'Diciembre - 2019  '!$H$22</f>
        <v>0.14799999999999999</v>
      </c>
      <c r="K271" s="2069">
        <f>'Diciembre - 2019  '!$I$22</f>
        <v>1.4200000000000001E-2</v>
      </c>
      <c r="L271" s="1104">
        <f t="shared" ref="L271:L328" si="153">_xlfn.DAYS(C272,C271)</f>
        <v>31</v>
      </c>
      <c r="M271" s="1153">
        <v>31482833</v>
      </c>
      <c r="N271" s="1107">
        <f t="shared" ref="N271:N328" si="154">IFERROR(M271/L271,0)</f>
        <v>1015575.2580645161</v>
      </c>
      <c r="O271" s="1164">
        <f>'Diciembre - 2019  '!$I$22</f>
        <v>1.4200000000000001E-2</v>
      </c>
      <c r="P271" s="1118">
        <f t="shared" ref="P271:P328" si="155">Q271*0.94817</f>
        <v>5869182.201933383</v>
      </c>
      <c r="Q271" s="1118">
        <f>'Diciembre - 2019  '!$K$54</f>
        <v>6190010.4432046823</v>
      </c>
      <c r="R271" s="1117">
        <f>'Diciembre - 2019  '!$L$15</f>
        <v>0</v>
      </c>
      <c r="S271" s="1743">
        <f t="shared" ref="S271:S327" si="156">IFERROR(F271/I271,0)</f>
        <v>21.878546048392941</v>
      </c>
      <c r="T271" s="1753">
        <f>'Diciembre - 2019  '!$Z$89</f>
        <v>0</v>
      </c>
      <c r="U271" s="1107">
        <f>'Diciembre - 2019  '!$AA$89</f>
        <v>0</v>
      </c>
      <c r="V271" s="1107">
        <f t="shared" ref="V271:V328" si="157">T271-U271</f>
        <v>0</v>
      </c>
      <c r="W271" s="1107" t="e">
        <f t="shared" ref="W271:W328" si="158">V271+W270</f>
        <v>#VALUE!</v>
      </c>
      <c r="X271" s="1108">
        <f t="shared" ref="X271:X328" si="159">Q271/L271</f>
        <v>199677.7562324091</v>
      </c>
      <c r="Y271" s="1109">
        <f t="shared" ref="Y271:Y328" si="160">M271</f>
        <v>31482833</v>
      </c>
      <c r="Z271" s="1109">
        <f t="shared" ref="Z271:Z328" si="161">Q271</f>
        <v>6190010.4432046823</v>
      </c>
      <c r="AA271" s="1110">
        <f t="shared" ref="AA271:AA328" si="162">Y271-Z271</f>
        <v>25292822.556795318</v>
      </c>
      <c r="AB271" s="1119">
        <f t="shared" ref="AB271:AB328" si="163">IFERROR(Z271/Y271,0)</f>
        <v>0.19661542032143939</v>
      </c>
      <c r="AC271" s="1754">
        <f t="shared" ref="AC271:AC328" si="164">1-AB271</f>
        <v>0.80338457967856058</v>
      </c>
    </row>
    <row r="272" spans="2:29" hidden="1" x14ac:dyDescent="0.25">
      <c r="B272" s="1113">
        <f t="shared" si="150"/>
        <v>2035</v>
      </c>
      <c r="C272" s="1114">
        <v>49341</v>
      </c>
      <c r="D272" s="1744">
        <f>'Diciembre - 2019  '!$N$34+'Diciembre - 2019  '!$N$43</f>
        <v>104018642.60000001</v>
      </c>
      <c r="E272" s="1121">
        <f>'Diciembre - 2019  '!$N$54</f>
        <v>113809.99999999999</v>
      </c>
      <c r="F272" s="1745">
        <f t="shared" si="151"/>
        <v>104132452.60000001</v>
      </c>
      <c r="G272" s="1121">
        <f>'Diciembre - 2019  '!$M$33</f>
        <v>4753878.6400000006</v>
      </c>
      <c r="H272" s="1121">
        <f>'Diciembre - 2019  '!$M$54</f>
        <v>5690.5</v>
      </c>
      <c r="I272" s="1121">
        <f t="shared" si="152"/>
        <v>4759569.1400000006</v>
      </c>
      <c r="J272" s="2067">
        <f>'Diciembre - 2019  '!$H$22</f>
        <v>0.14799999999999999</v>
      </c>
      <c r="K272" s="2069">
        <f>'Diciembre - 2019  '!$I$22</f>
        <v>1.4200000000000001E-2</v>
      </c>
      <c r="L272" s="1104">
        <f t="shared" si="153"/>
        <v>28</v>
      </c>
      <c r="M272" s="1153">
        <v>31482834</v>
      </c>
      <c r="N272" s="1107">
        <f t="shared" si="154"/>
        <v>1124386.9285714286</v>
      </c>
      <c r="O272" s="1164">
        <f>'Diciembre - 2019  '!$I$22</f>
        <v>1.4200000000000001E-2</v>
      </c>
      <c r="P272" s="1118">
        <f t="shared" si="155"/>
        <v>5869182.201933383</v>
      </c>
      <c r="Q272" s="1118">
        <f>'Diciembre - 2019  '!$K$54</f>
        <v>6190010.4432046823</v>
      </c>
      <c r="R272" s="1117">
        <f>'Diciembre - 2019  '!$L$15</f>
        <v>0</v>
      </c>
      <c r="S272" s="1743">
        <f t="shared" si="156"/>
        <v>21.878546048392941</v>
      </c>
      <c r="T272" s="1753">
        <f>'Diciembre - 2019  '!$Z$89</f>
        <v>0</v>
      </c>
      <c r="U272" s="1107">
        <f>'Diciembre - 2019  '!$AA$89</f>
        <v>0</v>
      </c>
      <c r="V272" s="1107">
        <f t="shared" si="157"/>
        <v>0</v>
      </c>
      <c r="W272" s="1107" t="e">
        <f t="shared" si="158"/>
        <v>#VALUE!</v>
      </c>
      <c r="X272" s="1108">
        <f t="shared" si="159"/>
        <v>221071.80154302437</v>
      </c>
      <c r="Y272" s="1109">
        <f t="shared" si="160"/>
        <v>31482834</v>
      </c>
      <c r="Z272" s="1109">
        <f t="shared" si="161"/>
        <v>6190010.4432046823</v>
      </c>
      <c r="AA272" s="1110">
        <f t="shared" si="162"/>
        <v>25292823.556795318</v>
      </c>
      <c r="AB272" s="1119">
        <f t="shared" si="163"/>
        <v>0.1966154140762767</v>
      </c>
      <c r="AC272" s="1754">
        <f t="shared" si="164"/>
        <v>0.8033845859237233</v>
      </c>
    </row>
    <row r="273" spans="2:29" hidden="1" x14ac:dyDescent="0.25">
      <c r="B273" s="1113">
        <f t="shared" si="150"/>
        <v>2035</v>
      </c>
      <c r="C273" s="1114">
        <v>49369</v>
      </c>
      <c r="D273" s="1744">
        <f>'Diciembre - 2019  '!$N$34+'Diciembre - 2019  '!$N$43</f>
        <v>104018642.60000001</v>
      </c>
      <c r="E273" s="1121">
        <f>'Diciembre - 2019  '!$N$54</f>
        <v>113809.99999999999</v>
      </c>
      <c r="F273" s="1745">
        <f t="shared" si="151"/>
        <v>104132452.60000001</v>
      </c>
      <c r="G273" s="1121">
        <f>'Diciembre - 2019  '!$M$33</f>
        <v>4753878.6400000006</v>
      </c>
      <c r="H273" s="1121">
        <f>'Diciembre - 2019  '!$M$54</f>
        <v>5690.5</v>
      </c>
      <c r="I273" s="1121">
        <f t="shared" si="152"/>
        <v>4759569.1400000006</v>
      </c>
      <c r="J273" s="2067">
        <f>'Diciembre - 2019  '!$H$22</f>
        <v>0.14799999999999999</v>
      </c>
      <c r="K273" s="2069">
        <f>'Diciembre - 2019  '!$I$22</f>
        <v>1.4200000000000001E-2</v>
      </c>
      <c r="L273" s="1104">
        <f t="shared" si="153"/>
        <v>31</v>
      </c>
      <c r="M273" s="1153">
        <v>31482835</v>
      </c>
      <c r="N273" s="1107">
        <f t="shared" si="154"/>
        <v>1015575.3225806452</v>
      </c>
      <c r="O273" s="1164">
        <f>'Diciembre - 2019  '!$I$22</f>
        <v>1.4200000000000001E-2</v>
      </c>
      <c r="P273" s="1118">
        <f t="shared" si="155"/>
        <v>5869182.201933383</v>
      </c>
      <c r="Q273" s="1118">
        <f>'Diciembre - 2019  '!$K$54</f>
        <v>6190010.4432046823</v>
      </c>
      <c r="R273" s="1117">
        <f>'Diciembre - 2019  '!$L$15</f>
        <v>0</v>
      </c>
      <c r="S273" s="1743">
        <f t="shared" si="156"/>
        <v>21.878546048392941</v>
      </c>
      <c r="T273" s="1753">
        <f>'Diciembre - 2019  '!$Z$89</f>
        <v>0</v>
      </c>
      <c r="U273" s="1107">
        <f>'Diciembre - 2019  '!$AA$89</f>
        <v>0</v>
      </c>
      <c r="V273" s="1107">
        <f t="shared" si="157"/>
        <v>0</v>
      </c>
      <c r="W273" s="1107" t="e">
        <f t="shared" si="158"/>
        <v>#VALUE!</v>
      </c>
      <c r="X273" s="1108">
        <f t="shared" si="159"/>
        <v>199677.7562324091</v>
      </c>
      <c r="Y273" s="1109">
        <f t="shared" si="160"/>
        <v>31482835</v>
      </c>
      <c r="Z273" s="1109">
        <f t="shared" si="161"/>
        <v>6190010.4432046823</v>
      </c>
      <c r="AA273" s="1110">
        <f t="shared" si="162"/>
        <v>25292824.556795318</v>
      </c>
      <c r="AB273" s="1119">
        <f t="shared" si="163"/>
        <v>0.19661540783111439</v>
      </c>
      <c r="AC273" s="1754">
        <f t="shared" si="164"/>
        <v>0.80338459216888558</v>
      </c>
    </row>
    <row r="274" spans="2:29" hidden="1" x14ac:dyDescent="0.25">
      <c r="B274" s="1113">
        <f t="shared" si="150"/>
        <v>2035</v>
      </c>
      <c r="C274" s="1114">
        <v>49400</v>
      </c>
      <c r="D274" s="1744">
        <f>'Diciembre - 2019  '!$N$34+'Diciembre - 2019  '!$N$43</f>
        <v>104018642.60000001</v>
      </c>
      <c r="E274" s="1121">
        <f>'Diciembre - 2019  '!$N$54</f>
        <v>113809.99999999999</v>
      </c>
      <c r="F274" s="1745">
        <f t="shared" si="151"/>
        <v>104132452.60000001</v>
      </c>
      <c r="G274" s="1121">
        <f>'Diciembre - 2019  '!$M$33</f>
        <v>4753878.6400000006</v>
      </c>
      <c r="H274" s="1121">
        <f>'Diciembre - 2019  '!$M$54</f>
        <v>5690.5</v>
      </c>
      <c r="I274" s="1121">
        <f t="shared" si="152"/>
        <v>4759569.1400000006</v>
      </c>
      <c r="J274" s="2067">
        <f>'Diciembre - 2019  '!$H$22</f>
        <v>0.14799999999999999</v>
      </c>
      <c r="K274" s="2069">
        <f>'Diciembre - 2019  '!$I$22</f>
        <v>1.4200000000000001E-2</v>
      </c>
      <c r="L274" s="1104">
        <f t="shared" si="153"/>
        <v>30</v>
      </c>
      <c r="M274" s="1153">
        <v>31482836</v>
      </c>
      <c r="N274" s="1107">
        <f t="shared" si="154"/>
        <v>1049427.8666666667</v>
      </c>
      <c r="O274" s="1164">
        <f>'Diciembre - 2019  '!$I$22</f>
        <v>1.4200000000000001E-2</v>
      </c>
      <c r="P274" s="1118">
        <f t="shared" si="155"/>
        <v>5869182.201933383</v>
      </c>
      <c r="Q274" s="1118">
        <f>'Diciembre - 2019  '!$K$54</f>
        <v>6190010.4432046823</v>
      </c>
      <c r="R274" s="1117">
        <f>'Diciembre - 2019  '!$L$15</f>
        <v>0</v>
      </c>
      <c r="S274" s="1743">
        <f t="shared" si="156"/>
        <v>21.878546048392941</v>
      </c>
      <c r="T274" s="1753">
        <f>'Diciembre - 2019  '!$Z$89</f>
        <v>0</v>
      </c>
      <c r="U274" s="1107">
        <f>'Diciembre - 2019  '!$AA$89</f>
        <v>0</v>
      </c>
      <c r="V274" s="1107">
        <f t="shared" si="157"/>
        <v>0</v>
      </c>
      <c r="W274" s="1107" t="e">
        <f t="shared" si="158"/>
        <v>#VALUE!</v>
      </c>
      <c r="X274" s="1108">
        <f t="shared" si="159"/>
        <v>206333.68144015607</v>
      </c>
      <c r="Y274" s="1109">
        <f t="shared" si="160"/>
        <v>31482836</v>
      </c>
      <c r="Z274" s="1109">
        <f t="shared" si="161"/>
        <v>6190010.4432046823</v>
      </c>
      <c r="AA274" s="1110">
        <f t="shared" si="162"/>
        <v>25292825.556795318</v>
      </c>
      <c r="AB274" s="1119">
        <f t="shared" si="163"/>
        <v>0.1966154015859525</v>
      </c>
      <c r="AC274" s="1754">
        <f t="shared" si="164"/>
        <v>0.80338459841404752</v>
      </c>
    </row>
    <row r="275" spans="2:29" hidden="1" x14ac:dyDescent="0.25">
      <c r="B275" s="1113">
        <f t="shared" si="150"/>
        <v>2035</v>
      </c>
      <c r="C275" s="1114">
        <v>49430</v>
      </c>
      <c r="D275" s="1744">
        <f>'Diciembre - 2019  '!$N$34+'Diciembre - 2019  '!$N$43</f>
        <v>104018642.60000001</v>
      </c>
      <c r="E275" s="1121">
        <f>'Diciembre - 2019  '!$N$54</f>
        <v>113809.99999999999</v>
      </c>
      <c r="F275" s="1745">
        <f t="shared" si="151"/>
        <v>104132452.60000001</v>
      </c>
      <c r="G275" s="1121">
        <f>'Diciembre - 2019  '!$M$33</f>
        <v>4753878.6400000006</v>
      </c>
      <c r="H275" s="1121">
        <f>'Diciembre - 2019  '!$M$54</f>
        <v>5690.5</v>
      </c>
      <c r="I275" s="1121">
        <f t="shared" si="152"/>
        <v>4759569.1400000006</v>
      </c>
      <c r="J275" s="2067">
        <f>'Diciembre - 2019  '!$H$22</f>
        <v>0.14799999999999999</v>
      </c>
      <c r="K275" s="2069">
        <f>'Diciembre - 2019  '!$I$22</f>
        <v>1.4200000000000001E-2</v>
      </c>
      <c r="L275" s="1104">
        <f t="shared" si="153"/>
        <v>31</v>
      </c>
      <c r="M275" s="1153">
        <v>31482837</v>
      </c>
      <c r="N275" s="1107">
        <f t="shared" si="154"/>
        <v>1015575.3870967742</v>
      </c>
      <c r="O275" s="1164">
        <f>'Diciembre - 2019  '!$I$22</f>
        <v>1.4200000000000001E-2</v>
      </c>
      <c r="P275" s="1118">
        <f t="shared" si="155"/>
        <v>5869182.201933383</v>
      </c>
      <c r="Q275" s="1118">
        <f>'Diciembre - 2019  '!$K$54</f>
        <v>6190010.4432046823</v>
      </c>
      <c r="R275" s="1117">
        <f>'Diciembre - 2019  '!$L$15</f>
        <v>0</v>
      </c>
      <c r="S275" s="1743">
        <f t="shared" si="156"/>
        <v>21.878546048392941</v>
      </c>
      <c r="T275" s="1753">
        <f>'Diciembre - 2019  '!$Z$89</f>
        <v>0</v>
      </c>
      <c r="U275" s="1107">
        <f>'Diciembre - 2019  '!$AA$89</f>
        <v>0</v>
      </c>
      <c r="V275" s="1107">
        <f t="shared" si="157"/>
        <v>0</v>
      </c>
      <c r="W275" s="1107" t="e">
        <f t="shared" si="158"/>
        <v>#VALUE!</v>
      </c>
      <c r="X275" s="1108">
        <f t="shared" si="159"/>
        <v>199677.7562324091</v>
      </c>
      <c r="Y275" s="1109">
        <f t="shared" si="160"/>
        <v>31482837</v>
      </c>
      <c r="Z275" s="1109">
        <f t="shared" si="161"/>
        <v>6190010.4432046823</v>
      </c>
      <c r="AA275" s="1110">
        <f t="shared" si="162"/>
        <v>25292826.556795318</v>
      </c>
      <c r="AB275" s="1119">
        <f t="shared" si="163"/>
        <v>0.196615395340791</v>
      </c>
      <c r="AC275" s="1754">
        <f t="shared" si="164"/>
        <v>0.80338460465920902</v>
      </c>
    </row>
    <row r="276" spans="2:29" hidden="1" x14ac:dyDescent="0.25">
      <c r="B276" s="1113">
        <f t="shared" si="150"/>
        <v>2035</v>
      </c>
      <c r="C276" s="1114">
        <v>49461</v>
      </c>
      <c r="D276" s="1744">
        <f>'Diciembre - 2019  '!$N$34+'Diciembre - 2019  '!$N$43</f>
        <v>104018642.60000001</v>
      </c>
      <c r="E276" s="1121">
        <f>'Diciembre - 2019  '!$N$54</f>
        <v>113809.99999999999</v>
      </c>
      <c r="F276" s="1745">
        <f t="shared" si="151"/>
        <v>104132452.60000001</v>
      </c>
      <c r="G276" s="1121">
        <f>'Diciembre - 2019  '!$M$33</f>
        <v>4753878.6400000006</v>
      </c>
      <c r="H276" s="1121">
        <f>'Diciembre - 2019  '!$M$54</f>
        <v>5690.5</v>
      </c>
      <c r="I276" s="1121">
        <f t="shared" si="152"/>
        <v>4759569.1400000006</v>
      </c>
      <c r="J276" s="2067">
        <f>'Diciembre - 2019  '!$H$22</f>
        <v>0.14799999999999999</v>
      </c>
      <c r="K276" s="2069">
        <f>'Diciembre - 2019  '!$I$22</f>
        <v>1.4200000000000001E-2</v>
      </c>
      <c r="L276" s="1104">
        <f t="shared" si="153"/>
        <v>30</v>
      </c>
      <c r="M276" s="1153">
        <v>31482838</v>
      </c>
      <c r="N276" s="1107">
        <f t="shared" si="154"/>
        <v>1049427.9333333333</v>
      </c>
      <c r="O276" s="1164">
        <f>'Diciembre - 2019  '!$I$22</f>
        <v>1.4200000000000001E-2</v>
      </c>
      <c r="P276" s="1118">
        <f t="shared" si="155"/>
        <v>5869182.201933383</v>
      </c>
      <c r="Q276" s="1118">
        <f>'Diciembre - 2019  '!$K$54</f>
        <v>6190010.4432046823</v>
      </c>
      <c r="R276" s="1117">
        <f>'Diciembre - 2019  '!$L$15</f>
        <v>0</v>
      </c>
      <c r="S276" s="1743">
        <f t="shared" si="156"/>
        <v>21.878546048392941</v>
      </c>
      <c r="T276" s="1753">
        <f>'Diciembre - 2019  '!$Z$89</f>
        <v>0</v>
      </c>
      <c r="U276" s="1107">
        <f>'Diciembre - 2019  '!$AA$89</f>
        <v>0</v>
      </c>
      <c r="V276" s="1107">
        <f t="shared" si="157"/>
        <v>0</v>
      </c>
      <c r="W276" s="1107" t="e">
        <f t="shared" si="158"/>
        <v>#VALUE!</v>
      </c>
      <c r="X276" s="1108">
        <f t="shared" si="159"/>
        <v>206333.68144015607</v>
      </c>
      <c r="Y276" s="1109">
        <f t="shared" si="160"/>
        <v>31482838</v>
      </c>
      <c r="Z276" s="1109">
        <f t="shared" si="161"/>
        <v>6190010.4432046823</v>
      </c>
      <c r="AA276" s="1110">
        <f t="shared" si="162"/>
        <v>25292827.556795318</v>
      </c>
      <c r="AB276" s="1119">
        <f t="shared" si="163"/>
        <v>0.19661538909562989</v>
      </c>
      <c r="AC276" s="1754">
        <f t="shared" si="164"/>
        <v>0.80338461090437008</v>
      </c>
    </row>
    <row r="277" spans="2:29" hidden="1" x14ac:dyDescent="0.25">
      <c r="B277" s="1113">
        <f t="shared" si="150"/>
        <v>2035</v>
      </c>
      <c r="C277" s="1114">
        <v>49491</v>
      </c>
      <c r="D277" s="1744">
        <f>'Diciembre - 2019  '!$N$34+'Diciembre - 2019  '!$N$43</f>
        <v>104018642.60000001</v>
      </c>
      <c r="E277" s="1121">
        <f>'Diciembre - 2019  '!$N$54</f>
        <v>113809.99999999999</v>
      </c>
      <c r="F277" s="1745">
        <f t="shared" si="151"/>
        <v>104132452.60000001</v>
      </c>
      <c r="G277" s="1121">
        <f>'Diciembre - 2019  '!$M$33</f>
        <v>4753878.6400000006</v>
      </c>
      <c r="H277" s="1121">
        <f>'Diciembre - 2019  '!$M$54</f>
        <v>5690.5</v>
      </c>
      <c r="I277" s="1121">
        <f t="shared" si="152"/>
        <v>4759569.1400000006</v>
      </c>
      <c r="J277" s="2067">
        <f>'Diciembre - 2019  '!$H$22</f>
        <v>0.14799999999999999</v>
      </c>
      <c r="K277" s="2069">
        <f>'Diciembre - 2019  '!$I$22</f>
        <v>1.4200000000000001E-2</v>
      </c>
      <c r="L277" s="1104">
        <f t="shared" si="153"/>
        <v>31</v>
      </c>
      <c r="M277" s="1153">
        <v>31482839</v>
      </c>
      <c r="N277" s="1107">
        <f t="shared" si="154"/>
        <v>1015575.4516129033</v>
      </c>
      <c r="O277" s="1164">
        <f>'Diciembre - 2019  '!$I$22</f>
        <v>1.4200000000000001E-2</v>
      </c>
      <c r="P277" s="1118">
        <f t="shared" si="155"/>
        <v>5869182.201933383</v>
      </c>
      <c r="Q277" s="1118">
        <f>'Diciembre - 2019  '!$K$54</f>
        <v>6190010.4432046823</v>
      </c>
      <c r="R277" s="1117">
        <f>'Diciembre - 2019  '!$L$15</f>
        <v>0</v>
      </c>
      <c r="S277" s="1743">
        <f t="shared" si="156"/>
        <v>21.878546048392941</v>
      </c>
      <c r="T277" s="1753">
        <f>'Diciembre - 2019  '!$Z$89</f>
        <v>0</v>
      </c>
      <c r="U277" s="1107">
        <f>'Diciembre - 2019  '!$AA$89</f>
        <v>0</v>
      </c>
      <c r="V277" s="1107">
        <f t="shared" si="157"/>
        <v>0</v>
      </c>
      <c r="W277" s="1107" t="e">
        <f t="shared" si="158"/>
        <v>#VALUE!</v>
      </c>
      <c r="X277" s="1108">
        <f t="shared" si="159"/>
        <v>199677.7562324091</v>
      </c>
      <c r="Y277" s="1109">
        <f t="shared" si="160"/>
        <v>31482839</v>
      </c>
      <c r="Z277" s="1109">
        <f t="shared" si="161"/>
        <v>6190010.4432046823</v>
      </c>
      <c r="AA277" s="1110">
        <f t="shared" si="162"/>
        <v>25292828.556795318</v>
      </c>
      <c r="AB277" s="1119">
        <f t="shared" si="163"/>
        <v>0.19661538285046917</v>
      </c>
      <c r="AC277" s="1754">
        <f t="shared" si="164"/>
        <v>0.8033846171495308</v>
      </c>
    </row>
    <row r="278" spans="2:29" hidden="1" x14ac:dyDescent="0.25">
      <c r="B278" s="1113">
        <f t="shared" si="150"/>
        <v>2035</v>
      </c>
      <c r="C278" s="1114">
        <v>49522</v>
      </c>
      <c r="D278" s="1744">
        <f>'Diciembre - 2019  '!$N$34+'Diciembre - 2019  '!$N$43</f>
        <v>104018642.60000001</v>
      </c>
      <c r="E278" s="1121">
        <f>'Diciembre - 2019  '!$N$54</f>
        <v>113809.99999999999</v>
      </c>
      <c r="F278" s="1745">
        <f t="shared" si="151"/>
        <v>104132452.60000001</v>
      </c>
      <c r="G278" s="1121">
        <f>'Diciembre - 2019  '!$M$33</f>
        <v>4753878.6400000006</v>
      </c>
      <c r="H278" s="1121">
        <f>'Diciembre - 2019  '!$M$54</f>
        <v>5690.5</v>
      </c>
      <c r="I278" s="1121">
        <f t="shared" si="152"/>
        <v>4759569.1400000006</v>
      </c>
      <c r="J278" s="2067">
        <f>'Diciembre - 2019  '!$H$22</f>
        <v>0.14799999999999999</v>
      </c>
      <c r="K278" s="2069">
        <f>'Diciembre - 2019  '!$I$22</f>
        <v>1.4200000000000001E-2</v>
      </c>
      <c r="L278" s="1104">
        <f t="shared" si="153"/>
        <v>31</v>
      </c>
      <c r="M278" s="1153">
        <v>31482840</v>
      </c>
      <c r="N278" s="1107">
        <f t="shared" si="154"/>
        <v>1015575.4838709678</v>
      </c>
      <c r="O278" s="1164">
        <f>'Diciembre - 2019  '!$I$22</f>
        <v>1.4200000000000001E-2</v>
      </c>
      <c r="P278" s="1118">
        <f t="shared" si="155"/>
        <v>5869182.201933383</v>
      </c>
      <c r="Q278" s="1118">
        <f>'Diciembre - 2019  '!$K$54</f>
        <v>6190010.4432046823</v>
      </c>
      <c r="R278" s="1117">
        <f>'Diciembre - 2019  '!$L$15</f>
        <v>0</v>
      </c>
      <c r="S278" s="1743">
        <f t="shared" si="156"/>
        <v>21.878546048392941</v>
      </c>
      <c r="T278" s="1753">
        <f>'Diciembre - 2019  '!$Z$89</f>
        <v>0</v>
      </c>
      <c r="U278" s="1107">
        <f>'Diciembre - 2019  '!$AA$89</f>
        <v>0</v>
      </c>
      <c r="V278" s="1107">
        <f t="shared" si="157"/>
        <v>0</v>
      </c>
      <c r="W278" s="1107" t="e">
        <f t="shared" si="158"/>
        <v>#VALUE!</v>
      </c>
      <c r="X278" s="1108">
        <f t="shared" si="159"/>
        <v>199677.7562324091</v>
      </c>
      <c r="Y278" s="1109">
        <f t="shared" si="160"/>
        <v>31482840</v>
      </c>
      <c r="Z278" s="1109">
        <f t="shared" si="161"/>
        <v>6190010.4432046823</v>
      </c>
      <c r="AA278" s="1110">
        <f t="shared" si="162"/>
        <v>25292829.556795318</v>
      </c>
      <c r="AB278" s="1119">
        <f t="shared" si="163"/>
        <v>0.19661537660530887</v>
      </c>
      <c r="AC278" s="1754">
        <f t="shared" si="164"/>
        <v>0.80338462339469108</v>
      </c>
    </row>
    <row r="279" spans="2:29" hidden="1" x14ac:dyDescent="0.25">
      <c r="B279" s="1113">
        <f t="shared" si="150"/>
        <v>2035</v>
      </c>
      <c r="C279" s="1114">
        <v>49553</v>
      </c>
      <c r="D279" s="1744">
        <f>'Diciembre - 2019  '!$N$34+'Diciembre - 2019  '!$N$43</f>
        <v>104018642.60000001</v>
      </c>
      <c r="E279" s="1121">
        <f>'Diciembre - 2019  '!$N$54</f>
        <v>113809.99999999999</v>
      </c>
      <c r="F279" s="1745">
        <f t="shared" si="151"/>
        <v>104132452.60000001</v>
      </c>
      <c r="G279" s="1121">
        <f>'Diciembre - 2019  '!$M$33</f>
        <v>4753878.6400000006</v>
      </c>
      <c r="H279" s="1121">
        <f>'Diciembre - 2019  '!$M$54</f>
        <v>5690.5</v>
      </c>
      <c r="I279" s="1121">
        <f t="shared" si="152"/>
        <v>4759569.1400000006</v>
      </c>
      <c r="J279" s="2067">
        <f>'Diciembre - 2019  '!$H$22</f>
        <v>0.14799999999999999</v>
      </c>
      <c r="K279" s="2069">
        <f>'Diciembre - 2019  '!$I$22</f>
        <v>1.4200000000000001E-2</v>
      </c>
      <c r="L279" s="1104">
        <f t="shared" si="153"/>
        <v>30</v>
      </c>
      <c r="M279" s="1153">
        <v>31482841</v>
      </c>
      <c r="N279" s="1107">
        <f t="shared" si="154"/>
        <v>1049428.0333333334</v>
      </c>
      <c r="O279" s="1164">
        <f>'Diciembre - 2019  '!$I$22</f>
        <v>1.4200000000000001E-2</v>
      </c>
      <c r="P279" s="1118">
        <f t="shared" si="155"/>
        <v>5869182.201933383</v>
      </c>
      <c r="Q279" s="1118">
        <f>'Diciembre - 2019  '!$K$54</f>
        <v>6190010.4432046823</v>
      </c>
      <c r="R279" s="1117">
        <f>'Diciembre - 2019  '!$L$15</f>
        <v>0</v>
      </c>
      <c r="S279" s="1743">
        <f t="shared" si="156"/>
        <v>21.878546048392941</v>
      </c>
      <c r="T279" s="1753">
        <f>'Diciembre - 2019  '!$Z$89</f>
        <v>0</v>
      </c>
      <c r="U279" s="1107">
        <f>'Diciembre - 2019  '!$AA$89</f>
        <v>0</v>
      </c>
      <c r="V279" s="1107">
        <f t="shared" si="157"/>
        <v>0</v>
      </c>
      <c r="W279" s="1107" t="e">
        <f t="shared" si="158"/>
        <v>#VALUE!</v>
      </c>
      <c r="X279" s="1108">
        <f t="shared" si="159"/>
        <v>206333.68144015607</v>
      </c>
      <c r="Y279" s="1109">
        <f t="shared" si="160"/>
        <v>31482841</v>
      </c>
      <c r="Z279" s="1109">
        <f t="shared" si="161"/>
        <v>6190010.4432046823</v>
      </c>
      <c r="AA279" s="1110">
        <f t="shared" si="162"/>
        <v>25292830.556795318</v>
      </c>
      <c r="AB279" s="1119">
        <f t="shared" si="163"/>
        <v>0.19661537036014895</v>
      </c>
      <c r="AC279" s="1754">
        <f t="shared" si="164"/>
        <v>0.80338462963985102</v>
      </c>
    </row>
    <row r="280" spans="2:29" hidden="1" x14ac:dyDescent="0.25">
      <c r="B280" s="1113">
        <f t="shared" si="150"/>
        <v>2035</v>
      </c>
      <c r="C280" s="1114">
        <v>49583</v>
      </c>
      <c r="D280" s="1744">
        <f>'Diciembre - 2019  '!$N$34+'Diciembre - 2019  '!$N$43</f>
        <v>104018642.60000001</v>
      </c>
      <c r="E280" s="1121">
        <f>'Diciembre - 2019  '!$N$54</f>
        <v>113809.99999999999</v>
      </c>
      <c r="F280" s="1745">
        <f t="shared" si="151"/>
        <v>104132452.60000001</v>
      </c>
      <c r="G280" s="1121">
        <f>'Diciembre - 2019  '!$M$33</f>
        <v>4753878.6400000006</v>
      </c>
      <c r="H280" s="1121">
        <f>'Diciembre - 2019  '!$M$54</f>
        <v>5690.5</v>
      </c>
      <c r="I280" s="1121">
        <f t="shared" si="152"/>
        <v>4759569.1400000006</v>
      </c>
      <c r="J280" s="2067">
        <f>'Diciembre - 2019  '!$H$22</f>
        <v>0.14799999999999999</v>
      </c>
      <c r="K280" s="2069">
        <f>'Diciembre - 2019  '!$I$22</f>
        <v>1.4200000000000001E-2</v>
      </c>
      <c r="L280" s="1104">
        <f t="shared" si="153"/>
        <v>31</v>
      </c>
      <c r="M280" s="1153">
        <v>31482842</v>
      </c>
      <c r="N280" s="1107">
        <f t="shared" si="154"/>
        <v>1015575.5483870967</v>
      </c>
      <c r="O280" s="1164">
        <f>'Diciembre - 2019  '!$I$22</f>
        <v>1.4200000000000001E-2</v>
      </c>
      <c r="P280" s="1118">
        <f t="shared" si="155"/>
        <v>5869182.201933383</v>
      </c>
      <c r="Q280" s="1118">
        <f>'Diciembre - 2019  '!$K$54</f>
        <v>6190010.4432046823</v>
      </c>
      <c r="R280" s="1117">
        <f>'Diciembre - 2019  '!$L$15</f>
        <v>0</v>
      </c>
      <c r="S280" s="1743">
        <f t="shared" si="156"/>
        <v>21.878546048392941</v>
      </c>
      <c r="T280" s="1753">
        <f>'Diciembre - 2019  '!$Z$89</f>
        <v>0</v>
      </c>
      <c r="U280" s="1107">
        <f>'Diciembre - 2019  '!$AA$89</f>
        <v>0</v>
      </c>
      <c r="V280" s="1107">
        <f t="shared" si="157"/>
        <v>0</v>
      </c>
      <c r="W280" s="1107" t="e">
        <f t="shared" si="158"/>
        <v>#VALUE!</v>
      </c>
      <c r="X280" s="1108">
        <f t="shared" si="159"/>
        <v>199677.7562324091</v>
      </c>
      <c r="Y280" s="1109">
        <f t="shared" si="160"/>
        <v>31482842</v>
      </c>
      <c r="Z280" s="1109">
        <f t="shared" si="161"/>
        <v>6190010.4432046823</v>
      </c>
      <c r="AA280" s="1110">
        <f t="shared" si="162"/>
        <v>25292831.556795318</v>
      </c>
      <c r="AB280" s="1119">
        <f t="shared" si="163"/>
        <v>0.19661536411498945</v>
      </c>
      <c r="AC280" s="1754">
        <f t="shared" si="164"/>
        <v>0.80338463588501052</v>
      </c>
    </row>
    <row r="281" spans="2:29" hidden="1" x14ac:dyDescent="0.25">
      <c r="B281" s="1113">
        <f t="shared" si="150"/>
        <v>2035</v>
      </c>
      <c r="C281" s="1114">
        <v>49614</v>
      </c>
      <c r="D281" s="1744">
        <f>'Diciembre - 2019  '!$N$34+'Diciembre - 2019  '!$N$43</f>
        <v>104018642.60000001</v>
      </c>
      <c r="E281" s="1121">
        <f>'Diciembre - 2019  '!$N$54</f>
        <v>113809.99999999999</v>
      </c>
      <c r="F281" s="1745">
        <f t="shared" si="151"/>
        <v>104132452.60000001</v>
      </c>
      <c r="G281" s="1121">
        <f>'Diciembre - 2019  '!$M$33</f>
        <v>4753878.6400000006</v>
      </c>
      <c r="H281" s="1121">
        <f>'Diciembre - 2019  '!$M$54</f>
        <v>5690.5</v>
      </c>
      <c r="I281" s="1121">
        <f t="shared" si="152"/>
        <v>4759569.1400000006</v>
      </c>
      <c r="J281" s="2067">
        <f>'Diciembre - 2019  '!$H$22</f>
        <v>0.14799999999999999</v>
      </c>
      <c r="K281" s="2069">
        <f>'Diciembre - 2019  '!$I$22</f>
        <v>1.4200000000000001E-2</v>
      </c>
      <c r="L281" s="1104">
        <f t="shared" si="153"/>
        <v>30</v>
      </c>
      <c r="M281" s="1153">
        <v>31482843</v>
      </c>
      <c r="N281" s="1107">
        <f t="shared" si="154"/>
        <v>1049428.1000000001</v>
      </c>
      <c r="O281" s="1164">
        <f>'Diciembre - 2019  '!$I$22</f>
        <v>1.4200000000000001E-2</v>
      </c>
      <c r="P281" s="1118">
        <f t="shared" si="155"/>
        <v>5869182.201933383</v>
      </c>
      <c r="Q281" s="1118">
        <f>'Diciembre - 2019  '!$K$54</f>
        <v>6190010.4432046823</v>
      </c>
      <c r="R281" s="1117">
        <f>'Diciembre - 2019  '!$L$15</f>
        <v>0</v>
      </c>
      <c r="S281" s="1743">
        <f t="shared" si="156"/>
        <v>21.878546048392941</v>
      </c>
      <c r="T281" s="1753">
        <f>'Diciembre - 2019  '!$Z$89</f>
        <v>0</v>
      </c>
      <c r="U281" s="1107">
        <f>'Diciembre - 2019  '!$AA$89</f>
        <v>0</v>
      </c>
      <c r="V281" s="1107">
        <f t="shared" si="157"/>
        <v>0</v>
      </c>
      <c r="W281" s="1107" t="e">
        <f t="shared" si="158"/>
        <v>#VALUE!</v>
      </c>
      <c r="X281" s="1108">
        <f t="shared" si="159"/>
        <v>206333.68144015607</v>
      </c>
      <c r="Y281" s="1109">
        <f t="shared" si="160"/>
        <v>31482843</v>
      </c>
      <c r="Z281" s="1109">
        <f t="shared" si="161"/>
        <v>6190010.4432046823</v>
      </c>
      <c r="AA281" s="1110">
        <f t="shared" si="162"/>
        <v>25292832.556795318</v>
      </c>
      <c r="AB281" s="1119">
        <f t="shared" si="163"/>
        <v>0.19661535786983031</v>
      </c>
      <c r="AC281" s="1754">
        <f t="shared" si="164"/>
        <v>0.80338464213016969</v>
      </c>
    </row>
    <row r="282" spans="2:29" hidden="1" x14ac:dyDescent="0.25">
      <c r="B282" s="1113">
        <f t="shared" si="150"/>
        <v>2035</v>
      </c>
      <c r="C282" s="1114">
        <v>49644</v>
      </c>
      <c r="D282" s="1744">
        <f>'Diciembre - 2019  '!$N$34+'Diciembre - 2019  '!$N$43</f>
        <v>104018642.60000001</v>
      </c>
      <c r="E282" s="1121">
        <f>'Diciembre - 2019  '!$N$54</f>
        <v>113809.99999999999</v>
      </c>
      <c r="F282" s="1745">
        <f t="shared" si="151"/>
        <v>104132452.60000001</v>
      </c>
      <c r="G282" s="1121">
        <f>'Diciembre - 2019  '!$M$33</f>
        <v>4753878.6400000006</v>
      </c>
      <c r="H282" s="1121">
        <f>'Diciembre - 2019  '!$M$54</f>
        <v>5690.5</v>
      </c>
      <c r="I282" s="1121">
        <f t="shared" si="152"/>
        <v>4759569.1400000006</v>
      </c>
      <c r="J282" s="2067">
        <f>'Diciembre - 2019  '!$H$22</f>
        <v>0.14799999999999999</v>
      </c>
      <c r="K282" s="2069">
        <f>'Diciembre - 2019  '!$I$22</f>
        <v>1.4200000000000001E-2</v>
      </c>
      <c r="L282" s="1104">
        <f t="shared" si="153"/>
        <v>31</v>
      </c>
      <c r="M282" s="1153">
        <v>31482844</v>
      </c>
      <c r="N282" s="1107">
        <f t="shared" si="154"/>
        <v>1015575.6129032258</v>
      </c>
      <c r="O282" s="1164">
        <f>'Diciembre - 2019  '!$I$22</f>
        <v>1.4200000000000001E-2</v>
      </c>
      <c r="P282" s="1118">
        <f t="shared" si="155"/>
        <v>5869182.201933383</v>
      </c>
      <c r="Q282" s="1118">
        <f>'Diciembre - 2019  '!$K$54</f>
        <v>6190010.4432046823</v>
      </c>
      <c r="R282" s="1117">
        <f>'Diciembre - 2019  '!$L$15</f>
        <v>0</v>
      </c>
      <c r="S282" s="1743">
        <f t="shared" si="156"/>
        <v>21.878546048392941</v>
      </c>
      <c r="T282" s="1753">
        <f>'Diciembre - 2019  '!$Z$89</f>
        <v>0</v>
      </c>
      <c r="U282" s="1107">
        <f>'Diciembre - 2019  '!$AA$89</f>
        <v>0</v>
      </c>
      <c r="V282" s="1107">
        <f t="shared" si="157"/>
        <v>0</v>
      </c>
      <c r="W282" s="1107" t="e">
        <f t="shared" si="158"/>
        <v>#VALUE!</v>
      </c>
      <c r="X282" s="1108">
        <f t="shared" si="159"/>
        <v>199677.7562324091</v>
      </c>
      <c r="Y282" s="1109">
        <f t="shared" si="160"/>
        <v>31482844</v>
      </c>
      <c r="Z282" s="1109">
        <f t="shared" si="161"/>
        <v>6190010.4432046823</v>
      </c>
      <c r="AA282" s="1110">
        <f t="shared" si="162"/>
        <v>25292833.556795318</v>
      </c>
      <c r="AB282" s="1119">
        <f t="shared" si="163"/>
        <v>0.19661535162467159</v>
      </c>
      <c r="AC282" s="1754">
        <f t="shared" si="164"/>
        <v>0.80338464837532841</v>
      </c>
    </row>
    <row r="283" spans="2:29" hidden="1" x14ac:dyDescent="0.25">
      <c r="B283" s="1113">
        <f t="shared" si="150"/>
        <v>2036</v>
      </c>
      <c r="C283" s="1114">
        <v>49675</v>
      </c>
      <c r="D283" s="1744">
        <f>'Diciembre - 2019  '!$N$34+'Diciembre - 2019  '!$N$43</f>
        <v>104018642.60000001</v>
      </c>
      <c r="E283" s="1121">
        <f>'Diciembre - 2019  '!$N$54</f>
        <v>113809.99999999999</v>
      </c>
      <c r="F283" s="1745">
        <f t="shared" si="151"/>
        <v>104132452.60000001</v>
      </c>
      <c r="G283" s="1121">
        <f>'Diciembre - 2019  '!$M$33</f>
        <v>4753878.6400000006</v>
      </c>
      <c r="H283" s="1121">
        <f>'Diciembre - 2019  '!$M$54</f>
        <v>5690.5</v>
      </c>
      <c r="I283" s="1121">
        <f t="shared" si="152"/>
        <v>4759569.1400000006</v>
      </c>
      <c r="J283" s="2067">
        <f>'Diciembre - 2019  '!$H$22</f>
        <v>0.14799999999999999</v>
      </c>
      <c r="K283" s="2069">
        <f>'Diciembre - 2019  '!$I$22</f>
        <v>1.4200000000000001E-2</v>
      </c>
      <c r="L283" s="1104">
        <f t="shared" si="153"/>
        <v>31</v>
      </c>
      <c r="M283" s="1153">
        <v>31482845</v>
      </c>
      <c r="N283" s="1107">
        <f t="shared" si="154"/>
        <v>1015575.6451612903</v>
      </c>
      <c r="O283" s="1164">
        <f>'Diciembre - 2019  '!$I$22</f>
        <v>1.4200000000000001E-2</v>
      </c>
      <c r="P283" s="1118">
        <f t="shared" si="155"/>
        <v>5869182.201933383</v>
      </c>
      <c r="Q283" s="1118">
        <f>'Diciembre - 2019  '!$K$54</f>
        <v>6190010.4432046823</v>
      </c>
      <c r="R283" s="1117">
        <f>'Diciembre - 2019  '!$L$15</f>
        <v>0</v>
      </c>
      <c r="S283" s="1743">
        <f t="shared" si="156"/>
        <v>21.878546048392941</v>
      </c>
      <c r="T283" s="1753">
        <f>'Diciembre - 2019  '!$Z$89</f>
        <v>0</v>
      </c>
      <c r="U283" s="1107">
        <f>'Diciembre - 2019  '!$AA$89</f>
        <v>0</v>
      </c>
      <c r="V283" s="1107">
        <f t="shared" si="157"/>
        <v>0</v>
      </c>
      <c r="W283" s="1107" t="e">
        <f t="shared" si="158"/>
        <v>#VALUE!</v>
      </c>
      <c r="X283" s="1108">
        <f t="shared" si="159"/>
        <v>199677.7562324091</v>
      </c>
      <c r="Y283" s="1109">
        <f t="shared" si="160"/>
        <v>31482845</v>
      </c>
      <c r="Z283" s="1109">
        <f t="shared" si="161"/>
        <v>6190010.4432046823</v>
      </c>
      <c r="AA283" s="1110">
        <f t="shared" si="162"/>
        <v>25292834.556795318</v>
      </c>
      <c r="AB283" s="1119">
        <f t="shared" si="163"/>
        <v>0.19661534537951328</v>
      </c>
      <c r="AC283" s="1754">
        <f t="shared" si="164"/>
        <v>0.80338465462048669</v>
      </c>
    </row>
    <row r="284" spans="2:29" hidden="1" x14ac:dyDescent="0.25">
      <c r="B284" s="1113">
        <f t="shared" si="150"/>
        <v>2036</v>
      </c>
      <c r="C284" s="1114">
        <v>49706</v>
      </c>
      <c r="D284" s="1744">
        <f>'Diciembre - 2019  '!$N$34+'Diciembre - 2019  '!$N$43</f>
        <v>104018642.60000001</v>
      </c>
      <c r="E284" s="1121">
        <f>'Diciembre - 2019  '!$N$54</f>
        <v>113809.99999999999</v>
      </c>
      <c r="F284" s="1745">
        <f t="shared" si="151"/>
        <v>104132452.60000001</v>
      </c>
      <c r="G284" s="1121">
        <f>'Diciembre - 2019  '!$M$33</f>
        <v>4753878.6400000006</v>
      </c>
      <c r="H284" s="1121">
        <f>'Diciembre - 2019  '!$M$54</f>
        <v>5690.5</v>
      </c>
      <c r="I284" s="1121">
        <f t="shared" si="152"/>
        <v>4759569.1400000006</v>
      </c>
      <c r="J284" s="2067">
        <f>'Diciembre - 2019  '!$H$22</f>
        <v>0.14799999999999999</v>
      </c>
      <c r="K284" s="2069">
        <f>'Diciembre - 2019  '!$I$22</f>
        <v>1.4200000000000001E-2</v>
      </c>
      <c r="L284" s="1104">
        <f t="shared" si="153"/>
        <v>29</v>
      </c>
      <c r="M284" s="1153">
        <v>31482846</v>
      </c>
      <c r="N284" s="1107">
        <f t="shared" si="154"/>
        <v>1085615.3793103448</v>
      </c>
      <c r="O284" s="1164">
        <f>'Diciembre - 2019  '!$I$22</f>
        <v>1.4200000000000001E-2</v>
      </c>
      <c r="P284" s="1118">
        <f t="shared" si="155"/>
        <v>5869182.201933383</v>
      </c>
      <c r="Q284" s="1118">
        <f>'Diciembre - 2019  '!$K$54</f>
        <v>6190010.4432046823</v>
      </c>
      <c r="R284" s="1117">
        <f>'Diciembre - 2019  '!$L$15</f>
        <v>0</v>
      </c>
      <c r="S284" s="1743">
        <f t="shared" si="156"/>
        <v>21.878546048392941</v>
      </c>
      <c r="T284" s="1753">
        <f>'Diciembre - 2019  '!$Z$89</f>
        <v>0</v>
      </c>
      <c r="U284" s="1107">
        <f>'Diciembre - 2019  '!$AA$89</f>
        <v>0</v>
      </c>
      <c r="V284" s="1107">
        <f t="shared" si="157"/>
        <v>0</v>
      </c>
      <c r="W284" s="1107" t="e">
        <f t="shared" si="158"/>
        <v>#VALUE!</v>
      </c>
      <c r="X284" s="1108">
        <f t="shared" si="159"/>
        <v>213448.63597257526</v>
      </c>
      <c r="Y284" s="1109">
        <f t="shared" si="160"/>
        <v>31482846</v>
      </c>
      <c r="Z284" s="1109">
        <f t="shared" si="161"/>
        <v>6190010.4432046823</v>
      </c>
      <c r="AA284" s="1110">
        <f t="shared" si="162"/>
        <v>25292835.556795318</v>
      </c>
      <c r="AB284" s="1119">
        <f t="shared" si="163"/>
        <v>0.19661533913435533</v>
      </c>
      <c r="AC284" s="1754">
        <f t="shared" si="164"/>
        <v>0.80338466086564464</v>
      </c>
    </row>
    <row r="285" spans="2:29" hidden="1" x14ac:dyDescent="0.25">
      <c r="B285" s="1113">
        <f t="shared" si="150"/>
        <v>2036</v>
      </c>
      <c r="C285" s="1114">
        <v>49735</v>
      </c>
      <c r="D285" s="1744">
        <f>'Diciembre - 2019  '!$N$34+'Diciembre - 2019  '!$N$43</f>
        <v>104018642.60000001</v>
      </c>
      <c r="E285" s="1121">
        <f>'Diciembre - 2019  '!$N$54</f>
        <v>113809.99999999999</v>
      </c>
      <c r="F285" s="1745">
        <f t="shared" si="151"/>
        <v>104132452.60000001</v>
      </c>
      <c r="G285" s="1121">
        <f>'Diciembre - 2019  '!$M$33</f>
        <v>4753878.6400000006</v>
      </c>
      <c r="H285" s="1121">
        <f>'Diciembre - 2019  '!$M$54</f>
        <v>5690.5</v>
      </c>
      <c r="I285" s="1121">
        <f t="shared" si="152"/>
        <v>4759569.1400000006</v>
      </c>
      <c r="J285" s="2067">
        <f>'Diciembre - 2019  '!$H$22</f>
        <v>0.14799999999999999</v>
      </c>
      <c r="K285" s="2069">
        <f>'Diciembre - 2019  '!$I$22</f>
        <v>1.4200000000000001E-2</v>
      </c>
      <c r="L285" s="1104">
        <f t="shared" si="153"/>
        <v>31</v>
      </c>
      <c r="M285" s="1153">
        <v>31482847</v>
      </c>
      <c r="N285" s="1107">
        <f t="shared" si="154"/>
        <v>1015575.7096774194</v>
      </c>
      <c r="O285" s="1164">
        <f>'Diciembre - 2019  '!$I$22</f>
        <v>1.4200000000000001E-2</v>
      </c>
      <c r="P285" s="1118">
        <f t="shared" si="155"/>
        <v>5869182.201933383</v>
      </c>
      <c r="Q285" s="1118">
        <f>'Diciembre - 2019  '!$K$54</f>
        <v>6190010.4432046823</v>
      </c>
      <c r="R285" s="1117">
        <f>'Diciembre - 2019  '!$L$15</f>
        <v>0</v>
      </c>
      <c r="S285" s="1743">
        <f t="shared" si="156"/>
        <v>21.878546048392941</v>
      </c>
      <c r="T285" s="1753">
        <f>'Diciembre - 2019  '!$Z$89</f>
        <v>0</v>
      </c>
      <c r="U285" s="1107">
        <f>'Diciembre - 2019  '!$AA$89</f>
        <v>0</v>
      </c>
      <c r="V285" s="1107">
        <f t="shared" si="157"/>
        <v>0</v>
      </c>
      <c r="W285" s="1107" t="e">
        <f t="shared" si="158"/>
        <v>#VALUE!</v>
      </c>
      <c r="X285" s="1108">
        <f t="shared" si="159"/>
        <v>199677.7562324091</v>
      </c>
      <c r="Y285" s="1109">
        <f t="shared" si="160"/>
        <v>31482847</v>
      </c>
      <c r="Z285" s="1109">
        <f t="shared" si="161"/>
        <v>6190010.4432046823</v>
      </c>
      <c r="AA285" s="1110">
        <f t="shared" si="162"/>
        <v>25292836.556795318</v>
      </c>
      <c r="AB285" s="1119">
        <f t="shared" si="163"/>
        <v>0.1966153328891978</v>
      </c>
      <c r="AC285" s="1754">
        <f t="shared" si="164"/>
        <v>0.80338466711080225</v>
      </c>
    </row>
    <row r="286" spans="2:29" hidden="1" x14ac:dyDescent="0.25">
      <c r="B286" s="1113">
        <f t="shared" si="150"/>
        <v>2036</v>
      </c>
      <c r="C286" s="1114">
        <v>49766</v>
      </c>
      <c r="D286" s="1744">
        <f>'Diciembre - 2019  '!$N$34+'Diciembre - 2019  '!$N$43</f>
        <v>104018642.60000001</v>
      </c>
      <c r="E286" s="1121">
        <f>'Diciembre - 2019  '!$N$54</f>
        <v>113809.99999999999</v>
      </c>
      <c r="F286" s="1745">
        <f t="shared" si="151"/>
        <v>104132452.60000001</v>
      </c>
      <c r="G286" s="1121">
        <f>'Diciembre - 2019  '!$M$33</f>
        <v>4753878.6400000006</v>
      </c>
      <c r="H286" s="1121">
        <f>'Diciembre - 2019  '!$M$54</f>
        <v>5690.5</v>
      </c>
      <c r="I286" s="1121">
        <f t="shared" si="152"/>
        <v>4759569.1400000006</v>
      </c>
      <c r="J286" s="2067">
        <f>'Diciembre - 2019  '!$H$22</f>
        <v>0.14799999999999999</v>
      </c>
      <c r="K286" s="2069">
        <f>'Diciembre - 2019  '!$I$22</f>
        <v>1.4200000000000001E-2</v>
      </c>
      <c r="L286" s="1104">
        <f t="shared" si="153"/>
        <v>30</v>
      </c>
      <c r="M286" s="1153">
        <v>31482848</v>
      </c>
      <c r="N286" s="1107">
        <f t="shared" si="154"/>
        <v>1049428.2666666666</v>
      </c>
      <c r="O286" s="1164">
        <f>'Diciembre - 2019  '!$I$22</f>
        <v>1.4200000000000001E-2</v>
      </c>
      <c r="P286" s="1118">
        <f t="shared" si="155"/>
        <v>5869182.201933383</v>
      </c>
      <c r="Q286" s="1118">
        <f>'Diciembre - 2019  '!$K$54</f>
        <v>6190010.4432046823</v>
      </c>
      <c r="R286" s="1117">
        <f>'Diciembre - 2019  '!$L$15</f>
        <v>0</v>
      </c>
      <c r="S286" s="1743">
        <f t="shared" si="156"/>
        <v>21.878546048392941</v>
      </c>
      <c r="T286" s="1753">
        <f>'Diciembre - 2019  '!$Z$89</f>
        <v>0</v>
      </c>
      <c r="U286" s="1107">
        <f>'Diciembre - 2019  '!$AA$89</f>
        <v>0</v>
      </c>
      <c r="V286" s="1107">
        <f t="shared" si="157"/>
        <v>0</v>
      </c>
      <c r="W286" s="1107" t="e">
        <f t="shared" si="158"/>
        <v>#VALUE!</v>
      </c>
      <c r="X286" s="1108">
        <f t="shared" si="159"/>
        <v>206333.68144015607</v>
      </c>
      <c r="Y286" s="1109">
        <f t="shared" si="160"/>
        <v>31482848</v>
      </c>
      <c r="Z286" s="1109">
        <f t="shared" si="161"/>
        <v>6190010.4432046823</v>
      </c>
      <c r="AA286" s="1110">
        <f t="shared" si="162"/>
        <v>25292837.556795318</v>
      </c>
      <c r="AB286" s="1119">
        <f t="shared" si="163"/>
        <v>0.19661532664404066</v>
      </c>
      <c r="AC286" s="1754">
        <f t="shared" si="164"/>
        <v>0.80338467335595931</v>
      </c>
    </row>
    <row r="287" spans="2:29" hidden="1" x14ac:dyDescent="0.25">
      <c r="B287" s="1113">
        <f t="shared" si="150"/>
        <v>2036</v>
      </c>
      <c r="C287" s="1114">
        <v>49796</v>
      </c>
      <c r="D287" s="1744">
        <f>'Diciembre - 2019  '!$N$34+'Diciembre - 2019  '!$N$43</f>
        <v>104018642.60000001</v>
      </c>
      <c r="E287" s="1121">
        <f>'Diciembre - 2019  '!$N$54</f>
        <v>113809.99999999999</v>
      </c>
      <c r="F287" s="1745">
        <f t="shared" si="151"/>
        <v>104132452.60000001</v>
      </c>
      <c r="G287" s="1121">
        <f>'Diciembre - 2019  '!$M$33</f>
        <v>4753878.6400000006</v>
      </c>
      <c r="H287" s="1121">
        <f>'Diciembre - 2019  '!$M$54</f>
        <v>5690.5</v>
      </c>
      <c r="I287" s="1121">
        <f t="shared" si="152"/>
        <v>4759569.1400000006</v>
      </c>
      <c r="J287" s="2067">
        <f>'Diciembre - 2019  '!$H$22</f>
        <v>0.14799999999999999</v>
      </c>
      <c r="K287" s="2069">
        <f>'Diciembre - 2019  '!$I$22</f>
        <v>1.4200000000000001E-2</v>
      </c>
      <c r="L287" s="1104">
        <f t="shared" si="153"/>
        <v>31</v>
      </c>
      <c r="M287" s="1153">
        <v>31482849</v>
      </c>
      <c r="N287" s="1107">
        <f t="shared" si="154"/>
        <v>1015575.7741935484</v>
      </c>
      <c r="O287" s="1164">
        <f>'Diciembre - 2019  '!$I$22</f>
        <v>1.4200000000000001E-2</v>
      </c>
      <c r="P287" s="1118">
        <f t="shared" si="155"/>
        <v>5869182.201933383</v>
      </c>
      <c r="Q287" s="1118">
        <f>'Diciembre - 2019  '!$K$54</f>
        <v>6190010.4432046823</v>
      </c>
      <c r="R287" s="1117">
        <f>'Diciembre - 2019  '!$L$15</f>
        <v>0</v>
      </c>
      <c r="S287" s="1743">
        <f t="shared" si="156"/>
        <v>21.878546048392941</v>
      </c>
      <c r="T287" s="1753">
        <f>'Diciembre - 2019  '!$Z$89</f>
        <v>0</v>
      </c>
      <c r="U287" s="1107">
        <f>'Diciembre - 2019  '!$AA$89</f>
        <v>0</v>
      </c>
      <c r="V287" s="1107">
        <f t="shared" si="157"/>
        <v>0</v>
      </c>
      <c r="W287" s="1107" t="e">
        <f t="shared" si="158"/>
        <v>#VALUE!</v>
      </c>
      <c r="X287" s="1108">
        <f t="shared" si="159"/>
        <v>199677.7562324091</v>
      </c>
      <c r="Y287" s="1109">
        <f t="shared" si="160"/>
        <v>31482849</v>
      </c>
      <c r="Z287" s="1109">
        <f t="shared" si="161"/>
        <v>6190010.4432046823</v>
      </c>
      <c r="AA287" s="1110">
        <f t="shared" si="162"/>
        <v>25292838.556795318</v>
      </c>
      <c r="AB287" s="1119">
        <f t="shared" si="163"/>
        <v>0.19661532039888394</v>
      </c>
      <c r="AC287" s="1754">
        <f t="shared" si="164"/>
        <v>0.80338467960111604</v>
      </c>
    </row>
    <row r="288" spans="2:29" hidden="1" x14ac:dyDescent="0.25">
      <c r="B288" s="1113">
        <f t="shared" si="150"/>
        <v>2036</v>
      </c>
      <c r="C288" s="1114">
        <v>49827</v>
      </c>
      <c r="D288" s="1744">
        <f>'Diciembre - 2019  '!$N$34+'Diciembre - 2019  '!$N$43</f>
        <v>104018642.60000001</v>
      </c>
      <c r="E288" s="1121">
        <f>'Diciembre - 2019  '!$N$54</f>
        <v>113809.99999999999</v>
      </c>
      <c r="F288" s="1745">
        <f t="shared" si="151"/>
        <v>104132452.60000001</v>
      </c>
      <c r="G288" s="1121">
        <f>'Diciembre - 2019  '!$M$33</f>
        <v>4753878.6400000006</v>
      </c>
      <c r="H288" s="1121">
        <f>'Diciembre - 2019  '!$M$54</f>
        <v>5690.5</v>
      </c>
      <c r="I288" s="1121">
        <f t="shared" si="152"/>
        <v>4759569.1400000006</v>
      </c>
      <c r="J288" s="2067">
        <f>'Diciembre - 2019  '!$H$22</f>
        <v>0.14799999999999999</v>
      </c>
      <c r="K288" s="2069">
        <f>'Diciembre - 2019  '!$I$22</f>
        <v>1.4200000000000001E-2</v>
      </c>
      <c r="L288" s="1104">
        <f t="shared" si="153"/>
        <v>30</v>
      </c>
      <c r="M288" s="1153">
        <v>31482850</v>
      </c>
      <c r="N288" s="1107">
        <f t="shared" si="154"/>
        <v>1049428.3333333333</v>
      </c>
      <c r="O288" s="1164">
        <f>'Diciembre - 2019  '!$I$22</f>
        <v>1.4200000000000001E-2</v>
      </c>
      <c r="P288" s="1118">
        <f t="shared" si="155"/>
        <v>5869182.201933383</v>
      </c>
      <c r="Q288" s="1118">
        <f>'Diciembre - 2019  '!$K$54</f>
        <v>6190010.4432046823</v>
      </c>
      <c r="R288" s="1117">
        <f>'Diciembre - 2019  '!$L$15</f>
        <v>0</v>
      </c>
      <c r="S288" s="1743">
        <f t="shared" si="156"/>
        <v>21.878546048392941</v>
      </c>
      <c r="T288" s="1753">
        <f>'Diciembre - 2019  '!$Z$89</f>
        <v>0</v>
      </c>
      <c r="U288" s="1107">
        <f>'Diciembre - 2019  '!$AA$89</f>
        <v>0</v>
      </c>
      <c r="V288" s="1107">
        <f t="shared" si="157"/>
        <v>0</v>
      </c>
      <c r="W288" s="1107" t="e">
        <f t="shared" si="158"/>
        <v>#VALUE!</v>
      </c>
      <c r="X288" s="1108">
        <f t="shared" si="159"/>
        <v>206333.68144015607</v>
      </c>
      <c r="Y288" s="1109">
        <f t="shared" si="160"/>
        <v>31482850</v>
      </c>
      <c r="Z288" s="1109">
        <f t="shared" si="161"/>
        <v>6190010.4432046823</v>
      </c>
      <c r="AA288" s="1110">
        <f t="shared" si="162"/>
        <v>25292839.556795318</v>
      </c>
      <c r="AB288" s="1119">
        <f t="shared" si="163"/>
        <v>0.19661531415372757</v>
      </c>
      <c r="AC288" s="1754">
        <f t="shared" si="164"/>
        <v>0.80338468584627243</v>
      </c>
    </row>
    <row r="289" spans="2:29" hidden="1" x14ac:dyDescent="0.25">
      <c r="B289" s="1113">
        <f t="shared" si="150"/>
        <v>2036</v>
      </c>
      <c r="C289" s="1114">
        <v>49857</v>
      </c>
      <c r="D289" s="1744">
        <f>'Diciembre - 2019  '!$N$34+'Diciembre - 2019  '!$N$43</f>
        <v>104018642.60000001</v>
      </c>
      <c r="E289" s="1121">
        <f>'Diciembre - 2019  '!$N$54</f>
        <v>113809.99999999999</v>
      </c>
      <c r="F289" s="1745">
        <f t="shared" si="151"/>
        <v>104132452.60000001</v>
      </c>
      <c r="G289" s="1121">
        <f>'Diciembre - 2019  '!$M$33</f>
        <v>4753878.6400000006</v>
      </c>
      <c r="H289" s="1121">
        <f>'Diciembre - 2019  '!$M$54</f>
        <v>5690.5</v>
      </c>
      <c r="I289" s="1121">
        <f t="shared" si="152"/>
        <v>4759569.1400000006</v>
      </c>
      <c r="J289" s="2067">
        <f>'Diciembre - 2019  '!$H$22</f>
        <v>0.14799999999999999</v>
      </c>
      <c r="K289" s="2069">
        <f>'Diciembre - 2019  '!$I$22</f>
        <v>1.4200000000000001E-2</v>
      </c>
      <c r="L289" s="1104">
        <f t="shared" si="153"/>
        <v>31</v>
      </c>
      <c r="M289" s="1153">
        <v>31482851</v>
      </c>
      <c r="N289" s="1107">
        <f t="shared" si="154"/>
        <v>1015575.8387096775</v>
      </c>
      <c r="O289" s="1164">
        <f>'Diciembre - 2019  '!$I$22</f>
        <v>1.4200000000000001E-2</v>
      </c>
      <c r="P289" s="1118">
        <f t="shared" si="155"/>
        <v>5869182.201933383</v>
      </c>
      <c r="Q289" s="1118">
        <f>'Diciembre - 2019  '!$K$54</f>
        <v>6190010.4432046823</v>
      </c>
      <c r="R289" s="1117">
        <f>'Diciembre - 2019  '!$L$15</f>
        <v>0</v>
      </c>
      <c r="S289" s="1743">
        <f t="shared" si="156"/>
        <v>21.878546048392941</v>
      </c>
      <c r="T289" s="1753">
        <f>'Diciembre - 2019  '!$Z$89</f>
        <v>0</v>
      </c>
      <c r="U289" s="1107">
        <f>'Diciembre - 2019  '!$AA$89</f>
        <v>0</v>
      </c>
      <c r="V289" s="1107">
        <f t="shared" si="157"/>
        <v>0</v>
      </c>
      <c r="W289" s="1107" t="e">
        <f t="shared" si="158"/>
        <v>#VALUE!</v>
      </c>
      <c r="X289" s="1108">
        <f t="shared" si="159"/>
        <v>199677.7562324091</v>
      </c>
      <c r="Y289" s="1109">
        <f t="shared" si="160"/>
        <v>31482851</v>
      </c>
      <c r="Z289" s="1109">
        <f t="shared" si="161"/>
        <v>6190010.4432046823</v>
      </c>
      <c r="AA289" s="1110">
        <f t="shared" si="162"/>
        <v>25292840.556795318</v>
      </c>
      <c r="AB289" s="1119">
        <f t="shared" si="163"/>
        <v>0.19661530790857162</v>
      </c>
      <c r="AC289" s="1754">
        <f t="shared" si="164"/>
        <v>0.80338469209142838</v>
      </c>
    </row>
    <row r="290" spans="2:29" hidden="1" x14ac:dyDescent="0.25">
      <c r="B290" s="1113">
        <f t="shared" si="150"/>
        <v>2036</v>
      </c>
      <c r="C290" s="1114">
        <v>49888</v>
      </c>
      <c r="D290" s="1744">
        <f>'Diciembre - 2019  '!$N$34+'Diciembre - 2019  '!$N$43</f>
        <v>104018642.60000001</v>
      </c>
      <c r="E290" s="1121">
        <f>'Diciembre - 2019  '!$N$54</f>
        <v>113809.99999999999</v>
      </c>
      <c r="F290" s="1745">
        <f t="shared" si="151"/>
        <v>104132452.60000001</v>
      </c>
      <c r="G290" s="1121">
        <f>'Diciembre - 2019  '!$M$33</f>
        <v>4753878.6400000006</v>
      </c>
      <c r="H290" s="1121">
        <f>'Diciembre - 2019  '!$M$54</f>
        <v>5690.5</v>
      </c>
      <c r="I290" s="1121">
        <f t="shared" si="152"/>
        <v>4759569.1400000006</v>
      </c>
      <c r="J290" s="2067">
        <f>'Diciembre - 2019  '!$H$22</f>
        <v>0.14799999999999999</v>
      </c>
      <c r="K290" s="2069">
        <f>'Diciembre - 2019  '!$I$22</f>
        <v>1.4200000000000001E-2</v>
      </c>
      <c r="L290" s="1104">
        <f t="shared" si="153"/>
        <v>31</v>
      </c>
      <c r="M290" s="1153">
        <v>31482852</v>
      </c>
      <c r="N290" s="1107">
        <f t="shared" si="154"/>
        <v>1015575.8709677419</v>
      </c>
      <c r="O290" s="1164">
        <f>'Diciembre - 2019  '!$I$22</f>
        <v>1.4200000000000001E-2</v>
      </c>
      <c r="P290" s="1118">
        <f t="shared" si="155"/>
        <v>5869182.201933383</v>
      </c>
      <c r="Q290" s="1118">
        <f>'Diciembre - 2019  '!$K$54</f>
        <v>6190010.4432046823</v>
      </c>
      <c r="R290" s="1117">
        <f>'Diciembre - 2019  '!$L$15</f>
        <v>0</v>
      </c>
      <c r="S290" s="1743">
        <f t="shared" si="156"/>
        <v>21.878546048392941</v>
      </c>
      <c r="T290" s="1753">
        <f>'Diciembre - 2019  '!$Z$89</f>
        <v>0</v>
      </c>
      <c r="U290" s="1107">
        <f>'Diciembre - 2019  '!$AA$89</f>
        <v>0</v>
      </c>
      <c r="V290" s="1107">
        <f t="shared" si="157"/>
        <v>0</v>
      </c>
      <c r="W290" s="1107" t="e">
        <f t="shared" si="158"/>
        <v>#VALUE!</v>
      </c>
      <c r="X290" s="1108">
        <f t="shared" si="159"/>
        <v>199677.7562324091</v>
      </c>
      <c r="Y290" s="1109">
        <f t="shared" si="160"/>
        <v>31482852</v>
      </c>
      <c r="Z290" s="1109">
        <f t="shared" si="161"/>
        <v>6190010.4432046823</v>
      </c>
      <c r="AA290" s="1110">
        <f t="shared" si="162"/>
        <v>25292841.556795318</v>
      </c>
      <c r="AB290" s="1119">
        <f t="shared" si="163"/>
        <v>0.19661530166341609</v>
      </c>
      <c r="AC290" s="1754">
        <f t="shared" si="164"/>
        <v>0.80338469833658388</v>
      </c>
    </row>
    <row r="291" spans="2:29" hidden="1" x14ac:dyDescent="0.25">
      <c r="B291" s="1113">
        <f t="shared" si="150"/>
        <v>2036</v>
      </c>
      <c r="C291" s="1114">
        <v>49919</v>
      </c>
      <c r="D291" s="1744">
        <f>'Diciembre - 2019  '!$N$34+'Diciembre - 2019  '!$N$43</f>
        <v>104018642.60000001</v>
      </c>
      <c r="E291" s="1121">
        <f>'Diciembre - 2019  '!$N$54</f>
        <v>113809.99999999999</v>
      </c>
      <c r="F291" s="1745">
        <f t="shared" si="151"/>
        <v>104132452.60000001</v>
      </c>
      <c r="G291" s="1121">
        <f>'Diciembre - 2019  '!$M$33</f>
        <v>4753878.6400000006</v>
      </c>
      <c r="H291" s="1121">
        <f>'Diciembre - 2019  '!$M$54</f>
        <v>5690.5</v>
      </c>
      <c r="I291" s="1121">
        <f t="shared" si="152"/>
        <v>4759569.1400000006</v>
      </c>
      <c r="J291" s="2067">
        <f>'Diciembre - 2019  '!$H$22</f>
        <v>0.14799999999999999</v>
      </c>
      <c r="K291" s="2069">
        <f>'Diciembre - 2019  '!$I$22</f>
        <v>1.4200000000000001E-2</v>
      </c>
      <c r="L291" s="1104">
        <f t="shared" si="153"/>
        <v>30</v>
      </c>
      <c r="M291" s="1153">
        <v>31482853</v>
      </c>
      <c r="N291" s="1107">
        <f t="shared" si="154"/>
        <v>1049428.4333333333</v>
      </c>
      <c r="O291" s="1164">
        <f>'Diciembre - 2019  '!$I$22</f>
        <v>1.4200000000000001E-2</v>
      </c>
      <c r="P291" s="1118">
        <f t="shared" si="155"/>
        <v>5869182.201933383</v>
      </c>
      <c r="Q291" s="1118">
        <f>'Diciembre - 2019  '!$K$54</f>
        <v>6190010.4432046823</v>
      </c>
      <c r="R291" s="1117">
        <f>'Diciembre - 2019  '!$L$15</f>
        <v>0</v>
      </c>
      <c r="S291" s="1743">
        <f t="shared" si="156"/>
        <v>21.878546048392941</v>
      </c>
      <c r="T291" s="1753">
        <f>'Diciembre - 2019  '!$Z$89</f>
        <v>0</v>
      </c>
      <c r="U291" s="1107">
        <f>'Diciembre - 2019  '!$AA$89</f>
        <v>0</v>
      </c>
      <c r="V291" s="1107">
        <f t="shared" si="157"/>
        <v>0</v>
      </c>
      <c r="W291" s="1107" t="e">
        <f t="shared" si="158"/>
        <v>#VALUE!</v>
      </c>
      <c r="X291" s="1108">
        <f t="shared" si="159"/>
        <v>206333.68144015607</v>
      </c>
      <c r="Y291" s="1109">
        <f t="shared" si="160"/>
        <v>31482853</v>
      </c>
      <c r="Z291" s="1109">
        <f t="shared" si="161"/>
        <v>6190010.4432046823</v>
      </c>
      <c r="AA291" s="1110">
        <f t="shared" si="162"/>
        <v>25292842.556795318</v>
      </c>
      <c r="AB291" s="1119">
        <f t="shared" si="163"/>
        <v>0.19661529541826092</v>
      </c>
      <c r="AC291" s="1754">
        <f t="shared" si="164"/>
        <v>0.80338470458173905</v>
      </c>
    </row>
    <row r="292" spans="2:29" hidden="1" x14ac:dyDescent="0.25">
      <c r="B292" s="1113">
        <f t="shared" si="150"/>
        <v>2036</v>
      </c>
      <c r="C292" s="1114">
        <v>49949</v>
      </c>
      <c r="D292" s="1744">
        <f>'Diciembre - 2019  '!$N$34+'Diciembre - 2019  '!$N$43</f>
        <v>104018642.60000001</v>
      </c>
      <c r="E292" s="1121">
        <f>'Diciembre - 2019  '!$N$54</f>
        <v>113809.99999999999</v>
      </c>
      <c r="F292" s="1745">
        <f t="shared" si="151"/>
        <v>104132452.60000001</v>
      </c>
      <c r="G292" s="1121">
        <f>'Diciembre - 2019  '!$M$33</f>
        <v>4753878.6400000006</v>
      </c>
      <c r="H292" s="1121">
        <f>'Diciembre - 2019  '!$M$54</f>
        <v>5690.5</v>
      </c>
      <c r="I292" s="1121">
        <f t="shared" si="152"/>
        <v>4759569.1400000006</v>
      </c>
      <c r="J292" s="2067">
        <f>'Diciembre - 2019  '!$H$22</f>
        <v>0.14799999999999999</v>
      </c>
      <c r="K292" s="2069">
        <f>'Diciembre - 2019  '!$I$22</f>
        <v>1.4200000000000001E-2</v>
      </c>
      <c r="L292" s="1104">
        <f t="shared" si="153"/>
        <v>31</v>
      </c>
      <c r="M292" s="1153">
        <v>31482854</v>
      </c>
      <c r="N292" s="1107">
        <f t="shared" si="154"/>
        <v>1015575.9354838709</v>
      </c>
      <c r="O292" s="1164">
        <f>'Diciembre - 2019  '!$I$22</f>
        <v>1.4200000000000001E-2</v>
      </c>
      <c r="P292" s="1118">
        <f t="shared" si="155"/>
        <v>5869182.201933383</v>
      </c>
      <c r="Q292" s="1118">
        <f>'Diciembre - 2019  '!$K$54</f>
        <v>6190010.4432046823</v>
      </c>
      <c r="R292" s="1117">
        <f>'Diciembre - 2019  '!$L$15</f>
        <v>0</v>
      </c>
      <c r="S292" s="1743">
        <f t="shared" si="156"/>
        <v>21.878546048392941</v>
      </c>
      <c r="T292" s="1753">
        <f>'Diciembre - 2019  '!$Z$89</f>
        <v>0</v>
      </c>
      <c r="U292" s="1107">
        <f>'Diciembre - 2019  '!$AA$89</f>
        <v>0</v>
      </c>
      <c r="V292" s="1107">
        <f t="shared" si="157"/>
        <v>0</v>
      </c>
      <c r="W292" s="1107" t="e">
        <f t="shared" si="158"/>
        <v>#VALUE!</v>
      </c>
      <c r="X292" s="1108">
        <f t="shared" si="159"/>
        <v>199677.7562324091</v>
      </c>
      <c r="Y292" s="1109">
        <f t="shared" si="160"/>
        <v>31482854</v>
      </c>
      <c r="Z292" s="1109">
        <f t="shared" si="161"/>
        <v>6190010.4432046823</v>
      </c>
      <c r="AA292" s="1110">
        <f t="shared" si="162"/>
        <v>25292843.556795318</v>
      </c>
      <c r="AB292" s="1119">
        <f t="shared" si="163"/>
        <v>0.19661528917310617</v>
      </c>
      <c r="AC292" s="1754">
        <f t="shared" si="164"/>
        <v>0.80338471082689389</v>
      </c>
    </row>
    <row r="293" spans="2:29" hidden="1" x14ac:dyDescent="0.25">
      <c r="B293" s="1113">
        <f t="shared" si="150"/>
        <v>2036</v>
      </c>
      <c r="C293" s="1114">
        <v>49980</v>
      </c>
      <c r="D293" s="1744">
        <f>'Diciembre - 2019  '!$N$34+'Diciembre - 2019  '!$N$43</f>
        <v>104018642.60000001</v>
      </c>
      <c r="E293" s="1121">
        <f>'Diciembre - 2019  '!$N$54</f>
        <v>113809.99999999999</v>
      </c>
      <c r="F293" s="1745">
        <f t="shared" si="151"/>
        <v>104132452.60000001</v>
      </c>
      <c r="G293" s="1121">
        <f>'Diciembre - 2019  '!$M$33</f>
        <v>4753878.6400000006</v>
      </c>
      <c r="H293" s="1121">
        <f>'Diciembre - 2019  '!$M$54</f>
        <v>5690.5</v>
      </c>
      <c r="I293" s="1121">
        <f t="shared" si="152"/>
        <v>4759569.1400000006</v>
      </c>
      <c r="J293" s="2067">
        <f>'Diciembre - 2019  '!$H$22</f>
        <v>0.14799999999999999</v>
      </c>
      <c r="K293" s="2069">
        <f>'Diciembre - 2019  '!$I$22</f>
        <v>1.4200000000000001E-2</v>
      </c>
      <c r="L293" s="1104">
        <f t="shared" si="153"/>
        <v>30</v>
      </c>
      <c r="M293" s="1153">
        <v>31482855</v>
      </c>
      <c r="N293" s="1107">
        <f t="shared" si="154"/>
        <v>1049428.5</v>
      </c>
      <c r="O293" s="1164">
        <f>'Diciembre - 2019  '!$I$22</f>
        <v>1.4200000000000001E-2</v>
      </c>
      <c r="P293" s="1118">
        <f t="shared" si="155"/>
        <v>5869182.201933383</v>
      </c>
      <c r="Q293" s="1118">
        <f>'Diciembre - 2019  '!$K$54</f>
        <v>6190010.4432046823</v>
      </c>
      <c r="R293" s="1117">
        <f>'Diciembre - 2019  '!$L$15</f>
        <v>0</v>
      </c>
      <c r="S293" s="1743">
        <f t="shared" si="156"/>
        <v>21.878546048392941</v>
      </c>
      <c r="T293" s="1753">
        <f>'Diciembre - 2019  '!$Z$89</f>
        <v>0</v>
      </c>
      <c r="U293" s="1107">
        <f>'Diciembre - 2019  '!$AA$89</f>
        <v>0</v>
      </c>
      <c r="V293" s="1107">
        <f t="shared" si="157"/>
        <v>0</v>
      </c>
      <c r="W293" s="1107" t="e">
        <f t="shared" si="158"/>
        <v>#VALUE!</v>
      </c>
      <c r="X293" s="1108">
        <f t="shared" si="159"/>
        <v>206333.68144015607</v>
      </c>
      <c r="Y293" s="1109">
        <f t="shared" si="160"/>
        <v>31482855</v>
      </c>
      <c r="Z293" s="1109">
        <f t="shared" si="161"/>
        <v>6190010.4432046823</v>
      </c>
      <c r="AA293" s="1110">
        <f t="shared" si="162"/>
        <v>25292844.556795318</v>
      </c>
      <c r="AB293" s="1119">
        <f t="shared" si="163"/>
        <v>0.1966152829279518</v>
      </c>
      <c r="AC293" s="1754">
        <f t="shared" si="164"/>
        <v>0.80338471707204817</v>
      </c>
    </row>
    <row r="294" spans="2:29" hidden="1" x14ac:dyDescent="0.25">
      <c r="B294" s="1113">
        <f t="shared" si="150"/>
        <v>2036</v>
      </c>
      <c r="C294" s="1114">
        <v>50010</v>
      </c>
      <c r="D294" s="1744">
        <f>'Diciembre - 2019  '!$N$34+'Diciembre - 2019  '!$N$43</f>
        <v>104018642.60000001</v>
      </c>
      <c r="E294" s="1121">
        <f>'Diciembre - 2019  '!$N$54</f>
        <v>113809.99999999999</v>
      </c>
      <c r="F294" s="1745">
        <f t="shared" si="151"/>
        <v>104132452.60000001</v>
      </c>
      <c r="G294" s="1121">
        <f>'Diciembre - 2019  '!$M$33</f>
        <v>4753878.6400000006</v>
      </c>
      <c r="H294" s="1121">
        <f>'Diciembre - 2019  '!$M$54</f>
        <v>5690.5</v>
      </c>
      <c r="I294" s="1121">
        <f t="shared" si="152"/>
        <v>4759569.1400000006</v>
      </c>
      <c r="J294" s="2067">
        <f>'Diciembre - 2019  '!$H$22</f>
        <v>0.14799999999999999</v>
      </c>
      <c r="K294" s="2069">
        <f>'Diciembre - 2019  '!$I$22</f>
        <v>1.4200000000000001E-2</v>
      </c>
      <c r="L294" s="1104">
        <f t="shared" si="153"/>
        <v>31</v>
      </c>
      <c r="M294" s="1153">
        <v>31482856</v>
      </c>
      <c r="N294" s="1107">
        <f t="shared" si="154"/>
        <v>1015576</v>
      </c>
      <c r="O294" s="1164">
        <f>'Diciembre - 2019  '!$I$22</f>
        <v>1.4200000000000001E-2</v>
      </c>
      <c r="P294" s="1118">
        <f t="shared" si="155"/>
        <v>5869182.201933383</v>
      </c>
      <c r="Q294" s="1118">
        <f>'Diciembre - 2019  '!$K$54</f>
        <v>6190010.4432046823</v>
      </c>
      <c r="R294" s="1117">
        <f>'Diciembre - 2019  '!$L$15</f>
        <v>0</v>
      </c>
      <c r="S294" s="1743">
        <f t="shared" si="156"/>
        <v>21.878546048392941</v>
      </c>
      <c r="T294" s="1753">
        <f>'Diciembre - 2019  '!$Z$89</f>
        <v>0</v>
      </c>
      <c r="U294" s="1107">
        <f>'Diciembre - 2019  '!$AA$89</f>
        <v>0</v>
      </c>
      <c r="V294" s="1107">
        <f t="shared" si="157"/>
        <v>0</v>
      </c>
      <c r="W294" s="1107" t="e">
        <f t="shared" si="158"/>
        <v>#VALUE!</v>
      </c>
      <c r="X294" s="1108">
        <f t="shared" si="159"/>
        <v>199677.7562324091</v>
      </c>
      <c r="Y294" s="1109">
        <f t="shared" si="160"/>
        <v>31482856</v>
      </c>
      <c r="Z294" s="1109">
        <f t="shared" si="161"/>
        <v>6190010.4432046823</v>
      </c>
      <c r="AA294" s="1110">
        <f t="shared" si="162"/>
        <v>25292845.556795318</v>
      </c>
      <c r="AB294" s="1119">
        <f t="shared" si="163"/>
        <v>0.19661527668279785</v>
      </c>
      <c r="AC294" s="1754">
        <f t="shared" si="164"/>
        <v>0.80338472331720212</v>
      </c>
    </row>
    <row r="295" spans="2:29" hidden="1" x14ac:dyDescent="0.25">
      <c r="B295" s="1113">
        <f t="shared" si="150"/>
        <v>2037</v>
      </c>
      <c r="C295" s="1114">
        <v>50041</v>
      </c>
      <c r="D295" s="1744">
        <f>'Diciembre - 2019  '!$N$34+'Diciembre - 2019  '!$N$43</f>
        <v>104018642.60000001</v>
      </c>
      <c r="E295" s="1121">
        <f>'Diciembre - 2019  '!$N$54</f>
        <v>113809.99999999999</v>
      </c>
      <c r="F295" s="1745">
        <f t="shared" si="151"/>
        <v>104132452.60000001</v>
      </c>
      <c r="G295" s="1121">
        <f>'Diciembre - 2019  '!$M$33</f>
        <v>4753878.6400000006</v>
      </c>
      <c r="H295" s="1121">
        <f>'Diciembre - 2019  '!$M$54</f>
        <v>5690.5</v>
      </c>
      <c r="I295" s="1121">
        <f t="shared" si="152"/>
        <v>4759569.1400000006</v>
      </c>
      <c r="J295" s="2067">
        <f>'Diciembre - 2019  '!$H$22</f>
        <v>0.14799999999999999</v>
      </c>
      <c r="K295" s="2069">
        <f>'Diciembre - 2019  '!$I$22</f>
        <v>1.4200000000000001E-2</v>
      </c>
      <c r="L295" s="1104">
        <f t="shared" si="153"/>
        <v>31</v>
      </c>
      <c r="M295" s="1153">
        <v>31482857</v>
      </c>
      <c r="N295" s="1107">
        <f t="shared" si="154"/>
        <v>1015576.0322580645</v>
      </c>
      <c r="O295" s="1164">
        <f>'Diciembre - 2019  '!$I$22</f>
        <v>1.4200000000000001E-2</v>
      </c>
      <c r="P295" s="1118">
        <f t="shared" si="155"/>
        <v>5869182.201933383</v>
      </c>
      <c r="Q295" s="1118">
        <f>'Diciembre - 2019  '!$K$54</f>
        <v>6190010.4432046823</v>
      </c>
      <c r="R295" s="1117">
        <f>'Diciembre - 2019  '!$L$15</f>
        <v>0</v>
      </c>
      <c r="S295" s="1743">
        <f t="shared" si="156"/>
        <v>21.878546048392941</v>
      </c>
      <c r="T295" s="1753">
        <f>'Diciembre - 2019  '!$Z$89</f>
        <v>0</v>
      </c>
      <c r="U295" s="1107">
        <f>'Diciembre - 2019  '!$AA$89</f>
        <v>0</v>
      </c>
      <c r="V295" s="1107">
        <f t="shared" si="157"/>
        <v>0</v>
      </c>
      <c r="W295" s="1107" t="e">
        <f t="shared" si="158"/>
        <v>#VALUE!</v>
      </c>
      <c r="X295" s="1108">
        <f t="shared" si="159"/>
        <v>199677.7562324091</v>
      </c>
      <c r="Y295" s="1109">
        <f t="shared" si="160"/>
        <v>31482857</v>
      </c>
      <c r="Z295" s="1109">
        <f t="shared" si="161"/>
        <v>6190010.4432046823</v>
      </c>
      <c r="AA295" s="1110">
        <f t="shared" si="162"/>
        <v>25292846.556795318</v>
      </c>
      <c r="AB295" s="1119">
        <f t="shared" si="163"/>
        <v>0.19661527043764429</v>
      </c>
      <c r="AC295" s="1754">
        <f t="shared" si="164"/>
        <v>0.80338472956235574</v>
      </c>
    </row>
    <row r="296" spans="2:29" hidden="1" x14ac:dyDescent="0.25">
      <c r="B296" s="1113">
        <f t="shared" si="150"/>
        <v>2037</v>
      </c>
      <c r="C296" s="1114">
        <v>50072</v>
      </c>
      <c r="D296" s="1744">
        <f>'Diciembre - 2019  '!$N$34+'Diciembre - 2019  '!$N$43</f>
        <v>104018642.60000001</v>
      </c>
      <c r="E296" s="1121">
        <f>'Diciembre - 2019  '!$N$54</f>
        <v>113809.99999999999</v>
      </c>
      <c r="F296" s="1745">
        <f t="shared" si="151"/>
        <v>104132452.60000001</v>
      </c>
      <c r="G296" s="1121">
        <f>'Diciembre - 2019  '!$M$33</f>
        <v>4753878.6400000006</v>
      </c>
      <c r="H296" s="1121">
        <f>'Diciembre - 2019  '!$M$54</f>
        <v>5690.5</v>
      </c>
      <c r="I296" s="1121">
        <f t="shared" si="152"/>
        <v>4759569.1400000006</v>
      </c>
      <c r="J296" s="2067">
        <f>'Diciembre - 2019  '!$H$22</f>
        <v>0.14799999999999999</v>
      </c>
      <c r="K296" s="2069">
        <f>'Diciembre - 2019  '!$I$22</f>
        <v>1.4200000000000001E-2</v>
      </c>
      <c r="L296" s="1104">
        <f t="shared" si="153"/>
        <v>28</v>
      </c>
      <c r="M296" s="1153">
        <v>31482858</v>
      </c>
      <c r="N296" s="1107">
        <f t="shared" si="154"/>
        <v>1124387.7857142857</v>
      </c>
      <c r="O296" s="1164">
        <f>'Diciembre - 2019  '!$I$22</f>
        <v>1.4200000000000001E-2</v>
      </c>
      <c r="P296" s="1118">
        <f t="shared" si="155"/>
        <v>5869182.201933383</v>
      </c>
      <c r="Q296" s="1118">
        <f>'Diciembre - 2019  '!$K$54</f>
        <v>6190010.4432046823</v>
      </c>
      <c r="R296" s="1117">
        <f>'Diciembre - 2019  '!$L$15</f>
        <v>0</v>
      </c>
      <c r="S296" s="1743">
        <f t="shared" si="156"/>
        <v>21.878546048392941</v>
      </c>
      <c r="T296" s="1753">
        <f>'Diciembre - 2019  '!$Z$89</f>
        <v>0</v>
      </c>
      <c r="U296" s="1107">
        <f>'Diciembre - 2019  '!$AA$89</f>
        <v>0</v>
      </c>
      <c r="V296" s="1107">
        <f t="shared" si="157"/>
        <v>0</v>
      </c>
      <c r="W296" s="1107" t="e">
        <f t="shared" si="158"/>
        <v>#VALUE!</v>
      </c>
      <c r="X296" s="1108">
        <f t="shared" si="159"/>
        <v>221071.80154302437</v>
      </c>
      <c r="Y296" s="1109">
        <f t="shared" si="160"/>
        <v>31482858</v>
      </c>
      <c r="Z296" s="1109">
        <f t="shared" si="161"/>
        <v>6190010.4432046823</v>
      </c>
      <c r="AA296" s="1110">
        <f t="shared" si="162"/>
        <v>25292847.556795318</v>
      </c>
      <c r="AB296" s="1119">
        <f t="shared" si="163"/>
        <v>0.19661526419249112</v>
      </c>
      <c r="AC296" s="1754">
        <f t="shared" si="164"/>
        <v>0.80338473580750891</v>
      </c>
    </row>
    <row r="297" spans="2:29" hidden="1" x14ac:dyDescent="0.25">
      <c r="B297" s="1113">
        <f t="shared" si="150"/>
        <v>2037</v>
      </c>
      <c r="C297" s="1114">
        <v>50100</v>
      </c>
      <c r="D297" s="1744">
        <f>'Diciembre - 2019  '!$N$34+'Diciembre - 2019  '!$N$43</f>
        <v>104018642.60000001</v>
      </c>
      <c r="E297" s="1121">
        <f>'Diciembre - 2019  '!$N$54</f>
        <v>113809.99999999999</v>
      </c>
      <c r="F297" s="1745">
        <f t="shared" si="151"/>
        <v>104132452.60000001</v>
      </c>
      <c r="G297" s="1121">
        <f>'Diciembre - 2019  '!$M$33</f>
        <v>4753878.6400000006</v>
      </c>
      <c r="H297" s="1121">
        <f>'Diciembre - 2019  '!$M$54</f>
        <v>5690.5</v>
      </c>
      <c r="I297" s="1121">
        <f t="shared" si="152"/>
        <v>4759569.1400000006</v>
      </c>
      <c r="J297" s="2067">
        <f>'Diciembre - 2019  '!$H$22</f>
        <v>0.14799999999999999</v>
      </c>
      <c r="K297" s="2069">
        <f>'Diciembre - 2019  '!$I$22</f>
        <v>1.4200000000000001E-2</v>
      </c>
      <c r="L297" s="1104">
        <f t="shared" si="153"/>
        <v>31</v>
      </c>
      <c r="M297" s="1153">
        <v>31482859</v>
      </c>
      <c r="N297" s="1107">
        <f t="shared" si="154"/>
        <v>1015576.0967741936</v>
      </c>
      <c r="O297" s="1164">
        <f>'Diciembre - 2019  '!$I$22</f>
        <v>1.4200000000000001E-2</v>
      </c>
      <c r="P297" s="1118">
        <f t="shared" si="155"/>
        <v>5869182.201933383</v>
      </c>
      <c r="Q297" s="1118">
        <f>'Diciembre - 2019  '!$K$54</f>
        <v>6190010.4432046823</v>
      </c>
      <c r="R297" s="1117">
        <f>'Diciembre - 2019  '!$L$15</f>
        <v>0</v>
      </c>
      <c r="S297" s="1743">
        <f t="shared" si="156"/>
        <v>21.878546048392941</v>
      </c>
      <c r="T297" s="1753">
        <f>'Diciembre - 2019  '!$Z$89</f>
        <v>0</v>
      </c>
      <c r="U297" s="1107">
        <f>'Diciembre - 2019  '!$AA$89</f>
        <v>0</v>
      </c>
      <c r="V297" s="1107">
        <f t="shared" si="157"/>
        <v>0</v>
      </c>
      <c r="W297" s="1107" t="e">
        <f t="shared" si="158"/>
        <v>#VALUE!</v>
      </c>
      <c r="X297" s="1108">
        <f t="shared" si="159"/>
        <v>199677.7562324091</v>
      </c>
      <c r="Y297" s="1109">
        <f t="shared" si="160"/>
        <v>31482859</v>
      </c>
      <c r="Z297" s="1109">
        <f t="shared" si="161"/>
        <v>6190010.4432046823</v>
      </c>
      <c r="AA297" s="1110">
        <f t="shared" si="162"/>
        <v>25292848.556795318</v>
      </c>
      <c r="AB297" s="1119">
        <f t="shared" si="163"/>
        <v>0.19661525794733833</v>
      </c>
      <c r="AC297" s="1754">
        <f t="shared" si="164"/>
        <v>0.80338474205266164</v>
      </c>
    </row>
    <row r="298" spans="2:29" hidden="1" x14ac:dyDescent="0.25">
      <c r="B298" s="1113">
        <f t="shared" si="150"/>
        <v>2037</v>
      </c>
      <c r="C298" s="1114">
        <v>50131</v>
      </c>
      <c r="D298" s="1744">
        <f>'Diciembre - 2019  '!$N$34+'Diciembre - 2019  '!$N$43</f>
        <v>104018642.60000001</v>
      </c>
      <c r="E298" s="1121">
        <f>'Diciembre - 2019  '!$N$54</f>
        <v>113809.99999999999</v>
      </c>
      <c r="F298" s="1745">
        <f t="shared" si="151"/>
        <v>104132452.60000001</v>
      </c>
      <c r="G298" s="1121">
        <f>'Diciembre - 2019  '!$M$33</f>
        <v>4753878.6400000006</v>
      </c>
      <c r="H298" s="1121">
        <f>'Diciembre - 2019  '!$M$54</f>
        <v>5690.5</v>
      </c>
      <c r="I298" s="1121">
        <f t="shared" si="152"/>
        <v>4759569.1400000006</v>
      </c>
      <c r="J298" s="2067">
        <f>'Diciembre - 2019  '!$H$22</f>
        <v>0.14799999999999999</v>
      </c>
      <c r="K298" s="2069">
        <f>'Diciembre - 2019  '!$I$22</f>
        <v>1.4200000000000001E-2</v>
      </c>
      <c r="L298" s="1104">
        <f t="shared" si="153"/>
        <v>30</v>
      </c>
      <c r="M298" s="1153">
        <v>31482860</v>
      </c>
      <c r="N298" s="1107">
        <f t="shared" si="154"/>
        <v>1049428.6666666667</v>
      </c>
      <c r="O298" s="1164">
        <f>'Diciembre - 2019  '!$I$22</f>
        <v>1.4200000000000001E-2</v>
      </c>
      <c r="P298" s="1118">
        <f t="shared" si="155"/>
        <v>5869182.201933383</v>
      </c>
      <c r="Q298" s="1118">
        <f>'Diciembre - 2019  '!$K$54</f>
        <v>6190010.4432046823</v>
      </c>
      <c r="R298" s="1117">
        <f>'Diciembre - 2019  '!$L$15</f>
        <v>0</v>
      </c>
      <c r="S298" s="1743">
        <f t="shared" si="156"/>
        <v>21.878546048392941</v>
      </c>
      <c r="T298" s="1753">
        <f>'Diciembre - 2019  '!$Z$89</f>
        <v>0</v>
      </c>
      <c r="U298" s="1107">
        <f>'Diciembre - 2019  '!$AA$89</f>
        <v>0</v>
      </c>
      <c r="V298" s="1107">
        <f t="shared" si="157"/>
        <v>0</v>
      </c>
      <c r="W298" s="1107" t="e">
        <f t="shared" si="158"/>
        <v>#VALUE!</v>
      </c>
      <c r="X298" s="1108">
        <f t="shared" si="159"/>
        <v>206333.68144015607</v>
      </c>
      <c r="Y298" s="1109">
        <f t="shared" si="160"/>
        <v>31482860</v>
      </c>
      <c r="Z298" s="1109">
        <f t="shared" si="161"/>
        <v>6190010.4432046823</v>
      </c>
      <c r="AA298" s="1110">
        <f t="shared" si="162"/>
        <v>25292849.556795318</v>
      </c>
      <c r="AB298" s="1119">
        <f t="shared" si="163"/>
        <v>0.19661525170218597</v>
      </c>
      <c r="AC298" s="1754">
        <f t="shared" si="164"/>
        <v>0.80338474829781403</v>
      </c>
    </row>
    <row r="299" spans="2:29" hidden="1" x14ac:dyDescent="0.25">
      <c r="B299" s="1113">
        <f t="shared" si="150"/>
        <v>2037</v>
      </c>
      <c r="C299" s="1114">
        <v>50161</v>
      </c>
      <c r="D299" s="1744">
        <f>'Diciembre - 2019  '!$N$34+'Diciembre - 2019  '!$N$43</f>
        <v>104018642.60000001</v>
      </c>
      <c r="E299" s="1121">
        <f>'Diciembre - 2019  '!$N$54</f>
        <v>113809.99999999999</v>
      </c>
      <c r="F299" s="1745">
        <f t="shared" si="151"/>
        <v>104132452.60000001</v>
      </c>
      <c r="G299" s="1121">
        <f>'Diciembre - 2019  '!$M$33</f>
        <v>4753878.6400000006</v>
      </c>
      <c r="H299" s="1121">
        <f>'Diciembre - 2019  '!$M$54</f>
        <v>5690.5</v>
      </c>
      <c r="I299" s="1121">
        <f t="shared" si="152"/>
        <v>4759569.1400000006</v>
      </c>
      <c r="J299" s="2067">
        <f>'Diciembre - 2019  '!$H$22</f>
        <v>0.14799999999999999</v>
      </c>
      <c r="K299" s="2069">
        <f>'Diciembre - 2019  '!$I$22</f>
        <v>1.4200000000000001E-2</v>
      </c>
      <c r="L299" s="1104">
        <f t="shared" si="153"/>
        <v>31</v>
      </c>
      <c r="M299" s="1153">
        <v>31482861</v>
      </c>
      <c r="N299" s="1107">
        <f t="shared" si="154"/>
        <v>1015576.1612903225</v>
      </c>
      <c r="O299" s="1164">
        <f>'Diciembre - 2019  '!$I$22</f>
        <v>1.4200000000000001E-2</v>
      </c>
      <c r="P299" s="1118">
        <f t="shared" si="155"/>
        <v>5869182.201933383</v>
      </c>
      <c r="Q299" s="1118">
        <f>'Diciembre - 2019  '!$K$54</f>
        <v>6190010.4432046823</v>
      </c>
      <c r="R299" s="1117">
        <f>'Diciembre - 2019  '!$L$15</f>
        <v>0</v>
      </c>
      <c r="S299" s="1743">
        <f t="shared" si="156"/>
        <v>21.878546048392941</v>
      </c>
      <c r="T299" s="1753">
        <f>'Diciembre - 2019  '!$Z$89</f>
        <v>0</v>
      </c>
      <c r="U299" s="1107">
        <f>'Diciembre - 2019  '!$AA$89</f>
        <v>0</v>
      </c>
      <c r="V299" s="1107">
        <f t="shared" si="157"/>
        <v>0</v>
      </c>
      <c r="W299" s="1107" t="e">
        <f t="shared" si="158"/>
        <v>#VALUE!</v>
      </c>
      <c r="X299" s="1108">
        <f t="shared" si="159"/>
        <v>199677.7562324091</v>
      </c>
      <c r="Y299" s="1109">
        <f t="shared" si="160"/>
        <v>31482861</v>
      </c>
      <c r="Z299" s="1109">
        <f t="shared" si="161"/>
        <v>6190010.4432046823</v>
      </c>
      <c r="AA299" s="1110">
        <f t="shared" si="162"/>
        <v>25292850.556795318</v>
      </c>
      <c r="AB299" s="1119">
        <f t="shared" si="163"/>
        <v>0.19661524545703399</v>
      </c>
      <c r="AC299" s="1754">
        <f t="shared" si="164"/>
        <v>0.80338475454296598</v>
      </c>
    </row>
    <row r="300" spans="2:29" hidden="1" x14ac:dyDescent="0.25">
      <c r="B300" s="1113">
        <f t="shared" si="150"/>
        <v>2037</v>
      </c>
      <c r="C300" s="1114">
        <v>50192</v>
      </c>
      <c r="D300" s="1744">
        <f>'Diciembre - 2019  '!$N$34+'Diciembre - 2019  '!$N$43</f>
        <v>104018642.60000001</v>
      </c>
      <c r="E300" s="1121">
        <f>'Diciembre - 2019  '!$N$54</f>
        <v>113809.99999999999</v>
      </c>
      <c r="F300" s="1745">
        <f t="shared" si="151"/>
        <v>104132452.60000001</v>
      </c>
      <c r="G300" s="1121">
        <f>'Diciembre - 2019  '!$M$33</f>
        <v>4753878.6400000006</v>
      </c>
      <c r="H300" s="1121">
        <f>'Diciembre - 2019  '!$M$54</f>
        <v>5690.5</v>
      </c>
      <c r="I300" s="1121">
        <f t="shared" si="152"/>
        <v>4759569.1400000006</v>
      </c>
      <c r="J300" s="2067">
        <f>'Diciembre - 2019  '!$H$22</f>
        <v>0.14799999999999999</v>
      </c>
      <c r="K300" s="2069">
        <f>'Diciembre - 2019  '!$I$22</f>
        <v>1.4200000000000001E-2</v>
      </c>
      <c r="L300" s="1104">
        <f t="shared" si="153"/>
        <v>30</v>
      </c>
      <c r="M300" s="1153">
        <v>31482862</v>
      </c>
      <c r="N300" s="1107">
        <f t="shared" si="154"/>
        <v>1049428.7333333334</v>
      </c>
      <c r="O300" s="1164">
        <f>'Diciembre - 2019  '!$I$22</f>
        <v>1.4200000000000001E-2</v>
      </c>
      <c r="P300" s="1118">
        <f t="shared" si="155"/>
        <v>5869182.201933383</v>
      </c>
      <c r="Q300" s="1118">
        <f>'Diciembre - 2019  '!$K$54</f>
        <v>6190010.4432046823</v>
      </c>
      <c r="R300" s="1117">
        <f>'Diciembre - 2019  '!$L$15</f>
        <v>0</v>
      </c>
      <c r="S300" s="1743">
        <f t="shared" si="156"/>
        <v>21.878546048392941</v>
      </c>
      <c r="T300" s="1753">
        <f>'Diciembre - 2019  '!$Z$89</f>
        <v>0</v>
      </c>
      <c r="U300" s="1107">
        <f>'Diciembre - 2019  '!$AA$89</f>
        <v>0</v>
      </c>
      <c r="V300" s="1107">
        <f t="shared" si="157"/>
        <v>0</v>
      </c>
      <c r="W300" s="1107" t="e">
        <f t="shared" si="158"/>
        <v>#VALUE!</v>
      </c>
      <c r="X300" s="1108">
        <f t="shared" si="159"/>
        <v>206333.68144015607</v>
      </c>
      <c r="Y300" s="1109">
        <f t="shared" si="160"/>
        <v>31482862</v>
      </c>
      <c r="Z300" s="1109">
        <f t="shared" si="161"/>
        <v>6190010.4432046823</v>
      </c>
      <c r="AA300" s="1110">
        <f t="shared" si="162"/>
        <v>25292851.556795318</v>
      </c>
      <c r="AB300" s="1119">
        <f t="shared" si="163"/>
        <v>0.1966152392118824</v>
      </c>
      <c r="AC300" s="1754">
        <f t="shared" si="164"/>
        <v>0.8033847607881176</v>
      </c>
    </row>
    <row r="301" spans="2:29" hidden="1" x14ac:dyDescent="0.25">
      <c r="B301" s="1113">
        <f t="shared" si="150"/>
        <v>2037</v>
      </c>
      <c r="C301" s="1114">
        <v>50222</v>
      </c>
      <c r="D301" s="1744">
        <f>'Diciembre - 2019  '!$N$34+'Diciembre - 2019  '!$N$43</f>
        <v>104018642.60000001</v>
      </c>
      <c r="E301" s="1121">
        <f>'Diciembre - 2019  '!$N$54</f>
        <v>113809.99999999999</v>
      </c>
      <c r="F301" s="1745">
        <f t="shared" si="151"/>
        <v>104132452.60000001</v>
      </c>
      <c r="G301" s="1121">
        <f>'Diciembre - 2019  '!$M$33</f>
        <v>4753878.6400000006</v>
      </c>
      <c r="H301" s="1121">
        <f>'Diciembre - 2019  '!$M$54</f>
        <v>5690.5</v>
      </c>
      <c r="I301" s="1121">
        <f t="shared" si="152"/>
        <v>4759569.1400000006</v>
      </c>
      <c r="J301" s="2067">
        <f>'Diciembre - 2019  '!$H$22</f>
        <v>0.14799999999999999</v>
      </c>
      <c r="K301" s="2069">
        <f>'Diciembre - 2019  '!$I$22</f>
        <v>1.4200000000000001E-2</v>
      </c>
      <c r="L301" s="1104">
        <f t="shared" si="153"/>
        <v>31</v>
      </c>
      <c r="M301" s="1153">
        <v>31482863</v>
      </c>
      <c r="N301" s="1107">
        <f t="shared" si="154"/>
        <v>1015576.2258064516</v>
      </c>
      <c r="O301" s="1164">
        <f>'Diciembre - 2019  '!$I$22</f>
        <v>1.4200000000000001E-2</v>
      </c>
      <c r="P301" s="1118">
        <f t="shared" si="155"/>
        <v>5869182.201933383</v>
      </c>
      <c r="Q301" s="1118">
        <f>'Diciembre - 2019  '!$K$54</f>
        <v>6190010.4432046823</v>
      </c>
      <c r="R301" s="1117">
        <f>'Diciembre - 2019  '!$L$15</f>
        <v>0</v>
      </c>
      <c r="S301" s="1743">
        <f t="shared" si="156"/>
        <v>21.878546048392941</v>
      </c>
      <c r="T301" s="1753">
        <f>'Diciembre - 2019  '!$Z$89</f>
        <v>0</v>
      </c>
      <c r="U301" s="1107">
        <f>'Diciembre - 2019  '!$AA$89</f>
        <v>0</v>
      </c>
      <c r="V301" s="1107">
        <f t="shared" si="157"/>
        <v>0</v>
      </c>
      <c r="W301" s="1107" t="e">
        <f t="shared" si="158"/>
        <v>#VALUE!</v>
      </c>
      <c r="X301" s="1108">
        <f t="shared" si="159"/>
        <v>199677.7562324091</v>
      </c>
      <c r="Y301" s="1109">
        <f t="shared" si="160"/>
        <v>31482863</v>
      </c>
      <c r="Z301" s="1109">
        <f t="shared" si="161"/>
        <v>6190010.4432046823</v>
      </c>
      <c r="AA301" s="1110">
        <f t="shared" si="162"/>
        <v>25292852.556795318</v>
      </c>
      <c r="AB301" s="1119">
        <f t="shared" si="163"/>
        <v>0.19661523296673122</v>
      </c>
      <c r="AC301" s="1754">
        <f t="shared" si="164"/>
        <v>0.80338476703326878</v>
      </c>
    </row>
    <row r="302" spans="2:29" hidden="1" x14ac:dyDescent="0.25">
      <c r="B302" s="1113">
        <f t="shared" si="150"/>
        <v>2037</v>
      </c>
      <c r="C302" s="1114">
        <v>50253</v>
      </c>
      <c r="D302" s="1744">
        <f>'Diciembre - 2019  '!$N$34+'Diciembre - 2019  '!$N$43</f>
        <v>104018642.60000001</v>
      </c>
      <c r="E302" s="1121">
        <f>'Diciembre - 2019  '!$N$54</f>
        <v>113809.99999999999</v>
      </c>
      <c r="F302" s="1745">
        <f t="shared" si="151"/>
        <v>104132452.60000001</v>
      </c>
      <c r="G302" s="1121">
        <f>'Diciembre - 2019  '!$M$33</f>
        <v>4753878.6400000006</v>
      </c>
      <c r="H302" s="1121">
        <f>'Diciembre - 2019  '!$M$54</f>
        <v>5690.5</v>
      </c>
      <c r="I302" s="1121">
        <f t="shared" si="152"/>
        <v>4759569.1400000006</v>
      </c>
      <c r="J302" s="2067">
        <f>'Diciembre - 2019  '!$H$22</f>
        <v>0.14799999999999999</v>
      </c>
      <c r="K302" s="2069">
        <f>'Diciembre - 2019  '!$I$22</f>
        <v>1.4200000000000001E-2</v>
      </c>
      <c r="L302" s="1104">
        <f t="shared" si="153"/>
        <v>31</v>
      </c>
      <c r="M302" s="1153">
        <v>31482864</v>
      </c>
      <c r="N302" s="1107">
        <f t="shared" si="154"/>
        <v>1015576.2580645161</v>
      </c>
      <c r="O302" s="1164">
        <f>'Diciembre - 2019  '!$I$22</f>
        <v>1.4200000000000001E-2</v>
      </c>
      <c r="P302" s="1118">
        <f t="shared" si="155"/>
        <v>5869182.201933383</v>
      </c>
      <c r="Q302" s="1118">
        <f>'Diciembre - 2019  '!$K$54</f>
        <v>6190010.4432046823</v>
      </c>
      <c r="R302" s="1117">
        <f>'Diciembre - 2019  '!$L$15</f>
        <v>0</v>
      </c>
      <c r="S302" s="1743">
        <f t="shared" si="156"/>
        <v>21.878546048392941</v>
      </c>
      <c r="T302" s="1753">
        <f>'Diciembre - 2019  '!$Z$89</f>
        <v>0</v>
      </c>
      <c r="U302" s="1107">
        <f>'Diciembre - 2019  '!$AA$89</f>
        <v>0</v>
      </c>
      <c r="V302" s="1107">
        <f t="shared" si="157"/>
        <v>0</v>
      </c>
      <c r="W302" s="1107" t="e">
        <f t="shared" si="158"/>
        <v>#VALUE!</v>
      </c>
      <c r="X302" s="1108">
        <f t="shared" si="159"/>
        <v>199677.7562324091</v>
      </c>
      <c r="Y302" s="1109">
        <f t="shared" si="160"/>
        <v>31482864</v>
      </c>
      <c r="Z302" s="1109">
        <f t="shared" si="161"/>
        <v>6190010.4432046823</v>
      </c>
      <c r="AA302" s="1110">
        <f t="shared" si="162"/>
        <v>25292853.556795318</v>
      </c>
      <c r="AB302" s="1119">
        <f t="shared" si="163"/>
        <v>0.19661522672158041</v>
      </c>
      <c r="AC302" s="1754">
        <f t="shared" si="164"/>
        <v>0.80338477327841962</v>
      </c>
    </row>
    <row r="303" spans="2:29" hidden="1" x14ac:dyDescent="0.25">
      <c r="B303" s="1113">
        <f t="shared" si="150"/>
        <v>2037</v>
      </c>
      <c r="C303" s="1114">
        <v>50284</v>
      </c>
      <c r="D303" s="1744">
        <f>'Diciembre - 2019  '!$N$34+'Diciembre - 2019  '!$N$43</f>
        <v>104018642.60000001</v>
      </c>
      <c r="E303" s="1121">
        <f>'Diciembre - 2019  '!$N$54</f>
        <v>113809.99999999999</v>
      </c>
      <c r="F303" s="1745">
        <f t="shared" si="151"/>
        <v>104132452.60000001</v>
      </c>
      <c r="G303" s="1121">
        <f>'Diciembre - 2019  '!$M$33</f>
        <v>4753878.6400000006</v>
      </c>
      <c r="H303" s="1121">
        <f>'Diciembre - 2019  '!$M$54</f>
        <v>5690.5</v>
      </c>
      <c r="I303" s="1121">
        <f t="shared" si="152"/>
        <v>4759569.1400000006</v>
      </c>
      <c r="J303" s="2067">
        <f>'Diciembre - 2019  '!$H$22</f>
        <v>0.14799999999999999</v>
      </c>
      <c r="K303" s="2069">
        <f>'Diciembre - 2019  '!$I$22</f>
        <v>1.4200000000000001E-2</v>
      </c>
      <c r="L303" s="1104">
        <f t="shared" si="153"/>
        <v>30</v>
      </c>
      <c r="M303" s="1153">
        <v>31482865</v>
      </c>
      <c r="N303" s="1107">
        <f t="shared" si="154"/>
        <v>1049428.8333333333</v>
      </c>
      <c r="O303" s="1164">
        <f>'Diciembre - 2019  '!$I$22</f>
        <v>1.4200000000000001E-2</v>
      </c>
      <c r="P303" s="1118">
        <f t="shared" si="155"/>
        <v>5869182.201933383</v>
      </c>
      <c r="Q303" s="1118">
        <f>'Diciembre - 2019  '!$K$54</f>
        <v>6190010.4432046823</v>
      </c>
      <c r="R303" s="1117">
        <f>'Diciembre - 2019  '!$L$15</f>
        <v>0</v>
      </c>
      <c r="S303" s="1743">
        <f t="shared" si="156"/>
        <v>21.878546048392941</v>
      </c>
      <c r="T303" s="1753">
        <f>'Diciembre - 2019  '!$Z$89</f>
        <v>0</v>
      </c>
      <c r="U303" s="1107">
        <f>'Diciembre - 2019  '!$AA$89</f>
        <v>0</v>
      </c>
      <c r="V303" s="1107">
        <f t="shared" si="157"/>
        <v>0</v>
      </c>
      <c r="W303" s="1107" t="e">
        <f t="shared" si="158"/>
        <v>#VALUE!</v>
      </c>
      <c r="X303" s="1108">
        <f t="shared" si="159"/>
        <v>206333.68144015607</v>
      </c>
      <c r="Y303" s="1109">
        <f t="shared" si="160"/>
        <v>31482865</v>
      </c>
      <c r="Z303" s="1109">
        <f t="shared" si="161"/>
        <v>6190010.4432046823</v>
      </c>
      <c r="AA303" s="1110">
        <f t="shared" si="162"/>
        <v>25292854.556795318</v>
      </c>
      <c r="AB303" s="1119">
        <f t="shared" si="163"/>
        <v>0.19661522047643004</v>
      </c>
      <c r="AC303" s="1754">
        <f t="shared" si="164"/>
        <v>0.80338477952357001</v>
      </c>
    </row>
    <row r="304" spans="2:29" hidden="1" x14ac:dyDescent="0.25">
      <c r="B304" s="1113">
        <f t="shared" si="150"/>
        <v>2037</v>
      </c>
      <c r="C304" s="1114">
        <v>50314</v>
      </c>
      <c r="D304" s="1744">
        <f>'Diciembre - 2019  '!$N$34+'Diciembre - 2019  '!$N$43</f>
        <v>104018642.60000001</v>
      </c>
      <c r="E304" s="1121">
        <f>'Diciembre - 2019  '!$N$54</f>
        <v>113809.99999999999</v>
      </c>
      <c r="F304" s="1745">
        <f t="shared" si="151"/>
        <v>104132452.60000001</v>
      </c>
      <c r="G304" s="1121">
        <f>'Diciembre - 2019  '!$M$33</f>
        <v>4753878.6400000006</v>
      </c>
      <c r="H304" s="1121">
        <f>'Diciembre - 2019  '!$M$54</f>
        <v>5690.5</v>
      </c>
      <c r="I304" s="1121">
        <f t="shared" si="152"/>
        <v>4759569.1400000006</v>
      </c>
      <c r="J304" s="2067">
        <f>'Diciembre - 2019  '!$H$22</f>
        <v>0.14799999999999999</v>
      </c>
      <c r="K304" s="2069">
        <f>'Diciembre - 2019  '!$I$22</f>
        <v>1.4200000000000001E-2</v>
      </c>
      <c r="L304" s="1104">
        <f t="shared" si="153"/>
        <v>31</v>
      </c>
      <c r="M304" s="1153">
        <v>31482866</v>
      </c>
      <c r="N304" s="1107">
        <f t="shared" si="154"/>
        <v>1015576.3225806452</v>
      </c>
      <c r="O304" s="1164">
        <f>'Diciembre - 2019  '!$I$22</f>
        <v>1.4200000000000001E-2</v>
      </c>
      <c r="P304" s="1118">
        <f t="shared" si="155"/>
        <v>5869182.201933383</v>
      </c>
      <c r="Q304" s="1118">
        <f>'Diciembre - 2019  '!$K$54</f>
        <v>6190010.4432046823</v>
      </c>
      <c r="R304" s="1117">
        <f>'Diciembre - 2019  '!$L$15</f>
        <v>0</v>
      </c>
      <c r="S304" s="1743">
        <f t="shared" si="156"/>
        <v>21.878546048392941</v>
      </c>
      <c r="T304" s="1753">
        <f>'Diciembre - 2019  '!$Z$89</f>
        <v>0</v>
      </c>
      <c r="U304" s="1107">
        <f>'Diciembre - 2019  '!$AA$89</f>
        <v>0</v>
      </c>
      <c r="V304" s="1107">
        <f t="shared" si="157"/>
        <v>0</v>
      </c>
      <c r="W304" s="1107" t="e">
        <f t="shared" si="158"/>
        <v>#VALUE!</v>
      </c>
      <c r="X304" s="1108">
        <f t="shared" si="159"/>
        <v>199677.7562324091</v>
      </c>
      <c r="Y304" s="1109">
        <f t="shared" si="160"/>
        <v>31482866</v>
      </c>
      <c r="Z304" s="1109">
        <f t="shared" si="161"/>
        <v>6190010.4432046823</v>
      </c>
      <c r="AA304" s="1110">
        <f t="shared" si="162"/>
        <v>25292855.556795318</v>
      </c>
      <c r="AB304" s="1119">
        <f t="shared" si="163"/>
        <v>0.19661521423128003</v>
      </c>
      <c r="AC304" s="1754">
        <f t="shared" si="164"/>
        <v>0.80338478576871997</v>
      </c>
    </row>
    <row r="305" spans="2:29" hidden="1" x14ac:dyDescent="0.25">
      <c r="B305" s="1113">
        <f t="shared" si="150"/>
        <v>2037</v>
      </c>
      <c r="C305" s="1114">
        <v>50345</v>
      </c>
      <c r="D305" s="1744">
        <f>'Diciembre - 2019  '!$N$34+'Diciembre - 2019  '!$N$43</f>
        <v>104018642.60000001</v>
      </c>
      <c r="E305" s="1121">
        <f>'Diciembre - 2019  '!$N$54</f>
        <v>113809.99999999999</v>
      </c>
      <c r="F305" s="1745">
        <f t="shared" si="151"/>
        <v>104132452.60000001</v>
      </c>
      <c r="G305" s="1121">
        <f>'Diciembre - 2019  '!$M$33</f>
        <v>4753878.6400000006</v>
      </c>
      <c r="H305" s="1121">
        <f>'Diciembre - 2019  '!$M$54</f>
        <v>5690.5</v>
      </c>
      <c r="I305" s="1121">
        <f t="shared" si="152"/>
        <v>4759569.1400000006</v>
      </c>
      <c r="J305" s="2067">
        <f>'Diciembre - 2019  '!$H$22</f>
        <v>0.14799999999999999</v>
      </c>
      <c r="K305" s="2069">
        <f>'Diciembre - 2019  '!$I$22</f>
        <v>1.4200000000000001E-2</v>
      </c>
      <c r="L305" s="1104">
        <f t="shared" si="153"/>
        <v>30</v>
      </c>
      <c r="M305" s="1153">
        <v>31482867</v>
      </c>
      <c r="N305" s="1107">
        <f t="shared" si="154"/>
        <v>1049428.8999999999</v>
      </c>
      <c r="O305" s="1164">
        <f>'Diciembre - 2019  '!$I$22</f>
        <v>1.4200000000000001E-2</v>
      </c>
      <c r="P305" s="1118">
        <f t="shared" si="155"/>
        <v>5869182.201933383</v>
      </c>
      <c r="Q305" s="1118">
        <f>'Diciembre - 2019  '!$K$54</f>
        <v>6190010.4432046823</v>
      </c>
      <c r="R305" s="1117">
        <f>'Diciembre - 2019  '!$L$15</f>
        <v>0</v>
      </c>
      <c r="S305" s="1743">
        <f t="shared" si="156"/>
        <v>21.878546048392941</v>
      </c>
      <c r="T305" s="1753">
        <f>'Diciembre - 2019  '!$Z$89</f>
        <v>0</v>
      </c>
      <c r="U305" s="1107">
        <f>'Diciembre - 2019  '!$AA$89</f>
        <v>0</v>
      </c>
      <c r="V305" s="1107">
        <f t="shared" si="157"/>
        <v>0</v>
      </c>
      <c r="W305" s="1107" t="e">
        <f t="shared" si="158"/>
        <v>#VALUE!</v>
      </c>
      <c r="X305" s="1108">
        <f t="shared" si="159"/>
        <v>206333.68144015607</v>
      </c>
      <c r="Y305" s="1109">
        <f t="shared" si="160"/>
        <v>31482867</v>
      </c>
      <c r="Z305" s="1109">
        <f t="shared" si="161"/>
        <v>6190010.4432046823</v>
      </c>
      <c r="AA305" s="1110">
        <f t="shared" si="162"/>
        <v>25292856.556795318</v>
      </c>
      <c r="AB305" s="1119">
        <f t="shared" si="163"/>
        <v>0.19661520798613044</v>
      </c>
      <c r="AC305" s="1754">
        <f t="shared" si="164"/>
        <v>0.80338479201386959</v>
      </c>
    </row>
    <row r="306" spans="2:29" hidden="1" x14ac:dyDescent="0.25">
      <c r="B306" s="1113">
        <f t="shared" si="150"/>
        <v>2037</v>
      </c>
      <c r="C306" s="1114">
        <v>50375</v>
      </c>
      <c r="D306" s="1744">
        <f>'Diciembre - 2019  '!$N$34+'Diciembre - 2019  '!$N$43</f>
        <v>104018642.60000001</v>
      </c>
      <c r="E306" s="1121">
        <f>'Diciembre - 2019  '!$N$54</f>
        <v>113809.99999999999</v>
      </c>
      <c r="F306" s="1745">
        <f t="shared" si="151"/>
        <v>104132452.60000001</v>
      </c>
      <c r="G306" s="1121">
        <f>'Diciembre - 2019  '!$M$33</f>
        <v>4753878.6400000006</v>
      </c>
      <c r="H306" s="1121">
        <f>'Diciembre - 2019  '!$M$54</f>
        <v>5690.5</v>
      </c>
      <c r="I306" s="1121">
        <f t="shared" si="152"/>
        <v>4759569.1400000006</v>
      </c>
      <c r="J306" s="2067">
        <f>'Diciembre - 2019  '!$H$22</f>
        <v>0.14799999999999999</v>
      </c>
      <c r="K306" s="2069">
        <f>'Diciembre - 2019  '!$I$22</f>
        <v>1.4200000000000001E-2</v>
      </c>
      <c r="L306" s="1104">
        <f t="shared" si="153"/>
        <v>31</v>
      </c>
      <c r="M306" s="1153">
        <v>31482868</v>
      </c>
      <c r="N306" s="1107">
        <f t="shared" si="154"/>
        <v>1015576.3870967742</v>
      </c>
      <c r="O306" s="1164">
        <f>'Diciembre - 2019  '!$I$22</f>
        <v>1.4200000000000001E-2</v>
      </c>
      <c r="P306" s="1118">
        <f t="shared" si="155"/>
        <v>5869182.201933383</v>
      </c>
      <c r="Q306" s="1118">
        <f>'Diciembre - 2019  '!$K$54</f>
        <v>6190010.4432046823</v>
      </c>
      <c r="R306" s="1117">
        <f>'Diciembre - 2019  '!$L$15</f>
        <v>0</v>
      </c>
      <c r="S306" s="1743">
        <f t="shared" si="156"/>
        <v>21.878546048392941</v>
      </c>
      <c r="T306" s="1753">
        <f>'Diciembre - 2019  '!$Z$89</f>
        <v>0</v>
      </c>
      <c r="U306" s="1107">
        <f>'Diciembre - 2019  '!$AA$89</f>
        <v>0</v>
      </c>
      <c r="V306" s="1107">
        <f t="shared" si="157"/>
        <v>0</v>
      </c>
      <c r="W306" s="1107" t="e">
        <f t="shared" si="158"/>
        <v>#VALUE!</v>
      </c>
      <c r="X306" s="1108">
        <f t="shared" si="159"/>
        <v>199677.7562324091</v>
      </c>
      <c r="Y306" s="1109">
        <f t="shared" si="160"/>
        <v>31482868</v>
      </c>
      <c r="Z306" s="1109">
        <f t="shared" si="161"/>
        <v>6190010.4432046823</v>
      </c>
      <c r="AA306" s="1110">
        <f t="shared" si="162"/>
        <v>25292857.556795318</v>
      </c>
      <c r="AB306" s="1119">
        <f t="shared" si="163"/>
        <v>0.19661520174098124</v>
      </c>
      <c r="AC306" s="1754">
        <f t="shared" si="164"/>
        <v>0.80338479825901876</v>
      </c>
    </row>
    <row r="307" spans="2:29" hidden="1" x14ac:dyDescent="0.25">
      <c r="B307" s="1113">
        <f t="shared" si="150"/>
        <v>2038</v>
      </c>
      <c r="C307" s="1114">
        <v>50406</v>
      </c>
      <c r="D307" s="1744">
        <f>'Diciembre - 2019  '!$N$34+'Diciembre - 2019  '!$N$43</f>
        <v>104018642.60000001</v>
      </c>
      <c r="E307" s="1121">
        <f>'Diciembre - 2019  '!$N$54</f>
        <v>113809.99999999999</v>
      </c>
      <c r="F307" s="1745">
        <f t="shared" si="151"/>
        <v>104132452.60000001</v>
      </c>
      <c r="G307" s="1121">
        <f>'Diciembre - 2019  '!$M$33</f>
        <v>4753878.6400000006</v>
      </c>
      <c r="H307" s="1121">
        <f>'Diciembre - 2019  '!$M$54</f>
        <v>5690.5</v>
      </c>
      <c r="I307" s="1121">
        <f t="shared" si="152"/>
        <v>4759569.1400000006</v>
      </c>
      <c r="J307" s="2067">
        <f>'Diciembre - 2019  '!$H$22</f>
        <v>0.14799999999999999</v>
      </c>
      <c r="K307" s="2069">
        <f>'Diciembre - 2019  '!$I$22</f>
        <v>1.4200000000000001E-2</v>
      </c>
      <c r="L307" s="1104">
        <f t="shared" si="153"/>
        <v>31</v>
      </c>
      <c r="M307" s="1153">
        <v>31482869</v>
      </c>
      <c r="N307" s="1107">
        <f t="shared" si="154"/>
        <v>1015576.4193548387</v>
      </c>
      <c r="O307" s="1164">
        <f>'Diciembre - 2019  '!$I$22</f>
        <v>1.4200000000000001E-2</v>
      </c>
      <c r="P307" s="1118">
        <f t="shared" si="155"/>
        <v>5869182.201933383</v>
      </c>
      <c r="Q307" s="1118">
        <f>'Diciembre - 2019  '!$K$54</f>
        <v>6190010.4432046823</v>
      </c>
      <c r="R307" s="1117">
        <f>'Diciembre - 2019  '!$L$15</f>
        <v>0</v>
      </c>
      <c r="S307" s="1743">
        <f t="shared" si="156"/>
        <v>21.878546048392941</v>
      </c>
      <c r="T307" s="1753">
        <f>'Diciembre - 2019  '!$Z$89</f>
        <v>0</v>
      </c>
      <c r="U307" s="1107">
        <f>'Diciembre - 2019  '!$AA$89</f>
        <v>0</v>
      </c>
      <c r="V307" s="1107">
        <f t="shared" si="157"/>
        <v>0</v>
      </c>
      <c r="W307" s="1107" t="e">
        <f t="shared" si="158"/>
        <v>#VALUE!</v>
      </c>
      <c r="X307" s="1108">
        <f t="shared" si="159"/>
        <v>199677.7562324091</v>
      </c>
      <c r="Y307" s="1109">
        <f t="shared" si="160"/>
        <v>31482869</v>
      </c>
      <c r="Z307" s="1109">
        <f t="shared" si="161"/>
        <v>6190010.4432046823</v>
      </c>
      <c r="AA307" s="1110">
        <f t="shared" si="162"/>
        <v>25292858.556795318</v>
      </c>
      <c r="AB307" s="1119">
        <f t="shared" si="163"/>
        <v>0.19661519549583242</v>
      </c>
      <c r="AC307" s="1754">
        <f t="shared" si="164"/>
        <v>0.8033848045041676</v>
      </c>
    </row>
    <row r="308" spans="2:29" hidden="1" x14ac:dyDescent="0.25">
      <c r="B308" s="1113">
        <f t="shared" si="150"/>
        <v>2038</v>
      </c>
      <c r="C308" s="1114">
        <v>50437</v>
      </c>
      <c r="D308" s="1744">
        <f>'Diciembre - 2019  '!$N$34+'Diciembre - 2019  '!$N$43</f>
        <v>104018642.60000001</v>
      </c>
      <c r="E308" s="1121">
        <f>'Diciembre - 2019  '!$N$54</f>
        <v>113809.99999999999</v>
      </c>
      <c r="F308" s="1745">
        <f t="shared" si="151"/>
        <v>104132452.60000001</v>
      </c>
      <c r="G308" s="1121">
        <f>'Diciembre - 2019  '!$M$33</f>
        <v>4753878.6400000006</v>
      </c>
      <c r="H308" s="1121">
        <f>'Diciembre - 2019  '!$M$54</f>
        <v>5690.5</v>
      </c>
      <c r="I308" s="1121">
        <f t="shared" si="152"/>
        <v>4759569.1400000006</v>
      </c>
      <c r="J308" s="2067">
        <f>'Diciembre - 2019  '!$H$22</f>
        <v>0.14799999999999999</v>
      </c>
      <c r="K308" s="2069">
        <f>'Diciembre - 2019  '!$I$22</f>
        <v>1.4200000000000001E-2</v>
      </c>
      <c r="L308" s="1104">
        <f t="shared" si="153"/>
        <v>28</v>
      </c>
      <c r="M308" s="1153">
        <v>31482870</v>
      </c>
      <c r="N308" s="1107">
        <f t="shared" si="154"/>
        <v>1124388.2142857143</v>
      </c>
      <c r="O308" s="1164">
        <f>'Diciembre - 2019  '!$I$22</f>
        <v>1.4200000000000001E-2</v>
      </c>
      <c r="P308" s="1118">
        <f t="shared" si="155"/>
        <v>5869182.201933383</v>
      </c>
      <c r="Q308" s="1118">
        <f>'Diciembre - 2019  '!$K$54</f>
        <v>6190010.4432046823</v>
      </c>
      <c r="R308" s="1117">
        <f>'Diciembre - 2019  '!$L$15</f>
        <v>0</v>
      </c>
      <c r="S308" s="1743">
        <f t="shared" si="156"/>
        <v>21.878546048392941</v>
      </c>
      <c r="T308" s="1753">
        <f>'Diciembre - 2019  '!$Z$89</f>
        <v>0</v>
      </c>
      <c r="U308" s="1107">
        <f>'Diciembre - 2019  '!$AA$89</f>
        <v>0</v>
      </c>
      <c r="V308" s="1107">
        <f t="shared" si="157"/>
        <v>0</v>
      </c>
      <c r="W308" s="1107" t="e">
        <f t="shared" si="158"/>
        <v>#VALUE!</v>
      </c>
      <c r="X308" s="1108">
        <f t="shared" si="159"/>
        <v>221071.80154302437</v>
      </c>
      <c r="Y308" s="1109">
        <f t="shared" si="160"/>
        <v>31482870</v>
      </c>
      <c r="Z308" s="1109">
        <f t="shared" si="161"/>
        <v>6190010.4432046823</v>
      </c>
      <c r="AA308" s="1110">
        <f t="shared" si="162"/>
        <v>25292859.556795318</v>
      </c>
      <c r="AB308" s="1119">
        <f t="shared" si="163"/>
        <v>0.19661518925068402</v>
      </c>
      <c r="AC308" s="1754">
        <f t="shared" si="164"/>
        <v>0.803384810749316</v>
      </c>
    </row>
    <row r="309" spans="2:29" hidden="1" x14ac:dyDescent="0.25">
      <c r="B309" s="1113">
        <f t="shared" si="150"/>
        <v>2038</v>
      </c>
      <c r="C309" s="1114">
        <v>50465</v>
      </c>
      <c r="D309" s="1744">
        <f>'Diciembre - 2019  '!$N$34+'Diciembre - 2019  '!$N$43</f>
        <v>104018642.60000001</v>
      </c>
      <c r="E309" s="1121">
        <f>'Diciembre - 2019  '!$N$54</f>
        <v>113809.99999999999</v>
      </c>
      <c r="F309" s="1745">
        <f t="shared" si="151"/>
        <v>104132452.60000001</v>
      </c>
      <c r="G309" s="1121">
        <f>'Diciembre - 2019  '!$M$33</f>
        <v>4753878.6400000006</v>
      </c>
      <c r="H309" s="1121">
        <f>'Diciembre - 2019  '!$M$54</f>
        <v>5690.5</v>
      </c>
      <c r="I309" s="1121">
        <f t="shared" si="152"/>
        <v>4759569.1400000006</v>
      </c>
      <c r="J309" s="2067">
        <f>'Diciembre - 2019  '!$H$22</f>
        <v>0.14799999999999999</v>
      </c>
      <c r="K309" s="2069">
        <f>'Diciembre - 2019  '!$I$22</f>
        <v>1.4200000000000001E-2</v>
      </c>
      <c r="L309" s="1104">
        <f t="shared" si="153"/>
        <v>31</v>
      </c>
      <c r="M309" s="1153">
        <v>31482871</v>
      </c>
      <c r="N309" s="1107">
        <f t="shared" si="154"/>
        <v>1015576.4838709678</v>
      </c>
      <c r="O309" s="1164">
        <f>'Diciembre - 2019  '!$I$22</f>
        <v>1.4200000000000001E-2</v>
      </c>
      <c r="P309" s="1118">
        <f t="shared" si="155"/>
        <v>5869182.201933383</v>
      </c>
      <c r="Q309" s="1118">
        <f>'Diciembre - 2019  '!$K$54</f>
        <v>6190010.4432046823</v>
      </c>
      <c r="R309" s="1117">
        <f>'Diciembre - 2019  '!$L$15</f>
        <v>0</v>
      </c>
      <c r="S309" s="1743">
        <f t="shared" si="156"/>
        <v>21.878546048392941</v>
      </c>
      <c r="T309" s="1753">
        <f>'Diciembre - 2019  '!$Z$89</f>
        <v>0</v>
      </c>
      <c r="U309" s="1107">
        <f>'Diciembre - 2019  '!$AA$89</f>
        <v>0</v>
      </c>
      <c r="V309" s="1107">
        <f t="shared" si="157"/>
        <v>0</v>
      </c>
      <c r="W309" s="1107" t="e">
        <f t="shared" si="158"/>
        <v>#VALUE!</v>
      </c>
      <c r="X309" s="1108">
        <f t="shared" si="159"/>
        <v>199677.7562324091</v>
      </c>
      <c r="Y309" s="1109">
        <f t="shared" si="160"/>
        <v>31482871</v>
      </c>
      <c r="Z309" s="1109">
        <f t="shared" si="161"/>
        <v>6190010.4432046823</v>
      </c>
      <c r="AA309" s="1110">
        <f t="shared" si="162"/>
        <v>25292860.556795318</v>
      </c>
      <c r="AB309" s="1119">
        <f t="shared" si="163"/>
        <v>0.19661518300553602</v>
      </c>
      <c r="AC309" s="1754">
        <f t="shared" si="164"/>
        <v>0.80338481699446396</v>
      </c>
    </row>
    <row r="310" spans="2:29" hidden="1" x14ac:dyDescent="0.25">
      <c r="B310" s="1113">
        <f t="shared" si="150"/>
        <v>2038</v>
      </c>
      <c r="C310" s="1114">
        <v>50496</v>
      </c>
      <c r="D310" s="1744">
        <f>'Diciembre - 2019  '!$N$34+'Diciembre - 2019  '!$N$43</f>
        <v>104018642.60000001</v>
      </c>
      <c r="E310" s="1121">
        <f>'Diciembre - 2019  '!$N$54</f>
        <v>113809.99999999999</v>
      </c>
      <c r="F310" s="1745">
        <f t="shared" si="151"/>
        <v>104132452.60000001</v>
      </c>
      <c r="G310" s="1121">
        <f>'Diciembre - 2019  '!$M$33</f>
        <v>4753878.6400000006</v>
      </c>
      <c r="H310" s="1121">
        <f>'Diciembre - 2019  '!$M$54</f>
        <v>5690.5</v>
      </c>
      <c r="I310" s="1121">
        <f t="shared" si="152"/>
        <v>4759569.1400000006</v>
      </c>
      <c r="J310" s="2067">
        <f>'Diciembre - 2019  '!$H$22</f>
        <v>0.14799999999999999</v>
      </c>
      <c r="K310" s="2069">
        <f>'Diciembre - 2019  '!$I$22</f>
        <v>1.4200000000000001E-2</v>
      </c>
      <c r="L310" s="1104">
        <f t="shared" si="153"/>
        <v>30</v>
      </c>
      <c r="M310" s="1153">
        <v>31482872</v>
      </c>
      <c r="N310" s="1107">
        <f t="shared" si="154"/>
        <v>1049429.0666666667</v>
      </c>
      <c r="O310" s="1164">
        <f>'Diciembre - 2019  '!$I$22</f>
        <v>1.4200000000000001E-2</v>
      </c>
      <c r="P310" s="1118">
        <f t="shared" si="155"/>
        <v>5869182.201933383</v>
      </c>
      <c r="Q310" s="1118">
        <f>'Diciembre - 2019  '!$K$54</f>
        <v>6190010.4432046823</v>
      </c>
      <c r="R310" s="1117">
        <f>'Diciembre - 2019  '!$L$15</f>
        <v>0</v>
      </c>
      <c r="S310" s="1743">
        <f t="shared" si="156"/>
        <v>21.878546048392941</v>
      </c>
      <c r="T310" s="1753">
        <f>'Diciembre - 2019  '!$Z$89</f>
        <v>0</v>
      </c>
      <c r="U310" s="1107">
        <f>'Diciembre - 2019  '!$AA$89</f>
        <v>0</v>
      </c>
      <c r="V310" s="1107">
        <f t="shared" si="157"/>
        <v>0</v>
      </c>
      <c r="W310" s="1107" t="e">
        <f t="shared" si="158"/>
        <v>#VALUE!</v>
      </c>
      <c r="X310" s="1108">
        <f t="shared" si="159"/>
        <v>206333.68144015607</v>
      </c>
      <c r="Y310" s="1109">
        <f t="shared" si="160"/>
        <v>31482872</v>
      </c>
      <c r="Z310" s="1109">
        <f t="shared" si="161"/>
        <v>6190010.4432046823</v>
      </c>
      <c r="AA310" s="1110">
        <f t="shared" si="162"/>
        <v>25292861.556795318</v>
      </c>
      <c r="AB310" s="1119">
        <f t="shared" si="163"/>
        <v>0.19661517676038839</v>
      </c>
      <c r="AC310" s="1754">
        <f t="shared" si="164"/>
        <v>0.80338482323961158</v>
      </c>
    </row>
    <row r="311" spans="2:29" hidden="1" x14ac:dyDescent="0.25">
      <c r="B311" s="1113">
        <f t="shared" si="150"/>
        <v>2038</v>
      </c>
      <c r="C311" s="1114">
        <v>50526</v>
      </c>
      <c r="D311" s="1744">
        <f>'Diciembre - 2019  '!$N$34+'Diciembre - 2019  '!$N$43</f>
        <v>104018642.60000001</v>
      </c>
      <c r="E311" s="1121">
        <f>'Diciembre - 2019  '!$N$54</f>
        <v>113809.99999999999</v>
      </c>
      <c r="F311" s="1745">
        <f t="shared" si="151"/>
        <v>104132452.60000001</v>
      </c>
      <c r="G311" s="1121">
        <f>'Diciembre - 2019  '!$M$33</f>
        <v>4753878.6400000006</v>
      </c>
      <c r="H311" s="1121">
        <f>'Diciembre - 2019  '!$M$54</f>
        <v>5690.5</v>
      </c>
      <c r="I311" s="1121">
        <f t="shared" si="152"/>
        <v>4759569.1400000006</v>
      </c>
      <c r="J311" s="2067">
        <f>'Diciembre - 2019  '!$H$22</f>
        <v>0.14799999999999999</v>
      </c>
      <c r="K311" s="2069">
        <f>'Diciembre - 2019  '!$I$22</f>
        <v>1.4200000000000001E-2</v>
      </c>
      <c r="L311" s="1104">
        <f t="shared" si="153"/>
        <v>31</v>
      </c>
      <c r="M311" s="1153">
        <v>31482873</v>
      </c>
      <c r="N311" s="1107">
        <f t="shared" si="154"/>
        <v>1015576.5483870967</v>
      </c>
      <c r="O311" s="1164">
        <f>'Diciembre - 2019  '!$I$22</f>
        <v>1.4200000000000001E-2</v>
      </c>
      <c r="P311" s="1118">
        <f t="shared" si="155"/>
        <v>5869182.201933383</v>
      </c>
      <c r="Q311" s="1118">
        <f>'Diciembre - 2019  '!$K$54</f>
        <v>6190010.4432046823</v>
      </c>
      <c r="R311" s="1117">
        <f>'Diciembre - 2019  '!$L$15</f>
        <v>0</v>
      </c>
      <c r="S311" s="1743">
        <f t="shared" si="156"/>
        <v>21.878546048392941</v>
      </c>
      <c r="T311" s="1753">
        <f>'Diciembre - 2019  '!$Z$89</f>
        <v>0</v>
      </c>
      <c r="U311" s="1107">
        <f>'Diciembre - 2019  '!$AA$89</f>
        <v>0</v>
      </c>
      <c r="V311" s="1107">
        <f t="shared" si="157"/>
        <v>0</v>
      </c>
      <c r="W311" s="1107" t="e">
        <f t="shared" si="158"/>
        <v>#VALUE!</v>
      </c>
      <c r="X311" s="1108">
        <f t="shared" si="159"/>
        <v>199677.7562324091</v>
      </c>
      <c r="Y311" s="1109">
        <f t="shared" si="160"/>
        <v>31482873</v>
      </c>
      <c r="Z311" s="1109">
        <f t="shared" si="161"/>
        <v>6190010.4432046823</v>
      </c>
      <c r="AA311" s="1110">
        <f t="shared" si="162"/>
        <v>25292862.556795318</v>
      </c>
      <c r="AB311" s="1119">
        <f t="shared" si="163"/>
        <v>0.19661517051524116</v>
      </c>
      <c r="AC311" s="1754">
        <f t="shared" si="164"/>
        <v>0.80338482948475887</v>
      </c>
    </row>
    <row r="312" spans="2:29" hidden="1" x14ac:dyDescent="0.25">
      <c r="B312" s="1113">
        <f t="shared" si="150"/>
        <v>2038</v>
      </c>
      <c r="C312" s="1114">
        <v>50557</v>
      </c>
      <c r="D312" s="1744">
        <f>'Diciembre - 2019  '!$N$34+'Diciembre - 2019  '!$N$43</f>
        <v>104018642.60000001</v>
      </c>
      <c r="E312" s="1121">
        <f>'Diciembre - 2019  '!$N$54</f>
        <v>113809.99999999999</v>
      </c>
      <c r="F312" s="1745">
        <f t="shared" si="151"/>
        <v>104132452.60000001</v>
      </c>
      <c r="G312" s="1121">
        <f>'Diciembre - 2019  '!$M$33</f>
        <v>4753878.6400000006</v>
      </c>
      <c r="H312" s="1121">
        <f>'Diciembre - 2019  '!$M$54</f>
        <v>5690.5</v>
      </c>
      <c r="I312" s="1121">
        <f t="shared" si="152"/>
        <v>4759569.1400000006</v>
      </c>
      <c r="J312" s="2067">
        <f>'Diciembre - 2019  '!$H$22</f>
        <v>0.14799999999999999</v>
      </c>
      <c r="K312" s="2069">
        <f>'Diciembre - 2019  '!$I$22</f>
        <v>1.4200000000000001E-2</v>
      </c>
      <c r="L312" s="1104">
        <f t="shared" si="153"/>
        <v>30</v>
      </c>
      <c r="M312" s="1153">
        <v>31482874</v>
      </c>
      <c r="N312" s="1107">
        <f t="shared" si="154"/>
        <v>1049429.1333333333</v>
      </c>
      <c r="O312" s="1164">
        <f>'Diciembre - 2019  '!$I$22</f>
        <v>1.4200000000000001E-2</v>
      </c>
      <c r="P312" s="1118">
        <f t="shared" si="155"/>
        <v>5869182.201933383</v>
      </c>
      <c r="Q312" s="1118">
        <f>'Diciembre - 2019  '!$K$54</f>
        <v>6190010.4432046823</v>
      </c>
      <c r="R312" s="1117">
        <f>'Diciembre - 2019  '!$L$15</f>
        <v>0</v>
      </c>
      <c r="S312" s="1743">
        <f t="shared" si="156"/>
        <v>21.878546048392941</v>
      </c>
      <c r="T312" s="1753">
        <f>'Diciembre - 2019  '!$Z$89</f>
        <v>0</v>
      </c>
      <c r="U312" s="1107">
        <f>'Diciembre - 2019  '!$AA$89</f>
        <v>0</v>
      </c>
      <c r="V312" s="1107">
        <f t="shared" si="157"/>
        <v>0</v>
      </c>
      <c r="W312" s="1107" t="e">
        <f t="shared" si="158"/>
        <v>#VALUE!</v>
      </c>
      <c r="X312" s="1108">
        <f t="shared" si="159"/>
        <v>206333.68144015607</v>
      </c>
      <c r="Y312" s="1109">
        <f t="shared" si="160"/>
        <v>31482874</v>
      </c>
      <c r="Z312" s="1109">
        <f t="shared" si="161"/>
        <v>6190010.4432046823</v>
      </c>
      <c r="AA312" s="1110">
        <f t="shared" si="162"/>
        <v>25292863.556795318</v>
      </c>
      <c r="AB312" s="1119">
        <f t="shared" si="163"/>
        <v>0.19661516427009434</v>
      </c>
      <c r="AC312" s="1754">
        <f t="shared" si="164"/>
        <v>0.8033848357299056</v>
      </c>
    </row>
    <row r="313" spans="2:29" ht="16.5" hidden="1" thickBot="1" x14ac:dyDescent="0.3">
      <c r="B313" s="1133">
        <f t="shared" si="150"/>
        <v>2038</v>
      </c>
      <c r="C313" s="1134">
        <v>50587</v>
      </c>
      <c r="D313" s="1744">
        <f>'Diciembre - 2019  '!$N$34+'Diciembre - 2019  '!$N$43</f>
        <v>104018642.60000001</v>
      </c>
      <c r="E313" s="1121">
        <f>'Diciembre - 2019  '!$N$54</f>
        <v>113809.99999999999</v>
      </c>
      <c r="F313" s="1745">
        <f t="shared" si="151"/>
        <v>104132452.60000001</v>
      </c>
      <c r="G313" s="1121">
        <f>'Diciembre - 2019  '!$M$33</f>
        <v>4753878.6400000006</v>
      </c>
      <c r="H313" s="1121">
        <f>'Diciembre - 2019  '!$M$54</f>
        <v>5690.5</v>
      </c>
      <c r="I313" s="1121">
        <f t="shared" si="152"/>
        <v>4759569.1400000006</v>
      </c>
      <c r="J313" s="2067">
        <f>'Diciembre - 2019  '!$H$22</f>
        <v>0.14799999999999999</v>
      </c>
      <c r="K313" s="2069">
        <f>'Diciembre - 2019  '!$I$22</f>
        <v>1.4200000000000001E-2</v>
      </c>
      <c r="L313" s="1104">
        <f t="shared" si="153"/>
        <v>-50587</v>
      </c>
      <c r="M313" s="1153">
        <v>31482875</v>
      </c>
      <c r="N313" s="1107">
        <f t="shared" si="154"/>
        <v>-622.35109810820961</v>
      </c>
      <c r="O313" s="1164">
        <f>'Diciembre - 2019  '!$I$22</f>
        <v>1.4200000000000001E-2</v>
      </c>
      <c r="P313" s="1118">
        <f t="shared" si="155"/>
        <v>5869182.201933383</v>
      </c>
      <c r="Q313" s="1118">
        <f>'Diciembre - 2019  '!$K$54</f>
        <v>6190010.4432046823</v>
      </c>
      <c r="R313" s="1117">
        <f>'Diciembre - 2019  '!$L$15</f>
        <v>0</v>
      </c>
      <c r="S313" s="1743">
        <f t="shared" si="156"/>
        <v>21.878546048392941</v>
      </c>
      <c r="T313" s="1753">
        <f>'Diciembre - 2019  '!$Z$89</f>
        <v>0</v>
      </c>
      <c r="U313" s="1107">
        <f>'Diciembre - 2019  '!$AA$89</f>
        <v>0</v>
      </c>
      <c r="V313" s="1107">
        <f t="shared" si="157"/>
        <v>0</v>
      </c>
      <c r="W313" s="1107" t="e">
        <f t="shared" si="158"/>
        <v>#VALUE!</v>
      </c>
      <c r="X313" s="1108">
        <f t="shared" si="159"/>
        <v>-122.3636595015455</v>
      </c>
      <c r="Y313" s="1109">
        <f t="shared" si="160"/>
        <v>31482875</v>
      </c>
      <c r="Z313" s="1109">
        <f t="shared" si="161"/>
        <v>6190010.4432046823</v>
      </c>
      <c r="AA313" s="1110">
        <f t="shared" si="162"/>
        <v>25292864.556795318</v>
      </c>
      <c r="AB313" s="1119">
        <f t="shared" si="163"/>
        <v>0.19661515802494792</v>
      </c>
      <c r="AC313" s="1754">
        <f t="shared" si="164"/>
        <v>0.80338484197505211</v>
      </c>
    </row>
    <row r="314" spans="2:29" hidden="1" x14ac:dyDescent="0.25">
      <c r="D314" s="1744">
        <f>'Diciembre - 2019  '!$N$34+'Diciembre - 2019  '!$N$43</f>
        <v>104018642.60000001</v>
      </c>
      <c r="E314" s="1121">
        <f>'Diciembre - 2019  '!$N$54</f>
        <v>113809.99999999999</v>
      </c>
      <c r="F314" s="1745">
        <f t="shared" si="151"/>
        <v>104132452.60000001</v>
      </c>
      <c r="G314" s="1121">
        <f>'Diciembre - 2019  '!$M$33</f>
        <v>4753878.6400000006</v>
      </c>
      <c r="H314" s="1121">
        <f>'Diciembre - 2019  '!$M$54</f>
        <v>5690.5</v>
      </c>
      <c r="I314" s="1121">
        <f t="shared" si="152"/>
        <v>4759569.1400000006</v>
      </c>
      <c r="J314" s="2067">
        <f>'Diciembre - 2019  '!$H$22</f>
        <v>0.14799999999999999</v>
      </c>
      <c r="K314" s="2069">
        <f>'Diciembre - 2019  '!$I$22</f>
        <v>1.4200000000000001E-2</v>
      </c>
      <c r="L314" s="1104">
        <f t="shared" si="153"/>
        <v>0</v>
      </c>
      <c r="M314" s="1153">
        <v>31482876</v>
      </c>
      <c r="N314" s="1107">
        <f t="shared" si="154"/>
        <v>0</v>
      </c>
      <c r="O314" s="1164">
        <f>'Diciembre - 2019  '!$I$22</f>
        <v>1.4200000000000001E-2</v>
      </c>
      <c r="P314" s="1118">
        <f t="shared" si="155"/>
        <v>5869182.201933383</v>
      </c>
      <c r="Q314" s="1118">
        <f>'Diciembre - 2019  '!$K$54</f>
        <v>6190010.4432046823</v>
      </c>
      <c r="R314" s="1117">
        <f>'Diciembre - 2019  '!$L$15</f>
        <v>0</v>
      </c>
      <c r="S314" s="1743">
        <f t="shared" si="156"/>
        <v>21.878546048392941</v>
      </c>
      <c r="T314" s="1753">
        <f>'Diciembre - 2019  '!$Z$89</f>
        <v>0</v>
      </c>
      <c r="U314" s="1107">
        <f>'Diciembre - 2019  '!$AA$89</f>
        <v>0</v>
      </c>
      <c r="V314" s="1107">
        <f t="shared" si="157"/>
        <v>0</v>
      </c>
      <c r="W314" s="1107" t="e">
        <f t="shared" si="158"/>
        <v>#VALUE!</v>
      </c>
      <c r="X314" s="1108" t="e">
        <f t="shared" si="159"/>
        <v>#DIV/0!</v>
      </c>
      <c r="Y314" s="1109">
        <f t="shared" si="160"/>
        <v>31482876</v>
      </c>
      <c r="Z314" s="1109">
        <f t="shared" si="161"/>
        <v>6190010.4432046823</v>
      </c>
      <c r="AA314" s="1110">
        <f t="shared" si="162"/>
        <v>25292865.556795318</v>
      </c>
      <c r="AB314" s="1119">
        <f t="shared" si="163"/>
        <v>0.19661515177980191</v>
      </c>
      <c r="AC314" s="1754">
        <f t="shared" si="164"/>
        <v>0.80338484822019807</v>
      </c>
    </row>
    <row r="315" spans="2:29" hidden="1" x14ac:dyDescent="0.25">
      <c r="D315" s="1744">
        <f>'Diciembre - 2019  '!$N$34+'Diciembre - 2019  '!$N$43</f>
        <v>104018642.60000001</v>
      </c>
      <c r="E315" s="1121">
        <f>'Diciembre - 2019  '!$N$54</f>
        <v>113809.99999999999</v>
      </c>
      <c r="F315" s="1745">
        <f t="shared" si="151"/>
        <v>104132452.60000001</v>
      </c>
      <c r="G315" s="1121">
        <f>'Diciembre - 2019  '!$M$33</f>
        <v>4753878.6400000006</v>
      </c>
      <c r="H315" s="1121">
        <f>'Diciembre - 2019  '!$M$54</f>
        <v>5690.5</v>
      </c>
      <c r="I315" s="1121">
        <f t="shared" si="152"/>
        <v>4759569.1400000006</v>
      </c>
      <c r="J315" s="2067">
        <f>'Diciembre - 2019  '!$H$22</f>
        <v>0.14799999999999999</v>
      </c>
      <c r="K315" s="2069">
        <f>'Diciembre - 2019  '!$I$22</f>
        <v>1.4200000000000001E-2</v>
      </c>
      <c r="L315" s="1104">
        <f t="shared" si="153"/>
        <v>0</v>
      </c>
      <c r="M315" s="1153">
        <v>31482877</v>
      </c>
      <c r="N315" s="1107">
        <f t="shared" si="154"/>
        <v>0</v>
      </c>
      <c r="O315" s="1164">
        <f>'Diciembre - 2019  '!$I$22</f>
        <v>1.4200000000000001E-2</v>
      </c>
      <c r="P315" s="1118">
        <f t="shared" si="155"/>
        <v>5869182.201933383</v>
      </c>
      <c r="Q315" s="1118">
        <f>'Diciembre - 2019  '!$K$54</f>
        <v>6190010.4432046823</v>
      </c>
      <c r="R315" s="1117">
        <f>'Diciembre - 2019  '!$L$15</f>
        <v>0</v>
      </c>
      <c r="S315" s="1743">
        <f t="shared" si="156"/>
        <v>21.878546048392941</v>
      </c>
      <c r="T315" s="1753">
        <f>'Diciembre - 2019  '!$Z$89</f>
        <v>0</v>
      </c>
      <c r="U315" s="1107">
        <f>'Diciembre - 2019  '!$AA$89</f>
        <v>0</v>
      </c>
      <c r="V315" s="1107">
        <f t="shared" si="157"/>
        <v>0</v>
      </c>
      <c r="W315" s="1107" t="e">
        <f t="shared" si="158"/>
        <v>#VALUE!</v>
      </c>
      <c r="X315" s="1108" t="e">
        <f t="shared" si="159"/>
        <v>#DIV/0!</v>
      </c>
      <c r="Y315" s="1109">
        <f t="shared" si="160"/>
        <v>31482877</v>
      </c>
      <c r="Z315" s="1109">
        <f t="shared" si="161"/>
        <v>6190010.4432046823</v>
      </c>
      <c r="AA315" s="1110">
        <f t="shared" si="162"/>
        <v>25292866.556795318</v>
      </c>
      <c r="AB315" s="1119">
        <f t="shared" si="163"/>
        <v>0.19661514553465625</v>
      </c>
      <c r="AC315" s="1754">
        <f t="shared" si="164"/>
        <v>0.80338485446534369</v>
      </c>
    </row>
    <row r="316" spans="2:29" hidden="1" x14ac:dyDescent="0.25">
      <c r="D316" s="1744">
        <f>'Diciembre - 2019  '!$N$34+'Diciembre - 2019  '!$N$43</f>
        <v>104018642.60000001</v>
      </c>
      <c r="E316" s="1121">
        <f>'Diciembre - 2019  '!$N$54</f>
        <v>113809.99999999999</v>
      </c>
      <c r="F316" s="1745">
        <f t="shared" si="151"/>
        <v>104132452.60000001</v>
      </c>
      <c r="G316" s="1121">
        <f>'Diciembre - 2019  '!$M$33</f>
        <v>4753878.6400000006</v>
      </c>
      <c r="H316" s="1121">
        <f>'Diciembre - 2019  '!$M$54</f>
        <v>5690.5</v>
      </c>
      <c r="I316" s="1121">
        <f t="shared" si="152"/>
        <v>4759569.1400000006</v>
      </c>
      <c r="J316" s="2067">
        <f>'Diciembre - 2019  '!$H$22</f>
        <v>0.14799999999999999</v>
      </c>
      <c r="K316" s="2069">
        <f>'Diciembre - 2019  '!$I$22</f>
        <v>1.4200000000000001E-2</v>
      </c>
      <c r="L316" s="1104">
        <f t="shared" si="153"/>
        <v>0</v>
      </c>
      <c r="M316" s="1153">
        <v>31482878</v>
      </c>
      <c r="N316" s="1107">
        <f t="shared" si="154"/>
        <v>0</v>
      </c>
      <c r="O316" s="1164">
        <f>'Diciembre - 2019  '!$I$22</f>
        <v>1.4200000000000001E-2</v>
      </c>
      <c r="P316" s="1118">
        <f t="shared" si="155"/>
        <v>5869182.201933383</v>
      </c>
      <c r="Q316" s="1118">
        <f>'Diciembre - 2019  '!$K$54</f>
        <v>6190010.4432046823</v>
      </c>
      <c r="R316" s="1117">
        <f>'Diciembre - 2019  '!$L$15</f>
        <v>0</v>
      </c>
      <c r="S316" s="1743">
        <f t="shared" si="156"/>
        <v>21.878546048392941</v>
      </c>
      <c r="T316" s="1753">
        <f>'Diciembre - 2019  '!$Z$89</f>
        <v>0</v>
      </c>
      <c r="U316" s="1107">
        <f>'Diciembre - 2019  '!$AA$89</f>
        <v>0</v>
      </c>
      <c r="V316" s="1107">
        <f t="shared" si="157"/>
        <v>0</v>
      </c>
      <c r="W316" s="1107" t="e">
        <f t="shared" si="158"/>
        <v>#VALUE!</v>
      </c>
      <c r="X316" s="1108" t="e">
        <f t="shared" si="159"/>
        <v>#DIV/0!</v>
      </c>
      <c r="Y316" s="1109">
        <f t="shared" si="160"/>
        <v>31482878</v>
      </c>
      <c r="Z316" s="1109">
        <f t="shared" si="161"/>
        <v>6190010.4432046823</v>
      </c>
      <c r="AA316" s="1110">
        <f t="shared" si="162"/>
        <v>25292867.556795318</v>
      </c>
      <c r="AB316" s="1119">
        <f t="shared" si="163"/>
        <v>0.19661513928951102</v>
      </c>
      <c r="AC316" s="1754">
        <f t="shared" si="164"/>
        <v>0.80338486071048898</v>
      </c>
    </row>
    <row r="317" spans="2:29" hidden="1" x14ac:dyDescent="0.25">
      <c r="D317" s="1744">
        <f>'Diciembre - 2019  '!$N$34+'Diciembre - 2019  '!$N$43</f>
        <v>104018642.60000001</v>
      </c>
      <c r="E317" s="1121">
        <f>'Diciembre - 2019  '!$N$54</f>
        <v>113809.99999999999</v>
      </c>
      <c r="F317" s="1745">
        <f t="shared" si="151"/>
        <v>104132452.60000001</v>
      </c>
      <c r="G317" s="1121">
        <f>'Diciembre - 2019  '!$M$33</f>
        <v>4753878.6400000006</v>
      </c>
      <c r="H317" s="1121">
        <f>'Diciembre - 2019  '!$M$54</f>
        <v>5690.5</v>
      </c>
      <c r="I317" s="1121">
        <f t="shared" si="152"/>
        <v>4759569.1400000006</v>
      </c>
      <c r="J317" s="2067">
        <f>'Diciembre - 2019  '!$H$22</f>
        <v>0.14799999999999999</v>
      </c>
      <c r="K317" s="2069">
        <f>'Diciembre - 2019  '!$I$22</f>
        <v>1.4200000000000001E-2</v>
      </c>
      <c r="L317" s="1104">
        <f t="shared" si="153"/>
        <v>0</v>
      </c>
      <c r="M317" s="1153">
        <v>31482879</v>
      </c>
      <c r="N317" s="1107">
        <f t="shared" si="154"/>
        <v>0</v>
      </c>
      <c r="O317" s="1164">
        <f>'Diciembre - 2019  '!$I$22</f>
        <v>1.4200000000000001E-2</v>
      </c>
      <c r="P317" s="1118">
        <f t="shared" si="155"/>
        <v>5869182.201933383</v>
      </c>
      <c r="Q317" s="1118">
        <f>'Diciembre - 2019  '!$K$54</f>
        <v>6190010.4432046823</v>
      </c>
      <c r="R317" s="1117">
        <f>'Diciembre - 2019  '!$L$15</f>
        <v>0</v>
      </c>
      <c r="S317" s="1743">
        <f t="shared" si="156"/>
        <v>21.878546048392941</v>
      </c>
      <c r="T317" s="1753">
        <f>'Diciembre - 2019  '!$Z$89</f>
        <v>0</v>
      </c>
      <c r="U317" s="1107">
        <f>'Diciembre - 2019  '!$AA$89</f>
        <v>0</v>
      </c>
      <c r="V317" s="1107">
        <f t="shared" si="157"/>
        <v>0</v>
      </c>
      <c r="W317" s="1107" t="e">
        <f t="shared" si="158"/>
        <v>#VALUE!</v>
      </c>
      <c r="X317" s="1108" t="e">
        <f t="shared" si="159"/>
        <v>#DIV/0!</v>
      </c>
      <c r="Y317" s="1109">
        <f t="shared" si="160"/>
        <v>31482879</v>
      </c>
      <c r="Z317" s="1109">
        <f t="shared" si="161"/>
        <v>6190010.4432046823</v>
      </c>
      <c r="AA317" s="1110">
        <f t="shared" si="162"/>
        <v>25292868.556795318</v>
      </c>
      <c r="AB317" s="1119">
        <f t="shared" si="163"/>
        <v>0.19661513304436617</v>
      </c>
      <c r="AC317" s="1754">
        <f t="shared" si="164"/>
        <v>0.80338486695563383</v>
      </c>
    </row>
    <row r="318" spans="2:29" hidden="1" x14ac:dyDescent="0.25">
      <c r="D318" s="1744">
        <f>'Diciembre - 2019  '!$N$34+'Diciembre - 2019  '!$N$43</f>
        <v>104018642.60000001</v>
      </c>
      <c r="E318" s="1121">
        <f>'Diciembre - 2019  '!$N$54</f>
        <v>113809.99999999999</v>
      </c>
      <c r="F318" s="1745">
        <f t="shared" si="151"/>
        <v>104132452.60000001</v>
      </c>
      <c r="G318" s="1121">
        <f>'Diciembre - 2019  '!$M$33</f>
        <v>4753878.6400000006</v>
      </c>
      <c r="H318" s="1121">
        <f>'Diciembre - 2019  '!$M$54</f>
        <v>5690.5</v>
      </c>
      <c r="I318" s="1121">
        <f t="shared" si="152"/>
        <v>4759569.1400000006</v>
      </c>
      <c r="J318" s="2067">
        <f>'Diciembre - 2019  '!$H$22</f>
        <v>0.14799999999999999</v>
      </c>
      <c r="K318" s="2069">
        <f>'Diciembre - 2019  '!$I$22</f>
        <v>1.4200000000000001E-2</v>
      </c>
      <c r="L318" s="1104">
        <f t="shared" si="153"/>
        <v>0</v>
      </c>
      <c r="M318" s="1153">
        <v>31482880</v>
      </c>
      <c r="N318" s="1107">
        <f t="shared" si="154"/>
        <v>0</v>
      </c>
      <c r="O318" s="1164">
        <f>'Diciembre - 2019  '!$I$22</f>
        <v>1.4200000000000001E-2</v>
      </c>
      <c r="P318" s="1118">
        <f t="shared" si="155"/>
        <v>5869182.201933383</v>
      </c>
      <c r="Q318" s="1118">
        <f>'Diciembre - 2019  '!$K$54</f>
        <v>6190010.4432046823</v>
      </c>
      <c r="R318" s="1117">
        <f>'Diciembre - 2019  '!$L$15</f>
        <v>0</v>
      </c>
      <c r="S318" s="1743">
        <f t="shared" si="156"/>
        <v>21.878546048392941</v>
      </c>
      <c r="T318" s="1753">
        <f>'Diciembre - 2019  '!$Z$89</f>
        <v>0</v>
      </c>
      <c r="U318" s="1107">
        <f>'Diciembre - 2019  '!$AA$89</f>
        <v>0</v>
      </c>
      <c r="V318" s="1107">
        <f t="shared" si="157"/>
        <v>0</v>
      </c>
      <c r="W318" s="1107" t="e">
        <f t="shared" si="158"/>
        <v>#VALUE!</v>
      </c>
      <c r="X318" s="1108" t="e">
        <f t="shared" si="159"/>
        <v>#DIV/0!</v>
      </c>
      <c r="Y318" s="1109">
        <f t="shared" si="160"/>
        <v>31482880</v>
      </c>
      <c r="Z318" s="1109">
        <f t="shared" si="161"/>
        <v>6190010.4432046823</v>
      </c>
      <c r="AA318" s="1110">
        <f t="shared" si="162"/>
        <v>25292869.556795318</v>
      </c>
      <c r="AB318" s="1119">
        <f t="shared" si="163"/>
        <v>0.19661512679922175</v>
      </c>
      <c r="AC318" s="1754">
        <f t="shared" si="164"/>
        <v>0.80338487320077823</v>
      </c>
    </row>
    <row r="319" spans="2:29" hidden="1" x14ac:dyDescent="0.25">
      <c r="D319" s="1744">
        <f>'Diciembre - 2019  '!$N$34+'Diciembre - 2019  '!$N$43</f>
        <v>104018642.60000001</v>
      </c>
      <c r="E319" s="1121">
        <f>'Diciembre - 2019  '!$N$54</f>
        <v>113809.99999999999</v>
      </c>
      <c r="F319" s="1745">
        <f t="shared" si="151"/>
        <v>104132452.60000001</v>
      </c>
      <c r="G319" s="1121">
        <f>'Diciembre - 2019  '!$M$33</f>
        <v>4753878.6400000006</v>
      </c>
      <c r="H319" s="1121">
        <f>'Diciembre - 2019  '!$M$54</f>
        <v>5690.5</v>
      </c>
      <c r="I319" s="1121">
        <f t="shared" si="152"/>
        <v>4759569.1400000006</v>
      </c>
      <c r="J319" s="2067">
        <f>'Diciembre - 2019  '!$H$22</f>
        <v>0.14799999999999999</v>
      </c>
      <c r="K319" s="2069">
        <f>'Diciembre - 2019  '!$I$22</f>
        <v>1.4200000000000001E-2</v>
      </c>
      <c r="L319" s="1104">
        <f t="shared" si="153"/>
        <v>0</v>
      </c>
      <c r="M319" s="1153">
        <v>31482881</v>
      </c>
      <c r="N319" s="1107">
        <f t="shared" si="154"/>
        <v>0</v>
      </c>
      <c r="O319" s="1164">
        <f>'Diciembre - 2019  '!$I$22</f>
        <v>1.4200000000000001E-2</v>
      </c>
      <c r="P319" s="1118">
        <f t="shared" si="155"/>
        <v>5869182.201933383</v>
      </c>
      <c r="Q319" s="1118">
        <f>'Diciembre - 2019  '!$K$54</f>
        <v>6190010.4432046823</v>
      </c>
      <c r="R319" s="1117">
        <f>'Diciembre - 2019  '!$L$15</f>
        <v>0</v>
      </c>
      <c r="S319" s="1743">
        <f t="shared" si="156"/>
        <v>21.878546048392941</v>
      </c>
      <c r="T319" s="1753">
        <f>'Diciembre - 2019  '!$Z$89</f>
        <v>0</v>
      </c>
      <c r="U319" s="1107">
        <f>'Diciembre - 2019  '!$AA$89</f>
        <v>0</v>
      </c>
      <c r="V319" s="1107">
        <f t="shared" si="157"/>
        <v>0</v>
      </c>
      <c r="W319" s="1107" t="e">
        <f t="shared" si="158"/>
        <v>#VALUE!</v>
      </c>
      <c r="X319" s="1108" t="e">
        <f t="shared" si="159"/>
        <v>#DIV/0!</v>
      </c>
      <c r="Y319" s="1109">
        <f t="shared" si="160"/>
        <v>31482881</v>
      </c>
      <c r="Z319" s="1109">
        <f t="shared" si="161"/>
        <v>6190010.4432046823</v>
      </c>
      <c r="AA319" s="1110">
        <f t="shared" si="162"/>
        <v>25292870.556795318</v>
      </c>
      <c r="AB319" s="1119">
        <f t="shared" si="163"/>
        <v>0.1966151205540777</v>
      </c>
      <c r="AC319" s="1754">
        <f t="shared" si="164"/>
        <v>0.8033848794459223</v>
      </c>
    </row>
    <row r="320" spans="2:29" hidden="1" x14ac:dyDescent="0.25">
      <c r="D320" s="1744">
        <f>'Diciembre - 2019  '!$N$34+'Diciembre - 2019  '!$N$43</f>
        <v>104018642.60000001</v>
      </c>
      <c r="E320" s="1121">
        <f>'Diciembre - 2019  '!$N$54</f>
        <v>113809.99999999999</v>
      </c>
      <c r="F320" s="1745">
        <f t="shared" si="151"/>
        <v>104132452.60000001</v>
      </c>
      <c r="G320" s="1121">
        <f>'Diciembre - 2019  '!$M$33</f>
        <v>4753878.6400000006</v>
      </c>
      <c r="H320" s="1121">
        <f>'Diciembre - 2019  '!$M$54</f>
        <v>5690.5</v>
      </c>
      <c r="I320" s="1121">
        <f t="shared" si="152"/>
        <v>4759569.1400000006</v>
      </c>
      <c r="J320" s="2067">
        <f>'Diciembre - 2019  '!$H$22</f>
        <v>0.14799999999999999</v>
      </c>
      <c r="K320" s="2069">
        <f>'Diciembre - 2019  '!$I$22</f>
        <v>1.4200000000000001E-2</v>
      </c>
      <c r="L320" s="1104">
        <f t="shared" si="153"/>
        <v>0</v>
      </c>
      <c r="M320" s="1153">
        <v>31482882</v>
      </c>
      <c r="N320" s="1107">
        <f t="shared" si="154"/>
        <v>0</v>
      </c>
      <c r="O320" s="1164">
        <f>'Diciembre - 2019  '!$I$22</f>
        <v>1.4200000000000001E-2</v>
      </c>
      <c r="P320" s="1118">
        <f t="shared" si="155"/>
        <v>5869182.201933383</v>
      </c>
      <c r="Q320" s="1118">
        <f>'Diciembre - 2019  '!$K$54</f>
        <v>6190010.4432046823</v>
      </c>
      <c r="R320" s="1117">
        <f>'Diciembre - 2019  '!$L$15</f>
        <v>0</v>
      </c>
      <c r="S320" s="1743">
        <f t="shared" si="156"/>
        <v>21.878546048392941</v>
      </c>
      <c r="T320" s="1753">
        <f>'Diciembre - 2019  '!$Z$89</f>
        <v>0</v>
      </c>
      <c r="U320" s="1107">
        <f>'Diciembre - 2019  '!$AA$89</f>
        <v>0</v>
      </c>
      <c r="V320" s="1107">
        <f t="shared" si="157"/>
        <v>0</v>
      </c>
      <c r="W320" s="1107" t="e">
        <f t="shared" si="158"/>
        <v>#VALUE!</v>
      </c>
      <c r="X320" s="1108" t="e">
        <f t="shared" si="159"/>
        <v>#DIV/0!</v>
      </c>
      <c r="Y320" s="1109">
        <f t="shared" si="160"/>
        <v>31482882</v>
      </c>
      <c r="Z320" s="1109">
        <f t="shared" si="161"/>
        <v>6190010.4432046823</v>
      </c>
      <c r="AA320" s="1110">
        <f t="shared" si="162"/>
        <v>25292871.556795318</v>
      </c>
      <c r="AB320" s="1119">
        <f t="shared" si="163"/>
        <v>0.19661511430893405</v>
      </c>
      <c r="AC320" s="1754">
        <f t="shared" si="164"/>
        <v>0.80338488569106592</v>
      </c>
    </row>
    <row r="321" spans="2:43" hidden="1" x14ac:dyDescent="0.25">
      <c r="D321" s="1744">
        <f>'Diciembre - 2019  '!$N$34+'Diciembre - 2019  '!$N$43</f>
        <v>104018642.60000001</v>
      </c>
      <c r="E321" s="1121">
        <f>'Diciembre - 2019  '!$N$54</f>
        <v>113809.99999999999</v>
      </c>
      <c r="F321" s="1745">
        <f t="shared" si="151"/>
        <v>104132452.60000001</v>
      </c>
      <c r="G321" s="1121">
        <f>'Diciembre - 2019  '!$M$33</f>
        <v>4753878.6400000006</v>
      </c>
      <c r="H321" s="1121">
        <f>'Diciembre - 2019  '!$M$54</f>
        <v>5690.5</v>
      </c>
      <c r="I321" s="1121">
        <f t="shared" si="152"/>
        <v>4759569.1400000006</v>
      </c>
      <c r="J321" s="2067">
        <f>'Diciembre - 2019  '!$H$22</f>
        <v>0.14799999999999999</v>
      </c>
      <c r="K321" s="2069">
        <f>'Diciembre - 2019  '!$I$22</f>
        <v>1.4200000000000001E-2</v>
      </c>
      <c r="L321" s="1104">
        <f t="shared" si="153"/>
        <v>0</v>
      </c>
      <c r="M321" s="1153">
        <v>31482883</v>
      </c>
      <c r="N321" s="1107">
        <f t="shared" si="154"/>
        <v>0</v>
      </c>
      <c r="O321" s="1164">
        <f>'Diciembre - 2019  '!$I$22</f>
        <v>1.4200000000000001E-2</v>
      </c>
      <c r="P321" s="1118">
        <f t="shared" si="155"/>
        <v>5869182.201933383</v>
      </c>
      <c r="Q321" s="1118">
        <f>'Diciembre - 2019  '!$K$54</f>
        <v>6190010.4432046823</v>
      </c>
      <c r="R321" s="1117">
        <f>'Diciembre - 2019  '!$L$15</f>
        <v>0</v>
      </c>
      <c r="S321" s="1743">
        <f t="shared" si="156"/>
        <v>21.878546048392941</v>
      </c>
      <c r="T321" s="1753">
        <f>'Diciembre - 2019  '!$Z$89</f>
        <v>0</v>
      </c>
      <c r="U321" s="1107">
        <f>'Diciembre - 2019  '!$AA$89</f>
        <v>0</v>
      </c>
      <c r="V321" s="1107">
        <f t="shared" si="157"/>
        <v>0</v>
      </c>
      <c r="W321" s="1107" t="e">
        <f t="shared" si="158"/>
        <v>#VALUE!</v>
      </c>
      <c r="X321" s="1108" t="e">
        <f t="shared" si="159"/>
        <v>#DIV/0!</v>
      </c>
      <c r="Y321" s="1109">
        <f t="shared" si="160"/>
        <v>31482883</v>
      </c>
      <c r="Z321" s="1109">
        <f t="shared" si="161"/>
        <v>6190010.4432046823</v>
      </c>
      <c r="AA321" s="1110">
        <f t="shared" si="162"/>
        <v>25292872.556795318</v>
      </c>
      <c r="AB321" s="1119">
        <f t="shared" si="163"/>
        <v>0.19661510806379079</v>
      </c>
      <c r="AC321" s="1754">
        <f t="shared" si="164"/>
        <v>0.80338489193620921</v>
      </c>
    </row>
    <row r="322" spans="2:43" hidden="1" x14ac:dyDescent="0.25">
      <c r="D322" s="1744">
        <f>'Diciembre - 2019  '!$N$34+'Diciembre - 2019  '!$N$43</f>
        <v>104018642.60000001</v>
      </c>
      <c r="E322" s="1121">
        <f>'Diciembre - 2019  '!$N$54</f>
        <v>113809.99999999999</v>
      </c>
      <c r="F322" s="1745">
        <f t="shared" si="151"/>
        <v>104132452.60000001</v>
      </c>
      <c r="G322" s="1121">
        <f>'Diciembre - 2019  '!$M$33</f>
        <v>4753878.6400000006</v>
      </c>
      <c r="H322" s="1121">
        <f>'Diciembre - 2019  '!$M$54</f>
        <v>5690.5</v>
      </c>
      <c r="I322" s="1121">
        <f t="shared" si="152"/>
        <v>4759569.1400000006</v>
      </c>
      <c r="J322" s="2067">
        <f>'Diciembre - 2019  '!$H$22</f>
        <v>0.14799999999999999</v>
      </c>
      <c r="K322" s="2069">
        <f>'Diciembre - 2019  '!$I$22</f>
        <v>1.4200000000000001E-2</v>
      </c>
      <c r="L322" s="1104">
        <f t="shared" si="153"/>
        <v>0</v>
      </c>
      <c r="M322" s="1153">
        <v>31482884</v>
      </c>
      <c r="N322" s="1107">
        <f t="shared" si="154"/>
        <v>0</v>
      </c>
      <c r="O322" s="1164">
        <f>'Diciembre - 2019  '!$I$22</f>
        <v>1.4200000000000001E-2</v>
      </c>
      <c r="P322" s="1118">
        <f t="shared" si="155"/>
        <v>5869182.201933383</v>
      </c>
      <c r="Q322" s="1118">
        <f>'Diciembre - 2019  '!$K$54</f>
        <v>6190010.4432046823</v>
      </c>
      <c r="R322" s="1117">
        <f>'Diciembre - 2019  '!$L$15</f>
        <v>0</v>
      </c>
      <c r="S322" s="1743">
        <f t="shared" si="156"/>
        <v>21.878546048392941</v>
      </c>
      <c r="T322" s="1753">
        <f>'Diciembre - 2019  '!$Z$89</f>
        <v>0</v>
      </c>
      <c r="U322" s="1107">
        <f>'Diciembre - 2019  '!$AA$89</f>
        <v>0</v>
      </c>
      <c r="V322" s="1107">
        <f t="shared" si="157"/>
        <v>0</v>
      </c>
      <c r="W322" s="1107" t="e">
        <f t="shared" si="158"/>
        <v>#VALUE!</v>
      </c>
      <c r="X322" s="1108" t="e">
        <f t="shared" si="159"/>
        <v>#DIV/0!</v>
      </c>
      <c r="Y322" s="1109">
        <f t="shared" si="160"/>
        <v>31482884</v>
      </c>
      <c r="Z322" s="1109">
        <f t="shared" si="161"/>
        <v>6190010.4432046823</v>
      </c>
      <c r="AA322" s="1110">
        <f t="shared" si="162"/>
        <v>25292873.556795318</v>
      </c>
      <c r="AB322" s="1119">
        <f t="shared" si="163"/>
        <v>0.19661510181864794</v>
      </c>
      <c r="AC322" s="1754">
        <f t="shared" si="164"/>
        <v>0.80338489818135206</v>
      </c>
    </row>
    <row r="323" spans="2:43" hidden="1" x14ac:dyDescent="0.25">
      <c r="D323" s="1744">
        <f>'Diciembre - 2019  '!$N$34+'Diciembre - 2019  '!$N$43</f>
        <v>104018642.60000001</v>
      </c>
      <c r="E323" s="1121">
        <f>'Diciembre - 2019  '!$N$54</f>
        <v>113809.99999999999</v>
      </c>
      <c r="F323" s="1745">
        <f t="shared" si="151"/>
        <v>104132452.60000001</v>
      </c>
      <c r="G323" s="1121">
        <f>'Diciembre - 2019  '!$M$33</f>
        <v>4753878.6400000006</v>
      </c>
      <c r="H323" s="1121">
        <f>'Diciembre - 2019  '!$M$54</f>
        <v>5690.5</v>
      </c>
      <c r="I323" s="1121">
        <f t="shared" si="152"/>
        <v>4759569.1400000006</v>
      </c>
      <c r="J323" s="2067">
        <f>'Diciembre - 2019  '!$H$22</f>
        <v>0.14799999999999999</v>
      </c>
      <c r="K323" s="2069">
        <f>'Diciembre - 2019  '!$I$22</f>
        <v>1.4200000000000001E-2</v>
      </c>
      <c r="L323" s="1104">
        <f t="shared" si="153"/>
        <v>0</v>
      </c>
      <c r="M323" s="1153">
        <v>31482885</v>
      </c>
      <c r="N323" s="1107">
        <f t="shared" si="154"/>
        <v>0</v>
      </c>
      <c r="O323" s="1164">
        <f>'Diciembre - 2019  '!$I$22</f>
        <v>1.4200000000000001E-2</v>
      </c>
      <c r="P323" s="1118">
        <f t="shared" si="155"/>
        <v>5869182.201933383</v>
      </c>
      <c r="Q323" s="1118">
        <f>'Diciembre - 2019  '!$K$54</f>
        <v>6190010.4432046823</v>
      </c>
      <c r="R323" s="1117">
        <f>'Diciembre - 2019  '!$L$15</f>
        <v>0</v>
      </c>
      <c r="S323" s="1743">
        <f t="shared" si="156"/>
        <v>21.878546048392941</v>
      </c>
      <c r="T323" s="1753">
        <f>'Diciembre - 2019  '!$Z$89</f>
        <v>0</v>
      </c>
      <c r="U323" s="1107">
        <f>'Diciembre - 2019  '!$AA$89</f>
        <v>0</v>
      </c>
      <c r="V323" s="1107">
        <f t="shared" si="157"/>
        <v>0</v>
      </c>
      <c r="W323" s="1107" t="e">
        <f t="shared" si="158"/>
        <v>#VALUE!</v>
      </c>
      <c r="X323" s="1108" t="e">
        <f t="shared" si="159"/>
        <v>#DIV/0!</v>
      </c>
      <c r="Y323" s="1109">
        <f t="shared" si="160"/>
        <v>31482885</v>
      </c>
      <c r="Z323" s="1109">
        <f t="shared" si="161"/>
        <v>6190010.4432046823</v>
      </c>
      <c r="AA323" s="1110">
        <f t="shared" si="162"/>
        <v>25292874.556795318</v>
      </c>
      <c r="AB323" s="1119">
        <f t="shared" si="163"/>
        <v>0.19661509557350548</v>
      </c>
      <c r="AC323" s="1754">
        <f t="shared" si="164"/>
        <v>0.80338490442649446</v>
      </c>
    </row>
    <row r="324" spans="2:43" hidden="1" x14ac:dyDescent="0.25">
      <c r="D324" s="1744">
        <f>'Diciembre - 2019  '!$N$34+'Diciembre - 2019  '!$N$43</f>
        <v>104018642.60000001</v>
      </c>
      <c r="E324" s="1121">
        <f>'Diciembre - 2019  '!$N$54</f>
        <v>113809.99999999999</v>
      </c>
      <c r="F324" s="1745">
        <f t="shared" si="151"/>
        <v>104132452.60000001</v>
      </c>
      <c r="G324" s="1121">
        <f>'Diciembre - 2019  '!$M$33</f>
        <v>4753878.6400000006</v>
      </c>
      <c r="H324" s="1121">
        <f>'Diciembre - 2019  '!$M$54</f>
        <v>5690.5</v>
      </c>
      <c r="I324" s="1121">
        <f t="shared" si="152"/>
        <v>4759569.1400000006</v>
      </c>
      <c r="J324" s="2067">
        <f>'Diciembre - 2019  '!$H$22</f>
        <v>0.14799999999999999</v>
      </c>
      <c r="K324" s="2069">
        <f>'Diciembre - 2019  '!$I$22</f>
        <v>1.4200000000000001E-2</v>
      </c>
      <c r="L324" s="1104">
        <f t="shared" si="153"/>
        <v>0</v>
      </c>
      <c r="M324" s="1153">
        <v>31482886</v>
      </c>
      <c r="N324" s="1107">
        <f t="shared" si="154"/>
        <v>0</v>
      </c>
      <c r="O324" s="1164">
        <f>'Diciembre - 2019  '!$I$22</f>
        <v>1.4200000000000001E-2</v>
      </c>
      <c r="P324" s="1118">
        <f t="shared" si="155"/>
        <v>5869182.201933383</v>
      </c>
      <c r="Q324" s="1118">
        <f>'Diciembre - 2019  '!$K$54</f>
        <v>6190010.4432046823</v>
      </c>
      <c r="R324" s="1117">
        <f>'Diciembre - 2019  '!$L$15</f>
        <v>0</v>
      </c>
      <c r="S324" s="1743">
        <f t="shared" si="156"/>
        <v>21.878546048392941</v>
      </c>
      <c r="T324" s="1753">
        <f>'Diciembre - 2019  '!$Z$89</f>
        <v>0</v>
      </c>
      <c r="U324" s="1107">
        <f>'Diciembre - 2019  '!$AA$89</f>
        <v>0</v>
      </c>
      <c r="V324" s="1107">
        <f t="shared" si="157"/>
        <v>0</v>
      </c>
      <c r="W324" s="1107" t="e">
        <f t="shared" si="158"/>
        <v>#VALUE!</v>
      </c>
      <c r="X324" s="1108" t="e">
        <f t="shared" si="159"/>
        <v>#DIV/0!</v>
      </c>
      <c r="Y324" s="1109">
        <f t="shared" si="160"/>
        <v>31482886</v>
      </c>
      <c r="Z324" s="1109">
        <f t="shared" si="161"/>
        <v>6190010.4432046823</v>
      </c>
      <c r="AA324" s="1110">
        <f t="shared" si="162"/>
        <v>25292875.556795318</v>
      </c>
      <c r="AB324" s="1119">
        <f t="shared" si="163"/>
        <v>0.19661508932836341</v>
      </c>
      <c r="AC324" s="1754">
        <f t="shared" si="164"/>
        <v>0.80338491067163664</v>
      </c>
    </row>
    <row r="325" spans="2:43" hidden="1" x14ac:dyDescent="0.25">
      <c r="D325" s="1744">
        <f>'Diciembre - 2019  '!$N$34+'Diciembre - 2019  '!$N$43</f>
        <v>104018642.60000001</v>
      </c>
      <c r="E325" s="1121">
        <f>'Diciembre - 2019  '!$N$54</f>
        <v>113809.99999999999</v>
      </c>
      <c r="F325" s="1745">
        <f t="shared" si="151"/>
        <v>104132452.60000001</v>
      </c>
      <c r="G325" s="1121">
        <f>'Diciembre - 2019  '!$M$33</f>
        <v>4753878.6400000006</v>
      </c>
      <c r="H325" s="1121">
        <f>'Diciembre - 2019  '!$M$54</f>
        <v>5690.5</v>
      </c>
      <c r="I325" s="1121">
        <f t="shared" si="152"/>
        <v>4759569.1400000006</v>
      </c>
      <c r="J325" s="2067">
        <f>'Diciembre - 2019  '!$H$22</f>
        <v>0.14799999999999999</v>
      </c>
      <c r="K325" s="2069">
        <f>'Diciembre - 2019  '!$I$22</f>
        <v>1.4200000000000001E-2</v>
      </c>
      <c r="L325" s="1104">
        <f t="shared" si="153"/>
        <v>0</v>
      </c>
      <c r="M325" s="1153">
        <v>31482887</v>
      </c>
      <c r="N325" s="1107">
        <f t="shared" si="154"/>
        <v>0</v>
      </c>
      <c r="O325" s="1164">
        <f>'Diciembre - 2019  '!$I$22</f>
        <v>1.4200000000000001E-2</v>
      </c>
      <c r="P325" s="1118">
        <f t="shared" si="155"/>
        <v>5869182.201933383</v>
      </c>
      <c r="Q325" s="1118">
        <f>'Diciembre - 2019  '!$K$54</f>
        <v>6190010.4432046823</v>
      </c>
      <c r="R325" s="1117">
        <f>'Diciembre - 2019  '!$L$15</f>
        <v>0</v>
      </c>
      <c r="S325" s="1743">
        <f t="shared" si="156"/>
        <v>21.878546048392941</v>
      </c>
      <c r="T325" s="1753">
        <f>'Diciembre - 2019  '!$Z$89</f>
        <v>0</v>
      </c>
      <c r="U325" s="1107">
        <f>'Diciembre - 2019  '!$AA$89</f>
        <v>0</v>
      </c>
      <c r="V325" s="1107">
        <f t="shared" si="157"/>
        <v>0</v>
      </c>
      <c r="W325" s="1107" t="e">
        <f t="shared" si="158"/>
        <v>#VALUE!</v>
      </c>
      <c r="X325" s="1108" t="e">
        <f t="shared" si="159"/>
        <v>#DIV/0!</v>
      </c>
      <c r="Y325" s="1109">
        <f t="shared" si="160"/>
        <v>31482887</v>
      </c>
      <c r="Z325" s="1109">
        <f t="shared" si="161"/>
        <v>6190010.4432046823</v>
      </c>
      <c r="AA325" s="1110">
        <f t="shared" si="162"/>
        <v>25292876.556795318</v>
      </c>
      <c r="AB325" s="1119">
        <f t="shared" si="163"/>
        <v>0.19661508308322176</v>
      </c>
      <c r="AC325" s="1754">
        <f t="shared" si="164"/>
        <v>0.80338491691677827</v>
      </c>
    </row>
    <row r="326" spans="2:43" hidden="1" x14ac:dyDescent="0.25">
      <c r="D326" s="1744">
        <f>'Diciembre - 2019  '!$N$34+'Diciembre - 2019  '!$N$43</f>
        <v>104018642.60000001</v>
      </c>
      <c r="E326" s="1121">
        <f>'Diciembre - 2019  '!$N$54</f>
        <v>113809.99999999999</v>
      </c>
      <c r="F326" s="1745">
        <f t="shared" si="151"/>
        <v>104132452.60000001</v>
      </c>
      <c r="G326" s="1121">
        <f>'Diciembre - 2019  '!$M$33</f>
        <v>4753878.6400000006</v>
      </c>
      <c r="H326" s="1121">
        <f>'Diciembre - 2019  '!$M$54</f>
        <v>5690.5</v>
      </c>
      <c r="I326" s="1121">
        <f t="shared" si="152"/>
        <v>4759569.1400000006</v>
      </c>
      <c r="J326" s="2067">
        <f>'Diciembre - 2019  '!$H$22</f>
        <v>0.14799999999999999</v>
      </c>
      <c r="K326" s="2069">
        <f>'Diciembre - 2019  '!$I$22</f>
        <v>1.4200000000000001E-2</v>
      </c>
      <c r="L326" s="1104">
        <f t="shared" si="153"/>
        <v>0</v>
      </c>
      <c r="M326" s="1153">
        <v>31482888</v>
      </c>
      <c r="N326" s="1107">
        <f t="shared" si="154"/>
        <v>0</v>
      </c>
      <c r="O326" s="1164">
        <f>'Diciembre - 2019  '!$I$22</f>
        <v>1.4200000000000001E-2</v>
      </c>
      <c r="P326" s="1118">
        <f t="shared" si="155"/>
        <v>5869182.201933383</v>
      </c>
      <c r="Q326" s="1118">
        <f>'Diciembre - 2019  '!$K$54</f>
        <v>6190010.4432046823</v>
      </c>
      <c r="R326" s="1117">
        <f>'Diciembre - 2019  '!$L$15</f>
        <v>0</v>
      </c>
      <c r="S326" s="1743">
        <f t="shared" si="156"/>
        <v>21.878546048392941</v>
      </c>
      <c r="T326" s="1753">
        <f>'Diciembre - 2019  '!$Z$89</f>
        <v>0</v>
      </c>
      <c r="U326" s="1107">
        <f>'Diciembre - 2019  '!$AA$89</f>
        <v>0</v>
      </c>
      <c r="V326" s="1107">
        <f t="shared" si="157"/>
        <v>0</v>
      </c>
      <c r="W326" s="1107" t="e">
        <f t="shared" si="158"/>
        <v>#VALUE!</v>
      </c>
      <c r="X326" s="1108" t="e">
        <f t="shared" si="159"/>
        <v>#DIV/0!</v>
      </c>
      <c r="Y326" s="1109">
        <f t="shared" si="160"/>
        <v>31482888</v>
      </c>
      <c r="Z326" s="1109">
        <f t="shared" si="161"/>
        <v>6190010.4432046823</v>
      </c>
      <c r="AA326" s="1110">
        <f t="shared" si="162"/>
        <v>25292877.556795318</v>
      </c>
      <c r="AB326" s="1119">
        <f t="shared" si="163"/>
        <v>0.19661507683808049</v>
      </c>
      <c r="AC326" s="1754">
        <f t="shared" si="164"/>
        <v>0.80338492316191945</v>
      </c>
    </row>
    <row r="327" spans="2:43" hidden="1" x14ac:dyDescent="0.25">
      <c r="D327" s="1744">
        <f>'Diciembre - 2019  '!$N$34+'Diciembre - 2019  '!$N$43</f>
        <v>104018642.60000001</v>
      </c>
      <c r="E327" s="1121">
        <f>'Diciembre - 2019  '!$N$54</f>
        <v>113809.99999999999</v>
      </c>
      <c r="F327" s="1745">
        <f t="shared" si="151"/>
        <v>104132452.60000001</v>
      </c>
      <c r="G327" s="1121">
        <f>'Diciembre - 2019  '!$M$33</f>
        <v>4753878.6400000006</v>
      </c>
      <c r="H327" s="1121">
        <f>'Diciembre - 2019  '!$M$54</f>
        <v>5690.5</v>
      </c>
      <c r="I327" s="1121">
        <f t="shared" si="152"/>
        <v>4759569.1400000006</v>
      </c>
      <c r="J327" s="2067">
        <f>'Diciembre - 2019  '!$H$22</f>
        <v>0.14799999999999999</v>
      </c>
      <c r="K327" s="2069">
        <f>'Diciembre - 2019  '!$I$22</f>
        <v>1.4200000000000001E-2</v>
      </c>
      <c r="L327" s="1104">
        <f t="shared" si="153"/>
        <v>43466</v>
      </c>
      <c r="M327" s="1153">
        <v>31482889</v>
      </c>
      <c r="N327" s="1107">
        <f t="shared" si="154"/>
        <v>724.31070261813829</v>
      </c>
      <c r="O327" s="1164">
        <f>'Diciembre - 2019  '!$I$22</f>
        <v>1.4200000000000001E-2</v>
      </c>
      <c r="P327" s="1118">
        <f t="shared" si="155"/>
        <v>5869182.201933383</v>
      </c>
      <c r="Q327" s="1118">
        <f>'Diciembre - 2019  '!$K$54</f>
        <v>6190010.4432046823</v>
      </c>
      <c r="R327" s="1117">
        <f>'Diciembre - 2019  '!$L$15</f>
        <v>0</v>
      </c>
      <c r="S327" s="1743">
        <f t="shared" si="156"/>
        <v>21.878546048392941</v>
      </c>
      <c r="T327" s="1753">
        <f>'Diciembre - 2019  '!$Z$89</f>
        <v>0</v>
      </c>
      <c r="U327" s="1107">
        <f>'Diciembre - 2019  '!$AA$89</f>
        <v>0</v>
      </c>
      <c r="V327" s="1107">
        <f t="shared" si="157"/>
        <v>0</v>
      </c>
      <c r="W327" s="1107" t="e">
        <f t="shared" si="158"/>
        <v>#VALUE!</v>
      </c>
      <c r="X327" s="1108">
        <f t="shared" si="159"/>
        <v>142.41039992648697</v>
      </c>
      <c r="Y327" s="1109">
        <f t="shared" si="160"/>
        <v>31482889</v>
      </c>
      <c r="Z327" s="1109">
        <f t="shared" si="161"/>
        <v>6190010.4432046823</v>
      </c>
      <c r="AA327" s="1110">
        <f t="shared" si="162"/>
        <v>25292878.556795318</v>
      </c>
      <c r="AB327" s="1119">
        <f t="shared" si="163"/>
        <v>0.19661507059293962</v>
      </c>
      <c r="AC327" s="1754">
        <f t="shared" si="164"/>
        <v>0.80338492940706041</v>
      </c>
    </row>
    <row r="328" spans="2:43" x14ac:dyDescent="0.25">
      <c r="B328" s="1113">
        <f t="shared" ref="B328:B339" si="165">YEAR(C328)</f>
        <v>2019</v>
      </c>
      <c r="C328" s="1114">
        <v>43466</v>
      </c>
      <c r="D328" s="1744">
        <f>'Enero - 2019'!$N$34+'Enero - 2019'!$N$43</f>
        <v>99665462.40719001</v>
      </c>
      <c r="E328" s="1121">
        <f>'Enero - 2019'!$N$54</f>
        <v>114136.16940999997</v>
      </c>
      <c r="F328" s="1745">
        <f t="shared" si="151"/>
        <v>99779598.576600015</v>
      </c>
      <c r="G328" s="1121">
        <f>'Enero - 2019'!$M$34+'Enero - 2019'!M43</f>
        <v>5200932.1300000008</v>
      </c>
      <c r="H328" s="1121">
        <f>'Enero - 2019'!$M$54</f>
        <v>5956.0699999999988</v>
      </c>
      <c r="I328" s="1121">
        <f t="shared" si="152"/>
        <v>5206888.2000000011</v>
      </c>
      <c r="J328" s="2067">
        <f>'Enero - 2019'!$H$22</f>
        <v>0.151</v>
      </c>
      <c r="K328" s="2069">
        <f>'Enero - 2019'!$I$22</f>
        <v>1.4200000000000001E-2</v>
      </c>
      <c r="L328" s="1104">
        <f t="shared" si="153"/>
        <v>31</v>
      </c>
      <c r="M328" s="1875">
        <f>'Enero - 2019'!$E$22</f>
        <v>31482640</v>
      </c>
      <c r="N328" s="1107">
        <f t="shared" si="154"/>
        <v>1015569.0322580645</v>
      </c>
      <c r="O328" s="1164">
        <f>'Enero - 2019'!$I$22</f>
        <v>1.4200000000000001E-2</v>
      </c>
      <c r="P328" s="1118">
        <f t="shared" si="155"/>
        <v>5627797.9119645748</v>
      </c>
      <c r="Q328" s="1118">
        <f>'Enero - 2019'!$K$54</f>
        <v>5935431.3171315007</v>
      </c>
      <c r="R328" s="1876" t="str">
        <f>'Enero - 2019'!$L$15</f>
        <v>366 FE</v>
      </c>
      <c r="S328" s="1743">
        <f>'Enero - 2019'!$M$15</f>
        <v>19.163</v>
      </c>
      <c r="T328" s="1753">
        <f>'Enero - 2019'!$Z$89</f>
        <v>0</v>
      </c>
      <c r="U328" s="1107">
        <f>'Enero - 2019'!$AA$89</f>
        <v>0</v>
      </c>
      <c r="V328" s="1107">
        <f t="shared" si="157"/>
        <v>0</v>
      </c>
      <c r="W328" s="1107" t="e">
        <f t="shared" si="158"/>
        <v>#VALUE!</v>
      </c>
      <c r="X328" s="1108">
        <f t="shared" si="159"/>
        <v>191465.52635908066</v>
      </c>
      <c r="Y328" s="1109">
        <f t="shared" si="160"/>
        <v>31482640</v>
      </c>
      <c r="Z328" s="1109">
        <f t="shared" si="161"/>
        <v>5935431.3171315007</v>
      </c>
      <c r="AA328" s="1110">
        <f t="shared" si="162"/>
        <v>25547208.682868499</v>
      </c>
      <c r="AB328" s="1772">
        <f t="shared" si="163"/>
        <v>0.1885302921588374</v>
      </c>
      <c r="AC328" s="1773">
        <f t="shared" si="164"/>
        <v>0.81146970784116257</v>
      </c>
      <c r="AP328" s="1082"/>
      <c r="AQ328" s="1082"/>
    </row>
    <row r="329" spans="2:43" x14ac:dyDescent="0.25">
      <c r="B329" s="1113">
        <f t="shared" si="165"/>
        <v>2019</v>
      </c>
      <c r="C329" s="1114">
        <v>43497</v>
      </c>
      <c r="D329" s="1744">
        <f>'Febrero - 2019'!$N$34+'Febrero - 2019'!$N$43</f>
        <v>98896244.54516302</v>
      </c>
      <c r="E329" s="1121">
        <f>'Febrero - 2019'!$N$54</f>
        <v>103604.91325599997</v>
      </c>
      <c r="F329" s="1745">
        <f t="shared" ref="F329" si="166">SUM(D329:E329)</f>
        <v>98999849.458419025</v>
      </c>
      <c r="G329" s="1121">
        <f>'Febrero - 2019'!$M$34+'Febrero - 2019'!M43</f>
        <v>5200932.1300000008</v>
      </c>
      <c r="H329" s="1121">
        <f>'Febrero - 2019'!$M$54</f>
        <v>5448.5599999999995</v>
      </c>
      <c r="I329" s="1121">
        <f t="shared" ref="I329" si="167">G329+H329</f>
        <v>5206380.6900000004</v>
      </c>
      <c r="J329" s="2067">
        <f>'Febrero - 2019'!$H$22</f>
        <v>0.151</v>
      </c>
      <c r="K329" s="2069">
        <f>'Febrero - 2019'!$I$22</f>
        <v>1.4200000000000001E-2</v>
      </c>
      <c r="L329" s="1104">
        <f t="shared" ref="L329:L339" si="168">_xlfn.DAYS(C330,C329)</f>
        <v>28</v>
      </c>
      <c r="M329" s="1875">
        <f>'Febrero - 2019'!$E$22</f>
        <v>31482640</v>
      </c>
      <c r="N329" s="1107">
        <f t="shared" ref="N329:N339" si="169">IFERROR(M329/L329,0)</f>
        <v>1124380</v>
      </c>
      <c r="O329" s="1164">
        <f>'Febrero - 2019'!$I$22</f>
        <v>1.4200000000000001E-2</v>
      </c>
      <c r="P329" s="1118">
        <f t="shared" ref="P329:P339" si="170">Q329*0.94817</f>
        <v>5239417.7158484058</v>
      </c>
      <c r="Q329" s="1118">
        <f>'Febrero - 2019'!$K$54</f>
        <v>5525821.0192775624</v>
      </c>
      <c r="R329" s="1876" t="str">
        <f>'Febrero - 2019'!$L$15</f>
        <v>377 FE</v>
      </c>
      <c r="S329" s="1743">
        <f>'Febrero - 2019'!$M$15</f>
        <v>19.0151</v>
      </c>
      <c r="T329" s="1753">
        <f>'Febrero - 2019'!$Z$89</f>
        <v>0</v>
      </c>
      <c r="U329" s="1107">
        <f>'Febrero - 2019'!$AA$89</f>
        <v>0</v>
      </c>
      <c r="V329" s="1107">
        <f t="shared" ref="V329:V339" si="171">T329-U329</f>
        <v>0</v>
      </c>
      <c r="W329" s="1107" t="e">
        <f t="shared" ref="W329:W339" si="172">V329+W328</f>
        <v>#VALUE!</v>
      </c>
      <c r="X329" s="1108">
        <f t="shared" ref="X329:X339" si="173">Q329/L329</f>
        <v>197350.75068848438</v>
      </c>
      <c r="Y329" s="1109">
        <f t="shared" ref="Y329:Y339" si="174">M329</f>
        <v>31482640</v>
      </c>
      <c r="Z329" s="1109">
        <f t="shared" ref="Z329:Z339" si="175">Q329</f>
        <v>5525821.0192775624</v>
      </c>
      <c r="AA329" s="1110">
        <f t="shared" ref="AA329:AA339" si="176">Y329-Z329</f>
        <v>25956818.980722439</v>
      </c>
      <c r="AB329" s="1119">
        <f t="shared" ref="AB329:AB339" si="177">IFERROR(Z329/Y329,0)</f>
        <v>0.17551962031384796</v>
      </c>
      <c r="AC329" s="1754">
        <f t="shared" ref="AC329:AC339" si="178">1-AB329</f>
        <v>0.82448037968615207</v>
      </c>
      <c r="AP329" s="1082"/>
      <c r="AQ329" s="1082"/>
    </row>
    <row r="330" spans="2:43" x14ac:dyDescent="0.25">
      <c r="B330" s="1113">
        <f t="shared" si="165"/>
        <v>2019</v>
      </c>
      <c r="C330" s="1114">
        <v>43525</v>
      </c>
      <c r="D330" s="2105">
        <f>'Marzo - 2019'!$N$34+'Marzo - 2019'!$N$43</f>
        <v>98598231.134114012</v>
      </c>
      <c r="E330" s="2106">
        <f>'Marzo - 2019'!$N$54</f>
        <v>111452.14788799998</v>
      </c>
      <c r="F330" s="2107">
        <f t="shared" ref="F330:F339" si="179">SUM(D330:E330)</f>
        <v>98709683.282002017</v>
      </c>
      <c r="G330" s="2106">
        <f>'Marzo - 2019'!$M$34+'Marzo - 2019'!$M$43</f>
        <v>5200932.1300000008</v>
      </c>
      <c r="H330" s="2106">
        <f>'Marzo - 2019'!$M$54</f>
        <v>5878.9599999999991</v>
      </c>
      <c r="I330" s="2106">
        <f t="shared" ref="I330:I339" si="180">G330+H330</f>
        <v>5206811.0900000008</v>
      </c>
      <c r="J330" s="2108">
        <f>'Marzo - 2019'!$H$22</f>
        <v>0.151</v>
      </c>
      <c r="K330" s="2109">
        <f>'Marzo - 2019'!$I$22</f>
        <v>1.4200000000000001E-2</v>
      </c>
      <c r="L330" s="2110">
        <f t="shared" si="168"/>
        <v>31</v>
      </c>
      <c r="M330" s="2111">
        <f>'Marzo - 2019'!$E$22</f>
        <v>31482640</v>
      </c>
      <c r="N330" s="2112">
        <f t="shared" si="169"/>
        <v>1015569.0322580645</v>
      </c>
      <c r="O330" s="2113">
        <f>'Marzo - 2019'!$I$22</f>
        <v>1.4200000000000001E-2</v>
      </c>
      <c r="P330" s="2114">
        <f t="shared" si="170"/>
        <v>5649996.003213264</v>
      </c>
      <c r="Q330" s="2114">
        <f>'Marzo - 2019'!$K$54</f>
        <v>5958842.8269332126</v>
      </c>
      <c r="R330" s="1117" t="str">
        <f>'Marzo - 2019'!$L$15</f>
        <v>390 FE</v>
      </c>
      <c r="S330" s="2115">
        <f>'Marzo - 2019'!$M$15</f>
        <v>18.957799999999999</v>
      </c>
      <c r="T330" s="2116">
        <f>'Marzo - 2019'!$V$89</f>
        <v>77765.915999999997</v>
      </c>
      <c r="U330" s="2112">
        <f>'Marzo - 2019'!$W$89</f>
        <v>37722.192999999999</v>
      </c>
      <c r="V330" s="2112">
        <f t="shared" si="171"/>
        <v>40043.722999999998</v>
      </c>
      <c r="W330" s="2112" t="e">
        <f t="shared" si="172"/>
        <v>#VALUE!</v>
      </c>
      <c r="X330" s="2117">
        <f t="shared" si="173"/>
        <v>192220.73635268427</v>
      </c>
      <c r="Y330" s="2118">
        <f t="shared" si="174"/>
        <v>31482640</v>
      </c>
      <c r="Z330" s="2118">
        <f t="shared" si="175"/>
        <v>5958842.8269332126</v>
      </c>
      <c r="AA330" s="2119">
        <f t="shared" si="176"/>
        <v>25523797.173066787</v>
      </c>
      <c r="AB330" s="2120">
        <f t="shared" si="177"/>
        <v>0.18927392451627983</v>
      </c>
      <c r="AC330" s="2121">
        <f t="shared" si="178"/>
        <v>0.81072607548372022</v>
      </c>
      <c r="AP330" s="1082"/>
      <c r="AQ330" s="1082"/>
    </row>
    <row r="331" spans="2:43" x14ac:dyDescent="0.25">
      <c r="B331" s="1113">
        <f t="shared" si="165"/>
        <v>2019</v>
      </c>
      <c r="C331" s="1114">
        <v>43556</v>
      </c>
      <c r="D331" s="1759">
        <f>'Abril- 2019'!$N$34+'Abril- 2019'!$N$43</f>
        <v>114103243.10000001</v>
      </c>
      <c r="E331" s="1760">
        <f>'Abril- 2019'!$N$54</f>
        <v>121199.76000000002</v>
      </c>
      <c r="F331" s="1761">
        <f t="shared" si="179"/>
        <v>114224442.86000001</v>
      </c>
      <c r="G331" s="1759">
        <f>'Abril- 2019'!$M$34+'Abril- 2019'!$M$43</f>
        <v>5186511.0500000007</v>
      </c>
      <c r="H331" s="1760">
        <f>'Abril- 2019'!$M$54</f>
        <v>5509.0800000000008</v>
      </c>
      <c r="I331" s="1760">
        <f t="shared" si="180"/>
        <v>5192020.1300000008</v>
      </c>
      <c r="J331" s="2068">
        <f>'Abril- 2019'!$H$22</f>
        <v>0.151</v>
      </c>
      <c r="K331" s="2071">
        <f>'Abril- 2019'!$I$22</f>
        <v>1.4200000000000001E-2</v>
      </c>
      <c r="L331" s="1762">
        <f t="shared" si="168"/>
        <v>30</v>
      </c>
      <c r="M331" s="1763">
        <f>'Abril- 2019'!$E$22</f>
        <v>31482640</v>
      </c>
      <c r="N331" s="1764">
        <f t="shared" si="169"/>
        <v>1049421.3333333333</v>
      </c>
      <c r="O331" s="1765">
        <f>'Abril- 2019'!$I$22</f>
        <v>1.4200000000000001E-2</v>
      </c>
      <c r="P331" s="1766">
        <f t="shared" si="170"/>
        <v>5794932.0819532657</v>
      </c>
      <c r="Q331" s="1766">
        <f>'Abril- 2019'!$K$54</f>
        <v>6111701.5745628588</v>
      </c>
      <c r="R331" s="1767">
        <f>'Abril- 2019'!$L$15</f>
        <v>0</v>
      </c>
      <c r="S331" s="2035">
        <f>'Abril- 2019'!$M$15</f>
        <v>22</v>
      </c>
      <c r="T331" s="1768">
        <f>'Abril- 2019'!$X$89</f>
        <v>-31969.515999999989</v>
      </c>
      <c r="U331" s="1764">
        <f>'Abril- 2019'!$Y$89</f>
        <v>0</v>
      </c>
      <c r="V331" s="1764">
        <f t="shared" si="171"/>
        <v>-31969.515999999989</v>
      </c>
      <c r="W331" s="1764" t="e">
        <f t="shared" si="172"/>
        <v>#VALUE!</v>
      </c>
      <c r="X331" s="1769">
        <f t="shared" si="173"/>
        <v>203723.38581876195</v>
      </c>
      <c r="Y331" s="1770">
        <f t="shared" si="174"/>
        <v>31482640</v>
      </c>
      <c r="Z331" s="1770">
        <f t="shared" si="175"/>
        <v>6111701.5745628588</v>
      </c>
      <c r="AA331" s="1771">
        <f t="shared" si="176"/>
        <v>25370938.425437141</v>
      </c>
      <c r="AB331" s="1772">
        <f t="shared" si="177"/>
        <v>0.19412925899997138</v>
      </c>
      <c r="AC331" s="1773">
        <f t="shared" si="178"/>
        <v>0.80587074100002865</v>
      </c>
      <c r="AP331" s="1082"/>
      <c r="AQ331" s="1082"/>
    </row>
    <row r="332" spans="2:43" s="1132" customFormat="1" x14ac:dyDescent="0.25">
      <c r="B332" s="1113">
        <f t="shared" si="165"/>
        <v>2019</v>
      </c>
      <c r="C332" s="1114">
        <v>43586</v>
      </c>
      <c r="D332" s="1759">
        <f>'Mayo - 2019'!$N$34+'Mayo - 2019'!$N$43</f>
        <v>114420506.86000001</v>
      </c>
      <c r="E332" s="1760">
        <f>'Mayo - 2019'!$N$54</f>
        <v>125191</v>
      </c>
      <c r="F332" s="1761">
        <f t="shared" si="179"/>
        <v>114545697.86000001</v>
      </c>
      <c r="G332" s="1759">
        <f>'Mayo - 2019'!$M$34+'Mayo - 2019'!$M$43</f>
        <v>5200932.1300000008</v>
      </c>
      <c r="H332" s="1760">
        <f>'Mayo - 2019'!$M$54</f>
        <v>5690.5</v>
      </c>
      <c r="I332" s="1760">
        <f t="shared" si="180"/>
        <v>5206622.6300000008</v>
      </c>
      <c r="J332" s="2068">
        <f>'Mayo - 2019'!$H$22</f>
        <v>0.151</v>
      </c>
      <c r="K332" s="2071">
        <f>'Mayo - 2019'!$I$22</f>
        <v>1.4200000000000001E-2</v>
      </c>
      <c r="L332" s="1762">
        <f t="shared" si="168"/>
        <v>31</v>
      </c>
      <c r="M332" s="1763">
        <f>'Mayo - 2019'!$E$22</f>
        <v>31482640</v>
      </c>
      <c r="N332" s="1764">
        <f t="shared" si="169"/>
        <v>1015569.0322580645</v>
      </c>
      <c r="O332" s="1765">
        <f>'Mayo - 2019'!$I$22</f>
        <v>1.4200000000000001E-2</v>
      </c>
      <c r="P332" s="1766">
        <f t="shared" si="170"/>
        <v>5846844.5184754143</v>
      </c>
      <c r="Q332" s="1766">
        <f>'Mayo - 2019'!$K$54</f>
        <v>6166451.7106377706</v>
      </c>
      <c r="R332" s="1767">
        <f>'Mayo - 2019'!$L$15</f>
        <v>0</v>
      </c>
      <c r="S332" s="2035">
        <f>'Mayo - 2019'!$M$15</f>
        <v>22</v>
      </c>
      <c r="T332" s="1768">
        <f>'Mayo - 2019'!$Z$89</f>
        <v>0</v>
      </c>
      <c r="U332" s="1764">
        <f>'Mayo - 2019'!$AA$89</f>
        <v>0</v>
      </c>
      <c r="V332" s="1764">
        <f t="shared" si="171"/>
        <v>0</v>
      </c>
      <c r="W332" s="1764" t="e">
        <f t="shared" si="172"/>
        <v>#VALUE!</v>
      </c>
      <c r="X332" s="1769">
        <f t="shared" si="173"/>
        <v>198917.79711734745</v>
      </c>
      <c r="Y332" s="1770">
        <f t="shared" si="174"/>
        <v>31482640</v>
      </c>
      <c r="Z332" s="1770">
        <f t="shared" si="175"/>
        <v>6166451.7106377706</v>
      </c>
      <c r="AA332" s="1771">
        <f t="shared" si="176"/>
        <v>25316188.289362229</v>
      </c>
      <c r="AB332" s="1772">
        <f t="shared" si="177"/>
        <v>0.19586831697207638</v>
      </c>
      <c r="AC332" s="1773">
        <f t="shared" si="178"/>
        <v>0.80413168302792359</v>
      </c>
      <c r="AD332" s="1131"/>
      <c r="AE332" s="1131"/>
      <c r="AF332" s="1131"/>
      <c r="AG332" s="1131"/>
      <c r="AH332" s="1131"/>
      <c r="AI332" s="1131"/>
      <c r="AJ332" s="1131"/>
      <c r="AK332" s="1131"/>
      <c r="AL332" s="1131"/>
      <c r="AM332" s="1131"/>
      <c r="AN332" s="1131"/>
      <c r="AO332" s="1131"/>
      <c r="AP332" s="1131"/>
      <c r="AQ332" s="1131"/>
    </row>
    <row r="333" spans="2:43" x14ac:dyDescent="0.25">
      <c r="B333" s="1113">
        <f t="shared" si="165"/>
        <v>2019</v>
      </c>
      <c r="C333" s="1114">
        <v>43617</v>
      </c>
      <c r="D333" s="1759">
        <f>'Junio - 2019'!$N$34+'Junio - 2019'!$N$43</f>
        <v>114103243.10000001</v>
      </c>
      <c r="E333" s="1760">
        <f>'Junio - 2019'!$N$54</f>
        <v>121060.5</v>
      </c>
      <c r="F333" s="1761">
        <f t="shared" si="179"/>
        <v>114224303.60000001</v>
      </c>
      <c r="G333" s="1759">
        <f>'Junio - 2019'!$M$34+'Junio - 2019'!$M$43</f>
        <v>5186511.0500000007</v>
      </c>
      <c r="H333" s="1760">
        <f>'Junio - 2019'!$M$54</f>
        <v>5502.75</v>
      </c>
      <c r="I333" s="1760">
        <f t="shared" si="180"/>
        <v>5192013.8000000007</v>
      </c>
      <c r="J333" s="2068">
        <f>'Junio - 2019'!$H$22</f>
        <v>0.151</v>
      </c>
      <c r="K333" s="2071">
        <f>'Junio - 2019'!$I$22</f>
        <v>1.4200000000000001E-2</v>
      </c>
      <c r="L333" s="1762">
        <f t="shared" si="168"/>
        <v>30</v>
      </c>
      <c r="M333" s="1763">
        <f>'Junio - 2019'!$E$22</f>
        <v>31482640</v>
      </c>
      <c r="N333" s="1764">
        <f t="shared" si="169"/>
        <v>1049421.3333333333</v>
      </c>
      <c r="O333" s="1765">
        <f>'Junio - 2019'!$I$22</f>
        <v>1.4200000000000001E-2</v>
      </c>
      <c r="P333" s="1766">
        <f t="shared" si="170"/>
        <v>5671699.1780152004</v>
      </c>
      <c r="Q333" s="1766">
        <f>'Junio - 2019'!$K$54</f>
        <v>5981732.3665747708</v>
      </c>
      <c r="R333" s="1767">
        <f>'Junio - 2019'!$L$15</f>
        <v>0</v>
      </c>
      <c r="S333" s="2035">
        <f>'Junio - 2019'!$M$15</f>
        <v>22</v>
      </c>
      <c r="T333" s="1768">
        <f>'Junio - 2019'!$Z$89</f>
        <v>0</v>
      </c>
      <c r="U333" s="1764">
        <f>'Junio - 2019'!$AA$89</f>
        <v>0</v>
      </c>
      <c r="V333" s="1764">
        <f t="shared" si="171"/>
        <v>0</v>
      </c>
      <c r="W333" s="1764" t="e">
        <f t="shared" si="172"/>
        <v>#VALUE!</v>
      </c>
      <c r="X333" s="1769">
        <f t="shared" si="173"/>
        <v>199391.0788858257</v>
      </c>
      <c r="Y333" s="1770">
        <f t="shared" si="174"/>
        <v>31482640</v>
      </c>
      <c r="Z333" s="1770">
        <f t="shared" si="175"/>
        <v>5981732.3665747708</v>
      </c>
      <c r="AA333" s="1771">
        <f t="shared" si="176"/>
        <v>25500907.633425228</v>
      </c>
      <c r="AB333" s="1772">
        <f t="shared" si="177"/>
        <v>0.1900009772552356</v>
      </c>
      <c r="AC333" s="1773">
        <f t="shared" si="178"/>
        <v>0.80999902274476443</v>
      </c>
      <c r="AP333" s="1082"/>
      <c r="AQ333" s="1082"/>
    </row>
    <row r="334" spans="2:43" x14ac:dyDescent="0.25">
      <c r="B334" s="1113">
        <f t="shared" si="165"/>
        <v>2019</v>
      </c>
      <c r="C334" s="1114">
        <v>43647</v>
      </c>
      <c r="D334" s="1759">
        <f>'Julio - 2019 '!$N$34+'Julio - 2019 '!$N$43</f>
        <v>114420506.86000001</v>
      </c>
      <c r="E334" s="1760">
        <f>'Julio - 2019 '!$N$54</f>
        <v>125191</v>
      </c>
      <c r="F334" s="1761">
        <f t="shared" si="179"/>
        <v>114545697.86000001</v>
      </c>
      <c r="G334" s="1759">
        <f>'Julio - 2019 '!$M$34+'Julio - 2019 '!$M$43</f>
        <v>5200932.1300000008</v>
      </c>
      <c r="H334" s="1760">
        <f>'Julio - 2019 '!$M$54</f>
        <v>5690.5</v>
      </c>
      <c r="I334" s="1760">
        <f t="shared" si="180"/>
        <v>5206622.6300000008</v>
      </c>
      <c r="J334" s="2068">
        <f>'Julio - 2019 '!$H$22</f>
        <v>0.151</v>
      </c>
      <c r="K334" s="2071">
        <f>'Julio - 2019 '!$I$22</f>
        <v>1.4200000000000001E-2</v>
      </c>
      <c r="L334" s="1762">
        <f t="shared" si="168"/>
        <v>31</v>
      </c>
      <c r="M334" s="1763">
        <f>'Julio - 2019 '!$E$22</f>
        <v>31482640</v>
      </c>
      <c r="N334" s="1764">
        <f t="shared" si="169"/>
        <v>1015569.0322580645</v>
      </c>
      <c r="O334" s="1765">
        <f>'Julio - 2019 '!$I$22</f>
        <v>1.4200000000000001E-2</v>
      </c>
      <c r="P334" s="1766">
        <f t="shared" si="170"/>
        <v>5869182.201933383</v>
      </c>
      <c r="Q334" s="1766">
        <f>'Julio - 2019 '!$K$54</f>
        <v>6190010.4432046823</v>
      </c>
      <c r="R334" s="1767">
        <f>'Julio - 2019 '!$L$15</f>
        <v>0</v>
      </c>
      <c r="S334" s="2035">
        <f>'Julio - 2019 '!$M$15</f>
        <v>22</v>
      </c>
      <c r="T334" s="1768">
        <f>'Julio - 2019 '!$Z$89</f>
        <v>0</v>
      </c>
      <c r="U334" s="1764">
        <f>'Julio - 2019 '!$AA$89</f>
        <v>0</v>
      </c>
      <c r="V334" s="1764">
        <f t="shared" si="171"/>
        <v>0</v>
      </c>
      <c r="W334" s="1764" t="e">
        <f t="shared" si="172"/>
        <v>#VALUE!</v>
      </c>
      <c r="X334" s="1769">
        <f t="shared" si="173"/>
        <v>199677.7562324091</v>
      </c>
      <c r="Y334" s="1770">
        <f t="shared" si="174"/>
        <v>31482640</v>
      </c>
      <c r="Z334" s="1770">
        <f t="shared" si="175"/>
        <v>6190010.4432046823</v>
      </c>
      <c r="AA334" s="1771">
        <f t="shared" si="176"/>
        <v>25292629.556795318</v>
      </c>
      <c r="AB334" s="1772">
        <f t="shared" si="177"/>
        <v>0.19661662564526616</v>
      </c>
      <c r="AC334" s="1773">
        <f t="shared" si="178"/>
        <v>0.80338337435473384</v>
      </c>
      <c r="AP334" s="1082"/>
      <c r="AQ334" s="1082"/>
    </row>
    <row r="335" spans="2:43" x14ac:dyDescent="0.25">
      <c r="B335" s="1113">
        <f t="shared" si="165"/>
        <v>2019</v>
      </c>
      <c r="C335" s="1114">
        <v>43678</v>
      </c>
      <c r="D335" s="1759">
        <f>'Agosto - 2019'!$N$34+'Agosto - 2019'!$N$43</f>
        <v>114420506.86000001</v>
      </c>
      <c r="E335" s="1760">
        <f>'Agosto - 2019'!$N$54</f>
        <v>125191</v>
      </c>
      <c r="F335" s="1761">
        <f t="shared" si="179"/>
        <v>114545697.86000001</v>
      </c>
      <c r="G335" s="1759">
        <f>'Agosto - 2019'!$M$34+'Agosto - 2019'!$M$43</f>
        <v>5200932.1300000008</v>
      </c>
      <c r="H335" s="1760">
        <f>'Agosto - 2019'!$M$54</f>
        <v>5690.5</v>
      </c>
      <c r="I335" s="1760">
        <f t="shared" si="180"/>
        <v>5206622.6300000008</v>
      </c>
      <c r="J335" s="2068">
        <f>'Agosto - 2019'!$H$22</f>
        <v>0.151</v>
      </c>
      <c r="K335" s="2071">
        <f>'Agosto - 2019'!$I$22</f>
        <v>1.4200000000000001E-2</v>
      </c>
      <c r="L335" s="1762">
        <f t="shared" si="168"/>
        <v>31</v>
      </c>
      <c r="M335" s="1763">
        <f>'Agosto - 2019'!$E$22</f>
        <v>31482640</v>
      </c>
      <c r="N335" s="1764">
        <f t="shared" si="169"/>
        <v>1015569.0322580645</v>
      </c>
      <c r="O335" s="1765">
        <f>'Agosto - 2019'!$I$22</f>
        <v>1.4200000000000001E-2</v>
      </c>
      <c r="P335" s="1766">
        <f t="shared" si="170"/>
        <v>5869182.201933383</v>
      </c>
      <c r="Q335" s="1766">
        <f>'Agosto - 2019'!$K$54</f>
        <v>6190010.4432046823</v>
      </c>
      <c r="R335" s="1767">
        <f>'Agosto - 2019'!$L$15</f>
        <v>0</v>
      </c>
      <c r="S335" s="2035">
        <f>'Agosto - 2019'!$M$15</f>
        <v>22</v>
      </c>
      <c r="T335" s="1768">
        <f>'Agosto - 2019'!$Z$89</f>
        <v>0</v>
      </c>
      <c r="U335" s="1764">
        <f>'Agosto - 2019'!$AA$89</f>
        <v>0</v>
      </c>
      <c r="V335" s="1764">
        <f t="shared" si="171"/>
        <v>0</v>
      </c>
      <c r="W335" s="1764" t="e">
        <f t="shared" si="172"/>
        <v>#VALUE!</v>
      </c>
      <c r="X335" s="1769">
        <f t="shared" si="173"/>
        <v>199677.7562324091</v>
      </c>
      <c r="Y335" s="1770">
        <f t="shared" si="174"/>
        <v>31482640</v>
      </c>
      <c r="Z335" s="1770">
        <f t="shared" si="175"/>
        <v>6190010.4432046823</v>
      </c>
      <c r="AA335" s="1771">
        <f t="shared" si="176"/>
        <v>25292629.556795318</v>
      </c>
      <c r="AB335" s="1772">
        <f t="shared" si="177"/>
        <v>0.19661662564526616</v>
      </c>
      <c r="AC335" s="1773">
        <f t="shared" si="178"/>
        <v>0.80338337435473384</v>
      </c>
      <c r="AP335" s="1082"/>
      <c r="AQ335" s="1082"/>
    </row>
    <row r="336" spans="2:43" s="1132" customFormat="1" x14ac:dyDescent="0.25">
      <c r="B336" s="1113">
        <f t="shared" si="165"/>
        <v>2019</v>
      </c>
      <c r="C336" s="1114">
        <v>43709</v>
      </c>
      <c r="D336" s="1759">
        <f>'Septiembre - 2019 '!$N$34+'Septiembre - 2019 '!$N$43</f>
        <v>114103243.10000001</v>
      </c>
      <c r="E336" s="1760">
        <f>'Septiembre - 2019 '!$N$54</f>
        <v>121060.5</v>
      </c>
      <c r="F336" s="1761">
        <f t="shared" si="179"/>
        <v>114224303.60000001</v>
      </c>
      <c r="G336" s="1759">
        <f>'Septiembre - 2019 '!$M$34+'Septiembre - 2019 '!$M$43</f>
        <v>5186511.0500000007</v>
      </c>
      <c r="H336" s="1760">
        <f>'Septiembre - 2019 '!$M$54</f>
        <v>5502.75</v>
      </c>
      <c r="I336" s="1760">
        <f t="shared" si="180"/>
        <v>5192013.8000000007</v>
      </c>
      <c r="J336" s="2068">
        <f>'Septiembre - 2019 '!$H$22</f>
        <v>0.151</v>
      </c>
      <c r="K336" s="2071">
        <f>'Septiembre - 2019 '!$I$22</f>
        <v>1.4200000000000001E-2</v>
      </c>
      <c r="L336" s="1762">
        <f t="shared" si="168"/>
        <v>30</v>
      </c>
      <c r="M336" s="1763">
        <f>'Septiembre - 2019 '!$E$22</f>
        <v>31482640</v>
      </c>
      <c r="N336" s="1764">
        <f t="shared" si="169"/>
        <v>1049421.3333333333</v>
      </c>
      <c r="O336" s="1765">
        <f>'Septiembre - 2019 '!$I$22</f>
        <v>1.4200000000000001E-2</v>
      </c>
      <c r="P336" s="1766">
        <f t="shared" si="170"/>
        <v>5671699.1780152004</v>
      </c>
      <c r="Q336" s="1766">
        <f>'Septiembre - 2019 '!$K$54</f>
        <v>5981732.3665747708</v>
      </c>
      <c r="R336" s="1767">
        <f>'Septiembre - 2019 '!$L$15</f>
        <v>0</v>
      </c>
      <c r="S336" s="2035">
        <f>'Septiembre - 2019 '!$M$15</f>
        <v>22</v>
      </c>
      <c r="T336" s="1768">
        <f>'Septiembre - 2019 '!$Z$89</f>
        <v>0</v>
      </c>
      <c r="U336" s="1764">
        <f>'Septiembre - 2019 '!$AA$89</f>
        <v>0</v>
      </c>
      <c r="V336" s="1764">
        <f t="shared" si="171"/>
        <v>0</v>
      </c>
      <c r="W336" s="1764" t="e">
        <f t="shared" si="172"/>
        <v>#VALUE!</v>
      </c>
      <c r="X336" s="1769">
        <f t="shared" si="173"/>
        <v>199391.0788858257</v>
      </c>
      <c r="Y336" s="1770">
        <f t="shared" si="174"/>
        <v>31482640</v>
      </c>
      <c r="Z336" s="1770">
        <f t="shared" si="175"/>
        <v>5981732.3665747708</v>
      </c>
      <c r="AA336" s="1771">
        <f t="shared" si="176"/>
        <v>25500907.633425228</v>
      </c>
      <c r="AB336" s="1772">
        <f t="shared" si="177"/>
        <v>0.1900009772552356</v>
      </c>
      <c r="AC336" s="1773">
        <f t="shared" si="178"/>
        <v>0.80999902274476443</v>
      </c>
      <c r="AD336" s="1131"/>
      <c r="AE336" s="1131"/>
      <c r="AF336" s="1131"/>
      <c r="AG336" s="1131"/>
      <c r="AH336" s="1131"/>
      <c r="AI336" s="1131"/>
      <c r="AJ336" s="1131"/>
      <c r="AK336" s="1131"/>
      <c r="AL336" s="1131"/>
      <c r="AM336" s="1131"/>
      <c r="AN336" s="1131"/>
      <c r="AO336" s="1131"/>
      <c r="AP336" s="1131"/>
      <c r="AQ336" s="1131"/>
    </row>
    <row r="337" spans="2:29" x14ac:dyDescent="0.25">
      <c r="B337" s="1113">
        <f t="shared" si="165"/>
        <v>2019</v>
      </c>
      <c r="C337" s="1114">
        <v>43739</v>
      </c>
      <c r="D337" s="1759">
        <f>'Octubre - 2019'!$N$34+'Octubre - 2019'!$N$43</f>
        <v>114420506.86000001</v>
      </c>
      <c r="E337" s="1760">
        <f>'Octubre - 2019'!$N$54</f>
        <v>13220.68</v>
      </c>
      <c r="F337" s="1761">
        <f t="shared" si="179"/>
        <v>114433727.54000002</v>
      </c>
      <c r="G337" s="1759">
        <f>'Octubre - 2019'!$M$34+'Octubre - 2019'!$M$43</f>
        <v>5200932.1300000008</v>
      </c>
      <c r="H337" s="1760">
        <f>'Octubre - 2019'!$M$54</f>
        <v>600.94000000000005</v>
      </c>
      <c r="I337" s="1760">
        <f t="shared" si="180"/>
        <v>5201533.0700000012</v>
      </c>
      <c r="J337" s="2068">
        <f>'Octubre - 2019'!$H$22</f>
        <v>0.151</v>
      </c>
      <c r="K337" s="2071">
        <f>'Octubre - 2019'!$I$22</f>
        <v>1.4200000000000001E-2</v>
      </c>
      <c r="L337" s="1762">
        <f t="shared" si="168"/>
        <v>31</v>
      </c>
      <c r="M337" s="1763">
        <f>'Octubre - 2019'!$E$22</f>
        <v>31482640</v>
      </c>
      <c r="N337" s="1764">
        <f t="shared" si="169"/>
        <v>1015569.0322580645</v>
      </c>
      <c r="O337" s="1765">
        <f>'Octubre - 2019'!$I$22</f>
        <v>1.4200000000000001E-2</v>
      </c>
      <c r="P337" s="1766">
        <f t="shared" si="170"/>
        <v>5833940.9159732861</v>
      </c>
      <c r="Q337" s="1766">
        <f>'Octubre - 2019'!$K$54</f>
        <v>6152842.7560176831</v>
      </c>
      <c r="R337" s="1767">
        <f>'Octubre - 2019'!$L$15</f>
        <v>0</v>
      </c>
      <c r="S337" s="2035">
        <f>'Octubre - 2019'!$M$15</f>
        <v>22</v>
      </c>
      <c r="T337" s="1768">
        <f>'Octubre - 2019'!$AD$89</f>
        <v>0</v>
      </c>
      <c r="U337" s="1764">
        <f>'Octubre - 2019'!$AE$89</f>
        <v>0</v>
      </c>
      <c r="V337" s="1764">
        <f t="shared" si="171"/>
        <v>0</v>
      </c>
      <c r="W337" s="1764" t="e">
        <f t="shared" si="172"/>
        <v>#VALUE!</v>
      </c>
      <c r="X337" s="1769">
        <f t="shared" si="173"/>
        <v>198478.79858121558</v>
      </c>
      <c r="Y337" s="1770">
        <f t="shared" si="174"/>
        <v>31482640</v>
      </c>
      <c r="Z337" s="1770">
        <f t="shared" si="175"/>
        <v>6152842.7560176831</v>
      </c>
      <c r="AA337" s="1771">
        <f t="shared" si="176"/>
        <v>25329797.243982315</v>
      </c>
      <c r="AB337" s="1772">
        <f t="shared" si="177"/>
        <v>0.19543604843868503</v>
      </c>
      <c r="AC337" s="1773">
        <f t="shared" si="178"/>
        <v>0.80456395156131499</v>
      </c>
    </row>
    <row r="338" spans="2:29" x14ac:dyDescent="0.25">
      <c r="B338" s="1113">
        <f t="shared" si="165"/>
        <v>2019</v>
      </c>
      <c r="C338" s="1114">
        <v>43770</v>
      </c>
      <c r="D338" s="1759">
        <f>'Noviembre - 2019 '!$N$34+'Noviembre - 2019 '!$N$43</f>
        <v>114103243.10000001</v>
      </c>
      <c r="E338" s="1760">
        <f>'Noviembre - 2019 '!$N$54</f>
        <v>121060.5</v>
      </c>
      <c r="F338" s="1761">
        <f t="shared" si="179"/>
        <v>114224303.60000001</v>
      </c>
      <c r="G338" s="1759">
        <f>'Noviembre - 2019 '!$M$34+'Noviembre - 2019 '!$M$43</f>
        <v>5186511.0500000007</v>
      </c>
      <c r="H338" s="1760">
        <f>'Noviembre - 2019 '!$M$54</f>
        <v>5502.75</v>
      </c>
      <c r="I338" s="1760">
        <f t="shared" si="180"/>
        <v>5192013.8000000007</v>
      </c>
      <c r="J338" s="2068">
        <f>'Noviembre - 2019 '!$H$22</f>
        <v>0.151</v>
      </c>
      <c r="K338" s="2071">
        <f>'Noviembre - 2019 '!$I$22</f>
        <v>1.4200000000000001E-2</v>
      </c>
      <c r="L338" s="1762">
        <f t="shared" si="168"/>
        <v>30</v>
      </c>
      <c r="M338" s="1763">
        <f>'Noviembre - 2019 '!$E$22</f>
        <v>31482640</v>
      </c>
      <c r="N338" s="1764">
        <f t="shared" si="169"/>
        <v>1049421.3333333333</v>
      </c>
      <c r="O338" s="1765">
        <f>'Noviembre - 2019 '!$I$22</f>
        <v>1.4200000000000001E-2</v>
      </c>
      <c r="P338" s="1766">
        <f t="shared" si="170"/>
        <v>5671699.1780152004</v>
      </c>
      <c r="Q338" s="1766">
        <f>'Noviembre - 2019 '!$K$54</f>
        <v>5981732.3665747708</v>
      </c>
      <c r="R338" s="1767">
        <f>'Noviembre - 2019 '!$L$15</f>
        <v>0</v>
      </c>
      <c r="S338" s="2035">
        <f>'Noviembre - 2019 '!$M$15</f>
        <v>22</v>
      </c>
      <c r="T338" s="1768">
        <f>'Noviembre - 2019 '!$Z$89</f>
        <v>0</v>
      </c>
      <c r="U338" s="1764">
        <f>'Noviembre - 2019 '!$AA$89</f>
        <v>0</v>
      </c>
      <c r="V338" s="1764">
        <f t="shared" si="171"/>
        <v>0</v>
      </c>
      <c r="W338" s="1764" t="e">
        <f t="shared" si="172"/>
        <v>#VALUE!</v>
      </c>
      <c r="X338" s="1769">
        <f t="shared" si="173"/>
        <v>199391.0788858257</v>
      </c>
      <c r="Y338" s="1770">
        <f t="shared" si="174"/>
        <v>31482640</v>
      </c>
      <c r="Z338" s="1770">
        <f t="shared" si="175"/>
        <v>5981732.3665747708</v>
      </c>
      <c r="AA338" s="1771">
        <f t="shared" si="176"/>
        <v>25500907.633425228</v>
      </c>
      <c r="AB338" s="1772">
        <f t="shared" si="177"/>
        <v>0.1900009772552356</v>
      </c>
      <c r="AC338" s="1773">
        <f t="shared" si="178"/>
        <v>0.80999902274476443</v>
      </c>
    </row>
    <row r="339" spans="2:29" x14ac:dyDescent="0.25">
      <c r="B339" s="1113">
        <f t="shared" si="165"/>
        <v>2019</v>
      </c>
      <c r="C339" s="1114">
        <v>43800</v>
      </c>
      <c r="D339" s="1759">
        <f>'Diciembre - 2018 '!$N$34+'Diciembre - 2018 '!$N$43</f>
        <v>96951198.562638998</v>
      </c>
      <c r="E339" s="1760">
        <f>'Diciembre - 2018 '!$N$53</f>
        <v>41086.89279552982</v>
      </c>
      <c r="F339" s="1761">
        <f t="shared" si="179"/>
        <v>96992285.455434531</v>
      </c>
      <c r="G339" s="1759">
        <f>'Diciembre - 2018 '!$M$34+'Diciembre - 2018 '!$M$43</f>
        <v>5106484.21</v>
      </c>
      <c r="H339" s="1760">
        <f>'Diciembre - 2018 '!$M$53</f>
        <v>2164.0740125845928</v>
      </c>
      <c r="I339" s="1760">
        <f t="shared" si="180"/>
        <v>5108648.2840125849</v>
      </c>
      <c r="J339" s="2068">
        <f>'Diciembre - 2018 '!$H$22</f>
        <v>0.14799999999999999</v>
      </c>
      <c r="K339" s="2071">
        <f>'Diciembre - 2018 '!$I$22</f>
        <v>1.4200000000000001E-2</v>
      </c>
      <c r="L339" s="1762">
        <f t="shared" si="168"/>
        <v>31</v>
      </c>
      <c r="M339" s="1763">
        <f>'Diciembre - 2018 '!$E$22</f>
        <v>31482640</v>
      </c>
      <c r="N339" s="1764">
        <f t="shared" si="169"/>
        <v>1015569.0322580645</v>
      </c>
      <c r="O339" s="1765">
        <f>'Diciembre - 2018 '!$I$22</f>
        <v>1.4200000000000001E-2</v>
      </c>
      <c r="P339" s="1766">
        <f t="shared" si="170"/>
        <v>2050891.3275082221</v>
      </c>
      <c r="Q339" s="1766">
        <f>'Diciembre - 2018 '!$K$53</f>
        <v>2162999.5966000003</v>
      </c>
      <c r="R339" s="1767" t="str">
        <f>'Diciembre - 2018 '!$L$15</f>
        <v>358-FE</v>
      </c>
      <c r="S339" s="2035">
        <f>'Diciembre - 2018 '!$M$15</f>
        <v>18.985900000000001</v>
      </c>
      <c r="T339" s="1768">
        <f>'Diciembre - 2018 '!$Y$89</f>
        <v>0</v>
      </c>
      <c r="U339" s="1764">
        <f>'Diciembre - 2018 '!$Z$89</f>
        <v>0</v>
      </c>
      <c r="V339" s="1764">
        <f t="shared" si="171"/>
        <v>0</v>
      </c>
      <c r="W339" s="1764" t="e">
        <f t="shared" si="172"/>
        <v>#VALUE!</v>
      </c>
      <c r="X339" s="1769">
        <f t="shared" si="173"/>
        <v>69774.180535483887</v>
      </c>
      <c r="Y339" s="1770">
        <f t="shared" si="174"/>
        <v>31482640</v>
      </c>
      <c r="Z339" s="1770">
        <f t="shared" si="175"/>
        <v>2162999.5966000003</v>
      </c>
      <c r="AA339" s="1771">
        <f t="shared" si="176"/>
        <v>29319640.4034</v>
      </c>
      <c r="AB339" s="1772">
        <f t="shared" si="177"/>
        <v>6.8704517683396318E-2</v>
      </c>
      <c r="AC339" s="1773">
        <f t="shared" si="178"/>
        <v>0.93129548231660364</v>
      </c>
    </row>
    <row r="340" spans="2:29" x14ac:dyDescent="0.25">
      <c r="C340" s="1114">
        <v>43831</v>
      </c>
      <c r="D340" s="1746"/>
      <c r="E340" s="1747"/>
      <c r="F340" s="1748"/>
      <c r="G340" s="1749"/>
      <c r="H340" s="1750"/>
      <c r="I340" s="1750"/>
      <c r="J340" s="1749"/>
      <c r="K340" s="1750"/>
      <c r="L340" s="1750"/>
      <c r="M340" s="1751"/>
      <c r="N340" s="1750"/>
      <c r="O340" s="1750"/>
      <c r="P340" s="1750"/>
      <c r="Q340" s="1750"/>
      <c r="R340" s="1750"/>
      <c r="S340" s="1750"/>
      <c r="T340" s="1749"/>
      <c r="U340" s="1750"/>
      <c r="V340" s="1757"/>
      <c r="W340" s="1757"/>
      <c r="X340" s="1757"/>
      <c r="Y340" s="1747"/>
      <c r="Z340" s="1747"/>
      <c r="AA340" s="1757"/>
      <c r="AB340" s="1757"/>
      <c r="AC340" s="1758"/>
    </row>
    <row r="341" spans="2:29" x14ac:dyDescent="0.25">
      <c r="G341" s="1135"/>
      <c r="H341" s="1135"/>
      <c r="I341" s="1135"/>
      <c r="J341" s="1135"/>
      <c r="K341" s="1135"/>
      <c r="L341" s="1135"/>
      <c r="M341" s="1155"/>
      <c r="N341" s="1135"/>
      <c r="O341" s="1135"/>
      <c r="P341" s="1135"/>
      <c r="Q341" s="1135"/>
      <c r="R341" s="1135"/>
      <c r="S341" s="1135"/>
      <c r="T341" s="1135"/>
      <c r="U341" s="1135"/>
    </row>
    <row r="342" spans="2:29" x14ac:dyDescent="0.25">
      <c r="G342" s="1135"/>
      <c r="H342" s="1135"/>
      <c r="I342" s="1135"/>
      <c r="J342" s="1135"/>
      <c r="K342" s="1135"/>
      <c r="L342" s="1135"/>
      <c r="M342" s="1152"/>
      <c r="N342" s="1135"/>
      <c r="O342" s="1135"/>
      <c r="P342" s="1135"/>
      <c r="Q342" s="1135"/>
      <c r="R342" s="1135"/>
      <c r="S342" s="1135"/>
      <c r="T342" s="1135"/>
      <c r="U342" s="1135"/>
    </row>
    <row r="343" spans="2:29" ht="21" x14ac:dyDescent="0.35">
      <c r="D343" s="2193" t="s">
        <v>369</v>
      </c>
      <c r="E343" s="2193"/>
      <c r="F343" s="2193"/>
      <c r="G343" s="2193"/>
      <c r="H343" s="2193"/>
      <c r="I343" s="2193"/>
      <c r="J343" s="2193"/>
      <c r="K343" s="2193"/>
      <c r="L343" s="1135"/>
      <c r="M343" s="1135"/>
      <c r="N343" s="1135"/>
      <c r="O343" s="1135"/>
    </row>
    <row r="360" spans="4:21" x14ac:dyDescent="0.25">
      <c r="G360" s="1135"/>
      <c r="H360" s="1135"/>
      <c r="I360" s="1135"/>
      <c r="J360" s="1135"/>
      <c r="K360" s="1135"/>
      <c r="L360" s="1135"/>
      <c r="M360" s="1135"/>
      <c r="N360" s="1135"/>
      <c r="O360" s="1135"/>
      <c r="P360" s="1135"/>
      <c r="Q360" s="1135"/>
      <c r="R360" s="1135"/>
      <c r="S360" s="1135"/>
      <c r="T360" s="1135"/>
      <c r="U360" s="1135"/>
    </row>
    <row r="361" spans="4:21" x14ac:dyDescent="0.25">
      <c r="G361" s="1135"/>
      <c r="H361" s="1135"/>
      <c r="I361" s="1135"/>
      <c r="J361" s="1135"/>
      <c r="K361" s="1135"/>
      <c r="L361" s="1135"/>
      <c r="M361" s="1135"/>
      <c r="N361" s="1135"/>
      <c r="O361" s="1135"/>
      <c r="P361" s="1135"/>
      <c r="Q361" s="1135"/>
      <c r="R361" s="1135"/>
      <c r="S361" s="1135"/>
      <c r="T361" s="1135"/>
      <c r="U361" s="1135"/>
    </row>
    <row r="362" spans="4:21" x14ac:dyDescent="0.25">
      <c r="G362" s="1135"/>
      <c r="H362" s="1135"/>
      <c r="I362" s="1135"/>
      <c r="J362" s="1135"/>
      <c r="K362" s="1135"/>
      <c r="L362" s="1135"/>
      <c r="M362" s="1135"/>
      <c r="N362" s="1135"/>
      <c r="O362" s="1135"/>
      <c r="P362" s="1135"/>
      <c r="Q362" s="1135"/>
      <c r="R362" s="1135"/>
      <c r="S362" s="1135"/>
      <c r="T362" s="1135"/>
      <c r="U362" s="1135"/>
    </row>
    <row r="363" spans="4:21" x14ac:dyDescent="0.25">
      <c r="G363" s="1135"/>
      <c r="H363" s="1135"/>
      <c r="I363" s="1135"/>
      <c r="J363" s="1135"/>
      <c r="K363" s="1135"/>
      <c r="L363" s="1135"/>
      <c r="M363" s="1135"/>
      <c r="N363" s="1135"/>
      <c r="O363" s="1135"/>
      <c r="P363" s="1135"/>
      <c r="Q363" s="1135"/>
      <c r="R363" s="1135"/>
      <c r="S363" s="1135"/>
      <c r="T363" s="1135"/>
      <c r="U363" s="1135"/>
    </row>
    <row r="364" spans="4:21" x14ac:dyDescent="0.25">
      <c r="G364" s="1135"/>
      <c r="H364" s="1135"/>
      <c r="I364" s="1135"/>
      <c r="J364" s="1135"/>
      <c r="K364" s="1135"/>
      <c r="L364" s="1135"/>
      <c r="M364" s="1135"/>
      <c r="N364" s="1135"/>
      <c r="O364" s="1135"/>
      <c r="P364" s="1135"/>
      <c r="Q364" s="1135"/>
      <c r="R364" s="1135"/>
      <c r="S364" s="1135"/>
      <c r="T364" s="1135"/>
      <c r="U364" s="1135"/>
    </row>
    <row r="365" spans="4:21" ht="21" x14ac:dyDescent="0.35">
      <c r="D365" s="2193" t="s">
        <v>368</v>
      </c>
      <c r="E365" s="2193"/>
      <c r="F365" s="2193"/>
      <c r="G365" s="2193"/>
      <c r="H365" s="2193"/>
      <c r="I365" s="2193"/>
      <c r="J365" s="2193"/>
      <c r="K365" s="2193"/>
      <c r="L365" s="1135"/>
      <c r="M365" s="1135"/>
      <c r="N365" s="1135"/>
      <c r="O365" s="1135"/>
      <c r="P365" s="1135"/>
      <c r="Q365" s="1135"/>
      <c r="R365" s="1135"/>
      <c r="S365" s="1135"/>
      <c r="T365" s="1135"/>
      <c r="U365" s="1135"/>
    </row>
    <row r="366" spans="4:21" x14ac:dyDescent="0.25">
      <c r="G366" s="1135"/>
      <c r="H366" s="1135"/>
      <c r="I366" s="1135"/>
      <c r="J366" s="1135"/>
      <c r="K366" s="1135"/>
      <c r="L366" s="1135"/>
      <c r="M366" s="1135"/>
      <c r="N366" s="1135"/>
      <c r="O366" s="1135"/>
      <c r="P366" s="1135"/>
      <c r="Q366" s="1135"/>
      <c r="R366" s="1135"/>
      <c r="S366" s="1135"/>
      <c r="T366" s="1135"/>
      <c r="U366" s="1135"/>
    </row>
    <row r="367" spans="4:21" x14ac:dyDescent="0.25">
      <c r="G367" s="1135"/>
      <c r="H367" s="1135"/>
      <c r="I367" s="1135"/>
      <c r="J367" s="1135"/>
      <c r="K367" s="1135"/>
      <c r="L367" s="1135"/>
      <c r="M367" s="1135"/>
      <c r="N367" s="1135"/>
      <c r="O367" s="1135"/>
      <c r="P367" s="1135"/>
      <c r="Q367" s="1135"/>
      <c r="R367" s="1135"/>
      <c r="S367" s="1135"/>
      <c r="T367" s="1135"/>
      <c r="U367" s="1135"/>
    </row>
    <row r="368" spans="4:21" x14ac:dyDescent="0.25">
      <c r="G368" s="1135"/>
      <c r="H368" s="1135"/>
      <c r="I368" s="1135"/>
      <c r="J368" s="1135"/>
      <c r="K368" s="1135"/>
      <c r="L368" s="1135"/>
      <c r="M368" s="1135"/>
      <c r="N368" s="1135"/>
      <c r="O368" s="1135"/>
      <c r="P368" s="1135"/>
      <c r="Q368" s="1135"/>
      <c r="R368" s="1135"/>
      <c r="S368" s="1135"/>
      <c r="T368" s="1135"/>
      <c r="U368" s="1135"/>
    </row>
    <row r="369" spans="7:21" x14ac:dyDescent="0.25">
      <c r="G369" s="1135"/>
      <c r="H369" s="1135"/>
      <c r="I369" s="1135"/>
      <c r="J369" s="1135"/>
      <c r="K369" s="1135"/>
      <c r="L369" s="1135"/>
      <c r="M369" s="1135"/>
      <c r="N369" s="1135"/>
      <c r="O369" s="1135"/>
      <c r="P369" s="1135"/>
      <c r="Q369" s="1135"/>
      <c r="R369" s="1135"/>
      <c r="S369" s="1135"/>
      <c r="T369" s="1135"/>
      <c r="U369" s="1135"/>
    </row>
    <row r="370" spans="7:21" x14ac:dyDescent="0.25">
      <c r="G370" s="1135"/>
      <c r="H370" s="1135"/>
      <c r="I370" s="1135"/>
      <c r="J370" s="1135"/>
      <c r="K370" s="1135"/>
      <c r="L370" s="1135"/>
      <c r="M370" s="1135"/>
      <c r="N370" s="1135"/>
      <c r="O370" s="1135"/>
      <c r="P370" s="1135"/>
      <c r="Q370" s="1135"/>
      <c r="R370" s="1135"/>
      <c r="S370" s="1135"/>
      <c r="T370" s="1135"/>
      <c r="U370" s="1135"/>
    </row>
    <row r="371" spans="7:21" x14ac:dyDescent="0.25">
      <c r="G371" s="1135"/>
      <c r="H371" s="1135"/>
      <c r="I371" s="1135"/>
      <c r="J371" s="1135"/>
      <c r="K371" s="1135"/>
      <c r="L371" s="1135"/>
      <c r="M371" s="1135"/>
      <c r="N371" s="1135"/>
      <c r="O371" s="1135"/>
      <c r="P371" s="1135"/>
      <c r="Q371" s="1135"/>
      <c r="R371" s="1135"/>
      <c r="S371" s="1135"/>
      <c r="T371" s="1135"/>
      <c r="U371" s="1135"/>
    </row>
    <row r="372" spans="7:21" x14ac:dyDescent="0.25">
      <c r="G372" s="1135"/>
      <c r="H372" s="1135"/>
      <c r="I372" s="1135"/>
      <c r="J372" s="1135"/>
      <c r="K372" s="1135"/>
      <c r="L372" s="1135"/>
      <c r="M372" s="1135"/>
      <c r="N372" s="1135"/>
      <c r="O372" s="1135"/>
      <c r="P372" s="1135"/>
      <c r="Q372" s="1135"/>
      <c r="R372" s="1135"/>
      <c r="S372" s="1135"/>
      <c r="T372" s="1135"/>
      <c r="U372" s="1135"/>
    </row>
    <row r="373" spans="7:21" x14ac:dyDescent="0.25">
      <c r="G373" s="1135"/>
      <c r="H373" s="1135"/>
      <c r="I373" s="1135"/>
      <c r="J373" s="1135"/>
      <c r="K373" s="1135"/>
      <c r="L373" s="1135"/>
      <c r="M373" s="1135"/>
      <c r="N373" s="1135"/>
      <c r="O373" s="1135"/>
      <c r="P373" s="1135"/>
      <c r="Q373" s="1135"/>
      <c r="R373" s="1135"/>
      <c r="S373" s="1135"/>
      <c r="T373" s="1135"/>
      <c r="U373" s="1135"/>
    </row>
    <row r="374" spans="7:21" x14ac:dyDescent="0.25">
      <c r="G374" s="1135"/>
      <c r="H374" s="1135"/>
      <c r="I374" s="1135"/>
      <c r="J374" s="1135"/>
      <c r="K374" s="1135"/>
      <c r="L374" s="1135"/>
      <c r="M374" s="1135"/>
      <c r="N374" s="1135"/>
      <c r="O374" s="1135"/>
      <c r="P374" s="1135"/>
      <c r="Q374" s="1135"/>
      <c r="R374" s="1135"/>
      <c r="S374" s="1135"/>
      <c r="T374" s="1135"/>
      <c r="U374" s="1135"/>
    </row>
    <row r="375" spans="7:21" x14ac:dyDescent="0.25">
      <c r="G375" s="1135"/>
      <c r="H375" s="1135"/>
      <c r="I375" s="1135"/>
      <c r="J375" s="1135"/>
      <c r="K375" s="1135"/>
      <c r="L375" s="1135"/>
      <c r="M375" s="1135"/>
      <c r="N375" s="1135"/>
      <c r="O375" s="1135"/>
      <c r="P375" s="1135"/>
      <c r="Q375" s="1135"/>
      <c r="R375" s="1135"/>
      <c r="S375" s="1135"/>
      <c r="T375" s="1135"/>
      <c r="U375" s="1135"/>
    </row>
    <row r="376" spans="7:21" x14ac:dyDescent="0.25">
      <c r="G376" s="1135"/>
      <c r="H376" s="1135"/>
      <c r="I376" s="1135"/>
      <c r="J376" s="1135"/>
      <c r="K376" s="1135"/>
      <c r="L376" s="1135"/>
      <c r="M376" s="1135"/>
      <c r="N376" s="1135"/>
      <c r="O376" s="1135"/>
      <c r="P376" s="1135"/>
      <c r="Q376" s="1135"/>
      <c r="R376" s="1135"/>
      <c r="S376" s="1135"/>
      <c r="T376" s="1135"/>
      <c r="U376" s="1135"/>
    </row>
    <row r="377" spans="7:21" x14ac:dyDescent="0.25">
      <c r="G377" s="1135"/>
      <c r="H377" s="1135"/>
      <c r="I377" s="1135"/>
      <c r="J377" s="1135"/>
      <c r="K377" s="1135"/>
      <c r="L377" s="1135"/>
      <c r="M377" s="1135"/>
      <c r="N377" s="1135"/>
      <c r="O377" s="1135"/>
      <c r="P377" s="1135"/>
      <c r="Q377" s="1135"/>
      <c r="R377" s="1135"/>
      <c r="S377" s="1135"/>
      <c r="T377" s="1135"/>
      <c r="U377" s="1135"/>
    </row>
    <row r="378" spans="7:21" x14ac:dyDescent="0.25">
      <c r="G378" s="1135"/>
      <c r="H378" s="1135"/>
      <c r="I378" s="1135"/>
      <c r="J378" s="1135"/>
      <c r="K378" s="1135"/>
      <c r="L378" s="1135"/>
      <c r="M378" s="1135"/>
      <c r="N378" s="1135"/>
      <c r="O378" s="1135"/>
      <c r="P378" s="1135"/>
      <c r="Q378" s="1135"/>
      <c r="R378" s="1135"/>
      <c r="S378" s="1135"/>
      <c r="T378" s="1135"/>
      <c r="U378" s="1135"/>
    </row>
    <row r="379" spans="7:21" x14ac:dyDescent="0.25">
      <c r="G379" s="1135"/>
      <c r="H379" s="1135"/>
      <c r="I379" s="1135"/>
      <c r="J379" s="1135"/>
      <c r="K379" s="1135"/>
      <c r="L379" s="1135"/>
      <c r="M379" s="1135"/>
      <c r="N379" s="1135"/>
      <c r="O379" s="1135"/>
      <c r="P379" s="1135"/>
      <c r="Q379" s="1135"/>
      <c r="R379" s="1135"/>
      <c r="S379" s="1135"/>
      <c r="T379" s="1135"/>
      <c r="U379" s="1135"/>
    </row>
    <row r="380" spans="7:21" x14ac:dyDescent="0.25">
      <c r="G380" s="1135"/>
      <c r="H380" s="1135"/>
      <c r="I380" s="1135"/>
      <c r="J380" s="1135"/>
      <c r="K380" s="1135"/>
      <c r="L380" s="1135"/>
      <c r="M380" s="1135"/>
      <c r="N380" s="1135"/>
      <c r="O380" s="1135"/>
      <c r="P380" s="1135"/>
      <c r="Q380" s="1135"/>
      <c r="R380" s="1135"/>
      <c r="S380" s="1135"/>
      <c r="T380" s="1135"/>
      <c r="U380" s="1135"/>
    </row>
    <row r="381" spans="7:21" x14ac:dyDescent="0.25">
      <c r="G381" s="1135"/>
      <c r="H381" s="1135"/>
      <c r="I381" s="1135"/>
      <c r="J381" s="1135"/>
      <c r="K381" s="1135"/>
      <c r="L381" s="1135"/>
      <c r="M381" s="1135"/>
      <c r="N381" s="1135"/>
      <c r="O381" s="1135"/>
      <c r="P381" s="1135"/>
      <c r="Q381" s="1135"/>
      <c r="R381" s="1135"/>
      <c r="S381" s="1135"/>
      <c r="T381" s="1135"/>
      <c r="U381" s="1135"/>
    </row>
    <row r="382" spans="7:21" x14ac:dyDescent="0.25">
      <c r="G382" s="1135"/>
      <c r="H382" s="1135"/>
      <c r="I382" s="1135"/>
      <c r="J382" s="1135"/>
      <c r="K382" s="1135"/>
      <c r="L382" s="1135"/>
      <c r="M382" s="1135"/>
      <c r="N382" s="1135"/>
      <c r="O382" s="1135"/>
      <c r="P382" s="1135"/>
      <c r="Q382" s="1135"/>
      <c r="R382" s="1135"/>
      <c r="S382" s="1135"/>
      <c r="T382" s="1135"/>
      <c r="U382" s="1135"/>
    </row>
    <row r="383" spans="7:21" x14ac:dyDescent="0.25">
      <c r="G383" s="1135"/>
      <c r="H383" s="1135"/>
      <c r="I383" s="1135"/>
      <c r="J383" s="1135"/>
      <c r="K383" s="1135"/>
      <c r="L383" s="1135"/>
      <c r="M383" s="1135"/>
      <c r="N383" s="1135"/>
      <c r="O383" s="1135"/>
      <c r="P383" s="1135"/>
      <c r="Q383" s="1135"/>
      <c r="R383" s="1135"/>
      <c r="S383" s="1135"/>
      <c r="T383" s="1135"/>
      <c r="U383" s="1135"/>
    </row>
    <row r="384" spans="7:21" x14ac:dyDescent="0.25">
      <c r="G384" s="1135"/>
      <c r="H384" s="1135"/>
      <c r="I384" s="1135"/>
      <c r="J384" s="1135"/>
      <c r="K384" s="1135"/>
      <c r="L384" s="1135"/>
      <c r="M384" s="1135"/>
      <c r="N384" s="1135"/>
      <c r="O384" s="1135"/>
      <c r="P384" s="1135"/>
      <c r="Q384" s="1135"/>
      <c r="R384" s="1135"/>
      <c r="S384" s="1135"/>
      <c r="T384" s="1135"/>
      <c r="U384" s="1135"/>
    </row>
    <row r="385" spans="4:29" x14ac:dyDescent="0.25">
      <c r="G385" s="1135"/>
      <c r="H385" s="1135"/>
      <c r="I385" s="1135"/>
      <c r="J385" s="1135"/>
      <c r="K385" s="1135"/>
      <c r="L385" s="1135"/>
      <c r="M385" s="1135"/>
      <c r="N385" s="1135"/>
      <c r="O385" s="1135"/>
      <c r="P385" s="1135"/>
      <c r="Q385" s="1135"/>
      <c r="R385" s="1135"/>
      <c r="S385" s="1135"/>
      <c r="T385" s="1135"/>
      <c r="U385" s="1135"/>
    </row>
    <row r="386" spans="4:29" x14ac:dyDescent="0.25">
      <c r="G386" s="1135"/>
      <c r="H386" s="1135"/>
      <c r="I386" s="1135"/>
      <c r="J386" s="1135"/>
      <c r="K386" s="1135"/>
      <c r="L386" s="1135"/>
      <c r="M386" s="1135"/>
      <c r="N386" s="1135"/>
      <c r="O386" s="1135"/>
      <c r="P386" s="1135"/>
      <c r="Q386" s="1135"/>
      <c r="R386" s="1135"/>
      <c r="S386" s="1135"/>
      <c r="T386" s="1135"/>
      <c r="U386" s="1135"/>
    </row>
    <row r="387" spans="4:29" x14ac:dyDescent="0.25">
      <c r="G387" s="1135"/>
      <c r="H387" s="1135"/>
      <c r="I387" s="1135"/>
      <c r="J387" s="1135"/>
      <c r="K387" s="1135"/>
      <c r="L387" s="1135"/>
      <c r="M387" s="1135"/>
      <c r="N387" s="1135"/>
      <c r="O387" s="1135"/>
      <c r="P387" s="1135"/>
      <c r="Q387" s="1135"/>
      <c r="R387" s="1135"/>
      <c r="S387" s="1135"/>
      <c r="T387" s="1135"/>
      <c r="U387" s="1135"/>
    </row>
    <row r="388" spans="4:29" ht="21" x14ac:dyDescent="0.35">
      <c r="D388" s="2193" t="s">
        <v>356</v>
      </c>
      <c r="E388" s="2193"/>
      <c r="F388" s="2193"/>
      <c r="G388" s="2193"/>
      <c r="H388" s="2193"/>
      <c r="I388" s="2193"/>
      <c r="J388" s="2193"/>
      <c r="K388" s="2193"/>
      <c r="L388" s="1135"/>
      <c r="M388" s="1135"/>
      <c r="N388" s="1135"/>
      <c r="O388" s="1135"/>
      <c r="P388" s="1135"/>
      <c r="Q388" s="1135"/>
      <c r="R388" s="1135"/>
      <c r="S388" s="1135"/>
      <c r="T388" s="1135"/>
      <c r="U388" s="1135"/>
    </row>
    <row r="389" spans="4:29" x14ac:dyDescent="0.25">
      <c r="G389" s="1135"/>
      <c r="H389" s="1135"/>
      <c r="I389" s="1135"/>
      <c r="J389" s="1135"/>
      <c r="K389" s="1135"/>
      <c r="L389" s="1135"/>
      <c r="M389" s="1135"/>
      <c r="N389" s="1135"/>
      <c r="O389" s="1135"/>
      <c r="P389" s="1135"/>
      <c r="Q389" s="1135"/>
      <c r="R389" s="1135"/>
      <c r="S389" s="1135"/>
      <c r="T389" s="1135"/>
      <c r="U389" s="1135"/>
    </row>
    <row r="390" spans="4:29" ht="16.5" thickBot="1" x14ac:dyDescent="0.3">
      <c r="G390" s="1135"/>
      <c r="H390" s="1135"/>
      <c r="I390" s="1135"/>
      <c r="J390" s="1135"/>
      <c r="K390" s="1135"/>
      <c r="L390" s="1135"/>
      <c r="M390" s="1135"/>
      <c r="N390" s="1135"/>
      <c r="O390" s="1135"/>
      <c r="P390" s="1135"/>
      <c r="Q390" s="1135"/>
      <c r="R390" s="1135"/>
      <c r="S390" s="1135"/>
      <c r="T390" s="1135"/>
      <c r="U390" s="1135"/>
    </row>
    <row r="391" spans="4:29" ht="20.25" thickTop="1" thickBot="1" x14ac:dyDescent="0.3">
      <c r="D391" s="1148"/>
      <c r="E391" s="1149" t="s">
        <v>248</v>
      </c>
      <c r="F391" s="1149" t="s">
        <v>249</v>
      </c>
      <c r="G391" s="1149" t="s">
        <v>250</v>
      </c>
      <c r="H391" s="1149" t="s">
        <v>251</v>
      </c>
      <c r="I391" s="1149" t="s">
        <v>252</v>
      </c>
      <c r="J391" s="1149" t="s">
        <v>253</v>
      </c>
      <c r="K391" s="1149" t="s">
        <v>254</v>
      </c>
      <c r="L391" s="1149" t="s">
        <v>255</v>
      </c>
      <c r="M391" s="1149" t="s">
        <v>256</v>
      </c>
      <c r="N391" s="1149" t="s">
        <v>257</v>
      </c>
      <c r="O391" s="1149" t="s">
        <v>258</v>
      </c>
      <c r="P391" s="1149" t="s">
        <v>259</v>
      </c>
      <c r="Q391" s="1135"/>
      <c r="R391" s="1135"/>
      <c r="S391" s="1135"/>
      <c r="T391" s="1135"/>
      <c r="U391" s="1135"/>
    </row>
    <row r="392" spans="4:29" ht="36" customHeight="1" thickTop="1" thickBot="1" x14ac:dyDescent="0.3">
      <c r="D392" s="1150" t="s">
        <v>260</v>
      </c>
      <c r="E392" s="1151">
        <v>80</v>
      </c>
      <c r="F392" s="1151">
        <v>80</v>
      </c>
      <c r="G392" s="1151">
        <v>80</v>
      </c>
      <c r="H392" s="1151">
        <v>80</v>
      </c>
      <c r="I392" s="1151">
        <v>80</v>
      </c>
      <c r="J392" s="1151">
        <v>80</v>
      </c>
      <c r="K392" s="1151">
        <v>80</v>
      </c>
      <c r="L392" s="1151">
        <v>80</v>
      </c>
      <c r="M392" s="1151">
        <v>80</v>
      </c>
      <c r="N392" s="1308">
        <f>'Octubre - 2018  '!$W31</f>
        <v>9.4117647058823528E-2</v>
      </c>
      <c r="O392" s="1308">
        <f>'Noviembre - 2018  '!$W31</f>
        <v>9.4117647058823528E-2</v>
      </c>
      <c r="P392" s="1308">
        <f>'Diciembre - 2019  '!$W32</f>
        <v>0.11176470588235295</v>
      </c>
      <c r="Q392" s="1135"/>
      <c r="R392" s="1135"/>
    </row>
    <row r="393" spans="4:29" ht="34.5" customHeight="1" thickTop="1" thickBot="1" x14ac:dyDescent="0.3">
      <c r="D393" s="1150" t="s">
        <v>261</v>
      </c>
      <c r="E393" s="1151"/>
      <c r="F393" s="1151"/>
      <c r="G393" s="1151"/>
      <c r="H393" s="1151"/>
      <c r="I393" s="1151">
        <v>80</v>
      </c>
      <c r="J393" s="1151">
        <v>80</v>
      </c>
      <c r="K393" s="1151">
        <v>80</v>
      </c>
      <c r="L393" s="1151">
        <v>80</v>
      </c>
      <c r="M393" s="1151">
        <v>80</v>
      </c>
      <c r="N393" s="1308">
        <f>'Octubre - 2018  '!$W28</f>
        <v>9.4117647058823528E-2</v>
      </c>
      <c r="O393" s="1308">
        <f>'Noviembre - 2018  '!$W28</f>
        <v>9.4117647058823528E-2</v>
      </c>
      <c r="P393" s="1308">
        <f>'Diciembre - 2019  '!$W28</f>
        <v>9.4117647058823528E-2</v>
      </c>
      <c r="Q393" s="1135"/>
      <c r="R393" s="1135"/>
      <c r="AC393" s="1136"/>
    </row>
    <row r="394" spans="4:29" ht="39.75" customHeight="1" thickTop="1" thickBot="1" x14ac:dyDescent="0.3">
      <c r="D394" s="1150" t="s">
        <v>262</v>
      </c>
      <c r="E394" s="1151"/>
      <c r="F394" s="1151"/>
      <c r="G394" s="1151"/>
      <c r="H394" s="1151"/>
      <c r="I394" s="1151">
        <v>40</v>
      </c>
      <c r="J394" s="1151">
        <v>40</v>
      </c>
      <c r="K394" s="1151">
        <v>40</v>
      </c>
      <c r="L394" s="1151">
        <v>40</v>
      </c>
      <c r="M394" s="1151">
        <v>40</v>
      </c>
      <c r="N394" s="1308">
        <f>'Octubre - 2018  '!$W29</f>
        <v>4.7058823529411764E-2</v>
      </c>
      <c r="O394" s="1308">
        <f>'Noviembre - 2018  '!$W29</f>
        <v>4.7058823529411764E-2</v>
      </c>
      <c r="P394" s="1308">
        <f>'Diciembre - 2019  '!$W30</f>
        <v>2.5882352941176471E-2</v>
      </c>
    </row>
    <row r="395" spans="4:29" ht="57.75" thickTop="1" thickBot="1" x14ac:dyDescent="0.35">
      <c r="D395" s="1150" t="s">
        <v>290</v>
      </c>
      <c r="E395" s="1151"/>
      <c r="F395" s="1151"/>
      <c r="G395" s="1151"/>
      <c r="H395" s="1151"/>
      <c r="I395" s="1151"/>
      <c r="J395" s="1151"/>
      <c r="K395" s="1151">
        <v>70</v>
      </c>
      <c r="L395" s="1151">
        <v>70</v>
      </c>
      <c r="M395" s="1151">
        <v>70</v>
      </c>
      <c r="N395" s="1308">
        <f>'Octubre - 2018  '!$W30</f>
        <v>7.7873931802656546E-2</v>
      </c>
      <c r="O395" s="1308">
        <f>'Noviembre - 2018  '!$W30</f>
        <v>8.4541897294117666E-2</v>
      </c>
      <c r="P395" s="1308">
        <f>'Diciembre - 2019  '!$W31</f>
        <v>0</v>
      </c>
      <c r="W395" s="1137" t="str">
        <f>Y12</f>
        <v>CAPACIDAD RESERVADA</v>
      </c>
      <c r="X395" s="1138" t="str">
        <f>Z12</f>
        <v>CAPACIDAD UTILIZADA</v>
      </c>
      <c r="Y395" s="1139" t="str">
        <f>AB12</f>
        <v>CAPACIDAD UTILIZADA</v>
      </c>
    </row>
    <row r="396" spans="4:29" ht="39" customHeight="1" thickTop="1" thickBot="1" x14ac:dyDescent="0.35">
      <c r="D396" s="1150" t="s">
        <v>263</v>
      </c>
      <c r="E396" s="1151">
        <f>850-E392-E393-E394-E395</f>
        <v>770</v>
      </c>
      <c r="F396" s="1151">
        <f t="shared" ref="F396:M396" si="181">850-F392-F393-F394-F395</f>
        <v>770</v>
      </c>
      <c r="G396" s="1151">
        <f t="shared" si="181"/>
        <v>770</v>
      </c>
      <c r="H396" s="1151">
        <f t="shared" si="181"/>
        <v>770</v>
      </c>
      <c r="I396" s="1151">
        <f t="shared" si="181"/>
        <v>650</v>
      </c>
      <c r="J396" s="1151">
        <f t="shared" si="181"/>
        <v>650</v>
      </c>
      <c r="K396" s="1151">
        <f t="shared" si="181"/>
        <v>580</v>
      </c>
      <c r="L396" s="1151">
        <f t="shared" si="181"/>
        <v>580</v>
      </c>
      <c r="M396" s="1151">
        <f t="shared" si="181"/>
        <v>580</v>
      </c>
      <c r="N396" s="1308">
        <f>1-N392-N393-N394-N395</f>
        <v>0.68683195055028456</v>
      </c>
      <c r="O396" s="1308">
        <f>1-O392-O393-O394-O395</f>
        <v>0.68016398505882347</v>
      </c>
      <c r="P396" s="1308">
        <f>1-P392-P393-P394-P395</f>
        <v>0.76823529411764702</v>
      </c>
      <c r="W396" s="1140" t="str">
        <f>Y13</f>
        <v xml:space="preserve"> (GJ /MES)</v>
      </c>
      <c r="X396" s="1141" t="str">
        <f>Z13</f>
        <v xml:space="preserve"> (GJ/MES)</v>
      </c>
      <c r="Y396" s="1142" t="str">
        <f>AB13</f>
        <v>%</v>
      </c>
    </row>
    <row r="397" spans="4:29" ht="19.5" thickTop="1" x14ac:dyDescent="0.3">
      <c r="W397" s="1143">
        <f>Y75</f>
        <v>31482640</v>
      </c>
      <c r="X397" s="1144">
        <f>Z75</f>
        <v>9122786.297378175</v>
      </c>
      <c r="Y397" s="1145">
        <v>6.84</v>
      </c>
    </row>
    <row r="412" spans="8:21" x14ac:dyDescent="0.25">
      <c r="H412" s="1077"/>
      <c r="M412" s="1077"/>
      <c r="P412" s="1135"/>
      <c r="Q412" s="1135"/>
      <c r="R412" s="1135"/>
      <c r="S412" s="1135"/>
      <c r="T412" s="1135"/>
      <c r="U412" s="1135"/>
    </row>
    <row r="413" spans="8:21" x14ac:dyDescent="0.25">
      <c r="H413" s="1077"/>
      <c r="M413" s="1077"/>
    </row>
    <row r="415" spans="8:21" x14ac:dyDescent="0.25">
      <c r="H415" s="1077"/>
      <c r="M415" s="1077"/>
    </row>
    <row r="416" spans="8:21" x14ac:dyDescent="0.25">
      <c r="H416" s="1077"/>
      <c r="M416" s="1077"/>
    </row>
    <row r="418" spans="4:15" x14ac:dyDescent="0.25">
      <c r="H418" s="1077"/>
      <c r="M418" s="1077"/>
    </row>
    <row r="419" spans="4:15" x14ac:dyDescent="0.25">
      <c r="H419" s="1077"/>
      <c r="M419" s="1077"/>
    </row>
    <row r="420" spans="4:15" x14ac:dyDescent="0.25">
      <c r="H420" s="1077"/>
      <c r="M420" s="1077"/>
    </row>
    <row r="421" spans="4:15" x14ac:dyDescent="0.25">
      <c r="H421" s="1077"/>
      <c r="M421" s="1077"/>
    </row>
    <row r="422" spans="4:15" ht="21" x14ac:dyDescent="0.35">
      <c r="D422" s="2193" t="s">
        <v>356</v>
      </c>
      <c r="E422" s="2193"/>
      <c r="F422" s="2193"/>
      <c r="G422" s="2193"/>
      <c r="H422" s="2193"/>
      <c r="I422" s="2193"/>
      <c r="J422" s="2193"/>
      <c r="K422" s="2193"/>
      <c r="L422" s="1135"/>
      <c r="M422" s="1135"/>
      <c r="N422" s="1135"/>
      <c r="O422" s="1135"/>
    </row>
    <row r="447" spans="8:24" x14ac:dyDescent="0.25">
      <c r="H447" s="1077"/>
      <c r="M447" s="1077"/>
      <c r="Q447" s="1077"/>
      <c r="U447" s="1077"/>
      <c r="V447" s="1077"/>
      <c r="W447" s="1077"/>
      <c r="X447" s="1077"/>
    </row>
  </sheetData>
  <mergeCells count="12">
    <mergeCell ref="D388:K388"/>
    <mergeCell ref="D422:K422"/>
    <mergeCell ref="D343:K343"/>
    <mergeCell ref="T11:AC11"/>
    <mergeCell ref="D11:I11"/>
    <mergeCell ref="J11:S11"/>
    <mergeCell ref="D365:K365"/>
    <mergeCell ref="C11:C13"/>
    <mergeCell ref="B11:B13"/>
    <mergeCell ref="L12:L13"/>
    <mergeCell ref="R12:R13"/>
    <mergeCell ref="S12:S13"/>
  </mergeCells>
  <conditionalFormatting sqref="AC14:AC15 AC17:AC26 AC28:AC38 AC40:AC74">
    <cfRule type="dataBar" priority="19">
      <dataBar>
        <cfvo type="min"/>
        <cfvo type="max"/>
        <color theme="0" tint="-0.499984740745262"/>
      </dataBar>
      <extLst>
        <ext xmlns:x14="http://schemas.microsoft.com/office/spreadsheetml/2009/9/main" uri="{B025F937-C7B1-47D3-B67F-A62EFF666E3E}">
          <x14:id>{BFB98D16-5925-4A3E-ACB4-4DF3CB5FDDE2}</x14:id>
        </ext>
      </extLst>
    </cfRule>
    <cfRule type="dataBar" priority="22">
      <dataBar>
        <cfvo type="min"/>
        <cfvo type="max"/>
        <color rgb="FFFF0000"/>
      </dataBar>
      <extLst>
        <ext xmlns:x14="http://schemas.microsoft.com/office/spreadsheetml/2009/9/main" uri="{B025F937-C7B1-47D3-B67F-A62EFF666E3E}">
          <x14:id>{DF4BB945-058F-4F49-8C10-D26452152EEB}</x14:id>
        </ext>
      </extLst>
    </cfRule>
  </conditionalFormatting>
  <conditionalFormatting sqref="AB14:AB15 AB17:AB26 AB28:AB38 AB40:AB74">
    <cfRule type="dataBar" priority="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{83C89EE5-F9B3-4F3C-BC82-F2CB11081D04}</x14:id>
        </ext>
      </extLst>
    </cfRule>
  </conditionalFormatting>
  <conditionalFormatting sqref="AC75:AC339">
    <cfRule type="dataBar" priority="16">
      <dataBar>
        <cfvo type="min"/>
        <cfvo type="max"/>
        <color theme="0" tint="-0.499984740745262"/>
      </dataBar>
      <extLst>
        <ext xmlns:x14="http://schemas.microsoft.com/office/spreadsheetml/2009/9/main" uri="{B025F937-C7B1-47D3-B67F-A62EFF666E3E}">
          <x14:id>{2B84F4CD-F834-6F4D-8912-DD1E84FF921B}</x14:id>
        </ext>
      </extLst>
    </cfRule>
    <cfRule type="dataBar" priority="18">
      <dataBar>
        <cfvo type="min"/>
        <cfvo type="max"/>
        <color rgb="FFFF0000"/>
      </dataBar>
      <extLst>
        <ext xmlns:x14="http://schemas.microsoft.com/office/spreadsheetml/2009/9/main" uri="{B025F937-C7B1-47D3-B67F-A62EFF666E3E}">
          <x14:id>{A9C94D2B-C0C6-6547-AAAE-B3AC0C834F1E}</x14:id>
        </ext>
      </extLst>
    </cfRule>
  </conditionalFormatting>
  <conditionalFormatting sqref="AB75:AB339">
    <cfRule type="dataBar" priority="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{88ABDE44-1326-744F-8580-9B5EE7E455F3}</x14:id>
        </ext>
      </extLst>
    </cfRule>
  </conditionalFormatting>
  <conditionalFormatting sqref="AC16">
    <cfRule type="dataBar" priority="7">
      <dataBar>
        <cfvo type="min"/>
        <cfvo type="max"/>
        <color theme="0" tint="-0.499984740745262"/>
      </dataBar>
      <extLst>
        <ext xmlns:x14="http://schemas.microsoft.com/office/spreadsheetml/2009/9/main" uri="{B025F937-C7B1-47D3-B67F-A62EFF666E3E}">
          <x14:id>{9D9E6E19-EF8A-4715-B572-DC1A355BD77D}</x14:id>
        </ext>
      </extLst>
    </cfRule>
    <cfRule type="dataBar" priority="9">
      <dataBar>
        <cfvo type="min"/>
        <cfvo type="max"/>
        <color rgb="FFFF0000"/>
      </dataBar>
      <extLst>
        <ext xmlns:x14="http://schemas.microsoft.com/office/spreadsheetml/2009/9/main" uri="{B025F937-C7B1-47D3-B67F-A62EFF666E3E}">
          <x14:id>{7C4B1CA4-25CE-4054-9684-981A05BD2808}</x14:id>
        </ext>
      </extLst>
    </cfRule>
  </conditionalFormatting>
  <conditionalFormatting sqref="AB16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{BDB4C940-8E17-465B-B91D-4A73D97DD82D}</x14:id>
        </ext>
      </extLst>
    </cfRule>
  </conditionalFormatting>
  <conditionalFormatting sqref="AC27">
    <cfRule type="dataBar" priority="4">
      <dataBar>
        <cfvo type="min"/>
        <cfvo type="max"/>
        <color theme="0" tint="-0.499984740745262"/>
      </dataBar>
      <extLst>
        <ext xmlns:x14="http://schemas.microsoft.com/office/spreadsheetml/2009/9/main" uri="{B025F937-C7B1-47D3-B67F-A62EFF666E3E}">
          <x14:id>{887D0448-2CD1-4258-B29D-5238F86F346C}</x14:id>
        </ext>
      </extLst>
    </cfRule>
    <cfRule type="dataBar" priority="6">
      <dataBar>
        <cfvo type="min"/>
        <cfvo type="max"/>
        <color rgb="FFFF0000"/>
      </dataBar>
      <extLst>
        <ext xmlns:x14="http://schemas.microsoft.com/office/spreadsheetml/2009/9/main" uri="{B025F937-C7B1-47D3-B67F-A62EFF666E3E}">
          <x14:id>{60518BA4-4ACB-49EF-B24E-449214DB71FE}</x14:id>
        </ext>
      </extLst>
    </cfRule>
  </conditionalFormatting>
  <conditionalFormatting sqref="AB27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{8649559E-A057-41F0-87FC-DB89F6912A0D}</x14:id>
        </ext>
      </extLst>
    </cfRule>
  </conditionalFormatting>
  <conditionalFormatting sqref="AC39">
    <cfRule type="dataBar" priority="1">
      <dataBar>
        <cfvo type="min"/>
        <cfvo type="max"/>
        <color theme="0" tint="-0.499984740745262"/>
      </dataBar>
      <extLst>
        <ext xmlns:x14="http://schemas.microsoft.com/office/spreadsheetml/2009/9/main" uri="{B025F937-C7B1-47D3-B67F-A62EFF666E3E}">
          <x14:id>{050B96C5-7DB3-47A4-83F5-A03FA0A211C8}</x14:id>
        </ext>
      </extLst>
    </cfRule>
    <cfRule type="dataBar" priority="3">
      <dataBar>
        <cfvo type="min"/>
        <cfvo type="max"/>
        <color rgb="FFFF0000"/>
      </dataBar>
      <extLst>
        <ext xmlns:x14="http://schemas.microsoft.com/office/spreadsheetml/2009/9/main" uri="{B025F937-C7B1-47D3-B67F-A62EFF666E3E}">
          <x14:id>{108501E0-5066-4BA7-BFE5-AD111686082F}</x14:id>
        </ext>
      </extLst>
    </cfRule>
  </conditionalFormatting>
  <conditionalFormatting sqref="AB39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{279F6932-7DCF-49F2-B608-0B52EA335342}</x14:id>
        </ext>
      </extLst>
    </cfRule>
  </conditionalFormatting>
  <pageMargins left="0.7" right="0.7" top="0.75" bottom="0.75" header="0.3" footer="0.3"/>
  <pageSetup paperSize="9" scale="26" fitToHeight="0" orientation="landscape" horizontalDpi="1200" verticalDpi="120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FB98D16-5925-4A3E-ACB4-4DF3CB5FDDE2}">
            <x14:dataBar minLength="0" maxLength="100" negativeBarColorSameAsPositive="1" axisPosition="none">
              <x14:cfvo type="min"/>
              <x14:cfvo type="max"/>
            </x14:dataBar>
          </x14:cfRule>
          <x14:cfRule type="dataBar" id="{DF4BB945-058F-4F49-8C10-D26452152EEB}">
            <x14:dataBar minLength="0" maxLength="100" negativeBarColorSameAsPositive="1" axisPosition="none">
              <x14:cfvo type="min"/>
              <x14:cfvo type="max"/>
            </x14:dataBar>
          </x14:cfRule>
          <xm:sqref>AC14:AC15 AC17:AC26 AC28:AC38 AC40:AC74</xm:sqref>
        </x14:conditionalFormatting>
        <x14:conditionalFormatting xmlns:xm="http://schemas.microsoft.com/office/excel/2006/main">
          <x14:cfRule type="dataBar" id="{83C89EE5-F9B3-4F3C-BC82-F2CB11081D04}">
            <x14:dataBar minLength="0" maxLength="100" negativeBarColorSameAsPositive="1" axisPosition="none">
              <x14:cfvo type="min"/>
              <x14:cfvo type="max"/>
            </x14:dataBar>
          </x14:cfRule>
          <xm:sqref>AB14:AB15 AB17:AB26 AB28:AB38 AB40:AB74</xm:sqref>
        </x14:conditionalFormatting>
        <x14:conditionalFormatting xmlns:xm="http://schemas.microsoft.com/office/excel/2006/main">
          <x14:cfRule type="dataBar" id="{2B84F4CD-F834-6F4D-8912-DD1E84FF921B}">
            <x14:dataBar minLength="0" maxLength="100" negativeBarColorSameAsPositive="1" axisPosition="none">
              <x14:cfvo type="min"/>
              <x14:cfvo type="max"/>
            </x14:dataBar>
          </x14:cfRule>
          <x14:cfRule type="dataBar" id="{A9C94D2B-C0C6-6547-AAAE-B3AC0C834F1E}">
            <x14:dataBar minLength="0" maxLength="100" negativeBarColorSameAsPositive="1" axisPosition="none">
              <x14:cfvo type="min"/>
              <x14:cfvo type="max"/>
            </x14:dataBar>
          </x14:cfRule>
          <xm:sqref>AC75:AC339</xm:sqref>
        </x14:conditionalFormatting>
        <x14:conditionalFormatting xmlns:xm="http://schemas.microsoft.com/office/excel/2006/main">
          <x14:cfRule type="dataBar" id="{88ABDE44-1326-744F-8580-9B5EE7E455F3}">
            <x14:dataBar minLength="0" maxLength="100" negativeBarColorSameAsPositive="1" axisPosition="none">
              <x14:cfvo type="min"/>
              <x14:cfvo type="max"/>
            </x14:dataBar>
          </x14:cfRule>
          <xm:sqref>AB75:AB339</xm:sqref>
        </x14:conditionalFormatting>
        <x14:conditionalFormatting xmlns:xm="http://schemas.microsoft.com/office/excel/2006/main">
          <x14:cfRule type="dataBar" id="{9D9E6E19-EF8A-4715-B572-DC1A355BD77D}">
            <x14:dataBar minLength="0" maxLength="100" negativeBarColorSameAsPositive="1" axisPosition="none">
              <x14:cfvo type="min"/>
              <x14:cfvo type="max"/>
            </x14:dataBar>
          </x14:cfRule>
          <x14:cfRule type="dataBar" id="{7C4B1CA4-25CE-4054-9684-981A05BD2808}">
            <x14:dataBar minLength="0" maxLength="100" negativeBarColorSameAsPositive="1" axisPosition="none">
              <x14:cfvo type="min"/>
              <x14:cfvo type="max"/>
            </x14:dataBar>
          </x14:cfRule>
          <xm:sqref>AC16</xm:sqref>
        </x14:conditionalFormatting>
        <x14:conditionalFormatting xmlns:xm="http://schemas.microsoft.com/office/excel/2006/main">
          <x14:cfRule type="dataBar" id="{BDB4C940-8E17-465B-B91D-4A73D97DD82D}">
            <x14:dataBar minLength="0" maxLength="100" negativeBarColorSameAsPositive="1" axisPosition="none">
              <x14:cfvo type="min"/>
              <x14:cfvo type="max"/>
            </x14:dataBar>
          </x14:cfRule>
          <xm:sqref>AB16</xm:sqref>
        </x14:conditionalFormatting>
        <x14:conditionalFormatting xmlns:xm="http://schemas.microsoft.com/office/excel/2006/main">
          <x14:cfRule type="dataBar" id="{887D0448-2CD1-4258-B29D-5238F86F346C}">
            <x14:dataBar minLength="0" maxLength="100" negativeBarColorSameAsPositive="1" axisPosition="none">
              <x14:cfvo type="min"/>
              <x14:cfvo type="max"/>
            </x14:dataBar>
          </x14:cfRule>
          <x14:cfRule type="dataBar" id="{60518BA4-4ACB-49EF-B24E-449214DB71FE}">
            <x14:dataBar minLength="0" maxLength="100" negativeBarColorSameAsPositive="1" axisPosition="none">
              <x14:cfvo type="min"/>
              <x14:cfvo type="max"/>
            </x14:dataBar>
          </x14:cfRule>
          <xm:sqref>AC27</xm:sqref>
        </x14:conditionalFormatting>
        <x14:conditionalFormatting xmlns:xm="http://schemas.microsoft.com/office/excel/2006/main">
          <x14:cfRule type="dataBar" id="{8649559E-A057-41F0-87FC-DB89F6912A0D}">
            <x14:dataBar minLength="0" maxLength="100" negativeBarColorSameAsPositive="1" axisPosition="none">
              <x14:cfvo type="min"/>
              <x14:cfvo type="max"/>
            </x14:dataBar>
          </x14:cfRule>
          <xm:sqref>AB27</xm:sqref>
        </x14:conditionalFormatting>
        <x14:conditionalFormatting xmlns:xm="http://schemas.microsoft.com/office/excel/2006/main">
          <x14:cfRule type="dataBar" id="{050B96C5-7DB3-47A4-83F5-A03FA0A211C8}">
            <x14:dataBar minLength="0" maxLength="100" negativeBarColorSameAsPositive="1" axisPosition="none">
              <x14:cfvo type="min"/>
              <x14:cfvo type="max"/>
            </x14:dataBar>
          </x14:cfRule>
          <x14:cfRule type="dataBar" id="{108501E0-5066-4BA7-BFE5-AD111686082F}">
            <x14:dataBar minLength="0" maxLength="100" negativeBarColorSameAsPositive="1" axisPosition="none">
              <x14:cfvo type="min"/>
              <x14:cfvo type="max"/>
            </x14:dataBar>
          </x14:cfRule>
          <xm:sqref>AC39</xm:sqref>
        </x14:conditionalFormatting>
        <x14:conditionalFormatting xmlns:xm="http://schemas.microsoft.com/office/excel/2006/main">
          <x14:cfRule type="dataBar" id="{279F6932-7DCF-49F2-B608-0B52EA335342}">
            <x14:dataBar minLength="0" maxLength="100" negativeBarColorSameAsPositive="1" axisPosition="none">
              <x14:cfvo type="min"/>
              <x14:cfvo type="max"/>
            </x14:dataBar>
          </x14:cfRule>
          <xm:sqref>AB39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baseColWidth="10" defaultColWidth="11" defaultRowHeight="15" x14ac:dyDescent="0.25"/>
  <cols>
    <col min="1" max="1" width="33.375" style="1942" bestFit="1" customWidth="1"/>
    <col min="2" max="2" width="11.125" style="1942" bestFit="1" customWidth="1"/>
    <col min="3" max="6" width="11" style="1942"/>
    <col min="7" max="7" width="12.5" style="1942" customWidth="1"/>
    <col min="8" max="16384" width="11" style="1942"/>
  </cols>
  <sheetData>
    <row r="1" spans="1:9" ht="30.75" thickBot="1" x14ac:dyDescent="0.3">
      <c r="A1" s="1995" t="s">
        <v>716</v>
      </c>
      <c r="B1" s="1996" t="s">
        <v>717</v>
      </c>
      <c r="C1" s="1997" t="s">
        <v>7</v>
      </c>
      <c r="D1" s="1997" t="s">
        <v>93</v>
      </c>
      <c r="F1" s="1996" t="s">
        <v>718</v>
      </c>
      <c r="G1" s="1996" t="s">
        <v>719</v>
      </c>
    </row>
    <row r="2" spans="1:9" ht="15.75" thickBot="1" x14ac:dyDescent="0.3">
      <c r="A2" s="1998" t="s">
        <v>378</v>
      </c>
      <c r="B2" s="1999">
        <f>31482640-B4-B5-B6-B7-B8</f>
        <v>24926843.200000022</v>
      </c>
      <c r="C2" s="1999">
        <f>Tabla115[[#This Row],[VOLUMEN]]/FACTOR/DIAS</f>
        <v>673.00000000000261</v>
      </c>
      <c r="D2" s="2000">
        <f>Tabla115[[#This Row],[MMPCD]]/850</f>
        <v>0.79176470588235603</v>
      </c>
      <c r="F2" s="1943">
        <v>31</v>
      </c>
      <c r="G2" s="1943">
        <v>1194.7870967741901</v>
      </c>
      <c r="I2" s="1943"/>
    </row>
    <row r="3" spans="1:9" ht="15.75" thickBot="1" x14ac:dyDescent="0.3">
      <c r="A3" s="1998" t="s">
        <v>721</v>
      </c>
      <c r="B3" s="1999">
        <f>B4+B5+B6+B7+B8</f>
        <v>6555796.7999999812</v>
      </c>
      <c r="C3" s="1999">
        <f>Tabla115[[#This Row],[VOLUMEN]]/FACTOR/DIAS</f>
        <v>177</v>
      </c>
      <c r="D3" s="2001">
        <f>Tabla115[[#This Row],[MMPCD]]/850</f>
        <v>0.20823529411764705</v>
      </c>
      <c r="F3" s="1943"/>
      <c r="G3" s="1943"/>
      <c r="I3" s="1943"/>
    </row>
    <row r="4" spans="1:9" ht="15.75" thickBot="1" x14ac:dyDescent="0.3">
      <c r="A4" s="1998" t="s">
        <v>262</v>
      </c>
      <c r="B4" s="1999">
        <f>30*DIAS*FACTOR</f>
        <v>1111151.9999999967</v>
      </c>
      <c r="C4" s="1999">
        <f>Tabla115[[#This Row],[VOLUMEN]]/FACTOR/DIAS</f>
        <v>30</v>
      </c>
      <c r="D4" s="2000">
        <f>Tabla115[[#This Row],[MMPCD]]/850</f>
        <v>3.5294117647058823E-2</v>
      </c>
    </row>
    <row r="5" spans="1:9" ht="15.75" thickBot="1" x14ac:dyDescent="0.3">
      <c r="A5" s="1998" t="s">
        <v>261</v>
      </c>
      <c r="B5" s="1999">
        <f>70*DIAS*FACTOR</f>
        <v>2592687.9999999925</v>
      </c>
      <c r="C5" s="1999">
        <f>Tabla115[[#This Row],[VOLUMEN]]/FACTOR/DIAS</f>
        <v>70</v>
      </c>
      <c r="D5" s="2000">
        <f>Tabla115[[#This Row],[MMPCD]]/850</f>
        <v>8.2352941176470587E-2</v>
      </c>
    </row>
    <row r="6" spans="1:9" ht="15.75" thickBot="1" x14ac:dyDescent="0.3">
      <c r="A6" s="1998" t="s">
        <v>290</v>
      </c>
      <c r="B6" s="1999">
        <v>0</v>
      </c>
      <c r="C6" s="1999">
        <f>Tabla115[[#This Row],[VOLUMEN]]/FACTOR/DIAS</f>
        <v>0</v>
      </c>
      <c r="D6" s="2000">
        <f>Tabla115[[#This Row],[MMPCD]]/850</f>
        <v>0</v>
      </c>
    </row>
    <row r="7" spans="1:9" ht="15.75" thickBot="1" x14ac:dyDescent="0.3">
      <c r="A7" s="1998" t="s">
        <v>260</v>
      </c>
      <c r="B7" s="1999">
        <f>65*DIAS*FACTOR</f>
        <v>2407495.999999993</v>
      </c>
      <c r="C7" s="1999">
        <f>Tabla115[[#This Row],[VOLUMEN]]/FACTOR/DIAS</f>
        <v>65</v>
      </c>
      <c r="D7" s="2000">
        <f>Tabla115[[#This Row],[MMPCD]]/850</f>
        <v>7.6470588235294124E-2</v>
      </c>
    </row>
    <row r="8" spans="1:9" ht="15.75" thickBot="1" x14ac:dyDescent="0.3">
      <c r="A8" s="1998" t="s">
        <v>720</v>
      </c>
      <c r="B8" s="1999">
        <f>12*DIAS*FACTOR</f>
        <v>444460.79999999871</v>
      </c>
      <c r="C8" s="1999">
        <f>Tabla115[[#This Row],[VOLUMEN]]/FACTOR/DIAS</f>
        <v>12</v>
      </c>
      <c r="D8" s="2000">
        <f>Tabla115[[#This Row],[MMPCD]]/850</f>
        <v>1.411764705882353E-2</v>
      </c>
    </row>
    <row r="9" spans="1:9" ht="15.75" thickBot="1" x14ac:dyDescent="0.3">
      <c r="A9" s="2002" t="s">
        <v>24</v>
      </c>
      <c r="B9" s="2003">
        <f>SUM(B2:B3)</f>
        <v>31482640.000000004</v>
      </c>
      <c r="C9" s="2003">
        <f>SUM(C2:C3)</f>
        <v>850.00000000000261</v>
      </c>
      <c r="D9" s="2004">
        <f>SUM(D2:D3)</f>
        <v>1.0000000000000031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CN75"/>
  <sheetViews>
    <sheetView workbookViewId="0"/>
  </sheetViews>
  <sheetFormatPr baseColWidth="10" defaultRowHeight="14.25" x14ac:dyDescent="0.2"/>
  <cols>
    <col min="2" max="3" width="12.625" bestFit="1" customWidth="1"/>
    <col min="4" max="4" width="14.5" bestFit="1" customWidth="1"/>
    <col min="5" max="5" width="12.125" bestFit="1" customWidth="1"/>
    <col min="6" max="23" width="12.5" bestFit="1" customWidth="1"/>
    <col min="24" max="24" width="10.5" bestFit="1" customWidth="1"/>
    <col min="25" max="25" width="12.5" bestFit="1" customWidth="1"/>
    <col min="26" max="26" width="11.5" bestFit="1" customWidth="1"/>
    <col min="27" max="30" width="12.5" bestFit="1" customWidth="1"/>
    <col min="31" max="31" width="11.5" bestFit="1" customWidth="1"/>
    <col min="32" max="45" width="12.5" bestFit="1" customWidth="1"/>
    <col min="46" max="46" width="11.5" bestFit="1" customWidth="1"/>
    <col min="47" max="47" width="12.5" bestFit="1" customWidth="1"/>
    <col min="48" max="48" width="11.5" bestFit="1" customWidth="1"/>
    <col min="49" max="53" width="12.5" bestFit="1" customWidth="1"/>
    <col min="54" max="55" width="11.5" bestFit="1" customWidth="1"/>
    <col min="56" max="57" width="12.5" bestFit="1" customWidth="1"/>
    <col min="58" max="59" width="11.5" bestFit="1" customWidth="1"/>
    <col min="60" max="67" width="12.5" bestFit="1" customWidth="1"/>
    <col min="68" max="69" width="11.5" bestFit="1" customWidth="1"/>
    <col min="70" max="73" width="12.5" bestFit="1" customWidth="1"/>
    <col min="74" max="74" width="11.5" bestFit="1" customWidth="1"/>
    <col min="75" max="86" width="12.5" bestFit="1" customWidth="1"/>
    <col min="87" max="87" width="11.5" bestFit="1" customWidth="1"/>
    <col min="88" max="103" width="12.5" bestFit="1" customWidth="1"/>
    <col min="104" max="104" width="11.5" bestFit="1" customWidth="1"/>
    <col min="105" max="110" width="12.5" bestFit="1" customWidth="1"/>
    <col min="111" max="111" width="11.5" bestFit="1" customWidth="1"/>
    <col min="112" max="120" width="12.5" bestFit="1" customWidth="1"/>
    <col min="121" max="121" width="11.5" bestFit="1" customWidth="1"/>
    <col min="122" max="124" width="12.5" bestFit="1" customWidth="1"/>
    <col min="125" max="125" width="10.5" bestFit="1" customWidth="1"/>
    <col min="126" max="126" width="12.5" bestFit="1" customWidth="1"/>
    <col min="127" max="127" width="11.5" bestFit="1" customWidth="1"/>
    <col min="128" max="128" width="12.5" bestFit="1" customWidth="1"/>
    <col min="129" max="129" width="11.5" bestFit="1" customWidth="1"/>
    <col min="130" max="131" width="12.5" bestFit="1" customWidth="1"/>
    <col min="132" max="132" width="11.5" bestFit="1" customWidth="1"/>
    <col min="133" max="140" width="12.5" bestFit="1" customWidth="1"/>
    <col min="141" max="141" width="11.5" bestFit="1" customWidth="1"/>
    <col min="142" max="191" width="12.5" bestFit="1" customWidth="1"/>
    <col min="192" max="192" width="11.5" bestFit="1" customWidth="1"/>
    <col min="193" max="195" width="12.5" bestFit="1" customWidth="1"/>
    <col min="196" max="196" width="10.5" bestFit="1" customWidth="1"/>
    <col min="197" max="200" width="12.5" bestFit="1" customWidth="1"/>
    <col min="201" max="201" width="11.5" bestFit="1" customWidth="1"/>
    <col min="202" max="204" width="12.5" bestFit="1" customWidth="1"/>
    <col min="205" max="205" width="11.5" bestFit="1" customWidth="1"/>
    <col min="206" max="210" width="12.5" bestFit="1" customWidth="1"/>
    <col min="211" max="211" width="11.5" bestFit="1" customWidth="1"/>
    <col min="212" max="232" width="12.5" bestFit="1" customWidth="1"/>
    <col min="233" max="233" width="11.5" bestFit="1" customWidth="1"/>
    <col min="234" max="255" width="12.5" bestFit="1" customWidth="1"/>
    <col min="256" max="256" width="11.5" bestFit="1" customWidth="1"/>
    <col min="257" max="269" width="12.5" bestFit="1" customWidth="1"/>
    <col min="270" max="270" width="11.5" bestFit="1" customWidth="1"/>
    <col min="271" max="275" width="12.5" bestFit="1" customWidth="1"/>
    <col min="276" max="276" width="11.5" bestFit="1" customWidth="1"/>
    <col min="277" max="291" width="12.5" bestFit="1" customWidth="1"/>
    <col min="292" max="292" width="11.5" bestFit="1" customWidth="1"/>
    <col min="293" max="295" width="12.5" bestFit="1" customWidth="1"/>
    <col min="296" max="296" width="10.5" bestFit="1" customWidth="1"/>
    <col min="297" max="297" width="11.5" bestFit="1" customWidth="1"/>
    <col min="298" max="300" width="12.5" bestFit="1" customWidth="1"/>
    <col min="301" max="301" width="11.5" bestFit="1" customWidth="1"/>
    <col min="302" max="313" width="12.5" bestFit="1" customWidth="1"/>
    <col min="314" max="314" width="11.5" bestFit="1" customWidth="1"/>
    <col min="315" max="323" width="12.5" bestFit="1" customWidth="1"/>
    <col min="324" max="324" width="10.5" bestFit="1" customWidth="1"/>
    <col min="325" max="326" width="12.5" bestFit="1" customWidth="1"/>
    <col min="327" max="327" width="11.5" bestFit="1" customWidth="1"/>
    <col min="328" max="334" width="12.5" bestFit="1" customWidth="1"/>
    <col min="335" max="335" width="11.5" bestFit="1" customWidth="1"/>
    <col min="336" max="358" width="12.5" bestFit="1" customWidth="1"/>
    <col min="359" max="359" width="11.5" bestFit="1" customWidth="1"/>
    <col min="360" max="385" width="12.5" bestFit="1" customWidth="1"/>
    <col min="386" max="386" width="11.5" bestFit="1" customWidth="1"/>
    <col min="387" max="393" width="12.5" bestFit="1" customWidth="1"/>
    <col min="394" max="394" width="11.5" bestFit="1" customWidth="1"/>
    <col min="395" max="399" width="12.5" bestFit="1" customWidth="1"/>
    <col min="400" max="400" width="11.5" bestFit="1" customWidth="1"/>
    <col min="401" max="401" width="12.5" bestFit="1" customWidth="1"/>
    <col min="402" max="402" width="11.5" bestFit="1" customWidth="1"/>
    <col min="403" max="403" width="12.5" bestFit="1" customWidth="1"/>
    <col min="404" max="404" width="11.5" bestFit="1" customWidth="1"/>
    <col min="405" max="412" width="12.5" bestFit="1" customWidth="1"/>
    <col min="413" max="413" width="11.5" bestFit="1" customWidth="1"/>
    <col min="414" max="416" width="12.5" bestFit="1" customWidth="1"/>
    <col min="417" max="417" width="11.5" bestFit="1" customWidth="1"/>
    <col min="418" max="423" width="12.5" bestFit="1" customWidth="1"/>
    <col min="424" max="424" width="10.5" bestFit="1" customWidth="1"/>
    <col min="425" max="438" width="12.5" bestFit="1" customWidth="1"/>
    <col min="439" max="439" width="11.5" bestFit="1" customWidth="1"/>
    <col min="440" max="451" width="12.5" bestFit="1" customWidth="1"/>
    <col min="452" max="452" width="11.5" bestFit="1" customWidth="1"/>
    <col min="453" max="460" width="12.5" bestFit="1" customWidth="1"/>
    <col min="461" max="462" width="11.5" bestFit="1" customWidth="1"/>
    <col min="463" max="484" width="12.5" bestFit="1" customWidth="1"/>
    <col min="485" max="485" width="11.5" bestFit="1" customWidth="1"/>
    <col min="486" max="492" width="12.5" bestFit="1" customWidth="1"/>
    <col min="493" max="493" width="10.5" bestFit="1" customWidth="1"/>
    <col min="494" max="504" width="12.5" bestFit="1" customWidth="1"/>
    <col min="505" max="505" width="11.5" bestFit="1" customWidth="1"/>
    <col min="506" max="510" width="12.5" bestFit="1" customWidth="1"/>
    <col min="511" max="511" width="11.5" bestFit="1" customWidth="1"/>
    <col min="512" max="512" width="10.5" bestFit="1" customWidth="1"/>
    <col min="513" max="520" width="12.5" bestFit="1" customWidth="1"/>
    <col min="521" max="521" width="11.5" bestFit="1" customWidth="1"/>
    <col min="522" max="526" width="12.5" bestFit="1" customWidth="1"/>
    <col min="527" max="527" width="11.5" bestFit="1" customWidth="1"/>
    <col min="528" max="530" width="12.5" bestFit="1" customWidth="1"/>
    <col min="531" max="531" width="11.5" bestFit="1" customWidth="1"/>
    <col min="532" max="537" width="12.5" bestFit="1" customWidth="1"/>
    <col min="538" max="538" width="11.5" bestFit="1" customWidth="1"/>
    <col min="539" max="541" width="12.5" bestFit="1" customWidth="1"/>
    <col min="542" max="542" width="11.5" bestFit="1" customWidth="1"/>
    <col min="543" max="548" width="12.5" bestFit="1" customWidth="1"/>
    <col min="549" max="549" width="11.5" bestFit="1" customWidth="1"/>
    <col min="550" max="550" width="12.5" bestFit="1" customWidth="1"/>
    <col min="551" max="551" width="11.5" bestFit="1" customWidth="1"/>
    <col min="552" max="556" width="12.5" bestFit="1" customWidth="1"/>
    <col min="557" max="557" width="11.5" bestFit="1" customWidth="1"/>
    <col min="558" max="561" width="12.5" bestFit="1" customWidth="1"/>
    <col min="562" max="563" width="11.5" bestFit="1" customWidth="1"/>
    <col min="564" max="564" width="12.5" bestFit="1" customWidth="1"/>
    <col min="565" max="565" width="11.5" bestFit="1" customWidth="1"/>
    <col min="566" max="577" width="12.5" bestFit="1" customWidth="1"/>
    <col min="578" max="579" width="11.5" bestFit="1" customWidth="1"/>
    <col min="580" max="580" width="12.5" bestFit="1" customWidth="1"/>
    <col min="581" max="581" width="11.5" bestFit="1" customWidth="1"/>
    <col min="582" max="587" width="12.5" bestFit="1" customWidth="1"/>
    <col min="588" max="588" width="11.5" bestFit="1" customWidth="1"/>
    <col min="589" max="596" width="12.5" bestFit="1" customWidth="1"/>
    <col min="597" max="598" width="11.5" bestFit="1" customWidth="1"/>
    <col min="599" max="611" width="12.5" bestFit="1" customWidth="1"/>
    <col min="612" max="612" width="11.5" bestFit="1" customWidth="1"/>
    <col min="613" max="620" width="12.5" bestFit="1" customWidth="1"/>
    <col min="621" max="621" width="11.5" bestFit="1" customWidth="1"/>
    <col min="622" max="623" width="12.5" bestFit="1" customWidth="1"/>
    <col min="624" max="624" width="10.5" bestFit="1" customWidth="1"/>
    <col min="625" max="625" width="11.5" bestFit="1" customWidth="1"/>
    <col min="626" max="626" width="12.5" bestFit="1" customWidth="1"/>
    <col min="627" max="628" width="11.5" bestFit="1" customWidth="1"/>
    <col min="629" max="679" width="12.5" bestFit="1" customWidth="1"/>
    <col min="680" max="680" width="11.5" bestFit="1" customWidth="1"/>
    <col min="681" max="700" width="12.5" bestFit="1" customWidth="1"/>
    <col min="701" max="701" width="11.5" bestFit="1" customWidth="1"/>
    <col min="702" max="705" width="12.5" bestFit="1" customWidth="1"/>
    <col min="706" max="706" width="11.5" bestFit="1" customWidth="1"/>
    <col min="707" max="725" width="12.5" bestFit="1" customWidth="1"/>
    <col min="726" max="726" width="11.5" bestFit="1" customWidth="1"/>
    <col min="727" max="748" width="12.5" bestFit="1" customWidth="1"/>
    <col min="749" max="749" width="11.5" bestFit="1" customWidth="1"/>
    <col min="750" max="757" width="12.5" bestFit="1" customWidth="1"/>
    <col min="758" max="758" width="11.5" bestFit="1" customWidth="1"/>
    <col min="759" max="762" width="12.5" bestFit="1" customWidth="1"/>
    <col min="763" max="763" width="11.5" bestFit="1" customWidth="1"/>
    <col min="764" max="764" width="12.5" bestFit="1" customWidth="1"/>
    <col min="765" max="766" width="11.5" bestFit="1" customWidth="1"/>
    <col min="767" max="773" width="12.5" bestFit="1" customWidth="1"/>
    <col min="774" max="774" width="11.5" bestFit="1" customWidth="1"/>
    <col min="775" max="777" width="12.5" bestFit="1" customWidth="1"/>
    <col min="778" max="778" width="11.5" bestFit="1" customWidth="1"/>
    <col min="779" max="780" width="12.5" bestFit="1" customWidth="1"/>
    <col min="781" max="781" width="11.5" bestFit="1" customWidth="1"/>
    <col min="782" max="797" width="12.5" bestFit="1" customWidth="1"/>
    <col min="798" max="798" width="11.5" bestFit="1" customWidth="1"/>
    <col min="799" max="799" width="12.5" bestFit="1" customWidth="1"/>
    <col min="800" max="800" width="11.5" bestFit="1" customWidth="1"/>
    <col min="801" max="806" width="12.5" bestFit="1" customWidth="1"/>
    <col min="807" max="807" width="10.5" bestFit="1" customWidth="1"/>
    <col min="808" max="811" width="12.5" bestFit="1" customWidth="1"/>
    <col min="812" max="812" width="11.5" bestFit="1" customWidth="1"/>
    <col min="813" max="865" width="12.5" bestFit="1" customWidth="1"/>
    <col min="866" max="866" width="11.5" bestFit="1" customWidth="1"/>
    <col min="867" max="884" width="12.5" bestFit="1" customWidth="1"/>
    <col min="885" max="885" width="11.5" bestFit="1" customWidth="1"/>
    <col min="886" max="896" width="12.5" bestFit="1" customWidth="1"/>
    <col min="897" max="897" width="11.5" bestFit="1" customWidth="1"/>
    <col min="898" max="901" width="12.5" bestFit="1" customWidth="1"/>
    <col min="902" max="902" width="11.5" bestFit="1" customWidth="1"/>
    <col min="903" max="908" width="12.5" bestFit="1" customWidth="1"/>
    <col min="909" max="909" width="11.5" bestFit="1" customWidth="1"/>
    <col min="910" max="911" width="12.5" bestFit="1" customWidth="1"/>
    <col min="912" max="912" width="11.5" bestFit="1" customWidth="1"/>
    <col min="913" max="919" width="12.5" bestFit="1" customWidth="1"/>
    <col min="920" max="920" width="11.5" bestFit="1" customWidth="1"/>
    <col min="921" max="937" width="12.5" bestFit="1" customWidth="1"/>
    <col min="938" max="938" width="11.5" bestFit="1" customWidth="1"/>
    <col min="939" max="947" width="12.5" bestFit="1" customWidth="1"/>
    <col min="948" max="948" width="11.5" bestFit="1" customWidth="1"/>
    <col min="949" max="951" width="12.5" bestFit="1" customWidth="1"/>
    <col min="952" max="953" width="11.5" bestFit="1" customWidth="1"/>
    <col min="954" max="955" width="12.5" bestFit="1" customWidth="1"/>
    <col min="956" max="956" width="11.5" bestFit="1" customWidth="1"/>
    <col min="957" max="969" width="12.5" bestFit="1" customWidth="1"/>
    <col min="970" max="970" width="10.5" bestFit="1" customWidth="1"/>
    <col min="971" max="974" width="12.5" bestFit="1" customWidth="1"/>
    <col min="975" max="975" width="10.5" bestFit="1" customWidth="1"/>
    <col min="976" max="977" width="12.5" bestFit="1" customWidth="1"/>
    <col min="978" max="978" width="11.5" bestFit="1" customWidth="1"/>
    <col min="979" max="996" width="12.5" bestFit="1" customWidth="1"/>
    <col min="997" max="997" width="11.5" bestFit="1" customWidth="1"/>
    <col min="998" max="1004" width="12.5" bestFit="1" customWidth="1"/>
    <col min="1005" max="1005" width="11.5" bestFit="1" customWidth="1"/>
    <col min="1006" max="1012" width="12.5" bestFit="1" customWidth="1"/>
    <col min="1013" max="1013" width="11.5" bestFit="1" customWidth="1"/>
    <col min="1014" max="1025" width="12.5" bestFit="1" customWidth="1"/>
    <col min="1026" max="1026" width="11.5" bestFit="1" customWidth="1"/>
    <col min="1027" max="1029" width="12.5" bestFit="1" customWidth="1"/>
    <col min="1030" max="1030" width="11.5" bestFit="1" customWidth="1"/>
    <col min="1031" max="1046" width="12.5" bestFit="1" customWidth="1"/>
    <col min="1047" max="1047" width="11.5" bestFit="1" customWidth="1"/>
    <col min="1048" max="1052" width="12.5" bestFit="1" customWidth="1"/>
    <col min="1053" max="1053" width="11.5" bestFit="1" customWidth="1"/>
    <col min="1054" max="1076" width="12.5" bestFit="1" customWidth="1"/>
    <col min="1077" max="1077" width="11.5" bestFit="1" customWidth="1"/>
    <col min="1078" max="1091" width="12.5" bestFit="1" customWidth="1"/>
    <col min="1092" max="1092" width="11.5" bestFit="1" customWidth="1"/>
    <col min="1093" max="1093" width="12.5" bestFit="1" customWidth="1"/>
    <col min="1094" max="1096" width="11.5" bestFit="1" customWidth="1"/>
    <col min="1097" max="1101" width="12.5" bestFit="1" customWidth="1"/>
    <col min="1102" max="1102" width="10.5" bestFit="1" customWidth="1"/>
    <col min="1103" max="1111" width="12.5" bestFit="1" customWidth="1"/>
    <col min="1112" max="1112" width="11.5" bestFit="1" customWidth="1"/>
    <col min="1113" max="1131" width="12.5" bestFit="1" customWidth="1"/>
    <col min="1132" max="1132" width="11.5" bestFit="1" customWidth="1"/>
    <col min="1133" max="1137" width="12.5" bestFit="1" customWidth="1"/>
    <col min="1138" max="1138" width="11.5" bestFit="1" customWidth="1"/>
    <col min="1139" max="1140" width="12.5" bestFit="1" customWidth="1"/>
    <col min="1141" max="1141" width="11.5" bestFit="1" customWidth="1"/>
    <col min="1142" max="1143" width="12.5" bestFit="1" customWidth="1"/>
    <col min="1144" max="1144" width="7.375" bestFit="1" customWidth="1"/>
    <col min="1145" max="1152" width="11.875" bestFit="1" customWidth="1"/>
    <col min="1153" max="1154" width="10.875" bestFit="1" customWidth="1"/>
    <col min="1155" max="1174" width="11.875" bestFit="1" customWidth="1"/>
    <col min="1175" max="1175" width="10.875" bestFit="1" customWidth="1"/>
    <col min="1176" max="1198" width="11.875" bestFit="1" customWidth="1"/>
    <col min="1199" max="1200" width="10.875" bestFit="1" customWidth="1"/>
    <col min="1201" max="1222" width="11.875" bestFit="1" customWidth="1"/>
    <col min="1223" max="1223" width="10.875" bestFit="1" customWidth="1"/>
    <col min="1224" max="1229" width="11.875" bestFit="1" customWidth="1"/>
    <col min="1230" max="1230" width="9.875" bestFit="1" customWidth="1"/>
    <col min="1231" max="1234" width="11.875" bestFit="1" customWidth="1"/>
    <col min="1235" max="1236" width="10.875" bestFit="1" customWidth="1"/>
    <col min="1237" max="1240" width="11.875" bestFit="1" customWidth="1"/>
    <col min="1241" max="1241" width="10.875" bestFit="1" customWidth="1"/>
    <col min="1242" max="1247" width="11.875" bestFit="1" customWidth="1"/>
    <col min="1248" max="1248" width="10.875" bestFit="1" customWidth="1"/>
    <col min="1249" max="1283" width="11.875" bestFit="1" customWidth="1"/>
    <col min="1284" max="1284" width="10.875" bestFit="1" customWidth="1"/>
    <col min="1285" max="1285" width="11.875" bestFit="1" customWidth="1"/>
    <col min="1286" max="1286" width="10.875" bestFit="1" customWidth="1"/>
    <col min="1287" max="1296" width="11.875" bestFit="1" customWidth="1"/>
    <col min="1297" max="1297" width="10.875" bestFit="1" customWidth="1"/>
    <col min="1298" max="1307" width="11.875" bestFit="1" customWidth="1"/>
    <col min="1308" max="1308" width="10.875" bestFit="1" customWidth="1"/>
    <col min="1309" max="1310" width="11.875" bestFit="1" customWidth="1"/>
    <col min="1311" max="1311" width="10.875" bestFit="1" customWidth="1"/>
    <col min="1312" max="1313" width="11.875" bestFit="1" customWidth="1"/>
    <col min="1314" max="1314" width="10.875" bestFit="1" customWidth="1"/>
    <col min="1315" max="1328" width="11.875" bestFit="1" customWidth="1"/>
    <col min="1329" max="1329" width="10.875" bestFit="1" customWidth="1"/>
    <col min="1330" max="1337" width="11.875" bestFit="1" customWidth="1"/>
    <col min="1338" max="1340" width="10.875" bestFit="1" customWidth="1"/>
    <col min="1341" max="1355" width="11.875" bestFit="1" customWidth="1"/>
    <col min="1356" max="1356" width="10.875" bestFit="1" customWidth="1"/>
    <col min="1357" max="1365" width="11.875" bestFit="1" customWidth="1"/>
    <col min="1366" max="1366" width="10.875" bestFit="1" customWidth="1"/>
    <col min="1367" max="1383" width="11.875" bestFit="1" customWidth="1"/>
    <col min="1384" max="1404" width="12.5" bestFit="1" customWidth="1"/>
    <col min="1405" max="1405" width="10.5" bestFit="1" customWidth="1"/>
    <col min="1406" max="1406" width="12.5" bestFit="1" customWidth="1"/>
    <col min="1407" max="1407" width="11.5" bestFit="1" customWidth="1"/>
    <col min="1408" max="1411" width="12.5" bestFit="1" customWidth="1"/>
    <col min="1412" max="1412" width="11.5" bestFit="1" customWidth="1"/>
    <col min="1413" max="1426" width="12.5" bestFit="1" customWidth="1"/>
    <col min="1427" max="1427" width="11.5" bestFit="1" customWidth="1"/>
    <col min="1428" max="1428" width="12.5" bestFit="1" customWidth="1"/>
    <col min="1429" max="1429" width="11.5" bestFit="1" customWidth="1"/>
    <col min="1430" max="1434" width="12.5" bestFit="1" customWidth="1"/>
    <col min="1435" max="1436" width="11.5" bestFit="1" customWidth="1"/>
    <col min="1437" max="1438" width="12.5" bestFit="1" customWidth="1"/>
    <col min="1439" max="1440" width="11.5" bestFit="1" customWidth="1"/>
    <col min="1441" max="1448" width="12.5" bestFit="1" customWidth="1"/>
    <col min="1449" max="1450" width="11.5" bestFit="1" customWidth="1"/>
    <col min="1451" max="1454" width="12.5" bestFit="1" customWidth="1"/>
    <col min="1455" max="1455" width="11.5" bestFit="1" customWidth="1"/>
    <col min="1456" max="1467" width="12.5" bestFit="1" customWidth="1"/>
    <col min="1468" max="1468" width="11.5" bestFit="1" customWidth="1"/>
    <col min="1469" max="1484" width="12.5" bestFit="1" customWidth="1"/>
    <col min="1485" max="1485" width="11.5" bestFit="1" customWidth="1"/>
    <col min="1486" max="1491" width="12.5" bestFit="1" customWidth="1"/>
    <col min="1492" max="1492" width="11.5" bestFit="1" customWidth="1"/>
    <col min="1493" max="1501" width="12.5" bestFit="1" customWidth="1"/>
    <col min="1502" max="1502" width="11.5" bestFit="1" customWidth="1"/>
    <col min="1503" max="1505" width="12.5" bestFit="1" customWidth="1"/>
    <col min="1506" max="1506" width="10.5" bestFit="1" customWidth="1"/>
    <col min="1507" max="1507" width="12.5" bestFit="1" customWidth="1"/>
    <col min="1508" max="1508" width="11.5" bestFit="1" customWidth="1"/>
    <col min="1509" max="1509" width="12.5" bestFit="1" customWidth="1"/>
    <col min="1510" max="1510" width="11.5" bestFit="1" customWidth="1"/>
    <col min="1511" max="1512" width="12.5" bestFit="1" customWidth="1"/>
    <col min="1513" max="1513" width="11.5" bestFit="1" customWidth="1"/>
    <col min="1514" max="1521" width="12.5" bestFit="1" customWidth="1"/>
    <col min="1522" max="1522" width="11.5" bestFit="1" customWidth="1"/>
    <col min="1523" max="1572" width="12.5" bestFit="1" customWidth="1"/>
    <col min="1573" max="1573" width="11.5" bestFit="1" customWidth="1"/>
    <col min="1574" max="1576" width="12.5" bestFit="1" customWidth="1"/>
    <col min="1577" max="1577" width="10.5" bestFit="1" customWidth="1"/>
    <col min="1578" max="1581" width="12.5" bestFit="1" customWidth="1"/>
    <col min="1582" max="1582" width="11.5" bestFit="1" customWidth="1"/>
    <col min="1583" max="1585" width="12.5" bestFit="1" customWidth="1"/>
    <col min="1586" max="1586" width="11.5" bestFit="1" customWidth="1"/>
    <col min="1587" max="1591" width="12.5" bestFit="1" customWidth="1"/>
    <col min="1592" max="1592" width="11.5" bestFit="1" customWidth="1"/>
    <col min="1593" max="1613" width="12.5" bestFit="1" customWidth="1"/>
    <col min="1614" max="1614" width="11.5" bestFit="1" customWidth="1"/>
    <col min="1615" max="1636" width="12.5" bestFit="1" customWidth="1"/>
    <col min="1637" max="1637" width="11.5" bestFit="1" customWidth="1"/>
    <col min="1638" max="1650" width="12.5" bestFit="1" customWidth="1"/>
    <col min="1651" max="1651" width="11.5" bestFit="1" customWidth="1"/>
    <col min="1652" max="1656" width="12.5" bestFit="1" customWidth="1"/>
    <col min="1657" max="1657" width="11.5" bestFit="1" customWidth="1"/>
    <col min="1658" max="1672" width="12.5" bestFit="1" customWidth="1"/>
    <col min="1673" max="1673" width="11.5" bestFit="1" customWidth="1"/>
    <col min="1674" max="1676" width="12.5" bestFit="1" customWidth="1"/>
    <col min="1677" max="1677" width="10.5" bestFit="1" customWidth="1"/>
    <col min="1678" max="1678" width="11.5" bestFit="1" customWidth="1"/>
    <col min="1679" max="1681" width="12.5" bestFit="1" customWidth="1"/>
    <col min="1682" max="1682" width="11.5" bestFit="1" customWidth="1"/>
    <col min="1683" max="1694" width="12.5" bestFit="1" customWidth="1"/>
    <col min="1695" max="1695" width="11.5" bestFit="1" customWidth="1"/>
    <col min="1696" max="1704" width="12.5" bestFit="1" customWidth="1"/>
    <col min="1705" max="1705" width="10.5" bestFit="1" customWidth="1"/>
    <col min="1706" max="1707" width="12.5" bestFit="1" customWidth="1"/>
    <col min="1708" max="1708" width="11.5" bestFit="1" customWidth="1"/>
    <col min="1709" max="1715" width="12.5" bestFit="1" customWidth="1"/>
    <col min="1716" max="1716" width="11.5" bestFit="1" customWidth="1"/>
    <col min="1717" max="1739" width="12.5" bestFit="1" customWidth="1"/>
    <col min="1740" max="1740" width="11.5" bestFit="1" customWidth="1"/>
    <col min="1741" max="1766" width="12.5" bestFit="1" customWidth="1"/>
    <col min="1767" max="1767" width="11.5" bestFit="1" customWidth="1"/>
    <col min="1768" max="1774" width="12.5" bestFit="1" customWidth="1"/>
    <col min="1775" max="1775" width="11.5" bestFit="1" customWidth="1"/>
    <col min="1776" max="1780" width="12.5" bestFit="1" customWidth="1"/>
    <col min="1781" max="1781" width="11.5" bestFit="1" customWidth="1"/>
    <col min="1782" max="1782" width="12.5" bestFit="1" customWidth="1"/>
    <col min="1783" max="1783" width="11.5" bestFit="1" customWidth="1"/>
    <col min="1784" max="1784" width="12.5" bestFit="1" customWidth="1"/>
    <col min="1785" max="1785" width="11.5" bestFit="1" customWidth="1"/>
    <col min="1786" max="1793" width="12.5" bestFit="1" customWidth="1"/>
    <col min="1794" max="1794" width="11.5" bestFit="1" customWidth="1"/>
    <col min="1795" max="1797" width="12.5" bestFit="1" customWidth="1"/>
    <col min="1798" max="1798" width="11.5" bestFit="1" customWidth="1"/>
    <col min="1799" max="1804" width="12.5" bestFit="1" customWidth="1"/>
    <col min="1805" max="1805" width="10.5" bestFit="1" customWidth="1"/>
    <col min="1806" max="1819" width="12.5" bestFit="1" customWidth="1"/>
    <col min="1820" max="1820" width="11.5" bestFit="1" customWidth="1"/>
    <col min="1821" max="1832" width="12.5" bestFit="1" customWidth="1"/>
    <col min="1833" max="1833" width="11.5" bestFit="1" customWidth="1"/>
    <col min="1834" max="1841" width="12.5" bestFit="1" customWidth="1"/>
    <col min="1842" max="1843" width="11.5" bestFit="1" customWidth="1"/>
    <col min="1844" max="1865" width="12.5" bestFit="1" customWidth="1"/>
    <col min="1866" max="1866" width="11.5" bestFit="1" customWidth="1"/>
    <col min="1867" max="1873" width="12.5" bestFit="1" customWidth="1"/>
    <col min="1874" max="1874" width="10.5" bestFit="1" customWidth="1"/>
    <col min="1875" max="1885" width="12.5" bestFit="1" customWidth="1"/>
    <col min="1886" max="1886" width="11.5" bestFit="1" customWidth="1"/>
    <col min="1887" max="1891" width="12.5" bestFit="1" customWidth="1"/>
    <col min="1892" max="1892" width="11.5" bestFit="1" customWidth="1"/>
    <col min="1893" max="1893" width="10.5" bestFit="1" customWidth="1"/>
    <col min="1894" max="1901" width="12.5" bestFit="1" customWidth="1"/>
    <col min="1902" max="1902" width="11.5" bestFit="1" customWidth="1"/>
    <col min="1903" max="1907" width="12.5" bestFit="1" customWidth="1"/>
    <col min="1908" max="1908" width="11.5" bestFit="1" customWidth="1"/>
    <col min="1909" max="1911" width="12.5" bestFit="1" customWidth="1"/>
    <col min="1912" max="1912" width="11.5" bestFit="1" customWidth="1"/>
    <col min="1913" max="1918" width="12.5" bestFit="1" customWidth="1"/>
    <col min="1919" max="1919" width="11.5" bestFit="1" customWidth="1"/>
    <col min="1920" max="1922" width="12.5" bestFit="1" customWidth="1"/>
    <col min="1923" max="1923" width="11.5" bestFit="1" customWidth="1"/>
    <col min="1924" max="1929" width="12.5" bestFit="1" customWidth="1"/>
    <col min="1930" max="1930" width="11.5" bestFit="1" customWidth="1"/>
    <col min="1931" max="1931" width="12.5" bestFit="1" customWidth="1"/>
    <col min="1932" max="1932" width="11.5" bestFit="1" customWidth="1"/>
    <col min="1933" max="1937" width="12.5" bestFit="1" customWidth="1"/>
    <col min="1938" max="1938" width="11.5" bestFit="1" customWidth="1"/>
    <col min="1939" max="1942" width="12.5" bestFit="1" customWidth="1"/>
    <col min="1943" max="1944" width="11.5" bestFit="1" customWidth="1"/>
    <col min="1945" max="1945" width="12.5" bestFit="1" customWidth="1"/>
    <col min="1946" max="1946" width="11.5" bestFit="1" customWidth="1"/>
    <col min="1947" max="1958" width="12.5" bestFit="1" customWidth="1"/>
    <col min="1959" max="1960" width="11.5" bestFit="1" customWidth="1"/>
    <col min="1961" max="1961" width="12.5" bestFit="1" customWidth="1"/>
    <col min="1962" max="1962" width="11.5" bestFit="1" customWidth="1"/>
    <col min="1963" max="1968" width="12.5" bestFit="1" customWidth="1"/>
    <col min="1969" max="1969" width="11.5" bestFit="1" customWidth="1"/>
    <col min="1970" max="1977" width="12.5" bestFit="1" customWidth="1"/>
    <col min="1978" max="1979" width="11.5" bestFit="1" customWidth="1"/>
    <col min="1980" max="1992" width="12.5" bestFit="1" customWidth="1"/>
    <col min="1993" max="1993" width="11.5" bestFit="1" customWidth="1"/>
    <col min="1994" max="2001" width="12.5" bestFit="1" customWidth="1"/>
    <col min="2002" max="2002" width="11.5" bestFit="1" customWidth="1"/>
    <col min="2003" max="2004" width="12.5" bestFit="1" customWidth="1"/>
    <col min="2005" max="2005" width="10.5" bestFit="1" customWidth="1"/>
    <col min="2006" max="2006" width="11.5" bestFit="1" customWidth="1"/>
    <col min="2007" max="2007" width="12.5" bestFit="1" customWidth="1"/>
    <col min="2008" max="2009" width="11.5" bestFit="1" customWidth="1"/>
    <col min="2010" max="2060" width="12.5" bestFit="1" customWidth="1"/>
    <col min="2061" max="2061" width="11.5" bestFit="1" customWidth="1"/>
    <col min="2062" max="2081" width="12.5" bestFit="1" customWidth="1"/>
    <col min="2082" max="2082" width="11.5" bestFit="1" customWidth="1"/>
    <col min="2083" max="2086" width="12.5" bestFit="1" customWidth="1"/>
    <col min="2087" max="2087" width="11.5" bestFit="1" customWidth="1"/>
    <col min="2088" max="2106" width="12.5" bestFit="1" customWidth="1"/>
    <col min="2107" max="2107" width="11.5" bestFit="1" customWidth="1"/>
    <col min="2108" max="2129" width="12.5" bestFit="1" customWidth="1"/>
    <col min="2130" max="2130" width="11.5" bestFit="1" customWidth="1"/>
    <col min="2131" max="2138" width="12.5" bestFit="1" customWidth="1"/>
    <col min="2139" max="2139" width="11.5" bestFit="1" customWidth="1"/>
    <col min="2140" max="2143" width="12.5" bestFit="1" customWidth="1"/>
    <col min="2144" max="2144" width="11.5" bestFit="1" customWidth="1"/>
    <col min="2145" max="2145" width="12.5" bestFit="1" customWidth="1"/>
    <col min="2146" max="2147" width="11.5" bestFit="1" customWidth="1"/>
    <col min="2148" max="2154" width="12.5" bestFit="1" customWidth="1"/>
    <col min="2155" max="2155" width="11.5" bestFit="1" customWidth="1"/>
    <col min="2156" max="2158" width="12.5" bestFit="1" customWidth="1"/>
    <col min="2159" max="2159" width="11.5" bestFit="1" customWidth="1"/>
    <col min="2160" max="2161" width="12.5" bestFit="1" customWidth="1"/>
    <col min="2162" max="2162" width="11.5" bestFit="1" customWidth="1"/>
    <col min="2163" max="2178" width="12.5" bestFit="1" customWidth="1"/>
    <col min="2179" max="2179" width="11.5" bestFit="1" customWidth="1"/>
    <col min="2180" max="2180" width="12.5" bestFit="1" customWidth="1"/>
    <col min="2181" max="2181" width="11.5" bestFit="1" customWidth="1"/>
    <col min="2182" max="2187" width="12.5" bestFit="1" customWidth="1"/>
    <col min="2188" max="2188" width="10.5" bestFit="1" customWidth="1"/>
    <col min="2189" max="2192" width="12.5" bestFit="1" customWidth="1"/>
    <col min="2193" max="2193" width="11.5" bestFit="1" customWidth="1"/>
    <col min="2194" max="2246" width="12.5" bestFit="1" customWidth="1"/>
    <col min="2247" max="2247" width="11.5" bestFit="1" customWidth="1"/>
    <col min="2248" max="2265" width="12.5" bestFit="1" customWidth="1"/>
    <col min="2266" max="2266" width="11.5" bestFit="1" customWidth="1"/>
    <col min="2267" max="2277" width="12.5" bestFit="1" customWidth="1"/>
    <col min="2278" max="2278" width="11.5" bestFit="1" customWidth="1"/>
    <col min="2279" max="2282" width="12.5" bestFit="1" customWidth="1"/>
    <col min="2283" max="2283" width="11.5" bestFit="1" customWidth="1"/>
    <col min="2284" max="2289" width="12.5" bestFit="1" customWidth="1"/>
    <col min="2290" max="2290" width="11.5" bestFit="1" customWidth="1"/>
    <col min="2291" max="2292" width="12.5" bestFit="1" customWidth="1"/>
    <col min="2293" max="2293" width="11.5" bestFit="1" customWidth="1"/>
    <col min="2294" max="2300" width="12.5" bestFit="1" customWidth="1"/>
    <col min="2301" max="2301" width="11.5" bestFit="1" customWidth="1"/>
    <col min="2302" max="2318" width="12.5" bestFit="1" customWidth="1"/>
    <col min="2319" max="2319" width="11.5" bestFit="1" customWidth="1"/>
    <col min="2320" max="2328" width="12.5" bestFit="1" customWidth="1"/>
    <col min="2329" max="2329" width="11.5" bestFit="1" customWidth="1"/>
    <col min="2330" max="2332" width="12.5" bestFit="1" customWidth="1"/>
    <col min="2333" max="2334" width="11.5" bestFit="1" customWidth="1"/>
    <col min="2335" max="2336" width="12.5" bestFit="1" customWidth="1"/>
    <col min="2337" max="2337" width="11.5" bestFit="1" customWidth="1"/>
    <col min="2338" max="2350" width="12.5" bestFit="1" customWidth="1"/>
    <col min="2351" max="2351" width="10.5" bestFit="1" customWidth="1"/>
    <col min="2352" max="2355" width="12.5" bestFit="1" customWidth="1"/>
    <col min="2356" max="2356" width="10.5" bestFit="1" customWidth="1"/>
    <col min="2357" max="2358" width="12.5" bestFit="1" customWidth="1"/>
    <col min="2359" max="2359" width="11.5" bestFit="1" customWidth="1"/>
    <col min="2360" max="2377" width="12.5" bestFit="1" customWidth="1"/>
    <col min="2378" max="2378" width="11.5" bestFit="1" customWidth="1"/>
    <col min="2379" max="2385" width="12.5" bestFit="1" customWidth="1"/>
    <col min="2386" max="2386" width="11.5" bestFit="1" customWidth="1"/>
    <col min="2387" max="2393" width="12.5" bestFit="1" customWidth="1"/>
    <col min="2394" max="2394" width="11.5" bestFit="1" customWidth="1"/>
    <col min="2395" max="2406" width="12.5" bestFit="1" customWidth="1"/>
    <col min="2407" max="2407" width="11.5" bestFit="1" customWidth="1"/>
    <col min="2408" max="2410" width="12.5" bestFit="1" customWidth="1"/>
    <col min="2411" max="2411" width="11.5" bestFit="1" customWidth="1"/>
    <col min="2412" max="2427" width="12.5" bestFit="1" customWidth="1"/>
    <col min="2428" max="2428" width="11.5" bestFit="1" customWidth="1"/>
    <col min="2429" max="2433" width="12.5" bestFit="1" customWidth="1"/>
    <col min="2434" max="2434" width="11.5" bestFit="1" customWidth="1"/>
    <col min="2435" max="2457" width="12.5" bestFit="1" customWidth="1"/>
    <col min="2458" max="2458" width="11.5" bestFit="1" customWidth="1"/>
    <col min="2459" max="2472" width="12.5" bestFit="1" customWidth="1"/>
    <col min="2473" max="2473" width="11.5" bestFit="1" customWidth="1"/>
    <col min="2474" max="2474" width="12.5" bestFit="1" customWidth="1"/>
    <col min="2475" max="2477" width="11.5" bestFit="1" customWidth="1"/>
    <col min="2478" max="2482" width="12.5" bestFit="1" customWidth="1"/>
    <col min="2483" max="2483" width="10.5" bestFit="1" customWidth="1"/>
    <col min="2484" max="2492" width="12.5" bestFit="1" customWidth="1"/>
    <col min="2493" max="2493" width="11.5" bestFit="1" customWidth="1"/>
    <col min="2494" max="2512" width="12.5" bestFit="1" customWidth="1"/>
    <col min="2513" max="2513" width="11.5" bestFit="1" customWidth="1"/>
    <col min="2514" max="2518" width="12.5" bestFit="1" customWidth="1"/>
    <col min="2519" max="2519" width="11.5" bestFit="1" customWidth="1"/>
    <col min="2520" max="2521" width="12.5" bestFit="1" customWidth="1"/>
    <col min="2522" max="2522" width="11.5" bestFit="1" customWidth="1"/>
    <col min="2523" max="2524" width="12.5" bestFit="1" customWidth="1"/>
    <col min="2525" max="2525" width="1.875" bestFit="1" customWidth="1"/>
    <col min="2526" max="2533" width="11.875" bestFit="1" customWidth="1"/>
    <col min="2534" max="2535" width="10.875" bestFit="1" customWidth="1"/>
    <col min="2536" max="2555" width="11.875" bestFit="1" customWidth="1"/>
    <col min="2556" max="2556" width="10.875" bestFit="1" customWidth="1"/>
    <col min="2557" max="2579" width="11.875" bestFit="1" customWidth="1"/>
    <col min="2580" max="2581" width="10.875" bestFit="1" customWidth="1"/>
    <col min="2582" max="2603" width="11.875" bestFit="1" customWidth="1"/>
    <col min="2604" max="2604" width="10.875" bestFit="1" customWidth="1"/>
    <col min="2605" max="2610" width="11.875" bestFit="1" customWidth="1"/>
    <col min="2611" max="2611" width="9.875" bestFit="1" customWidth="1"/>
    <col min="2612" max="2615" width="11.875" bestFit="1" customWidth="1"/>
    <col min="2616" max="2617" width="10.875" bestFit="1" customWidth="1"/>
    <col min="2618" max="2621" width="11.875" bestFit="1" customWidth="1"/>
    <col min="2622" max="2622" width="10.875" bestFit="1" customWidth="1"/>
    <col min="2623" max="2628" width="11.875" bestFit="1" customWidth="1"/>
    <col min="2629" max="2629" width="10.875" bestFit="1" customWidth="1"/>
    <col min="2630" max="2664" width="11.875" bestFit="1" customWidth="1"/>
    <col min="2665" max="2665" width="10.875" bestFit="1" customWidth="1"/>
    <col min="2666" max="2666" width="11.875" bestFit="1" customWidth="1"/>
    <col min="2667" max="2667" width="10.875" bestFit="1" customWidth="1"/>
    <col min="2668" max="2677" width="11.875" bestFit="1" customWidth="1"/>
    <col min="2678" max="2678" width="10.875" bestFit="1" customWidth="1"/>
    <col min="2679" max="2688" width="11.875" bestFit="1" customWidth="1"/>
    <col min="2689" max="2689" width="10.875" bestFit="1" customWidth="1"/>
    <col min="2690" max="2691" width="11.875" bestFit="1" customWidth="1"/>
    <col min="2692" max="2692" width="10.875" bestFit="1" customWidth="1"/>
    <col min="2693" max="2694" width="11.875" bestFit="1" customWidth="1"/>
    <col min="2695" max="2695" width="10.875" bestFit="1" customWidth="1"/>
    <col min="2696" max="2709" width="11.875" bestFit="1" customWidth="1"/>
    <col min="2710" max="2710" width="10.875" bestFit="1" customWidth="1"/>
    <col min="2711" max="2718" width="11.875" bestFit="1" customWidth="1"/>
    <col min="2719" max="2721" width="10.875" bestFit="1" customWidth="1"/>
    <col min="2722" max="2736" width="11.875" bestFit="1" customWidth="1"/>
    <col min="2737" max="2737" width="10.875" bestFit="1" customWidth="1"/>
    <col min="2738" max="2746" width="11.875" bestFit="1" customWidth="1"/>
    <col min="2747" max="2747" width="10.875" bestFit="1" customWidth="1"/>
    <col min="2748" max="2764" width="11.875" bestFit="1" customWidth="1"/>
    <col min="2765" max="2785" width="12.5" bestFit="1" customWidth="1"/>
    <col min="2786" max="2786" width="10.5" bestFit="1" customWidth="1"/>
    <col min="2787" max="2787" width="12.5" bestFit="1" customWidth="1"/>
    <col min="2788" max="2788" width="11.5" bestFit="1" customWidth="1"/>
    <col min="2789" max="2792" width="12.5" bestFit="1" customWidth="1"/>
    <col min="2793" max="2793" width="11.5" bestFit="1" customWidth="1"/>
    <col min="2794" max="2807" width="12.5" bestFit="1" customWidth="1"/>
    <col min="2808" max="2808" width="11.5" bestFit="1" customWidth="1"/>
    <col min="2809" max="2809" width="12.5" bestFit="1" customWidth="1"/>
    <col min="2810" max="2810" width="11.5" bestFit="1" customWidth="1"/>
    <col min="2811" max="2815" width="12.5" bestFit="1" customWidth="1"/>
    <col min="2816" max="2817" width="11.5" bestFit="1" customWidth="1"/>
    <col min="2818" max="2819" width="12.5" bestFit="1" customWidth="1"/>
    <col min="2820" max="2821" width="11.5" bestFit="1" customWidth="1"/>
    <col min="2822" max="2829" width="12.5" bestFit="1" customWidth="1"/>
    <col min="2830" max="2831" width="11.5" bestFit="1" customWidth="1"/>
    <col min="2832" max="2835" width="12.5" bestFit="1" customWidth="1"/>
    <col min="2836" max="2836" width="11.5" bestFit="1" customWidth="1"/>
    <col min="2837" max="2848" width="12.5" bestFit="1" customWidth="1"/>
    <col min="2849" max="2849" width="11.5" bestFit="1" customWidth="1"/>
    <col min="2850" max="2865" width="12.5" bestFit="1" customWidth="1"/>
    <col min="2866" max="2866" width="11.5" bestFit="1" customWidth="1"/>
    <col min="2867" max="2872" width="12.5" bestFit="1" customWidth="1"/>
    <col min="2873" max="2873" width="11.5" bestFit="1" customWidth="1"/>
    <col min="2874" max="2882" width="12.5" bestFit="1" customWidth="1"/>
    <col min="2883" max="2883" width="11.5" bestFit="1" customWidth="1"/>
    <col min="2884" max="2886" width="12.5" bestFit="1" customWidth="1"/>
    <col min="2887" max="2887" width="10.5" bestFit="1" customWidth="1"/>
    <col min="2888" max="2888" width="12.5" bestFit="1" customWidth="1"/>
    <col min="2889" max="2889" width="11.5" bestFit="1" customWidth="1"/>
    <col min="2890" max="2890" width="12.5" bestFit="1" customWidth="1"/>
    <col min="2891" max="2891" width="11.5" bestFit="1" customWidth="1"/>
    <col min="2892" max="2893" width="12.5" bestFit="1" customWidth="1"/>
    <col min="2894" max="2894" width="11.5" bestFit="1" customWidth="1"/>
    <col min="2895" max="2902" width="12.5" bestFit="1" customWidth="1"/>
    <col min="2903" max="2903" width="11.5" bestFit="1" customWidth="1"/>
    <col min="2904" max="2953" width="12.5" bestFit="1" customWidth="1"/>
    <col min="2954" max="2954" width="11.5" bestFit="1" customWidth="1"/>
    <col min="2955" max="2957" width="12.5" bestFit="1" customWidth="1"/>
    <col min="2958" max="2958" width="10.5" bestFit="1" customWidth="1"/>
    <col min="2959" max="2962" width="12.5" bestFit="1" customWidth="1"/>
    <col min="2963" max="2963" width="11.5" bestFit="1" customWidth="1"/>
    <col min="2964" max="2966" width="12.5" bestFit="1" customWidth="1"/>
    <col min="2967" max="2967" width="11.5" bestFit="1" customWidth="1"/>
    <col min="2968" max="2972" width="12.5" bestFit="1" customWidth="1"/>
    <col min="2973" max="2973" width="11.5" bestFit="1" customWidth="1"/>
    <col min="2974" max="2994" width="12.5" bestFit="1" customWidth="1"/>
    <col min="2995" max="2995" width="11.5" bestFit="1" customWidth="1"/>
    <col min="2996" max="3017" width="12.5" bestFit="1" customWidth="1"/>
    <col min="3018" max="3018" width="11.5" bestFit="1" customWidth="1"/>
    <col min="3019" max="3031" width="12.5" bestFit="1" customWidth="1"/>
    <col min="3032" max="3032" width="11.5" bestFit="1" customWidth="1"/>
    <col min="3033" max="3037" width="12.5" bestFit="1" customWidth="1"/>
    <col min="3038" max="3038" width="11.5" bestFit="1" customWidth="1"/>
    <col min="3039" max="3053" width="12.5" bestFit="1" customWidth="1"/>
    <col min="3054" max="3054" width="11.5" bestFit="1" customWidth="1"/>
    <col min="3055" max="3057" width="12.5" bestFit="1" customWidth="1"/>
    <col min="3058" max="3058" width="10.5" bestFit="1" customWidth="1"/>
    <col min="3059" max="3059" width="11.5" bestFit="1" customWidth="1"/>
    <col min="3060" max="3062" width="12.5" bestFit="1" customWidth="1"/>
    <col min="3063" max="3063" width="11.5" bestFit="1" customWidth="1"/>
    <col min="3064" max="3075" width="12.5" bestFit="1" customWidth="1"/>
    <col min="3076" max="3076" width="11.5" bestFit="1" customWidth="1"/>
    <col min="3077" max="3085" width="12.5" bestFit="1" customWidth="1"/>
    <col min="3086" max="3086" width="10.5" bestFit="1" customWidth="1"/>
    <col min="3087" max="3088" width="12.5" bestFit="1" customWidth="1"/>
    <col min="3089" max="3089" width="11.5" bestFit="1" customWidth="1"/>
    <col min="3090" max="3096" width="12.5" bestFit="1" customWidth="1"/>
    <col min="3097" max="3097" width="11.5" bestFit="1" customWidth="1"/>
    <col min="3098" max="3120" width="12.5" bestFit="1" customWidth="1"/>
    <col min="3121" max="3121" width="11.5" bestFit="1" customWidth="1"/>
    <col min="3122" max="3147" width="12.5" bestFit="1" customWidth="1"/>
    <col min="3148" max="3148" width="11.5" bestFit="1" customWidth="1"/>
    <col min="3149" max="3155" width="12.5" bestFit="1" customWidth="1"/>
    <col min="3156" max="3156" width="11.5" bestFit="1" customWidth="1"/>
    <col min="3157" max="3161" width="12.5" bestFit="1" customWidth="1"/>
    <col min="3162" max="3162" width="11.5" bestFit="1" customWidth="1"/>
    <col min="3163" max="3163" width="12.5" bestFit="1" customWidth="1"/>
    <col min="3164" max="3164" width="11.5" bestFit="1" customWidth="1"/>
    <col min="3165" max="3165" width="12.5" bestFit="1" customWidth="1"/>
    <col min="3166" max="3166" width="11.5" bestFit="1" customWidth="1"/>
    <col min="3167" max="3174" width="12.5" bestFit="1" customWidth="1"/>
    <col min="3175" max="3175" width="11.5" bestFit="1" customWidth="1"/>
    <col min="3176" max="3178" width="12.5" bestFit="1" customWidth="1"/>
    <col min="3179" max="3179" width="11.5" bestFit="1" customWidth="1"/>
    <col min="3180" max="3185" width="12.5" bestFit="1" customWidth="1"/>
    <col min="3186" max="3186" width="10.5" bestFit="1" customWidth="1"/>
    <col min="3187" max="3200" width="12.5" bestFit="1" customWidth="1"/>
    <col min="3201" max="3201" width="11.5" bestFit="1" customWidth="1"/>
    <col min="3202" max="3213" width="12.5" bestFit="1" customWidth="1"/>
    <col min="3214" max="3214" width="11.5" bestFit="1" customWidth="1"/>
    <col min="3215" max="3222" width="12.5" bestFit="1" customWidth="1"/>
    <col min="3223" max="3224" width="11.5" bestFit="1" customWidth="1"/>
    <col min="3225" max="3246" width="12.5" bestFit="1" customWidth="1"/>
    <col min="3247" max="3247" width="11.5" bestFit="1" customWidth="1"/>
    <col min="3248" max="3254" width="12.5" bestFit="1" customWidth="1"/>
    <col min="3255" max="3255" width="10.5" bestFit="1" customWidth="1"/>
    <col min="3256" max="3266" width="12.5" bestFit="1" customWidth="1"/>
    <col min="3267" max="3267" width="11.5" bestFit="1" customWidth="1"/>
    <col min="3268" max="3272" width="12.5" bestFit="1" customWidth="1"/>
    <col min="3273" max="3273" width="11.5" bestFit="1" customWidth="1"/>
    <col min="3274" max="3274" width="10.5" bestFit="1" customWidth="1"/>
    <col min="3275" max="3282" width="12.5" bestFit="1" customWidth="1"/>
    <col min="3283" max="3283" width="11.5" bestFit="1" customWidth="1"/>
    <col min="3284" max="3288" width="12.5" bestFit="1" customWidth="1"/>
    <col min="3289" max="3289" width="11.5" bestFit="1" customWidth="1"/>
    <col min="3290" max="3292" width="12.5" bestFit="1" customWidth="1"/>
    <col min="3293" max="3293" width="11.5" bestFit="1" customWidth="1"/>
    <col min="3294" max="3299" width="12.5" bestFit="1" customWidth="1"/>
    <col min="3300" max="3300" width="11.5" bestFit="1" customWidth="1"/>
    <col min="3301" max="3303" width="12.5" bestFit="1" customWidth="1"/>
    <col min="3304" max="3304" width="11.5" bestFit="1" customWidth="1"/>
    <col min="3305" max="3310" width="12.5" bestFit="1" customWidth="1"/>
    <col min="3311" max="3311" width="11.5" bestFit="1" customWidth="1"/>
    <col min="3312" max="3312" width="12.5" bestFit="1" customWidth="1"/>
    <col min="3313" max="3313" width="11.5" bestFit="1" customWidth="1"/>
    <col min="3314" max="3318" width="12.5" bestFit="1" customWidth="1"/>
    <col min="3319" max="3319" width="11.5" bestFit="1" customWidth="1"/>
    <col min="3320" max="3323" width="12.5" bestFit="1" customWidth="1"/>
    <col min="3324" max="3325" width="11.5" bestFit="1" customWidth="1"/>
    <col min="3326" max="3326" width="12.5" bestFit="1" customWidth="1"/>
    <col min="3327" max="3327" width="11.5" bestFit="1" customWidth="1"/>
    <col min="3328" max="3339" width="12.5" bestFit="1" customWidth="1"/>
    <col min="3340" max="3341" width="11.5" bestFit="1" customWidth="1"/>
    <col min="3342" max="3342" width="12.5" bestFit="1" customWidth="1"/>
    <col min="3343" max="3343" width="11.5" bestFit="1" customWidth="1"/>
    <col min="3344" max="3349" width="12.5" bestFit="1" customWidth="1"/>
    <col min="3350" max="3350" width="11.5" bestFit="1" customWidth="1"/>
    <col min="3351" max="3358" width="12.5" bestFit="1" customWidth="1"/>
    <col min="3359" max="3360" width="11.5" bestFit="1" customWidth="1"/>
    <col min="3361" max="3373" width="12.5" bestFit="1" customWidth="1"/>
    <col min="3374" max="3374" width="11.5" bestFit="1" customWidth="1"/>
    <col min="3375" max="3382" width="12.5" bestFit="1" customWidth="1"/>
    <col min="3383" max="3383" width="11.5" bestFit="1" customWidth="1"/>
    <col min="3384" max="3385" width="12.5" bestFit="1" customWidth="1"/>
    <col min="3386" max="3386" width="10.5" bestFit="1" customWidth="1"/>
    <col min="3387" max="3387" width="11.5" bestFit="1" customWidth="1"/>
    <col min="3388" max="3388" width="12.5" bestFit="1" customWidth="1"/>
    <col min="3389" max="3390" width="11.5" bestFit="1" customWidth="1"/>
    <col min="3391" max="3441" width="12.5" bestFit="1" customWidth="1"/>
    <col min="3442" max="3442" width="11.5" bestFit="1" customWidth="1"/>
    <col min="3443" max="3462" width="12.5" bestFit="1" customWidth="1"/>
    <col min="3463" max="3463" width="11.5" bestFit="1" customWidth="1"/>
    <col min="3464" max="3467" width="12.5" bestFit="1" customWidth="1"/>
    <col min="3468" max="3468" width="11.5" bestFit="1" customWidth="1"/>
    <col min="3469" max="3487" width="12.5" bestFit="1" customWidth="1"/>
    <col min="3488" max="3488" width="11.5" bestFit="1" customWidth="1"/>
    <col min="3489" max="3510" width="12.5" bestFit="1" customWidth="1"/>
    <col min="3511" max="3511" width="11.5" bestFit="1" customWidth="1"/>
    <col min="3512" max="3519" width="12.5" bestFit="1" customWidth="1"/>
    <col min="3520" max="3520" width="11.5" bestFit="1" customWidth="1"/>
    <col min="3521" max="3524" width="12.5" bestFit="1" customWidth="1"/>
    <col min="3525" max="3525" width="11.5" bestFit="1" customWidth="1"/>
    <col min="3526" max="3526" width="12.5" bestFit="1" customWidth="1"/>
    <col min="3527" max="3528" width="11.5" bestFit="1" customWidth="1"/>
    <col min="3529" max="3535" width="12.5" bestFit="1" customWidth="1"/>
    <col min="3536" max="3536" width="11.5" bestFit="1" customWidth="1"/>
    <col min="3537" max="3539" width="12.5" bestFit="1" customWidth="1"/>
    <col min="3540" max="3540" width="11.5" bestFit="1" customWidth="1"/>
    <col min="3541" max="3542" width="12.5" bestFit="1" customWidth="1"/>
    <col min="3543" max="3543" width="11.5" bestFit="1" customWidth="1"/>
    <col min="3544" max="3559" width="12.5" bestFit="1" customWidth="1"/>
    <col min="3560" max="3560" width="11.5" bestFit="1" customWidth="1"/>
    <col min="3561" max="3561" width="12.5" bestFit="1" customWidth="1"/>
    <col min="3562" max="3562" width="11.5" bestFit="1" customWidth="1"/>
    <col min="3563" max="3568" width="12.5" bestFit="1" customWidth="1"/>
    <col min="3569" max="3569" width="10.5" bestFit="1" customWidth="1"/>
    <col min="3570" max="3573" width="12.5" bestFit="1" customWidth="1"/>
    <col min="3574" max="3574" width="11.5" bestFit="1" customWidth="1"/>
    <col min="3575" max="3627" width="12.5" bestFit="1" customWidth="1"/>
    <col min="3628" max="3628" width="11.5" bestFit="1" customWidth="1"/>
    <col min="3629" max="3646" width="12.5" bestFit="1" customWidth="1"/>
    <col min="3647" max="3647" width="11.5" bestFit="1" customWidth="1"/>
    <col min="3648" max="3658" width="12.5" bestFit="1" customWidth="1"/>
    <col min="3659" max="3659" width="11.5" bestFit="1" customWidth="1"/>
    <col min="3660" max="3663" width="12.5" bestFit="1" customWidth="1"/>
    <col min="3664" max="3664" width="11.5" bestFit="1" customWidth="1"/>
    <col min="3665" max="3670" width="12.5" bestFit="1" customWidth="1"/>
    <col min="3671" max="3671" width="11.5" bestFit="1" customWidth="1"/>
    <col min="3672" max="3673" width="12.5" bestFit="1" customWidth="1"/>
    <col min="3674" max="3674" width="11.5" bestFit="1" customWidth="1"/>
    <col min="3675" max="3681" width="12.5" bestFit="1" customWidth="1"/>
    <col min="3682" max="3682" width="11.5" bestFit="1" customWidth="1"/>
    <col min="3683" max="3699" width="12.5" bestFit="1" customWidth="1"/>
    <col min="3700" max="3700" width="11.5" bestFit="1" customWidth="1"/>
    <col min="3701" max="3709" width="12.5" bestFit="1" customWidth="1"/>
    <col min="3710" max="3710" width="11.5" bestFit="1" customWidth="1"/>
    <col min="3711" max="3713" width="12.5" bestFit="1" customWidth="1"/>
    <col min="3714" max="3715" width="11.5" bestFit="1" customWidth="1"/>
    <col min="3716" max="3717" width="12.5" bestFit="1" customWidth="1"/>
    <col min="3718" max="3718" width="11.5" bestFit="1" customWidth="1"/>
    <col min="3719" max="3731" width="12.5" bestFit="1" customWidth="1"/>
    <col min="3732" max="3732" width="10.5" bestFit="1" customWidth="1"/>
    <col min="3733" max="3736" width="12.5" bestFit="1" customWidth="1"/>
    <col min="3737" max="3737" width="10.5" bestFit="1" customWidth="1"/>
    <col min="3738" max="3739" width="12.5" bestFit="1" customWidth="1"/>
    <col min="3740" max="3740" width="11.5" bestFit="1" customWidth="1"/>
    <col min="3741" max="3758" width="12.5" bestFit="1" customWidth="1"/>
    <col min="3759" max="3759" width="11.5" bestFit="1" customWidth="1"/>
    <col min="3760" max="3766" width="12.5" bestFit="1" customWidth="1"/>
    <col min="3767" max="3767" width="11.5" bestFit="1" customWidth="1"/>
    <col min="3768" max="3774" width="12.5" bestFit="1" customWidth="1"/>
    <col min="3775" max="3775" width="11.5" bestFit="1" customWidth="1"/>
    <col min="3776" max="3787" width="12.5" bestFit="1" customWidth="1"/>
    <col min="3788" max="3788" width="11.5" bestFit="1" customWidth="1"/>
    <col min="3789" max="3791" width="12.5" bestFit="1" customWidth="1"/>
    <col min="3792" max="3792" width="11.5" bestFit="1" customWidth="1"/>
    <col min="3793" max="3808" width="12.5" bestFit="1" customWidth="1"/>
    <col min="3809" max="3809" width="11.5" bestFit="1" customWidth="1"/>
    <col min="3810" max="3814" width="12.5" bestFit="1" customWidth="1"/>
    <col min="3815" max="3815" width="11.5" bestFit="1" customWidth="1"/>
    <col min="3816" max="3838" width="12.5" bestFit="1" customWidth="1"/>
    <col min="3839" max="3839" width="11.5" bestFit="1" customWidth="1"/>
    <col min="3840" max="3853" width="12.5" bestFit="1" customWidth="1"/>
    <col min="3854" max="3854" width="11.5" bestFit="1" customWidth="1"/>
    <col min="3855" max="3855" width="12.5" bestFit="1" customWidth="1"/>
    <col min="3856" max="3858" width="11.5" bestFit="1" customWidth="1"/>
    <col min="3859" max="3863" width="12.5" bestFit="1" customWidth="1"/>
    <col min="3864" max="3864" width="10.5" bestFit="1" customWidth="1"/>
    <col min="3865" max="3873" width="12.5" bestFit="1" customWidth="1"/>
    <col min="3874" max="3874" width="11.5" bestFit="1" customWidth="1"/>
    <col min="3875" max="3893" width="12.5" bestFit="1" customWidth="1"/>
    <col min="3894" max="3894" width="11.5" bestFit="1" customWidth="1"/>
    <col min="3895" max="3899" width="12.5" bestFit="1" customWidth="1"/>
    <col min="3900" max="3900" width="11.5" bestFit="1" customWidth="1"/>
    <col min="3901" max="3902" width="12.5" bestFit="1" customWidth="1"/>
    <col min="3903" max="3903" width="11.5" bestFit="1" customWidth="1"/>
    <col min="3904" max="3905" width="12.5" bestFit="1" customWidth="1"/>
    <col min="3906" max="3906" width="1.875" bestFit="1" customWidth="1"/>
    <col min="3907" max="3914" width="11.875" bestFit="1" customWidth="1"/>
    <col min="3915" max="3916" width="10.875" bestFit="1" customWidth="1"/>
    <col min="3917" max="3936" width="11.875" bestFit="1" customWidth="1"/>
    <col min="3937" max="3937" width="10.875" bestFit="1" customWidth="1"/>
    <col min="3938" max="3960" width="11.875" bestFit="1" customWidth="1"/>
    <col min="3961" max="3962" width="10.875" bestFit="1" customWidth="1"/>
    <col min="3963" max="3984" width="11.875" bestFit="1" customWidth="1"/>
    <col min="3985" max="3985" width="10.875" bestFit="1" customWidth="1"/>
    <col min="3986" max="3991" width="11.875" bestFit="1" customWidth="1"/>
    <col min="3992" max="3992" width="9.875" bestFit="1" customWidth="1"/>
    <col min="3993" max="3996" width="11.875" bestFit="1" customWidth="1"/>
    <col min="3997" max="3998" width="10.875" bestFit="1" customWidth="1"/>
    <col min="3999" max="4002" width="11.875" bestFit="1" customWidth="1"/>
    <col min="4003" max="4003" width="10.875" bestFit="1" customWidth="1"/>
    <col min="4004" max="4009" width="11.875" bestFit="1" customWidth="1"/>
    <col min="4010" max="4010" width="10.875" bestFit="1" customWidth="1"/>
    <col min="4011" max="4045" width="11.875" bestFit="1" customWidth="1"/>
    <col min="4046" max="4046" width="10.875" bestFit="1" customWidth="1"/>
    <col min="4047" max="4047" width="11.875" bestFit="1" customWidth="1"/>
    <col min="4048" max="4048" width="10.875" bestFit="1" customWidth="1"/>
    <col min="4049" max="4058" width="11.875" bestFit="1" customWidth="1"/>
    <col min="4059" max="4059" width="10.875" bestFit="1" customWidth="1"/>
    <col min="4060" max="4069" width="11.875" bestFit="1" customWidth="1"/>
    <col min="4070" max="4070" width="10.875" bestFit="1" customWidth="1"/>
    <col min="4071" max="4072" width="11.875" bestFit="1" customWidth="1"/>
    <col min="4073" max="4073" width="10.875" bestFit="1" customWidth="1"/>
    <col min="4074" max="4075" width="11.875" bestFit="1" customWidth="1"/>
    <col min="4076" max="4076" width="10.875" bestFit="1" customWidth="1"/>
    <col min="4077" max="4090" width="11.875" bestFit="1" customWidth="1"/>
    <col min="4091" max="4091" width="10.875" bestFit="1" customWidth="1"/>
    <col min="4092" max="4099" width="11.875" bestFit="1" customWidth="1"/>
    <col min="4100" max="4102" width="10.875" bestFit="1" customWidth="1"/>
    <col min="4103" max="4117" width="11.875" bestFit="1" customWidth="1"/>
    <col min="4118" max="4118" width="10.875" bestFit="1" customWidth="1"/>
    <col min="4119" max="4127" width="11.875" bestFit="1" customWidth="1"/>
    <col min="4128" max="4128" width="10.875" bestFit="1" customWidth="1"/>
    <col min="4129" max="4145" width="11.875" bestFit="1" customWidth="1"/>
    <col min="4146" max="4146" width="19" bestFit="1" customWidth="1"/>
    <col min="4147" max="4147" width="20.875" bestFit="1" customWidth="1"/>
    <col min="4148" max="4148" width="28.5" bestFit="1" customWidth="1"/>
  </cols>
  <sheetData>
    <row r="3" spans="2:4148" s="1864" customFormat="1" ht="28.5" x14ac:dyDescent="0.2">
      <c r="B3"/>
      <c r="C3" s="1865" t="s">
        <v>324</v>
      </c>
      <c r="D3" s="1865" t="s">
        <v>323</v>
      </c>
      <c r="E3" s="1865" t="s">
        <v>325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</row>
    <row r="4" spans="2:4148" x14ac:dyDescent="0.2">
      <c r="B4" s="1856">
        <v>2013</v>
      </c>
      <c r="C4" s="1857">
        <v>4461114</v>
      </c>
      <c r="D4" s="1857">
        <v>3877192.2596203475</v>
      </c>
      <c r="E4" s="1857">
        <v>112381.74037965237</v>
      </c>
    </row>
    <row r="5" spans="2:4148" x14ac:dyDescent="0.2">
      <c r="B5" s="1858">
        <v>7</v>
      </c>
      <c r="C5" s="1857">
        <v>116443</v>
      </c>
      <c r="D5" s="1857">
        <v>0</v>
      </c>
      <c r="E5" s="1857">
        <v>0</v>
      </c>
    </row>
    <row r="6" spans="2:4148" x14ac:dyDescent="0.2">
      <c r="B6" s="1858">
        <v>8</v>
      </c>
      <c r="C6" s="1857">
        <v>609375</v>
      </c>
      <c r="D6" s="1857">
        <v>244700.27805738238</v>
      </c>
      <c r="E6" s="1857">
        <v>9579.7219426176198</v>
      </c>
    </row>
    <row r="7" spans="2:4148" x14ac:dyDescent="0.2">
      <c r="B7" s="1858">
        <v>9</v>
      </c>
      <c r="C7" s="1857">
        <v>685528</v>
      </c>
      <c r="D7" s="1857">
        <v>719323.65920655755</v>
      </c>
      <c r="E7" s="1857">
        <v>-33795.659206557481</v>
      </c>
    </row>
    <row r="8" spans="2:4148" x14ac:dyDescent="0.2">
      <c r="B8" s="1858">
        <v>10</v>
      </c>
      <c r="C8" s="1857">
        <v>711840</v>
      </c>
      <c r="D8" s="1857">
        <v>704586.09057581157</v>
      </c>
      <c r="E8" s="1857">
        <v>7253.9094241885177</v>
      </c>
    </row>
    <row r="9" spans="2:4148" x14ac:dyDescent="0.2">
      <c r="B9" s="1858">
        <v>11</v>
      </c>
      <c r="C9" s="1857">
        <v>316634</v>
      </c>
      <c r="D9" s="1857">
        <v>304544.03758507414</v>
      </c>
      <c r="E9" s="1857">
        <v>12089.962414925852</v>
      </c>
    </row>
    <row r="10" spans="2:4148" x14ac:dyDescent="0.2">
      <c r="B10" s="1858">
        <v>12</v>
      </c>
      <c r="C10" s="1857">
        <v>2021294</v>
      </c>
      <c r="D10" s="1857">
        <v>1904038.194195522</v>
      </c>
      <c r="E10" s="1857">
        <v>117253.80580447786</v>
      </c>
    </row>
    <row r="11" spans="2:4148" x14ac:dyDescent="0.2">
      <c r="B11" s="1856">
        <v>2014</v>
      </c>
      <c r="C11" s="1857">
        <v>24710245</v>
      </c>
      <c r="D11" s="1857">
        <v>24784159.468031943</v>
      </c>
      <c r="E11" s="1857">
        <v>11814.531968052615</v>
      </c>
    </row>
    <row r="12" spans="2:4148" x14ac:dyDescent="0.2">
      <c r="B12" s="1858">
        <v>1</v>
      </c>
      <c r="C12" s="1857">
        <v>1855994</v>
      </c>
      <c r="D12" s="1857">
        <v>2134013.009048969</v>
      </c>
      <c r="E12" s="1857">
        <v>-266008.00904896884</v>
      </c>
    </row>
    <row r="13" spans="2:4148" x14ac:dyDescent="0.2">
      <c r="B13" s="1858">
        <v>2</v>
      </c>
      <c r="C13" s="1857">
        <v>1951839</v>
      </c>
      <c r="D13" s="1857">
        <v>1886402.0358775198</v>
      </c>
      <c r="E13" s="1857">
        <v>65435.964122480247</v>
      </c>
    </row>
    <row r="14" spans="2:4148" x14ac:dyDescent="0.2">
      <c r="B14" s="1858">
        <v>3</v>
      </c>
      <c r="C14" s="1857">
        <v>2299802</v>
      </c>
      <c r="D14" s="1857">
        <v>2189868.4411942605</v>
      </c>
      <c r="E14" s="1857">
        <v>104849.55880573923</v>
      </c>
    </row>
    <row r="15" spans="2:4148" x14ac:dyDescent="0.2">
      <c r="B15" s="1858">
        <v>4</v>
      </c>
      <c r="C15" s="1857">
        <v>1984395</v>
      </c>
      <c r="D15" s="1857">
        <v>2034932.1868973095</v>
      </c>
      <c r="E15" s="1857">
        <v>-55397.186897309875</v>
      </c>
    </row>
    <row r="16" spans="2:4148" x14ac:dyDescent="0.2">
      <c r="B16" s="1858">
        <v>5</v>
      </c>
      <c r="C16" s="1857">
        <v>1960356</v>
      </c>
      <c r="D16" s="1857">
        <v>2220385.9317924702</v>
      </c>
      <c r="E16" s="1857">
        <v>-255186.93179247019</v>
      </c>
    </row>
    <row r="17" spans="2:5" x14ac:dyDescent="0.2">
      <c r="B17" s="1858">
        <v>6</v>
      </c>
      <c r="C17" s="1857">
        <v>1879663</v>
      </c>
      <c r="D17" s="1857">
        <v>1969014.8823297266</v>
      </c>
      <c r="E17" s="1857">
        <v>-84028.882329726475</v>
      </c>
    </row>
    <row r="18" spans="2:5" x14ac:dyDescent="0.2">
      <c r="B18" s="1858">
        <v>7</v>
      </c>
      <c r="C18" s="1857">
        <v>2176822</v>
      </c>
      <c r="D18" s="1857">
        <v>2154473.31609549</v>
      </c>
      <c r="E18" s="1857">
        <v>35232.683904509962</v>
      </c>
    </row>
    <row r="19" spans="2:5" x14ac:dyDescent="0.2">
      <c r="B19" s="1858">
        <v>8</v>
      </c>
      <c r="C19" s="1857">
        <v>2214514</v>
      </c>
      <c r="D19" s="1857">
        <v>2172148.0044132629</v>
      </c>
      <c r="E19" s="1857">
        <v>35366.995586736739</v>
      </c>
    </row>
    <row r="20" spans="2:5" x14ac:dyDescent="0.2">
      <c r="B20" s="1858">
        <v>9</v>
      </c>
      <c r="C20" s="1857">
        <v>2282007</v>
      </c>
      <c r="D20" s="1857">
        <v>2029905.8860368589</v>
      </c>
      <c r="E20" s="1857">
        <v>252204.11396314134</v>
      </c>
    </row>
    <row r="21" spans="2:5" x14ac:dyDescent="0.2">
      <c r="B21" s="1858">
        <v>10</v>
      </c>
      <c r="C21" s="1857">
        <v>2146496</v>
      </c>
      <c r="D21" s="1857">
        <v>2053022.0431991387</v>
      </c>
      <c r="E21" s="1857">
        <v>93473.956800861401</v>
      </c>
    </row>
    <row r="22" spans="2:5" x14ac:dyDescent="0.2">
      <c r="B22" s="1858">
        <v>11</v>
      </c>
      <c r="C22" s="1857">
        <v>2051357</v>
      </c>
      <c r="D22" s="1857">
        <v>1895843.3282279014</v>
      </c>
      <c r="E22" s="1857">
        <v>223022.67177209898</v>
      </c>
    </row>
    <row r="23" spans="2:5" x14ac:dyDescent="0.2">
      <c r="B23" s="1858">
        <v>12</v>
      </c>
      <c r="C23" s="1857">
        <v>1907000</v>
      </c>
      <c r="D23" s="1857">
        <v>2044150.4029190401</v>
      </c>
      <c r="E23" s="1857">
        <v>-137150.40291903995</v>
      </c>
    </row>
    <row r="24" spans="2:5" x14ac:dyDescent="0.2">
      <c r="B24" s="1856">
        <v>2015</v>
      </c>
      <c r="C24" s="1857">
        <v>24181539</v>
      </c>
      <c r="D24" s="1857">
        <v>24862568.754442263</v>
      </c>
      <c r="E24" s="1857">
        <v>-775029.75444226572</v>
      </c>
    </row>
    <row r="25" spans="2:5" x14ac:dyDescent="0.2">
      <c r="B25" s="1858">
        <v>1</v>
      </c>
      <c r="C25" s="1857">
        <v>1854701</v>
      </c>
      <c r="D25" s="1857">
        <v>1970794.0118678145</v>
      </c>
      <c r="E25" s="1857">
        <v>-116093.01186781409</v>
      </c>
    </row>
    <row r="26" spans="2:5" x14ac:dyDescent="0.2">
      <c r="B26" s="1858">
        <v>2</v>
      </c>
      <c r="C26" s="1857">
        <v>1721945</v>
      </c>
      <c r="D26" s="1857">
        <v>1829733.2425884181</v>
      </c>
      <c r="E26" s="1857">
        <v>-107788.2425884184</v>
      </c>
    </row>
    <row r="27" spans="2:5" x14ac:dyDescent="0.2">
      <c r="B27" s="1858">
        <v>3</v>
      </c>
      <c r="C27" s="1857">
        <v>1384128</v>
      </c>
      <c r="D27" s="1857">
        <v>1568869.0127421478</v>
      </c>
      <c r="E27" s="1857">
        <v>-184741.01274214796</v>
      </c>
    </row>
    <row r="28" spans="2:5" x14ac:dyDescent="0.2">
      <c r="B28" s="1858">
        <v>4</v>
      </c>
      <c r="C28" s="1857">
        <v>2145208</v>
      </c>
      <c r="D28" s="1857">
        <v>2117070.4068819308</v>
      </c>
      <c r="E28" s="1857">
        <v>28137.593118069715</v>
      </c>
    </row>
    <row r="29" spans="2:5" x14ac:dyDescent="0.2">
      <c r="B29" s="1858">
        <v>5</v>
      </c>
      <c r="C29" s="1857">
        <v>2231000</v>
      </c>
      <c r="D29" s="1857">
        <v>2263825.4457182125</v>
      </c>
      <c r="E29" s="1857">
        <v>-32825.445718213086</v>
      </c>
    </row>
    <row r="30" spans="2:5" x14ac:dyDescent="0.2">
      <c r="B30" s="1858">
        <v>6</v>
      </c>
      <c r="C30" s="1857">
        <v>2017611</v>
      </c>
      <c r="D30" s="1857">
        <v>2168155.2374191713</v>
      </c>
      <c r="E30" s="1857">
        <v>-150543.23741917103</v>
      </c>
    </row>
    <row r="31" spans="2:5" x14ac:dyDescent="0.2">
      <c r="B31" s="1858">
        <v>7</v>
      </c>
      <c r="C31" s="1857">
        <v>2236000</v>
      </c>
      <c r="D31" s="1857">
        <v>2231346.5825706902</v>
      </c>
      <c r="E31" s="1857">
        <v>-83347.58257069008</v>
      </c>
    </row>
    <row r="32" spans="2:5" x14ac:dyDescent="0.2">
      <c r="B32" s="1858">
        <v>8</v>
      </c>
      <c r="C32" s="1857">
        <v>2147999</v>
      </c>
      <c r="D32" s="1857">
        <v>2231346.5825706902</v>
      </c>
      <c r="E32" s="1857">
        <v>-83347.58257069008</v>
      </c>
    </row>
    <row r="33" spans="2:5" x14ac:dyDescent="0.2">
      <c r="B33" s="1858">
        <v>9</v>
      </c>
      <c r="C33" s="1857">
        <v>2152999</v>
      </c>
      <c r="D33" s="1857">
        <v>2139973.3888924946</v>
      </c>
      <c r="E33" s="1857">
        <v>13025.61110750497</v>
      </c>
    </row>
    <row r="34" spans="2:5" x14ac:dyDescent="0.2">
      <c r="B34" s="1858">
        <v>10</v>
      </c>
      <c r="C34" s="1857">
        <v>2150001</v>
      </c>
      <c r="D34" s="1857">
        <v>2156586.7584420899</v>
      </c>
      <c r="E34" s="1857">
        <v>-6585.7584420900457</v>
      </c>
    </row>
    <row r="35" spans="2:5" x14ac:dyDescent="0.2">
      <c r="B35" s="1858">
        <v>11</v>
      </c>
      <c r="C35" s="1857">
        <v>2029228</v>
      </c>
      <c r="D35" s="1857">
        <v>2027811.1079244332</v>
      </c>
      <c r="E35" s="1857">
        <v>-4583.1079244331049</v>
      </c>
    </row>
    <row r="36" spans="2:5" x14ac:dyDescent="0.2">
      <c r="B36" s="1858">
        <v>12</v>
      </c>
      <c r="C36" s="1857">
        <v>2110719</v>
      </c>
      <c r="D36" s="1857">
        <v>2157056.9768241723</v>
      </c>
      <c r="E36" s="1857">
        <v>-46337.976824172525</v>
      </c>
    </row>
    <row r="37" spans="2:5" x14ac:dyDescent="0.2">
      <c r="B37" s="1856">
        <v>2016</v>
      </c>
      <c r="C37" s="1857">
        <v>25304269</v>
      </c>
      <c r="D37" s="1857">
        <v>25166348.276018873</v>
      </c>
      <c r="E37" s="1857">
        <v>136750.72398112345</v>
      </c>
    </row>
    <row r="38" spans="2:5" x14ac:dyDescent="0.2">
      <c r="B38" s="1858">
        <v>1</v>
      </c>
      <c r="C38" s="1857">
        <v>2077956</v>
      </c>
      <c r="D38" s="1857">
        <v>2120084.8670817274</v>
      </c>
      <c r="E38" s="1857">
        <v>-42128.867081727069</v>
      </c>
    </row>
    <row r="39" spans="2:5" x14ac:dyDescent="0.2">
      <c r="B39" s="1858">
        <v>2</v>
      </c>
      <c r="C39" s="1857">
        <v>1969949</v>
      </c>
      <c r="D39" s="1857">
        <v>1972366.3905691863</v>
      </c>
      <c r="E39" s="1857">
        <v>-3587.390569186231</v>
      </c>
    </row>
    <row r="40" spans="2:5" x14ac:dyDescent="0.2">
      <c r="B40" s="1858">
        <v>3</v>
      </c>
      <c r="C40" s="1857">
        <v>2172998</v>
      </c>
      <c r="D40" s="1857">
        <v>2176402.936920397</v>
      </c>
      <c r="E40" s="1857">
        <v>-3404.9369203967944</v>
      </c>
    </row>
    <row r="41" spans="2:5" x14ac:dyDescent="0.2">
      <c r="B41" s="1858">
        <v>4</v>
      </c>
      <c r="C41" s="1857">
        <v>2140595</v>
      </c>
      <c r="D41" s="1857">
        <v>2122169.9853390073</v>
      </c>
      <c r="E41" s="1857">
        <v>18425.014660992456</v>
      </c>
    </row>
    <row r="42" spans="2:5" x14ac:dyDescent="0.2">
      <c r="B42" s="1858">
        <v>5</v>
      </c>
      <c r="C42" s="1857">
        <v>2261605</v>
      </c>
      <c r="D42" s="1857">
        <v>2173474.7010586071</v>
      </c>
      <c r="E42" s="1857">
        <v>88130.298941393252</v>
      </c>
    </row>
    <row r="43" spans="2:5" x14ac:dyDescent="0.2">
      <c r="B43" s="1858">
        <v>6</v>
      </c>
      <c r="C43" s="1857">
        <v>2155691</v>
      </c>
      <c r="D43" s="1857">
        <v>2102614.3654933954</v>
      </c>
      <c r="E43" s="1857">
        <v>53076.634506604343</v>
      </c>
    </row>
    <row r="44" spans="2:5" x14ac:dyDescent="0.2">
      <c r="B44" s="1858">
        <v>7</v>
      </c>
      <c r="C44" s="1857">
        <v>2282504</v>
      </c>
      <c r="D44" s="1857">
        <v>2204339.4442165592</v>
      </c>
      <c r="E44" s="1857">
        <v>78164.555783440999</v>
      </c>
    </row>
    <row r="45" spans="2:5" x14ac:dyDescent="0.2">
      <c r="B45" s="1858">
        <v>8</v>
      </c>
      <c r="C45" s="1857">
        <v>2086000</v>
      </c>
      <c r="D45" s="1857">
        <v>2184253.1172630675</v>
      </c>
      <c r="E45" s="1857">
        <v>-98253.117263067572</v>
      </c>
    </row>
    <row r="46" spans="2:5" x14ac:dyDescent="0.2">
      <c r="B46" s="1858">
        <v>9</v>
      </c>
      <c r="C46" s="1857">
        <v>2150998</v>
      </c>
      <c r="D46" s="1857">
        <v>2053654.2584678123</v>
      </c>
      <c r="E46" s="1857">
        <v>97343.741532187574</v>
      </c>
    </row>
    <row r="47" spans="2:5" x14ac:dyDescent="0.2">
      <c r="B47" s="1858">
        <v>10</v>
      </c>
      <c r="C47" s="1857">
        <v>2013993</v>
      </c>
      <c r="D47" s="1857">
        <v>2052564.6739001123</v>
      </c>
      <c r="E47" s="1857">
        <v>-38571.673900112386</v>
      </c>
    </row>
    <row r="48" spans="2:5" x14ac:dyDescent="0.2">
      <c r="B48" s="1858">
        <v>11</v>
      </c>
      <c r="C48" s="1857">
        <v>1949994</v>
      </c>
      <c r="D48" s="1857">
        <v>1973599.9870063767</v>
      </c>
      <c r="E48" s="1857">
        <v>-23605.987006376992</v>
      </c>
    </row>
    <row r="49" spans="2:8" x14ac:dyDescent="0.2">
      <c r="B49" s="1858">
        <v>12</v>
      </c>
      <c r="C49" s="1857">
        <v>2041986</v>
      </c>
      <c r="D49" s="1857">
        <v>2030823.5487026279</v>
      </c>
      <c r="E49" s="1857">
        <v>11162.451297371874</v>
      </c>
    </row>
    <row r="50" spans="2:8" x14ac:dyDescent="0.2">
      <c r="B50" s="1856">
        <v>2017</v>
      </c>
      <c r="C50" s="1857">
        <v>12026436</v>
      </c>
      <c r="D50" s="1857">
        <v>12185787.084760886</v>
      </c>
      <c r="E50" s="1857">
        <v>-159351.08476088542</v>
      </c>
    </row>
    <row r="51" spans="2:8" x14ac:dyDescent="0.2">
      <c r="B51" s="1858">
        <v>1</v>
      </c>
      <c r="C51" s="1857">
        <v>1825866</v>
      </c>
      <c r="D51" s="1857">
        <v>1919765.7973175556</v>
      </c>
      <c r="E51" s="1857">
        <v>-93899.797317555771</v>
      </c>
    </row>
    <row r="52" spans="2:8" x14ac:dyDescent="0.2">
      <c r="B52" s="1858">
        <v>2</v>
      </c>
      <c r="C52" s="1857">
        <v>1718997</v>
      </c>
      <c r="D52" s="1857">
        <v>1759594.5190517989</v>
      </c>
      <c r="E52" s="1857">
        <v>-40597.519051798954</v>
      </c>
    </row>
    <row r="53" spans="2:8" x14ac:dyDescent="0.2">
      <c r="B53" s="1858">
        <v>3</v>
      </c>
      <c r="C53" s="1857">
        <v>2022993</v>
      </c>
      <c r="D53" s="1857">
        <v>2105614.4241472417</v>
      </c>
      <c r="E53" s="1857">
        <v>-82621.424147241662</v>
      </c>
    </row>
    <row r="54" spans="2:8" x14ac:dyDescent="0.2">
      <c r="B54" s="1858">
        <v>4</v>
      </c>
      <c r="C54" s="1857">
        <v>2126997</v>
      </c>
      <c r="D54" s="1857">
        <v>2110074.7766546058</v>
      </c>
      <c r="E54" s="1857">
        <v>16922.223345393948</v>
      </c>
    </row>
    <row r="55" spans="2:8" x14ac:dyDescent="0.2">
      <c r="B55" s="1858">
        <v>5</v>
      </c>
      <c r="C55" s="1857">
        <v>2248991</v>
      </c>
      <c r="D55" s="1857">
        <v>2157021.6178295068</v>
      </c>
      <c r="E55" s="1857">
        <v>91969.382170492958</v>
      </c>
      <c r="G55" s="1063" t="s">
        <v>389</v>
      </c>
      <c r="H55" s="1063" t="s">
        <v>8</v>
      </c>
    </row>
    <row r="56" spans="2:8" x14ac:dyDescent="0.2">
      <c r="B56" s="1858">
        <v>6</v>
      </c>
      <c r="C56" s="1857">
        <v>2082592</v>
      </c>
      <c r="D56" s="1857">
        <v>2133715.9497601753</v>
      </c>
      <c r="E56" s="1857">
        <v>-51123.94976017595</v>
      </c>
      <c r="G56" s="1867">
        <f>+GETPIVOTDATA("DESBALANCE MENSUAL",$B$3,"Año",2013)+GETPIVOTDATA("DESBALANCE MENSUAL",$B$3,"Año",2014)+GETPIVOTDATA("DESBALANCE MENSUAL",$B$3,"Año",2015)+GETPIVOTDATA("DESBALANCE MENSUAL",$B$3,"Año",2016)+GETPIVOTDATA("DESBALANCE MENSUAL",$B$3,"Año",2017)+GETPIVOTDATA("DESBALANCE MENSUAL",$B$3,"Año",2017,"Mes",1)+GETPIVOTDATA("DESBALANCE MENSUAL",$B$3,"Año",2017,"Mes",2)+GETPIVOTDATA("DESBALANCE MENSUAL",$B$3,"Año",2017,"Mes",3)+GETPIVOTDATA("DESBALANCE MENSUAL",$B$3,"Año",2017,"Mes",4)+GETPIVOTDATA("DESBALANCE MENSUAL",$B$3,"Año",2017,"Mes",5)+GETPIVOTDATA("DESBALANCE MENSUAL",$B$3,"Año",2017,"Mes",6)</f>
        <v>-832784.92763520824</v>
      </c>
      <c r="H56" s="1866">
        <f>G56*1.055056</f>
        <v>-878634.73461109225</v>
      </c>
    </row>
    <row r="57" spans="2:8" x14ac:dyDescent="0.2">
      <c r="B57" s="1858">
        <v>7</v>
      </c>
      <c r="C57" s="1857"/>
      <c r="D57" s="1857">
        <v>0</v>
      </c>
      <c r="E57" s="1857">
        <v>0</v>
      </c>
    </row>
    <row r="58" spans="2:8" x14ac:dyDescent="0.2">
      <c r="B58" s="1858">
        <v>8</v>
      </c>
      <c r="C58" s="1857"/>
      <c r="D58" s="1857">
        <v>0</v>
      </c>
      <c r="E58" s="1857">
        <v>0</v>
      </c>
    </row>
    <row r="59" spans="2:8" x14ac:dyDescent="0.2">
      <c r="B59" s="1858">
        <v>9</v>
      </c>
      <c r="C59" s="1857"/>
      <c r="D59" s="1857">
        <v>0</v>
      </c>
      <c r="E59" s="1857">
        <v>0</v>
      </c>
    </row>
    <row r="60" spans="2:8" x14ac:dyDescent="0.2">
      <c r="B60" s="1858">
        <v>10</v>
      </c>
      <c r="C60" s="1857"/>
      <c r="D60" s="1857">
        <v>0</v>
      </c>
      <c r="E60" s="1857">
        <v>0</v>
      </c>
    </row>
    <row r="61" spans="2:8" x14ac:dyDescent="0.2">
      <c r="B61" s="1858">
        <v>11</v>
      </c>
      <c r="C61" s="1857"/>
      <c r="D61" s="1857">
        <v>0</v>
      </c>
      <c r="E61" s="1857">
        <v>0</v>
      </c>
    </row>
    <row r="62" spans="2:8" x14ac:dyDescent="0.2">
      <c r="B62" s="1858">
        <v>12</v>
      </c>
      <c r="C62" s="1857"/>
      <c r="D62" s="1857">
        <v>0</v>
      </c>
      <c r="E62" s="1857">
        <v>0</v>
      </c>
    </row>
    <row r="63" spans="2:8" x14ac:dyDescent="0.2">
      <c r="B63" s="1856">
        <v>2018</v>
      </c>
      <c r="C63" s="1857"/>
      <c r="D63" s="1857">
        <v>0</v>
      </c>
      <c r="E63" s="1857">
        <v>0</v>
      </c>
    </row>
    <row r="64" spans="2:8" x14ac:dyDescent="0.2">
      <c r="B64" s="1858">
        <v>1</v>
      </c>
      <c r="C64" s="1857"/>
      <c r="D64" s="1857">
        <v>0</v>
      </c>
      <c r="E64" s="1857">
        <v>0</v>
      </c>
    </row>
    <row r="65" spans="2:5" x14ac:dyDescent="0.2">
      <c r="B65" s="1858">
        <v>2</v>
      </c>
      <c r="C65" s="1857"/>
      <c r="D65" s="1857">
        <v>0</v>
      </c>
      <c r="E65" s="1857">
        <v>0</v>
      </c>
    </row>
    <row r="66" spans="2:5" x14ac:dyDescent="0.2">
      <c r="B66" s="1858">
        <v>3</v>
      </c>
      <c r="C66" s="1857"/>
      <c r="D66" s="1857">
        <v>0</v>
      </c>
      <c r="E66" s="1857">
        <v>0</v>
      </c>
    </row>
    <row r="67" spans="2:5" x14ac:dyDescent="0.2">
      <c r="B67" s="1858">
        <v>4</v>
      </c>
      <c r="C67" s="1857"/>
      <c r="D67" s="1857">
        <v>0</v>
      </c>
      <c r="E67" s="1857">
        <v>0</v>
      </c>
    </row>
    <row r="68" spans="2:5" x14ac:dyDescent="0.2">
      <c r="B68" s="1858">
        <v>5</v>
      </c>
      <c r="C68" s="1857"/>
      <c r="D68" s="1857">
        <v>0</v>
      </c>
      <c r="E68" s="1857">
        <v>0</v>
      </c>
    </row>
    <row r="69" spans="2:5" x14ac:dyDescent="0.2">
      <c r="B69" s="1858">
        <v>6</v>
      </c>
      <c r="C69" s="1857"/>
      <c r="D69" s="1857">
        <v>0</v>
      </c>
      <c r="E69" s="1857">
        <v>0</v>
      </c>
    </row>
    <row r="70" spans="2:5" x14ac:dyDescent="0.2">
      <c r="B70" s="1858">
        <v>7</v>
      </c>
      <c r="C70" s="1857"/>
      <c r="D70" s="1857">
        <v>0</v>
      </c>
      <c r="E70" s="1857">
        <v>0</v>
      </c>
    </row>
    <row r="71" spans="2:5" x14ac:dyDescent="0.2">
      <c r="B71" s="1858">
        <v>8</v>
      </c>
      <c r="C71" s="1857"/>
      <c r="D71" s="1857">
        <v>0</v>
      </c>
      <c r="E71" s="1857">
        <v>0</v>
      </c>
    </row>
    <row r="72" spans="2:5" x14ac:dyDescent="0.2">
      <c r="B72" s="1858">
        <v>9</v>
      </c>
      <c r="C72" s="1857"/>
      <c r="D72" s="1857">
        <v>0</v>
      </c>
      <c r="E72" s="1857">
        <v>0</v>
      </c>
    </row>
    <row r="73" spans="2:5" x14ac:dyDescent="0.2">
      <c r="B73" s="1858">
        <v>10</v>
      </c>
      <c r="C73" s="1857"/>
      <c r="D73" s="1857">
        <v>0</v>
      </c>
      <c r="E73" s="1857">
        <v>0</v>
      </c>
    </row>
    <row r="74" spans="2:5" x14ac:dyDescent="0.2">
      <c r="B74" s="1858">
        <v>11</v>
      </c>
      <c r="C74" s="1857"/>
      <c r="D74" s="1857">
        <v>0</v>
      </c>
      <c r="E74" s="1857">
        <v>0</v>
      </c>
    </row>
    <row r="75" spans="2:5" x14ac:dyDescent="0.2">
      <c r="B75" s="1856" t="s">
        <v>339</v>
      </c>
      <c r="C75" s="1857">
        <v>90683603</v>
      </c>
      <c r="D75" s="1857">
        <v>90876055.842874289</v>
      </c>
      <c r="E75" s="1857">
        <v>-673433.84287432279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0:M1973"/>
  <sheetViews>
    <sheetView workbookViewId="0"/>
  </sheetViews>
  <sheetFormatPr baseColWidth="10" defaultColWidth="10.375" defaultRowHeight="18" x14ac:dyDescent="0.25"/>
  <cols>
    <col min="1" max="3" width="10.375" style="1859"/>
    <col min="4" max="4" width="12.5" style="1859" customWidth="1"/>
    <col min="5" max="5" width="14.625" style="1859" customWidth="1"/>
    <col min="6" max="6" width="16.125" style="1859" customWidth="1"/>
    <col min="7" max="7" width="14.625" style="1859" customWidth="1"/>
    <col min="8" max="8" width="16.5" style="1859" bestFit="1" customWidth="1"/>
    <col min="9" max="9" width="18.875" style="1859" bestFit="1" customWidth="1"/>
    <col min="10" max="11" width="17.125" style="1859" customWidth="1"/>
    <col min="12" max="12" width="18.125" style="1859" customWidth="1"/>
    <col min="13" max="13" width="17.875" style="1859" customWidth="1"/>
    <col min="14" max="14" width="12.625" style="1859" bestFit="1" customWidth="1"/>
    <col min="15" max="16384" width="10.375" style="1859"/>
  </cols>
  <sheetData>
    <row r="10" spans="2:13" s="1863" customFormat="1" ht="36" x14ac:dyDescent="0.25">
      <c r="B10" s="1863" t="s">
        <v>154</v>
      </c>
      <c r="C10" s="1863" t="s">
        <v>29</v>
      </c>
      <c r="D10" s="1863" t="s">
        <v>386</v>
      </c>
      <c r="E10" s="1863" t="s">
        <v>175</v>
      </c>
      <c r="F10" s="1863" t="s">
        <v>196</v>
      </c>
      <c r="G10" s="1863" t="s">
        <v>174</v>
      </c>
      <c r="H10" s="1863" t="s">
        <v>173</v>
      </c>
      <c r="I10" s="1863" t="s">
        <v>387</v>
      </c>
      <c r="J10" s="1863" t="s">
        <v>172</v>
      </c>
      <c r="K10" s="1863" t="s">
        <v>388</v>
      </c>
      <c r="L10" s="1863" t="s">
        <v>171</v>
      </c>
      <c r="M10" s="1863" t="s">
        <v>170</v>
      </c>
    </row>
    <row r="11" spans="2:13" x14ac:dyDescent="0.25">
      <c r="B11" s="1859">
        <f t="shared" ref="B11:B27" si="0">YEAR(E11)</f>
        <v>2013</v>
      </c>
      <c r="C11" s="1859">
        <f t="shared" ref="C11:C27" si="1">MONTH(E11)</f>
        <v>7</v>
      </c>
      <c r="D11" s="1860">
        <f>E11</f>
        <v>41470</v>
      </c>
      <c r="E11" s="1861">
        <v>41470</v>
      </c>
      <c r="F11" s="1862">
        <f>G11-H11</f>
        <v>0</v>
      </c>
      <c r="G11" s="1862"/>
      <c r="H11" s="1862">
        <v>0</v>
      </c>
      <c r="I11" s="1862">
        <f>Tabla1[[#This Row],[Extraccion
Norte II]]+Tabla1[[#This Row],[Extraccion
ENO]]</f>
        <v>0</v>
      </c>
      <c r="J11" s="1862">
        <v>0</v>
      </c>
      <c r="K11" s="1862"/>
      <c r="L11" s="1862">
        <f>H11-I11</f>
        <v>0</v>
      </c>
      <c r="M11" s="1862">
        <f>L11</f>
        <v>0</v>
      </c>
    </row>
    <row r="12" spans="2:13" x14ac:dyDescent="0.25">
      <c r="B12" s="1859">
        <f t="shared" si="0"/>
        <v>2013</v>
      </c>
      <c r="C12" s="1859">
        <f t="shared" si="1"/>
        <v>7</v>
      </c>
      <c r="D12" s="1860">
        <f t="shared" ref="D12:D27" si="2">E12</f>
        <v>41471</v>
      </c>
      <c r="E12" s="1861">
        <v>41471</v>
      </c>
      <c r="F12" s="1862">
        <f t="shared" ref="F12:F75" si="3">G12-H12</f>
        <v>0</v>
      </c>
      <c r="G12" s="1862"/>
      <c r="H12" s="1862">
        <v>0</v>
      </c>
      <c r="I12" s="1862">
        <f>Tabla1[[#This Row],[Extraccion
Norte II]]+Tabla1[[#This Row],[Extraccion
ENO]]</f>
        <v>0</v>
      </c>
      <c r="J12" s="1862">
        <v>0</v>
      </c>
      <c r="K12" s="1862"/>
      <c r="L12" s="1862">
        <f t="shared" ref="L12:L75" si="4">H12-I12</f>
        <v>0</v>
      </c>
      <c r="M12" s="1862">
        <f>M11+Tabla1[[#This Row],[Desbalance
TPL]]</f>
        <v>0</v>
      </c>
    </row>
    <row r="13" spans="2:13" x14ac:dyDescent="0.25">
      <c r="B13" s="1859">
        <f t="shared" si="0"/>
        <v>2013</v>
      </c>
      <c r="C13" s="1859">
        <f t="shared" si="1"/>
        <v>7</v>
      </c>
      <c r="D13" s="1860">
        <f t="shared" si="2"/>
        <v>41472</v>
      </c>
      <c r="E13" s="1861">
        <v>41472</v>
      </c>
      <c r="F13" s="1862">
        <f t="shared" si="3"/>
        <v>0</v>
      </c>
      <c r="G13" s="1862"/>
      <c r="H13" s="1862">
        <v>0</v>
      </c>
      <c r="I13" s="1862">
        <f>Tabla1[[#This Row],[Extraccion
Norte II]]+Tabla1[[#This Row],[Extraccion
ENO]]</f>
        <v>0</v>
      </c>
      <c r="J13" s="1862">
        <v>0</v>
      </c>
      <c r="K13" s="1862"/>
      <c r="L13" s="1862">
        <f t="shared" si="4"/>
        <v>0</v>
      </c>
      <c r="M13" s="1862">
        <f>M12+Tabla1[[#This Row],[Desbalance
TPL]]</f>
        <v>0</v>
      </c>
    </row>
    <row r="14" spans="2:13" x14ac:dyDescent="0.25">
      <c r="B14" s="1859">
        <f t="shared" si="0"/>
        <v>2013</v>
      </c>
      <c r="C14" s="1859">
        <f t="shared" si="1"/>
        <v>7</v>
      </c>
      <c r="D14" s="1860">
        <f t="shared" si="2"/>
        <v>41473</v>
      </c>
      <c r="E14" s="1861">
        <v>41473</v>
      </c>
      <c r="F14" s="1862">
        <f t="shared" si="3"/>
        <v>0</v>
      </c>
      <c r="G14" s="1862"/>
      <c r="H14" s="1862">
        <v>0</v>
      </c>
      <c r="I14" s="1862">
        <f>Tabla1[[#This Row],[Extraccion
Norte II]]+Tabla1[[#This Row],[Extraccion
ENO]]</f>
        <v>0</v>
      </c>
      <c r="J14" s="1862">
        <v>0</v>
      </c>
      <c r="K14" s="1862"/>
      <c r="L14" s="1862">
        <f t="shared" si="4"/>
        <v>0</v>
      </c>
      <c r="M14" s="1862">
        <f>M13+Tabla1[[#This Row],[Desbalance
TPL]]</f>
        <v>0</v>
      </c>
    </row>
    <row r="15" spans="2:13" x14ac:dyDescent="0.25">
      <c r="B15" s="1859">
        <f t="shared" si="0"/>
        <v>2013</v>
      </c>
      <c r="C15" s="1859">
        <f t="shared" si="1"/>
        <v>7</v>
      </c>
      <c r="D15" s="1860">
        <f t="shared" si="2"/>
        <v>41474</v>
      </c>
      <c r="E15" s="1861">
        <v>41474</v>
      </c>
      <c r="F15" s="1862">
        <f t="shared" si="3"/>
        <v>0</v>
      </c>
      <c r="G15" s="1862"/>
      <c r="H15" s="1862">
        <v>0</v>
      </c>
      <c r="I15" s="1862">
        <f>Tabla1[[#This Row],[Extraccion
Norte II]]+Tabla1[[#This Row],[Extraccion
ENO]]</f>
        <v>0</v>
      </c>
      <c r="J15" s="1862">
        <v>0</v>
      </c>
      <c r="K15" s="1862"/>
      <c r="L15" s="1862">
        <f t="shared" si="4"/>
        <v>0</v>
      </c>
      <c r="M15" s="1862">
        <f>M14+Tabla1[[#This Row],[Desbalance
TPL]]</f>
        <v>0</v>
      </c>
    </row>
    <row r="16" spans="2:13" x14ac:dyDescent="0.25">
      <c r="B16" s="1859">
        <f t="shared" si="0"/>
        <v>2013</v>
      </c>
      <c r="C16" s="1859">
        <f t="shared" si="1"/>
        <v>7</v>
      </c>
      <c r="D16" s="1860">
        <f t="shared" si="2"/>
        <v>41475</v>
      </c>
      <c r="E16" s="1861">
        <v>41475</v>
      </c>
      <c r="F16" s="1862">
        <f t="shared" si="3"/>
        <v>0</v>
      </c>
      <c r="G16" s="1862"/>
      <c r="H16" s="1862">
        <v>0</v>
      </c>
      <c r="I16" s="1862">
        <f>Tabla1[[#This Row],[Extraccion
Norte II]]+Tabla1[[#This Row],[Extraccion
ENO]]</f>
        <v>0</v>
      </c>
      <c r="J16" s="1862">
        <v>0</v>
      </c>
      <c r="K16" s="1862"/>
      <c r="L16" s="1862">
        <f t="shared" si="4"/>
        <v>0</v>
      </c>
      <c r="M16" s="1862">
        <f>M15+Tabla1[[#This Row],[Desbalance
TPL]]</f>
        <v>0</v>
      </c>
    </row>
    <row r="17" spans="2:13" x14ac:dyDescent="0.25">
      <c r="B17" s="1859">
        <f t="shared" si="0"/>
        <v>2013</v>
      </c>
      <c r="C17" s="1859">
        <f t="shared" si="1"/>
        <v>7</v>
      </c>
      <c r="D17" s="1860">
        <f t="shared" si="2"/>
        <v>41476</v>
      </c>
      <c r="E17" s="1861">
        <v>41476</v>
      </c>
      <c r="F17" s="1862">
        <f t="shared" si="3"/>
        <v>0</v>
      </c>
      <c r="G17" s="1862"/>
      <c r="H17" s="1862">
        <v>0</v>
      </c>
      <c r="I17" s="1862">
        <f>Tabla1[[#This Row],[Extraccion
Norte II]]+Tabla1[[#This Row],[Extraccion
ENO]]</f>
        <v>0</v>
      </c>
      <c r="J17" s="1862">
        <v>0</v>
      </c>
      <c r="K17" s="1862"/>
      <c r="L17" s="1862">
        <f t="shared" si="4"/>
        <v>0</v>
      </c>
      <c r="M17" s="1862">
        <f>M16+Tabla1[[#This Row],[Desbalance
TPL]]</f>
        <v>0</v>
      </c>
    </row>
    <row r="18" spans="2:13" x14ac:dyDescent="0.25">
      <c r="B18" s="1859">
        <f t="shared" si="0"/>
        <v>2013</v>
      </c>
      <c r="C18" s="1859">
        <f t="shared" si="1"/>
        <v>7</v>
      </c>
      <c r="D18" s="1860">
        <f t="shared" si="2"/>
        <v>41477</v>
      </c>
      <c r="E18" s="1861">
        <v>41477</v>
      </c>
      <c r="F18" s="1862">
        <f>G18-H18</f>
        <v>14670</v>
      </c>
      <c r="G18" s="1862">
        <v>14670</v>
      </c>
      <c r="H18" s="1862">
        <v>0</v>
      </c>
      <c r="I18" s="1862">
        <f>Tabla1[[#This Row],[Extraccion
Norte II]]+Tabla1[[#This Row],[Extraccion
ENO]]</f>
        <v>0</v>
      </c>
      <c r="J18" s="1862">
        <v>0</v>
      </c>
      <c r="K18" s="1862"/>
      <c r="L18" s="1862">
        <f t="shared" si="4"/>
        <v>0</v>
      </c>
      <c r="M18" s="1862">
        <f>M17+Tabla1[[#This Row],[Desbalance
TPL]]</f>
        <v>0</v>
      </c>
    </row>
    <row r="19" spans="2:13" x14ac:dyDescent="0.25">
      <c r="B19" s="1859">
        <f t="shared" si="0"/>
        <v>2013</v>
      </c>
      <c r="C19" s="1859">
        <f t="shared" si="1"/>
        <v>7</v>
      </c>
      <c r="D19" s="1860">
        <f t="shared" si="2"/>
        <v>41478</v>
      </c>
      <c r="E19" s="1861">
        <v>41478</v>
      </c>
      <c r="F19" s="1862">
        <f t="shared" si="3"/>
        <v>19560</v>
      </c>
      <c r="G19" s="1862">
        <v>19560</v>
      </c>
      <c r="H19" s="1862">
        <v>0</v>
      </c>
      <c r="I19" s="1862">
        <f>Tabla1[[#This Row],[Extraccion
Norte II]]+Tabla1[[#This Row],[Extraccion
ENO]]</f>
        <v>0</v>
      </c>
      <c r="J19" s="1862">
        <v>0</v>
      </c>
      <c r="K19" s="1862"/>
      <c r="L19" s="1862">
        <f t="shared" si="4"/>
        <v>0</v>
      </c>
      <c r="M19" s="1862">
        <f>M18+Tabla1[[#This Row],[Desbalance
TPL]]</f>
        <v>0</v>
      </c>
    </row>
    <row r="20" spans="2:13" x14ac:dyDescent="0.25">
      <c r="B20" s="1859">
        <f t="shared" si="0"/>
        <v>2013</v>
      </c>
      <c r="C20" s="1859">
        <f t="shared" si="1"/>
        <v>7</v>
      </c>
      <c r="D20" s="1860">
        <f t="shared" si="2"/>
        <v>41479</v>
      </c>
      <c r="E20" s="1861">
        <v>41479</v>
      </c>
      <c r="F20" s="1862">
        <f t="shared" si="3"/>
        <v>14670</v>
      </c>
      <c r="G20" s="1862">
        <v>14670</v>
      </c>
      <c r="H20" s="1862">
        <v>0</v>
      </c>
      <c r="I20" s="1862">
        <f>Tabla1[[#This Row],[Extraccion
Norte II]]+Tabla1[[#This Row],[Extraccion
ENO]]</f>
        <v>0</v>
      </c>
      <c r="J20" s="1862">
        <v>0</v>
      </c>
      <c r="K20" s="1862"/>
      <c r="L20" s="1862">
        <f t="shared" si="4"/>
        <v>0</v>
      </c>
      <c r="M20" s="1862">
        <f>M19+Tabla1[[#This Row],[Desbalance
TPL]]</f>
        <v>0</v>
      </c>
    </row>
    <row r="21" spans="2:13" x14ac:dyDescent="0.25">
      <c r="B21" s="1859">
        <f t="shared" si="0"/>
        <v>2013</v>
      </c>
      <c r="C21" s="1859">
        <f t="shared" si="1"/>
        <v>7</v>
      </c>
      <c r="D21" s="1860">
        <f t="shared" si="2"/>
        <v>41480</v>
      </c>
      <c r="E21" s="1861">
        <v>41480</v>
      </c>
      <c r="F21" s="1862">
        <f t="shared" si="3"/>
        <v>14666</v>
      </c>
      <c r="G21" s="1862">
        <v>14666</v>
      </c>
      <c r="H21" s="1862">
        <v>0</v>
      </c>
      <c r="I21" s="1862">
        <f>Tabla1[[#This Row],[Extraccion
Norte II]]+Tabla1[[#This Row],[Extraccion
ENO]]</f>
        <v>0</v>
      </c>
      <c r="J21" s="1862">
        <v>0</v>
      </c>
      <c r="K21" s="1862"/>
      <c r="L21" s="1862">
        <f t="shared" si="4"/>
        <v>0</v>
      </c>
      <c r="M21" s="1862">
        <f>M20+Tabla1[[#This Row],[Desbalance
TPL]]</f>
        <v>0</v>
      </c>
    </row>
    <row r="22" spans="2:13" x14ac:dyDescent="0.25">
      <c r="B22" s="1859">
        <f t="shared" si="0"/>
        <v>2013</v>
      </c>
      <c r="C22" s="1859">
        <f t="shared" si="1"/>
        <v>7</v>
      </c>
      <c r="D22" s="1860">
        <f t="shared" si="2"/>
        <v>41481</v>
      </c>
      <c r="E22" s="1861">
        <v>41481</v>
      </c>
      <c r="F22" s="1862">
        <f t="shared" si="3"/>
        <v>10000</v>
      </c>
      <c r="G22" s="1862">
        <v>10000</v>
      </c>
      <c r="H22" s="1862">
        <v>0</v>
      </c>
      <c r="I22" s="1862">
        <f>Tabla1[[#This Row],[Extraccion
Norte II]]+Tabla1[[#This Row],[Extraccion
ENO]]</f>
        <v>0</v>
      </c>
      <c r="J22" s="1862">
        <v>0</v>
      </c>
      <c r="K22" s="1862"/>
      <c r="L22" s="1862">
        <f t="shared" si="4"/>
        <v>0</v>
      </c>
      <c r="M22" s="1862">
        <f>M21+Tabla1[[#This Row],[Desbalance
TPL]]</f>
        <v>0</v>
      </c>
    </row>
    <row r="23" spans="2:13" x14ac:dyDescent="0.25">
      <c r="B23" s="1859">
        <f t="shared" si="0"/>
        <v>2013</v>
      </c>
      <c r="C23" s="1859">
        <f t="shared" si="1"/>
        <v>7</v>
      </c>
      <c r="D23" s="1860">
        <f t="shared" si="2"/>
        <v>41482</v>
      </c>
      <c r="E23" s="1861">
        <v>41482</v>
      </c>
      <c r="F23" s="1862">
        <f t="shared" si="3"/>
        <v>5000</v>
      </c>
      <c r="G23" s="1862">
        <v>5000</v>
      </c>
      <c r="H23" s="1862">
        <v>0</v>
      </c>
      <c r="I23" s="1862">
        <f>Tabla1[[#This Row],[Extraccion
Norte II]]+Tabla1[[#This Row],[Extraccion
ENO]]</f>
        <v>0</v>
      </c>
      <c r="J23" s="1862">
        <v>0</v>
      </c>
      <c r="K23" s="1862"/>
      <c r="L23" s="1862">
        <f t="shared" si="4"/>
        <v>0</v>
      </c>
      <c r="M23" s="1862">
        <f>M22+Tabla1[[#This Row],[Desbalance
TPL]]</f>
        <v>0</v>
      </c>
    </row>
    <row r="24" spans="2:13" x14ac:dyDescent="0.25">
      <c r="B24" s="1859">
        <f t="shared" si="0"/>
        <v>2013</v>
      </c>
      <c r="C24" s="1859">
        <f t="shared" si="1"/>
        <v>7</v>
      </c>
      <c r="D24" s="1860">
        <f t="shared" si="2"/>
        <v>41483</v>
      </c>
      <c r="E24" s="1861">
        <v>41483</v>
      </c>
      <c r="F24" s="1862">
        <f t="shared" si="3"/>
        <v>18329</v>
      </c>
      <c r="G24" s="1862">
        <v>18329</v>
      </c>
      <c r="H24" s="1862">
        <v>0</v>
      </c>
      <c r="I24" s="1862">
        <f>Tabla1[[#This Row],[Extraccion
Norte II]]+Tabla1[[#This Row],[Extraccion
ENO]]</f>
        <v>0</v>
      </c>
      <c r="J24" s="1862">
        <v>0</v>
      </c>
      <c r="K24" s="1862"/>
      <c r="L24" s="1862">
        <f t="shared" si="4"/>
        <v>0</v>
      </c>
      <c r="M24" s="1862">
        <f>M23+Tabla1[[#This Row],[Desbalance
TPL]]</f>
        <v>0</v>
      </c>
    </row>
    <row r="25" spans="2:13" x14ac:dyDescent="0.25">
      <c r="B25" s="1859">
        <f t="shared" si="0"/>
        <v>2013</v>
      </c>
      <c r="C25" s="1859">
        <f t="shared" si="1"/>
        <v>7</v>
      </c>
      <c r="D25" s="1860">
        <f t="shared" si="2"/>
        <v>41484</v>
      </c>
      <c r="E25" s="1861">
        <v>41484</v>
      </c>
      <c r="F25" s="1862">
        <f t="shared" si="3"/>
        <v>19548</v>
      </c>
      <c r="G25" s="1862">
        <v>19548</v>
      </c>
      <c r="H25" s="1862">
        <v>0</v>
      </c>
      <c r="I25" s="1862">
        <f>Tabla1[[#This Row],[Extraccion
Norte II]]+Tabla1[[#This Row],[Extraccion
ENO]]</f>
        <v>0</v>
      </c>
      <c r="J25" s="1862">
        <v>0</v>
      </c>
      <c r="K25" s="1862"/>
      <c r="L25" s="1862">
        <f t="shared" si="4"/>
        <v>0</v>
      </c>
      <c r="M25" s="1862">
        <f>M24+Tabla1[[#This Row],[Desbalance
TPL]]</f>
        <v>0</v>
      </c>
    </row>
    <row r="26" spans="2:13" x14ac:dyDescent="0.25">
      <c r="B26" s="1859">
        <f t="shared" si="0"/>
        <v>2013</v>
      </c>
      <c r="C26" s="1859">
        <f t="shared" si="1"/>
        <v>7</v>
      </c>
      <c r="D26" s="1860">
        <f t="shared" si="2"/>
        <v>41485</v>
      </c>
      <c r="E26" s="1861">
        <v>41485</v>
      </c>
      <c r="F26" s="1862">
        <f t="shared" si="3"/>
        <v>0</v>
      </c>
      <c r="G26" s="1862"/>
      <c r="H26" s="1862">
        <v>0</v>
      </c>
      <c r="I26" s="1862">
        <f>Tabla1[[#This Row],[Extraccion
Norte II]]+Tabla1[[#This Row],[Extraccion
ENO]]</f>
        <v>0</v>
      </c>
      <c r="J26" s="1862">
        <v>0</v>
      </c>
      <c r="K26" s="1862"/>
      <c r="L26" s="1862">
        <f t="shared" si="4"/>
        <v>0</v>
      </c>
      <c r="M26" s="1862">
        <f>M25+Tabla1[[#This Row],[Desbalance
TPL]]</f>
        <v>0</v>
      </c>
    </row>
    <row r="27" spans="2:13" x14ac:dyDescent="0.25">
      <c r="B27" s="1859">
        <f t="shared" si="0"/>
        <v>2013</v>
      </c>
      <c r="C27" s="1859">
        <f t="shared" si="1"/>
        <v>7</v>
      </c>
      <c r="D27" s="1860">
        <f t="shared" si="2"/>
        <v>41486</v>
      </c>
      <c r="E27" s="1861">
        <v>41486</v>
      </c>
      <c r="F27" s="1862">
        <f t="shared" si="3"/>
        <v>0</v>
      </c>
      <c r="G27" s="1862"/>
      <c r="H27" s="1862">
        <v>0</v>
      </c>
      <c r="I27" s="1862">
        <f>Tabla1[[#This Row],[Extraccion
Norte II]]+Tabla1[[#This Row],[Extraccion
ENO]]</f>
        <v>0</v>
      </c>
      <c r="J27" s="1862">
        <v>0</v>
      </c>
      <c r="K27" s="1862"/>
      <c r="L27" s="1862">
        <f t="shared" si="4"/>
        <v>0</v>
      </c>
      <c r="M27" s="1862">
        <f>M26+Tabla1[[#This Row],[Desbalance
TPL]]</f>
        <v>0</v>
      </c>
    </row>
    <row r="28" spans="2:13" x14ac:dyDescent="0.25">
      <c r="B28" s="1859">
        <f t="shared" ref="B28:B91" si="5">YEAR(E28)</f>
        <v>2013</v>
      </c>
      <c r="C28" s="1859">
        <f t="shared" ref="C28:C91" si="6">MONTH(E28)</f>
        <v>8</v>
      </c>
      <c r="D28" s="1860">
        <f t="shared" ref="D28:D91" si="7">E28</f>
        <v>41487</v>
      </c>
      <c r="E28" s="1861">
        <v>41487</v>
      </c>
      <c r="F28" s="1862">
        <f t="shared" si="3"/>
        <v>0</v>
      </c>
      <c r="G28" s="1862">
        <v>0</v>
      </c>
      <c r="H28" s="1862">
        <v>0</v>
      </c>
      <c r="I28" s="1862">
        <f>Tabla1[[#This Row],[Extraccion
Norte II]]+Tabla1[[#This Row],[Extraccion
ENO]]</f>
        <v>0</v>
      </c>
      <c r="J28" s="1862">
        <v>0</v>
      </c>
      <c r="K28" s="1862"/>
      <c r="L28" s="1862">
        <f t="shared" si="4"/>
        <v>0</v>
      </c>
      <c r="M28" s="1862">
        <f>M27+Tabla1[[#This Row],[Desbalance
TPL]]</f>
        <v>0</v>
      </c>
    </row>
    <row r="29" spans="2:13" x14ac:dyDescent="0.25">
      <c r="B29" s="1859">
        <f t="shared" si="5"/>
        <v>2013</v>
      </c>
      <c r="C29" s="1859">
        <f t="shared" si="6"/>
        <v>8</v>
      </c>
      <c r="D29" s="1860">
        <f t="shared" si="7"/>
        <v>41488</v>
      </c>
      <c r="E29" s="1861">
        <v>41488</v>
      </c>
      <c r="F29" s="1862">
        <f t="shared" si="3"/>
        <v>0</v>
      </c>
      <c r="G29" s="1862">
        <v>0</v>
      </c>
      <c r="H29" s="1862">
        <v>0</v>
      </c>
      <c r="I29" s="1862">
        <f>Tabla1[[#This Row],[Extraccion
Norte II]]+Tabla1[[#This Row],[Extraccion
ENO]]</f>
        <v>0</v>
      </c>
      <c r="J29" s="1862">
        <v>0</v>
      </c>
      <c r="K29" s="1862"/>
      <c r="L29" s="1862">
        <f t="shared" si="4"/>
        <v>0</v>
      </c>
      <c r="M29" s="1862">
        <f>M28+Tabla1[[#This Row],[Desbalance
TPL]]</f>
        <v>0</v>
      </c>
    </row>
    <row r="30" spans="2:13" x14ac:dyDescent="0.25">
      <c r="B30" s="1859">
        <f t="shared" si="5"/>
        <v>2013</v>
      </c>
      <c r="C30" s="1859">
        <f t="shared" si="6"/>
        <v>8</v>
      </c>
      <c r="D30" s="1860">
        <f t="shared" si="7"/>
        <v>41489</v>
      </c>
      <c r="E30" s="1861">
        <v>41489</v>
      </c>
      <c r="F30" s="1862">
        <f t="shared" si="3"/>
        <v>0</v>
      </c>
      <c r="G30" s="1862">
        <v>0</v>
      </c>
      <c r="H30" s="1862">
        <v>0</v>
      </c>
      <c r="I30" s="1862">
        <f>Tabla1[[#This Row],[Extraccion
Norte II]]+Tabla1[[#This Row],[Extraccion
ENO]]</f>
        <v>0</v>
      </c>
      <c r="J30" s="1862">
        <v>0</v>
      </c>
      <c r="K30" s="1862"/>
      <c r="L30" s="1862">
        <f t="shared" si="4"/>
        <v>0</v>
      </c>
      <c r="M30" s="1862">
        <f>M29+Tabla1[[#This Row],[Desbalance
TPL]]</f>
        <v>0</v>
      </c>
    </row>
    <row r="31" spans="2:13" x14ac:dyDescent="0.25">
      <c r="B31" s="1859">
        <f t="shared" si="5"/>
        <v>2013</v>
      </c>
      <c r="C31" s="1859">
        <f t="shared" si="6"/>
        <v>8</v>
      </c>
      <c r="D31" s="1860">
        <f t="shared" si="7"/>
        <v>41490</v>
      </c>
      <c r="E31" s="1861">
        <v>41490</v>
      </c>
      <c r="F31" s="1862">
        <f t="shared" si="3"/>
        <v>0</v>
      </c>
      <c r="G31" s="1862">
        <v>19560</v>
      </c>
      <c r="H31" s="1862">
        <v>19560</v>
      </c>
      <c r="I31" s="1862">
        <f>Tabla1[[#This Row],[Extraccion
Norte II]]+Tabla1[[#This Row],[Extraccion
ENO]]</f>
        <v>15433.360862022089</v>
      </c>
      <c r="J31" s="1862">
        <v>15433.360862022089</v>
      </c>
      <c r="K31" s="1862"/>
      <c r="L31" s="1862">
        <f t="shared" si="4"/>
        <v>4126.6391379779107</v>
      </c>
      <c r="M31" s="1862">
        <f>M30+Tabla1[[#This Row],[Desbalance
TPL]]</f>
        <v>4126.6391379779107</v>
      </c>
    </row>
    <row r="32" spans="2:13" x14ac:dyDescent="0.25">
      <c r="B32" s="1859">
        <f t="shared" si="5"/>
        <v>2013</v>
      </c>
      <c r="C32" s="1859">
        <f t="shared" si="6"/>
        <v>8</v>
      </c>
      <c r="D32" s="1860">
        <f t="shared" si="7"/>
        <v>41491</v>
      </c>
      <c r="E32" s="1861">
        <v>41491</v>
      </c>
      <c r="F32" s="1862">
        <f t="shared" si="3"/>
        <v>0</v>
      </c>
      <c r="G32" s="1862">
        <v>19560</v>
      </c>
      <c r="H32" s="1862">
        <v>19560</v>
      </c>
      <c r="I32" s="1862">
        <f>Tabla1[[#This Row],[Extraccion
Norte II]]+Tabla1[[#This Row],[Extraccion
ENO]]</f>
        <v>27074.710028913301</v>
      </c>
      <c r="J32" s="1862">
        <v>27074.710028913301</v>
      </c>
      <c r="K32" s="1862"/>
      <c r="L32" s="1862">
        <f t="shared" si="4"/>
        <v>-7514.7100289133014</v>
      </c>
      <c r="M32" s="1862">
        <f>M31+Tabla1[[#This Row],[Desbalance
TPL]]</f>
        <v>-3388.0708909353907</v>
      </c>
    </row>
    <row r="33" spans="2:13" x14ac:dyDescent="0.25">
      <c r="B33" s="1859">
        <f t="shared" si="5"/>
        <v>2013</v>
      </c>
      <c r="C33" s="1859">
        <f t="shared" si="6"/>
        <v>8</v>
      </c>
      <c r="D33" s="1860">
        <f t="shared" si="7"/>
        <v>41492</v>
      </c>
      <c r="E33" s="1861">
        <v>41492</v>
      </c>
      <c r="F33" s="1862">
        <f t="shared" si="3"/>
        <v>-120</v>
      </c>
      <c r="G33" s="1862">
        <v>19440</v>
      </c>
      <c r="H33" s="1862">
        <v>19560</v>
      </c>
      <c r="I33" s="1862">
        <f>Tabla1[[#This Row],[Extraccion
Norte II]]+Tabla1[[#This Row],[Extraccion
ENO]]</f>
        <v>12817.058971034674</v>
      </c>
      <c r="J33" s="1862">
        <v>12817.058971034674</v>
      </c>
      <c r="K33" s="1862"/>
      <c r="L33" s="1862">
        <f t="shared" si="4"/>
        <v>6742.941028965326</v>
      </c>
      <c r="M33" s="1862">
        <f>M32+Tabla1[[#This Row],[Desbalance
TPL]]</f>
        <v>3354.8701380299353</v>
      </c>
    </row>
    <row r="34" spans="2:13" x14ac:dyDescent="0.25">
      <c r="B34" s="1859">
        <f t="shared" si="5"/>
        <v>2013</v>
      </c>
      <c r="C34" s="1859">
        <f t="shared" si="6"/>
        <v>8</v>
      </c>
      <c r="D34" s="1860">
        <f t="shared" si="7"/>
        <v>41493</v>
      </c>
      <c r="E34" s="1861">
        <v>41493</v>
      </c>
      <c r="F34" s="1862">
        <f t="shared" si="3"/>
        <v>0</v>
      </c>
      <c r="G34" s="1862">
        <v>24450</v>
      </c>
      <c r="H34" s="1862">
        <v>24450</v>
      </c>
      <c r="I34" s="1862">
        <f>Tabla1[[#This Row],[Extraccion
Norte II]]+Tabla1[[#This Row],[Extraccion
ENO]]</f>
        <v>2867.5911924760244</v>
      </c>
      <c r="J34" s="1862">
        <v>2867.5911924760244</v>
      </c>
      <c r="K34" s="1862"/>
      <c r="L34" s="1862">
        <f t="shared" si="4"/>
        <v>21582.408807523974</v>
      </c>
      <c r="M34" s="1862">
        <f>M33+Tabla1[[#This Row],[Desbalance
TPL]]</f>
        <v>24937.27894555391</v>
      </c>
    </row>
    <row r="35" spans="2:13" x14ac:dyDescent="0.25">
      <c r="B35" s="1859">
        <f t="shared" si="5"/>
        <v>2013</v>
      </c>
      <c r="C35" s="1859">
        <f t="shared" si="6"/>
        <v>8</v>
      </c>
      <c r="D35" s="1860">
        <f t="shared" si="7"/>
        <v>41494</v>
      </c>
      <c r="E35" s="1861">
        <v>41494</v>
      </c>
      <c r="F35" s="1862">
        <f t="shared" si="3"/>
        <v>4890</v>
      </c>
      <c r="G35" s="1862">
        <v>4890</v>
      </c>
      <c r="H35" s="1862">
        <v>0</v>
      </c>
      <c r="I35" s="1862">
        <f>Tabla1[[#This Row],[Extraccion
Norte II]]+Tabla1[[#This Row],[Extraccion
ENO]]</f>
        <v>1.1648633960397916</v>
      </c>
      <c r="J35" s="1862">
        <v>1.1648633960397916</v>
      </c>
      <c r="K35" s="1862"/>
      <c r="L35" s="1862">
        <f t="shared" si="4"/>
        <v>-1.1648633960397916</v>
      </c>
      <c r="M35" s="1862">
        <f>M34+Tabla1[[#This Row],[Desbalance
TPL]]</f>
        <v>24936.11408215787</v>
      </c>
    </row>
    <row r="36" spans="2:13" x14ac:dyDescent="0.25">
      <c r="B36" s="1859">
        <f t="shared" si="5"/>
        <v>2013</v>
      </c>
      <c r="C36" s="1859">
        <f t="shared" si="6"/>
        <v>8</v>
      </c>
      <c r="D36" s="1860">
        <f t="shared" si="7"/>
        <v>41495</v>
      </c>
      <c r="E36" s="1861">
        <v>41495</v>
      </c>
      <c r="F36" s="1862">
        <f t="shared" si="3"/>
        <v>0</v>
      </c>
      <c r="G36" s="1862">
        <v>0</v>
      </c>
      <c r="H36" s="1862">
        <v>0</v>
      </c>
      <c r="I36" s="1862">
        <f>Tabla1[[#This Row],[Extraccion
Norte II]]+Tabla1[[#This Row],[Extraccion
ENO]]</f>
        <v>0</v>
      </c>
      <c r="J36" s="1862">
        <v>0</v>
      </c>
      <c r="K36" s="1862"/>
      <c r="L36" s="1862">
        <f t="shared" si="4"/>
        <v>0</v>
      </c>
      <c r="M36" s="1862">
        <f>M35+Tabla1[[#This Row],[Desbalance
TPL]]</f>
        <v>24936.11408215787</v>
      </c>
    </row>
    <row r="37" spans="2:13" x14ac:dyDescent="0.25">
      <c r="B37" s="1859">
        <f t="shared" si="5"/>
        <v>2013</v>
      </c>
      <c r="C37" s="1859">
        <f t="shared" si="6"/>
        <v>8</v>
      </c>
      <c r="D37" s="1860">
        <f t="shared" si="7"/>
        <v>41496</v>
      </c>
      <c r="E37" s="1861">
        <v>41496</v>
      </c>
      <c r="F37" s="1862">
        <f t="shared" si="3"/>
        <v>0</v>
      </c>
      <c r="G37" s="1862">
        <v>0</v>
      </c>
      <c r="H37" s="1862">
        <v>0</v>
      </c>
      <c r="I37" s="1862">
        <f>Tabla1[[#This Row],[Extraccion
Norte II]]+Tabla1[[#This Row],[Extraccion
ENO]]</f>
        <v>0</v>
      </c>
      <c r="J37" s="1862">
        <v>0</v>
      </c>
      <c r="K37" s="1862"/>
      <c r="L37" s="1862">
        <f t="shared" si="4"/>
        <v>0</v>
      </c>
      <c r="M37" s="1862">
        <f>M36+Tabla1[[#This Row],[Desbalance
TPL]]</f>
        <v>24936.11408215787</v>
      </c>
    </row>
    <row r="38" spans="2:13" x14ac:dyDescent="0.25">
      <c r="B38" s="1859">
        <f t="shared" si="5"/>
        <v>2013</v>
      </c>
      <c r="C38" s="1859">
        <f t="shared" si="6"/>
        <v>8</v>
      </c>
      <c r="D38" s="1860">
        <f t="shared" si="7"/>
        <v>41497</v>
      </c>
      <c r="E38" s="1861">
        <v>41497</v>
      </c>
      <c r="F38" s="1862">
        <f t="shared" si="3"/>
        <v>0</v>
      </c>
      <c r="G38" s="1862">
        <v>0</v>
      </c>
      <c r="H38" s="1862">
        <v>0</v>
      </c>
      <c r="I38" s="1862">
        <f>Tabla1[[#This Row],[Extraccion
Norte II]]+Tabla1[[#This Row],[Extraccion
ENO]]</f>
        <v>0</v>
      </c>
      <c r="J38" s="1862">
        <v>0</v>
      </c>
      <c r="K38" s="1862"/>
      <c r="L38" s="1862">
        <f t="shared" si="4"/>
        <v>0</v>
      </c>
      <c r="M38" s="1862">
        <f>M37+Tabla1[[#This Row],[Desbalance
TPL]]</f>
        <v>24936.11408215787</v>
      </c>
    </row>
    <row r="39" spans="2:13" x14ac:dyDescent="0.25">
      <c r="B39" s="1859">
        <f t="shared" si="5"/>
        <v>2013</v>
      </c>
      <c r="C39" s="1859">
        <f t="shared" si="6"/>
        <v>8</v>
      </c>
      <c r="D39" s="1860">
        <f t="shared" si="7"/>
        <v>41498</v>
      </c>
      <c r="E39" s="1861">
        <v>41498</v>
      </c>
      <c r="F39" s="1862">
        <f t="shared" si="3"/>
        <v>0</v>
      </c>
      <c r="G39" s="1862">
        <v>0</v>
      </c>
      <c r="H39" s="1862">
        <v>0</v>
      </c>
      <c r="I39" s="1862">
        <f>Tabla1[[#This Row],[Extraccion
Norte II]]+Tabla1[[#This Row],[Extraccion
ENO]]</f>
        <v>0</v>
      </c>
      <c r="J39" s="1862">
        <v>0</v>
      </c>
      <c r="K39" s="1862"/>
      <c r="L39" s="1862">
        <f t="shared" si="4"/>
        <v>0</v>
      </c>
      <c r="M39" s="1862">
        <f>M38+Tabla1[[#This Row],[Desbalance
TPL]]</f>
        <v>24936.11408215787</v>
      </c>
    </row>
    <row r="40" spans="2:13" x14ac:dyDescent="0.25">
      <c r="B40" s="1859">
        <f t="shared" si="5"/>
        <v>2013</v>
      </c>
      <c r="C40" s="1859">
        <f t="shared" si="6"/>
        <v>8</v>
      </c>
      <c r="D40" s="1860">
        <f t="shared" si="7"/>
        <v>41499</v>
      </c>
      <c r="E40" s="1861">
        <v>41499</v>
      </c>
      <c r="F40" s="1862">
        <f t="shared" si="3"/>
        <v>0</v>
      </c>
      <c r="G40" s="1862">
        <v>0</v>
      </c>
      <c r="H40" s="1862">
        <v>0</v>
      </c>
      <c r="I40" s="1862">
        <f>Tabla1[[#This Row],[Extraccion
Norte II]]+Tabla1[[#This Row],[Extraccion
ENO]]</f>
        <v>0</v>
      </c>
      <c r="J40" s="1862">
        <v>0</v>
      </c>
      <c r="K40" s="1862"/>
      <c r="L40" s="1862">
        <f t="shared" si="4"/>
        <v>0</v>
      </c>
      <c r="M40" s="1862">
        <f>M39+Tabla1[[#This Row],[Desbalance
TPL]]</f>
        <v>24936.11408215787</v>
      </c>
    </row>
    <row r="41" spans="2:13" x14ac:dyDescent="0.25">
      <c r="B41" s="1859">
        <f t="shared" si="5"/>
        <v>2013</v>
      </c>
      <c r="C41" s="1859">
        <f t="shared" si="6"/>
        <v>8</v>
      </c>
      <c r="D41" s="1860">
        <f t="shared" si="7"/>
        <v>41500</v>
      </c>
      <c r="E41" s="1861">
        <v>41500</v>
      </c>
      <c r="F41" s="1862">
        <f t="shared" si="3"/>
        <v>0</v>
      </c>
      <c r="G41" s="1862">
        <v>0</v>
      </c>
      <c r="H41" s="1862">
        <v>0</v>
      </c>
      <c r="I41" s="1862">
        <f>Tabla1[[#This Row],[Extraccion
Norte II]]+Tabla1[[#This Row],[Extraccion
ENO]]</f>
        <v>0</v>
      </c>
      <c r="J41" s="1862">
        <v>0</v>
      </c>
      <c r="K41" s="1862"/>
      <c r="L41" s="1862">
        <f t="shared" si="4"/>
        <v>0</v>
      </c>
      <c r="M41" s="1862">
        <f>M40+Tabla1[[#This Row],[Desbalance
TPL]]</f>
        <v>24936.11408215787</v>
      </c>
    </row>
    <row r="42" spans="2:13" x14ac:dyDescent="0.25">
      <c r="B42" s="1859">
        <f t="shared" si="5"/>
        <v>2013</v>
      </c>
      <c r="C42" s="1859">
        <f t="shared" si="6"/>
        <v>8</v>
      </c>
      <c r="D42" s="1860">
        <f t="shared" si="7"/>
        <v>41501</v>
      </c>
      <c r="E42" s="1861">
        <v>41501</v>
      </c>
      <c r="F42" s="1862">
        <f t="shared" si="3"/>
        <v>0</v>
      </c>
      <c r="G42" s="1862">
        <v>0</v>
      </c>
      <c r="H42" s="1862">
        <v>0</v>
      </c>
      <c r="I42" s="1862">
        <f>Tabla1[[#This Row],[Extraccion
Norte II]]+Tabla1[[#This Row],[Extraccion
ENO]]</f>
        <v>23296.689596961627</v>
      </c>
      <c r="J42" s="1862">
        <v>23296.689596961627</v>
      </c>
      <c r="K42" s="1862"/>
      <c r="L42" s="1862">
        <f t="shared" si="4"/>
        <v>-23296.689596961627</v>
      </c>
      <c r="M42" s="1862">
        <f>M41+Tabla1[[#This Row],[Desbalance
TPL]]</f>
        <v>1639.424485196243</v>
      </c>
    </row>
    <row r="43" spans="2:13" x14ac:dyDescent="0.25">
      <c r="B43" s="1859">
        <f t="shared" si="5"/>
        <v>2013</v>
      </c>
      <c r="C43" s="1859">
        <f t="shared" si="6"/>
        <v>8</v>
      </c>
      <c r="D43" s="1860">
        <f t="shared" si="7"/>
        <v>41502</v>
      </c>
      <c r="E43" s="1861">
        <v>41502</v>
      </c>
      <c r="F43" s="1862">
        <f t="shared" si="3"/>
        <v>-1</v>
      </c>
      <c r="G43" s="1862">
        <v>29339</v>
      </c>
      <c r="H43" s="1862">
        <v>29340</v>
      </c>
      <c r="I43" s="1862">
        <f>Tabla1[[#This Row],[Extraccion
Norte II]]+Tabla1[[#This Row],[Extraccion
ENO]]</f>
        <v>17154.423554188481</v>
      </c>
      <c r="J43" s="1862">
        <v>17154.423554188481</v>
      </c>
      <c r="K43" s="1862"/>
      <c r="L43" s="1862">
        <f t="shared" si="4"/>
        <v>12185.576445811519</v>
      </c>
      <c r="M43" s="1862">
        <f>M42+Tabla1[[#This Row],[Desbalance
TPL]]</f>
        <v>13825.000931007762</v>
      </c>
    </row>
    <row r="44" spans="2:13" x14ac:dyDescent="0.25">
      <c r="B44" s="1859">
        <f t="shared" si="5"/>
        <v>2013</v>
      </c>
      <c r="C44" s="1859">
        <f t="shared" si="6"/>
        <v>8</v>
      </c>
      <c r="D44" s="1860">
        <f t="shared" si="7"/>
        <v>41503</v>
      </c>
      <c r="E44" s="1861">
        <v>41503</v>
      </c>
      <c r="F44" s="1862">
        <f t="shared" si="3"/>
        <v>0</v>
      </c>
      <c r="G44" s="1862">
        <v>24450</v>
      </c>
      <c r="H44" s="1862">
        <v>24450</v>
      </c>
      <c r="I44" s="1862">
        <f>Tabla1[[#This Row],[Extraccion
Norte II]]+Tabla1[[#This Row],[Extraccion
ENO]]</f>
        <v>10368.070355536523</v>
      </c>
      <c r="J44" s="1862">
        <v>10368.070355536523</v>
      </c>
      <c r="K44" s="1862"/>
      <c r="L44" s="1862">
        <f t="shared" si="4"/>
        <v>14081.929644463477</v>
      </c>
      <c r="M44" s="1862">
        <f>M43+Tabla1[[#This Row],[Desbalance
TPL]]</f>
        <v>27906.93057547124</v>
      </c>
    </row>
    <row r="45" spans="2:13" x14ac:dyDescent="0.25">
      <c r="B45" s="1859">
        <f t="shared" si="5"/>
        <v>2013</v>
      </c>
      <c r="C45" s="1859">
        <f t="shared" si="6"/>
        <v>8</v>
      </c>
      <c r="D45" s="1860">
        <f t="shared" si="7"/>
        <v>41504</v>
      </c>
      <c r="E45" s="1861">
        <v>41504</v>
      </c>
      <c r="F45" s="1862">
        <f t="shared" si="3"/>
        <v>0</v>
      </c>
      <c r="G45" s="1862">
        <v>0</v>
      </c>
      <c r="H45" s="1862">
        <v>0</v>
      </c>
      <c r="I45" s="1862">
        <f>Tabla1[[#This Row],[Extraccion
Norte II]]+Tabla1[[#This Row],[Extraccion
ENO]]</f>
        <v>28922.704230937259</v>
      </c>
      <c r="J45" s="1862">
        <v>28922.704230937259</v>
      </c>
      <c r="K45" s="1862"/>
      <c r="L45" s="1862">
        <f t="shared" si="4"/>
        <v>-28922.704230937259</v>
      </c>
      <c r="M45" s="1862">
        <f>M44+Tabla1[[#This Row],[Desbalance
TPL]]</f>
        <v>-1015.7736554660187</v>
      </c>
    </row>
    <row r="46" spans="2:13" x14ac:dyDescent="0.25">
      <c r="B46" s="1859">
        <f t="shared" si="5"/>
        <v>2013</v>
      </c>
      <c r="C46" s="1859">
        <f t="shared" si="6"/>
        <v>8</v>
      </c>
      <c r="D46" s="1860">
        <f t="shared" si="7"/>
        <v>41505</v>
      </c>
      <c r="E46" s="1861">
        <v>41505</v>
      </c>
      <c r="F46" s="1862">
        <f t="shared" si="3"/>
        <v>-598</v>
      </c>
      <c r="G46" s="1862">
        <v>28742</v>
      </c>
      <c r="H46" s="1862">
        <v>29340</v>
      </c>
      <c r="I46" s="1862">
        <f>Tabla1[[#This Row],[Extraccion
Norte II]]+Tabla1[[#This Row],[Extraccion
ENO]]</f>
        <v>24913.885426025023</v>
      </c>
      <c r="J46" s="1862">
        <v>24913.885426025023</v>
      </c>
      <c r="K46" s="1862"/>
      <c r="L46" s="1862">
        <f t="shared" si="4"/>
        <v>4426.1145739749772</v>
      </c>
      <c r="M46" s="1862">
        <f>M45+Tabla1[[#This Row],[Desbalance
TPL]]</f>
        <v>3410.3409185089586</v>
      </c>
    </row>
    <row r="47" spans="2:13" x14ac:dyDescent="0.25">
      <c r="B47" s="1859">
        <f t="shared" si="5"/>
        <v>2013</v>
      </c>
      <c r="C47" s="1859">
        <f t="shared" si="6"/>
        <v>8</v>
      </c>
      <c r="D47" s="1860">
        <f t="shared" si="7"/>
        <v>41506</v>
      </c>
      <c r="E47" s="1861">
        <v>41506</v>
      </c>
      <c r="F47" s="1862">
        <f t="shared" si="3"/>
        <v>0</v>
      </c>
      <c r="G47" s="1862">
        <v>19560</v>
      </c>
      <c r="H47" s="1862">
        <v>19560</v>
      </c>
      <c r="I47" s="1862">
        <f>Tabla1[[#This Row],[Extraccion
Norte II]]+Tabla1[[#This Row],[Extraccion
ENO]]</f>
        <v>36625.294704111759</v>
      </c>
      <c r="J47" s="1862">
        <v>36625.294704111759</v>
      </c>
      <c r="K47" s="1862"/>
      <c r="L47" s="1862">
        <f t="shared" si="4"/>
        <v>-17065.294704111759</v>
      </c>
      <c r="M47" s="1862">
        <f>M46+Tabla1[[#This Row],[Desbalance
TPL]]</f>
        <v>-13654.9537856028</v>
      </c>
    </row>
    <row r="48" spans="2:13" x14ac:dyDescent="0.25">
      <c r="B48" s="1859">
        <f t="shared" si="5"/>
        <v>2013</v>
      </c>
      <c r="C48" s="1859">
        <f t="shared" si="6"/>
        <v>8</v>
      </c>
      <c r="D48" s="1860">
        <f t="shared" si="7"/>
        <v>41507</v>
      </c>
      <c r="E48" s="1861">
        <v>41507</v>
      </c>
      <c r="F48" s="1862">
        <f t="shared" si="3"/>
        <v>-104</v>
      </c>
      <c r="G48" s="1862">
        <v>43906</v>
      </c>
      <c r="H48" s="1862">
        <v>44010</v>
      </c>
      <c r="I48" s="1862">
        <f>Tabla1[[#This Row],[Extraccion
Norte II]]+Tabla1[[#This Row],[Extraccion
ENO]]</f>
        <v>45225.32427177958</v>
      </c>
      <c r="J48" s="1862">
        <v>45225.32427177958</v>
      </c>
      <c r="K48" s="1862"/>
      <c r="L48" s="1862">
        <f t="shared" si="4"/>
        <v>-1215.3242717795802</v>
      </c>
      <c r="M48" s="1862">
        <f>M47+Tabla1[[#This Row],[Desbalance
TPL]]</f>
        <v>-14870.27805738238</v>
      </c>
    </row>
    <row r="49" spans="2:13" x14ac:dyDescent="0.25">
      <c r="B49" s="1859">
        <f t="shared" si="5"/>
        <v>2013</v>
      </c>
      <c r="C49" s="1859">
        <f t="shared" si="6"/>
        <v>8</v>
      </c>
      <c r="D49" s="1860">
        <f t="shared" si="7"/>
        <v>41508</v>
      </c>
      <c r="E49" s="1861">
        <v>41508</v>
      </c>
      <c r="F49" s="1862">
        <f t="shared" si="3"/>
        <v>0</v>
      </c>
      <c r="G49" s="1862">
        <v>24450</v>
      </c>
      <c r="H49" s="1862">
        <v>24450</v>
      </c>
      <c r="I49" s="1862">
        <f>Tabla1[[#This Row],[Extraccion
Norte II]]+Tabla1[[#This Row],[Extraccion
ENO]]</f>
        <v>0</v>
      </c>
      <c r="J49" s="1862">
        <v>0</v>
      </c>
      <c r="K49" s="1862"/>
      <c r="L49" s="1862">
        <f t="shared" si="4"/>
        <v>24450</v>
      </c>
      <c r="M49" s="1862">
        <f>M48+Tabla1[[#This Row],[Desbalance
TPL]]</f>
        <v>9579.7219426176198</v>
      </c>
    </row>
    <row r="50" spans="2:13" x14ac:dyDescent="0.25">
      <c r="B50" s="1859">
        <f t="shared" si="5"/>
        <v>2013</v>
      </c>
      <c r="C50" s="1859">
        <f t="shared" si="6"/>
        <v>8</v>
      </c>
      <c r="D50" s="1860">
        <f t="shared" si="7"/>
        <v>41509</v>
      </c>
      <c r="E50" s="1861">
        <v>41509</v>
      </c>
      <c r="F50" s="1862">
        <f t="shared" si="3"/>
        <v>29340</v>
      </c>
      <c r="G50" s="1862">
        <v>29340</v>
      </c>
      <c r="H50" s="1862"/>
      <c r="I50" s="1862">
        <f>Tabla1[[#This Row],[Extraccion
Norte II]]+Tabla1[[#This Row],[Extraccion
ENO]]</f>
        <v>0</v>
      </c>
      <c r="J50" s="1862">
        <v>0</v>
      </c>
      <c r="K50" s="1862"/>
      <c r="L50" s="1862">
        <f t="shared" si="4"/>
        <v>0</v>
      </c>
      <c r="M50" s="1862">
        <f>M49+Tabla1[[#This Row],[Desbalance
TPL]]</f>
        <v>9579.7219426176198</v>
      </c>
    </row>
    <row r="51" spans="2:13" x14ac:dyDescent="0.25">
      <c r="B51" s="1859">
        <f t="shared" si="5"/>
        <v>2013</v>
      </c>
      <c r="C51" s="1859">
        <f t="shared" si="6"/>
        <v>8</v>
      </c>
      <c r="D51" s="1860">
        <f t="shared" si="7"/>
        <v>41510</v>
      </c>
      <c r="E51" s="1861">
        <v>41510</v>
      </c>
      <c r="F51" s="1862">
        <f t="shared" si="3"/>
        <v>83126</v>
      </c>
      <c r="G51" s="1862">
        <v>83126</v>
      </c>
      <c r="H51" s="1862"/>
      <c r="I51" s="1862">
        <f>Tabla1[[#This Row],[Extraccion
Norte II]]+Tabla1[[#This Row],[Extraccion
ENO]]</f>
        <v>0</v>
      </c>
      <c r="J51" s="1862">
        <v>0</v>
      </c>
      <c r="K51" s="1862"/>
      <c r="L51" s="1862">
        <f t="shared" si="4"/>
        <v>0</v>
      </c>
      <c r="M51" s="1862">
        <f>M50+Tabla1[[#This Row],[Desbalance
TPL]]</f>
        <v>9579.7219426176198</v>
      </c>
    </row>
    <row r="52" spans="2:13" x14ac:dyDescent="0.25">
      <c r="B52" s="1859">
        <f t="shared" si="5"/>
        <v>2013</v>
      </c>
      <c r="C52" s="1859">
        <f t="shared" si="6"/>
        <v>8</v>
      </c>
      <c r="D52" s="1860">
        <f t="shared" si="7"/>
        <v>41511</v>
      </c>
      <c r="E52" s="1861">
        <v>41511</v>
      </c>
      <c r="F52" s="1862">
        <f t="shared" si="3"/>
        <v>84202</v>
      </c>
      <c r="G52" s="1862">
        <v>84202</v>
      </c>
      <c r="H52" s="1862"/>
      <c r="I52" s="1862">
        <f>Tabla1[[#This Row],[Extraccion
Norte II]]+Tabla1[[#This Row],[Extraccion
ENO]]</f>
        <v>0</v>
      </c>
      <c r="J52" s="1862">
        <v>0</v>
      </c>
      <c r="K52" s="1862"/>
      <c r="L52" s="1862">
        <f t="shared" si="4"/>
        <v>0</v>
      </c>
      <c r="M52" s="1862">
        <f>M51+Tabla1[[#This Row],[Desbalance
TPL]]</f>
        <v>9579.7219426176198</v>
      </c>
    </row>
    <row r="53" spans="2:13" x14ac:dyDescent="0.25">
      <c r="B53" s="1859">
        <f t="shared" si="5"/>
        <v>2013</v>
      </c>
      <c r="C53" s="1859">
        <f t="shared" si="6"/>
        <v>8</v>
      </c>
      <c r="D53" s="1860">
        <f t="shared" si="7"/>
        <v>41512</v>
      </c>
      <c r="E53" s="1861">
        <v>41512</v>
      </c>
      <c r="F53" s="1862">
        <f t="shared" si="3"/>
        <v>14670</v>
      </c>
      <c r="G53" s="1862">
        <v>14670</v>
      </c>
      <c r="H53" s="1862"/>
      <c r="I53" s="1862">
        <f>Tabla1[[#This Row],[Extraccion
Norte II]]+Tabla1[[#This Row],[Extraccion
ENO]]</f>
        <v>0</v>
      </c>
      <c r="J53" s="1862">
        <v>0</v>
      </c>
      <c r="K53" s="1862"/>
      <c r="L53" s="1862">
        <f t="shared" si="4"/>
        <v>0</v>
      </c>
      <c r="M53" s="1862">
        <f>M52+Tabla1[[#This Row],[Desbalance
TPL]]</f>
        <v>9579.7219426176198</v>
      </c>
    </row>
    <row r="54" spans="2:13" x14ac:dyDescent="0.25">
      <c r="B54" s="1859">
        <f t="shared" si="5"/>
        <v>2013</v>
      </c>
      <c r="C54" s="1859">
        <f t="shared" si="6"/>
        <v>8</v>
      </c>
      <c r="D54" s="1860">
        <f t="shared" si="7"/>
        <v>41513</v>
      </c>
      <c r="E54" s="1861">
        <v>41513</v>
      </c>
      <c r="F54" s="1862">
        <f t="shared" si="3"/>
        <v>10880</v>
      </c>
      <c r="G54" s="1862">
        <v>10880</v>
      </c>
      <c r="H54" s="1862"/>
      <c r="I54" s="1862">
        <f>Tabla1[[#This Row],[Extraccion
Norte II]]+Tabla1[[#This Row],[Extraccion
ENO]]</f>
        <v>0</v>
      </c>
      <c r="J54" s="1862">
        <v>0</v>
      </c>
      <c r="K54" s="1862"/>
      <c r="L54" s="1862">
        <f t="shared" si="4"/>
        <v>0</v>
      </c>
      <c r="M54" s="1862">
        <f>M53+Tabla1[[#This Row],[Desbalance
TPL]]</f>
        <v>9579.7219426176198</v>
      </c>
    </row>
    <row r="55" spans="2:13" x14ac:dyDescent="0.25">
      <c r="B55" s="1859">
        <f t="shared" si="5"/>
        <v>2013</v>
      </c>
      <c r="C55" s="1859">
        <f t="shared" si="6"/>
        <v>8</v>
      </c>
      <c r="D55" s="1860">
        <f t="shared" si="7"/>
        <v>41514</v>
      </c>
      <c r="E55" s="1861">
        <v>41514</v>
      </c>
      <c r="F55" s="1862">
        <f t="shared" si="3"/>
        <v>0</v>
      </c>
      <c r="G55" s="1862">
        <v>0</v>
      </c>
      <c r="H55" s="1862"/>
      <c r="I55" s="1862">
        <f>Tabla1[[#This Row],[Extraccion
Norte II]]+Tabla1[[#This Row],[Extraccion
ENO]]</f>
        <v>0</v>
      </c>
      <c r="J55" s="1862">
        <v>0</v>
      </c>
      <c r="K55" s="1862"/>
      <c r="L55" s="1862">
        <f t="shared" si="4"/>
        <v>0</v>
      </c>
      <c r="M55" s="1862">
        <f>M54+Tabla1[[#This Row],[Desbalance
TPL]]</f>
        <v>9579.7219426176198</v>
      </c>
    </row>
    <row r="56" spans="2:13" x14ac:dyDescent="0.25">
      <c r="B56" s="1859">
        <f t="shared" si="5"/>
        <v>2013</v>
      </c>
      <c r="C56" s="1859">
        <f t="shared" si="6"/>
        <v>8</v>
      </c>
      <c r="D56" s="1860">
        <f t="shared" si="7"/>
        <v>41515</v>
      </c>
      <c r="E56" s="1861">
        <v>41515</v>
      </c>
      <c r="F56" s="1862">
        <f t="shared" si="3"/>
        <v>24450</v>
      </c>
      <c r="G56" s="1862">
        <v>24450</v>
      </c>
      <c r="H56" s="1862"/>
      <c r="I56" s="1862">
        <f>Tabla1[[#This Row],[Extraccion
Norte II]]+Tabla1[[#This Row],[Extraccion
ENO]]</f>
        <v>0</v>
      </c>
      <c r="J56" s="1862">
        <v>0</v>
      </c>
      <c r="K56" s="1862"/>
      <c r="L56" s="1862">
        <f t="shared" si="4"/>
        <v>0</v>
      </c>
      <c r="M56" s="1862">
        <f>M55+Tabla1[[#This Row],[Desbalance
TPL]]</f>
        <v>9579.7219426176198</v>
      </c>
    </row>
    <row r="57" spans="2:13" x14ac:dyDescent="0.25">
      <c r="B57" s="1859">
        <f t="shared" si="5"/>
        <v>2013</v>
      </c>
      <c r="C57" s="1859">
        <f t="shared" si="6"/>
        <v>8</v>
      </c>
      <c r="D57" s="1860">
        <f t="shared" si="7"/>
        <v>41516</v>
      </c>
      <c r="E57" s="1861">
        <v>41516</v>
      </c>
      <c r="F57" s="1862">
        <f t="shared" si="3"/>
        <v>53790</v>
      </c>
      <c r="G57" s="1862">
        <v>53790</v>
      </c>
      <c r="H57" s="1862"/>
      <c r="I57" s="1862">
        <f>Tabla1[[#This Row],[Extraccion
Norte II]]+Tabla1[[#This Row],[Extraccion
ENO]]</f>
        <v>0</v>
      </c>
      <c r="J57" s="1862">
        <v>0</v>
      </c>
      <c r="K57" s="1862"/>
      <c r="L57" s="1862">
        <f t="shared" si="4"/>
        <v>0</v>
      </c>
      <c r="M57" s="1862">
        <f>M56+Tabla1[[#This Row],[Desbalance
TPL]]</f>
        <v>9579.7219426176198</v>
      </c>
    </row>
    <row r="58" spans="2:13" x14ac:dyDescent="0.25">
      <c r="B58" s="1859">
        <f t="shared" si="5"/>
        <v>2013</v>
      </c>
      <c r="C58" s="1859">
        <f t="shared" si="6"/>
        <v>8</v>
      </c>
      <c r="D58" s="1860">
        <f t="shared" si="7"/>
        <v>41517</v>
      </c>
      <c r="E58" s="1861">
        <v>41517</v>
      </c>
      <c r="F58" s="1862">
        <f t="shared" si="3"/>
        <v>50570</v>
      </c>
      <c r="G58" s="1862">
        <v>50570</v>
      </c>
      <c r="H58" s="1862"/>
      <c r="I58" s="1862">
        <f>Tabla1[[#This Row],[Extraccion
Norte II]]+Tabla1[[#This Row],[Extraccion
ENO]]</f>
        <v>0</v>
      </c>
      <c r="J58" s="1862">
        <v>0</v>
      </c>
      <c r="K58" s="1862"/>
      <c r="L58" s="1862">
        <f t="shared" si="4"/>
        <v>0</v>
      </c>
      <c r="M58" s="1862">
        <f>M57+Tabla1[[#This Row],[Desbalance
TPL]]</f>
        <v>9579.7219426176198</v>
      </c>
    </row>
    <row r="59" spans="2:13" x14ac:dyDescent="0.25">
      <c r="B59" s="1859">
        <f t="shared" si="5"/>
        <v>2013</v>
      </c>
      <c r="C59" s="1859">
        <f t="shared" si="6"/>
        <v>9</v>
      </c>
      <c r="D59" s="1860">
        <f t="shared" si="7"/>
        <v>41518</v>
      </c>
      <c r="E59" s="1861">
        <v>41518</v>
      </c>
      <c r="F59" s="1862">
        <f t="shared" si="3"/>
        <v>0</v>
      </c>
      <c r="G59" s="1862">
        <v>53790</v>
      </c>
      <c r="H59" s="1862">
        <v>53790</v>
      </c>
      <c r="I59" s="1862">
        <f>Tabla1[[#This Row],[Extraccion
Norte II]]+Tabla1[[#This Row],[Extraccion
ENO]]</f>
        <v>63446.699205176388</v>
      </c>
      <c r="J59" s="1862">
        <v>63446.699205176388</v>
      </c>
      <c r="K59" s="1862"/>
      <c r="L59" s="1862">
        <f t="shared" si="4"/>
        <v>-9656.6992051763882</v>
      </c>
      <c r="M59" s="1862">
        <f>M58+Tabla1[[#This Row],[Desbalance
TPL]]</f>
        <v>-76.977262558768416</v>
      </c>
    </row>
    <row r="60" spans="2:13" x14ac:dyDescent="0.25">
      <c r="B60" s="1859">
        <f t="shared" si="5"/>
        <v>2013</v>
      </c>
      <c r="C60" s="1859">
        <f t="shared" si="6"/>
        <v>9</v>
      </c>
      <c r="D60" s="1860">
        <f t="shared" si="7"/>
        <v>41519</v>
      </c>
      <c r="E60" s="1861">
        <v>41519</v>
      </c>
      <c r="F60" s="1862">
        <f t="shared" si="3"/>
        <v>0</v>
      </c>
      <c r="G60" s="1862">
        <v>53790</v>
      </c>
      <c r="H60" s="1862">
        <v>53790</v>
      </c>
      <c r="I60" s="1862">
        <f>Tabla1[[#This Row],[Extraccion
Norte II]]+Tabla1[[#This Row],[Extraccion
ENO]]</f>
        <v>47973.847893802515</v>
      </c>
      <c r="J60" s="1862">
        <v>47973.847893802515</v>
      </c>
      <c r="K60" s="1862"/>
      <c r="L60" s="1862">
        <f t="shared" si="4"/>
        <v>5816.1521061974854</v>
      </c>
      <c r="M60" s="1862">
        <f>M59+Tabla1[[#This Row],[Desbalance
TPL]]</f>
        <v>5739.174843638717</v>
      </c>
    </row>
    <row r="61" spans="2:13" x14ac:dyDescent="0.25">
      <c r="B61" s="1859">
        <f t="shared" si="5"/>
        <v>2013</v>
      </c>
      <c r="C61" s="1859">
        <f t="shared" si="6"/>
        <v>9</v>
      </c>
      <c r="D61" s="1860">
        <f t="shared" si="7"/>
        <v>41520</v>
      </c>
      <c r="E61" s="1861">
        <v>41520</v>
      </c>
      <c r="F61" s="1862">
        <f t="shared" si="3"/>
        <v>0</v>
      </c>
      <c r="G61" s="1862">
        <v>14670</v>
      </c>
      <c r="H61" s="1862">
        <v>14670</v>
      </c>
      <c r="I61" s="1862">
        <f>Tabla1[[#This Row],[Extraccion
Norte II]]+Tabla1[[#This Row],[Extraccion
ENO]]</f>
        <v>17121.35487628332</v>
      </c>
      <c r="J61" s="1862">
        <v>17121.35487628332</v>
      </c>
      <c r="K61" s="1862"/>
      <c r="L61" s="1862">
        <f t="shared" si="4"/>
        <v>-2451.3548762833198</v>
      </c>
      <c r="M61" s="1862">
        <f>M60+Tabla1[[#This Row],[Desbalance
TPL]]</f>
        <v>3287.8199673553972</v>
      </c>
    </row>
    <row r="62" spans="2:13" x14ac:dyDescent="0.25">
      <c r="B62" s="1859">
        <f t="shared" si="5"/>
        <v>2013</v>
      </c>
      <c r="C62" s="1859">
        <f t="shared" si="6"/>
        <v>9</v>
      </c>
      <c r="D62" s="1860">
        <f t="shared" si="7"/>
        <v>41521</v>
      </c>
      <c r="E62" s="1861">
        <v>41521</v>
      </c>
      <c r="F62" s="1862">
        <f t="shared" si="3"/>
        <v>0</v>
      </c>
      <c r="G62" s="1862">
        <v>15000</v>
      </c>
      <c r="H62" s="1862">
        <v>15000</v>
      </c>
      <c r="I62" s="1862">
        <f>Tabla1[[#This Row],[Extraccion
Norte II]]+Tabla1[[#This Row],[Extraccion
ENO]]</f>
        <v>42490.821230981717</v>
      </c>
      <c r="J62" s="1862">
        <v>42490.821230981717</v>
      </c>
      <c r="K62" s="1862"/>
      <c r="L62" s="1862">
        <f t="shared" si="4"/>
        <v>-27490.821230981717</v>
      </c>
      <c r="M62" s="1862">
        <f>M61+Tabla1[[#This Row],[Desbalance
TPL]]</f>
        <v>-24203.00126362632</v>
      </c>
    </row>
    <row r="63" spans="2:13" x14ac:dyDescent="0.25">
      <c r="B63" s="1859">
        <f t="shared" si="5"/>
        <v>2013</v>
      </c>
      <c r="C63" s="1859">
        <f t="shared" si="6"/>
        <v>9</v>
      </c>
      <c r="D63" s="1860">
        <f t="shared" si="7"/>
        <v>41522</v>
      </c>
      <c r="E63" s="1861">
        <v>41522</v>
      </c>
      <c r="F63" s="1862">
        <f t="shared" si="3"/>
        <v>0</v>
      </c>
      <c r="G63" s="1862">
        <v>49230</v>
      </c>
      <c r="H63" s="1862">
        <v>49230</v>
      </c>
      <c r="I63" s="1862">
        <f>Tabla1[[#This Row],[Extraccion
Norte II]]+Tabla1[[#This Row],[Extraccion
ENO]]</f>
        <v>10247.336869197872</v>
      </c>
      <c r="J63" s="1862">
        <v>10247.336869197872</v>
      </c>
      <c r="K63" s="1862"/>
      <c r="L63" s="1862">
        <f t="shared" si="4"/>
        <v>38982.663130802131</v>
      </c>
      <c r="M63" s="1862">
        <f>M62+Tabla1[[#This Row],[Desbalance
TPL]]</f>
        <v>14779.661867175811</v>
      </c>
    </row>
    <row r="64" spans="2:13" x14ac:dyDescent="0.25">
      <c r="B64" s="1859">
        <f t="shared" si="5"/>
        <v>2013</v>
      </c>
      <c r="C64" s="1859">
        <f t="shared" si="6"/>
        <v>9</v>
      </c>
      <c r="D64" s="1860">
        <f t="shared" si="7"/>
        <v>41523</v>
      </c>
      <c r="E64" s="1861">
        <v>41523</v>
      </c>
      <c r="F64" s="1862">
        <f t="shared" si="3"/>
        <v>0</v>
      </c>
      <c r="G64" s="1862">
        <v>7665</v>
      </c>
      <c r="H64" s="1862">
        <v>7665</v>
      </c>
      <c r="I64" s="1862">
        <f>Tabla1[[#This Row],[Extraccion
Norte II]]+Tabla1[[#This Row],[Extraccion
ENO]]</f>
        <v>0</v>
      </c>
      <c r="J64" s="1862">
        <v>0</v>
      </c>
      <c r="K64" s="1862"/>
      <c r="L64" s="1862">
        <f t="shared" si="4"/>
        <v>7665</v>
      </c>
      <c r="M64" s="1862">
        <f>M63+Tabla1[[#This Row],[Desbalance
TPL]]</f>
        <v>22444.661867175811</v>
      </c>
    </row>
    <row r="65" spans="2:13" x14ac:dyDescent="0.25">
      <c r="B65" s="1859">
        <f t="shared" si="5"/>
        <v>2013</v>
      </c>
      <c r="C65" s="1859">
        <f t="shared" si="6"/>
        <v>9</v>
      </c>
      <c r="D65" s="1860">
        <f t="shared" si="7"/>
        <v>41524</v>
      </c>
      <c r="E65" s="1861">
        <v>41524</v>
      </c>
      <c r="F65" s="1862">
        <f t="shared" si="3"/>
        <v>0</v>
      </c>
      <c r="G65" s="1862">
        <v>0</v>
      </c>
      <c r="H65" s="1862">
        <v>0</v>
      </c>
      <c r="I65" s="1862">
        <f>Tabla1[[#This Row],[Extraccion
Norte II]]+Tabla1[[#This Row],[Extraccion
ENO]]</f>
        <v>0</v>
      </c>
      <c r="J65" s="1862">
        <v>0</v>
      </c>
      <c r="K65" s="1862"/>
      <c r="L65" s="1862">
        <f t="shared" si="4"/>
        <v>0</v>
      </c>
      <c r="M65" s="1862">
        <f>M64+Tabla1[[#This Row],[Desbalance
TPL]]</f>
        <v>22444.661867175811</v>
      </c>
    </row>
    <row r="66" spans="2:13" x14ac:dyDescent="0.25">
      <c r="B66" s="1859">
        <f t="shared" si="5"/>
        <v>2013</v>
      </c>
      <c r="C66" s="1859">
        <f t="shared" si="6"/>
        <v>9</v>
      </c>
      <c r="D66" s="1860">
        <f t="shared" si="7"/>
        <v>41525</v>
      </c>
      <c r="E66" s="1861">
        <v>41525</v>
      </c>
      <c r="F66" s="1862">
        <f t="shared" si="3"/>
        <v>0</v>
      </c>
      <c r="G66" s="1862">
        <v>0</v>
      </c>
      <c r="H66" s="1862">
        <v>0</v>
      </c>
      <c r="I66" s="1862">
        <f>Tabla1[[#This Row],[Extraccion
Norte II]]+Tabla1[[#This Row],[Extraccion
ENO]]</f>
        <v>0</v>
      </c>
      <c r="J66" s="1862">
        <v>0</v>
      </c>
      <c r="K66" s="1862"/>
      <c r="L66" s="1862">
        <f t="shared" si="4"/>
        <v>0</v>
      </c>
      <c r="M66" s="1862">
        <f>M65+Tabla1[[#This Row],[Desbalance
TPL]]</f>
        <v>22444.661867175811</v>
      </c>
    </row>
    <row r="67" spans="2:13" x14ac:dyDescent="0.25">
      <c r="B67" s="1859">
        <f t="shared" si="5"/>
        <v>2013</v>
      </c>
      <c r="C67" s="1859">
        <f t="shared" si="6"/>
        <v>9</v>
      </c>
      <c r="D67" s="1860">
        <f t="shared" si="7"/>
        <v>41526</v>
      </c>
      <c r="E67" s="1861">
        <v>41526</v>
      </c>
      <c r="F67" s="1862">
        <f t="shared" si="3"/>
        <v>0</v>
      </c>
      <c r="G67" s="1862">
        <v>0</v>
      </c>
      <c r="H67" s="1862">
        <v>0</v>
      </c>
      <c r="I67" s="1862">
        <f>Tabla1[[#This Row],[Extraccion
Norte II]]+Tabla1[[#This Row],[Extraccion
ENO]]</f>
        <v>11171.759745744001</v>
      </c>
      <c r="J67" s="1862">
        <v>11171.759745744001</v>
      </c>
      <c r="K67" s="1862"/>
      <c r="L67" s="1862">
        <f t="shared" si="4"/>
        <v>-11171.759745744001</v>
      </c>
      <c r="M67" s="1862">
        <f>M66+Tabla1[[#This Row],[Desbalance
TPL]]</f>
        <v>11272.902121431811</v>
      </c>
    </row>
    <row r="68" spans="2:13" x14ac:dyDescent="0.25">
      <c r="B68" s="1859">
        <f t="shared" si="5"/>
        <v>2013</v>
      </c>
      <c r="C68" s="1859">
        <f t="shared" si="6"/>
        <v>9</v>
      </c>
      <c r="D68" s="1860">
        <f t="shared" si="7"/>
        <v>41527</v>
      </c>
      <c r="E68" s="1861">
        <v>41527</v>
      </c>
      <c r="F68" s="1862">
        <f t="shared" si="3"/>
        <v>0</v>
      </c>
      <c r="G68" s="1862">
        <v>15000</v>
      </c>
      <c r="H68" s="1862">
        <v>15000</v>
      </c>
      <c r="I68" s="1862">
        <f>Tabla1[[#This Row],[Extraccion
Norte II]]+Tabla1[[#This Row],[Extraccion
ENO]]</f>
        <v>5180.0113848859746</v>
      </c>
      <c r="J68" s="1862">
        <v>5180.0113848859746</v>
      </c>
      <c r="K68" s="1862"/>
      <c r="L68" s="1862">
        <f t="shared" si="4"/>
        <v>9819.9886151140254</v>
      </c>
      <c r="M68" s="1862">
        <f>M67+Tabla1[[#This Row],[Desbalance
TPL]]</f>
        <v>21092.890736545836</v>
      </c>
    </row>
    <row r="69" spans="2:13" x14ac:dyDescent="0.25">
      <c r="B69" s="1859">
        <f t="shared" si="5"/>
        <v>2013</v>
      </c>
      <c r="C69" s="1859">
        <f t="shared" si="6"/>
        <v>9</v>
      </c>
      <c r="D69" s="1860">
        <f t="shared" si="7"/>
        <v>41528</v>
      </c>
      <c r="E69" s="1861">
        <v>41528</v>
      </c>
      <c r="F69" s="1862">
        <f t="shared" si="3"/>
        <v>0</v>
      </c>
      <c r="G69" s="1862">
        <v>0</v>
      </c>
      <c r="H69" s="1862">
        <v>0</v>
      </c>
      <c r="I69" s="1862">
        <f>Tabla1[[#This Row],[Extraccion
Norte II]]+Tabla1[[#This Row],[Extraccion
ENO]]</f>
        <v>26206.827270389997</v>
      </c>
      <c r="J69" s="1862">
        <v>26206.827270389997</v>
      </c>
      <c r="K69" s="1862"/>
      <c r="L69" s="1862">
        <f t="shared" si="4"/>
        <v>-26206.827270389997</v>
      </c>
      <c r="M69" s="1862">
        <f>M68+Tabla1[[#This Row],[Desbalance
TPL]]</f>
        <v>-5113.9365338441603</v>
      </c>
    </row>
    <row r="70" spans="2:13" x14ac:dyDescent="0.25">
      <c r="B70" s="1859">
        <f t="shared" si="5"/>
        <v>2013</v>
      </c>
      <c r="C70" s="1859">
        <f t="shared" si="6"/>
        <v>9</v>
      </c>
      <c r="D70" s="1860">
        <f t="shared" si="7"/>
        <v>41529</v>
      </c>
      <c r="E70" s="1861">
        <v>41529</v>
      </c>
      <c r="F70" s="1862">
        <f t="shared" si="3"/>
        <v>0</v>
      </c>
      <c r="G70" s="1862">
        <v>24939</v>
      </c>
      <c r="H70" s="1862">
        <v>24939</v>
      </c>
      <c r="I70" s="1862">
        <f>Tabla1[[#This Row],[Extraccion
Norte II]]+Tabla1[[#This Row],[Extraccion
ENO]]</f>
        <v>44626.970316660489</v>
      </c>
      <c r="J70" s="1862">
        <v>44626.970316660489</v>
      </c>
      <c r="K70" s="1862"/>
      <c r="L70" s="1862">
        <f t="shared" si="4"/>
        <v>-19687.970316660489</v>
      </c>
      <c r="M70" s="1862">
        <f>M69+Tabla1[[#This Row],[Desbalance
TPL]]</f>
        <v>-24801.906850504649</v>
      </c>
    </row>
    <row r="71" spans="2:13" x14ac:dyDescent="0.25">
      <c r="B71" s="1859">
        <f t="shared" si="5"/>
        <v>2013</v>
      </c>
      <c r="C71" s="1859">
        <f t="shared" si="6"/>
        <v>9</v>
      </c>
      <c r="D71" s="1860">
        <f t="shared" si="7"/>
        <v>41530</v>
      </c>
      <c r="E71" s="1861">
        <v>41530</v>
      </c>
      <c r="F71" s="1862">
        <f t="shared" si="3"/>
        <v>0</v>
      </c>
      <c r="G71" s="1862">
        <v>38891</v>
      </c>
      <c r="H71" s="1862">
        <v>38891</v>
      </c>
      <c r="I71" s="1862">
        <f>Tabla1[[#This Row],[Extraccion
Norte II]]+Tabla1[[#This Row],[Extraccion
ENO]]</f>
        <v>21889.552355044336</v>
      </c>
      <c r="J71" s="1862">
        <v>21889.552355044336</v>
      </c>
      <c r="K71" s="1862"/>
      <c r="L71" s="1862">
        <f t="shared" si="4"/>
        <v>17001.447644955664</v>
      </c>
      <c r="M71" s="1862">
        <f>M70+Tabla1[[#This Row],[Desbalance
TPL]]</f>
        <v>-7800.4592055489848</v>
      </c>
    </row>
    <row r="72" spans="2:13" x14ac:dyDescent="0.25">
      <c r="B72" s="1859">
        <f t="shared" si="5"/>
        <v>2013</v>
      </c>
      <c r="C72" s="1859">
        <f t="shared" si="6"/>
        <v>9</v>
      </c>
      <c r="D72" s="1860">
        <f t="shared" si="7"/>
        <v>41531</v>
      </c>
      <c r="E72" s="1861">
        <v>41531</v>
      </c>
      <c r="F72" s="1862">
        <f t="shared" si="3"/>
        <v>0</v>
      </c>
      <c r="G72" s="1862">
        <v>42124</v>
      </c>
      <c r="H72" s="1862">
        <v>42124</v>
      </c>
      <c r="I72" s="1862">
        <f>Tabla1[[#This Row],[Extraccion
Norte II]]+Tabla1[[#This Row],[Extraccion
ENO]]</f>
        <v>41129.241383733053</v>
      </c>
      <c r="J72" s="1862">
        <v>41129.241383733053</v>
      </c>
      <c r="K72" s="1862"/>
      <c r="L72" s="1862">
        <f t="shared" si="4"/>
        <v>994.75861626694677</v>
      </c>
      <c r="M72" s="1862">
        <f>M71+Tabla1[[#This Row],[Desbalance
TPL]]</f>
        <v>-6805.700589282038</v>
      </c>
    </row>
    <row r="73" spans="2:13" x14ac:dyDescent="0.25">
      <c r="B73" s="1859">
        <f t="shared" si="5"/>
        <v>2013</v>
      </c>
      <c r="C73" s="1859">
        <f t="shared" si="6"/>
        <v>9</v>
      </c>
      <c r="D73" s="1860">
        <f t="shared" si="7"/>
        <v>41532</v>
      </c>
      <c r="E73" s="1861">
        <v>41532</v>
      </c>
      <c r="F73" s="1862">
        <f t="shared" si="3"/>
        <v>0</v>
      </c>
      <c r="G73" s="1862">
        <v>9780</v>
      </c>
      <c r="H73" s="1862">
        <v>9780</v>
      </c>
      <c r="I73" s="1862">
        <f>Tabla1[[#This Row],[Extraccion
Norte II]]+Tabla1[[#This Row],[Extraccion
ENO]]</f>
        <v>2711.8068306183272</v>
      </c>
      <c r="J73" s="1862">
        <v>2711.8068306183272</v>
      </c>
      <c r="K73" s="1862"/>
      <c r="L73" s="1862">
        <f t="shared" si="4"/>
        <v>7068.1931693816732</v>
      </c>
      <c r="M73" s="1862">
        <f>M72+Tabla1[[#This Row],[Desbalance
TPL]]</f>
        <v>262.49258009963523</v>
      </c>
    </row>
    <row r="74" spans="2:13" x14ac:dyDescent="0.25">
      <c r="B74" s="1859">
        <f t="shared" si="5"/>
        <v>2013</v>
      </c>
      <c r="C74" s="1859">
        <f t="shared" si="6"/>
        <v>9</v>
      </c>
      <c r="D74" s="1860">
        <f t="shared" si="7"/>
        <v>41533</v>
      </c>
      <c r="E74" s="1861">
        <v>41533</v>
      </c>
      <c r="F74" s="1862">
        <f t="shared" si="3"/>
        <v>0</v>
      </c>
      <c r="G74" s="1862">
        <v>9772</v>
      </c>
      <c r="H74" s="1862">
        <v>9772</v>
      </c>
      <c r="I74" s="1862">
        <f>Tabla1[[#This Row],[Extraccion
Norte II]]+Tabla1[[#This Row],[Extraccion
ENO]]</f>
        <v>0</v>
      </c>
      <c r="J74" s="1862">
        <v>0</v>
      </c>
      <c r="K74" s="1862"/>
      <c r="L74" s="1862">
        <f t="shared" si="4"/>
        <v>9772</v>
      </c>
      <c r="M74" s="1862">
        <f>M73+Tabla1[[#This Row],[Desbalance
TPL]]</f>
        <v>10034.492580099635</v>
      </c>
    </row>
    <row r="75" spans="2:13" x14ac:dyDescent="0.25">
      <c r="B75" s="1859">
        <f t="shared" si="5"/>
        <v>2013</v>
      </c>
      <c r="C75" s="1859">
        <f t="shared" si="6"/>
        <v>9</v>
      </c>
      <c r="D75" s="1860">
        <f t="shared" si="7"/>
        <v>41534</v>
      </c>
      <c r="E75" s="1861">
        <v>41534</v>
      </c>
      <c r="F75" s="1862">
        <f t="shared" si="3"/>
        <v>0</v>
      </c>
      <c r="G75" s="1862">
        <v>0</v>
      </c>
      <c r="H75" s="1862">
        <v>0</v>
      </c>
      <c r="I75" s="1862">
        <f>Tabla1[[#This Row],[Extraccion
Norte II]]+Tabla1[[#This Row],[Extraccion
ENO]]</f>
        <v>27071.307479621344</v>
      </c>
      <c r="J75" s="1862">
        <v>27071.307479621344</v>
      </c>
      <c r="K75" s="1862"/>
      <c r="L75" s="1862">
        <f t="shared" si="4"/>
        <v>-27071.307479621344</v>
      </c>
      <c r="M75" s="1862">
        <f>M74+Tabla1[[#This Row],[Desbalance
TPL]]</f>
        <v>-17036.814899521709</v>
      </c>
    </row>
    <row r="76" spans="2:13" x14ac:dyDescent="0.25">
      <c r="B76" s="1859">
        <f t="shared" si="5"/>
        <v>2013</v>
      </c>
      <c r="C76" s="1859">
        <f t="shared" si="6"/>
        <v>9</v>
      </c>
      <c r="D76" s="1860">
        <f t="shared" si="7"/>
        <v>41535</v>
      </c>
      <c r="E76" s="1861">
        <v>41535</v>
      </c>
      <c r="F76" s="1862">
        <f t="shared" ref="F76:F139" si="8">G76-H76</f>
        <v>0</v>
      </c>
      <c r="G76" s="1862">
        <v>34230</v>
      </c>
      <c r="H76" s="1862">
        <v>34230</v>
      </c>
      <c r="I76" s="1862">
        <f>Tabla1[[#This Row],[Extraccion
Norte II]]+Tabla1[[#This Row],[Extraccion
ENO]]</f>
        <v>7728.8524722711909</v>
      </c>
      <c r="J76" s="1862">
        <v>7728.8524722711909</v>
      </c>
      <c r="K76" s="1862"/>
      <c r="L76" s="1862">
        <f t="shared" ref="L76:L139" si="9">H76-I76</f>
        <v>26501.147527728808</v>
      </c>
      <c r="M76" s="1862">
        <f>M75+Tabla1[[#This Row],[Desbalance
TPL]]</f>
        <v>9464.3326282070993</v>
      </c>
    </row>
    <row r="77" spans="2:13" x14ac:dyDescent="0.25">
      <c r="B77" s="1859">
        <f t="shared" si="5"/>
        <v>2013</v>
      </c>
      <c r="C77" s="1859">
        <f t="shared" si="6"/>
        <v>9</v>
      </c>
      <c r="D77" s="1860">
        <f t="shared" si="7"/>
        <v>41536</v>
      </c>
      <c r="E77" s="1861">
        <v>41536</v>
      </c>
      <c r="F77" s="1862">
        <f t="shared" si="8"/>
        <v>0</v>
      </c>
      <c r="G77" s="1862">
        <v>0</v>
      </c>
      <c r="H77" s="1862">
        <v>0</v>
      </c>
      <c r="I77" s="1862">
        <f>Tabla1[[#This Row],[Extraccion
Norte II]]+Tabla1[[#This Row],[Extraccion
ENO]]</f>
        <v>0</v>
      </c>
      <c r="J77" s="1862">
        <v>0</v>
      </c>
      <c r="K77" s="1862"/>
      <c r="L77" s="1862">
        <f t="shared" si="9"/>
        <v>0</v>
      </c>
      <c r="M77" s="1862">
        <f>M76+Tabla1[[#This Row],[Desbalance
TPL]]</f>
        <v>9464.3326282070993</v>
      </c>
    </row>
    <row r="78" spans="2:13" x14ac:dyDescent="0.25">
      <c r="B78" s="1859">
        <f t="shared" si="5"/>
        <v>2013</v>
      </c>
      <c r="C78" s="1859">
        <f t="shared" si="6"/>
        <v>9</v>
      </c>
      <c r="D78" s="1860">
        <f t="shared" si="7"/>
        <v>41537</v>
      </c>
      <c r="E78" s="1861">
        <v>41537</v>
      </c>
      <c r="F78" s="1862">
        <f t="shared" si="8"/>
        <v>0</v>
      </c>
      <c r="G78" s="1862">
        <v>0</v>
      </c>
      <c r="H78" s="1862">
        <v>0</v>
      </c>
      <c r="I78" s="1862">
        <f>Tabla1[[#This Row],[Extraccion
Norte II]]+Tabla1[[#This Row],[Extraccion
ENO]]</f>
        <v>0</v>
      </c>
      <c r="J78" s="1862">
        <v>0</v>
      </c>
      <c r="K78" s="1862"/>
      <c r="L78" s="1862">
        <f t="shared" si="9"/>
        <v>0</v>
      </c>
      <c r="M78" s="1862">
        <f>M77+Tabla1[[#This Row],[Desbalance
TPL]]</f>
        <v>9464.3326282070993</v>
      </c>
    </row>
    <row r="79" spans="2:13" x14ac:dyDescent="0.25">
      <c r="B79" s="1859">
        <f t="shared" si="5"/>
        <v>2013</v>
      </c>
      <c r="C79" s="1859">
        <f t="shared" si="6"/>
        <v>9</v>
      </c>
      <c r="D79" s="1860">
        <f t="shared" si="7"/>
        <v>41538</v>
      </c>
      <c r="E79" s="1861">
        <v>41538</v>
      </c>
      <c r="F79" s="1862">
        <f t="shared" si="8"/>
        <v>0</v>
      </c>
      <c r="G79" s="1862">
        <v>0</v>
      </c>
      <c r="H79" s="1862">
        <v>0</v>
      </c>
      <c r="I79" s="1862">
        <f>Tabla1[[#This Row],[Extraccion
Norte II]]+Tabla1[[#This Row],[Extraccion
ENO]]</f>
        <v>0</v>
      </c>
      <c r="J79" s="1862">
        <v>0</v>
      </c>
      <c r="K79" s="1862"/>
      <c r="L79" s="1862">
        <f t="shared" si="9"/>
        <v>0</v>
      </c>
      <c r="M79" s="1862">
        <f>M78+Tabla1[[#This Row],[Desbalance
TPL]]</f>
        <v>9464.3326282070993</v>
      </c>
    </row>
    <row r="80" spans="2:13" x14ac:dyDescent="0.25">
      <c r="B80" s="1859">
        <f t="shared" si="5"/>
        <v>2013</v>
      </c>
      <c r="C80" s="1859">
        <f t="shared" si="6"/>
        <v>9</v>
      </c>
      <c r="D80" s="1860">
        <f t="shared" si="7"/>
        <v>41539</v>
      </c>
      <c r="E80" s="1861">
        <v>41539</v>
      </c>
      <c r="F80" s="1862">
        <f t="shared" si="8"/>
        <v>0</v>
      </c>
      <c r="G80" s="1862">
        <v>0</v>
      </c>
      <c r="H80" s="1862">
        <v>0</v>
      </c>
      <c r="I80" s="1862">
        <f>Tabla1[[#This Row],[Extraccion
Norte II]]+Tabla1[[#This Row],[Extraccion
ENO]]</f>
        <v>5723.6469694560001</v>
      </c>
      <c r="J80" s="1862">
        <v>5723.6469694560001</v>
      </c>
      <c r="K80" s="1862"/>
      <c r="L80" s="1862">
        <f t="shared" si="9"/>
        <v>-5723.6469694560001</v>
      </c>
      <c r="M80" s="1862">
        <f>M79+Tabla1[[#This Row],[Desbalance
TPL]]</f>
        <v>3740.6856587510993</v>
      </c>
    </row>
    <row r="81" spans="2:13" x14ac:dyDescent="0.25">
      <c r="B81" s="1859">
        <f t="shared" si="5"/>
        <v>2013</v>
      </c>
      <c r="C81" s="1859">
        <f t="shared" si="6"/>
        <v>9</v>
      </c>
      <c r="D81" s="1860">
        <f t="shared" si="7"/>
        <v>41540</v>
      </c>
      <c r="E81" s="1861">
        <v>41540</v>
      </c>
      <c r="F81" s="1862">
        <f t="shared" si="8"/>
        <v>0</v>
      </c>
      <c r="G81" s="1862">
        <v>44010</v>
      </c>
      <c r="H81" s="1862">
        <v>44010</v>
      </c>
      <c r="I81" s="1862">
        <f>Tabla1[[#This Row],[Extraccion
Norte II]]+Tabla1[[#This Row],[Extraccion
ENO]]</f>
        <v>43848.877775157001</v>
      </c>
      <c r="J81" s="1862">
        <v>43848.877775157001</v>
      </c>
      <c r="K81" s="1862"/>
      <c r="L81" s="1862">
        <f t="shared" si="9"/>
        <v>161.12222484299855</v>
      </c>
      <c r="M81" s="1862">
        <f>M80+Tabla1[[#This Row],[Desbalance
TPL]]</f>
        <v>3901.8078835940978</v>
      </c>
    </row>
    <row r="82" spans="2:13" x14ac:dyDescent="0.25">
      <c r="B82" s="1859">
        <f t="shared" si="5"/>
        <v>2013</v>
      </c>
      <c r="C82" s="1859">
        <f t="shared" si="6"/>
        <v>9</v>
      </c>
      <c r="D82" s="1860">
        <f t="shared" si="7"/>
        <v>41541</v>
      </c>
      <c r="E82" s="1861">
        <v>41541</v>
      </c>
      <c r="F82" s="1862">
        <f t="shared" si="8"/>
        <v>0</v>
      </c>
      <c r="G82" s="1862">
        <v>48900</v>
      </c>
      <c r="H82" s="1862">
        <v>48900</v>
      </c>
      <c r="I82" s="1862">
        <f>Tabla1[[#This Row],[Extraccion
Norte II]]+Tabla1[[#This Row],[Extraccion
ENO]]</f>
        <v>40214.044533221684</v>
      </c>
      <c r="J82" s="1862">
        <v>40214.044533221684</v>
      </c>
      <c r="K82" s="1862"/>
      <c r="L82" s="1862">
        <f t="shared" si="9"/>
        <v>8685.9554667783159</v>
      </c>
      <c r="M82" s="1862">
        <f>M81+Tabla1[[#This Row],[Desbalance
TPL]]</f>
        <v>12587.763350372414</v>
      </c>
    </row>
    <row r="83" spans="2:13" x14ac:dyDescent="0.25">
      <c r="B83" s="1859">
        <f t="shared" si="5"/>
        <v>2013</v>
      </c>
      <c r="C83" s="1859">
        <f t="shared" si="6"/>
        <v>9</v>
      </c>
      <c r="D83" s="1860">
        <f t="shared" si="7"/>
        <v>41542</v>
      </c>
      <c r="E83" s="1861">
        <v>41542</v>
      </c>
      <c r="F83" s="1862">
        <f t="shared" si="8"/>
        <v>0</v>
      </c>
      <c r="G83" s="1862">
        <v>39120</v>
      </c>
      <c r="H83" s="1862">
        <v>39120</v>
      </c>
      <c r="I83" s="1862">
        <f>Tabla1[[#This Row],[Extraccion
Norte II]]+Tabla1[[#This Row],[Extraccion
ENO]]</f>
        <v>53070.374180150371</v>
      </c>
      <c r="J83" s="1862">
        <v>53070.374180150371</v>
      </c>
      <c r="K83" s="1862"/>
      <c r="L83" s="1862">
        <f t="shared" si="9"/>
        <v>-13950.374180150371</v>
      </c>
      <c r="M83" s="1862">
        <f>M82+Tabla1[[#This Row],[Desbalance
TPL]]</f>
        <v>-1362.6108297779574</v>
      </c>
    </row>
    <row r="84" spans="2:13" x14ac:dyDescent="0.25">
      <c r="B84" s="1859">
        <f t="shared" si="5"/>
        <v>2013</v>
      </c>
      <c r="C84" s="1859">
        <f t="shared" si="6"/>
        <v>9</v>
      </c>
      <c r="D84" s="1860">
        <f t="shared" si="7"/>
        <v>41543</v>
      </c>
      <c r="E84" s="1861">
        <v>41543</v>
      </c>
      <c r="F84" s="1862">
        <f t="shared" si="8"/>
        <v>0</v>
      </c>
      <c r="G84" s="1862">
        <v>39095</v>
      </c>
      <c r="H84" s="1862">
        <v>39095</v>
      </c>
      <c r="I84" s="1862">
        <f>Tabla1[[#This Row],[Extraccion
Norte II]]+Tabla1[[#This Row],[Extraccion
ENO]]</f>
        <v>30141.674517303647</v>
      </c>
      <c r="J84" s="1862">
        <v>30141.674517303647</v>
      </c>
      <c r="K84" s="1862"/>
      <c r="L84" s="1862">
        <f t="shared" si="9"/>
        <v>8953.325482696353</v>
      </c>
      <c r="M84" s="1862">
        <f>M83+Tabla1[[#This Row],[Desbalance
TPL]]</f>
        <v>7590.7146529183956</v>
      </c>
    </row>
    <row r="85" spans="2:13" x14ac:dyDescent="0.25">
      <c r="B85" s="1859">
        <f t="shared" si="5"/>
        <v>2013</v>
      </c>
      <c r="C85" s="1859">
        <f t="shared" si="6"/>
        <v>9</v>
      </c>
      <c r="D85" s="1860">
        <f t="shared" si="7"/>
        <v>41544</v>
      </c>
      <c r="E85" s="1861">
        <v>41544</v>
      </c>
      <c r="F85" s="1862">
        <f t="shared" si="8"/>
        <v>0</v>
      </c>
      <c r="G85" s="1862">
        <v>29210</v>
      </c>
      <c r="H85" s="1862">
        <v>29210</v>
      </c>
      <c r="I85" s="1862">
        <f>Tabla1[[#This Row],[Extraccion
Norte II]]+Tabla1[[#This Row],[Extraccion
ENO]]</f>
        <v>43075.721112001585</v>
      </c>
      <c r="J85" s="1862">
        <v>43075.721112001585</v>
      </c>
      <c r="K85" s="1862"/>
      <c r="L85" s="1862">
        <f t="shared" si="9"/>
        <v>-13865.721112001585</v>
      </c>
      <c r="M85" s="1862">
        <f>M84+Tabla1[[#This Row],[Desbalance
TPL]]</f>
        <v>-6275.0064590831898</v>
      </c>
    </row>
    <row r="86" spans="2:13" x14ac:dyDescent="0.25">
      <c r="B86" s="1859">
        <f t="shared" si="5"/>
        <v>2013</v>
      </c>
      <c r="C86" s="1859">
        <f t="shared" si="6"/>
        <v>9</v>
      </c>
      <c r="D86" s="1860">
        <f t="shared" si="7"/>
        <v>41545</v>
      </c>
      <c r="E86" s="1861">
        <v>41545</v>
      </c>
      <c r="F86" s="1862">
        <f t="shared" si="8"/>
        <v>0</v>
      </c>
      <c r="G86" s="1862">
        <v>48109</v>
      </c>
      <c r="H86" s="1862">
        <v>48109</v>
      </c>
      <c r="I86" s="1862">
        <f>Tabla1[[#This Row],[Extraccion
Norte II]]+Tabla1[[#This Row],[Extraccion
ENO]]</f>
        <v>9381.1835146334779</v>
      </c>
      <c r="J86" s="1862">
        <v>9381.1835146334779</v>
      </c>
      <c r="K86" s="1862"/>
      <c r="L86" s="1862">
        <f t="shared" si="9"/>
        <v>38727.816485366522</v>
      </c>
      <c r="M86" s="1862">
        <f>M85+Tabla1[[#This Row],[Desbalance
TPL]]</f>
        <v>32452.810026283332</v>
      </c>
    </row>
    <row r="87" spans="2:13" x14ac:dyDescent="0.25">
      <c r="B87" s="1859">
        <f t="shared" si="5"/>
        <v>2013</v>
      </c>
      <c r="C87" s="1859">
        <f t="shared" si="6"/>
        <v>9</v>
      </c>
      <c r="D87" s="1860">
        <f t="shared" si="7"/>
        <v>41546</v>
      </c>
      <c r="E87" s="1861">
        <v>41546</v>
      </c>
      <c r="F87" s="1862">
        <f t="shared" si="8"/>
        <v>0</v>
      </c>
      <c r="G87" s="1862">
        <v>0</v>
      </c>
      <c r="H87" s="1862">
        <v>0</v>
      </c>
      <c r="I87" s="1862">
        <f>Tabla1[[#This Row],[Extraccion
Norte II]]+Tabla1[[#This Row],[Extraccion
ENO]]</f>
        <v>52113.1644321575</v>
      </c>
      <c r="J87" s="1862">
        <v>52113.1644321575</v>
      </c>
      <c r="K87" s="1862"/>
      <c r="L87" s="1862">
        <f t="shared" si="9"/>
        <v>-52113.1644321575</v>
      </c>
      <c r="M87" s="1862">
        <f>M86+Tabla1[[#This Row],[Desbalance
TPL]]</f>
        <v>-19660.354405874168</v>
      </c>
    </row>
    <row r="88" spans="2:13" x14ac:dyDescent="0.25">
      <c r="B88" s="1859">
        <f t="shared" si="5"/>
        <v>2013</v>
      </c>
      <c r="C88" s="1859">
        <f t="shared" si="6"/>
        <v>9</v>
      </c>
      <c r="D88" s="1860">
        <f t="shared" si="7"/>
        <v>41547</v>
      </c>
      <c r="E88" s="1861">
        <v>41547</v>
      </c>
      <c r="F88" s="1862">
        <f t="shared" si="8"/>
        <v>0</v>
      </c>
      <c r="G88" s="1862">
        <v>68203</v>
      </c>
      <c r="H88" s="1862">
        <v>68203</v>
      </c>
      <c r="I88" s="1862">
        <f>Tabla1[[#This Row],[Extraccion
Norte II]]+Tabla1[[#This Row],[Extraccion
ENO]]</f>
        <v>72758.582858065682</v>
      </c>
      <c r="J88" s="1862">
        <v>72758.582858065682</v>
      </c>
      <c r="K88" s="1862"/>
      <c r="L88" s="1862">
        <f t="shared" si="9"/>
        <v>-4555.5828580656816</v>
      </c>
      <c r="M88" s="1862">
        <f>M87+Tabla1[[#This Row],[Desbalance
TPL]]</f>
        <v>-24215.93726393985</v>
      </c>
    </row>
    <row r="89" spans="2:13" x14ac:dyDescent="0.25">
      <c r="B89" s="1859">
        <f t="shared" si="5"/>
        <v>2013</v>
      </c>
      <c r="C89" s="1859">
        <f t="shared" si="6"/>
        <v>10</v>
      </c>
      <c r="D89" s="1860">
        <f t="shared" si="7"/>
        <v>41548</v>
      </c>
      <c r="E89" s="1861">
        <v>41548</v>
      </c>
      <c r="F89" s="1862">
        <f t="shared" si="8"/>
        <v>0</v>
      </c>
      <c r="G89" s="1862">
        <v>80196</v>
      </c>
      <c r="H89" s="1862">
        <v>80196</v>
      </c>
      <c r="I89" s="1862">
        <f>Tabla1[[#This Row],[Extraccion
Norte II]]+Tabla1[[#This Row],[Extraccion
ENO]]</f>
        <v>36884.235614264304</v>
      </c>
      <c r="J89" s="1862">
        <v>36884.235614264304</v>
      </c>
      <c r="K89" s="1862"/>
      <c r="L89" s="1862">
        <f t="shared" si="9"/>
        <v>43311.764385735696</v>
      </c>
      <c r="M89" s="1862">
        <f>M88+Tabla1[[#This Row],[Desbalance
TPL]]</f>
        <v>19095.827121795846</v>
      </c>
    </row>
    <row r="90" spans="2:13" x14ac:dyDescent="0.25">
      <c r="B90" s="1859">
        <f t="shared" si="5"/>
        <v>2013</v>
      </c>
      <c r="C90" s="1859">
        <f t="shared" si="6"/>
        <v>10</v>
      </c>
      <c r="D90" s="1860">
        <f t="shared" si="7"/>
        <v>41549</v>
      </c>
      <c r="E90" s="1861">
        <v>41549</v>
      </c>
      <c r="F90" s="1862">
        <f t="shared" si="8"/>
        <v>0</v>
      </c>
      <c r="G90" s="1862">
        <v>0</v>
      </c>
      <c r="H90" s="1862">
        <v>0</v>
      </c>
      <c r="I90" s="1862">
        <f>Tabla1[[#This Row],[Extraccion
Norte II]]+Tabla1[[#This Row],[Extraccion
ENO]]</f>
        <v>23010.706818962928</v>
      </c>
      <c r="J90" s="1862">
        <v>23010.706818962928</v>
      </c>
      <c r="K90" s="1862"/>
      <c r="L90" s="1862">
        <f t="shared" si="9"/>
        <v>-23010.706818962928</v>
      </c>
      <c r="M90" s="1862">
        <f>M89+Tabla1[[#This Row],[Desbalance
TPL]]</f>
        <v>-3914.8796971670818</v>
      </c>
    </row>
    <row r="91" spans="2:13" x14ac:dyDescent="0.25">
      <c r="B91" s="1859">
        <f t="shared" si="5"/>
        <v>2013</v>
      </c>
      <c r="C91" s="1859">
        <f t="shared" si="6"/>
        <v>10</v>
      </c>
      <c r="D91" s="1860">
        <f t="shared" si="7"/>
        <v>41550</v>
      </c>
      <c r="E91" s="1861">
        <v>41550</v>
      </c>
      <c r="F91" s="1862">
        <f t="shared" si="8"/>
        <v>0</v>
      </c>
      <c r="G91" s="1862">
        <v>34230</v>
      </c>
      <c r="H91" s="1862">
        <v>34230</v>
      </c>
      <c r="I91" s="1862">
        <f>Tabla1[[#This Row],[Extraccion
Norte II]]+Tabla1[[#This Row],[Extraccion
ENO]]</f>
        <v>26510.585884233045</v>
      </c>
      <c r="J91" s="1862">
        <v>26510.585884233045</v>
      </c>
      <c r="K91" s="1862"/>
      <c r="L91" s="1862">
        <f t="shared" si="9"/>
        <v>7719.4141157669546</v>
      </c>
      <c r="M91" s="1862">
        <f>M90+Tabla1[[#This Row],[Desbalance
TPL]]</f>
        <v>3804.5344185998729</v>
      </c>
    </row>
    <row r="92" spans="2:13" x14ac:dyDescent="0.25">
      <c r="B92" s="1859">
        <f t="shared" ref="B92:B155" si="10">YEAR(E92)</f>
        <v>2013</v>
      </c>
      <c r="C92" s="1859">
        <f t="shared" ref="C92:C155" si="11">MONTH(E92)</f>
        <v>10</v>
      </c>
      <c r="D92" s="1860">
        <f t="shared" ref="D92:D155" si="12">E92</f>
        <v>41551</v>
      </c>
      <c r="E92" s="1861">
        <v>41551</v>
      </c>
      <c r="F92" s="1862">
        <f t="shared" si="8"/>
        <v>0</v>
      </c>
      <c r="G92" s="1862">
        <v>34230</v>
      </c>
      <c r="H92" s="1862">
        <v>34230</v>
      </c>
      <c r="I92" s="1862">
        <f>Tabla1[[#This Row],[Extraccion
Norte II]]+Tabla1[[#This Row],[Extraccion
ENO]]</f>
        <v>23320.234338037179</v>
      </c>
      <c r="J92" s="1862">
        <v>23320.234338037179</v>
      </c>
      <c r="K92" s="1862"/>
      <c r="L92" s="1862">
        <f t="shared" si="9"/>
        <v>10909.765661962821</v>
      </c>
      <c r="M92" s="1862">
        <f>M91+Tabla1[[#This Row],[Desbalance
TPL]]</f>
        <v>14714.300080562694</v>
      </c>
    </row>
    <row r="93" spans="2:13" x14ac:dyDescent="0.25">
      <c r="B93" s="1859">
        <f t="shared" si="10"/>
        <v>2013</v>
      </c>
      <c r="C93" s="1859">
        <f t="shared" si="11"/>
        <v>10</v>
      </c>
      <c r="D93" s="1860">
        <f t="shared" si="12"/>
        <v>41552</v>
      </c>
      <c r="E93" s="1861">
        <v>41552</v>
      </c>
      <c r="F93" s="1862">
        <f t="shared" si="8"/>
        <v>0</v>
      </c>
      <c r="G93" s="1862">
        <v>0</v>
      </c>
      <c r="H93" s="1862">
        <v>0</v>
      </c>
      <c r="I93" s="1862">
        <f>Tabla1[[#This Row],[Extraccion
Norte II]]+Tabla1[[#This Row],[Extraccion
ENO]]</f>
        <v>0</v>
      </c>
      <c r="J93" s="1862">
        <v>0</v>
      </c>
      <c r="K93" s="1862"/>
      <c r="L93" s="1862">
        <f t="shared" si="9"/>
        <v>0</v>
      </c>
      <c r="M93" s="1862">
        <f>M92+Tabla1[[#This Row],[Desbalance
TPL]]</f>
        <v>14714.300080562694</v>
      </c>
    </row>
    <row r="94" spans="2:13" x14ac:dyDescent="0.25">
      <c r="B94" s="1859">
        <f t="shared" si="10"/>
        <v>2013</v>
      </c>
      <c r="C94" s="1859">
        <f t="shared" si="11"/>
        <v>10</v>
      </c>
      <c r="D94" s="1860">
        <f t="shared" si="12"/>
        <v>41553</v>
      </c>
      <c r="E94" s="1861">
        <v>41553</v>
      </c>
      <c r="F94" s="1862">
        <f t="shared" si="8"/>
        <v>0</v>
      </c>
      <c r="G94" s="1862">
        <v>0</v>
      </c>
      <c r="H94" s="1862">
        <v>0</v>
      </c>
      <c r="I94" s="1862">
        <f>Tabla1[[#This Row],[Extraccion
Norte II]]+Tabla1[[#This Row],[Extraccion
ENO]]</f>
        <v>0</v>
      </c>
      <c r="J94" s="1862">
        <v>0</v>
      </c>
      <c r="K94" s="1862"/>
      <c r="L94" s="1862">
        <f t="shared" si="9"/>
        <v>0</v>
      </c>
      <c r="M94" s="1862">
        <f>M93+Tabla1[[#This Row],[Desbalance
TPL]]</f>
        <v>14714.300080562694</v>
      </c>
    </row>
    <row r="95" spans="2:13" x14ac:dyDescent="0.25">
      <c r="B95" s="1859">
        <f t="shared" si="10"/>
        <v>2013</v>
      </c>
      <c r="C95" s="1859">
        <f t="shared" si="11"/>
        <v>10</v>
      </c>
      <c r="D95" s="1860">
        <f t="shared" si="12"/>
        <v>41554</v>
      </c>
      <c r="E95" s="1861">
        <v>41554</v>
      </c>
      <c r="F95" s="1862">
        <f t="shared" si="8"/>
        <v>0</v>
      </c>
      <c r="G95" s="1862">
        <v>0</v>
      </c>
      <c r="H95" s="1862">
        <v>0</v>
      </c>
      <c r="I95" s="1862">
        <f>Tabla1[[#This Row],[Extraccion
Norte II]]+Tabla1[[#This Row],[Extraccion
ENO]]</f>
        <v>0</v>
      </c>
      <c r="J95" s="1862">
        <v>0</v>
      </c>
      <c r="K95" s="1862"/>
      <c r="L95" s="1862">
        <f t="shared" si="9"/>
        <v>0</v>
      </c>
      <c r="M95" s="1862">
        <f>M94+Tabla1[[#This Row],[Desbalance
TPL]]</f>
        <v>14714.300080562694</v>
      </c>
    </row>
    <row r="96" spans="2:13" x14ac:dyDescent="0.25">
      <c r="B96" s="1859">
        <f t="shared" si="10"/>
        <v>2013</v>
      </c>
      <c r="C96" s="1859">
        <f t="shared" si="11"/>
        <v>10</v>
      </c>
      <c r="D96" s="1860">
        <f t="shared" si="12"/>
        <v>41555</v>
      </c>
      <c r="E96" s="1861">
        <v>41555</v>
      </c>
      <c r="F96" s="1862">
        <f t="shared" si="8"/>
        <v>0</v>
      </c>
      <c r="G96" s="1862">
        <v>0</v>
      </c>
      <c r="H96" s="1862">
        <v>0</v>
      </c>
      <c r="I96" s="1862">
        <f>Tabla1[[#This Row],[Extraccion
Norte II]]+Tabla1[[#This Row],[Extraccion
ENO]]</f>
        <v>0</v>
      </c>
      <c r="J96" s="1862">
        <v>0</v>
      </c>
      <c r="K96" s="1862"/>
      <c r="L96" s="1862">
        <f t="shared" si="9"/>
        <v>0</v>
      </c>
      <c r="M96" s="1862">
        <f>M95+Tabla1[[#This Row],[Desbalance
TPL]]</f>
        <v>14714.300080562694</v>
      </c>
    </row>
    <row r="97" spans="2:13" x14ac:dyDescent="0.25">
      <c r="B97" s="1859">
        <f t="shared" si="10"/>
        <v>2013</v>
      </c>
      <c r="C97" s="1859">
        <f t="shared" si="11"/>
        <v>10</v>
      </c>
      <c r="D97" s="1860">
        <f t="shared" si="12"/>
        <v>41556</v>
      </c>
      <c r="E97" s="1861">
        <v>41556</v>
      </c>
      <c r="F97" s="1862">
        <f t="shared" si="8"/>
        <v>0</v>
      </c>
      <c r="G97" s="1862">
        <v>0</v>
      </c>
      <c r="H97" s="1862">
        <v>0</v>
      </c>
      <c r="I97" s="1862">
        <f>Tabla1[[#This Row],[Extraccion
Norte II]]+Tabla1[[#This Row],[Extraccion
ENO]]</f>
        <v>0</v>
      </c>
      <c r="J97" s="1862">
        <v>0</v>
      </c>
      <c r="K97" s="1862"/>
      <c r="L97" s="1862">
        <f t="shared" si="9"/>
        <v>0</v>
      </c>
      <c r="M97" s="1862">
        <f>M96+Tabla1[[#This Row],[Desbalance
TPL]]</f>
        <v>14714.300080562694</v>
      </c>
    </row>
    <row r="98" spans="2:13" x14ac:dyDescent="0.25">
      <c r="B98" s="1859">
        <f t="shared" si="10"/>
        <v>2013</v>
      </c>
      <c r="C98" s="1859">
        <f t="shared" si="11"/>
        <v>10</v>
      </c>
      <c r="D98" s="1860">
        <f t="shared" si="12"/>
        <v>41557</v>
      </c>
      <c r="E98" s="1861">
        <v>41557</v>
      </c>
      <c r="F98" s="1862">
        <f t="shared" si="8"/>
        <v>0</v>
      </c>
      <c r="G98" s="1862">
        <v>0</v>
      </c>
      <c r="H98" s="1862">
        <v>0</v>
      </c>
      <c r="I98" s="1862">
        <f>Tabla1[[#This Row],[Extraccion
Norte II]]+Tabla1[[#This Row],[Extraccion
ENO]]</f>
        <v>0</v>
      </c>
      <c r="J98" s="1862">
        <v>0</v>
      </c>
      <c r="K98" s="1862"/>
      <c r="L98" s="1862">
        <f t="shared" si="9"/>
        <v>0</v>
      </c>
      <c r="M98" s="1862">
        <f>M97+Tabla1[[#This Row],[Desbalance
TPL]]</f>
        <v>14714.300080562694</v>
      </c>
    </row>
    <row r="99" spans="2:13" x14ac:dyDescent="0.25">
      <c r="B99" s="1859">
        <f t="shared" si="10"/>
        <v>2013</v>
      </c>
      <c r="C99" s="1859">
        <f t="shared" si="11"/>
        <v>10</v>
      </c>
      <c r="D99" s="1860">
        <f t="shared" si="12"/>
        <v>41558</v>
      </c>
      <c r="E99" s="1861">
        <v>41558</v>
      </c>
      <c r="F99" s="1862">
        <f t="shared" si="8"/>
        <v>0</v>
      </c>
      <c r="G99" s="1862">
        <v>0</v>
      </c>
      <c r="H99" s="1862">
        <v>0</v>
      </c>
      <c r="I99" s="1862">
        <f>Tabla1[[#This Row],[Extraccion
Norte II]]+Tabla1[[#This Row],[Extraccion
ENO]]</f>
        <v>25710.985618694649</v>
      </c>
      <c r="J99" s="1862">
        <v>25710.985618694649</v>
      </c>
      <c r="K99" s="1862"/>
      <c r="L99" s="1862">
        <f t="shared" si="9"/>
        <v>-25710.985618694649</v>
      </c>
      <c r="M99" s="1862">
        <f>M98+Tabla1[[#This Row],[Desbalance
TPL]]</f>
        <v>-10996.685538131955</v>
      </c>
    </row>
    <row r="100" spans="2:13" x14ac:dyDescent="0.25">
      <c r="B100" s="1859">
        <f t="shared" si="10"/>
        <v>2013</v>
      </c>
      <c r="C100" s="1859">
        <f t="shared" si="11"/>
        <v>10</v>
      </c>
      <c r="D100" s="1860">
        <f t="shared" si="12"/>
        <v>41559</v>
      </c>
      <c r="E100" s="1861">
        <v>41559</v>
      </c>
      <c r="F100" s="1862">
        <f t="shared" si="8"/>
        <v>0</v>
      </c>
      <c r="G100" s="1862">
        <v>44010</v>
      </c>
      <c r="H100" s="1862">
        <v>44010</v>
      </c>
      <c r="I100" s="1862">
        <f>Tabla1[[#This Row],[Extraccion
Norte II]]+Tabla1[[#This Row],[Extraccion
ENO]]</f>
        <v>10252.766038903597</v>
      </c>
      <c r="J100" s="1862">
        <v>10252.766038903597</v>
      </c>
      <c r="K100" s="1862"/>
      <c r="L100" s="1862">
        <f t="shared" si="9"/>
        <v>33757.233961096405</v>
      </c>
      <c r="M100" s="1862">
        <f>M99+Tabla1[[#This Row],[Desbalance
TPL]]</f>
        <v>22760.54842296445</v>
      </c>
    </row>
    <row r="101" spans="2:13" x14ac:dyDescent="0.25">
      <c r="B101" s="1859">
        <f t="shared" si="10"/>
        <v>2013</v>
      </c>
      <c r="C101" s="1859">
        <f t="shared" si="11"/>
        <v>10</v>
      </c>
      <c r="D101" s="1860">
        <f t="shared" si="12"/>
        <v>41560</v>
      </c>
      <c r="E101" s="1861">
        <v>41560</v>
      </c>
      <c r="F101" s="1862">
        <f t="shared" si="8"/>
        <v>0</v>
      </c>
      <c r="G101" s="1862">
        <v>19560</v>
      </c>
      <c r="H101" s="1862">
        <v>19560</v>
      </c>
      <c r="I101" s="1862">
        <f>Tabla1[[#This Row],[Extraccion
Norte II]]+Tabla1[[#This Row],[Extraccion
ENO]]</f>
        <v>23440.636240514297</v>
      </c>
      <c r="J101" s="1862">
        <v>23440.636240514297</v>
      </c>
      <c r="K101" s="1862"/>
      <c r="L101" s="1862">
        <f t="shared" si="9"/>
        <v>-3880.6362405142972</v>
      </c>
      <c r="M101" s="1862">
        <f>M100+Tabla1[[#This Row],[Desbalance
TPL]]</f>
        <v>18879.912182450153</v>
      </c>
    </row>
    <row r="102" spans="2:13" x14ac:dyDescent="0.25">
      <c r="B102" s="1859">
        <f t="shared" si="10"/>
        <v>2013</v>
      </c>
      <c r="C102" s="1859">
        <f t="shared" si="11"/>
        <v>10</v>
      </c>
      <c r="D102" s="1860">
        <f t="shared" si="12"/>
        <v>41561</v>
      </c>
      <c r="E102" s="1861">
        <v>41561</v>
      </c>
      <c r="F102" s="1862">
        <f t="shared" si="8"/>
        <v>0</v>
      </c>
      <c r="G102" s="1862">
        <v>0</v>
      </c>
      <c r="H102" s="1862">
        <v>0</v>
      </c>
      <c r="I102" s="1862">
        <f>Tabla1[[#This Row],[Extraccion
Norte II]]+Tabla1[[#This Row],[Extraccion
ENO]]</f>
        <v>15.037116705000001</v>
      </c>
      <c r="J102" s="1862">
        <v>15.037116705000001</v>
      </c>
      <c r="K102" s="1862"/>
      <c r="L102" s="1862">
        <f t="shared" si="9"/>
        <v>-15.037116705000001</v>
      </c>
      <c r="M102" s="1862">
        <f>M101+Tabla1[[#This Row],[Desbalance
TPL]]</f>
        <v>18864.875065745153</v>
      </c>
    </row>
    <row r="103" spans="2:13" x14ac:dyDescent="0.25">
      <c r="B103" s="1859">
        <f t="shared" si="10"/>
        <v>2013</v>
      </c>
      <c r="C103" s="1859">
        <f t="shared" si="11"/>
        <v>10</v>
      </c>
      <c r="D103" s="1860">
        <f t="shared" si="12"/>
        <v>41562</v>
      </c>
      <c r="E103" s="1861">
        <v>41562</v>
      </c>
      <c r="F103" s="1862">
        <f t="shared" si="8"/>
        <v>0</v>
      </c>
      <c r="G103" s="1862">
        <v>0</v>
      </c>
      <c r="H103" s="1862">
        <v>0</v>
      </c>
      <c r="I103" s="1862">
        <f>Tabla1[[#This Row],[Extraccion
Norte II]]+Tabla1[[#This Row],[Extraccion
ENO]]</f>
        <v>8195.5718172910547</v>
      </c>
      <c r="J103" s="1862">
        <v>8195.5718172910547</v>
      </c>
      <c r="K103" s="1862"/>
      <c r="L103" s="1862">
        <f t="shared" si="9"/>
        <v>-8195.5718172910547</v>
      </c>
      <c r="M103" s="1862">
        <f>M102+Tabla1[[#This Row],[Desbalance
TPL]]</f>
        <v>10669.303248454098</v>
      </c>
    </row>
    <row r="104" spans="2:13" x14ac:dyDescent="0.25">
      <c r="B104" s="1859">
        <f t="shared" si="10"/>
        <v>2013</v>
      </c>
      <c r="C104" s="1859">
        <f t="shared" si="11"/>
        <v>10</v>
      </c>
      <c r="D104" s="1860">
        <f t="shared" si="12"/>
        <v>41563</v>
      </c>
      <c r="E104" s="1861">
        <v>41563</v>
      </c>
      <c r="F104" s="1862">
        <f t="shared" si="8"/>
        <v>0</v>
      </c>
      <c r="G104" s="1862">
        <v>0</v>
      </c>
      <c r="H104" s="1862">
        <v>0</v>
      </c>
      <c r="I104" s="1862">
        <f>Tabla1[[#This Row],[Extraccion
Norte II]]+Tabla1[[#This Row],[Extraccion
ENO]]</f>
        <v>11228.904625038398</v>
      </c>
      <c r="J104" s="1862">
        <v>11228.904625038398</v>
      </c>
      <c r="K104" s="1862"/>
      <c r="L104" s="1862">
        <f t="shared" si="9"/>
        <v>-11228.904625038398</v>
      </c>
      <c r="M104" s="1862">
        <f>M103+Tabla1[[#This Row],[Desbalance
TPL]]</f>
        <v>-559.60137658429994</v>
      </c>
    </row>
    <row r="105" spans="2:13" x14ac:dyDescent="0.25">
      <c r="B105" s="1859">
        <f t="shared" si="10"/>
        <v>2013</v>
      </c>
      <c r="C105" s="1859">
        <f t="shared" si="11"/>
        <v>10</v>
      </c>
      <c r="D105" s="1860">
        <f t="shared" si="12"/>
        <v>41564</v>
      </c>
      <c r="E105" s="1861">
        <v>41564</v>
      </c>
      <c r="F105" s="1862">
        <f t="shared" si="8"/>
        <v>0</v>
      </c>
      <c r="G105" s="1862">
        <v>0</v>
      </c>
      <c r="H105" s="1862">
        <v>0</v>
      </c>
      <c r="I105" s="1862">
        <f>Tabla1[[#This Row],[Extraccion
Norte II]]+Tabla1[[#This Row],[Extraccion
ENO]]</f>
        <v>0</v>
      </c>
      <c r="J105" s="1862">
        <v>0</v>
      </c>
      <c r="K105" s="1862"/>
      <c r="L105" s="1862">
        <f t="shared" si="9"/>
        <v>0</v>
      </c>
      <c r="M105" s="1862">
        <f>M104+Tabla1[[#This Row],[Desbalance
TPL]]</f>
        <v>-559.60137658429994</v>
      </c>
    </row>
    <row r="106" spans="2:13" x14ac:dyDescent="0.25">
      <c r="B106" s="1859">
        <f t="shared" si="10"/>
        <v>2013</v>
      </c>
      <c r="C106" s="1859">
        <f t="shared" si="11"/>
        <v>10</v>
      </c>
      <c r="D106" s="1860">
        <f t="shared" si="12"/>
        <v>41565</v>
      </c>
      <c r="E106" s="1861">
        <v>41565</v>
      </c>
      <c r="F106" s="1862">
        <f t="shared" si="8"/>
        <v>0</v>
      </c>
      <c r="G106" s="1862">
        <v>0</v>
      </c>
      <c r="H106" s="1862">
        <v>0</v>
      </c>
      <c r="I106" s="1862">
        <f>Tabla1[[#This Row],[Extraccion
Norte II]]+Tabla1[[#This Row],[Extraccion
ENO]]</f>
        <v>0</v>
      </c>
      <c r="J106" s="1862">
        <v>0</v>
      </c>
      <c r="K106" s="1862"/>
      <c r="L106" s="1862">
        <f t="shared" si="9"/>
        <v>0</v>
      </c>
      <c r="M106" s="1862">
        <f>M105+Tabla1[[#This Row],[Desbalance
TPL]]</f>
        <v>-559.60137658429994</v>
      </c>
    </row>
    <row r="107" spans="2:13" x14ac:dyDescent="0.25">
      <c r="B107" s="1859">
        <f t="shared" si="10"/>
        <v>2013</v>
      </c>
      <c r="C107" s="1859">
        <f t="shared" si="11"/>
        <v>10</v>
      </c>
      <c r="D107" s="1860">
        <f t="shared" si="12"/>
        <v>41566</v>
      </c>
      <c r="E107" s="1861">
        <v>41566</v>
      </c>
      <c r="F107" s="1862">
        <f t="shared" si="8"/>
        <v>0</v>
      </c>
      <c r="G107" s="1862">
        <v>0</v>
      </c>
      <c r="H107" s="1862">
        <v>0</v>
      </c>
      <c r="I107" s="1862">
        <f>Tabla1[[#This Row],[Extraccion
Norte II]]+Tabla1[[#This Row],[Extraccion
ENO]]</f>
        <v>0</v>
      </c>
      <c r="J107" s="1862">
        <v>0</v>
      </c>
      <c r="K107" s="1862"/>
      <c r="L107" s="1862">
        <f t="shared" si="9"/>
        <v>0</v>
      </c>
      <c r="M107" s="1862">
        <f>M106+Tabla1[[#This Row],[Desbalance
TPL]]</f>
        <v>-559.60137658429994</v>
      </c>
    </row>
    <row r="108" spans="2:13" x14ac:dyDescent="0.25">
      <c r="B108" s="1859">
        <f t="shared" si="10"/>
        <v>2013</v>
      </c>
      <c r="C108" s="1859">
        <f t="shared" si="11"/>
        <v>10</v>
      </c>
      <c r="D108" s="1860">
        <f t="shared" si="12"/>
        <v>41567</v>
      </c>
      <c r="E108" s="1861">
        <v>41567</v>
      </c>
      <c r="F108" s="1862">
        <f t="shared" si="8"/>
        <v>0</v>
      </c>
      <c r="G108" s="1862">
        <v>0</v>
      </c>
      <c r="H108" s="1862">
        <v>0</v>
      </c>
      <c r="I108" s="1862">
        <f>Tabla1[[#This Row],[Extraccion
Norte II]]+Tabla1[[#This Row],[Extraccion
ENO]]</f>
        <v>11617.38349083</v>
      </c>
      <c r="J108" s="1862">
        <v>11617.38349083</v>
      </c>
      <c r="K108" s="1862"/>
      <c r="L108" s="1862">
        <f t="shared" si="9"/>
        <v>-11617.38349083</v>
      </c>
      <c r="M108" s="1862">
        <f>M107+Tabla1[[#This Row],[Desbalance
TPL]]</f>
        <v>-12176.9848674143</v>
      </c>
    </row>
    <row r="109" spans="2:13" x14ac:dyDescent="0.25">
      <c r="B109" s="1859">
        <f t="shared" si="10"/>
        <v>2013</v>
      </c>
      <c r="C109" s="1859">
        <f t="shared" si="11"/>
        <v>10</v>
      </c>
      <c r="D109" s="1860">
        <f t="shared" si="12"/>
        <v>41568</v>
      </c>
      <c r="E109" s="1861">
        <v>41568</v>
      </c>
      <c r="F109" s="1862">
        <f t="shared" si="8"/>
        <v>0</v>
      </c>
      <c r="G109" s="1862">
        <v>0</v>
      </c>
      <c r="H109" s="1862">
        <v>0</v>
      </c>
      <c r="I109" s="1862">
        <f>Tabla1[[#This Row],[Extraccion
Norte II]]+Tabla1[[#This Row],[Extraccion
ENO]]</f>
        <v>56880.522809476242</v>
      </c>
      <c r="J109" s="1862">
        <v>56880.522809476242</v>
      </c>
      <c r="K109" s="1862"/>
      <c r="L109" s="1862">
        <f t="shared" si="9"/>
        <v>-56880.522809476242</v>
      </c>
      <c r="M109" s="1862">
        <f>M108+Tabla1[[#This Row],[Desbalance
TPL]]</f>
        <v>-69057.507676890542</v>
      </c>
    </row>
    <row r="110" spans="2:13" x14ac:dyDescent="0.25">
      <c r="B110" s="1859">
        <f t="shared" si="10"/>
        <v>2013</v>
      </c>
      <c r="C110" s="1859">
        <f t="shared" si="11"/>
        <v>10</v>
      </c>
      <c r="D110" s="1860">
        <f t="shared" si="12"/>
        <v>41569</v>
      </c>
      <c r="E110" s="1861">
        <v>41569</v>
      </c>
      <c r="F110" s="1862">
        <f t="shared" si="8"/>
        <v>0</v>
      </c>
      <c r="G110" s="1862">
        <v>88020</v>
      </c>
      <c r="H110" s="1862">
        <v>88020</v>
      </c>
      <c r="I110" s="1862">
        <f>Tabla1[[#This Row],[Extraccion
Norte II]]+Tabla1[[#This Row],[Extraccion
ENO]]</f>
        <v>72615.711371696991</v>
      </c>
      <c r="J110" s="1862">
        <v>72615.711371696991</v>
      </c>
      <c r="K110" s="1862"/>
      <c r="L110" s="1862">
        <f t="shared" si="9"/>
        <v>15404.288628303009</v>
      </c>
      <c r="M110" s="1862">
        <f>M109+Tabla1[[#This Row],[Desbalance
TPL]]</f>
        <v>-53653.219048587533</v>
      </c>
    </row>
    <row r="111" spans="2:13" x14ac:dyDescent="0.25">
      <c r="B111" s="1859">
        <f t="shared" si="10"/>
        <v>2013</v>
      </c>
      <c r="C111" s="1859">
        <f t="shared" si="11"/>
        <v>10</v>
      </c>
      <c r="D111" s="1860">
        <f t="shared" si="12"/>
        <v>41570</v>
      </c>
      <c r="E111" s="1861">
        <v>41570</v>
      </c>
      <c r="F111" s="1862">
        <f t="shared" si="8"/>
        <v>0</v>
      </c>
      <c r="G111" s="1862">
        <v>87333</v>
      </c>
      <c r="H111" s="1862">
        <v>87333</v>
      </c>
      <c r="I111" s="1862">
        <f>Tabla1[[#This Row],[Extraccion
Norte II]]+Tabla1[[#This Row],[Extraccion
ENO]]</f>
        <v>72523.864400317543</v>
      </c>
      <c r="J111" s="1862">
        <v>72523.864400317543</v>
      </c>
      <c r="K111" s="1862"/>
      <c r="L111" s="1862">
        <f t="shared" si="9"/>
        <v>14809.135599682457</v>
      </c>
      <c r="M111" s="1862">
        <f>M110+Tabla1[[#This Row],[Desbalance
TPL]]</f>
        <v>-38844.083448905076</v>
      </c>
    </row>
    <row r="112" spans="2:13" x14ac:dyDescent="0.25">
      <c r="B112" s="1859">
        <f t="shared" si="10"/>
        <v>2013</v>
      </c>
      <c r="C112" s="1859">
        <f t="shared" si="11"/>
        <v>10</v>
      </c>
      <c r="D112" s="1860">
        <f t="shared" si="12"/>
        <v>41571</v>
      </c>
      <c r="E112" s="1861">
        <v>41571</v>
      </c>
      <c r="F112" s="1862">
        <f t="shared" si="8"/>
        <v>0</v>
      </c>
      <c r="G112" s="1862">
        <v>86607</v>
      </c>
      <c r="H112" s="1862">
        <v>86607</v>
      </c>
      <c r="I112" s="1862">
        <f>Tabla1[[#This Row],[Extraccion
Norte II]]+Tabla1[[#This Row],[Extraccion
ENO]]</f>
        <v>72670.361552100003</v>
      </c>
      <c r="J112" s="1862">
        <v>72670.361552100003</v>
      </c>
      <c r="K112" s="1862"/>
      <c r="L112" s="1862">
        <f t="shared" si="9"/>
        <v>13936.638447899997</v>
      </c>
      <c r="M112" s="1862">
        <f>M111+Tabla1[[#This Row],[Desbalance
TPL]]</f>
        <v>-24907.445001005079</v>
      </c>
    </row>
    <row r="113" spans="2:13" x14ac:dyDescent="0.25">
      <c r="B113" s="1859">
        <f t="shared" si="10"/>
        <v>2013</v>
      </c>
      <c r="C113" s="1859">
        <f t="shared" si="11"/>
        <v>10</v>
      </c>
      <c r="D113" s="1860">
        <f t="shared" si="12"/>
        <v>41572</v>
      </c>
      <c r="E113" s="1861">
        <v>41572</v>
      </c>
      <c r="F113" s="1862">
        <f t="shared" si="8"/>
        <v>0</v>
      </c>
      <c r="G113" s="1862">
        <v>81174</v>
      </c>
      <c r="H113" s="1862">
        <v>81174</v>
      </c>
      <c r="I113" s="1862">
        <f>Tabla1[[#This Row],[Extraccion
Norte II]]+Tabla1[[#This Row],[Extraccion
ENO]]</f>
        <v>72597.99822164778</v>
      </c>
      <c r="J113" s="1862">
        <v>72597.99822164778</v>
      </c>
      <c r="K113" s="1862"/>
      <c r="L113" s="1862">
        <f t="shared" si="9"/>
        <v>8576.0017783522198</v>
      </c>
      <c r="M113" s="1862">
        <f>M112+Tabla1[[#This Row],[Desbalance
TPL]]</f>
        <v>-16331.443222652859</v>
      </c>
    </row>
    <row r="114" spans="2:13" x14ac:dyDescent="0.25">
      <c r="B114" s="1859">
        <f t="shared" si="10"/>
        <v>2013</v>
      </c>
      <c r="C114" s="1859">
        <f t="shared" si="11"/>
        <v>10</v>
      </c>
      <c r="D114" s="1860">
        <f t="shared" si="12"/>
        <v>41573</v>
      </c>
      <c r="E114" s="1861">
        <v>41573</v>
      </c>
      <c r="F114" s="1862">
        <f t="shared" si="8"/>
        <v>0</v>
      </c>
      <c r="G114" s="1862">
        <v>71394</v>
      </c>
      <c r="H114" s="1862">
        <v>71394</v>
      </c>
      <c r="I114" s="1862">
        <f>Tabla1[[#This Row],[Extraccion
Norte II]]+Tabla1[[#This Row],[Extraccion
ENO]]</f>
        <v>72565.58963818301</v>
      </c>
      <c r="J114" s="1862">
        <v>72565.58963818301</v>
      </c>
      <c r="K114" s="1862"/>
      <c r="L114" s="1862">
        <f t="shared" si="9"/>
        <v>-1171.5896381830098</v>
      </c>
      <c r="M114" s="1862">
        <f>M113+Tabla1[[#This Row],[Desbalance
TPL]]</f>
        <v>-17503.032860835869</v>
      </c>
    </row>
    <row r="115" spans="2:13" x14ac:dyDescent="0.25">
      <c r="B115" s="1859">
        <f t="shared" si="10"/>
        <v>2013</v>
      </c>
      <c r="C115" s="1859">
        <f t="shared" si="11"/>
        <v>10</v>
      </c>
      <c r="D115" s="1860">
        <f t="shared" si="12"/>
        <v>41574</v>
      </c>
      <c r="E115" s="1861">
        <v>41574</v>
      </c>
      <c r="F115" s="1862">
        <f t="shared" si="8"/>
        <v>0</v>
      </c>
      <c r="G115" s="1862">
        <v>0</v>
      </c>
      <c r="H115" s="1862">
        <v>0</v>
      </c>
      <c r="I115" s="1862">
        <f>Tabla1[[#This Row],[Extraccion
Norte II]]+Tabla1[[#This Row],[Extraccion
ENO]]</f>
        <v>10512.017439291811</v>
      </c>
      <c r="J115" s="1862">
        <v>10512.017439291811</v>
      </c>
      <c r="K115" s="1862"/>
      <c r="L115" s="1862">
        <f t="shared" si="9"/>
        <v>-10512.017439291811</v>
      </c>
      <c r="M115" s="1862">
        <f>M114+Tabla1[[#This Row],[Desbalance
TPL]]</f>
        <v>-28015.050300127681</v>
      </c>
    </row>
    <row r="116" spans="2:13" x14ac:dyDescent="0.25">
      <c r="B116" s="1859">
        <f t="shared" si="10"/>
        <v>2013</v>
      </c>
      <c r="C116" s="1859">
        <f t="shared" si="11"/>
        <v>10</v>
      </c>
      <c r="D116" s="1860">
        <f t="shared" si="12"/>
        <v>41575</v>
      </c>
      <c r="E116" s="1861">
        <v>41575</v>
      </c>
      <c r="F116" s="1862">
        <f t="shared" si="8"/>
        <v>0</v>
      </c>
      <c r="G116" s="1862">
        <v>34230</v>
      </c>
      <c r="H116" s="1862">
        <v>34230</v>
      </c>
      <c r="I116" s="1862">
        <f>Tabla1[[#This Row],[Extraccion
Norte II]]+Tabla1[[#This Row],[Extraccion
ENO]]</f>
        <v>271.90404742328099</v>
      </c>
      <c r="J116" s="1862">
        <v>271.90404742328099</v>
      </c>
      <c r="K116" s="1862"/>
      <c r="L116" s="1862">
        <f t="shared" si="9"/>
        <v>33958.095952576718</v>
      </c>
      <c r="M116" s="1862">
        <f>M115+Tabla1[[#This Row],[Desbalance
TPL]]</f>
        <v>5943.0456524490364</v>
      </c>
    </row>
    <row r="117" spans="2:13" x14ac:dyDescent="0.25">
      <c r="B117" s="1859">
        <f t="shared" si="10"/>
        <v>2013</v>
      </c>
      <c r="C117" s="1859">
        <f t="shared" si="11"/>
        <v>10</v>
      </c>
      <c r="D117" s="1860">
        <f t="shared" si="12"/>
        <v>41576</v>
      </c>
      <c r="E117" s="1861">
        <v>41576</v>
      </c>
      <c r="F117" s="1862">
        <f t="shared" si="8"/>
        <v>0</v>
      </c>
      <c r="G117" s="1862">
        <v>14670</v>
      </c>
      <c r="H117" s="1862">
        <v>14670</v>
      </c>
      <c r="I117" s="1862">
        <f>Tabla1[[#This Row],[Extraccion
Norte II]]+Tabla1[[#This Row],[Extraccion
ENO]]</f>
        <v>56859.154607895012</v>
      </c>
      <c r="J117" s="1862">
        <v>56859.154607895012</v>
      </c>
      <c r="K117" s="1862"/>
      <c r="L117" s="1862">
        <f t="shared" si="9"/>
        <v>-42189.154607895012</v>
      </c>
      <c r="M117" s="1862">
        <f>M116+Tabla1[[#This Row],[Desbalance
TPL]]</f>
        <v>-36246.108955445976</v>
      </c>
    </row>
    <row r="118" spans="2:13" x14ac:dyDescent="0.25">
      <c r="B118" s="1859">
        <f t="shared" si="10"/>
        <v>2013</v>
      </c>
      <c r="C118" s="1859">
        <f t="shared" si="11"/>
        <v>10</v>
      </c>
      <c r="D118" s="1860">
        <f t="shared" si="12"/>
        <v>41577</v>
      </c>
      <c r="E118" s="1861">
        <v>41577</v>
      </c>
      <c r="F118" s="1862">
        <f t="shared" si="8"/>
        <v>0</v>
      </c>
      <c r="G118" s="1862">
        <v>36186</v>
      </c>
      <c r="H118" s="1862">
        <v>36186</v>
      </c>
      <c r="I118" s="1862">
        <f>Tabla1[[#This Row],[Extraccion
Norte II]]+Tabla1[[#This Row],[Extraccion
ENO]]</f>
        <v>16901.918884305349</v>
      </c>
      <c r="J118" s="1862">
        <v>16901.918884305349</v>
      </c>
      <c r="K118" s="1862"/>
      <c r="L118" s="1862">
        <f t="shared" si="9"/>
        <v>19284.081115694651</v>
      </c>
      <c r="M118" s="1862">
        <f>M117+Tabla1[[#This Row],[Desbalance
TPL]]</f>
        <v>-16962.027839751325</v>
      </c>
    </row>
    <row r="119" spans="2:13" x14ac:dyDescent="0.25">
      <c r="B119" s="1859">
        <f t="shared" si="10"/>
        <v>2013</v>
      </c>
      <c r="C119" s="1859">
        <f t="shared" si="11"/>
        <v>10</v>
      </c>
      <c r="D119" s="1860">
        <f t="shared" si="12"/>
        <v>41578</v>
      </c>
      <c r="E119" s="1861">
        <v>41578</v>
      </c>
      <c r="F119" s="1862">
        <f t="shared" si="8"/>
        <v>0</v>
      </c>
      <c r="G119" s="1862">
        <v>0</v>
      </c>
      <c r="H119" s="1862">
        <v>0</v>
      </c>
      <c r="I119" s="1862">
        <f>Tabla1[[#This Row],[Extraccion
Norte II]]+Tabla1[[#This Row],[Extraccion
ENO]]</f>
        <v>0</v>
      </c>
      <c r="J119" s="1862">
        <v>0</v>
      </c>
      <c r="K119" s="1862"/>
      <c r="L119" s="1862">
        <f t="shared" si="9"/>
        <v>0</v>
      </c>
      <c r="M119" s="1862">
        <f>M118+Tabla1[[#This Row],[Desbalance
TPL]]</f>
        <v>-16962.027839751325</v>
      </c>
    </row>
    <row r="120" spans="2:13" x14ac:dyDescent="0.25">
      <c r="B120" s="1859">
        <f t="shared" si="10"/>
        <v>2013</v>
      </c>
      <c r="C120" s="1859">
        <f t="shared" si="11"/>
        <v>11</v>
      </c>
      <c r="D120" s="1860">
        <f t="shared" si="12"/>
        <v>41579</v>
      </c>
      <c r="E120" s="1861">
        <v>41579</v>
      </c>
      <c r="F120" s="1862">
        <f t="shared" si="8"/>
        <v>0</v>
      </c>
      <c r="G120" s="1862">
        <v>19560</v>
      </c>
      <c r="H120" s="1862">
        <v>19560</v>
      </c>
      <c r="I120" s="1862">
        <f>Tabla1[[#This Row],[Extraccion
Norte II]]+Tabla1[[#This Row],[Extraccion
ENO]]</f>
        <v>0</v>
      </c>
      <c r="J120" s="1862">
        <v>0</v>
      </c>
      <c r="K120" s="1862"/>
      <c r="L120" s="1862">
        <f t="shared" si="9"/>
        <v>19560</v>
      </c>
      <c r="M120" s="1862">
        <f>M119+Tabla1[[#This Row],[Desbalance
TPL]]</f>
        <v>2597.9721602486752</v>
      </c>
    </row>
    <row r="121" spans="2:13" x14ac:dyDescent="0.25">
      <c r="B121" s="1859">
        <f t="shared" si="10"/>
        <v>2013</v>
      </c>
      <c r="C121" s="1859">
        <f t="shared" si="11"/>
        <v>11</v>
      </c>
      <c r="D121" s="1860">
        <f t="shared" si="12"/>
        <v>41580</v>
      </c>
      <c r="E121" s="1861">
        <v>41580</v>
      </c>
      <c r="F121" s="1862">
        <f t="shared" si="8"/>
        <v>0</v>
      </c>
      <c r="G121" s="1862">
        <v>0</v>
      </c>
      <c r="H121" s="1862">
        <v>0</v>
      </c>
      <c r="I121" s="1862">
        <f>Tabla1[[#This Row],[Extraccion
Norte II]]+Tabla1[[#This Row],[Extraccion
ENO]]</f>
        <v>0</v>
      </c>
      <c r="J121" s="1862">
        <v>0</v>
      </c>
      <c r="K121" s="1862"/>
      <c r="L121" s="1862">
        <f t="shared" si="9"/>
        <v>0</v>
      </c>
      <c r="M121" s="1862">
        <f>M120+Tabla1[[#This Row],[Desbalance
TPL]]</f>
        <v>2597.9721602486752</v>
      </c>
    </row>
    <row r="122" spans="2:13" x14ac:dyDescent="0.25">
      <c r="B122" s="1859">
        <f t="shared" si="10"/>
        <v>2013</v>
      </c>
      <c r="C122" s="1859">
        <f t="shared" si="11"/>
        <v>11</v>
      </c>
      <c r="D122" s="1860">
        <f t="shared" si="12"/>
        <v>41581</v>
      </c>
      <c r="E122" s="1861">
        <v>41581</v>
      </c>
      <c r="F122" s="1862">
        <f t="shared" si="8"/>
        <v>0</v>
      </c>
      <c r="G122" s="1862">
        <v>0</v>
      </c>
      <c r="H122" s="1862">
        <v>0</v>
      </c>
      <c r="I122" s="1862">
        <f>Tabla1[[#This Row],[Extraccion
Norte II]]+Tabla1[[#This Row],[Extraccion
ENO]]</f>
        <v>0</v>
      </c>
      <c r="J122" s="1862">
        <v>0</v>
      </c>
      <c r="K122" s="1862"/>
      <c r="L122" s="1862">
        <f t="shared" si="9"/>
        <v>0</v>
      </c>
      <c r="M122" s="1862">
        <f>M121+Tabla1[[#This Row],[Desbalance
TPL]]</f>
        <v>2597.9721602486752</v>
      </c>
    </row>
    <row r="123" spans="2:13" x14ac:dyDescent="0.25">
      <c r="B123" s="1859">
        <f t="shared" si="10"/>
        <v>2013</v>
      </c>
      <c r="C123" s="1859">
        <f t="shared" si="11"/>
        <v>11</v>
      </c>
      <c r="D123" s="1860">
        <f t="shared" si="12"/>
        <v>41582</v>
      </c>
      <c r="E123" s="1861">
        <v>41582</v>
      </c>
      <c r="F123" s="1862">
        <f t="shared" si="8"/>
        <v>0</v>
      </c>
      <c r="G123" s="1862">
        <v>0</v>
      </c>
      <c r="H123" s="1862">
        <v>0</v>
      </c>
      <c r="I123" s="1862">
        <f>Tabla1[[#This Row],[Extraccion
Norte II]]+Tabla1[[#This Row],[Extraccion
ENO]]</f>
        <v>0</v>
      </c>
      <c r="J123" s="1862">
        <v>0</v>
      </c>
      <c r="K123" s="1862"/>
      <c r="L123" s="1862">
        <f t="shared" si="9"/>
        <v>0</v>
      </c>
      <c r="M123" s="1862">
        <f>M122+Tabla1[[#This Row],[Desbalance
TPL]]</f>
        <v>2597.9721602486752</v>
      </c>
    </row>
    <row r="124" spans="2:13" x14ac:dyDescent="0.25">
      <c r="B124" s="1859">
        <f t="shared" si="10"/>
        <v>2013</v>
      </c>
      <c r="C124" s="1859">
        <f t="shared" si="11"/>
        <v>11</v>
      </c>
      <c r="D124" s="1860">
        <f t="shared" si="12"/>
        <v>41583</v>
      </c>
      <c r="E124" s="1861">
        <v>41583</v>
      </c>
      <c r="F124" s="1862">
        <f t="shared" si="8"/>
        <v>0</v>
      </c>
      <c r="G124" s="1862">
        <v>19560</v>
      </c>
      <c r="H124" s="1862">
        <v>19560</v>
      </c>
      <c r="I124" s="1862">
        <f>Tabla1[[#This Row],[Extraccion
Norte II]]+Tabla1[[#This Row],[Extraccion
ENO]]</f>
        <v>3754.023530985</v>
      </c>
      <c r="J124" s="1862">
        <v>3754.023530985</v>
      </c>
      <c r="K124" s="1862"/>
      <c r="L124" s="1862">
        <f t="shared" si="9"/>
        <v>15805.976469015</v>
      </c>
      <c r="M124" s="1862">
        <f>M123+Tabla1[[#This Row],[Desbalance
TPL]]</f>
        <v>18403.948629263676</v>
      </c>
    </row>
    <row r="125" spans="2:13" x14ac:dyDescent="0.25">
      <c r="B125" s="1859">
        <f t="shared" si="10"/>
        <v>2013</v>
      </c>
      <c r="C125" s="1859">
        <f t="shared" si="11"/>
        <v>11</v>
      </c>
      <c r="D125" s="1860">
        <f t="shared" si="12"/>
        <v>41584</v>
      </c>
      <c r="E125" s="1861">
        <v>41584</v>
      </c>
      <c r="F125" s="1862">
        <f t="shared" si="8"/>
        <v>0</v>
      </c>
      <c r="G125" s="1862">
        <v>0</v>
      </c>
      <c r="H125" s="1862">
        <v>0</v>
      </c>
      <c r="I125" s="1862">
        <f>Tabla1[[#This Row],[Extraccion
Norte II]]+Tabla1[[#This Row],[Extraccion
ENO]]</f>
        <v>0</v>
      </c>
      <c r="J125" s="1862">
        <v>0</v>
      </c>
      <c r="K125" s="1862"/>
      <c r="L125" s="1862">
        <f t="shared" si="9"/>
        <v>0</v>
      </c>
      <c r="M125" s="1862">
        <f>M124+Tabla1[[#This Row],[Desbalance
TPL]]</f>
        <v>18403.948629263676</v>
      </c>
    </row>
    <row r="126" spans="2:13" x14ac:dyDescent="0.25">
      <c r="B126" s="1859">
        <f t="shared" si="10"/>
        <v>2013</v>
      </c>
      <c r="C126" s="1859">
        <f t="shared" si="11"/>
        <v>11</v>
      </c>
      <c r="D126" s="1860">
        <f t="shared" si="12"/>
        <v>41585</v>
      </c>
      <c r="E126" s="1861">
        <v>41585</v>
      </c>
      <c r="F126" s="1862">
        <f t="shared" si="8"/>
        <v>0</v>
      </c>
      <c r="G126" s="1862">
        <v>0</v>
      </c>
      <c r="H126" s="1862">
        <v>0</v>
      </c>
      <c r="I126" s="1862">
        <f>Tabla1[[#This Row],[Extraccion
Norte II]]+Tabla1[[#This Row],[Extraccion
ENO]]</f>
        <v>0</v>
      </c>
      <c r="J126" s="1862">
        <v>0</v>
      </c>
      <c r="K126" s="1862"/>
      <c r="L126" s="1862">
        <f t="shared" si="9"/>
        <v>0</v>
      </c>
      <c r="M126" s="1862">
        <f>M125+Tabla1[[#This Row],[Desbalance
TPL]]</f>
        <v>18403.948629263676</v>
      </c>
    </row>
    <row r="127" spans="2:13" x14ac:dyDescent="0.25">
      <c r="B127" s="1859">
        <f t="shared" si="10"/>
        <v>2013</v>
      </c>
      <c r="C127" s="1859">
        <f t="shared" si="11"/>
        <v>11</v>
      </c>
      <c r="D127" s="1860">
        <f t="shared" si="12"/>
        <v>41586</v>
      </c>
      <c r="E127" s="1861">
        <v>41586</v>
      </c>
      <c r="F127" s="1862">
        <f t="shared" si="8"/>
        <v>0</v>
      </c>
      <c r="G127" s="1862">
        <v>0</v>
      </c>
      <c r="H127" s="1862">
        <v>0</v>
      </c>
      <c r="I127" s="1862">
        <f>Tabla1[[#This Row],[Extraccion
Norte II]]+Tabla1[[#This Row],[Extraccion
ENO]]</f>
        <v>0</v>
      </c>
      <c r="J127" s="1862">
        <v>0</v>
      </c>
      <c r="K127" s="1862"/>
      <c r="L127" s="1862">
        <f t="shared" si="9"/>
        <v>0</v>
      </c>
      <c r="M127" s="1862">
        <f>M126+Tabla1[[#This Row],[Desbalance
TPL]]</f>
        <v>18403.948629263676</v>
      </c>
    </row>
    <row r="128" spans="2:13" x14ac:dyDescent="0.25">
      <c r="B128" s="1859">
        <f t="shared" si="10"/>
        <v>2013</v>
      </c>
      <c r="C128" s="1859">
        <f t="shared" si="11"/>
        <v>11</v>
      </c>
      <c r="D128" s="1860">
        <f t="shared" si="12"/>
        <v>41587</v>
      </c>
      <c r="E128" s="1861">
        <v>41587</v>
      </c>
      <c r="F128" s="1862">
        <f t="shared" si="8"/>
        <v>0</v>
      </c>
      <c r="G128" s="1862">
        <v>0</v>
      </c>
      <c r="H128" s="1862">
        <v>0</v>
      </c>
      <c r="I128" s="1862">
        <f>Tabla1[[#This Row],[Extraccion
Norte II]]+Tabla1[[#This Row],[Extraccion
ENO]]</f>
        <v>0</v>
      </c>
      <c r="J128" s="1862">
        <v>0</v>
      </c>
      <c r="K128" s="1862"/>
      <c r="L128" s="1862">
        <f t="shared" si="9"/>
        <v>0</v>
      </c>
      <c r="M128" s="1862">
        <f>M127+Tabla1[[#This Row],[Desbalance
TPL]]</f>
        <v>18403.948629263676</v>
      </c>
    </row>
    <row r="129" spans="2:13" x14ac:dyDescent="0.25">
      <c r="B129" s="1859">
        <f t="shared" si="10"/>
        <v>2013</v>
      </c>
      <c r="C129" s="1859">
        <f t="shared" si="11"/>
        <v>11</v>
      </c>
      <c r="D129" s="1860">
        <f t="shared" si="12"/>
        <v>41588</v>
      </c>
      <c r="E129" s="1861">
        <v>41588</v>
      </c>
      <c r="F129" s="1862">
        <f t="shared" si="8"/>
        <v>0</v>
      </c>
      <c r="G129" s="1862">
        <v>0</v>
      </c>
      <c r="H129" s="1862">
        <v>0</v>
      </c>
      <c r="I129" s="1862">
        <f>Tabla1[[#This Row],[Extraccion
Norte II]]+Tabla1[[#This Row],[Extraccion
ENO]]</f>
        <v>0</v>
      </c>
      <c r="J129" s="1862">
        <v>0</v>
      </c>
      <c r="K129" s="1862"/>
      <c r="L129" s="1862">
        <f t="shared" si="9"/>
        <v>0</v>
      </c>
      <c r="M129" s="1862">
        <f>M128+Tabla1[[#This Row],[Desbalance
TPL]]</f>
        <v>18403.948629263676</v>
      </c>
    </row>
    <row r="130" spans="2:13" x14ac:dyDescent="0.25">
      <c r="B130" s="1859">
        <f t="shared" si="10"/>
        <v>2013</v>
      </c>
      <c r="C130" s="1859">
        <f t="shared" si="11"/>
        <v>11</v>
      </c>
      <c r="D130" s="1860">
        <f t="shared" si="12"/>
        <v>41589</v>
      </c>
      <c r="E130" s="1861">
        <v>41589</v>
      </c>
      <c r="F130" s="1862">
        <f t="shared" si="8"/>
        <v>0</v>
      </c>
      <c r="G130" s="1862">
        <v>5379</v>
      </c>
      <c r="H130" s="1862">
        <v>5379</v>
      </c>
      <c r="I130" s="1862">
        <f>Tabla1[[#This Row],[Extraccion
Norte II]]+Tabla1[[#This Row],[Extraccion
ENO]]</f>
        <v>3967.0965838530001</v>
      </c>
      <c r="J130" s="1862">
        <v>3967.0965838530001</v>
      </c>
      <c r="K130" s="1862"/>
      <c r="L130" s="1862">
        <f t="shared" si="9"/>
        <v>1411.9034161469999</v>
      </c>
      <c r="M130" s="1862">
        <f>M129+Tabla1[[#This Row],[Desbalance
TPL]]</f>
        <v>19815.852045410677</v>
      </c>
    </row>
    <row r="131" spans="2:13" x14ac:dyDescent="0.25">
      <c r="B131" s="1859">
        <f t="shared" si="10"/>
        <v>2013</v>
      </c>
      <c r="C131" s="1859">
        <f t="shared" si="11"/>
        <v>11</v>
      </c>
      <c r="D131" s="1860">
        <f t="shared" si="12"/>
        <v>41590</v>
      </c>
      <c r="E131" s="1861">
        <v>41590</v>
      </c>
      <c r="F131" s="1862">
        <f t="shared" si="8"/>
        <v>0</v>
      </c>
      <c r="G131" s="1862">
        <v>0</v>
      </c>
      <c r="H131" s="1862">
        <v>0</v>
      </c>
      <c r="I131" s="1862">
        <f>Tabla1[[#This Row],[Extraccion
Norte II]]+Tabla1[[#This Row],[Extraccion
ENO]]</f>
        <v>0</v>
      </c>
      <c r="J131" s="1862">
        <v>0</v>
      </c>
      <c r="K131" s="1862"/>
      <c r="L131" s="1862">
        <f t="shared" si="9"/>
        <v>0</v>
      </c>
      <c r="M131" s="1862">
        <f>M130+Tabla1[[#This Row],[Desbalance
TPL]]</f>
        <v>19815.852045410677</v>
      </c>
    </row>
    <row r="132" spans="2:13" x14ac:dyDescent="0.25">
      <c r="B132" s="1859">
        <f t="shared" si="10"/>
        <v>2013</v>
      </c>
      <c r="C132" s="1859">
        <f t="shared" si="11"/>
        <v>11</v>
      </c>
      <c r="D132" s="1860">
        <f t="shared" si="12"/>
        <v>41591</v>
      </c>
      <c r="E132" s="1861">
        <v>41591</v>
      </c>
      <c r="F132" s="1862">
        <f t="shared" si="8"/>
        <v>0</v>
      </c>
      <c r="G132" s="1862">
        <v>0</v>
      </c>
      <c r="H132" s="1862">
        <v>0</v>
      </c>
      <c r="I132" s="1862">
        <f>Tabla1[[#This Row],[Extraccion
Norte II]]+Tabla1[[#This Row],[Extraccion
ENO]]</f>
        <v>0</v>
      </c>
      <c r="J132" s="1862">
        <v>0</v>
      </c>
      <c r="K132" s="1862"/>
      <c r="L132" s="1862">
        <f t="shared" si="9"/>
        <v>0</v>
      </c>
      <c r="M132" s="1862">
        <f>M131+Tabla1[[#This Row],[Desbalance
TPL]]</f>
        <v>19815.852045410677</v>
      </c>
    </row>
    <row r="133" spans="2:13" x14ac:dyDescent="0.25">
      <c r="B133" s="1859">
        <f t="shared" si="10"/>
        <v>2013</v>
      </c>
      <c r="C133" s="1859">
        <f t="shared" si="11"/>
        <v>11</v>
      </c>
      <c r="D133" s="1860">
        <f t="shared" si="12"/>
        <v>41592</v>
      </c>
      <c r="E133" s="1861">
        <v>41592</v>
      </c>
      <c r="F133" s="1862">
        <f t="shared" si="8"/>
        <v>0</v>
      </c>
      <c r="G133" s="1862">
        <v>0</v>
      </c>
      <c r="H133" s="1862">
        <v>0</v>
      </c>
      <c r="I133" s="1862">
        <f>Tabla1[[#This Row],[Extraccion
Norte II]]+Tabla1[[#This Row],[Extraccion
ENO]]</f>
        <v>0</v>
      </c>
      <c r="J133" s="1862">
        <v>0</v>
      </c>
      <c r="K133" s="1862"/>
      <c r="L133" s="1862">
        <f t="shared" si="9"/>
        <v>0</v>
      </c>
      <c r="M133" s="1862">
        <f>M132+Tabla1[[#This Row],[Desbalance
TPL]]</f>
        <v>19815.852045410677</v>
      </c>
    </row>
    <row r="134" spans="2:13" x14ac:dyDescent="0.25">
      <c r="B134" s="1859">
        <f t="shared" si="10"/>
        <v>2013</v>
      </c>
      <c r="C134" s="1859">
        <f t="shared" si="11"/>
        <v>11</v>
      </c>
      <c r="D134" s="1860">
        <f t="shared" si="12"/>
        <v>41593</v>
      </c>
      <c r="E134" s="1861">
        <v>41593</v>
      </c>
      <c r="F134" s="1862">
        <f t="shared" si="8"/>
        <v>0</v>
      </c>
      <c r="G134" s="1862">
        <v>0</v>
      </c>
      <c r="H134" s="1862">
        <v>0</v>
      </c>
      <c r="I134" s="1862">
        <f>Tabla1[[#This Row],[Extraccion
Norte II]]+Tabla1[[#This Row],[Extraccion
ENO]]</f>
        <v>5.5447294500000002</v>
      </c>
      <c r="J134" s="1862">
        <v>5.5447294500000002</v>
      </c>
      <c r="K134" s="1862"/>
      <c r="L134" s="1862">
        <f t="shared" si="9"/>
        <v>-5.5447294500000002</v>
      </c>
      <c r="M134" s="1862">
        <f>M133+Tabla1[[#This Row],[Desbalance
TPL]]</f>
        <v>19810.307315960676</v>
      </c>
    </row>
    <row r="135" spans="2:13" x14ac:dyDescent="0.25">
      <c r="B135" s="1859">
        <f t="shared" si="10"/>
        <v>2013</v>
      </c>
      <c r="C135" s="1859">
        <f t="shared" si="11"/>
        <v>11</v>
      </c>
      <c r="D135" s="1860">
        <f t="shared" si="12"/>
        <v>41594</v>
      </c>
      <c r="E135" s="1861">
        <v>41594</v>
      </c>
      <c r="F135" s="1862">
        <f t="shared" si="8"/>
        <v>0</v>
      </c>
      <c r="G135" s="1862">
        <v>0</v>
      </c>
      <c r="H135" s="1862">
        <v>0</v>
      </c>
      <c r="I135" s="1862">
        <f>Tabla1[[#This Row],[Extraccion
Norte II]]+Tabla1[[#This Row],[Extraccion
ENO]]</f>
        <v>0</v>
      </c>
      <c r="J135" s="1862">
        <v>0</v>
      </c>
      <c r="K135" s="1862"/>
      <c r="L135" s="1862">
        <f t="shared" si="9"/>
        <v>0</v>
      </c>
      <c r="M135" s="1862">
        <f>M134+Tabla1[[#This Row],[Desbalance
TPL]]</f>
        <v>19810.307315960676</v>
      </c>
    </row>
    <row r="136" spans="2:13" x14ac:dyDescent="0.25">
      <c r="B136" s="1859">
        <f t="shared" si="10"/>
        <v>2013</v>
      </c>
      <c r="C136" s="1859">
        <f t="shared" si="11"/>
        <v>11</v>
      </c>
      <c r="D136" s="1860">
        <f t="shared" si="12"/>
        <v>41595</v>
      </c>
      <c r="E136" s="1861">
        <v>41595</v>
      </c>
      <c r="F136" s="1862">
        <f t="shared" si="8"/>
        <v>0</v>
      </c>
      <c r="G136" s="1862">
        <v>0</v>
      </c>
      <c r="H136" s="1862">
        <v>0</v>
      </c>
      <c r="I136" s="1862">
        <f>Tabla1[[#This Row],[Extraccion
Norte II]]+Tabla1[[#This Row],[Extraccion
ENO]]</f>
        <v>0</v>
      </c>
      <c r="J136" s="1862">
        <v>0</v>
      </c>
      <c r="K136" s="1862"/>
      <c r="L136" s="1862">
        <f t="shared" si="9"/>
        <v>0</v>
      </c>
      <c r="M136" s="1862">
        <f>M135+Tabla1[[#This Row],[Desbalance
TPL]]</f>
        <v>19810.307315960676</v>
      </c>
    </row>
    <row r="137" spans="2:13" x14ac:dyDescent="0.25">
      <c r="B137" s="1859">
        <f t="shared" si="10"/>
        <v>2013</v>
      </c>
      <c r="C137" s="1859">
        <f t="shared" si="11"/>
        <v>11</v>
      </c>
      <c r="D137" s="1860">
        <f t="shared" si="12"/>
        <v>41596</v>
      </c>
      <c r="E137" s="1861">
        <v>41596</v>
      </c>
      <c r="F137" s="1862">
        <f t="shared" si="8"/>
        <v>0</v>
      </c>
      <c r="G137" s="1862">
        <v>0</v>
      </c>
      <c r="H137" s="1862">
        <v>0</v>
      </c>
      <c r="I137" s="1862">
        <f>Tabla1[[#This Row],[Extraccion
Norte II]]+Tabla1[[#This Row],[Extraccion
ENO]]</f>
        <v>0</v>
      </c>
      <c r="J137" s="1862">
        <v>0</v>
      </c>
      <c r="K137" s="1862"/>
      <c r="L137" s="1862">
        <f t="shared" si="9"/>
        <v>0</v>
      </c>
      <c r="M137" s="1862">
        <f>M136+Tabla1[[#This Row],[Desbalance
TPL]]</f>
        <v>19810.307315960676</v>
      </c>
    </row>
    <row r="138" spans="2:13" x14ac:dyDescent="0.25">
      <c r="B138" s="1859">
        <f t="shared" si="10"/>
        <v>2013</v>
      </c>
      <c r="C138" s="1859">
        <f t="shared" si="11"/>
        <v>11</v>
      </c>
      <c r="D138" s="1860">
        <f t="shared" si="12"/>
        <v>41597</v>
      </c>
      <c r="E138" s="1861">
        <v>41597</v>
      </c>
      <c r="F138" s="1862">
        <f t="shared" si="8"/>
        <v>0</v>
      </c>
      <c r="G138" s="1862">
        <v>0</v>
      </c>
      <c r="H138" s="1862">
        <v>0</v>
      </c>
      <c r="I138" s="1862">
        <f>Tabla1[[#This Row],[Extraccion
Norte II]]+Tabla1[[#This Row],[Extraccion
ENO]]</f>
        <v>0</v>
      </c>
      <c r="J138" s="1862">
        <v>0</v>
      </c>
      <c r="K138" s="1862"/>
      <c r="L138" s="1862">
        <f t="shared" si="9"/>
        <v>0</v>
      </c>
      <c r="M138" s="1862">
        <f>M137+Tabla1[[#This Row],[Desbalance
TPL]]</f>
        <v>19810.307315960676</v>
      </c>
    </row>
    <row r="139" spans="2:13" x14ac:dyDescent="0.25">
      <c r="B139" s="1859">
        <f t="shared" si="10"/>
        <v>2013</v>
      </c>
      <c r="C139" s="1859">
        <f t="shared" si="11"/>
        <v>11</v>
      </c>
      <c r="D139" s="1860">
        <f t="shared" si="12"/>
        <v>41598</v>
      </c>
      <c r="E139" s="1861">
        <v>41598</v>
      </c>
      <c r="F139" s="1862">
        <f t="shared" si="8"/>
        <v>0</v>
      </c>
      <c r="G139" s="1862">
        <v>0</v>
      </c>
      <c r="H139" s="1862">
        <v>0</v>
      </c>
      <c r="I139" s="1862">
        <f>Tabla1[[#This Row],[Extraccion
Norte II]]+Tabla1[[#This Row],[Extraccion
ENO]]</f>
        <v>15.056073045</v>
      </c>
      <c r="J139" s="1862">
        <v>15.056073045</v>
      </c>
      <c r="K139" s="1862"/>
      <c r="L139" s="1862">
        <f t="shared" si="9"/>
        <v>-15.056073045</v>
      </c>
      <c r="M139" s="1862">
        <f>M138+Tabla1[[#This Row],[Desbalance
TPL]]</f>
        <v>19795.251242915674</v>
      </c>
    </row>
    <row r="140" spans="2:13" x14ac:dyDescent="0.25">
      <c r="B140" s="1859">
        <f t="shared" si="10"/>
        <v>2013</v>
      </c>
      <c r="C140" s="1859">
        <f t="shared" si="11"/>
        <v>11</v>
      </c>
      <c r="D140" s="1860">
        <f t="shared" si="12"/>
        <v>41599</v>
      </c>
      <c r="E140" s="1861">
        <v>41599</v>
      </c>
      <c r="F140" s="1862">
        <f t="shared" ref="F140:F203" si="13">G140-H140</f>
        <v>0</v>
      </c>
      <c r="G140" s="1862">
        <v>0</v>
      </c>
      <c r="H140" s="1862">
        <v>0</v>
      </c>
      <c r="I140" s="1862">
        <f>Tabla1[[#This Row],[Extraccion
Norte II]]+Tabla1[[#This Row],[Extraccion
ENO]]</f>
        <v>2.0652932429999997</v>
      </c>
      <c r="J140" s="1862">
        <v>2.0652932429999997</v>
      </c>
      <c r="K140" s="1862"/>
      <c r="L140" s="1862">
        <f t="shared" ref="L140:L203" si="14">H140-I140</f>
        <v>-2.0652932429999997</v>
      </c>
      <c r="M140" s="1862">
        <f>M139+Tabla1[[#This Row],[Desbalance
TPL]]</f>
        <v>19793.185949672676</v>
      </c>
    </row>
    <row r="141" spans="2:13" x14ac:dyDescent="0.25">
      <c r="B141" s="1859">
        <f t="shared" si="10"/>
        <v>2013</v>
      </c>
      <c r="C141" s="1859">
        <f t="shared" si="11"/>
        <v>11</v>
      </c>
      <c r="D141" s="1860">
        <f t="shared" si="12"/>
        <v>41600</v>
      </c>
      <c r="E141" s="1861">
        <v>41600</v>
      </c>
      <c r="F141" s="1862">
        <f t="shared" si="13"/>
        <v>0</v>
      </c>
      <c r="G141" s="1862">
        <v>0</v>
      </c>
      <c r="H141" s="1862">
        <v>0</v>
      </c>
      <c r="I141" s="1862">
        <f>Tabla1[[#This Row],[Extraccion
Norte II]]+Tabla1[[#This Row],[Extraccion
ENO]]</f>
        <v>0</v>
      </c>
      <c r="J141" s="1862">
        <v>0</v>
      </c>
      <c r="K141" s="1862"/>
      <c r="L141" s="1862">
        <f t="shared" si="14"/>
        <v>0</v>
      </c>
      <c r="M141" s="1862">
        <f>M140+Tabla1[[#This Row],[Desbalance
TPL]]</f>
        <v>19793.185949672676</v>
      </c>
    </row>
    <row r="142" spans="2:13" x14ac:dyDescent="0.25">
      <c r="B142" s="1859">
        <f t="shared" si="10"/>
        <v>2013</v>
      </c>
      <c r="C142" s="1859">
        <f t="shared" si="11"/>
        <v>11</v>
      </c>
      <c r="D142" s="1860">
        <f t="shared" si="12"/>
        <v>41601</v>
      </c>
      <c r="E142" s="1861">
        <v>41601</v>
      </c>
      <c r="F142" s="1862">
        <f t="shared" si="13"/>
        <v>0</v>
      </c>
      <c r="G142" s="1862">
        <v>0</v>
      </c>
      <c r="H142" s="1862">
        <v>0</v>
      </c>
      <c r="I142" s="1862">
        <f>Tabla1[[#This Row],[Extraccion
Norte II]]+Tabla1[[#This Row],[Extraccion
ENO]]</f>
        <v>0</v>
      </c>
      <c r="J142" s="1862">
        <v>0</v>
      </c>
      <c r="K142" s="1862"/>
      <c r="L142" s="1862">
        <f t="shared" si="14"/>
        <v>0</v>
      </c>
      <c r="M142" s="1862">
        <f>M141+Tabla1[[#This Row],[Desbalance
TPL]]</f>
        <v>19793.185949672676</v>
      </c>
    </row>
    <row r="143" spans="2:13" x14ac:dyDescent="0.25">
      <c r="B143" s="1859">
        <f t="shared" si="10"/>
        <v>2013</v>
      </c>
      <c r="C143" s="1859">
        <f t="shared" si="11"/>
        <v>11</v>
      </c>
      <c r="D143" s="1860">
        <f t="shared" si="12"/>
        <v>41602</v>
      </c>
      <c r="E143" s="1861">
        <v>41602</v>
      </c>
      <c r="F143" s="1862">
        <f t="shared" si="13"/>
        <v>0</v>
      </c>
      <c r="G143" s="1862">
        <v>0</v>
      </c>
      <c r="H143" s="1862">
        <v>0</v>
      </c>
      <c r="I143" s="1862">
        <f>Tabla1[[#This Row],[Extraccion
Norte II]]+Tabla1[[#This Row],[Extraccion
ENO]]</f>
        <v>18125.49309597</v>
      </c>
      <c r="J143" s="1862">
        <v>18125.49309597</v>
      </c>
      <c r="K143" s="1862"/>
      <c r="L143" s="1862">
        <f t="shared" si="14"/>
        <v>-18125.49309597</v>
      </c>
      <c r="M143" s="1862">
        <f>M142+Tabla1[[#This Row],[Desbalance
TPL]]</f>
        <v>1667.6928537026761</v>
      </c>
    </row>
    <row r="144" spans="2:13" x14ac:dyDescent="0.25">
      <c r="B144" s="1859">
        <f t="shared" si="10"/>
        <v>2013</v>
      </c>
      <c r="C144" s="1859">
        <f t="shared" si="11"/>
        <v>11</v>
      </c>
      <c r="D144" s="1860">
        <f t="shared" si="12"/>
        <v>41603</v>
      </c>
      <c r="E144" s="1861">
        <v>41603</v>
      </c>
      <c r="F144" s="1862">
        <f t="shared" si="13"/>
        <v>0</v>
      </c>
      <c r="G144" s="1862">
        <v>69971</v>
      </c>
      <c r="H144" s="1862">
        <v>69971</v>
      </c>
      <c r="I144" s="1862">
        <f>Tabla1[[#This Row],[Extraccion
Norte II]]+Tabla1[[#This Row],[Extraccion
ENO]]</f>
        <v>66840.073816244141</v>
      </c>
      <c r="J144" s="1862">
        <v>66840.073816244141</v>
      </c>
      <c r="K144" s="1862"/>
      <c r="L144" s="1862">
        <f t="shared" si="14"/>
        <v>3130.9261837558588</v>
      </c>
      <c r="M144" s="1862">
        <f>M143+Tabla1[[#This Row],[Desbalance
TPL]]</f>
        <v>4798.6190374585349</v>
      </c>
    </row>
    <row r="145" spans="2:13" x14ac:dyDescent="0.25">
      <c r="B145" s="1859">
        <f t="shared" si="10"/>
        <v>2013</v>
      </c>
      <c r="C145" s="1859">
        <f t="shared" si="11"/>
        <v>11</v>
      </c>
      <c r="D145" s="1860">
        <f t="shared" si="12"/>
        <v>41604</v>
      </c>
      <c r="E145" s="1861">
        <v>41604</v>
      </c>
      <c r="F145" s="1862">
        <f t="shared" si="13"/>
        <v>0</v>
      </c>
      <c r="G145" s="1862">
        <v>38142</v>
      </c>
      <c r="H145" s="1862">
        <v>38142</v>
      </c>
      <c r="I145" s="1862">
        <f>Tabla1[[#This Row],[Extraccion
Norte II]]+Tabla1[[#This Row],[Extraccion
ENO]]</f>
        <v>26550.905693364002</v>
      </c>
      <c r="J145" s="1862">
        <v>26550.905693364002</v>
      </c>
      <c r="K145" s="1862"/>
      <c r="L145" s="1862">
        <f t="shared" si="14"/>
        <v>11591.094306635998</v>
      </c>
      <c r="M145" s="1862">
        <f>M144+Tabla1[[#This Row],[Desbalance
TPL]]</f>
        <v>16389.713344094533</v>
      </c>
    </row>
    <row r="146" spans="2:13" x14ac:dyDescent="0.25">
      <c r="B146" s="1859">
        <f t="shared" si="10"/>
        <v>2013</v>
      </c>
      <c r="C146" s="1859">
        <f t="shared" si="11"/>
        <v>11</v>
      </c>
      <c r="D146" s="1860">
        <f t="shared" si="12"/>
        <v>41605</v>
      </c>
      <c r="E146" s="1861">
        <v>41605</v>
      </c>
      <c r="F146" s="1862">
        <f t="shared" si="13"/>
        <v>0</v>
      </c>
      <c r="G146" s="1862">
        <v>53790</v>
      </c>
      <c r="H146" s="1862">
        <v>53790</v>
      </c>
      <c r="I146" s="1862">
        <f>Tabla1[[#This Row],[Extraccion
Norte II]]+Tabla1[[#This Row],[Extraccion
ENO]]</f>
        <v>27915.196326615001</v>
      </c>
      <c r="J146" s="1862">
        <v>27915.196326615001</v>
      </c>
      <c r="K146" s="1862"/>
      <c r="L146" s="1862">
        <f t="shared" si="14"/>
        <v>25874.803673384999</v>
      </c>
      <c r="M146" s="1862">
        <f>M145+Tabla1[[#This Row],[Desbalance
TPL]]</f>
        <v>42264.517017479535</v>
      </c>
    </row>
    <row r="147" spans="2:13" x14ac:dyDescent="0.25">
      <c r="B147" s="1859">
        <f t="shared" si="10"/>
        <v>2013</v>
      </c>
      <c r="C147" s="1859">
        <f t="shared" si="11"/>
        <v>11</v>
      </c>
      <c r="D147" s="1860">
        <f t="shared" si="12"/>
        <v>41606</v>
      </c>
      <c r="E147" s="1861">
        <v>41606</v>
      </c>
      <c r="F147" s="1862">
        <f t="shared" si="13"/>
        <v>0</v>
      </c>
      <c r="G147" s="1862">
        <v>0</v>
      </c>
      <c r="H147" s="1862">
        <v>0</v>
      </c>
      <c r="I147" s="1862">
        <f>Tabla1[[#This Row],[Extraccion
Norte II]]+Tabla1[[#This Row],[Extraccion
ENO]]</f>
        <v>54640.779006176999</v>
      </c>
      <c r="J147" s="1862">
        <v>54640.779006176999</v>
      </c>
      <c r="K147" s="1862"/>
      <c r="L147" s="1862">
        <f t="shared" si="14"/>
        <v>-54640.779006176999</v>
      </c>
      <c r="M147" s="1862">
        <f>M146+Tabla1[[#This Row],[Desbalance
TPL]]</f>
        <v>-12376.261988697464</v>
      </c>
    </row>
    <row r="148" spans="2:13" x14ac:dyDescent="0.25">
      <c r="B148" s="1859">
        <f t="shared" si="10"/>
        <v>2013</v>
      </c>
      <c r="C148" s="1859">
        <f t="shared" si="11"/>
        <v>11</v>
      </c>
      <c r="D148" s="1860">
        <f t="shared" si="12"/>
        <v>41607</v>
      </c>
      <c r="E148" s="1861">
        <v>41607</v>
      </c>
      <c r="F148" s="1862">
        <f t="shared" si="13"/>
        <v>0</v>
      </c>
      <c r="G148" s="1862">
        <v>22212</v>
      </c>
      <c r="H148" s="1862">
        <v>22212</v>
      </c>
      <c r="I148" s="1862">
        <f>Tabla1[[#This Row],[Extraccion
Norte II]]+Tabla1[[#This Row],[Extraccion
ENO]]</f>
        <v>37222.033238792996</v>
      </c>
      <c r="J148" s="1862">
        <v>37222.033238792996</v>
      </c>
      <c r="K148" s="1862"/>
      <c r="L148" s="1862">
        <f t="shared" si="14"/>
        <v>-15010.033238792996</v>
      </c>
      <c r="M148" s="1862">
        <f>M147+Tabla1[[#This Row],[Desbalance
TPL]]</f>
        <v>-27386.29522749046</v>
      </c>
    </row>
    <row r="149" spans="2:13" x14ac:dyDescent="0.25">
      <c r="B149" s="1859">
        <f t="shared" si="10"/>
        <v>2013</v>
      </c>
      <c r="C149" s="1859">
        <f t="shared" si="11"/>
        <v>11</v>
      </c>
      <c r="D149" s="1860">
        <f t="shared" si="12"/>
        <v>41608</v>
      </c>
      <c r="E149" s="1861">
        <v>41608</v>
      </c>
      <c r="F149" s="1862">
        <f t="shared" si="13"/>
        <v>0</v>
      </c>
      <c r="G149" s="1862">
        <v>88020</v>
      </c>
      <c r="H149" s="1862">
        <v>88020</v>
      </c>
      <c r="I149" s="1862">
        <f>Tabla1[[#This Row],[Extraccion
Norte II]]+Tabla1[[#This Row],[Extraccion
ENO]]</f>
        <v>65505.770197335005</v>
      </c>
      <c r="J149" s="1862">
        <v>65505.770197335005</v>
      </c>
      <c r="K149" s="1862"/>
      <c r="L149" s="1862">
        <f t="shared" si="14"/>
        <v>22514.229802664995</v>
      </c>
      <c r="M149" s="1862">
        <f>M148+Tabla1[[#This Row],[Desbalance
TPL]]</f>
        <v>-4872.065424825465</v>
      </c>
    </row>
    <row r="150" spans="2:13" x14ac:dyDescent="0.25">
      <c r="B150" s="1859">
        <f t="shared" si="10"/>
        <v>2013</v>
      </c>
      <c r="C150" s="1859">
        <f t="shared" si="11"/>
        <v>12</v>
      </c>
      <c r="D150" s="1860">
        <f t="shared" si="12"/>
        <v>41609</v>
      </c>
      <c r="E150" s="1861">
        <v>41609</v>
      </c>
      <c r="F150" s="1862">
        <f t="shared" si="13"/>
        <v>0</v>
      </c>
      <c r="G150" s="1862">
        <v>83129</v>
      </c>
      <c r="H150" s="1862">
        <v>83129</v>
      </c>
      <c r="I150" s="1862">
        <f>Tabla1[[#This Row],[Extraccion
Norte II]]+Tabla1[[#This Row],[Extraccion
ENO]]</f>
        <v>64329.331206582006</v>
      </c>
      <c r="J150" s="1862">
        <v>64329.331206582006</v>
      </c>
      <c r="K150" s="1862"/>
      <c r="L150" s="1862">
        <f t="shared" si="14"/>
        <v>18799.668793417994</v>
      </c>
      <c r="M150" s="1862">
        <f>M149+Tabla1[[#This Row],[Desbalance
TPL]]</f>
        <v>13927.603368592529</v>
      </c>
    </row>
    <row r="151" spans="2:13" x14ac:dyDescent="0.25">
      <c r="B151" s="1859">
        <f t="shared" si="10"/>
        <v>2013</v>
      </c>
      <c r="C151" s="1859">
        <f t="shared" si="11"/>
        <v>12</v>
      </c>
      <c r="D151" s="1860">
        <f t="shared" si="12"/>
        <v>41610</v>
      </c>
      <c r="E151" s="1861">
        <v>41610</v>
      </c>
      <c r="F151" s="1862">
        <f t="shared" si="13"/>
        <v>0</v>
      </c>
      <c r="G151" s="1862">
        <v>73398</v>
      </c>
      <c r="H151" s="1862">
        <v>73398</v>
      </c>
      <c r="I151" s="1862">
        <f>Tabla1[[#This Row],[Extraccion
Norte II]]+Tabla1[[#This Row],[Extraccion
ENO]]</f>
        <v>70042.843168856998</v>
      </c>
      <c r="J151" s="1862">
        <v>70042.843168856998</v>
      </c>
      <c r="K151" s="1862"/>
      <c r="L151" s="1862">
        <f t="shared" si="14"/>
        <v>3355.1568311430019</v>
      </c>
      <c r="M151" s="1862">
        <f>M150+Tabla1[[#This Row],[Desbalance
TPL]]</f>
        <v>17282.76019973553</v>
      </c>
    </row>
    <row r="152" spans="2:13" x14ac:dyDescent="0.25">
      <c r="B152" s="1859">
        <f t="shared" si="10"/>
        <v>2013</v>
      </c>
      <c r="C152" s="1859">
        <f t="shared" si="11"/>
        <v>12</v>
      </c>
      <c r="D152" s="1860">
        <f t="shared" si="12"/>
        <v>41611</v>
      </c>
      <c r="E152" s="1861">
        <v>41611</v>
      </c>
      <c r="F152" s="1862">
        <f t="shared" si="13"/>
        <v>0</v>
      </c>
      <c r="G152" s="1862">
        <v>77642</v>
      </c>
      <c r="H152" s="1862">
        <v>77642</v>
      </c>
      <c r="I152" s="1862">
        <f>Tabla1[[#This Row],[Extraccion
Norte II]]+Tabla1[[#This Row],[Extraccion
ENO]]</f>
        <v>72130.896374651609</v>
      </c>
      <c r="J152" s="1862">
        <v>72130.896374651609</v>
      </c>
      <c r="K152" s="1862"/>
      <c r="L152" s="1862">
        <f t="shared" si="14"/>
        <v>5511.1036253483908</v>
      </c>
      <c r="M152" s="1862">
        <f>M151+Tabla1[[#This Row],[Desbalance
TPL]]</f>
        <v>22793.863825083921</v>
      </c>
    </row>
    <row r="153" spans="2:13" x14ac:dyDescent="0.25">
      <c r="B153" s="1859">
        <f t="shared" si="10"/>
        <v>2013</v>
      </c>
      <c r="C153" s="1859">
        <f t="shared" si="11"/>
        <v>12</v>
      </c>
      <c r="D153" s="1860">
        <f t="shared" si="12"/>
        <v>41612</v>
      </c>
      <c r="E153" s="1861">
        <v>41612</v>
      </c>
      <c r="F153" s="1862">
        <f t="shared" si="13"/>
        <v>0</v>
      </c>
      <c r="G153" s="1862">
        <v>73350</v>
      </c>
      <c r="H153" s="1862">
        <v>73350</v>
      </c>
      <c r="I153" s="1862">
        <f>Tabla1[[#This Row],[Extraccion
Norte II]]+Tabla1[[#This Row],[Extraccion
ENO]]</f>
        <v>73625.737680811348</v>
      </c>
      <c r="J153" s="1862">
        <v>73625.737680811348</v>
      </c>
      <c r="K153" s="1862"/>
      <c r="L153" s="1862">
        <f t="shared" si="14"/>
        <v>-275.73768081134767</v>
      </c>
      <c r="M153" s="1862">
        <f>M152+Tabla1[[#This Row],[Desbalance
TPL]]</f>
        <v>22518.126144272574</v>
      </c>
    </row>
    <row r="154" spans="2:13" x14ac:dyDescent="0.25">
      <c r="B154" s="1859">
        <f t="shared" si="10"/>
        <v>2013</v>
      </c>
      <c r="C154" s="1859">
        <f t="shared" si="11"/>
        <v>12</v>
      </c>
      <c r="D154" s="1860">
        <f t="shared" si="12"/>
        <v>41613</v>
      </c>
      <c r="E154" s="1861">
        <v>41613</v>
      </c>
      <c r="F154" s="1862">
        <f t="shared" si="13"/>
        <v>0</v>
      </c>
      <c r="G154" s="1862">
        <v>67678</v>
      </c>
      <c r="H154" s="1862">
        <v>67678</v>
      </c>
      <c r="I154" s="1862">
        <f>Tabla1[[#This Row],[Extraccion
Norte II]]+Tabla1[[#This Row],[Extraccion
ENO]]</f>
        <v>76287.64526097168</v>
      </c>
      <c r="J154" s="1862">
        <v>76287.64526097168</v>
      </c>
      <c r="K154" s="1862"/>
      <c r="L154" s="1862">
        <f t="shared" si="14"/>
        <v>-8609.6452609716798</v>
      </c>
      <c r="M154" s="1862">
        <f>M153+Tabla1[[#This Row],[Desbalance
TPL]]</f>
        <v>13908.480883300894</v>
      </c>
    </row>
    <row r="155" spans="2:13" x14ac:dyDescent="0.25">
      <c r="B155" s="1859">
        <f t="shared" si="10"/>
        <v>2013</v>
      </c>
      <c r="C155" s="1859">
        <f t="shared" si="11"/>
        <v>12</v>
      </c>
      <c r="D155" s="1860">
        <f t="shared" si="12"/>
        <v>41614</v>
      </c>
      <c r="E155" s="1861">
        <v>41614</v>
      </c>
      <c r="F155" s="1862">
        <f t="shared" si="13"/>
        <v>0</v>
      </c>
      <c r="G155" s="1862">
        <v>62074</v>
      </c>
      <c r="H155" s="1862">
        <v>62074</v>
      </c>
      <c r="I155" s="1862">
        <f>Tabla1[[#This Row],[Extraccion
Norte II]]+Tabla1[[#This Row],[Extraccion
ENO]]</f>
        <v>53237.879047431008</v>
      </c>
      <c r="J155" s="1862">
        <v>53237.879047431008</v>
      </c>
      <c r="K155" s="1862"/>
      <c r="L155" s="1862">
        <f t="shared" si="14"/>
        <v>8836.1209525689919</v>
      </c>
      <c r="M155" s="1862">
        <f>M154+Tabla1[[#This Row],[Desbalance
TPL]]</f>
        <v>22744.601835869886</v>
      </c>
    </row>
    <row r="156" spans="2:13" x14ac:dyDescent="0.25">
      <c r="B156" s="1859">
        <f t="shared" ref="B156:B219" si="15">YEAR(E156)</f>
        <v>2013</v>
      </c>
      <c r="C156" s="1859">
        <f t="shared" ref="C156:C219" si="16">MONTH(E156)</f>
        <v>12</v>
      </c>
      <c r="D156" s="1860">
        <f t="shared" ref="D156:D219" si="17">E156</f>
        <v>41615</v>
      </c>
      <c r="E156" s="1861">
        <v>41615</v>
      </c>
      <c r="F156" s="1862">
        <f t="shared" si="13"/>
        <v>0</v>
      </c>
      <c r="G156" s="1862">
        <v>0</v>
      </c>
      <c r="H156" s="1862">
        <v>0</v>
      </c>
      <c r="I156" s="1862">
        <f>Tabla1[[#This Row],[Extraccion
Norte II]]+Tabla1[[#This Row],[Extraccion
ENO]]</f>
        <v>72069.188715693002</v>
      </c>
      <c r="J156" s="1862">
        <v>72069.188715693002</v>
      </c>
      <c r="K156" s="1862"/>
      <c r="L156" s="1862">
        <f t="shared" si="14"/>
        <v>-72069.188715693002</v>
      </c>
      <c r="M156" s="1862">
        <f>M155+Tabla1[[#This Row],[Desbalance
TPL]]</f>
        <v>-49324.586879823117</v>
      </c>
    </row>
    <row r="157" spans="2:13" x14ac:dyDescent="0.25">
      <c r="B157" s="1859">
        <f t="shared" si="15"/>
        <v>2013</v>
      </c>
      <c r="C157" s="1859">
        <f t="shared" si="16"/>
        <v>12</v>
      </c>
      <c r="D157" s="1860">
        <f t="shared" si="17"/>
        <v>41616</v>
      </c>
      <c r="E157" s="1861">
        <v>41616</v>
      </c>
      <c r="F157" s="1862">
        <f t="shared" si="13"/>
        <v>0</v>
      </c>
      <c r="G157" s="1862">
        <v>73350</v>
      </c>
      <c r="H157" s="1862">
        <v>73350</v>
      </c>
      <c r="I157" s="1862">
        <f>Tabla1[[#This Row],[Extraccion
Norte II]]+Tabla1[[#This Row],[Extraccion
ENO]]</f>
        <v>74342.892699738004</v>
      </c>
      <c r="J157" s="1862">
        <v>74342.892699738004</v>
      </c>
      <c r="K157" s="1862"/>
      <c r="L157" s="1862">
        <f t="shared" si="14"/>
        <v>-992.89269973800401</v>
      </c>
      <c r="M157" s="1862">
        <f>M156+Tabla1[[#This Row],[Desbalance
TPL]]</f>
        <v>-50317.479579561121</v>
      </c>
    </row>
    <row r="158" spans="2:13" x14ac:dyDescent="0.25">
      <c r="B158" s="1859">
        <f t="shared" si="15"/>
        <v>2013</v>
      </c>
      <c r="C158" s="1859">
        <f t="shared" si="16"/>
        <v>12</v>
      </c>
      <c r="D158" s="1860">
        <f t="shared" si="17"/>
        <v>41617</v>
      </c>
      <c r="E158" s="1861">
        <v>41617</v>
      </c>
      <c r="F158" s="1862">
        <f t="shared" si="13"/>
        <v>0</v>
      </c>
      <c r="G158" s="1862">
        <v>83967</v>
      </c>
      <c r="H158" s="1862">
        <v>83967</v>
      </c>
      <c r="I158" s="1862">
        <f>Tabla1[[#This Row],[Extraccion
Norte II]]+Tabla1[[#This Row],[Extraccion
ENO]]</f>
        <v>73303.402975983656</v>
      </c>
      <c r="J158" s="1862">
        <v>73303.402975983656</v>
      </c>
      <c r="K158" s="1862"/>
      <c r="L158" s="1862">
        <f t="shared" si="14"/>
        <v>10663.597024016344</v>
      </c>
      <c r="M158" s="1862">
        <f>M157+Tabla1[[#This Row],[Desbalance
TPL]]</f>
        <v>-39653.882555544777</v>
      </c>
    </row>
    <row r="159" spans="2:13" x14ac:dyDescent="0.25">
      <c r="B159" s="1859">
        <f t="shared" si="15"/>
        <v>2013</v>
      </c>
      <c r="C159" s="1859">
        <f t="shared" si="16"/>
        <v>12</v>
      </c>
      <c r="D159" s="1860">
        <f t="shared" si="17"/>
        <v>41618</v>
      </c>
      <c r="E159" s="1861">
        <v>41618</v>
      </c>
      <c r="F159" s="1862">
        <f t="shared" si="13"/>
        <v>0</v>
      </c>
      <c r="G159" s="1862">
        <v>85022</v>
      </c>
      <c r="H159" s="1862">
        <v>85022</v>
      </c>
      <c r="I159" s="1862">
        <f>Tabla1[[#This Row],[Extraccion
Norte II]]+Tabla1[[#This Row],[Extraccion
ENO]]</f>
        <v>72525.373037793004</v>
      </c>
      <c r="J159" s="1862">
        <v>72525.373037793004</v>
      </c>
      <c r="K159" s="1862"/>
      <c r="L159" s="1862">
        <f t="shared" si="14"/>
        <v>12496.626962206996</v>
      </c>
      <c r="M159" s="1862">
        <f>M158+Tabla1[[#This Row],[Desbalance
TPL]]</f>
        <v>-27157.255593337781</v>
      </c>
    </row>
    <row r="160" spans="2:13" x14ac:dyDescent="0.25">
      <c r="B160" s="1859">
        <f t="shared" si="15"/>
        <v>2013</v>
      </c>
      <c r="C160" s="1859">
        <f t="shared" si="16"/>
        <v>12</v>
      </c>
      <c r="D160" s="1860">
        <f t="shared" si="17"/>
        <v>41619</v>
      </c>
      <c r="E160" s="1861">
        <v>41619</v>
      </c>
      <c r="F160" s="1862">
        <f t="shared" si="13"/>
        <v>0</v>
      </c>
      <c r="G160" s="1862">
        <v>107614</v>
      </c>
      <c r="H160" s="1862">
        <v>107614</v>
      </c>
      <c r="I160" s="1862">
        <f>Tabla1[[#This Row],[Extraccion
Norte II]]+Tabla1[[#This Row],[Extraccion
ENO]]</f>
        <v>72386.858113596012</v>
      </c>
      <c r="J160" s="1862">
        <v>72386.858113596012</v>
      </c>
      <c r="K160" s="1862"/>
      <c r="L160" s="1862">
        <f t="shared" si="14"/>
        <v>35227.141886403988</v>
      </c>
      <c r="M160" s="1862">
        <f>M159+Tabla1[[#This Row],[Desbalance
TPL]]</f>
        <v>8069.8862930662071</v>
      </c>
    </row>
    <row r="161" spans="2:13" x14ac:dyDescent="0.25">
      <c r="B161" s="1859">
        <f t="shared" si="15"/>
        <v>2013</v>
      </c>
      <c r="C161" s="1859">
        <f t="shared" si="16"/>
        <v>12</v>
      </c>
      <c r="D161" s="1860">
        <f t="shared" si="17"/>
        <v>41620</v>
      </c>
      <c r="E161" s="1861">
        <v>41620</v>
      </c>
      <c r="F161" s="1862">
        <f t="shared" si="13"/>
        <v>0</v>
      </c>
      <c r="G161" s="1862">
        <v>91846</v>
      </c>
      <c r="H161" s="1862">
        <v>91846</v>
      </c>
      <c r="I161" s="1862">
        <f>Tabla1[[#This Row],[Extraccion
Norte II]]+Tabla1[[#This Row],[Extraccion
ENO]]</f>
        <v>72356.145999344997</v>
      </c>
      <c r="J161" s="1862">
        <v>72356.145999344997</v>
      </c>
      <c r="K161" s="1862"/>
      <c r="L161" s="1862">
        <f t="shared" si="14"/>
        <v>19489.854000655003</v>
      </c>
      <c r="M161" s="1862">
        <f>M160+Tabla1[[#This Row],[Desbalance
TPL]]</f>
        <v>27559.74029372121</v>
      </c>
    </row>
    <row r="162" spans="2:13" x14ac:dyDescent="0.25">
      <c r="B162" s="1859">
        <f t="shared" si="15"/>
        <v>2013</v>
      </c>
      <c r="C162" s="1859">
        <f t="shared" si="16"/>
        <v>12</v>
      </c>
      <c r="D162" s="1860">
        <f t="shared" si="17"/>
        <v>41621</v>
      </c>
      <c r="E162" s="1861">
        <v>41621</v>
      </c>
      <c r="F162" s="1862">
        <f t="shared" si="13"/>
        <v>0</v>
      </c>
      <c r="G162" s="1862">
        <v>80000</v>
      </c>
      <c r="H162" s="1862">
        <v>80000</v>
      </c>
      <c r="I162" s="1862">
        <f>Tabla1[[#This Row],[Extraccion
Norte II]]+Tabla1[[#This Row],[Extraccion
ENO]]</f>
        <v>72042.426154880988</v>
      </c>
      <c r="J162" s="1862">
        <v>72042.426154880988</v>
      </c>
      <c r="K162" s="1862"/>
      <c r="L162" s="1862">
        <f t="shared" si="14"/>
        <v>7957.5738451190118</v>
      </c>
      <c r="M162" s="1862">
        <f>M161+Tabla1[[#This Row],[Desbalance
TPL]]</f>
        <v>35517.314138840222</v>
      </c>
    </row>
    <row r="163" spans="2:13" x14ac:dyDescent="0.25">
      <c r="B163" s="1859">
        <f t="shared" si="15"/>
        <v>2013</v>
      </c>
      <c r="C163" s="1859">
        <f t="shared" si="16"/>
        <v>12</v>
      </c>
      <c r="D163" s="1860">
        <f t="shared" si="17"/>
        <v>41622</v>
      </c>
      <c r="E163" s="1861">
        <v>41622</v>
      </c>
      <c r="F163" s="1862">
        <f t="shared" si="13"/>
        <v>0</v>
      </c>
      <c r="G163" s="1862">
        <v>60036</v>
      </c>
      <c r="H163" s="1862">
        <v>60036</v>
      </c>
      <c r="I163" s="1862">
        <f>Tabla1[[#This Row],[Extraccion
Norte II]]+Tabla1[[#This Row],[Extraccion
ENO]]</f>
        <v>60755.421340107016</v>
      </c>
      <c r="J163" s="1862">
        <v>60755.421340107016</v>
      </c>
      <c r="K163" s="1862"/>
      <c r="L163" s="1862">
        <f t="shared" si="14"/>
        <v>-719.42134010701557</v>
      </c>
      <c r="M163" s="1862">
        <f>M162+Tabla1[[#This Row],[Desbalance
TPL]]</f>
        <v>34797.892798733206</v>
      </c>
    </row>
    <row r="164" spans="2:13" x14ac:dyDescent="0.25">
      <c r="B164" s="1859">
        <f t="shared" si="15"/>
        <v>2013</v>
      </c>
      <c r="C164" s="1859">
        <f t="shared" si="16"/>
        <v>12</v>
      </c>
      <c r="D164" s="1860">
        <f t="shared" si="17"/>
        <v>41623</v>
      </c>
      <c r="E164" s="1861">
        <v>41623</v>
      </c>
      <c r="F164" s="1862">
        <f t="shared" si="13"/>
        <v>0</v>
      </c>
      <c r="G164" s="1862">
        <v>60036</v>
      </c>
      <c r="H164" s="1862">
        <v>60036</v>
      </c>
      <c r="I164" s="1862">
        <f>Tabla1[[#This Row],[Extraccion
Norte II]]+Tabla1[[#This Row],[Extraccion
ENO]]</f>
        <v>34814.256748829997</v>
      </c>
      <c r="J164" s="1862">
        <v>34814.256748829997</v>
      </c>
      <c r="K164" s="1862"/>
      <c r="L164" s="1862">
        <f t="shared" si="14"/>
        <v>25221.743251170003</v>
      </c>
      <c r="M164" s="1862">
        <f>M163+Tabla1[[#This Row],[Desbalance
TPL]]</f>
        <v>60019.636049903209</v>
      </c>
    </row>
    <row r="165" spans="2:13" x14ac:dyDescent="0.25">
      <c r="B165" s="1859">
        <f t="shared" si="15"/>
        <v>2013</v>
      </c>
      <c r="C165" s="1859">
        <f t="shared" si="16"/>
        <v>12</v>
      </c>
      <c r="D165" s="1860">
        <f t="shared" si="17"/>
        <v>41624</v>
      </c>
      <c r="E165" s="1861">
        <v>41624</v>
      </c>
      <c r="F165" s="1862">
        <f t="shared" si="13"/>
        <v>0</v>
      </c>
      <c r="G165" s="1862">
        <v>60036</v>
      </c>
      <c r="H165" s="1862">
        <v>60036</v>
      </c>
      <c r="I165" s="1862">
        <f>Tabla1[[#This Row],[Extraccion
Norte II]]+Tabla1[[#This Row],[Extraccion
ENO]]</f>
        <v>21559.848469718949</v>
      </c>
      <c r="J165" s="1862">
        <v>21559.848469718949</v>
      </c>
      <c r="K165" s="1862"/>
      <c r="L165" s="1862">
        <f t="shared" si="14"/>
        <v>38476.151530281051</v>
      </c>
      <c r="M165" s="1862">
        <f>M164+Tabla1[[#This Row],[Desbalance
TPL]]</f>
        <v>98495.78758018426</v>
      </c>
    </row>
    <row r="166" spans="2:13" x14ac:dyDescent="0.25">
      <c r="B166" s="1859">
        <f t="shared" si="15"/>
        <v>2013</v>
      </c>
      <c r="C166" s="1859">
        <f t="shared" si="16"/>
        <v>12</v>
      </c>
      <c r="D166" s="1860">
        <f t="shared" si="17"/>
        <v>41625</v>
      </c>
      <c r="E166" s="1861">
        <v>41625</v>
      </c>
      <c r="F166" s="1862">
        <f t="shared" si="13"/>
        <v>0</v>
      </c>
      <c r="G166" s="1862">
        <v>65000</v>
      </c>
      <c r="H166" s="1862">
        <v>65000</v>
      </c>
      <c r="I166" s="1862">
        <f>Tabla1[[#This Row],[Extraccion
Norte II]]+Tabla1[[#This Row],[Extraccion
ENO]]</f>
        <v>53425.010349009004</v>
      </c>
      <c r="J166" s="1862">
        <v>53425.010349009004</v>
      </c>
      <c r="K166" s="1862"/>
      <c r="L166" s="1862">
        <f t="shared" si="14"/>
        <v>11574.989650990996</v>
      </c>
      <c r="M166" s="1862">
        <f>M165+Tabla1[[#This Row],[Desbalance
TPL]]</f>
        <v>110070.77723117525</v>
      </c>
    </row>
    <row r="167" spans="2:13" x14ac:dyDescent="0.25">
      <c r="B167" s="1859">
        <f t="shared" si="15"/>
        <v>2013</v>
      </c>
      <c r="C167" s="1859">
        <f t="shared" si="16"/>
        <v>12</v>
      </c>
      <c r="D167" s="1860">
        <f t="shared" si="17"/>
        <v>41626</v>
      </c>
      <c r="E167" s="1861">
        <v>41626</v>
      </c>
      <c r="F167" s="1862">
        <f t="shared" si="13"/>
        <v>0</v>
      </c>
      <c r="G167" s="1862">
        <v>64928</v>
      </c>
      <c r="H167" s="1862">
        <v>64928</v>
      </c>
      <c r="I167" s="1862">
        <f>Tabla1[[#This Row],[Extraccion
Norte II]]+Tabla1[[#This Row],[Extraccion
ENO]]</f>
        <v>52104.143003796002</v>
      </c>
      <c r="J167" s="1862">
        <v>52104.143003796002</v>
      </c>
      <c r="K167" s="1862"/>
      <c r="L167" s="1862">
        <f t="shared" si="14"/>
        <v>12823.856996203998</v>
      </c>
      <c r="M167" s="1862">
        <f>M166+Tabla1[[#This Row],[Desbalance
TPL]]</f>
        <v>122894.63422737925</v>
      </c>
    </row>
    <row r="168" spans="2:13" x14ac:dyDescent="0.25">
      <c r="B168" s="1859">
        <f t="shared" si="15"/>
        <v>2013</v>
      </c>
      <c r="C168" s="1859">
        <f t="shared" si="16"/>
        <v>12</v>
      </c>
      <c r="D168" s="1860">
        <f t="shared" si="17"/>
        <v>41627</v>
      </c>
      <c r="E168" s="1861">
        <v>41627</v>
      </c>
      <c r="F168" s="1862">
        <f t="shared" si="13"/>
        <v>0</v>
      </c>
      <c r="G168" s="1862">
        <v>60000</v>
      </c>
      <c r="H168" s="1862">
        <v>60000</v>
      </c>
      <c r="I168" s="1862">
        <f>Tabla1[[#This Row],[Extraccion
Norte II]]+Tabla1[[#This Row],[Extraccion
ENO]]</f>
        <v>53089.756102305</v>
      </c>
      <c r="J168" s="1862">
        <v>53089.756102305</v>
      </c>
      <c r="K168" s="1862"/>
      <c r="L168" s="1862">
        <f t="shared" si="14"/>
        <v>6910.2438976949998</v>
      </c>
      <c r="M168" s="1862">
        <f>M167+Tabla1[[#This Row],[Desbalance
TPL]]</f>
        <v>129804.87812507426</v>
      </c>
    </row>
    <row r="169" spans="2:13" x14ac:dyDescent="0.25">
      <c r="B169" s="1859">
        <f t="shared" si="15"/>
        <v>2013</v>
      </c>
      <c r="C169" s="1859">
        <f t="shared" si="16"/>
        <v>12</v>
      </c>
      <c r="D169" s="1860">
        <f t="shared" si="17"/>
        <v>41628</v>
      </c>
      <c r="E169" s="1861">
        <v>41628</v>
      </c>
      <c r="F169" s="1862">
        <f t="shared" si="13"/>
        <v>0</v>
      </c>
      <c r="G169" s="1862">
        <v>68895</v>
      </c>
      <c r="H169" s="1862">
        <v>68895</v>
      </c>
      <c r="I169" s="1862">
        <f>Tabla1[[#This Row],[Extraccion
Norte II]]+Tabla1[[#This Row],[Extraccion
ENO]]</f>
        <v>53231.557108041015</v>
      </c>
      <c r="J169" s="1862">
        <v>53231.557108041015</v>
      </c>
      <c r="K169" s="1862"/>
      <c r="L169" s="1862">
        <f t="shared" si="14"/>
        <v>15663.442891958985</v>
      </c>
      <c r="M169" s="1862">
        <f>M168+Tabla1[[#This Row],[Desbalance
TPL]]</f>
        <v>145468.32101703325</v>
      </c>
    </row>
    <row r="170" spans="2:13" x14ac:dyDescent="0.25">
      <c r="B170" s="1859">
        <f t="shared" si="15"/>
        <v>2013</v>
      </c>
      <c r="C170" s="1859">
        <f t="shared" si="16"/>
        <v>12</v>
      </c>
      <c r="D170" s="1860">
        <f t="shared" si="17"/>
        <v>41629</v>
      </c>
      <c r="E170" s="1861">
        <v>41629</v>
      </c>
      <c r="F170" s="1862">
        <f t="shared" si="13"/>
        <v>0</v>
      </c>
      <c r="G170" s="1862">
        <v>54230</v>
      </c>
      <c r="H170" s="1862">
        <v>54230</v>
      </c>
      <c r="I170" s="1862">
        <f>Tabla1[[#This Row],[Extraccion
Norte II]]+Tabla1[[#This Row],[Extraccion
ENO]]</f>
        <v>50126.221427490003</v>
      </c>
      <c r="J170" s="1862">
        <v>50126.221427490003</v>
      </c>
      <c r="K170" s="1862"/>
      <c r="L170" s="1862">
        <f t="shared" si="14"/>
        <v>4103.7785725099966</v>
      </c>
      <c r="M170" s="1862">
        <f>M169+Tabla1[[#This Row],[Desbalance
TPL]]</f>
        <v>149572.09958954324</v>
      </c>
    </row>
    <row r="171" spans="2:13" x14ac:dyDescent="0.25">
      <c r="B171" s="1859">
        <f t="shared" si="15"/>
        <v>2013</v>
      </c>
      <c r="C171" s="1859">
        <f t="shared" si="16"/>
        <v>12</v>
      </c>
      <c r="D171" s="1860">
        <f t="shared" si="17"/>
        <v>41630</v>
      </c>
      <c r="E171" s="1861">
        <v>41630</v>
      </c>
      <c r="F171" s="1862">
        <f t="shared" si="13"/>
        <v>0</v>
      </c>
      <c r="G171" s="1862">
        <v>49340</v>
      </c>
      <c r="H171" s="1862">
        <v>49340</v>
      </c>
      <c r="I171" s="1862">
        <f>Tabla1[[#This Row],[Extraccion
Norte II]]+Tabla1[[#This Row],[Extraccion
ENO]]</f>
        <v>72301.510984013992</v>
      </c>
      <c r="J171" s="1862">
        <v>72301.510984013992</v>
      </c>
      <c r="K171" s="1862"/>
      <c r="L171" s="1862">
        <f t="shared" si="14"/>
        <v>-22961.510984013992</v>
      </c>
      <c r="M171" s="1862">
        <f>M170+Tabla1[[#This Row],[Desbalance
TPL]]</f>
        <v>126610.58860552925</v>
      </c>
    </row>
    <row r="172" spans="2:13" x14ac:dyDescent="0.25">
      <c r="B172" s="1859">
        <f t="shared" si="15"/>
        <v>2013</v>
      </c>
      <c r="C172" s="1859">
        <f t="shared" si="16"/>
        <v>12</v>
      </c>
      <c r="D172" s="1860">
        <f t="shared" si="17"/>
        <v>41631</v>
      </c>
      <c r="E172" s="1861">
        <v>41631</v>
      </c>
      <c r="F172" s="1862">
        <f t="shared" si="13"/>
        <v>0</v>
      </c>
      <c r="G172" s="1862">
        <v>68900</v>
      </c>
      <c r="H172" s="1862">
        <v>68900</v>
      </c>
      <c r="I172" s="1862">
        <f>Tabla1[[#This Row],[Extraccion
Norte II]]+Tabla1[[#This Row],[Extraccion
ENO]]</f>
        <v>72605.815214400005</v>
      </c>
      <c r="J172" s="1862">
        <v>72605.815214400005</v>
      </c>
      <c r="K172" s="1862"/>
      <c r="L172" s="1862">
        <f t="shared" si="14"/>
        <v>-3705.8152144000051</v>
      </c>
      <c r="M172" s="1862">
        <f>M171+Tabla1[[#This Row],[Desbalance
TPL]]</f>
        <v>122904.77339112925</v>
      </c>
    </row>
    <row r="173" spans="2:13" x14ac:dyDescent="0.25">
      <c r="B173" s="1859">
        <f t="shared" si="15"/>
        <v>2013</v>
      </c>
      <c r="C173" s="1859">
        <f t="shared" si="16"/>
        <v>12</v>
      </c>
      <c r="D173" s="1860">
        <f t="shared" si="17"/>
        <v>41632</v>
      </c>
      <c r="E173" s="1861">
        <v>41632</v>
      </c>
      <c r="F173" s="1862">
        <f t="shared" si="13"/>
        <v>0</v>
      </c>
      <c r="G173" s="1862">
        <v>64340</v>
      </c>
      <c r="H173" s="1862">
        <v>64340</v>
      </c>
      <c r="I173" s="1862">
        <f>Tabla1[[#This Row],[Extraccion
Norte II]]+Tabla1[[#This Row],[Extraccion
ENO]]</f>
        <v>68199.177027149999</v>
      </c>
      <c r="J173" s="1862">
        <v>68199.177027149999</v>
      </c>
      <c r="K173" s="1862"/>
      <c r="L173" s="1862">
        <f t="shared" si="14"/>
        <v>-3859.177027149999</v>
      </c>
      <c r="M173" s="1862">
        <f>M172+Tabla1[[#This Row],[Desbalance
TPL]]</f>
        <v>119045.59636397925</v>
      </c>
    </row>
    <row r="174" spans="2:13" x14ac:dyDescent="0.25">
      <c r="B174" s="1859">
        <f t="shared" si="15"/>
        <v>2013</v>
      </c>
      <c r="C174" s="1859">
        <f t="shared" si="16"/>
        <v>12</v>
      </c>
      <c r="D174" s="1860">
        <f t="shared" si="17"/>
        <v>41633</v>
      </c>
      <c r="E174" s="1861">
        <v>41633</v>
      </c>
      <c r="F174" s="1862">
        <f t="shared" si="13"/>
        <v>0</v>
      </c>
      <c r="G174" s="1862">
        <v>59560</v>
      </c>
      <c r="H174" s="1862">
        <v>59560</v>
      </c>
      <c r="I174" s="1862">
        <f>Tabla1[[#This Row],[Extraccion
Norte II]]+Tabla1[[#This Row],[Extraccion
ENO]]</f>
        <v>67843.889720334002</v>
      </c>
      <c r="J174" s="1862">
        <v>67843.889720334002</v>
      </c>
      <c r="K174" s="1862"/>
      <c r="L174" s="1862">
        <f t="shared" si="14"/>
        <v>-8283.889720334002</v>
      </c>
      <c r="M174" s="1862">
        <f>M173+Tabla1[[#This Row],[Desbalance
TPL]]</f>
        <v>110761.70664364524</v>
      </c>
    </row>
    <row r="175" spans="2:13" x14ac:dyDescent="0.25">
      <c r="B175" s="1859">
        <f t="shared" si="15"/>
        <v>2013</v>
      </c>
      <c r="C175" s="1859">
        <f t="shared" si="16"/>
        <v>12</v>
      </c>
      <c r="D175" s="1860">
        <f t="shared" si="17"/>
        <v>41634</v>
      </c>
      <c r="E175" s="1861">
        <v>41634</v>
      </c>
      <c r="F175" s="1862">
        <f t="shared" si="13"/>
        <v>0</v>
      </c>
      <c r="G175" s="1862">
        <v>59440</v>
      </c>
      <c r="H175" s="1862">
        <v>59440</v>
      </c>
      <c r="I175" s="1862">
        <f>Tabla1[[#This Row],[Extraccion
Norte II]]+Tabla1[[#This Row],[Extraccion
ENO]]</f>
        <v>63740.532121110002</v>
      </c>
      <c r="J175" s="1862">
        <v>63740.532121110002</v>
      </c>
      <c r="K175" s="1862"/>
      <c r="L175" s="1862">
        <f t="shared" si="14"/>
        <v>-4300.5321211100018</v>
      </c>
      <c r="M175" s="1862">
        <f>M174+Tabla1[[#This Row],[Desbalance
TPL]]</f>
        <v>106461.17452253524</v>
      </c>
    </row>
    <row r="176" spans="2:13" x14ac:dyDescent="0.25">
      <c r="B176" s="1859">
        <f t="shared" si="15"/>
        <v>2013</v>
      </c>
      <c r="C176" s="1859">
        <f t="shared" si="16"/>
        <v>12</v>
      </c>
      <c r="D176" s="1860">
        <f t="shared" si="17"/>
        <v>41635</v>
      </c>
      <c r="E176" s="1861">
        <v>41635</v>
      </c>
      <c r="F176" s="1862">
        <f t="shared" si="13"/>
        <v>0</v>
      </c>
      <c r="G176" s="1862">
        <v>60000</v>
      </c>
      <c r="H176" s="1862">
        <v>60000</v>
      </c>
      <c r="I176" s="1862">
        <f>Tabla1[[#This Row],[Extraccion
Norte II]]+Tabla1[[#This Row],[Extraccion
ENO]]</f>
        <v>62404.081716600005</v>
      </c>
      <c r="J176" s="1862">
        <v>62404.081716600005</v>
      </c>
      <c r="K176" s="1862"/>
      <c r="L176" s="1862">
        <f t="shared" si="14"/>
        <v>-2404.0817166000052</v>
      </c>
      <c r="M176" s="1862">
        <f>M175+Tabla1[[#This Row],[Desbalance
TPL]]</f>
        <v>104057.09280593523</v>
      </c>
    </row>
    <row r="177" spans="2:13" x14ac:dyDescent="0.25">
      <c r="B177" s="1859">
        <f t="shared" si="15"/>
        <v>2013</v>
      </c>
      <c r="C177" s="1859">
        <f t="shared" si="16"/>
        <v>12</v>
      </c>
      <c r="D177" s="1860">
        <f t="shared" si="17"/>
        <v>41636</v>
      </c>
      <c r="E177" s="1861">
        <v>41636</v>
      </c>
      <c r="F177" s="1862">
        <f t="shared" si="13"/>
        <v>0</v>
      </c>
      <c r="G177" s="1862">
        <v>60000</v>
      </c>
      <c r="H177" s="1862">
        <v>60000</v>
      </c>
      <c r="I177" s="1862">
        <f>Tabla1[[#This Row],[Extraccion
Norte II]]+Tabla1[[#This Row],[Extraccion
ENO]]</f>
        <v>54331.941367079999</v>
      </c>
      <c r="J177" s="1862">
        <v>54331.941367079999</v>
      </c>
      <c r="K177" s="1862"/>
      <c r="L177" s="1862">
        <f t="shared" si="14"/>
        <v>5668.0586329200014</v>
      </c>
      <c r="M177" s="1862">
        <f>M176+Tabla1[[#This Row],[Desbalance
TPL]]</f>
        <v>109725.15143885523</v>
      </c>
    </row>
    <row r="178" spans="2:13" x14ac:dyDescent="0.25">
      <c r="B178" s="1859">
        <f t="shared" si="15"/>
        <v>2013</v>
      </c>
      <c r="C178" s="1859">
        <f t="shared" si="16"/>
        <v>12</v>
      </c>
      <c r="D178" s="1860">
        <f t="shared" si="17"/>
        <v>41637</v>
      </c>
      <c r="E178" s="1861">
        <v>41637</v>
      </c>
      <c r="F178" s="1862">
        <f t="shared" si="13"/>
        <v>0</v>
      </c>
      <c r="G178" s="1862">
        <v>60000</v>
      </c>
      <c r="H178" s="1862">
        <v>60000</v>
      </c>
      <c r="I178" s="1862">
        <f>Tabla1[[#This Row],[Extraccion
Norte II]]+Tabla1[[#This Row],[Extraccion
ENO]]</f>
        <v>44354.545727192999</v>
      </c>
      <c r="J178" s="1862">
        <v>44354.545727192999</v>
      </c>
      <c r="K178" s="1862"/>
      <c r="L178" s="1862">
        <f t="shared" si="14"/>
        <v>15645.454272807001</v>
      </c>
      <c r="M178" s="1862">
        <f>M177+Tabla1[[#This Row],[Desbalance
TPL]]</f>
        <v>125370.60571166224</v>
      </c>
    </row>
    <row r="179" spans="2:13" x14ac:dyDescent="0.25">
      <c r="B179" s="1859">
        <f t="shared" si="15"/>
        <v>2013</v>
      </c>
      <c r="C179" s="1859">
        <f t="shared" si="16"/>
        <v>12</v>
      </c>
      <c r="D179" s="1860">
        <f t="shared" si="17"/>
        <v>41638</v>
      </c>
      <c r="E179" s="1861">
        <v>41638</v>
      </c>
      <c r="F179" s="1862">
        <f t="shared" si="13"/>
        <v>2</v>
      </c>
      <c r="G179" s="1862">
        <v>47484</v>
      </c>
      <c r="H179" s="1862">
        <v>47482</v>
      </c>
      <c r="I179" s="1862">
        <f>Tabla1[[#This Row],[Extraccion
Norte II]]+Tabla1[[#This Row],[Extraccion
ENO]]</f>
        <v>57680.690700816151</v>
      </c>
      <c r="J179" s="1862">
        <v>57680.690700816151</v>
      </c>
      <c r="K179" s="1862"/>
      <c r="L179" s="1862">
        <f t="shared" si="14"/>
        <v>-10198.690700816151</v>
      </c>
      <c r="M179" s="1862">
        <f>M178+Tabla1[[#This Row],[Desbalance
TPL]]</f>
        <v>115171.91501084609</v>
      </c>
    </row>
    <row r="180" spans="2:13" x14ac:dyDescent="0.25">
      <c r="B180" s="1859">
        <f t="shared" si="15"/>
        <v>2013</v>
      </c>
      <c r="C180" s="1859">
        <f t="shared" si="16"/>
        <v>12</v>
      </c>
      <c r="D180" s="1860">
        <f t="shared" si="17"/>
        <v>41639</v>
      </c>
      <c r="E180" s="1861">
        <v>41639</v>
      </c>
      <c r="F180" s="1862">
        <f t="shared" si="13"/>
        <v>0</v>
      </c>
      <c r="G180" s="1862">
        <v>39999</v>
      </c>
      <c r="H180" s="1862">
        <v>39999</v>
      </c>
      <c r="I180" s="1862">
        <f>Tabla1[[#This Row],[Extraccion
Norte II]]+Tabla1[[#This Row],[Extraccion
ENO]]</f>
        <v>42789.17463119371</v>
      </c>
      <c r="J180" s="1862">
        <v>42789.17463119371</v>
      </c>
      <c r="K180" s="1862"/>
      <c r="L180" s="1862">
        <f t="shared" si="14"/>
        <v>-2790.1746311937095</v>
      </c>
      <c r="M180" s="1862">
        <f>M179+Tabla1[[#This Row],[Desbalance
TPL]]</f>
        <v>112381.74037965239</v>
      </c>
    </row>
    <row r="181" spans="2:13" x14ac:dyDescent="0.25">
      <c r="B181" s="1859">
        <f t="shared" si="15"/>
        <v>2014</v>
      </c>
      <c r="C181" s="1859">
        <f t="shared" si="16"/>
        <v>1</v>
      </c>
      <c r="D181" s="1860">
        <f t="shared" si="17"/>
        <v>41640</v>
      </c>
      <c r="E181" s="1861">
        <v>41640</v>
      </c>
      <c r="F181" s="1862">
        <f t="shared" si="13"/>
        <v>0</v>
      </c>
      <c r="G181" s="1862">
        <v>39999</v>
      </c>
      <c r="H181" s="1862">
        <v>39999</v>
      </c>
      <c r="I181" s="1862">
        <f>Tabla1[[#This Row],[Extraccion
Norte II]]+Tabla1[[#This Row],[Extraccion
ENO]]</f>
        <v>46928.013904828716</v>
      </c>
      <c r="J181" s="1862">
        <v>46928.013904828716</v>
      </c>
      <c r="K181" s="1862"/>
      <c r="L181" s="1862">
        <f t="shared" si="14"/>
        <v>-6929.0139048287165</v>
      </c>
      <c r="M181" s="1862">
        <f>M180+Tabla1[[#This Row],[Desbalance
TPL]]</f>
        <v>105452.72647482366</v>
      </c>
    </row>
    <row r="182" spans="2:13" x14ac:dyDescent="0.25">
      <c r="B182" s="1859">
        <f t="shared" si="15"/>
        <v>2014</v>
      </c>
      <c r="C182" s="1859">
        <f t="shared" si="16"/>
        <v>1</v>
      </c>
      <c r="D182" s="1860">
        <f t="shared" si="17"/>
        <v>41641</v>
      </c>
      <c r="E182" s="1861">
        <v>41641</v>
      </c>
      <c r="F182" s="1862">
        <f t="shared" si="13"/>
        <v>0</v>
      </c>
      <c r="G182" s="1862">
        <v>32657</v>
      </c>
      <c r="H182" s="1862">
        <v>32657</v>
      </c>
      <c r="I182" s="1862">
        <f>Tabla1[[#This Row],[Extraccion
Norte II]]+Tabla1[[#This Row],[Extraccion
ENO]]</f>
        <v>66275.71512003</v>
      </c>
      <c r="J182" s="1862">
        <v>66275.71512003</v>
      </c>
      <c r="K182" s="1862"/>
      <c r="L182" s="1862">
        <f t="shared" si="14"/>
        <v>-33618.71512003</v>
      </c>
      <c r="M182" s="1862">
        <f>M181+Tabla1[[#This Row],[Desbalance
TPL]]</f>
        <v>71834.011354793663</v>
      </c>
    </row>
    <row r="183" spans="2:13" x14ac:dyDescent="0.25">
      <c r="B183" s="1859">
        <f t="shared" si="15"/>
        <v>2014</v>
      </c>
      <c r="C183" s="1859">
        <f t="shared" si="16"/>
        <v>1</v>
      </c>
      <c r="D183" s="1860">
        <f t="shared" si="17"/>
        <v>41642</v>
      </c>
      <c r="E183" s="1861">
        <v>41642</v>
      </c>
      <c r="F183" s="1862">
        <f t="shared" si="13"/>
        <v>0</v>
      </c>
      <c r="G183" s="1862">
        <v>40000</v>
      </c>
      <c r="H183" s="1862">
        <v>40000</v>
      </c>
      <c r="I183" s="1862">
        <f>Tabla1[[#This Row],[Extraccion
Norte II]]+Tabla1[[#This Row],[Extraccion
ENO]]</f>
        <v>70617.438802387973</v>
      </c>
      <c r="J183" s="1862">
        <v>70617.438802387973</v>
      </c>
      <c r="K183" s="1862"/>
      <c r="L183" s="1862">
        <f t="shared" si="14"/>
        <v>-30617.438802387973</v>
      </c>
      <c r="M183" s="1862">
        <f>M182+Tabla1[[#This Row],[Desbalance
TPL]]</f>
        <v>41216.572552405691</v>
      </c>
    </row>
    <row r="184" spans="2:13" x14ac:dyDescent="0.25">
      <c r="B184" s="1859">
        <f t="shared" si="15"/>
        <v>2014</v>
      </c>
      <c r="C184" s="1859">
        <f t="shared" si="16"/>
        <v>1</v>
      </c>
      <c r="D184" s="1860">
        <f t="shared" si="17"/>
        <v>41643</v>
      </c>
      <c r="E184" s="1861">
        <v>41643</v>
      </c>
      <c r="F184" s="1862">
        <f t="shared" si="13"/>
        <v>0</v>
      </c>
      <c r="G184" s="1862">
        <v>35000</v>
      </c>
      <c r="H184" s="1862">
        <v>35000</v>
      </c>
      <c r="I184" s="1862">
        <f>Tabla1[[#This Row],[Extraccion
Norte II]]+Tabla1[[#This Row],[Extraccion
ENO]]</f>
        <v>65399.077590084344</v>
      </c>
      <c r="J184" s="1862">
        <v>65399.077590084344</v>
      </c>
      <c r="K184" s="1862"/>
      <c r="L184" s="1862">
        <f t="shared" si="14"/>
        <v>-30399.077590084344</v>
      </c>
      <c r="M184" s="1862">
        <f>M183+Tabla1[[#This Row],[Desbalance
TPL]]</f>
        <v>10817.494962321347</v>
      </c>
    </row>
    <row r="185" spans="2:13" x14ac:dyDescent="0.25">
      <c r="B185" s="1859">
        <f t="shared" si="15"/>
        <v>2014</v>
      </c>
      <c r="C185" s="1859">
        <f t="shared" si="16"/>
        <v>1</v>
      </c>
      <c r="D185" s="1860">
        <f t="shared" si="17"/>
        <v>41644</v>
      </c>
      <c r="E185" s="1861">
        <v>41644</v>
      </c>
      <c r="F185" s="1862">
        <f t="shared" si="13"/>
        <v>0</v>
      </c>
      <c r="G185" s="1862">
        <v>35000</v>
      </c>
      <c r="H185" s="1862">
        <v>35000</v>
      </c>
      <c r="I185" s="1862">
        <f>Tabla1[[#This Row],[Extraccion
Norte II]]+Tabla1[[#This Row],[Extraccion
ENO]]</f>
        <v>59101.812708671539</v>
      </c>
      <c r="J185" s="1862">
        <v>59101.812708671539</v>
      </c>
      <c r="K185" s="1862"/>
      <c r="L185" s="1862">
        <f t="shared" si="14"/>
        <v>-24101.812708671539</v>
      </c>
      <c r="M185" s="1862">
        <f>M184+Tabla1[[#This Row],[Desbalance
TPL]]</f>
        <v>-13284.317746350192</v>
      </c>
    </row>
    <row r="186" spans="2:13" x14ac:dyDescent="0.25">
      <c r="B186" s="1859">
        <f t="shared" si="15"/>
        <v>2014</v>
      </c>
      <c r="C186" s="1859">
        <f t="shared" si="16"/>
        <v>1</v>
      </c>
      <c r="D186" s="1860">
        <f t="shared" si="17"/>
        <v>41645</v>
      </c>
      <c r="E186" s="1861">
        <v>41645</v>
      </c>
      <c r="F186" s="1862">
        <f t="shared" si="13"/>
        <v>0</v>
      </c>
      <c r="G186" s="1862">
        <v>40216</v>
      </c>
      <c r="H186" s="1862">
        <v>40216</v>
      </c>
      <c r="I186" s="1862">
        <f>Tabla1[[#This Row],[Extraccion
Norte II]]+Tabla1[[#This Row],[Extraccion
ENO]]</f>
        <v>76119.61529351896</v>
      </c>
      <c r="J186" s="1862">
        <v>76119.61529351896</v>
      </c>
      <c r="K186" s="1862"/>
      <c r="L186" s="1862">
        <f t="shared" si="14"/>
        <v>-35903.61529351896</v>
      </c>
      <c r="M186" s="1862">
        <f>M185+Tabla1[[#This Row],[Desbalance
TPL]]</f>
        <v>-49187.933039869153</v>
      </c>
    </row>
    <row r="187" spans="2:13" x14ac:dyDescent="0.25">
      <c r="B187" s="1859">
        <f t="shared" si="15"/>
        <v>2014</v>
      </c>
      <c r="C187" s="1859">
        <f t="shared" si="16"/>
        <v>1</v>
      </c>
      <c r="D187" s="1860">
        <f t="shared" si="17"/>
        <v>41646</v>
      </c>
      <c r="E187" s="1861">
        <v>41646</v>
      </c>
      <c r="F187" s="1862">
        <f t="shared" si="13"/>
        <v>0</v>
      </c>
      <c r="G187" s="1862">
        <v>69351</v>
      </c>
      <c r="H187" s="1862">
        <v>69351</v>
      </c>
      <c r="I187" s="1862">
        <f>Tabla1[[#This Row],[Extraccion
Norte II]]+Tabla1[[#This Row],[Extraccion
ENO]]</f>
        <v>76872.813947555886</v>
      </c>
      <c r="J187" s="1862">
        <v>76872.813947555886</v>
      </c>
      <c r="K187" s="1862"/>
      <c r="L187" s="1862">
        <f t="shared" si="14"/>
        <v>-7521.8139475558855</v>
      </c>
      <c r="M187" s="1862">
        <f>M186+Tabla1[[#This Row],[Desbalance
TPL]]</f>
        <v>-56709.746987425038</v>
      </c>
    </row>
    <row r="188" spans="2:13" x14ac:dyDescent="0.25">
      <c r="B188" s="1859">
        <f t="shared" si="15"/>
        <v>2014</v>
      </c>
      <c r="C188" s="1859">
        <f t="shared" si="16"/>
        <v>1</v>
      </c>
      <c r="D188" s="1860">
        <f t="shared" si="17"/>
        <v>41647</v>
      </c>
      <c r="E188" s="1861">
        <v>41647</v>
      </c>
      <c r="F188" s="1862">
        <f t="shared" si="13"/>
        <v>0</v>
      </c>
      <c r="G188" s="1862">
        <v>69999</v>
      </c>
      <c r="H188" s="1862">
        <v>69999</v>
      </c>
      <c r="I188" s="1862">
        <f>Tabla1[[#This Row],[Extraccion
Norte II]]+Tabla1[[#This Row],[Extraccion
ENO]]</f>
        <v>72552.264436317622</v>
      </c>
      <c r="J188" s="1862">
        <v>72552.264436317622</v>
      </c>
      <c r="K188" s="1862"/>
      <c r="L188" s="1862">
        <f t="shared" si="14"/>
        <v>-2553.2644363176223</v>
      </c>
      <c r="M188" s="1862">
        <f>M187+Tabla1[[#This Row],[Desbalance
TPL]]</f>
        <v>-59263.011423742661</v>
      </c>
    </row>
    <row r="189" spans="2:13" x14ac:dyDescent="0.25">
      <c r="B189" s="1859">
        <f t="shared" si="15"/>
        <v>2014</v>
      </c>
      <c r="C189" s="1859">
        <f t="shared" si="16"/>
        <v>1</v>
      </c>
      <c r="D189" s="1860">
        <f t="shared" si="17"/>
        <v>41648</v>
      </c>
      <c r="E189" s="1861">
        <v>41648</v>
      </c>
      <c r="F189" s="1862">
        <f t="shared" si="13"/>
        <v>0</v>
      </c>
      <c r="G189" s="1862">
        <v>70000</v>
      </c>
      <c r="H189" s="1862">
        <v>70000</v>
      </c>
      <c r="I189" s="1862">
        <f>Tabla1[[#This Row],[Extraccion
Norte II]]+Tabla1[[#This Row],[Extraccion
ENO]]</f>
        <v>71872.561749308807</v>
      </c>
      <c r="J189" s="1862">
        <v>71872.561749308807</v>
      </c>
      <c r="K189" s="1862"/>
      <c r="L189" s="1862">
        <f t="shared" si="14"/>
        <v>-1872.5617493088066</v>
      </c>
      <c r="M189" s="1862">
        <f>M188+Tabla1[[#This Row],[Desbalance
TPL]]</f>
        <v>-61135.573173051467</v>
      </c>
    </row>
    <row r="190" spans="2:13" x14ac:dyDescent="0.25">
      <c r="B190" s="1859">
        <f t="shared" si="15"/>
        <v>2014</v>
      </c>
      <c r="C190" s="1859">
        <f t="shared" si="16"/>
        <v>1</v>
      </c>
      <c r="D190" s="1860">
        <f t="shared" si="17"/>
        <v>41649</v>
      </c>
      <c r="E190" s="1861">
        <v>41649</v>
      </c>
      <c r="F190" s="1862">
        <f t="shared" si="13"/>
        <v>0</v>
      </c>
      <c r="G190" s="1862">
        <v>80000</v>
      </c>
      <c r="H190" s="1862">
        <v>80000</v>
      </c>
      <c r="I190" s="1862">
        <f>Tabla1[[#This Row],[Extraccion
Norte II]]+Tabla1[[#This Row],[Extraccion
ENO]]</f>
        <v>76219.023153705944</v>
      </c>
      <c r="J190" s="1862">
        <v>76219.023153705944</v>
      </c>
      <c r="K190" s="1862"/>
      <c r="L190" s="1862">
        <f t="shared" si="14"/>
        <v>3780.9768462940556</v>
      </c>
      <c r="M190" s="1862">
        <f>M189+Tabla1[[#This Row],[Desbalance
TPL]]</f>
        <v>-57354.596326757412</v>
      </c>
    </row>
    <row r="191" spans="2:13" x14ac:dyDescent="0.25">
      <c r="B191" s="1859">
        <f t="shared" si="15"/>
        <v>2014</v>
      </c>
      <c r="C191" s="1859">
        <f t="shared" si="16"/>
        <v>1</v>
      </c>
      <c r="D191" s="1860">
        <f t="shared" si="17"/>
        <v>41650</v>
      </c>
      <c r="E191" s="1861">
        <v>41650</v>
      </c>
      <c r="F191" s="1862">
        <f t="shared" si="13"/>
        <v>0</v>
      </c>
      <c r="G191" s="1862">
        <v>65000</v>
      </c>
      <c r="H191" s="1862">
        <v>65000</v>
      </c>
      <c r="I191" s="1862">
        <f>Tabla1[[#This Row],[Extraccion
Norte II]]+Tabla1[[#This Row],[Extraccion
ENO]]</f>
        <v>65803.568876273945</v>
      </c>
      <c r="J191" s="1862">
        <v>65803.568876273945</v>
      </c>
      <c r="K191" s="1862"/>
      <c r="L191" s="1862">
        <f t="shared" si="14"/>
        <v>-803.56887627394462</v>
      </c>
      <c r="M191" s="1862">
        <f>M190+Tabla1[[#This Row],[Desbalance
TPL]]</f>
        <v>-58158.165203031356</v>
      </c>
    </row>
    <row r="192" spans="2:13" x14ac:dyDescent="0.25">
      <c r="B192" s="1859">
        <f t="shared" si="15"/>
        <v>2014</v>
      </c>
      <c r="C192" s="1859">
        <f t="shared" si="16"/>
        <v>1</v>
      </c>
      <c r="D192" s="1860">
        <f t="shared" si="17"/>
        <v>41651</v>
      </c>
      <c r="E192" s="1861">
        <v>41651</v>
      </c>
      <c r="F192" s="1862">
        <f t="shared" si="13"/>
        <v>0</v>
      </c>
      <c r="G192" s="1862">
        <v>65000</v>
      </c>
      <c r="H192" s="1862">
        <v>65000</v>
      </c>
      <c r="I192" s="1862">
        <f>Tabla1[[#This Row],[Extraccion
Norte II]]+Tabla1[[#This Row],[Extraccion
ENO]]</f>
        <v>50643.805266607167</v>
      </c>
      <c r="J192" s="1862">
        <v>50643.805266607167</v>
      </c>
      <c r="K192" s="1862"/>
      <c r="L192" s="1862">
        <f t="shared" si="14"/>
        <v>14356.194733392833</v>
      </c>
      <c r="M192" s="1862">
        <f>M191+Tabla1[[#This Row],[Desbalance
TPL]]</f>
        <v>-43801.970469638523</v>
      </c>
    </row>
    <row r="193" spans="2:13" x14ac:dyDescent="0.25">
      <c r="B193" s="1859">
        <f t="shared" si="15"/>
        <v>2014</v>
      </c>
      <c r="C193" s="1859">
        <f t="shared" si="16"/>
        <v>1</v>
      </c>
      <c r="D193" s="1860">
        <f t="shared" si="17"/>
        <v>41652</v>
      </c>
      <c r="E193" s="1861">
        <v>41652</v>
      </c>
      <c r="F193" s="1862">
        <f t="shared" si="13"/>
        <v>0</v>
      </c>
      <c r="G193" s="1862">
        <v>65000</v>
      </c>
      <c r="H193" s="1862">
        <v>65000</v>
      </c>
      <c r="I193" s="1862">
        <f>Tabla1[[#This Row],[Extraccion
Norte II]]+Tabla1[[#This Row],[Extraccion
ENO]]</f>
        <v>73011.554661840564</v>
      </c>
      <c r="J193" s="1862">
        <v>73011.554661840564</v>
      </c>
      <c r="K193" s="1862"/>
      <c r="L193" s="1862">
        <f t="shared" si="14"/>
        <v>-8011.5546618405642</v>
      </c>
      <c r="M193" s="1862">
        <f>M192+Tabla1[[#This Row],[Desbalance
TPL]]</f>
        <v>-51813.525131479088</v>
      </c>
    </row>
    <row r="194" spans="2:13" x14ac:dyDescent="0.25">
      <c r="B194" s="1859">
        <f t="shared" si="15"/>
        <v>2014</v>
      </c>
      <c r="C194" s="1859">
        <f t="shared" si="16"/>
        <v>1</v>
      </c>
      <c r="D194" s="1860">
        <f t="shared" si="17"/>
        <v>41653</v>
      </c>
      <c r="E194" s="1861">
        <v>41653</v>
      </c>
      <c r="F194" s="1862">
        <f t="shared" si="13"/>
        <v>0</v>
      </c>
      <c r="G194" s="1862">
        <v>80000</v>
      </c>
      <c r="H194" s="1862">
        <v>80000</v>
      </c>
      <c r="I194" s="1862">
        <f>Tabla1[[#This Row],[Extraccion
Norte II]]+Tabla1[[#This Row],[Extraccion
ENO]]</f>
        <v>70057.940762921324</v>
      </c>
      <c r="J194" s="1862">
        <v>70057.940762921324</v>
      </c>
      <c r="K194" s="1862"/>
      <c r="L194" s="1862">
        <f t="shared" si="14"/>
        <v>9942.0592370786762</v>
      </c>
      <c r="M194" s="1862">
        <f>M193+Tabla1[[#This Row],[Desbalance
TPL]]</f>
        <v>-41871.465894400411</v>
      </c>
    </row>
    <row r="195" spans="2:13" x14ac:dyDescent="0.25">
      <c r="B195" s="1859">
        <f t="shared" si="15"/>
        <v>2014</v>
      </c>
      <c r="C195" s="1859">
        <f t="shared" si="16"/>
        <v>1</v>
      </c>
      <c r="D195" s="1860">
        <f t="shared" si="17"/>
        <v>41654</v>
      </c>
      <c r="E195" s="1861">
        <v>41654</v>
      </c>
      <c r="F195" s="1862">
        <f t="shared" si="13"/>
        <v>0</v>
      </c>
      <c r="G195" s="1862">
        <v>51750</v>
      </c>
      <c r="H195" s="1862">
        <v>51750</v>
      </c>
      <c r="I195" s="1862">
        <f>Tabla1[[#This Row],[Extraccion
Norte II]]+Tabla1[[#This Row],[Extraccion
ENO]]</f>
        <v>74122.841818115994</v>
      </c>
      <c r="J195" s="1862">
        <v>74122.841818115994</v>
      </c>
      <c r="K195" s="1862"/>
      <c r="L195" s="1862">
        <f t="shared" si="14"/>
        <v>-22372.841818115994</v>
      </c>
      <c r="M195" s="1862">
        <f>M194+Tabla1[[#This Row],[Desbalance
TPL]]</f>
        <v>-64244.307712516405</v>
      </c>
    </row>
    <row r="196" spans="2:13" x14ac:dyDescent="0.25">
      <c r="B196" s="1859">
        <f t="shared" si="15"/>
        <v>2014</v>
      </c>
      <c r="C196" s="1859">
        <f t="shared" si="16"/>
        <v>1</v>
      </c>
      <c r="D196" s="1860">
        <f t="shared" si="17"/>
        <v>41655</v>
      </c>
      <c r="E196" s="1861">
        <v>41655</v>
      </c>
      <c r="F196" s="1862">
        <f t="shared" si="13"/>
        <v>0</v>
      </c>
      <c r="G196" s="1862">
        <v>51747</v>
      </c>
      <c r="H196" s="1862">
        <v>51747</v>
      </c>
      <c r="I196" s="1862">
        <f>Tabla1[[#This Row],[Extraccion
Norte II]]+Tabla1[[#This Row],[Extraccion
ENO]]</f>
        <v>78825.667130963993</v>
      </c>
      <c r="J196" s="1862">
        <v>78825.667130963993</v>
      </c>
      <c r="K196" s="1862"/>
      <c r="L196" s="1862">
        <f t="shared" si="14"/>
        <v>-27078.667130963993</v>
      </c>
      <c r="M196" s="1862">
        <f>M195+Tabla1[[#This Row],[Desbalance
TPL]]</f>
        <v>-91322.974843480391</v>
      </c>
    </row>
    <row r="197" spans="2:13" x14ac:dyDescent="0.25">
      <c r="B197" s="1859">
        <f t="shared" si="15"/>
        <v>2014</v>
      </c>
      <c r="C197" s="1859">
        <f t="shared" si="16"/>
        <v>1</v>
      </c>
      <c r="D197" s="1860">
        <f t="shared" si="17"/>
        <v>41656</v>
      </c>
      <c r="E197" s="1861">
        <v>41656</v>
      </c>
      <c r="F197" s="1862">
        <f t="shared" si="13"/>
        <v>0</v>
      </c>
      <c r="G197" s="1862">
        <v>50001</v>
      </c>
      <c r="H197" s="1862">
        <v>50001</v>
      </c>
      <c r="I197" s="1862">
        <f>Tabla1[[#This Row],[Extraccion
Norte II]]+Tabla1[[#This Row],[Extraccion
ENO]]</f>
        <v>69176.765906937013</v>
      </c>
      <c r="J197" s="1862">
        <v>69176.765906937013</v>
      </c>
      <c r="K197" s="1862"/>
      <c r="L197" s="1862">
        <f t="shared" si="14"/>
        <v>-19175.765906937013</v>
      </c>
      <c r="M197" s="1862">
        <f>M196+Tabla1[[#This Row],[Desbalance
TPL]]</f>
        <v>-110498.7407504174</v>
      </c>
    </row>
    <row r="198" spans="2:13" x14ac:dyDescent="0.25">
      <c r="B198" s="1859">
        <f t="shared" si="15"/>
        <v>2014</v>
      </c>
      <c r="C198" s="1859">
        <f t="shared" si="16"/>
        <v>1</v>
      </c>
      <c r="D198" s="1860">
        <f t="shared" si="17"/>
        <v>41657</v>
      </c>
      <c r="E198" s="1861">
        <v>41657</v>
      </c>
      <c r="F198" s="1862">
        <f t="shared" si="13"/>
        <v>0</v>
      </c>
      <c r="G198" s="1862">
        <v>59437</v>
      </c>
      <c r="H198" s="1862">
        <v>59437</v>
      </c>
      <c r="I198" s="1862">
        <f>Tabla1[[#This Row],[Extraccion
Norte II]]+Tabla1[[#This Row],[Extraccion
ENO]]</f>
        <v>63470.565405000001</v>
      </c>
      <c r="J198" s="1862">
        <v>63470.565405000001</v>
      </c>
      <c r="K198" s="1862"/>
      <c r="L198" s="1862">
        <f t="shared" si="14"/>
        <v>-4033.5654050000012</v>
      </c>
      <c r="M198" s="1862">
        <f>M197+Tabla1[[#This Row],[Desbalance
TPL]]</f>
        <v>-114532.30615541741</v>
      </c>
    </row>
    <row r="199" spans="2:13" x14ac:dyDescent="0.25">
      <c r="B199" s="1859">
        <f t="shared" si="15"/>
        <v>2014</v>
      </c>
      <c r="C199" s="1859">
        <f t="shared" si="16"/>
        <v>1</v>
      </c>
      <c r="D199" s="1860">
        <f t="shared" si="17"/>
        <v>41658</v>
      </c>
      <c r="E199" s="1861">
        <v>41658</v>
      </c>
      <c r="F199" s="1862">
        <f t="shared" si="13"/>
        <v>0</v>
      </c>
      <c r="G199" s="1862">
        <v>59437</v>
      </c>
      <c r="H199" s="1862">
        <v>59437</v>
      </c>
      <c r="I199" s="1862">
        <f>Tabla1[[#This Row],[Extraccion
Norte II]]+Tabla1[[#This Row],[Extraccion
ENO]]</f>
        <v>56728.096672806001</v>
      </c>
      <c r="J199" s="1862">
        <v>56728.096672806001</v>
      </c>
      <c r="K199" s="1862"/>
      <c r="L199" s="1862">
        <f t="shared" si="14"/>
        <v>2708.9033271939988</v>
      </c>
      <c r="M199" s="1862">
        <f>M198+Tabla1[[#This Row],[Desbalance
TPL]]</f>
        <v>-111823.40282822341</v>
      </c>
    </row>
    <row r="200" spans="2:13" x14ac:dyDescent="0.25">
      <c r="B200" s="1859">
        <f t="shared" si="15"/>
        <v>2014</v>
      </c>
      <c r="C200" s="1859">
        <f t="shared" si="16"/>
        <v>1</v>
      </c>
      <c r="D200" s="1860">
        <f t="shared" si="17"/>
        <v>41659</v>
      </c>
      <c r="E200" s="1861">
        <v>41659</v>
      </c>
      <c r="F200" s="1862">
        <f t="shared" si="13"/>
        <v>0</v>
      </c>
      <c r="G200" s="1862">
        <v>54577</v>
      </c>
      <c r="H200" s="1862">
        <v>54577</v>
      </c>
      <c r="I200" s="1862">
        <f>Tabla1[[#This Row],[Extraccion
Norte II]]+Tabla1[[#This Row],[Extraccion
ENO]]</f>
        <v>72146.722989743997</v>
      </c>
      <c r="J200" s="1862">
        <v>72146.722989743997</v>
      </c>
      <c r="K200" s="1862"/>
      <c r="L200" s="1862">
        <f t="shared" si="14"/>
        <v>-17569.722989743997</v>
      </c>
      <c r="M200" s="1862">
        <f>M199+Tabla1[[#This Row],[Desbalance
TPL]]</f>
        <v>-129393.1258179674</v>
      </c>
    </row>
    <row r="201" spans="2:13" x14ac:dyDescent="0.25">
      <c r="B201" s="1859">
        <f t="shared" si="15"/>
        <v>2014</v>
      </c>
      <c r="C201" s="1859">
        <f t="shared" si="16"/>
        <v>1</v>
      </c>
      <c r="D201" s="1860">
        <f t="shared" si="17"/>
        <v>41660</v>
      </c>
      <c r="E201" s="1861">
        <v>41660</v>
      </c>
      <c r="F201" s="1862">
        <f t="shared" si="13"/>
        <v>0</v>
      </c>
      <c r="G201" s="1862">
        <v>59680</v>
      </c>
      <c r="H201" s="1862">
        <v>59680</v>
      </c>
      <c r="I201" s="1862">
        <f>Tabla1[[#This Row],[Extraccion
Norte II]]+Tabla1[[#This Row],[Extraccion
ENO]]</f>
        <v>73287.014135751</v>
      </c>
      <c r="J201" s="1862">
        <v>73287.014135751</v>
      </c>
      <c r="K201" s="1862"/>
      <c r="L201" s="1862">
        <f t="shared" si="14"/>
        <v>-13607.014135751</v>
      </c>
      <c r="M201" s="1862">
        <f>M200+Tabla1[[#This Row],[Desbalance
TPL]]</f>
        <v>-143000.1399537184</v>
      </c>
    </row>
    <row r="202" spans="2:13" x14ac:dyDescent="0.25">
      <c r="B202" s="1859">
        <f t="shared" si="15"/>
        <v>2014</v>
      </c>
      <c r="C202" s="1859">
        <f t="shared" si="16"/>
        <v>1</v>
      </c>
      <c r="D202" s="1860">
        <f t="shared" si="17"/>
        <v>41661</v>
      </c>
      <c r="E202" s="1861">
        <v>41661</v>
      </c>
      <c r="F202" s="1862">
        <f t="shared" si="13"/>
        <v>0</v>
      </c>
      <c r="G202" s="1862">
        <v>58000</v>
      </c>
      <c r="H202" s="1862">
        <v>58000</v>
      </c>
      <c r="I202" s="1862">
        <f>Tabla1[[#This Row],[Extraccion
Norte II]]+Tabla1[[#This Row],[Extraccion
ENO]]</f>
        <v>75564.107513388008</v>
      </c>
      <c r="J202" s="1862">
        <v>75564.107513388008</v>
      </c>
      <c r="K202" s="1862"/>
      <c r="L202" s="1862">
        <f t="shared" si="14"/>
        <v>-17564.107513388008</v>
      </c>
      <c r="M202" s="1862">
        <f>M201+Tabla1[[#This Row],[Desbalance
TPL]]</f>
        <v>-160564.24746710641</v>
      </c>
    </row>
    <row r="203" spans="2:13" x14ac:dyDescent="0.25">
      <c r="B203" s="1859">
        <f t="shared" si="15"/>
        <v>2014</v>
      </c>
      <c r="C203" s="1859">
        <f t="shared" si="16"/>
        <v>1</v>
      </c>
      <c r="D203" s="1860">
        <f t="shared" si="17"/>
        <v>41662</v>
      </c>
      <c r="E203" s="1861">
        <v>41662</v>
      </c>
      <c r="F203" s="1862">
        <f t="shared" si="13"/>
        <v>0</v>
      </c>
      <c r="G203" s="1862">
        <v>71722</v>
      </c>
      <c r="H203" s="1862">
        <v>71722</v>
      </c>
      <c r="I203" s="1862">
        <f>Tabla1[[#This Row],[Extraccion
Norte II]]+Tabla1[[#This Row],[Extraccion
ENO]]</f>
        <v>72929.219852969996</v>
      </c>
      <c r="J203" s="1862">
        <v>72929.219852969996</v>
      </c>
      <c r="K203" s="1862"/>
      <c r="L203" s="1862">
        <f t="shared" si="14"/>
        <v>-1207.2198529699963</v>
      </c>
      <c r="M203" s="1862">
        <f>M202+Tabla1[[#This Row],[Desbalance
TPL]]</f>
        <v>-161771.46732007642</v>
      </c>
    </row>
    <row r="204" spans="2:13" x14ac:dyDescent="0.25">
      <c r="B204" s="1859">
        <f t="shared" si="15"/>
        <v>2014</v>
      </c>
      <c r="C204" s="1859">
        <f t="shared" si="16"/>
        <v>1</v>
      </c>
      <c r="D204" s="1860">
        <f t="shared" si="17"/>
        <v>41663</v>
      </c>
      <c r="E204" s="1861">
        <v>41663</v>
      </c>
      <c r="F204" s="1862">
        <f t="shared" ref="F204:F267" si="18">G204-H204</f>
        <v>0</v>
      </c>
      <c r="G204" s="1862">
        <v>70000</v>
      </c>
      <c r="H204" s="1862">
        <v>70000</v>
      </c>
      <c r="I204" s="1862">
        <f>Tabla1[[#This Row],[Extraccion
Norte II]]+Tabla1[[#This Row],[Extraccion
ENO]]</f>
        <v>73832.888484927011</v>
      </c>
      <c r="J204" s="1862">
        <v>73832.888484927011</v>
      </c>
      <c r="K204" s="1862"/>
      <c r="L204" s="1862">
        <f t="shared" ref="L204:L267" si="19">H204-I204</f>
        <v>-3832.8884849270107</v>
      </c>
      <c r="M204" s="1862">
        <f>M203+Tabla1[[#This Row],[Desbalance
TPL]]</f>
        <v>-165604.35580500343</v>
      </c>
    </row>
    <row r="205" spans="2:13" x14ac:dyDescent="0.25">
      <c r="B205" s="1859">
        <f t="shared" si="15"/>
        <v>2014</v>
      </c>
      <c r="C205" s="1859">
        <f t="shared" si="16"/>
        <v>1</v>
      </c>
      <c r="D205" s="1860">
        <f t="shared" si="17"/>
        <v>41664</v>
      </c>
      <c r="E205" s="1861">
        <v>41664</v>
      </c>
      <c r="F205" s="1862">
        <f t="shared" si="18"/>
        <v>0</v>
      </c>
      <c r="G205" s="1862">
        <v>64999</v>
      </c>
      <c r="H205" s="1862">
        <v>64999</v>
      </c>
      <c r="I205" s="1862">
        <f>Tabla1[[#This Row],[Extraccion
Norte II]]+Tabla1[[#This Row],[Extraccion
ENO]]</f>
        <v>65692.489198518015</v>
      </c>
      <c r="J205" s="1862">
        <v>65692.489198518015</v>
      </c>
      <c r="K205" s="1862"/>
      <c r="L205" s="1862">
        <f t="shared" si="19"/>
        <v>-693.48919851801475</v>
      </c>
      <c r="M205" s="1862">
        <f>M204+Tabla1[[#This Row],[Desbalance
TPL]]</f>
        <v>-166297.84500352145</v>
      </c>
    </row>
    <row r="206" spans="2:13" x14ac:dyDescent="0.25">
      <c r="B206" s="1859">
        <f t="shared" si="15"/>
        <v>2014</v>
      </c>
      <c r="C206" s="1859">
        <f t="shared" si="16"/>
        <v>1</v>
      </c>
      <c r="D206" s="1860">
        <f t="shared" si="17"/>
        <v>41665</v>
      </c>
      <c r="E206" s="1861">
        <v>41665</v>
      </c>
      <c r="F206" s="1862">
        <f t="shared" si="18"/>
        <v>0</v>
      </c>
      <c r="G206" s="1862">
        <v>64999</v>
      </c>
      <c r="H206" s="1862">
        <v>64999</v>
      </c>
      <c r="I206" s="1862">
        <f>Tabla1[[#This Row],[Extraccion
Norte II]]+Tabla1[[#This Row],[Extraccion
ENO]]</f>
        <v>62004.064082103003</v>
      </c>
      <c r="J206" s="1862">
        <v>62004.064082103003</v>
      </c>
      <c r="K206" s="1862"/>
      <c r="L206" s="1862">
        <f t="shared" si="19"/>
        <v>2994.9359178969971</v>
      </c>
      <c r="M206" s="1862">
        <f>M205+Tabla1[[#This Row],[Desbalance
TPL]]</f>
        <v>-163302.90908562444</v>
      </c>
    </row>
    <row r="207" spans="2:13" x14ac:dyDescent="0.25">
      <c r="B207" s="1859">
        <f t="shared" si="15"/>
        <v>2014</v>
      </c>
      <c r="C207" s="1859">
        <f t="shared" si="16"/>
        <v>1</v>
      </c>
      <c r="D207" s="1860">
        <f t="shared" si="17"/>
        <v>41666</v>
      </c>
      <c r="E207" s="1861">
        <v>41666</v>
      </c>
      <c r="F207" s="1862">
        <f t="shared" si="18"/>
        <v>0</v>
      </c>
      <c r="G207" s="1862">
        <v>74718</v>
      </c>
      <c r="H207" s="1862">
        <v>74718</v>
      </c>
      <c r="I207" s="1862">
        <f>Tabla1[[#This Row],[Extraccion
Norte II]]+Tabla1[[#This Row],[Extraccion
ENO]]</f>
        <v>69010.148208690007</v>
      </c>
      <c r="J207" s="1862">
        <v>69010.148208690007</v>
      </c>
      <c r="K207" s="1862"/>
      <c r="L207" s="1862">
        <f t="shared" si="19"/>
        <v>5707.8517913099931</v>
      </c>
      <c r="M207" s="1862">
        <f>M206+Tabla1[[#This Row],[Desbalance
TPL]]</f>
        <v>-157595.05729431444</v>
      </c>
    </row>
    <row r="208" spans="2:13" x14ac:dyDescent="0.25">
      <c r="B208" s="1859">
        <f t="shared" si="15"/>
        <v>2014</v>
      </c>
      <c r="C208" s="1859">
        <f t="shared" si="16"/>
        <v>1</v>
      </c>
      <c r="D208" s="1860">
        <f t="shared" si="17"/>
        <v>41667</v>
      </c>
      <c r="E208" s="1861">
        <v>41667</v>
      </c>
      <c r="F208" s="1862">
        <f t="shared" si="18"/>
        <v>-12011</v>
      </c>
      <c r="G208" s="1862">
        <v>62988</v>
      </c>
      <c r="H208" s="1862">
        <v>74999</v>
      </c>
      <c r="I208" s="1862">
        <f>Tabla1[[#This Row],[Extraccion
Norte II]]+Tabla1[[#This Row],[Extraccion
ENO]]</f>
        <v>65233.152437076002</v>
      </c>
      <c r="J208" s="1862">
        <v>65233.152437076002</v>
      </c>
      <c r="K208" s="1862"/>
      <c r="L208" s="1862">
        <f t="shared" si="19"/>
        <v>9765.8475629239983</v>
      </c>
      <c r="M208" s="1862">
        <f>M207+Tabla1[[#This Row],[Desbalance
TPL]]</f>
        <v>-147829.20973139044</v>
      </c>
    </row>
    <row r="209" spans="2:13" x14ac:dyDescent="0.25">
      <c r="B209" s="1859">
        <f t="shared" si="15"/>
        <v>2014</v>
      </c>
      <c r="C209" s="1859">
        <f t="shared" si="16"/>
        <v>1</v>
      </c>
      <c r="D209" s="1860">
        <f t="shared" si="17"/>
        <v>41668</v>
      </c>
      <c r="E209" s="1861">
        <v>41668</v>
      </c>
      <c r="F209" s="1862">
        <f t="shared" si="18"/>
        <v>0</v>
      </c>
      <c r="G209" s="1862">
        <v>64999</v>
      </c>
      <c r="H209" s="1862">
        <v>64999</v>
      </c>
      <c r="I209" s="1862">
        <f>Tabla1[[#This Row],[Extraccion
Norte II]]+Tabla1[[#This Row],[Extraccion
ENO]]</f>
        <v>76072.561099587008</v>
      </c>
      <c r="J209" s="1862">
        <v>76072.561099587008</v>
      </c>
      <c r="K209" s="1862"/>
      <c r="L209" s="1862">
        <f t="shared" si="19"/>
        <v>-11073.561099587008</v>
      </c>
      <c r="M209" s="1862">
        <f>M208+Tabla1[[#This Row],[Desbalance
TPL]]</f>
        <v>-158902.77083097745</v>
      </c>
    </row>
    <row r="210" spans="2:13" x14ac:dyDescent="0.25">
      <c r="B210" s="1859">
        <f t="shared" si="15"/>
        <v>2014</v>
      </c>
      <c r="C210" s="1859">
        <f t="shared" si="16"/>
        <v>1</v>
      </c>
      <c r="D210" s="1860">
        <f t="shared" si="17"/>
        <v>41669</v>
      </c>
      <c r="E210" s="1861">
        <v>41669</v>
      </c>
      <c r="F210" s="1862">
        <f t="shared" si="18"/>
        <v>0</v>
      </c>
      <c r="G210" s="1862">
        <v>75000</v>
      </c>
      <c r="H210" s="1862">
        <v>75000</v>
      </c>
      <c r="I210" s="1862">
        <f>Tabla1[[#This Row],[Extraccion
Norte II]]+Tabla1[[#This Row],[Extraccion
ENO]]</f>
        <v>74917.255584483006</v>
      </c>
      <c r="J210" s="1862">
        <v>74917.255584483006</v>
      </c>
      <c r="K210" s="1862"/>
      <c r="L210" s="1862">
        <f t="shared" si="19"/>
        <v>82.744415516994195</v>
      </c>
      <c r="M210" s="1862">
        <f>M209+Tabla1[[#This Row],[Desbalance
TPL]]</f>
        <v>-158820.02641546045</v>
      </c>
    </row>
    <row r="211" spans="2:13" x14ac:dyDescent="0.25">
      <c r="B211" s="1859">
        <f t="shared" si="15"/>
        <v>2014</v>
      </c>
      <c r="C211" s="1859">
        <f t="shared" si="16"/>
        <v>1</v>
      </c>
      <c r="D211" s="1860">
        <f t="shared" si="17"/>
        <v>41670</v>
      </c>
      <c r="E211" s="1861">
        <v>41670</v>
      </c>
      <c r="F211" s="1862">
        <f t="shared" si="18"/>
        <v>0</v>
      </c>
      <c r="G211" s="1862">
        <v>74718</v>
      </c>
      <c r="H211" s="1862">
        <v>74718</v>
      </c>
      <c r="I211" s="1862">
        <f>Tabla1[[#This Row],[Extraccion
Norte II]]+Tabla1[[#This Row],[Extraccion
ENO]]</f>
        <v>69524.242253855991</v>
      </c>
      <c r="J211" s="1862">
        <v>69524.242253855991</v>
      </c>
      <c r="K211" s="1862"/>
      <c r="L211" s="1862">
        <f t="shared" si="19"/>
        <v>5193.7577461440087</v>
      </c>
      <c r="M211" s="1862">
        <f>M210+Tabla1[[#This Row],[Desbalance
TPL]]</f>
        <v>-153626.26866931643</v>
      </c>
    </row>
    <row r="212" spans="2:13" x14ac:dyDescent="0.25">
      <c r="B212" s="1859">
        <f t="shared" si="15"/>
        <v>2014</v>
      </c>
      <c r="C212" s="1859">
        <f t="shared" si="16"/>
        <v>2</v>
      </c>
      <c r="D212" s="1860">
        <f t="shared" si="17"/>
        <v>41671</v>
      </c>
      <c r="E212" s="1861">
        <v>41671</v>
      </c>
      <c r="F212" s="1862">
        <f t="shared" si="18"/>
        <v>0</v>
      </c>
      <c r="G212" s="1862">
        <v>69739</v>
      </c>
      <c r="H212" s="1862">
        <v>69739</v>
      </c>
      <c r="I212" s="1862">
        <f>Tabla1[[#This Row],[Extraccion
Norte II]]+Tabla1[[#This Row],[Extraccion
ENO]]</f>
        <v>55257.256243683005</v>
      </c>
      <c r="J212" s="1862">
        <v>55257.256243683005</v>
      </c>
      <c r="K212" s="1862"/>
      <c r="L212" s="1862">
        <f t="shared" si="19"/>
        <v>14481.743756316995</v>
      </c>
      <c r="M212" s="1862">
        <f>M211+Tabla1[[#This Row],[Desbalance
TPL]]</f>
        <v>-139144.52491299942</v>
      </c>
    </row>
    <row r="213" spans="2:13" x14ac:dyDescent="0.25">
      <c r="B213" s="1859">
        <f t="shared" si="15"/>
        <v>2014</v>
      </c>
      <c r="C213" s="1859">
        <f t="shared" si="16"/>
        <v>2</v>
      </c>
      <c r="D213" s="1860">
        <f t="shared" si="17"/>
        <v>41672</v>
      </c>
      <c r="E213" s="1861">
        <v>41672</v>
      </c>
      <c r="F213" s="1862">
        <f t="shared" si="18"/>
        <v>0</v>
      </c>
      <c r="G213" s="1862">
        <v>60020</v>
      </c>
      <c r="H213" s="1862">
        <v>60020</v>
      </c>
      <c r="I213" s="1862">
        <f>Tabla1[[#This Row],[Extraccion
Norte II]]+Tabla1[[#This Row],[Extraccion
ENO]]</f>
        <v>55878.865910244</v>
      </c>
      <c r="J213" s="1862">
        <v>55878.865910244</v>
      </c>
      <c r="K213" s="1862"/>
      <c r="L213" s="1862">
        <f t="shared" si="19"/>
        <v>4141.1340897560003</v>
      </c>
      <c r="M213" s="1862">
        <f>M212+Tabla1[[#This Row],[Desbalance
TPL]]</f>
        <v>-135003.39082324342</v>
      </c>
    </row>
    <row r="214" spans="2:13" x14ac:dyDescent="0.25">
      <c r="B214" s="1859">
        <f t="shared" si="15"/>
        <v>2014</v>
      </c>
      <c r="C214" s="1859">
        <f t="shared" si="16"/>
        <v>2</v>
      </c>
      <c r="D214" s="1860">
        <f t="shared" si="17"/>
        <v>41673</v>
      </c>
      <c r="E214" s="1861">
        <v>41673</v>
      </c>
      <c r="F214" s="1862">
        <f t="shared" si="18"/>
        <v>0</v>
      </c>
      <c r="G214" s="1862">
        <v>60020</v>
      </c>
      <c r="H214" s="1862">
        <v>60020</v>
      </c>
      <c r="I214" s="1862">
        <f>Tabla1[[#This Row],[Extraccion
Norte II]]+Tabla1[[#This Row],[Extraccion
ENO]]</f>
        <v>61610.154180353995</v>
      </c>
      <c r="J214" s="1862">
        <v>61610.154180353995</v>
      </c>
      <c r="K214" s="1862"/>
      <c r="L214" s="1862">
        <f t="shared" si="19"/>
        <v>-1590.1541803539949</v>
      </c>
      <c r="M214" s="1862">
        <f>M213+Tabla1[[#This Row],[Desbalance
TPL]]</f>
        <v>-136593.54500359742</v>
      </c>
    </row>
    <row r="215" spans="2:13" x14ac:dyDescent="0.25">
      <c r="B215" s="1859">
        <f t="shared" si="15"/>
        <v>2014</v>
      </c>
      <c r="C215" s="1859">
        <f t="shared" si="16"/>
        <v>2</v>
      </c>
      <c r="D215" s="1860">
        <f t="shared" si="17"/>
        <v>41674</v>
      </c>
      <c r="E215" s="1861">
        <v>41674</v>
      </c>
      <c r="F215" s="1862">
        <f t="shared" si="18"/>
        <v>0</v>
      </c>
      <c r="G215" s="1862">
        <v>58662</v>
      </c>
      <c r="H215" s="1862">
        <v>58662</v>
      </c>
      <c r="I215" s="1862">
        <f>Tabla1[[#This Row],[Extraccion
Norte II]]+Tabla1[[#This Row],[Extraccion
ENO]]</f>
        <v>73902.33503651699</v>
      </c>
      <c r="J215" s="1862">
        <v>73902.33503651699</v>
      </c>
      <c r="K215" s="1862"/>
      <c r="L215" s="1862">
        <f t="shared" si="19"/>
        <v>-15240.33503651699</v>
      </c>
      <c r="M215" s="1862">
        <f>M214+Tabla1[[#This Row],[Desbalance
TPL]]</f>
        <v>-151833.8800401144</v>
      </c>
    </row>
    <row r="216" spans="2:13" x14ac:dyDescent="0.25">
      <c r="B216" s="1859">
        <f t="shared" si="15"/>
        <v>2014</v>
      </c>
      <c r="C216" s="1859">
        <f t="shared" si="16"/>
        <v>2</v>
      </c>
      <c r="D216" s="1860">
        <f t="shared" si="17"/>
        <v>41675</v>
      </c>
      <c r="E216" s="1861">
        <v>41675</v>
      </c>
      <c r="F216" s="1862">
        <f t="shared" si="18"/>
        <v>0</v>
      </c>
      <c r="G216" s="1862">
        <v>65000</v>
      </c>
      <c r="H216" s="1862">
        <v>65000</v>
      </c>
      <c r="I216" s="1862">
        <f>Tabla1[[#This Row],[Extraccion
Norte II]]+Tabla1[[#This Row],[Extraccion
ENO]]</f>
        <v>60489.596584287006</v>
      </c>
      <c r="J216" s="1862">
        <v>60489.596584287006</v>
      </c>
      <c r="K216" s="1862"/>
      <c r="L216" s="1862">
        <f t="shared" si="19"/>
        <v>4510.4034157129936</v>
      </c>
      <c r="M216" s="1862">
        <f>M215+Tabla1[[#This Row],[Desbalance
TPL]]</f>
        <v>-147323.4766244014</v>
      </c>
    </row>
    <row r="217" spans="2:13" x14ac:dyDescent="0.25">
      <c r="B217" s="1859">
        <f t="shared" si="15"/>
        <v>2014</v>
      </c>
      <c r="C217" s="1859">
        <f t="shared" si="16"/>
        <v>2</v>
      </c>
      <c r="D217" s="1860">
        <f t="shared" si="17"/>
        <v>41676</v>
      </c>
      <c r="E217" s="1861">
        <v>41676</v>
      </c>
      <c r="F217" s="1862">
        <f t="shared" si="18"/>
        <v>0</v>
      </c>
      <c r="G217" s="1862">
        <v>64969</v>
      </c>
      <c r="H217" s="1862">
        <v>64969</v>
      </c>
      <c r="I217" s="1862">
        <f>Tabla1[[#This Row],[Extraccion
Norte II]]+Tabla1[[#This Row],[Extraccion
ENO]]</f>
        <v>70781.769832409991</v>
      </c>
      <c r="J217" s="1862">
        <v>70781.769832409991</v>
      </c>
      <c r="K217" s="1862"/>
      <c r="L217" s="1862">
        <f t="shared" si="19"/>
        <v>-5812.7698324099911</v>
      </c>
      <c r="M217" s="1862">
        <f>M216+Tabla1[[#This Row],[Desbalance
TPL]]</f>
        <v>-153136.24645681138</v>
      </c>
    </row>
    <row r="218" spans="2:13" x14ac:dyDescent="0.25">
      <c r="B218" s="1859">
        <f t="shared" si="15"/>
        <v>2014</v>
      </c>
      <c r="C218" s="1859">
        <f t="shared" si="16"/>
        <v>2</v>
      </c>
      <c r="D218" s="1860">
        <f t="shared" si="17"/>
        <v>41677</v>
      </c>
      <c r="E218" s="1861">
        <v>41677</v>
      </c>
      <c r="F218" s="1862">
        <f t="shared" si="18"/>
        <v>0</v>
      </c>
      <c r="G218" s="1862">
        <v>57226</v>
      </c>
      <c r="H218" s="1862">
        <v>57226</v>
      </c>
      <c r="I218" s="1862">
        <f>Tabla1[[#This Row],[Extraccion
Norte II]]+Tabla1[[#This Row],[Extraccion
ENO]]</f>
        <v>70445.278684521021</v>
      </c>
      <c r="J218" s="1862">
        <v>70445.278684521021</v>
      </c>
      <c r="K218" s="1862"/>
      <c r="L218" s="1862">
        <f t="shared" si="19"/>
        <v>-13219.278684521021</v>
      </c>
      <c r="M218" s="1862">
        <f>M217+Tabla1[[#This Row],[Desbalance
TPL]]</f>
        <v>-166355.52514133241</v>
      </c>
    </row>
    <row r="219" spans="2:13" x14ac:dyDescent="0.25">
      <c r="B219" s="1859">
        <f t="shared" si="15"/>
        <v>2014</v>
      </c>
      <c r="C219" s="1859">
        <f t="shared" si="16"/>
        <v>2</v>
      </c>
      <c r="D219" s="1860">
        <f t="shared" si="17"/>
        <v>41678</v>
      </c>
      <c r="E219" s="1861">
        <v>41678</v>
      </c>
      <c r="F219" s="1862">
        <f t="shared" si="18"/>
        <v>0</v>
      </c>
      <c r="G219" s="1862">
        <v>79976</v>
      </c>
      <c r="H219" s="1862">
        <v>79976</v>
      </c>
      <c r="I219" s="1862">
        <f>Tabla1[[#This Row],[Extraccion
Norte II]]+Tabla1[[#This Row],[Extraccion
ENO]]</f>
        <v>69442.475976899994</v>
      </c>
      <c r="J219" s="1862">
        <v>69442.475976899994</v>
      </c>
      <c r="K219" s="1862"/>
      <c r="L219" s="1862">
        <f t="shared" si="19"/>
        <v>10533.524023100006</v>
      </c>
      <c r="M219" s="1862">
        <f>M218+Tabla1[[#This Row],[Desbalance
TPL]]</f>
        <v>-155822.00111823241</v>
      </c>
    </row>
    <row r="220" spans="2:13" x14ac:dyDescent="0.25">
      <c r="B220" s="1859">
        <f t="shared" ref="B220:B283" si="20">YEAR(E220)</f>
        <v>2014</v>
      </c>
      <c r="C220" s="1859">
        <f t="shared" ref="C220:C283" si="21">MONTH(E220)</f>
        <v>2</v>
      </c>
      <c r="D220" s="1860">
        <f t="shared" ref="D220:D283" si="22">E220</f>
        <v>41679</v>
      </c>
      <c r="E220" s="1861">
        <v>41679</v>
      </c>
      <c r="F220" s="1862">
        <f t="shared" si="18"/>
        <v>0</v>
      </c>
      <c r="G220" s="1862">
        <v>79976</v>
      </c>
      <c r="H220" s="1862">
        <v>79976</v>
      </c>
      <c r="I220" s="1862">
        <f>Tabla1[[#This Row],[Extraccion
Norte II]]+Tabla1[[#This Row],[Extraccion
ENO]]</f>
        <v>64494.948957894005</v>
      </c>
      <c r="J220" s="1862">
        <v>64494.948957894005</v>
      </c>
      <c r="K220" s="1862"/>
      <c r="L220" s="1862">
        <f t="shared" si="19"/>
        <v>15481.051042105995</v>
      </c>
      <c r="M220" s="1862">
        <f>M219+Tabla1[[#This Row],[Desbalance
TPL]]</f>
        <v>-140340.95007612641</v>
      </c>
    </row>
    <row r="221" spans="2:13" x14ac:dyDescent="0.25">
      <c r="B221" s="1859">
        <f t="shared" si="20"/>
        <v>2014</v>
      </c>
      <c r="C221" s="1859">
        <f t="shared" si="21"/>
        <v>2</v>
      </c>
      <c r="D221" s="1860">
        <f t="shared" si="22"/>
        <v>41680</v>
      </c>
      <c r="E221" s="1861">
        <v>41680</v>
      </c>
      <c r="F221" s="1862">
        <f t="shared" si="18"/>
        <v>0</v>
      </c>
      <c r="G221" s="1862">
        <v>79976</v>
      </c>
      <c r="H221" s="1862">
        <v>79976</v>
      </c>
      <c r="I221" s="1862">
        <f>Tabla1[[#This Row],[Extraccion
Norte II]]+Tabla1[[#This Row],[Extraccion
ENO]]</f>
        <v>73945.269250983009</v>
      </c>
      <c r="J221" s="1862">
        <v>73945.269250983009</v>
      </c>
      <c r="K221" s="1862"/>
      <c r="L221" s="1862">
        <f t="shared" si="19"/>
        <v>6030.7307490169915</v>
      </c>
      <c r="M221" s="1862">
        <f>M220+Tabla1[[#This Row],[Desbalance
TPL]]</f>
        <v>-134310.2193271094</v>
      </c>
    </row>
    <row r="222" spans="2:13" x14ac:dyDescent="0.25">
      <c r="B222" s="1859">
        <f t="shared" si="20"/>
        <v>2014</v>
      </c>
      <c r="C222" s="1859">
        <f t="shared" si="21"/>
        <v>2</v>
      </c>
      <c r="D222" s="1860">
        <f t="shared" si="22"/>
        <v>41681</v>
      </c>
      <c r="E222" s="1861">
        <v>41681</v>
      </c>
      <c r="F222" s="1862">
        <f t="shared" si="18"/>
        <v>0</v>
      </c>
      <c r="G222" s="1862">
        <v>82000</v>
      </c>
      <c r="H222" s="1862">
        <v>82000</v>
      </c>
      <c r="I222" s="1862">
        <f>Tabla1[[#This Row],[Extraccion
Norte II]]+Tabla1[[#This Row],[Extraccion
ENO]]</f>
        <v>74130.175760673243</v>
      </c>
      <c r="J222" s="1862">
        <v>74130.175760673243</v>
      </c>
      <c r="K222" s="1862"/>
      <c r="L222" s="1862">
        <f t="shared" si="19"/>
        <v>7869.8242393267574</v>
      </c>
      <c r="M222" s="1862">
        <f>M221+Tabla1[[#This Row],[Desbalance
TPL]]</f>
        <v>-126440.39508778264</v>
      </c>
    </row>
    <row r="223" spans="2:13" x14ac:dyDescent="0.25">
      <c r="B223" s="1859">
        <f t="shared" si="20"/>
        <v>2014</v>
      </c>
      <c r="C223" s="1859">
        <f t="shared" si="21"/>
        <v>2</v>
      </c>
      <c r="D223" s="1860">
        <f t="shared" si="22"/>
        <v>41682</v>
      </c>
      <c r="E223" s="1861">
        <v>41682</v>
      </c>
      <c r="F223" s="1862">
        <f t="shared" si="18"/>
        <v>0</v>
      </c>
      <c r="G223" s="1862">
        <v>82055</v>
      </c>
      <c r="H223" s="1862">
        <v>82055</v>
      </c>
      <c r="I223" s="1862">
        <f>Tabla1[[#This Row],[Extraccion
Norte II]]+Tabla1[[#This Row],[Extraccion
ENO]]</f>
        <v>66427.094489501062</v>
      </c>
      <c r="J223" s="1862">
        <v>66427.094489501062</v>
      </c>
      <c r="K223" s="1862"/>
      <c r="L223" s="1862">
        <f t="shared" si="19"/>
        <v>15627.905510498938</v>
      </c>
      <c r="M223" s="1862">
        <f>M222+Tabla1[[#This Row],[Desbalance
TPL]]</f>
        <v>-110812.4895772837</v>
      </c>
    </row>
    <row r="224" spans="2:13" x14ac:dyDescent="0.25">
      <c r="B224" s="1859">
        <f t="shared" si="20"/>
        <v>2014</v>
      </c>
      <c r="C224" s="1859">
        <f t="shared" si="21"/>
        <v>2</v>
      </c>
      <c r="D224" s="1860">
        <f t="shared" si="22"/>
        <v>41683</v>
      </c>
      <c r="E224" s="1861">
        <v>41683</v>
      </c>
      <c r="F224" s="1862">
        <f t="shared" si="18"/>
        <v>0</v>
      </c>
      <c r="G224" s="1862">
        <v>89912</v>
      </c>
      <c r="H224" s="1862">
        <v>89912</v>
      </c>
      <c r="I224" s="1862">
        <f>Tabla1[[#This Row],[Extraccion
Norte II]]+Tabla1[[#This Row],[Extraccion
ENO]]</f>
        <v>63755.753151277866</v>
      </c>
      <c r="J224" s="1862">
        <v>63755.753151277866</v>
      </c>
      <c r="K224" s="1862"/>
      <c r="L224" s="1862">
        <f t="shared" si="19"/>
        <v>26156.246848722134</v>
      </c>
      <c r="M224" s="1862">
        <f>M223+Tabla1[[#This Row],[Desbalance
TPL]]</f>
        <v>-84656.24272856157</v>
      </c>
    </row>
    <row r="225" spans="2:13" x14ac:dyDescent="0.25">
      <c r="B225" s="1859">
        <f t="shared" si="20"/>
        <v>2014</v>
      </c>
      <c r="C225" s="1859">
        <f t="shared" si="21"/>
        <v>2</v>
      </c>
      <c r="D225" s="1860">
        <f t="shared" si="22"/>
        <v>41684</v>
      </c>
      <c r="E225" s="1861">
        <v>41684</v>
      </c>
      <c r="F225" s="1862">
        <f t="shared" si="18"/>
        <v>0</v>
      </c>
      <c r="G225" s="1862">
        <v>84982</v>
      </c>
      <c r="H225" s="1862">
        <v>84982</v>
      </c>
      <c r="I225" s="1862">
        <f>Tabla1[[#This Row],[Extraccion
Norte II]]+Tabla1[[#This Row],[Extraccion
ENO]]</f>
        <v>66485.800831903602</v>
      </c>
      <c r="J225" s="1862">
        <v>66485.800831903602</v>
      </c>
      <c r="K225" s="1862"/>
      <c r="L225" s="1862">
        <f t="shared" si="19"/>
        <v>18496.199168096398</v>
      </c>
      <c r="M225" s="1862">
        <f>M224+Tabla1[[#This Row],[Desbalance
TPL]]</f>
        <v>-66160.043560465172</v>
      </c>
    </row>
    <row r="226" spans="2:13" x14ac:dyDescent="0.25">
      <c r="B226" s="1859">
        <f t="shared" si="20"/>
        <v>2014</v>
      </c>
      <c r="C226" s="1859">
        <f t="shared" si="21"/>
        <v>2</v>
      </c>
      <c r="D226" s="1860">
        <f t="shared" si="22"/>
        <v>41685</v>
      </c>
      <c r="E226" s="1861">
        <v>41685</v>
      </c>
      <c r="F226" s="1862">
        <f t="shared" si="18"/>
        <v>0</v>
      </c>
      <c r="G226" s="1862">
        <v>75020</v>
      </c>
      <c r="H226" s="1862">
        <v>75020</v>
      </c>
      <c r="I226" s="1862">
        <f>Tabla1[[#This Row],[Extraccion
Norte II]]+Tabla1[[#This Row],[Extraccion
ENO]]</f>
        <v>58501.157082732003</v>
      </c>
      <c r="J226" s="1862">
        <v>58501.157082732003</v>
      </c>
      <c r="K226" s="1862"/>
      <c r="L226" s="1862">
        <f t="shared" si="19"/>
        <v>16518.842917267997</v>
      </c>
      <c r="M226" s="1862">
        <f>M225+Tabla1[[#This Row],[Desbalance
TPL]]</f>
        <v>-49641.200643197175</v>
      </c>
    </row>
    <row r="227" spans="2:13" x14ac:dyDescent="0.25">
      <c r="B227" s="1859">
        <f t="shared" si="20"/>
        <v>2014</v>
      </c>
      <c r="C227" s="1859">
        <f t="shared" si="21"/>
        <v>2</v>
      </c>
      <c r="D227" s="1860">
        <f t="shared" si="22"/>
        <v>41686</v>
      </c>
      <c r="E227" s="1861">
        <v>41686</v>
      </c>
      <c r="F227" s="1862">
        <f t="shared" si="18"/>
        <v>0</v>
      </c>
      <c r="G227" s="1862">
        <v>75020</v>
      </c>
      <c r="H227" s="1862">
        <v>75020</v>
      </c>
      <c r="I227" s="1862">
        <f>Tabla1[[#This Row],[Extraccion
Norte II]]+Tabla1[[#This Row],[Extraccion
ENO]]</f>
        <v>54925.777152089999</v>
      </c>
      <c r="J227" s="1862">
        <v>54925.777152089999</v>
      </c>
      <c r="K227" s="1862"/>
      <c r="L227" s="1862">
        <f t="shared" si="19"/>
        <v>20094.222847910001</v>
      </c>
      <c r="M227" s="1862">
        <f>M226+Tabla1[[#This Row],[Desbalance
TPL]]</f>
        <v>-29546.977795287174</v>
      </c>
    </row>
    <row r="228" spans="2:13" x14ac:dyDescent="0.25">
      <c r="B228" s="1859">
        <f t="shared" si="20"/>
        <v>2014</v>
      </c>
      <c r="C228" s="1859">
        <f t="shared" si="21"/>
        <v>2</v>
      </c>
      <c r="D228" s="1860">
        <f t="shared" si="22"/>
        <v>41687</v>
      </c>
      <c r="E228" s="1861">
        <v>41687</v>
      </c>
      <c r="F228" s="1862">
        <f t="shared" si="18"/>
        <v>0</v>
      </c>
      <c r="G228" s="1862">
        <v>75020</v>
      </c>
      <c r="H228" s="1862">
        <v>75020</v>
      </c>
      <c r="I228" s="1862">
        <f>Tabla1[[#This Row],[Extraccion
Norte II]]+Tabla1[[#This Row],[Extraccion
ENO]]</f>
        <v>66705.208915409996</v>
      </c>
      <c r="J228" s="1862">
        <v>66705.208915409996</v>
      </c>
      <c r="K228" s="1862"/>
      <c r="L228" s="1862">
        <f t="shared" si="19"/>
        <v>8314.7910845900042</v>
      </c>
      <c r="M228" s="1862">
        <f>M227+Tabla1[[#This Row],[Desbalance
TPL]]</f>
        <v>-21232.186710697169</v>
      </c>
    </row>
    <row r="229" spans="2:13" x14ac:dyDescent="0.25">
      <c r="B229" s="1859">
        <f t="shared" si="20"/>
        <v>2014</v>
      </c>
      <c r="C229" s="1859">
        <f t="shared" si="21"/>
        <v>2</v>
      </c>
      <c r="D229" s="1860">
        <f t="shared" si="22"/>
        <v>41688</v>
      </c>
      <c r="E229" s="1861">
        <v>41688</v>
      </c>
      <c r="F229" s="1862">
        <f t="shared" si="18"/>
        <v>0</v>
      </c>
      <c r="G229" s="1862">
        <v>75020</v>
      </c>
      <c r="H229" s="1862">
        <v>75020</v>
      </c>
      <c r="I229" s="1862">
        <f>Tabla1[[#This Row],[Extraccion
Norte II]]+Tabla1[[#This Row],[Extraccion
ENO]]</f>
        <v>68765.328973223994</v>
      </c>
      <c r="J229" s="1862">
        <v>68765.328973223994</v>
      </c>
      <c r="K229" s="1862"/>
      <c r="L229" s="1862">
        <f t="shared" si="19"/>
        <v>6254.6710267760063</v>
      </c>
      <c r="M229" s="1862">
        <f>M228+Tabla1[[#This Row],[Desbalance
TPL]]</f>
        <v>-14977.515683921163</v>
      </c>
    </row>
    <row r="230" spans="2:13" x14ac:dyDescent="0.25">
      <c r="B230" s="1859">
        <f t="shared" si="20"/>
        <v>2014</v>
      </c>
      <c r="C230" s="1859">
        <f t="shared" si="21"/>
        <v>2</v>
      </c>
      <c r="D230" s="1860">
        <f t="shared" si="22"/>
        <v>41689</v>
      </c>
      <c r="E230" s="1861">
        <v>41689</v>
      </c>
      <c r="F230" s="1862">
        <f t="shared" si="18"/>
        <v>0</v>
      </c>
      <c r="G230" s="1862">
        <v>52000</v>
      </c>
      <c r="H230" s="1862">
        <v>52000</v>
      </c>
      <c r="I230" s="1862">
        <f>Tabla1[[#This Row],[Extraccion
Norte II]]+Tabla1[[#This Row],[Extraccion
ENO]]</f>
        <v>72229.588734420002</v>
      </c>
      <c r="J230" s="1862">
        <v>72229.588734420002</v>
      </c>
      <c r="K230" s="1862"/>
      <c r="L230" s="1862">
        <f t="shared" si="19"/>
        <v>-20229.588734420002</v>
      </c>
      <c r="M230" s="1862">
        <f>M229+Tabla1[[#This Row],[Desbalance
TPL]]</f>
        <v>-35207.104418341165</v>
      </c>
    </row>
    <row r="231" spans="2:13" x14ac:dyDescent="0.25">
      <c r="B231" s="1859">
        <f t="shared" si="20"/>
        <v>2014</v>
      </c>
      <c r="C231" s="1859">
        <f t="shared" si="21"/>
        <v>2</v>
      </c>
      <c r="D231" s="1860">
        <f t="shared" si="22"/>
        <v>41690</v>
      </c>
      <c r="E231" s="1861">
        <v>41690</v>
      </c>
      <c r="F231" s="1862">
        <f t="shared" si="18"/>
        <v>0</v>
      </c>
      <c r="G231" s="1862">
        <v>58010</v>
      </c>
      <c r="H231" s="1862">
        <v>58010</v>
      </c>
      <c r="I231" s="1862">
        <f>Tabla1[[#This Row],[Extraccion
Norte II]]+Tabla1[[#This Row],[Extraccion
ENO]]</f>
        <v>72085.83333003</v>
      </c>
      <c r="J231" s="1862">
        <v>72085.83333003</v>
      </c>
      <c r="K231" s="1862"/>
      <c r="L231" s="1862">
        <f t="shared" si="19"/>
        <v>-14075.83333003</v>
      </c>
      <c r="M231" s="1862">
        <f>M230+Tabla1[[#This Row],[Desbalance
TPL]]</f>
        <v>-49282.937748371165</v>
      </c>
    </row>
    <row r="232" spans="2:13" x14ac:dyDescent="0.25">
      <c r="B232" s="1859">
        <f t="shared" si="20"/>
        <v>2014</v>
      </c>
      <c r="C232" s="1859">
        <f t="shared" si="21"/>
        <v>2</v>
      </c>
      <c r="D232" s="1860">
        <f t="shared" si="22"/>
        <v>41691</v>
      </c>
      <c r="E232" s="1861">
        <v>41691</v>
      </c>
      <c r="F232" s="1862">
        <f t="shared" si="18"/>
        <v>0</v>
      </c>
      <c r="G232" s="1862">
        <v>65000</v>
      </c>
      <c r="H232" s="1862">
        <v>65000</v>
      </c>
      <c r="I232" s="1862">
        <f>Tabla1[[#This Row],[Extraccion
Norte II]]+Tabla1[[#This Row],[Extraccion
ENO]]</f>
        <v>68981.69474235001</v>
      </c>
      <c r="J232" s="1862">
        <v>68981.69474235001</v>
      </c>
      <c r="K232" s="1862"/>
      <c r="L232" s="1862">
        <f t="shared" si="19"/>
        <v>-3981.6947423500096</v>
      </c>
      <c r="M232" s="1862">
        <f>M231+Tabla1[[#This Row],[Desbalance
TPL]]</f>
        <v>-53264.632490721175</v>
      </c>
    </row>
    <row r="233" spans="2:13" x14ac:dyDescent="0.25">
      <c r="B233" s="1859">
        <f t="shared" si="20"/>
        <v>2014</v>
      </c>
      <c r="C233" s="1859">
        <f t="shared" si="21"/>
        <v>2</v>
      </c>
      <c r="D233" s="1860">
        <f t="shared" si="22"/>
        <v>41692</v>
      </c>
      <c r="E233" s="1861">
        <v>41692</v>
      </c>
      <c r="F233" s="1862">
        <f t="shared" si="18"/>
        <v>0</v>
      </c>
      <c r="G233" s="1862">
        <v>59518</v>
      </c>
      <c r="H233" s="1862">
        <v>59518</v>
      </c>
      <c r="I233" s="1862">
        <f>Tabla1[[#This Row],[Extraccion
Norte II]]+Tabla1[[#This Row],[Extraccion
ENO]]</f>
        <v>67061.891408850002</v>
      </c>
      <c r="J233" s="1862">
        <v>67061.891408850002</v>
      </c>
      <c r="K233" s="1862"/>
      <c r="L233" s="1862">
        <f t="shared" si="19"/>
        <v>-7543.8914088500023</v>
      </c>
      <c r="M233" s="1862">
        <f>M232+Tabla1[[#This Row],[Desbalance
TPL]]</f>
        <v>-60808.523899571177</v>
      </c>
    </row>
    <row r="234" spans="2:13" x14ac:dyDescent="0.25">
      <c r="B234" s="1859">
        <f t="shared" si="20"/>
        <v>2014</v>
      </c>
      <c r="C234" s="1859">
        <f t="shared" si="21"/>
        <v>2</v>
      </c>
      <c r="D234" s="1860">
        <f t="shared" si="22"/>
        <v>41693</v>
      </c>
      <c r="E234" s="1861">
        <v>41693</v>
      </c>
      <c r="F234" s="1862">
        <f t="shared" si="18"/>
        <v>0</v>
      </c>
      <c r="G234" s="1862">
        <v>65000</v>
      </c>
      <c r="H234" s="1862">
        <v>65000</v>
      </c>
      <c r="I234" s="1862">
        <f>Tabla1[[#This Row],[Extraccion
Norte II]]+Tabla1[[#This Row],[Extraccion
ENO]]</f>
        <v>67644.315477179989</v>
      </c>
      <c r="J234" s="1862">
        <v>67644.315477179989</v>
      </c>
      <c r="K234" s="1862"/>
      <c r="L234" s="1862">
        <f t="shared" si="19"/>
        <v>-2644.3154771799891</v>
      </c>
      <c r="M234" s="1862">
        <f>M233+Tabla1[[#This Row],[Desbalance
TPL]]</f>
        <v>-63452.839376751166</v>
      </c>
    </row>
    <row r="235" spans="2:13" x14ac:dyDescent="0.25">
      <c r="B235" s="1859">
        <f t="shared" si="20"/>
        <v>2014</v>
      </c>
      <c r="C235" s="1859">
        <f t="shared" si="21"/>
        <v>2</v>
      </c>
      <c r="D235" s="1860">
        <f t="shared" si="22"/>
        <v>41694</v>
      </c>
      <c r="E235" s="1861">
        <v>41694</v>
      </c>
      <c r="F235" s="1862">
        <f t="shared" si="18"/>
        <v>0</v>
      </c>
      <c r="G235" s="1862">
        <v>65000</v>
      </c>
      <c r="H235" s="1862">
        <v>65000</v>
      </c>
      <c r="I235" s="1862">
        <f>Tabla1[[#This Row],[Extraccion
Norte II]]+Tabla1[[#This Row],[Extraccion
ENO]]</f>
        <v>74105.539418781002</v>
      </c>
      <c r="J235" s="1862">
        <v>74105.539418781002</v>
      </c>
      <c r="K235" s="1862"/>
      <c r="L235" s="1862">
        <f t="shared" si="19"/>
        <v>-9105.5394187810016</v>
      </c>
      <c r="M235" s="1862">
        <f>M234+Tabla1[[#This Row],[Desbalance
TPL]]</f>
        <v>-72558.37879553216</v>
      </c>
    </row>
    <row r="236" spans="2:13" x14ac:dyDescent="0.25">
      <c r="B236" s="1859">
        <f t="shared" si="20"/>
        <v>2014</v>
      </c>
      <c r="C236" s="1859">
        <f t="shared" si="21"/>
        <v>2</v>
      </c>
      <c r="D236" s="1860">
        <f t="shared" si="22"/>
        <v>41695</v>
      </c>
      <c r="E236" s="1861">
        <v>41695</v>
      </c>
      <c r="F236" s="1862">
        <f t="shared" si="18"/>
        <v>0</v>
      </c>
      <c r="G236" s="1862">
        <v>64999</v>
      </c>
      <c r="H236" s="1862">
        <v>64999</v>
      </c>
      <c r="I236" s="1862">
        <f>Tabla1[[#This Row],[Extraccion
Norte II]]+Tabla1[[#This Row],[Extraccion
ENO]]</f>
        <v>73779.509327120977</v>
      </c>
      <c r="J236" s="1862">
        <v>73779.509327120977</v>
      </c>
      <c r="K236" s="1862"/>
      <c r="L236" s="1862">
        <f t="shared" si="19"/>
        <v>-8780.5093271209771</v>
      </c>
      <c r="M236" s="1862">
        <f>M235+Tabla1[[#This Row],[Desbalance
TPL]]</f>
        <v>-81338.888122653138</v>
      </c>
    </row>
    <row r="237" spans="2:13" x14ac:dyDescent="0.25">
      <c r="B237" s="1859">
        <f t="shared" si="20"/>
        <v>2014</v>
      </c>
      <c r="C237" s="1859">
        <f t="shared" si="21"/>
        <v>2</v>
      </c>
      <c r="D237" s="1860">
        <f t="shared" si="22"/>
        <v>41696</v>
      </c>
      <c r="E237" s="1861">
        <v>41696</v>
      </c>
      <c r="F237" s="1862">
        <f t="shared" si="18"/>
        <v>0</v>
      </c>
      <c r="G237" s="1862">
        <v>72000</v>
      </c>
      <c r="H237" s="1862">
        <v>72000</v>
      </c>
      <c r="I237" s="1862">
        <f>Tabla1[[#This Row],[Extraccion
Norte II]]+Tabla1[[#This Row],[Extraccion
ENO]]</f>
        <v>73105.759299572994</v>
      </c>
      <c r="J237" s="1862">
        <v>73105.759299572994</v>
      </c>
      <c r="K237" s="1862"/>
      <c r="L237" s="1862">
        <f t="shared" si="19"/>
        <v>-1105.7592995729938</v>
      </c>
      <c r="M237" s="1862">
        <f>M236+Tabla1[[#This Row],[Desbalance
TPL]]</f>
        <v>-82444.647422226131</v>
      </c>
    </row>
    <row r="238" spans="2:13" x14ac:dyDescent="0.25">
      <c r="B238" s="1859">
        <f t="shared" si="20"/>
        <v>2014</v>
      </c>
      <c r="C238" s="1859">
        <f t="shared" si="21"/>
        <v>2</v>
      </c>
      <c r="D238" s="1860">
        <f t="shared" si="22"/>
        <v>41697</v>
      </c>
      <c r="E238" s="1861">
        <v>41697</v>
      </c>
      <c r="F238" s="1862">
        <f t="shared" si="18"/>
        <v>0</v>
      </c>
      <c r="G238" s="1862">
        <v>62717</v>
      </c>
      <c r="H238" s="1862">
        <v>62717</v>
      </c>
      <c r="I238" s="1862">
        <f>Tabla1[[#This Row],[Extraccion
Norte II]]+Tabla1[[#This Row],[Extraccion
ENO]]</f>
        <v>71580.717955305008</v>
      </c>
      <c r="J238" s="1862">
        <v>71580.717955305008</v>
      </c>
      <c r="K238" s="1862"/>
      <c r="L238" s="1862">
        <f t="shared" si="19"/>
        <v>-8863.7179553050082</v>
      </c>
      <c r="M238" s="1862">
        <f>M237+Tabla1[[#This Row],[Desbalance
TPL]]</f>
        <v>-91308.36537753114</v>
      </c>
    </row>
    <row r="239" spans="2:13" x14ac:dyDescent="0.25">
      <c r="B239" s="1859">
        <f t="shared" si="20"/>
        <v>2014</v>
      </c>
      <c r="C239" s="1859">
        <f t="shared" si="21"/>
        <v>2</v>
      </c>
      <c r="D239" s="1860">
        <f t="shared" si="22"/>
        <v>41698</v>
      </c>
      <c r="E239" s="1861">
        <v>41698</v>
      </c>
      <c r="F239" s="1862">
        <f t="shared" si="18"/>
        <v>1</v>
      </c>
      <c r="G239" s="1862">
        <v>73002</v>
      </c>
      <c r="H239" s="1862">
        <v>73001</v>
      </c>
      <c r="I239" s="1862">
        <f>Tabla1[[#This Row],[Extraccion
Norte II]]+Tabla1[[#This Row],[Extraccion
ENO]]</f>
        <v>69882.939169304969</v>
      </c>
      <c r="J239" s="1862">
        <v>69882.939169304969</v>
      </c>
      <c r="K239" s="1862"/>
      <c r="L239" s="1862">
        <f t="shared" si="19"/>
        <v>3118.0608306950307</v>
      </c>
      <c r="M239" s="1862">
        <f>M238+Tabla1[[#This Row],[Desbalance
TPL]]</f>
        <v>-88190.304546836109</v>
      </c>
    </row>
    <row r="240" spans="2:13" x14ac:dyDescent="0.25">
      <c r="B240" s="1859">
        <f t="shared" si="20"/>
        <v>2014</v>
      </c>
      <c r="C240" s="1859">
        <f t="shared" si="21"/>
        <v>3</v>
      </c>
      <c r="D240" s="1860">
        <f t="shared" si="22"/>
        <v>41699</v>
      </c>
      <c r="E240" s="1861">
        <v>41699</v>
      </c>
      <c r="F240" s="1862">
        <f t="shared" si="18"/>
        <v>0</v>
      </c>
      <c r="G240" s="1862">
        <v>68001</v>
      </c>
      <c r="H240" s="1862">
        <v>68001</v>
      </c>
      <c r="I240" s="1862">
        <f>Tabla1[[#This Row],[Extraccion
Norte II]]+Tabla1[[#This Row],[Extraccion
ENO]]</f>
        <v>66348.678072690003</v>
      </c>
      <c r="J240" s="1862">
        <v>66348.678072690003</v>
      </c>
      <c r="K240" s="1862"/>
      <c r="L240" s="1862">
        <f t="shared" si="19"/>
        <v>1652.3219273099967</v>
      </c>
      <c r="M240" s="1862">
        <f>M239+Tabla1[[#This Row],[Desbalance
TPL]]</f>
        <v>-86537.982619526112</v>
      </c>
    </row>
    <row r="241" spans="2:13" x14ac:dyDescent="0.25">
      <c r="B241" s="1859">
        <f t="shared" si="20"/>
        <v>2014</v>
      </c>
      <c r="C241" s="1859">
        <f t="shared" si="21"/>
        <v>3</v>
      </c>
      <c r="D241" s="1860">
        <f t="shared" si="22"/>
        <v>41700</v>
      </c>
      <c r="E241" s="1861">
        <v>41700</v>
      </c>
      <c r="F241" s="1862">
        <f t="shared" si="18"/>
        <v>0</v>
      </c>
      <c r="G241" s="1862">
        <v>68001</v>
      </c>
      <c r="H241" s="1862">
        <v>68001</v>
      </c>
      <c r="I241" s="1862">
        <f>Tabla1[[#This Row],[Extraccion
Norte II]]+Tabla1[[#This Row],[Extraccion
ENO]]</f>
        <v>68850.677998440005</v>
      </c>
      <c r="J241" s="1862">
        <v>68850.677998440005</v>
      </c>
      <c r="K241" s="1862"/>
      <c r="L241" s="1862">
        <f t="shared" si="19"/>
        <v>-849.67799844000547</v>
      </c>
      <c r="M241" s="1862">
        <f>M240+Tabla1[[#This Row],[Desbalance
TPL]]</f>
        <v>-87387.660617966118</v>
      </c>
    </row>
    <row r="242" spans="2:13" x14ac:dyDescent="0.25">
      <c r="B242" s="1859">
        <f t="shared" si="20"/>
        <v>2014</v>
      </c>
      <c r="C242" s="1859">
        <f t="shared" si="21"/>
        <v>3</v>
      </c>
      <c r="D242" s="1860">
        <f t="shared" si="22"/>
        <v>41701</v>
      </c>
      <c r="E242" s="1861">
        <v>41701</v>
      </c>
      <c r="F242" s="1862">
        <f t="shared" si="18"/>
        <v>0</v>
      </c>
      <c r="G242" s="1862">
        <v>68001</v>
      </c>
      <c r="H242" s="1862">
        <v>68001</v>
      </c>
      <c r="I242" s="1862">
        <f>Tabla1[[#This Row],[Extraccion
Norte II]]+Tabla1[[#This Row],[Extraccion
ENO]]</f>
        <v>67697.848181339999</v>
      </c>
      <c r="J242" s="1862">
        <v>67697.848181339999</v>
      </c>
      <c r="K242" s="1862"/>
      <c r="L242" s="1862">
        <f t="shared" si="19"/>
        <v>303.15181866000057</v>
      </c>
      <c r="M242" s="1862">
        <f>M241+Tabla1[[#This Row],[Desbalance
TPL]]</f>
        <v>-87084.508799306117</v>
      </c>
    </row>
    <row r="243" spans="2:13" x14ac:dyDescent="0.25">
      <c r="B243" s="1859">
        <f t="shared" si="20"/>
        <v>2014</v>
      </c>
      <c r="C243" s="1859">
        <f t="shared" si="21"/>
        <v>3</v>
      </c>
      <c r="D243" s="1860">
        <f t="shared" si="22"/>
        <v>41702</v>
      </c>
      <c r="E243" s="1861">
        <v>41702</v>
      </c>
      <c r="F243" s="1862">
        <f t="shared" si="18"/>
        <v>0</v>
      </c>
      <c r="G243" s="1862">
        <v>74881</v>
      </c>
      <c r="H243" s="1862">
        <v>74881</v>
      </c>
      <c r="I243" s="1862">
        <f>Tabla1[[#This Row],[Extraccion
Norte II]]+Tabla1[[#This Row],[Extraccion
ENO]]</f>
        <v>69812.037407736017</v>
      </c>
      <c r="J243" s="1862">
        <v>69812.037407736017</v>
      </c>
      <c r="K243" s="1862"/>
      <c r="L243" s="1862">
        <f t="shared" si="19"/>
        <v>5068.9625922639825</v>
      </c>
      <c r="M243" s="1862">
        <f>M242+Tabla1[[#This Row],[Desbalance
TPL]]</f>
        <v>-82015.546207042134</v>
      </c>
    </row>
    <row r="244" spans="2:13" x14ac:dyDescent="0.25">
      <c r="B244" s="1859">
        <f t="shared" si="20"/>
        <v>2014</v>
      </c>
      <c r="C244" s="1859">
        <f t="shared" si="21"/>
        <v>3</v>
      </c>
      <c r="D244" s="1860">
        <f t="shared" si="22"/>
        <v>41703</v>
      </c>
      <c r="E244" s="1861">
        <v>41703</v>
      </c>
      <c r="F244" s="1862">
        <f t="shared" si="18"/>
        <v>0</v>
      </c>
      <c r="G244" s="1862">
        <v>74830</v>
      </c>
      <c r="H244" s="1862">
        <v>74830</v>
      </c>
      <c r="I244" s="1862">
        <f>Tabla1[[#This Row],[Extraccion
Norte II]]+Tabla1[[#This Row],[Extraccion
ENO]]</f>
        <v>69668.909458200011</v>
      </c>
      <c r="J244" s="1862">
        <v>69668.909458200011</v>
      </c>
      <c r="K244" s="1862"/>
      <c r="L244" s="1862">
        <f t="shared" si="19"/>
        <v>5161.0905417999893</v>
      </c>
      <c r="M244" s="1862">
        <f>M243+Tabla1[[#This Row],[Desbalance
TPL]]</f>
        <v>-76854.455665242145</v>
      </c>
    </row>
    <row r="245" spans="2:13" x14ac:dyDescent="0.25">
      <c r="B245" s="1859">
        <f t="shared" si="20"/>
        <v>2014</v>
      </c>
      <c r="C245" s="1859">
        <f t="shared" si="21"/>
        <v>3</v>
      </c>
      <c r="D245" s="1860">
        <f t="shared" si="22"/>
        <v>41704</v>
      </c>
      <c r="E245" s="1861">
        <v>41704</v>
      </c>
      <c r="F245" s="1862">
        <f t="shared" si="18"/>
        <v>0</v>
      </c>
      <c r="G245" s="1862">
        <v>75001</v>
      </c>
      <c r="H245" s="1862">
        <v>75001</v>
      </c>
      <c r="I245" s="1862">
        <f>Tabla1[[#This Row],[Extraccion
Norte II]]+Tabla1[[#This Row],[Extraccion
ENO]]</f>
        <v>67886.823934799992</v>
      </c>
      <c r="J245" s="1862">
        <v>67886.823934799992</v>
      </c>
      <c r="K245" s="1862"/>
      <c r="L245" s="1862">
        <f t="shared" si="19"/>
        <v>7114.1760652000085</v>
      </c>
      <c r="M245" s="1862">
        <f>M244+Tabla1[[#This Row],[Desbalance
TPL]]</f>
        <v>-69740.279600042137</v>
      </c>
    </row>
    <row r="246" spans="2:13" x14ac:dyDescent="0.25">
      <c r="B246" s="1859">
        <f t="shared" si="20"/>
        <v>2014</v>
      </c>
      <c r="C246" s="1859">
        <f t="shared" si="21"/>
        <v>3</v>
      </c>
      <c r="D246" s="1860">
        <f t="shared" si="22"/>
        <v>41705</v>
      </c>
      <c r="E246" s="1861">
        <v>41705</v>
      </c>
      <c r="F246" s="1862">
        <f t="shared" si="18"/>
        <v>0</v>
      </c>
      <c r="G246" s="1862">
        <v>74999</v>
      </c>
      <c r="H246" s="1862">
        <v>74999</v>
      </c>
      <c r="I246" s="1862">
        <f>Tabla1[[#This Row],[Extraccion
Norte II]]+Tabla1[[#This Row],[Extraccion
ENO]]</f>
        <v>73558.181735999999</v>
      </c>
      <c r="J246" s="1862">
        <v>73558.181735999999</v>
      </c>
      <c r="K246" s="1862"/>
      <c r="L246" s="1862">
        <f t="shared" si="19"/>
        <v>1440.8182640000014</v>
      </c>
      <c r="M246" s="1862">
        <f>M245+Tabla1[[#This Row],[Desbalance
TPL]]</f>
        <v>-68299.461336042135</v>
      </c>
    </row>
    <row r="247" spans="2:13" x14ac:dyDescent="0.25">
      <c r="B247" s="1859">
        <f t="shared" si="20"/>
        <v>2014</v>
      </c>
      <c r="C247" s="1859">
        <f t="shared" si="21"/>
        <v>3</v>
      </c>
      <c r="D247" s="1860">
        <f t="shared" si="22"/>
        <v>41706</v>
      </c>
      <c r="E247" s="1861">
        <v>41706</v>
      </c>
      <c r="F247" s="1862">
        <f t="shared" si="18"/>
        <v>0</v>
      </c>
      <c r="G247" s="1862">
        <v>68001</v>
      </c>
      <c r="H247" s="1862">
        <v>68001</v>
      </c>
      <c r="I247" s="1862">
        <f>Tabla1[[#This Row],[Extraccion
Norte II]]+Tabla1[[#This Row],[Extraccion
ENO]]</f>
        <v>73292.698194299999</v>
      </c>
      <c r="J247" s="1862">
        <v>73292.698194299999</v>
      </c>
      <c r="K247" s="1862"/>
      <c r="L247" s="1862">
        <f t="shared" si="19"/>
        <v>-5291.6981942999992</v>
      </c>
      <c r="M247" s="1862">
        <f>M246+Tabla1[[#This Row],[Desbalance
TPL]]</f>
        <v>-73591.159530342135</v>
      </c>
    </row>
    <row r="248" spans="2:13" x14ac:dyDescent="0.25">
      <c r="B248" s="1859">
        <f t="shared" si="20"/>
        <v>2014</v>
      </c>
      <c r="C248" s="1859">
        <f t="shared" si="21"/>
        <v>3</v>
      </c>
      <c r="D248" s="1860">
        <f t="shared" si="22"/>
        <v>41707</v>
      </c>
      <c r="E248" s="1861">
        <v>41707</v>
      </c>
      <c r="F248" s="1862">
        <f t="shared" si="18"/>
        <v>0</v>
      </c>
      <c r="G248" s="1862">
        <v>68001</v>
      </c>
      <c r="H248" s="1862">
        <v>68001</v>
      </c>
      <c r="I248" s="1862">
        <f>Tabla1[[#This Row],[Extraccion
Norte II]]+Tabla1[[#This Row],[Extraccion
ENO]]</f>
        <v>70773.211044900003</v>
      </c>
      <c r="J248" s="1862">
        <v>70773.211044900003</v>
      </c>
      <c r="K248" s="1862"/>
      <c r="L248" s="1862">
        <f t="shared" si="19"/>
        <v>-2772.2110449000029</v>
      </c>
      <c r="M248" s="1862">
        <f>M247+Tabla1[[#This Row],[Desbalance
TPL]]</f>
        <v>-76363.370575242137</v>
      </c>
    </row>
    <row r="249" spans="2:13" x14ac:dyDescent="0.25">
      <c r="B249" s="1859">
        <f t="shared" si="20"/>
        <v>2014</v>
      </c>
      <c r="C249" s="1859">
        <f t="shared" si="21"/>
        <v>3</v>
      </c>
      <c r="D249" s="1860">
        <f t="shared" si="22"/>
        <v>41708</v>
      </c>
      <c r="E249" s="1861">
        <v>41708</v>
      </c>
      <c r="F249" s="1862">
        <f t="shared" si="18"/>
        <v>-3992</v>
      </c>
      <c r="G249" s="1862">
        <v>68001</v>
      </c>
      <c r="H249" s="1862">
        <v>71993</v>
      </c>
      <c r="I249" s="1862">
        <f>Tabla1[[#This Row],[Extraccion
Norte II]]+Tabla1[[#This Row],[Extraccion
ENO]]</f>
        <v>70956.613634399997</v>
      </c>
      <c r="J249" s="1862">
        <v>70956.613634399997</v>
      </c>
      <c r="K249" s="1862"/>
      <c r="L249" s="1862">
        <f t="shared" si="19"/>
        <v>1036.386365600003</v>
      </c>
      <c r="M249" s="1862">
        <f>M248+Tabla1[[#This Row],[Desbalance
TPL]]</f>
        <v>-75326.984209642134</v>
      </c>
    </row>
    <row r="250" spans="2:13" x14ac:dyDescent="0.25">
      <c r="B250" s="1859">
        <f t="shared" si="20"/>
        <v>2014</v>
      </c>
      <c r="C250" s="1859">
        <f t="shared" si="21"/>
        <v>3</v>
      </c>
      <c r="D250" s="1860">
        <f t="shared" si="22"/>
        <v>41709</v>
      </c>
      <c r="E250" s="1861">
        <v>41709</v>
      </c>
      <c r="F250" s="1862">
        <f t="shared" si="18"/>
        <v>0</v>
      </c>
      <c r="G250" s="1862">
        <v>72192</v>
      </c>
      <c r="H250" s="1862">
        <v>72192</v>
      </c>
      <c r="I250" s="1862">
        <f>Tabla1[[#This Row],[Extraccion
Norte II]]+Tabla1[[#This Row],[Extraccion
ENO]]</f>
        <v>73462.641782399995</v>
      </c>
      <c r="J250" s="1862">
        <v>73462.641782399995</v>
      </c>
      <c r="K250" s="1862"/>
      <c r="L250" s="1862">
        <f t="shared" si="19"/>
        <v>-1270.6417823999946</v>
      </c>
      <c r="M250" s="1862">
        <f>M249+Tabla1[[#This Row],[Desbalance
TPL]]</f>
        <v>-76597.625992042129</v>
      </c>
    </row>
    <row r="251" spans="2:13" x14ac:dyDescent="0.25">
      <c r="B251" s="1859">
        <f t="shared" si="20"/>
        <v>2014</v>
      </c>
      <c r="C251" s="1859">
        <f t="shared" si="21"/>
        <v>3</v>
      </c>
      <c r="D251" s="1860">
        <f t="shared" si="22"/>
        <v>41710</v>
      </c>
      <c r="E251" s="1861">
        <v>41710</v>
      </c>
      <c r="F251" s="1862">
        <f t="shared" si="18"/>
        <v>0</v>
      </c>
      <c r="G251" s="1862">
        <v>77001</v>
      </c>
      <c r="H251" s="1862">
        <v>77001</v>
      </c>
      <c r="I251" s="1862">
        <f>Tabla1[[#This Row],[Extraccion
Norte II]]+Tabla1[[#This Row],[Extraccion
ENO]]</f>
        <v>72272.183630400003</v>
      </c>
      <c r="J251" s="1862">
        <v>72272.183630400003</v>
      </c>
      <c r="K251" s="1862"/>
      <c r="L251" s="1862">
        <f t="shared" si="19"/>
        <v>4728.8163695999974</v>
      </c>
      <c r="M251" s="1862">
        <f>M250+Tabla1[[#This Row],[Desbalance
TPL]]</f>
        <v>-71868.809622442132</v>
      </c>
    </row>
    <row r="252" spans="2:13" x14ac:dyDescent="0.25">
      <c r="B252" s="1859">
        <f t="shared" si="20"/>
        <v>2014</v>
      </c>
      <c r="C252" s="1859">
        <f t="shared" si="21"/>
        <v>3</v>
      </c>
      <c r="D252" s="1860">
        <f t="shared" si="22"/>
        <v>41711</v>
      </c>
      <c r="E252" s="1861">
        <v>41711</v>
      </c>
      <c r="F252" s="1862">
        <f t="shared" si="18"/>
        <v>0</v>
      </c>
      <c r="G252" s="1862">
        <v>79000</v>
      </c>
      <c r="H252" s="1862">
        <v>79000</v>
      </c>
      <c r="I252" s="1862">
        <f>Tabla1[[#This Row],[Extraccion
Norte II]]+Tabla1[[#This Row],[Extraccion
ENO]]</f>
        <v>69053.112753299996</v>
      </c>
      <c r="J252" s="1862">
        <v>69053.112753299996</v>
      </c>
      <c r="K252" s="1862"/>
      <c r="L252" s="1862">
        <f t="shared" si="19"/>
        <v>9946.8872467000037</v>
      </c>
      <c r="M252" s="1862">
        <f>M251+Tabla1[[#This Row],[Desbalance
TPL]]</f>
        <v>-61921.922375742128</v>
      </c>
    </row>
    <row r="253" spans="2:13" x14ac:dyDescent="0.25">
      <c r="B253" s="1859">
        <f t="shared" si="20"/>
        <v>2014</v>
      </c>
      <c r="C253" s="1859">
        <f t="shared" si="21"/>
        <v>3</v>
      </c>
      <c r="D253" s="1860">
        <f t="shared" si="22"/>
        <v>41712</v>
      </c>
      <c r="E253" s="1861">
        <v>41712</v>
      </c>
      <c r="F253" s="1862">
        <f t="shared" si="18"/>
        <v>0</v>
      </c>
      <c r="G253" s="1862">
        <v>78828</v>
      </c>
      <c r="H253" s="1862">
        <v>78828</v>
      </c>
      <c r="I253" s="1862">
        <f>Tabla1[[#This Row],[Extraccion
Norte II]]+Tabla1[[#This Row],[Extraccion
ENO]]</f>
        <v>73547.755749000004</v>
      </c>
      <c r="J253" s="1862">
        <v>73547.755749000004</v>
      </c>
      <c r="K253" s="1862"/>
      <c r="L253" s="1862">
        <f t="shared" si="19"/>
        <v>5280.2442509999964</v>
      </c>
      <c r="M253" s="1862">
        <f>M252+Tabla1[[#This Row],[Desbalance
TPL]]</f>
        <v>-56641.678124742131</v>
      </c>
    </row>
    <row r="254" spans="2:13" x14ac:dyDescent="0.25">
      <c r="B254" s="1859">
        <f t="shared" si="20"/>
        <v>2014</v>
      </c>
      <c r="C254" s="1859">
        <f t="shared" si="21"/>
        <v>3</v>
      </c>
      <c r="D254" s="1860">
        <f t="shared" si="22"/>
        <v>41713</v>
      </c>
      <c r="E254" s="1861">
        <v>41713</v>
      </c>
      <c r="F254" s="1862">
        <f t="shared" si="18"/>
        <v>0</v>
      </c>
      <c r="G254" s="1862">
        <v>68001</v>
      </c>
      <c r="H254" s="1862">
        <v>68001</v>
      </c>
      <c r="I254" s="1862">
        <f>Tabla1[[#This Row],[Extraccion
Norte II]]+Tabla1[[#This Row],[Extraccion
ENO]]</f>
        <v>73386.626858999996</v>
      </c>
      <c r="J254" s="1862">
        <v>73386.626858999996</v>
      </c>
      <c r="K254" s="1862"/>
      <c r="L254" s="1862">
        <f t="shared" si="19"/>
        <v>-5385.6268589999963</v>
      </c>
      <c r="M254" s="1862">
        <f>M253+Tabla1[[#This Row],[Desbalance
TPL]]</f>
        <v>-62027.304983742128</v>
      </c>
    </row>
    <row r="255" spans="2:13" x14ac:dyDescent="0.25">
      <c r="B255" s="1859">
        <f t="shared" si="20"/>
        <v>2014</v>
      </c>
      <c r="C255" s="1859">
        <f t="shared" si="21"/>
        <v>3</v>
      </c>
      <c r="D255" s="1860">
        <f t="shared" si="22"/>
        <v>41714</v>
      </c>
      <c r="E255" s="1861">
        <v>41714</v>
      </c>
      <c r="F255" s="1862">
        <f t="shared" si="18"/>
        <v>0</v>
      </c>
      <c r="G255" s="1862">
        <v>67995</v>
      </c>
      <c r="H255" s="1862">
        <v>67995</v>
      </c>
      <c r="I255" s="1862">
        <f>Tabla1[[#This Row],[Extraccion
Norte II]]+Tabla1[[#This Row],[Extraccion
ENO]]</f>
        <v>68039.232908399994</v>
      </c>
      <c r="J255" s="1862">
        <v>68039.232908399994</v>
      </c>
      <c r="K255" s="1862"/>
      <c r="L255" s="1862">
        <f t="shared" si="19"/>
        <v>-44.232908399993903</v>
      </c>
      <c r="M255" s="1862">
        <f>M254+Tabla1[[#This Row],[Desbalance
TPL]]</f>
        <v>-62071.537892142122</v>
      </c>
    </row>
    <row r="256" spans="2:13" x14ac:dyDescent="0.25">
      <c r="B256" s="1859">
        <f t="shared" si="20"/>
        <v>2014</v>
      </c>
      <c r="C256" s="1859">
        <f t="shared" si="21"/>
        <v>3</v>
      </c>
      <c r="D256" s="1860">
        <f t="shared" si="22"/>
        <v>41715</v>
      </c>
      <c r="E256" s="1861">
        <v>41715</v>
      </c>
      <c r="F256" s="1862">
        <f t="shared" si="18"/>
        <v>-1</v>
      </c>
      <c r="G256" s="1862">
        <v>68001</v>
      </c>
      <c r="H256" s="1862">
        <v>68002</v>
      </c>
      <c r="I256" s="1862">
        <f>Tabla1[[#This Row],[Extraccion
Norte II]]+Tabla1[[#This Row],[Extraccion
ENO]]</f>
        <v>60052.642521300004</v>
      </c>
      <c r="J256" s="1862">
        <v>60052.642521300004</v>
      </c>
      <c r="K256" s="1862"/>
      <c r="L256" s="1862">
        <f t="shared" si="19"/>
        <v>7949.3574786999961</v>
      </c>
      <c r="M256" s="1862">
        <f>M255+Tabla1[[#This Row],[Desbalance
TPL]]</f>
        <v>-54122.180413442125</v>
      </c>
    </row>
    <row r="257" spans="2:13" x14ac:dyDescent="0.25">
      <c r="B257" s="1859">
        <f t="shared" si="20"/>
        <v>2014</v>
      </c>
      <c r="C257" s="1859">
        <f t="shared" si="21"/>
        <v>3</v>
      </c>
      <c r="D257" s="1860">
        <f t="shared" si="22"/>
        <v>41716</v>
      </c>
      <c r="E257" s="1861">
        <v>41716</v>
      </c>
      <c r="F257" s="1862">
        <f t="shared" si="18"/>
        <v>-1</v>
      </c>
      <c r="G257" s="1862">
        <v>79000</v>
      </c>
      <c r="H257" s="1862">
        <v>79001</v>
      </c>
      <c r="I257" s="1862">
        <f>Tabla1[[#This Row],[Extraccion
Norte II]]+Tabla1[[#This Row],[Extraccion
ENO]]</f>
        <v>71374.885276500005</v>
      </c>
      <c r="J257" s="1862">
        <v>71374.885276500005</v>
      </c>
      <c r="K257" s="1862"/>
      <c r="L257" s="1862">
        <f t="shared" si="19"/>
        <v>7626.1147234999953</v>
      </c>
      <c r="M257" s="1862">
        <f>M256+Tabla1[[#This Row],[Desbalance
TPL]]</f>
        <v>-46496.06568994213</v>
      </c>
    </row>
    <row r="258" spans="2:13" x14ac:dyDescent="0.25">
      <c r="B258" s="1859">
        <f t="shared" si="20"/>
        <v>2014</v>
      </c>
      <c r="C258" s="1859">
        <f t="shared" si="21"/>
        <v>3</v>
      </c>
      <c r="D258" s="1860">
        <f t="shared" si="22"/>
        <v>41717</v>
      </c>
      <c r="E258" s="1861">
        <v>41717</v>
      </c>
      <c r="F258" s="1862">
        <f t="shared" si="18"/>
        <v>1</v>
      </c>
      <c r="G258" s="1862">
        <v>79001</v>
      </c>
      <c r="H258" s="1862">
        <v>79000</v>
      </c>
      <c r="I258" s="1862">
        <f>Tabla1[[#This Row],[Extraccion
Norte II]]+Tabla1[[#This Row],[Extraccion
ENO]]</f>
        <v>73335.539522700012</v>
      </c>
      <c r="J258" s="1862">
        <v>73335.539522700012</v>
      </c>
      <c r="K258" s="1862"/>
      <c r="L258" s="1862">
        <f t="shared" si="19"/>
        <v>5664.4604772999883</v>
      </c>
      <c r="M258" s="1862">
        <f>M257+Tabla1[[#This Row],[Desbalance
TPL]]</f>
        <v>-40831.605212642142</v>
      </c>
    </row>
    <row r="259" spans="2:13" x14ac:dyDescent="0.25">
      <c r="B259" s="1859">
        <f t="shared" si="20"/>
        <v>2014</v>
      </c>
      <c r="C259" s="1859">
        <f t="shared" si="21"/>
        <v>3</v>
      </c>
      <c r="D259" s="1860">
        <f t="shared" si="22"/>
        <v>41718</v>
      </c>
      <c r="E259" s="1861">
        <v>41718</v>
      </c>
      <c r="F259" s="1862">
        <f t="shared" si="18"/>
        <v>0</v>
      </c>
      <c r="G259" s="1862">
        <v>79000</v>
      </c>
      <c r="H259" s="1862">
        <v>79000</v>
      </c>
      <c r="I259" s="1862">
        <f>Tabla1[[#This Row],[Extraccion
Norte II]]+Tabla1[[#This Row],[Extraccion
ENO]]</f>
        <v>72363.458407500002</v>
      </c>
      <c r="J259" s="1862">
        <v>72363.458407500002</v>
      </c>
      <c r="K259" s="1862"/>
      <c r="L259" s="1862">
        <f t="shared" si="19"/>
        <v>6636.5415924999979</v>
      </c>
      <c r="M259" s="1862">
        <f>M258+Tabla1[[#This Row],[Desbalance
TPL]]</f>
        <v>-34195.063620142144</v>
      </c>
    </row>
    <row r="260" spans="2:13" x14ac:dyDescent="0.25">
      <c r="B260" s="1859">
        <f t="shared" si="20"/>
        <v>2014</v>
      </c>
      <c r="C260" s="1859">
        <f t="shared" si="21"/>
        <v>3</v>
      </c>
      <c r="D260" s="1860">
        <f t="shared" si="22"/>
        <v>41719</v>
      </c>
      <c r="E260" s="1861">
        <v>41719</v>
      </c>
      <c r="F260" s="1862">
        <f t="shared" si="18"/>
        <v>9077</v>
      </c>
      <c r="G260" s="1862">
        <v>79078</v>
      </c>
      <c r="H260" s="1862">
        <v>70001</v>
      </c>
      <c r="I260" s="1862">
        <f>Tabla1[[#This Row],[Extraccion
Norte II]]+Tabla1[[#This Row],[Extraccion
ENO]]</f>
        <v>73309.379773499997</v>
      </c>
      <c r="J260" s="1862">
        <v>73309.379773499997</v>
      </c>
      <c r="K260" s="1862"/>
      <c r="L260" s="1862">
        <f t="shared" si="19"/>
        <v>-3308.3797734999971</v>
      </c>
      <c r="M260" s="1862">
        <f>M259+Tabla1[[#This Row],[Desbalance
TPL]]</f>
        <v>-37503.443393642141</v>
      </c>
    </row>
    <row r="261" spans="2:13" x14ac:dyDescent="0.25">
      <c r="B261" s="1859">
        <f t="shared" si="20"/>
        <v>2014</v>
      </c>
      <c r="C261" s="1859">
        <f t="shared" si="21"/>
        <v>3</v>
      </c>
      <c r="D261" s="1860">
        <f t="shared" si="22"/>
        <v>41720</v>
      </c>
      <c r="E261" s="1861">
        <v>41720</v>
      </c>
      <c r="F261" s="1862">
        <f t="shared" si="18"/>
        <v>0</v>
      </c>
      <c r="G261" s="1862">
        <v>70001</v>
      </c>
      <c r="H261" s="1862">
        <v>70001</v>
      </c>
      <c r="I261" s="1862">
        <f>Tabla1[[#This Row],[Extraccion
Norte II]]+Tabla1[[#This Row],[Extraccion
ENO]]</f>
        <v>73017.6417009</v>
      </c>
      <c r="J261" s="1862">
        <v>73017.6417009</v>
      </c>
      <c r="K261" s="1862"/>
      <c r="L261" s="1862">
        <f t="shared" si="19"/>
        <v>-3016.6417008999997</v>
      </c>
      <c r="M261" s="1862">
        <f>M260+Tabla1[[#This Row],[Desbalance
TPL]]</f>
        <v>-40520.085094542141</v>
      </c>
    </row>
    <row r="262" spans="2:13" x14ac:dyDescent="0.25">
      <c r="B262" s="1859">
        <f t="shared" si="20"/>
        <v>2014</v>
      </c>
      <c r="C262" s="1859">
        <f t="shared" si="21"/>
        <v>3</v>
      </c>
      <c r="D262" s="1860">
        <f t="shared" si="22"/>
        <v>41721</v>
      </c>
      <c r="E262" s="1861">
        <v>41721</v>
      </c>
      <c r="F262" s="1862">
        <f t="shared" si="18"/>
        <v>0</v>
      </c>
      <c r="G262" s="1862">
        <v>70001</v>
      </c>
      <c r="H262" s="1862">
        <v>70001</v>
      </c>
      <c r="I262" s="1862">
        <f>Tabla1[[#This Row],[Extraccion
Norte II]]+Tabla1[[#This Row],[Extraccion
ENO]]</f>
        <v>73579.507618500007</v>
      </c>
      <c r="J262" s="1862">
        <v>73579.507618500007</v>
      </c>
      <c r="K262" s="1862"/>
      <c r="L262" s="1862">
        <f t="shared" si="19"/>
        <v>-3578.5076185000071</v>
      </c>
      <c r="M262" s="1862">
        <f>M261+Tabla1[[#This Row],[Desbalance
TPL]]</f>
        <v>-44098.592713042148</v>
      </c>
    </row>
    <row r="263" spans="2:13" x14ac:dyDescent="0.25">
      <c r="B263" s="1859">
        <f t="shared" si="20"/>
        <v>2014</v>
      </c>
      <c r="C263" s="1859">
        <f t="shared" si="21"/>
        <v>3</v>
      </c>
      <c r="D263" s="1860">
        <f t="shared" si="22"/>
        <v>41722</v>
      </c>
      <c r="E263" s="1861">
        <v>41722</v>
      </c>
      <c r="F263" s="1862">
        <f t="shared" si="18"/>
        <v>0</v>
      </c>
      <c r="G263" s="1862">
        <v>70001</v>
      </c>
      <c r="H263" s="1862">
        <v>70001</v>
      </c>
      <c r="I263" s="1862">
        <f>Tabla1[[#This Row],[Extraccion
Norte II]]+Tabla1[[#This Row],[Extraccion
ENO]]</f>
        <v>74309.042363400004</v>
      </c>
      <c r="J263" s="1862">
        <v>74309.042363400004</v>
      </c>
      <c r="K263" s="1862"/>
      <c r="L263" s="1862">
        <f t="shared" si="19"/>
        <v>-4308.0423634000035</v>
      </c>
      <c r="M263" s="1862">
        <f>M262+Tabla1[[#This Row],[Desbalance
TPL]]</f>
        <v>-48406.635076442151</v>
      </c>
    </row>
    <row r="264" spans="2:13" x14ac:dyDescent="0.25">
      <c r="B264" s="1859">
        <f t="shared" si="20"/>
        <v>2014</v>
      </c>
      <c r="C264" s="1859">
        <f t="shared" si="21"/>
        <v>3</v>
      </c>
      <c r="D264" s="1860">
        <f t="shared" si="22"/>
        <v>41723</v>
      </c>
      <c r="E264" s="1861">
        <v>41723</v>
      </c>
      <c r="F264" s="1862">
        <f t="shared" si="18"/>
        <v>0</v>
      </c>
      <c r="G264" s="1862">
        <v>80000</v>
      </c>
      <c r="H264" s="1862">
        <v>80000</v>
      </c>
      <c r="I264" s="1862">
        <f>Tabla1[[#This Row],[Extraccion
Norte II]]+Tabla1[[#This Row],[Extraccion
ENO]]</f>
        <v>72402.129341100008</v>
      </c>
      <c r="J264" s="1862">
        <v>72402.129341100008</v>
      </c>
      <c r="K264" s="1862"/>
      <c r="L264" s="1862">
        <f t="shared" si="19"/>
        <v>7597.8706588999921</v>
      </c>
      <c r="M264" s="1862">
        <f>M263+Tabla1[[#This Row],[Desbalance
TPL]]</f>
        <v>-40808.764417542159</v>
      </c>
    </row>
    <row r="265" spans="2:13" x14ac:dyDescent="0.25">
      <c r="B265" s="1859">
        <f t="shared" si="20"/>
        <v>2014</v>
      </c>
      <c r="C265" s="1859">
        <f t="shared" si="21"/>
        <v>3</v>
      </c>
      <c r="D265" s="1860">
        <f t="shared" si="22"/>
        <v>41724</v>
      </c>
      <c r="E265" s="1861">
        <v>41724</v>
      </c>
      <c r="F265" s="1862">
        <f t="shared" si="18"/>
        <v>0</v>
      </c>
      <c r="G265" s="1862">
        <v>80004</v>
      </c>
      <c r="H265" s="1862">
        <v>80004</v>
      </c>
      <c r="I265" s="1862">
        <f>Tabla1[[#This Row],[Extraccion
Norte II]]+Tabla1[[#This Row],[Extraccion
ENO]]</f>
        <v>72525.914241299994</v>
      </c>
      <c r="J265" s="1862">
        <v>72525.914241299994</v>
      </c>
      <c r="K265" s="1862"/>
      <c r="L265" s="1862">
        <f t="shared" si="19"/>
        <v>7478.0857587000064</v>
      </c>
      <c r="M265" s="1862">
        <f>M264+Tabla1[[#This Row],[Desbalance
TPL]]</f>
        <v>-33330.678658842153</v>
      </c>
    </row>
    <row r="266" spans="2:13" x14ac:dyDescent="0.25">
      <c r="B266" s="1859">
        <f t="shared" si="20"/>
        <v>2014</v>
      </c>
      <c r="C266" s="1859">
        <f t="shared" si="21"/>
        <v>3</v>
      </c>
      <c r="D266" s="1860">
        <f t="shared" si="22"/>
        <v>41725</v>
      </c>
      <c r="E266" s="1861">
        <v>41725</v>
      </c>
      <c r="F266" s="1862">
        <f t="shared" si="18"/>
        <v>0</v>
      </c>
      <c r="G266" s="1862">
        <v>80007</v>
      </c>
      <c r="H266" s="1862">
        <v>80007</v>
      </c>
      <c r="I266" s="1862">
        <f>Tabla1[[#This Row],[Extraccion
Norte II]]+Tabla1[[#This Row],[Extraccion
ENO]]</f>
        <v>73613.61422559846</v>
      </c>
      <c r="J266" s="1862">
        <v>73613.61422559846</v>
      </c>
      <c r="K266" s="1862"/>
      <c r="L266" s="1862">
        <f t="shared" si="19"/>
        <v>6393.3857744015404</v>
      </c>
      <c r="M266" s="1862">
        <f>M265+Tabla1[[#This Row],[Desbalance
TPL]]</f>
        <v>-26937.292884440612</v>
      </c>
    </row>
    <row r="267" spans="2:13" x14ac:dyDescent="0.25">
      <c r="B267" s="1859">
        <f t="shared" si="20"/>
        <v>2014</v>
      </c>
      <c r="C267" s="1859">
        <f t="shared" si="21"/>
        <v>3</v>
      </c>
      <c r="D267" s="1860">
        <f t="shared" si="22"/>
        <v>41726</v>
      </c>
      <c r="E267" s="1861">
        <v>41726</v>
      </c>
      <c r="F267" s="1862">
        <f t="shared" si="18"/>
        <v>0</v>
      </c>
      <c r="G267" s="1862">
        <v>81001</v>
      </c>
      <c r="H267" s="1862">
        <v>81001</v>
      </c>
      <c r="I267" s="1862">
        <f>Tabla1[[#This Row],[Extraccion
Norte II]]+Tabla1[[#This Row],[Extraccion
ENO]]</f>
        <v>72476.167175107024</v>
      </c>
      <c r="J267" s="1862">
        <v>72476.167175107024</v>
      </c>
      <c r="K267" s="1862"/>
      <c r="L267" s="1862">
        <f t="shared" si="19"/>
        <v>8524.8328248929756</v>
      </c>
      <c r="M267" s="1862">
        <f>M266+Tabla1[[#This Row],[Desbalance
TPL]]</f>
        <v>-18412.460059547637</v>
      </c>
    </row>
    <row r="268" spans="2:13" x14ac:dyDescent="0.25">
      <c r="B268" s="1859">
        <f t="shared" si="20"/>
        <v>2014</v>
      </c>
      <c r="C268" s="1859">
        <f t="shared" si="21"/>
        <v>3</v>
      </c>
      <c r="D268" s="1860">
        <f t="shared" si="22"/>
        <v>41727</v>
      </c>
      <c r="E268" s="1861">
        <v>41727</v>
      </c>
      <c r="F268" s="1862">
        <f t="shared" ref="F268:F331" si="23">G268-H268</f>
        <v>0</v>
      </c>
      <c r="G268" s="1862">
        <v>77991</v>
      </c>
      <c r="H268" s="1862">
        <v>77991</v>
      </c>
      <c r="I268" s="1862">
        <f>Tabla1[[#This Row],[Extraccion
Norte II]]+Tabla1[[#This Row],[Extraccion
ENO]]</f>
        <v>66333.024581111735</v>
      </c>
      <c r="J268" s="1862">
        <v>66333.024581111735</v>
      </c>
      <c r="K268" s="1862"/>
      <c r="L268" s="1862">
        <f t="shared" ref="L268:L331" si="24">H268-I268</f>
        <v>11657.975418888265</v>
      </c>
      <c r="M268" s="1862">
        <f>M267+Tabla1[[#This Row],[Desbalance
TPL]]</f>
        <v>-6754.4846406593715</v>
      </c>
    </row>
    <row r="269" spans="2:13" x14ac:dyDescent="0.25">
      <c r="B269" s="1859">
        <f t="shared" si="20"/>
        <v>2014</v>
      </c>
      <c r="C269" s="1859">
        <f t="shared" si="21"/>
        <v>3</v>
      </c>
      <c r="D269" s="1860">
        <f t="shared" si="22"/>
        <v>41728</v>
      </c>
      <c r="E269" s="1861">
        <v>41728</v>
      </c>
      <c r="F269" s="1862">
        <f t="shared" si="23"/>
        <v>0</v>
      </c>
      <c r="G269" s="1862">
        <v>77991</v>
      </c>
      <c r="H269" s="1862">
        <v>77991</v>
      </c>
      <c r="I269" s="1862">
        <f>Tabla1[[#This Row],[Extraccion
Norte II]]+Tabla1[[#This Row],[Extraccion
ENO]]</f>
        <v>58746.415925200774</v>
      </c>
      <c r="J269" s="1862">
        <v>58746.415925200774</v>
      </c>
      <c r="K269" s="1862"/>
      <c r="L269" s="1862">
        <f t="shared" si="24"/>
        <v>19244.584074799226</v>
      </c>
      <c r="M269" s="1862">
        <f>M268+Tabla1[[#This Row],[Desbalance
TPL]]</f>
        <v>12490.099434139855</v>
      </c>
    </row>
    <row r="270" spans="2:13" x14ac:dyDescent="0.25">
      <c r="B270" s="1859">
        <f t="shared" si="20"/>
        <v>2014</v>
      </c>
      <c r="C270" s="1859">
        <f t="shared" si="21"/>
        <v>3</v>
      </c>
      <c r="D270" s="1860">
        <f t="shared" si="22"/>
        <v>41729</v>
      </c>
      <c r="E270" s="1861">
        <v>41729</v>
      </c>
      <c r="F270" s="1862">
        <f t="shared" si="23"/>
        <v>0</v>
      </c>
      <c r="G270" s="1862">
        <v>77991</v>
      </c>
      <c r="H270" s="1862">
        <v>77991</v>
      </c>
      <c r="I270" s="1862">
        <f>Tabla1[[#This Row],[Extraccion
Norte II]]+Tabla1[[#This Row],[Extraccion
ENO]]</f>
        <v>73821.84517523674</v>
      </c>
      <c r="J270" s="1862">
        <v>73821.84517523674</v>
      </c>
      <c r="K270" s="1862"/>
      <c r="L270" s="1862">
        <f t="shared" si="24"/>
        <v>4169.15482476326</v>
      </c>
      <c r="M270" s="1862">
        <f>M269+Tabla1[[#This Row],[Desbalance
TPL]]</f>
        <v>16659.254258903115</v>
      </c>
    </row>
    <row r="271" spans="2:13" x14ac:dyDescent="0.25">
      <c r="B271" s="1859">
        <f t="shared" si="20"/>
        <v>2014</v>
      </c>
      <c r="C271" s="1859">
        <f t="shared" si="21"/>
        <v>4</v>
      </c>
      <c r="D271" s="1860">
        <f t="shared" si="22"/>
        <v>41730</v>
      </c>
      <c r="E271" s="1861">
        <v>41730</v>
      </c>
      <c r="F271" s="1862">
        <f t="shared" si="23"/>
        <v>-140</v>
      </c>
      <c r="G271" s="1862">
        <v>79860</v>
      </c>
      <c r="H271" s="1862">
        <v>80000</v>
      </c>
      <c r="I271" s="1862">
        <f>Tabla1[[#This Row],[Extraccion
Norte II]]+Tabla1[[#This Row],[Extraccion
ENO]]</f>
        <v>73859.113633500005</v>
      </c>
      <c r="J271" s="1862">
        <v>73859.113633500005</v>
      </c>
      <c r="K271" s="1862"/>
      <c r="L271" s="1862">
        <f t="shared" si="24"/>
        <v>6140.8863664999953</v>
      </c>
      <c r="M271" s="1862">
        <f>M270+Tabla1[[#This Row],[Desbalance
TPL]]</f>
        <v>22800.14062540311</v>
      </c>
    </row>
    <row r="272" spans="2:13" x14ac:dyDescent="0.25">
      <c r="B272" s="1859">
        <f t="shared" si="20"/>
        <v>2014</v>
      </c>
      <c r="C272" s="1859">
        <f t="shared" si="21"/>
        <v>4</v>
      </c>
      <c r="D272" s="1860">
        <f t="shared" si="22"/>
        <v>41731</v>
      </c>
      <c r="E272" s="1861">
        <v>41731</v>
      </c>
      <c r="F272" s="1862">
        <f t="shared" si="23"/>
        <v>0</v>
      </c>
      <c r="G272" s="1862">
        <v>79975</v>
      </c>
      <c r="H272" s="1862">
        <v>79975</v>
      </c>
      <c r="I272" s="1862">
        <f>Tabla1[[#This Row],[Extraccion
Norte II]]+Tabla1[[#This Row],[Extraccion
ENO]]</f>
        <v>73456.00262098173</v>
      </c>
      <c r="J272" s="1862">
        <v>73456.00262098173</v>
      </c>
      <c r="K272" s="1862"/>
      <c r="L272" s="1862">
        <f t="shared" si="24"/>
        <v>6518.9973790182703</v>
      </c>
      <c r="M272" s="1862">
        <f>M271+Tabla1[[#This Row],[Desbalance
TPL]]</f>
        <v>29319.13800442138</v>
      </c>
    </row>
    <row r="273" spans="2:13" x14ac:dyDescent="0.25">
      <c r="B273" s="1859">
        <f t="shared" si="20"/>
        <v>2014</v>
      </c>
      <c r="C273" s="1859">
        <f t="shared" si="21"/>
        <v>4</v>
      </c>
      <c r="D273" s="1860">
        <f t="shared" si="22"/>
        <v>41732</v>
      </c>
      <c r="E273" s="1861">
        <v>41732</v>
      </c>
      <c r="F273" s="1862">
        <f t="shared" si="23"/>
        <v>0</v>
      </c>
      <c r="G273" s="1862">
        <v>81001</v>
      </c>
      <c r="H273" s="1862">
        <v>81001</v>
      </c>
      <c r="I273" s="1862">
        <f>Tabla1[[#This Row],[Extraccion
Norte II]]+Tabla1[[#This Row],[Extraccion
ENO]]</f>
        <v>73784.287924716104</v>
      </c>
      <c r="J273" s="1862">
        <v>73784.287924716104</v>
      </c>
      <c r="K273" s="1862"/>
      <c r="L273" s="1862">
        <f t="shared" si="24"/>
        <v>7216.7120752838964</v>
      </c>
      <c r="M273" s="1862">
        <f>M272+Tabla1[[#This Row],[Desbalance
TPL]]</f>
        <v>36535.850079705277</v>
      </c>
    </row>
    <row r="274" spans="2:13" x14ac:dyDescent="0.25">
      <c r="B274" s="1859">
        <f t="shared" si="20"/>
        <v>2014</v>
      </c>
      <c r="C274" s="1859">
        <f t="shared" si="21"/>
        <v>4</v>
      </c>
      <c r="D274" s="1860">
        <f t="shared" si="22"/>
        <v>41733</v>
      </c>
      <c r="E274" s="1861">
        <v>41733</v>
      </c>
      <c r="F274" s="1862">
        <f t="shared" si="23"/>
        <v>0</v>
      </c>
      <c r="G274" s="1862">
        <v>80989</v>
      </c>
      <c r="H274" s="1862">
        <v>80989</v>
      </c>
      <c r="I274" s="1862">
        <f>Tabla1[[#This Row],[Extraccion
Norte II]]+Tabla1[[#This Row],[Extraccion
ENO]]</f>
        <v>73542.817622429997</v>
      </c>
      <c r="J274" s="1862">
        <v>73542.817622429997</v>
      </c>
      <c r="K274" s="1862"/>
      <c r="L274" s="1862">
        <f t="shared" si="24"/>
        <v>7446.1823775700032</v>
      </c>
      <c r="M274" s="1862">
        <f>M273+Tabla1[[#This Row],[Desbalance
TPL]]</f>
        <v>43982.03245727528</v>
      </c>
    </row>
    <row r="275" spans="2:13" x14ac:dyDescent="0.25">
      <c r="B275" s="1859">
        <f t="shared" si="20"/>
        <v>2014</v>
      </c>
      <c r="C275" s="1859">
        <f t="shared" si="21"/>
        <v>4</v>
      </c>
      <c r="D275" s="1860">
        <f t="shared" si="22"/>
        <v>41734</v>
      </c>
      <c r="E275" s="1861">
        <v>41734</v>
      </c>
      <c r="F275" s="1862">
        <f t="shared" si="23"/>
        <v>0</v>
      </c>
      <c r="G275" s="1862">
        <v>77000</v>
      </c>
      <c r="H275" s="1862">
        <v>77000</v>
      </c>
      <c r="I275" s="1862">
        <f>Tabla1[[#This Row],[Extraccion
Norte II]]+Tabla1[[#This Row],[Extraccion
ENO]]</f>
        <v>59535.835823879999</v>
      </c>
      <c r="J275" s="1862">
        <v>59535.835823879999</v>
      </c>
      <c r="K275" s="1862"/>
      <c r="L275" s="1862">
        <f t="shared" si="24"/>
        <v>17464.164176120001</v>
      </c>
      <c r="M275" s="1862">
        <f>M274+Tabla1[[#This Row],[Desbalance
TPL]]</f>
        <v>61446.196633395281</v>
      </c>
    </row>
    <row r="276" spans="2:13" x14ac:dyDescent="0.25">
      <c r="B276" s="1859">
        <f t="shared" si="20"/>
        <v>2014</v>
      </c>
      <c r="C276" s="1859">
        <f t="shared" si="21"/>
        <v>4</v>
      </c>
      <c r="D276" s="1860">
        <f t="shared" si="22"/>
        <v>41735</v>
      </c>
      <c r="E276" s="1861">
        <v>41735</v>
      </c>
      <c r="F276" s="1862">
        <f t="shared" si="23"/>
        <v>0</v>
      </c>
      <c r="G276" s="1862">
        <v>77000</v>
      </c>
      <c r="H276" s="1862">
        <v>77000</v>
      </c>
      <c r="I276" s="1862">
        <f>Tabla1[[#This Row],[Extraccion
Norte II]]+Tabla1[[#This Row],[Extraccion
ENO]]</f>
        <v>56972.711179800004</v>
      </c>
      <c r="J276" s="1862">
        <v>56972.711179800004</v>
      </c>
      <c r="K276" s="1862"/>
      <c r="L276" s="1862">
        <f t="shared" si="24"/>
        <v>20027.288820199996</v>
      </c>
      <c r="M276" s="1862">
        <f>M275+Tabla1[[#This Row],[Desbalance
TPL]]</f>
        <v>81473.485453595276</v>
      </c>
    </row>
    <row r="277" spans="2:13" x14ac:dyDescent="0.25">
      <c r="B277" s="1859">
        <f t="shared" si="20"/>
        <v>2014</v>
      </c>
      <c r="C277" s="1859">
        <f t="shared" si="21"/>
        <v>4</v>
      </c>
      <c r="D277" s="1860">
        <f t="shared" si="22"/>
        <v>41736</v>
      </c>
      <c r="E277" s="1861">
        <v>41736</v>
      </c>
      <c r="F277" s="1862">
        <f t="shared" si="23"/>
        <v>0</v>
      </c>
      <c r="G277" s="1862">
        <v>77000</v>
      </c>
      <c r="H277" s="1862">
        <v>77000</v>
      </c>
      <c r="I277" s="1862">
        <f>Tabla1[[#This Row],[Extraccion
Norte II]]+Tabla1[[#This Row],[Extraccion
ENO]]</f>
        <v>68001.784658730001</v>
      </c>
      <c r="J277" s="1862">
        <v>68001.784658730001</v>
      </c>
      <c r="K277" s="1862"/>
      <c r="L277" s="1862">
        <f t="shared" si="24"/>
        <v>8998.215341269999</v>
      </c>
      <c r="M277" s="1862">
        <f>M276+Tabla1[[#This Row],[Desbalance
TPL]]</f>
        <v>90471.700794865275</v>
      </c>
    </row>
    <row r="278" spans="2:13" x14ac:dyDescent="0.25">
      <c r="B278" s="1859">
        <f t="shared" si="20"/>
        <v>2014</v>
      </c>
      <c r="C278" s="1859">
        <f t="shared" si="21"/>
        <v>4</v>
      </c>
      <c r="D278" s="1860">
        <f t="shared" si="22"/>
        <v>41737</v>
      </c>
      <c r="E278" s="1861">
        <v>41737</v>
      </c>
      <c r="F278" s="1862">
        <f t="shared" si="23"/>
        <v>0</v>
      </c>
      <c r="G278" s="1862">
        <v>80000</v>
      </c>
      <c r="H278" s="1862">
        <v>80000</v>
      </c>
      <c r="I278" s="1862">
        <f>Tabla1[[#This Row],[Extraccion
Norte II]]+Tabla1[[#This Row],[Extraccion
ENO]]</f>
        <v>71898.762688739997</v>
      </c>
      <c r="J278" s="1862">
        <v>71898.762688739997</v>
      </c>
      <c r="K278" s="1862"/>
      <c r="L278" s="1862">
        <f t="shared" si="24"/>
        <v>8101.2373112600035</v>
      </c>
      <c r="M278" s="1862">
        <f>M277+Tabla1[[#This Row],[Desbalance
TPL]]</f>
        <v>98572.938106125279</v>
      </c>
    </row>
    <row r="279" spans="2:13" x14ac:dyDescent="0.25">
      <c r="B279" s="1859">
        <f t="shared" si="20"/>
        <v>2014</v>
      </c>
      <c r="C279" s="1859">
        <f t="shared" si="21"/>
        <v>4</v>
      </c>
      <c r="D279" s="1860">
        <f t="shared" si="22"/>
        <v>41738</v>
      </c>
      <c r="E279" s="1861">
        <v>41738</v>
      </c>
      <c r="F279" s="1862">
        <f t="shared" si="23"/>
        <v>0</v>
      </c>
      <c r="G279" s="1862">
        <v>82001</v>
      </c>
      <c r="H279" s="1862">
        <v>82001</v>
      </c>
      <c r="I279" s="1862">
        <f>Tabla1[[#This Row],[Extraccion
Norte II]]+Tabla1[[#This Row],[Extraccion
ENO]]</f>
        <v>68481.408495240001</v>
      </c>
      <c r="J279" s="1862">
        <v>68481.408495240001</v>
      </c>
      <c r="K279" s="1862"/>
      <c r="L279" s="1862">
        <f t="shared" si="24"/>
        <v>13519.591504759999</v>
      </c>
      <c r="M279" s="1862">
        <f>M278+Tabla1[[#This Row],[Desbalance
TPL]]</f>
        <v>112092.52961088528</v>
      </c>
    </row>
    <row r="280" spans="2:13" x14ac:dyDescent="0.25">
      <c r="B280" s="1859">
        <f t="shared" si="20"/>
        <v>2014</v>
      </c>
      <c r="C280" s="1859">
        <f t="shared" si="21"/>
        <v>4</v>
      </c>
      <c r="D280" s="1860">
        <f t="shared" si="22"/>
        <v>41739</v>
      </c>
      <c r="E280" s="1861">
        <v>41739</v>
      </c>
      <c r="F280" s="1862">
        <f t="shared" si="23"/>
        <v>0</v>
      </c>
      <c r="G280" s="1862">
        <v>81596</v>
      </c>
      <c r="H280" s="1862">
        <v>81596</v>
      </c>
      <c r="I280" s="1862">
        <f>Tabla1[[#This Row],[Extraccion
Norte II]]+Tabla1[[#This Row],[Extraccion
ENO]]</f>
        <v>73509.539767559996</v>
      </c>
      <c r="J280" s="1862">
        <v>73509.539767559996</v>
      </c>
      <c r="K280" s="1862"/>
      <c r="L280" s="1862">
        <f t="shared" si="24"/>
        <v>8086.4602324400039</v>
      </c>
      <c r="M280" s="1862">
        <f>M279+Tabla1[[#This Row],[Desbalance
TPL]]</f>
        <v>120178.98984332528</v>
      </c>
    </row>
    <row r="281" spans="2:13" x14ac:dyDescent="0.25">
      <c r="B281" s="1859">
        <f t="shared" si="20"/>
        <v>2014</v>
      </c>
      <c r="C281" s="1859">
        <f t="shared" si="21"/>
        <v>4</v>
      </c>
      <c r="D281" s="1860">
        <f t="shared" si="22"/>
        <v>41740</v>
      </c>
      <c r="E281" s="1861">
        <v>41740</v>
      </c>
      <c r="F281" s="1862">
        <f t="shared" si="23"/>
        <v>0</v>
      </c>
      <c r="G281" s="1862">
        <v>80001</v>
      </c>
      <c r="H281" s="1862">
        <v>80001</v>
      </c>
      <c r="I281" s="1862">
        <f>Tabla1[[#This Row],[Extraccion
Norte II]]+Tabla1[[#This Row],[Extraccion
ENO]]</f>
        <v>72239.303858669999</v>
      </c>
      <c r="J281" s="1862">
        <v>72239.303858669999</v>
      </c>
      <c r="K281" s="1862"/>
      <c r="L281" s="1862">
        <f t="shared" si="24"/>
        <v>7761.6961413300014</v>
      </c>
      <c r="M281" s="1862">
        <f>M280+Tabla1[[#This Row],[Desbalance
TPL]]</f>
        <v>127940.68598465528</v>
      </c>
    </row>
    <row r="282" spans="2:13" x14ac:dyDescent="0.25">
      <c r="B282" s="1859">
        <f t="shared" si="20"/>
        <v>2014</v>
      </c>
      <c r="C282" s="1859">
        <f t="shared" si="21"/>
        <v>4</v>
      </c>
      <c r="D282" s="1860">
        <f t="shared" si="22"/>
        <v>41741</v>
      </c>
      <c r="E282" s="1861">
        <v>41741</v>
      </c>
      <c r="F282" s="1862">
        <f t="shared" si="23"/>
        <v>0</v>
      </c>
      <c r="G282" s="1862">
        <v>68001</v>
      </c>
      <c r="H282" s="1862">
        <v>68001</v>
      </c>
      <c r="I282" s="1862">
        <f>Tabla1[[#This Row],[Extraccion
Norte II]]+Tabla1[[#This Row],[Extraccion
ENO]]</f>
        <v>61421.297851836003</v>
      </c>
      <c r="J282" s="1862">
        <v>61421.297851836003</v>
      </c>
      <c r="K282" s="1862"/>
      <c r="L282" s="1862">
        <f t="shared" si="24"/>
        <v>6579.7021481639968</v>
      </c>
      <c r="M282" s="1862">
        <f>M281+Tabla1[[#This Row],[Desbalance
TPL]]</f>
        <v>134520.38813281927</v>
      </c>
    </row>
    <row r="283" spans="2:13" x14ac:dyDescent="0.25">
      <c r="B283" s="1859">
        <f t="shared" si="20"/>
        <v>2014</v>
      </c>
      <c r="C283" s="1859">
        <f t="shared" si="21"/>
        <v>4</v>
      </c>
      <c r="D283" s="1860">
        <f t="shared" si="22"/>
        <v>41742</v>
      </c>
      <c r="E283" s="1861">
        <v>41742</v>
      </c>
      <c r="F283" s="1862">
        <f t="shared" si="23"/>
        <v>0</v>
      </c>
      <c r="G283" s="1862">
        <v>68001</v>
      </c>
      <c r="H283" s="1862">
        <v>68001</v>
      </c>
      <c r="I283" s="1862">
        <f>Tabla1[[#This Row],[Extraccion
Norte II]]+Tabla1[[#This Row],[Extraccion
ENO]]</f>
        <v>50955.163219350005</v>
      </c>
      <c r="J283" s="1862">
        <v>50955.163219350005</v>
      </c>
      <c r="K283" s="1862"/>
      <c r="L283" s="1862">
        <f t="shared" si="24"/>
        <v>17045.836780649995</v>
      </c>
      <c r="M283" s="1862">
        <f>M282+Tabla1[[#This Row],[Desbalance
TPL]]</f>
        <v>151566.22491346925</v>
      </c>
    </row>
    <row r="284" spans="2:13" x14ac:dyDescent="0.25">
      <c r="B284" s="1859">
        <f t="shared" ref="B284:B347" si="25">YEAR(E284)</f>
        <v>2014</v>
      </c>
      <c r="C284" s="1859">
        <f t="shared" ref="C284:C347" si="26">MONTH(E284)</f>
        <v>4</v>
      </c>
      <c r="D284" s="1860">
        <f t="shared" ref="D284:D347" si="27">E284</f>
        <v>41743</v>
      </c>
      <c r="E284" s="1861">
        <v>41743</v>
      </c>
      <c r="F284" s="1862">
        <f t="shared" si="23"/>
        <v>0</v>
      </c>
      <c r="G284" s="1862">
        <v>68001</v>
      </c>
      <c r="H284" s="1862">
        <v>68001</v>
      </c>
      <c r="I284" s="1862">
        <f>Tabla1[[#This Row],[Extraccion
Norte II]]+Tabla1[[#This Row],[Extraccion
ENO]]</f>
        <v>68390.749799190002</v>
      </c>
      <c r="J284" s="1862">
        <v>68390.749799190002</v>
      </c>
      <c r="K284" s="1862"/>
      <c r="L284" s="1862">
        <f t="shared" si="24"/>
        <v>-389.7497991900018</v>
      </c>
      <c r="M284" s="1862">
        <f>M283+Tabla1[[#This Row],[Desbalance
TPL]]</f>
        <v>151176.47511427925</v>
      </c>
    </row>
    <row r="285" spans="2:13" x14ac:dyDescent="0.25">
      <c r="B285" s="1859">
        <f t="shared" si="25"/>
        <v>2014</v>
      </c>
      <c r="C285" s="1859">
        <f t="shared" si="26"/>
        <v>4</v>
      </c>
      <c r="D285" s="1860">
        <f t="shared" si="27"/>
        <v>41744</v>
      </c>
      <c r="E285" s="1861">
        <v>41744</v>
      </c>
      <c r="F285" s="1862">
        <f t="shared" si="23"/>
        <v>0</v>
      </c>
      <c r="G285" s="1862">
        <v>68981</v>
      </c>
      <c r="H285" s="1862">
        <v>68981</v>
      </c>
      <c r="I285" s="1862">
        <f>Tabla1[[#This Row],[Extraccion
Norte II]]+Tabla1[[#This Row],[Extraccion
ENO]]</f>
        <v>73074.491764559993</v>
      </c>
      <c r="J285" s="1862">
        <v>73074.491764559993</v>
      </c>
      <c r="K285" s="1862"/>
      <c r="L285" s="1862">
        <f t="shared" si="24"/>
        <v>-4093.4917645599926</v>
      </c>
      <c r="M285" s="1862">
        <f>M284+Tabla1[[#This Row],[Desbalance
TPL]]</f>
        <v>147082.98334971926</v>
      </c>
    </row>
    <row r="286" spans="2:13" x14ac:dyDescent="0.25">
      <c r="B286" s="1859">
        <f t="shared" si="25"/>
        <v>2014</v>
      </c>
      <c r="C286" s="1859">
        <f t="shared" si="26"/>
        <v>4</v>
      </c>
      <c r="D286" s="1860">
        <f t="shared" si="27"/>
        <v>41745</v>
      </c>
      <c r="E286" s="1861">
        <v>41745</v>
      </c>
      <c r="F286" s="1862">
        <f t="shared" si="23"/>
        <v>0</v>
      </c>
      <c r="G286" s="1862">
        <v>70001</v>
      </c>
      <c r="H286" s="1862">
        <v>70001</v>
      </c>
      <c r="I286" s="1862">
        <f>Tabla1[[#This Row],[Extraccion
Norte II]]+Tabla1[[#This Row],[Extraccion
ENO]]</f>
        <v>70215.753424166993</v>
      </c>
      <c r="J286" s="1862">
        <v>70215.753424166993</v>
      </c>
      <c r="K286" s="1862"/>
      <c r="L286" s="1862">
        <f t="shared" si="24"/>
        <v>-214.75342416699277</v>
      </c>
      <c r="M286" s="1862">
        <f>M285+Tabla1[[#This Row],[Desbalance
TPL]]</f>
        <v>146868.22992555227</v>
      </c>
    </row>
    <row r="287" spans="2:13" x14ac:dyDescent="0.25">
      <c r="B287" s="1859">
        <f t="shared" si="25"/>
        <v>2014</v>
      </c>
      <c r="C287" s="1859">
        <f t="shared" si="26"/>
        <v>4</v>
      </c>
      <c r="D287" s="1860">
        <f t="shared" si="27"/>
        <v>41746</v>
      </c>
      <c r="E287" s="1861">
        <v>41746</v>
      </c>
      <c r="F287" s="1862">
        <f t="shared" si="23"/>
        <v>0</v>
      </c>
      <c r="G287" s="1862">
        <v>70002</v>
      </c>
      <c r="H287" s="1862">
        <v>70002</v>
      </c>
      <c r="I287" s="1862">
        <f>Tabla1[[#This Row],[Extraccion
Norte II]]+Tabla1[[#This Row],[Extraccion
ENO]]</f>
        <v>62790.468794820008</v>
      </c>
      <c r="J287" s="1862">
        <v>62790.468794820008</v>
      </c>
      <c r="K287" s="1862"/>
      <c r="L287" s="1862">
        <f t="shared" si="24"/>
        <v>7211.531205179992</v>
      </c>
      <c r="M287" s="1862">
        <f>M286+Tabla1[[#This Row],[Desbalance
TPL]]</f>
        <v>154079.76113073225</v>
      </c>
    </row>
    <row r="288" spans="2:13" x14ac:dyDescent="0.25">
      <c r="B288" s="1859">
        <f t="shared" si="25"/>
        <v>2014</v>
      </c>
      <c r="C288" s="1859">
        <f t="shared" si="26"/>
        <v>4</v>
      </c>
      <c r="D288" s="1860">
        <f t="shared" si="27"/>
        <v>41747</v>
      </c>
      <c r="E288" s="1861">
        <v>41747</v>
      </c>
      <c r="F288" s="1862">
        <f t="shared" si="23"/>
        <v>0</v>
      </c>
      <c r="G288" s="1862">
        <v>50001</v>
      </c>
      <c r="H288" s="1862">
        <v>50001</v>
      </c>
      <c r="I288" s="1862">
        <f>Tabla1[[#This Row],[Extraccion
Norte II]]+Tabla1[[#This Row],[Extraccion
ENO]]</f>
        <v>48001.774925519996</v>
      </c>
      <c r="J288" s="1862">
        <v>48001.774925519996</v>
      </c>
      <c r="K288" s="1862"/>
      <c r="L288" s="1862">
        <f t="shared" si="24"/>
        <v>1999.225074480004</v>
      </c>
      <c r="M288" s="1862">
        <f>M287+Tabla1[[#This Row],[Desbalance
TPL]]</f>
        <v>156078.98620521225</v>
      </c>
    </row>
    <row r="289" spans="2:13" x14ac:dyDescent="0.25">
      <c r="B289" s="1859">
        <f t="shared" si="25"/>
        <v>2014</v>
      </c>
      <c r="C289" s="1859">
        <f t="shared" si="26"/>
        <v>4</v>
      </c>
      <c r="D289" s="1860">
        <f t="shared" si="27"/>
        <v>41748</v>
      </c>
      <c r="E289" s="1861">
        <v>41748</v>
      </c>
      <c r="F289" s="1862">
        <f t="shared" si="23"/>
        <v>0</v>
      </c>
      <c r="G289" s="1862">
        <v>50001</v>
      </c>
      <c r="H289" s="1862">
        <v>50001</v>
      </c>
      <c r="I289" s="1862">
        <f>Tabla1[[#This Row],[Extraccion
Norte II]]+Tabla1[[#This Row],[Extraccion
ENO]]</f>
        <v>54142.12205649</v>
      </c>
      <c r="J289" s="1862">
        <v>54142.12205649</v>
      </c>
      <c r="K289" s="1862"/>
      <c r="L289" s="1862">
        <f t="shared" si="24"/>
        <v>-4141.1220564899995</v>
      </c>
      <c r="M289" s="1862">
        <f>M288+Tabla1[[#This Row],[Desbalance
TPL]]</f>
        <v>151937.86414872226</v>
      </c>
    </row>
    <row r="290" spans="2:13" x14ac:dyDescent="0.25">
      <c r="B290" s="1859">
        <f t="shared" si="25"/>
        <v>2014</v>
      </c>
      <c r="C290" s="1859">
        <f t="shared" si="26"/>
        <v>4</v>
      </c>
      <c r="D290" s="1860">
        <f t="shared" si="27"/>
        <v>41749</v>
      </c>
      <c r="E290" s="1861">
        <v>41749</v>
      </c>
      <c r="F290" s="1862">
        <f t="shared" si="23"/>
        <v>0</v>
      </c>
      <c r="G290" s="1862">
        <v>50001</v>
      </c>
      <c r="H290" s="1862">
        <v>50001</v>
      </c>
      <c r="I290" s="1862">
        <f>Tabla1[[#This Row],[Extraccion
Norte II]]+Tabla1[[#This Row],[Extraccion
ENO]]</f>
        <v>59451.442198199999</v>
      </c>
      <c r="J290" s="1862">
        <v>59451.442198199999</v>
      </c>
      <c r="K290" s="1862"/>
      <c r="L290" s="1862">
        <f t="shared" si="24"/>
        <v>-9450.4421981999985</v>
      </c>
      <c r="M290" s="1862">
        <f>M289+Tabla1[[#This Row],[Desbalance
TPL]]</f>
        <v>142487.42195052226</v>
      </c>
    </row>
    <row r="291" spans="2:13" x14ac:dyDescent="0.25">
      <c r="B291" s="1859">
        <f t="shared" si="25"/>
        <v>2014</v>
      </c>
      <c r="C291" s="1859">
        <f t="shared" si="26"/>
        <v>4</v>
      </c>
      <c r="D291" s="1860">
        <f t="shared" si="27"/>
        <v>41750</v>
      </c>
      <c r="E291" s="1861">
        <v>41750</v>
      </c>
      <c r="F291" s="1862">
        <f t="shared" si="23"/>
        <v>0</v>
      </c>
      <c r="G291" s="1862">
        <v>50001</v>
      </c>
      <c r="H291" s="1862">
        <v>50001</v>
      </c>
      <c r="I291" s="1862">
        <f>Tabla1[[#This Row],[Extraccion
Norte II]]+Tabla1[[#This Row],[Extraccion
ENO]]</f>
        <v>71111.316325139996</v>
      </c>
      <c r="J291" s="1862">
        <v>71111.316325139996</v>
      </c>
      <c r="K291" s="1862"/>
      <c r="L291" s="1862">
        <f t="shared" si="24"/>
        <v>-21110.316325139996</v>
      </c>
      <c r="M291" s="1862">
        <f>M290+Tabla1[[#This Row],[Desbalance
TPL]]</f>
        <v>121377.10562538226</v>
      </c>
    </row>
    <row r="292" spans="2:13" x14ac:dyDescent="0.25">
      <c r="B292" s="1859">
        <f t="shared" si="25"/>
        <v>2014</v>
      </c>
      <c r="C292" s="1859">
        <f t="shared" si="26"/>
        <v>4</v>
      </c>
      <c r="D292" s="1860">
        <f t="shared" si="27"/>
        <v>41751</v>
      </c>
      <c r="E292" s="1861">
        <v>41751</v>
      </c>
      <c r="F292" s="1862">
        <f t="shared" si="23"/>
        <v>0</v>
      </c>
      <c r="G292" s="1862">
        <v>60000</v>
      </c>
      <c r="H292" s="1862">
        <v>60000</v>
      </c>
      <c r="I292" s="1862">
        <f>Tabla1[[#This Row],[Extraccion
Norte II]]+Tabla1[[#This Row],[Extraccion
ENO]]</f>
        <v>72984.553409429995</v>
      </c>
      <c r="J292" s="1862">
        <v>72984.553409429995</v>
      </c>
      <c r="K292" s="1862"/>
      <c r="L292" s="1862">
        <f t="shared" si="24"/>
        <v>-12984.553409429995</v>
      </c>
      <c r="M292" s="1862">
        <f>M291+Tabla1[[#This Row],[Desbalance
TPL]]</f>
        <v>108392.55221595227</v>
      </c>
    </row>
    <row r="293" spans="2:13" x14ac:dyDescent="0.25">
      <c r="B293" s="1859">
        <f t="shared" si="25"/>
        <v>2014</v>
      </c>
      <c r="C293" s="1859">
        <f t="shared" si="26"/>
        <v>4</v>
      </c>
      <c r="D293" s="1860">
        <f t="shared" si="27"/>
        <v>41752</v>
      </c>
      <c r="E293" s="1861">
        <v>41752</v>
      </c>
      <c r="F293" s="1862">
        <f t="shared" si="23"/>
        <v>0</v>
      </c>
      <c r="G293" s="1862">
        <v>49995</v>
      </c>
      <c r="H293" s="1862">
        <v>49995</v>
      </c>
      <c r="I293" s="1862">
        <f>Tabla1[[#This Row],[Extraccion
Norte II]]+Tabla1[[#This Row],[Extraccion
ENO]]</f>
        <v>73556.001756900005</v>
      </c>
      <c r="J293" s="1862">
        <v>73556.001756900005</v>
      </c>
      <c r="K293" s="1862"/>
      <c r="L293" s="1862">
        <f t="shared" si="24"/>
        <v>-23561.001756900005</v>
      </c>
      <c r="M293" s="1862">
        <f>M292+Tabla1[[#This Row],[Desbalance
TPL]]</f>
        <v>84831.550459052261</v>
      </c>
    </row>
    <row r="294" spans="2:13" x14ac:dyDescent="0.25">
      <c r="B294" s="1859">
        <f t="shared" si="25"/>
        <v>2014</v>
      </c>
      <c r="C294" s="1859">
        <f t="shared" si="26"/>
        <v>4</v>
      </c>
      <c r="D294" s="1860">
        <f t="shared" si="27"/>
        <v>41753</v>
      </c>
      <c r="E294" s="1861">
        <v>41753</v>
      </c>
      <c r="F294" s="1862">
        <f t="shared" si="23"/>
        <v>0</v>
      </c>
      <c r="G294" s="1862">
        <v>50001</v>
      </c>
      <c r="H294" s="1862">
        <v>50001</v>
      </c>
      <c r="I294" s="1862">
        <f>Tabla1[[#This Row],[Extraccion
Norte II]]+Tabla1[[#This Row],[Extraccion
ENO]]</f>
        <v>73836.969784929024</v>
      </c>
      <c r="J294" s="1862">
        <v>73836.969784929024</v>
      </c>
      <c r="K294" s="1862"/>
      <c r="L294" s="1862">
        <f t="shared" si="24"/>
        <v>-23835.969784929024</v>
      </c>
      <c r="M294" s="1862">
        <f>M293+Tabla1[[#This Row],[Desbalance
TPL]]</f>
        <v>60995.580674123237</v>
      </c>
    </row>
    <row r="295" spans="2:13" x14ac:dyDescent="0.25">
      <c r="B295" s="1859">
        <f t="shared" si="25"/>
        <v>2014</v>
      </c>
      <c r="C295" s="1859">
        <f t="shared" si="26"/>
        <v>4</v>
      </c>
      <c r="D295" s="1860">
        <f t="shared" si="27"/>
        <v>41754</v>
      </c>
      <c r="E295" s="1861">
        <v>41754</v>
      </c>
      <c r="F295" s="1862">
        <f t="shared" si="23"/>
        <v>5000</v>
      </c>
      <c r="G295" s="1862">
        <v>55001</v>
      </c>
      <c r="H295" s="1862">
        <v>50001</v>
      </c>
      <c r="I295" s="1862">
        <f>Tabla1[[#This Row],[Extraccion
Norte II]]+Tabla1[[#This Row],[Extraccion
ENO]]</f>
        <v>71864.641276740003</v>
      </c>
      <c r="J295" s="1862">
        <v>71864.641276740003</v>
      </c>
      <c r="K295" s="1862"/>
      <c r="L295" s="1862">
        <f t="shared" si="24"/>
        <v>-21863.641276740003</v>
      </c>
      <c r="M295" s="1862">
        <f>M294+Tabla1[[#This Row],[Desbalance
TPL]]</f>
        <v>39131.939397383234</v>
      </c>
    </row>
    <row r="296" spans="2:13" x14ac:dyDescent="0.25">
      <c r="B296" s="1859">
        <f t="shared" si="25"/>
        <v>2014</v>
      </c>
      <c r="C296" s="1859">
        <f t="shared" si="26"/>
        <v>4</v>
      </c>
      <c r="D296" s="1860">
        <f t="shared" si="27"/>
        <v>41755</v>
      </c>
      <c r="E296" s="1861">
        <v>41755</v>
      </c>
      <c r="F296" s="1862">
        <f t="shared" si="23"/>
        <v>0</v>
      </c>
      <c r="G296" s="1862">
        <v>54995</v>
      </c>
      <c r="H296" s="1862">
        <v>54995</v>
      </c>
      <c r="I296" s="1862">
        <f>Tabla1[[#This Row],[Extraccion
Norte II]]+Tabla1[[#This Row],[Extraccion
ENO]]</f>
        <v>70877.177091630001</v>
      </c>
      <c r="J296" s="1862">
        <v>70877.177091630001</v>
      </c>
      <c r="K296" s="1862"/>
      <c r="L296" s="1862">
        <f t="shared" si="24"/>
        <v>-15882.177091630001</v>
      </c>
      <c r="M296" s="1862">
        <f>M295+Tabla1[[#This Row],[Desbalance
TPL]]</f>
        <v>23249.762305753233</v>
      </c>
    </row>
    <row r="297" spans="2:13" x14ac:dyDescent="0.25">
      <c r="B297" s="1859">
        <f t="shared" si="25"/>
        <v>2014</v>
      </c>
      <c r="C297" s="1859">
        <f t="shared" si="26"/>
        <v>4</v>
      </c>
      <c r="D297" s="1860">
        <f t="shared" si="27"/>
        <v>41756</v>
      </c>
      <c r="E297" s="1861">
        <v>41756</v>
      </c>
      <c r="F297" s="1862">
        <f t="shared" si="23"/>
        <v>0</v>
      </c>
      <c r="G297" s="1862">
        <v>54986</v>
      </c>
      <c r="H297" s="1862">
        <v>54986</v>
      </c>
      <c r="I297" s="1862">
        <f>Tabla1[[#This Row],[Extraccion
Norte II]]+Tabla1[[#This Row],[Extraccion
ENO]]</f>
        <v>68950.729560960011</v>
      </c>
      <c r="J297" s="1862">
        <v>68950.729560960011</v>
      </c>
      <c r="K297" s="1862"/>
      <c r="L297" s="1862">
        <f t="shared" si="24"/>
        <v>-13964.729560960011</v>
      </c>
      <c r="M297" s="1862">
        <f>M296+Tabla1[[#This Row],[Desbalance
TPL]]</f>
        <v>9285.0327447932214</v>
      </c>
    </row>
    <row r="298" spans="2:13" x14ac:dyDescent="0.25">
      <c r="B298" s="1859">
        <f t="shared" si="25"/>
        <v>2014</v>
      </c>
      <c r="C298" s="1859">
        <f t="shared" si="26"/>
        <v>4</v>
      </c>
      <c r="D298" s="1860">
        <f t="shared" si="27"/>
        <v>41757</v>
      </c>
      <c r="E298" s="1861">
        <v>41757</v>
      </c>
      <c r="F298" s="1862">
        <f t="shared" si="23"/>
        <v>0</v>
      </c>
      <c r="G298" s="1862">
        <v>55001</v>
      </c>
      <c r="H298" s="1862">
        <v>55001</v>
      </c>
      <c r="I298" s="1862">
        <f>Tabla1[[#This Row],[Extraccion
Norte II]]+Tabla1[[#This Row],[Extraccion
ENO]]</f>
        <v>71457.80030766</v>
      </c>
      <c r="J298" s="1862">
        <v>71457.80030766</v>
      </c>
      <c r="K298" s="1862"/>
      <c r="L298" s="1862">
        <f t="shared" si="24"/>
        <v>-16456.80030766</v>
      </c>
      <c r="M298" s="1862">
        <f>M297+Tabla1[[#This Row],[Desbalance
TPL]]</f>
        <v>-7171.7675628667785</v>
      </c>
    </row>
    <row r="299" spans="2:13" x14ac:dyDescent="0.25">
      <c r="B299" s="1859">
        <f t="shared" si="25"/>
        <v>2014</v>
      </c>
      <c r="C299" s="1859">
        <f t="shared" si="26"/>
        <v>4</v>
      </c>
      <c r="D299" s="1860">
        <f t="shared" si="27"/>
        <v>41758</v>
      </c>
      <c r="E299" s="1861">
        <v>41758</v>
      </c>
      <c r="F299" s="1862">
        <f t="shared" si="23"/>
        <v>0</v>
      </c>
      <c r="G299" s="1862">
        <v>55001</v>
      </c>
      <c r="H299" s="1862">
        <v>55001</v>
      </c>
      <c r="I299" s="1862">
        <f>Tabla1[[#This Row],[Extraccion
Norte II]]+Tabla1[[#This Row],[Extraccion
ENO]]</f>
        <v>73897.661350890005</v>
      </c>
      <c r="J299" s="1862">
        <v>73897.661350890005</v>
      </c>
      <c r="K299" s="1862"/>
      <c r="L299" s="1862">
        <f t="shared" si="24"/>
        <v>-18896.661350890005</v>
      </c>
      <c r="M299" s="1862">
        <f>M298+Tabla1[[#This Row],[Desbalance
TPL]]</f>
        <v>-26068.428913756783</v>
      </c>
    </row>
    <row r="300" spans="2:13" x14ac:dyDescent="0.25">
      <c r="B300" s="1859">
        <f t="shared" si="25"/>
        <v>2014</v>
      </c>
      <c r="C300" s="1859">
        <f t="shared" si="26"/>
        <v>4</v>
      </c>
      <c r="D300" s="1860">
        <f t="shared" si="27"/>
        <v>41759</v>
      </c>
      <c r="E300" s="1861">
        <v>41759</v>
      </c>
      <c r="F300" s="1862">
        <f t="shared" si="23"/>
        <v>0</v>
      </c>
      <c r="G300" s="1862">
        <v>60001</v>
      </c>
      <c r="H300" s="1862">
        <v>60001</v>
      </c>
      <c r="I300" s="1862">
        <f>Tabla1[[#This Row],[Extraccion
Norte II]]+Tabla1[[#This Row],[Extraccion
ENO]]</f>
        <v>72670.50372465</v>
      </c>
      <c r="J300" s="1862">
        <v>72670.50372465</v>
      </c>
      <c r="K300" s="1862"/>
      <c r="L300" s="1862">
        <f t="shared" si="24"/>
        <v>-12669.50372465</v>
      </c>
      <c r="M300" s="1862">
        <f>M299+Tabla1[[#This Row],[Desbalance
TPL]]</f>
        <v>-38737.932638406783</v>
      </c>
    </row>
    <row r="301" spans="2:13" x14ac:dyDescent="0.25">
      <c r="B301" s="1859">
        <f t="shared" si="25"/>
        <v>2014</v>
      </c>
      <c r="C301" s="1859">
        <f t="shared" si="26"/>
        <v>5</v>
      </c>
      <c r="D301" s="1860">
        <f t="shared" si="27"/>
        <v>41760</v>
      </c>
      <c r="E301" s="1861">
        <v>41760</v>
      </c>
      <c r="F301" s="1862">
        <f t="shared" si="23"/>
        <v>-10</v>
      </c>
      <c r="G301" s="1862">
        <v>59990</v>
      </c>
      <c r="H301" s="1862">
        <v>60000</v>
      </c>
      <c r="I301" s="1862">
        <f>Tabla1[[#This Row],[Extraccion
Norte II]]+Tabla1[[#This Row],[Extraccion
ENO]]</f>
        <v>70995.825117513261</v>
      </c>
      <c r="J301" s="1862">
        <v>70995.825117513261</v>
      </c>
      <c r="K301" s="1862"/>
      <c r="L301" s="1862">
        <f t="shared" si="24"/>
        <v>-10995.825117513261</v>
      </c>
      <c r="M301" s="1862">
        <f>M300+Tabla1[[#This Row],[Desbalance
TPL]]</f>
        <v>-49733.757755920044</v>
      </c>
    </row>
    <row r="302" spans="2:13" x14ac:dyDescent="0.25">
      <c r="B302" s="1859">
        <f t="shared" si="25"/>
        <v>2014</v>
      </c>
      <c r="C302" s="1859">
        <f t="shared" si="26"/>
        <v>5</v>
      </c>
      <c r="D302" s="1860">
        <f t="shared" si="27"/>
        <v>41761</v>
      </c>
      <c r="E302" s="1861">
        <v>41761</v>
      </c>
      <c r="F302" s="1862">
        <f t="shared" si="23"/>
        <v>0</v>
      </c>
      <c r="G302" s="1862">
        <v>57999</v>
      </c>
      <c r="H302" s="1862">
        <v>57999</v>
      </c>
      <c r="I302" s="1862">
        <f>Tabla1[[#This Row],[Extraccion
Norte II]]+Tabla1[[#This Row],[Extraccion
ENO]]</f>
        <v>73903.66843495077</v>
      </c>
      <c r="J302" s="1862">
        <v>73903.66843495077</v>
      </c>
      <c r="K302" s="1862"/>
      <c r="L302" s="1862">
        <f t="shared" si="24"/>
        <v>-15904.66843495077</v>
      </c>
      <c r="M302" s="1862">
        <f>M301+Tabla1[[#This Row],[Desbalance
TPL]]</f>
        <v>-65638.426190870814</v>
      </c>
    </row>
    <row r="303" spans="2:13" x14ac:dyDescent="0.25">
      <c r="B303" s="1859">
        <f t="shared" si="25"/>
        <v>2014</v>
      </c>
      <c r="C303" s="1859">
        <f t="shared" si="26"/>
        <v>5</v>
      </c>
      <c r="D303" s="1860">
        <f t="shared" si="27"/>
        <v>41762</v>
      </c>
      <c r="E303" s="1861">
        <v>41762</v>
      </c>
      <c r="F303" s="1862">
        <f t="shared" si="23"/>
        <v>0</v>
      </c>
      <c r="G303" s="1862">
        <v>58000</v>
      </c>
      <c r="H303" s="1862">
        <v>58000</v>
      </c>
      <c r="I303" s="1862">
        <f>Tabla1[[#This Row],[Extraccion
Norte II]]+Tabla1[[#This Row],[Extraccion
ENO]]</f>
        <v>70995.714052317213</v>
      </c>
      <c r="J303" s="1862">
        <v>70995.714052317213</v>
      </c>
      <c r="K303" s="1862"/>
      <c r="L303" s="1862">
        <f t="shared" si="24"/>
        <v>-12995.714052317213</v>
      </c>
      <c r="M303" s="1862">
        <f>M302+Tabla1[[#This Row],[Desbalance
TPL]]</f>
        <v>-78634.140243188027</v>
      </c>
    </row>
    <row r="304" spans="2:13" x14ac:dyDescent="0.25">
      <c r="B304" s="1859">
        <f t="shared" si="25"/>
        <v>2014</v>
      </c>
      <c r="C304" s="1859">
        <f t="shared" si="26"/>
        <v>5</v>
      </c>
      <c r="D304" s="1860">
        <f t="shared" si="27"/>
        <v>41763</v>
      </c>
      <c r="E304" s="1861">
        <v>41763</v>
      </c>
      <c r="F304" s="1862">
        <f t="shared" si="23"/>
        <v>0</v>
      </c>
      <c r="G304" s="1862">
        <v>58000</v>
      </c>
      <c r="H304" s="1862">
        <v>58000</v>
      </c>
      <c r="I304" s="1862">
        <f>Tabla1[[#This Row],[Extraccion
Norte II]]+Tabla1[[#This Row],[Extraccion
ENO]]</f>
        <v>72450.250304013272</v>
      </c>
      <c r="J304" s="1862">
        <v>72450.250304013272</v>
      </c>
      <c r="K304" s="1862"/>
      <c r="L304" s="1862">
        <f t="shared" si="24"/>
        <v>-14450.250304013272</v>
      </c>
      <c r="M304" s="1862">
        <f>M303+Tabla1[[#This Row],[Desbalance
TPL]]</f>
        <v>-93084.390547201299</v>
      </c>
    </row>
    <row r="305" spans="2:13" x14ac:dyDescent="0.25">
      <c r="B305" s="1859">
        <f t="shared" si="25"/>
        <v>2014</v>
      </c>
      <c r="C305" s="1859">
        <f t="shared" si="26"/>
        <v>5</v>
      </c>
      <c r="D305" s="1860">
        <f t="shared" si="27"/>
        <v>41764</v>
      </c>
      <c r="E305" s="1861">
        <v>41764</v>
      </c>
      <c r="F305" s="1862">
        <f t="shared" si="23"/>
        <v>0</v>
      </c>
      <c r="G305" s="1862">
        <v>58000</v>
      </c>
      <c r="H305" s="1862">
        <v>58000</v>
      </c>
      <c r="I305" s="1862">
        <f>Tabla1[[#This Row],[Extraccion
Norte II]]+Tabla1[[#This Row],[Extraccion
ENO]]</f>
        <v>73207.15623145549</v>
      </c>
      <c r="J305" s="1862">
        <v>73207.15623145549</v>
      </c>
      <c r="K305" s="1862"/>
      <c r="L305" s="1862">
        <f t="shared" si="24"/>
        <v>-15207.15623145549</v>
      </c>
      <c r="M305" s="1862">
        <f>M304+Tabla1[[#This Row],[Desbalance
TPL]]</f>
        <v>-108291.54677865679</v>
      </c>
    </row>
    <row r="306" spans="2:13" x14ac:dyDescent="0.25">
      <c r="B306" s="1859">
        <f t="shared" si="25"/>
        <v>2014</v>
      </c>
      <c r="C306" s="1859">
        <f t="shared" si="26"/>
        <v>5</v>
      </c>
      <c r="D306" s="1860">
        <f t="shared" si="27"/>
        <v>41765</v>
      </c>
      <c r="E306" s="1861">
        <v>41765</v>
      </c>
      <c r="F306" s="1862">
        <f t="shared" si="23"/>
        <v>0</v>
      </c>
      <c r="G306" s="1862">
        <v>58000</v>
      </c>
      <c r="H306" s="1862">
        <v>58000</v>
      </c>
      <c r="I306" s="1862">
        <f>Tabla1[[#This Row],[Extraccion
Norte II]]+Tabla1[[#This Row],[Extraccion
ENO]]</f>
        <v>72549.356419075761</v>
      </c>
      <c r="J306" s="1862">
        <v>72549.356419075761</v>
      </c>
      <c r="K306" s="1862"/>
      <c r="L306" s="1862">
        <f t="shared" si="24"/>
        <v>-14549.356419075761</v>
      </c>
      <c r="M306" s="1862">
        <f>M305+Tabla1[[#This Row],[Desbalance
TPL]]</f>
        <v>-122840.90319773255</v>
      </c>
    </row>
    <row r="307" spans="2:13" x14ac:dyDescent="0.25">
      <c r="B307" s="1859">
        <f t="shared" si="25"/>
        <v>2014</v>
      </c>
      <c r="C307" s="1859">
        <f t="shared" si="26"/>
        <v>5</v>
      </c>
      <c r="D307" s="1860">
        <f t="shared" si="27"/>
        <v>41766</v>
      </c>
      <c r="E307" s="1861">
        <v>41766</v>
      </c>
      <c r="F307" s="1862">
        <f t="shared" si="23"/>
        <v>0</v>
      </c>
      <c r="G307" s="1862">
        <v>65001</v>
      </c>
      <c r="H307" s="1862">
        <v>65001</v>
      </c>
      <c r="I307" s="1862">
        <f>Tabla1[[#This Row],[Extraccion
Norte II]]+Tabla1[[#This Row],[Extraccion
ENO]]</f>
        <v>72924.699363004707</v>
      </c>
      <c r="J307" s="1862">
        <v>72924.699363004707</v>
      </c>
      <c r="K307" s="1862"/>
      <c r="L307" s="1862">
        <f t="shared" si="24"/>
        <v>-7923.6993630047073</v>
      </c>
      <c r="M307" s="1862">
        <f>M306+Tabla1[[#This Row],[Desbalance
TPL]]</f>
        <v>-130764.60256073726</v>
      </c>
    </row>
    <row r="308" spans="2:13" x14ac:dyDescent="0.25">
      <c r="B308" s="1859">
        <f t="shared" si="25"/>
        <v>2014</v>
      </c>
      <c r="C308" s="1859">
        <f t="shared" si="26"/>
        <v>5</v>
      </c>
      <c r="D308" s="1860">
        <f t="shared" si="27"/>
        <v>41767</v>
      </c>
      <c r="E308" s="1861">
        <v>41767</v>
      </c>
      <c r="F308" s="1862">
        <f t="shared" si="23"/>
        <v>0</v>
      </c>
      <c r="G308" s="1862">
        <v>60000</v>
      </c>
      <c r="H308" s="1862">
        <v>60000</v>
      </c>
      <c r="I308" s="1862">
        <f>Tabla1[[#This Row],[Extraccion
Norte II]]+Tabla1[[#This Row],[Extraccion
ENO]]</f>
        <v>73430.256060281245</v>
      </c>
      <c r="J308" s="1862">
        <v>73430.256060281245</v>
      </c>
      <c r="K308" s="1862"/>
      <c r="L308" s="1862">
        <f t="shared" si="24"/>
        <v>-13430.256060281245</v>
      </c>
      <c r="M308" s="1862">
        <f>M307+Tabla1[[#This Row],[Desbalance
TPL]]</f>
        <v>-144194.8586210185</v>
      </c>
    </row>
    <row r="309" spans="2:13" x14ac:dyDescent="0.25">
      <c r="B309" s="1859">
        <f t="shared" si="25"/>
        <v>2014</v>
      </c>
      <c r="C309" s="1859">
        <f t="shared" si="26"/>
        <v>5</v>
      </c>
      <c r="D309" s="1860">
        <f t="shared" si="27"/>
        <v>41768</v>
      </c>
      <c r="E309" s="1861">
        <v>41768</v>
      </c>
      <c r="F309" s="1862">
        <f t="shared" si="23"/>
        <v>0</v>
      </c>
      <c r="G309" s="1862">
        <v>60001</v>
      </c>
      <c r="H309" s="1862">
        <v>60001</v>
      </c>
      <c r="I309" s="1862">
        <f>Tabla1[[#This Row],[Extraccion
Norte II]]+Tabla1[[#This Row],[Extraccion
ENO]]</f>
        <v>73765.820300013263</v>
      </c>
      <c r="J309" s="1862">
        <v>73765.820300013263</v>
      </c>
      <c r="K309" s="1862"/>
      <c r="L309" s="1862">
        <f t="shared" si="24"/>
        <v>-13764.820300013263</v>
      </c>
      <c r="M309" s="1862">
        <f>M308+Tabla1[[#This Row],[Desbalance
TPL]]</f>
        <v>-157959.67892103177</v>
      </c>
    </row>
    <row r="310" spans="2:13" x14ac:dyDescent="0.25">
      <c r="B310" s="1859">
        <f t="shared" si="25"/>
        <v>2014</v>
      </c>
      <c r="C310" s="1859">
        <f t="shared" si="26"/>
        <v>5</v>
      </c>
      <c r="D310" s="1860">
        <f t="shared" si="27"/>
        <v>41769</v>
      </c>
      <c r="E310" s="1861">
        <v>41769</v>
      </c>
      <c r="F310" s="1862">
        <f t="shared" si="23"/>
        <v>0</v>
      </c>
      <c r="G310" s="1862">
        <v>60001</v>
      </c>
      <c r="H310" s="1862">
        <v>60001</v>
      </c>
      <c r="I310" s="1862">
        <f>Tabla1[[#This Row],[Extraccion
Norte II]]+Tabla1[[#This Row],[Extraccion
ENO]]</f>
        <v>68380.435180687506</v>
      </c>
      <c r="J310" s="1862">
        <v>68380.435180687506</v>
      </c>
      <c r="K310" s="1862"/>
      <c r="L310" s="1862">
        <f t="shared" si="24"/>
        <v>-8379.4351806875056</v>
      </c>
      <c r="M310" s="1862">
        <f>M309+Tabla1[[#This Row],[Desbalance
TPL]]</f>
        <v>-166339.11410171929</v>
      </c>
    </row>
    <row r="311" spans="2:13" x14ac:dyDescent="0.25">
      <c r="B311" s="1859">
        <f t="shared" si="25"/>
        <v>2014</v>
      </c>
      <c r="C311" s="1859">
        <f t="shared" si="26"/>
        <v>5</v>
      </c>
      <c r="D311" s="1860">
        <f t="shared" si="27"/>
        <v>41770</v>
      </c>
      <c r="E311" s="1861">
        <v>41770</v>
      </c>
      <c r="F311" s="1862">
        <f t="shared" si="23"/>
        <v>0</v>
      </c>
      <c r="G311" s="1862">
        <v>60001</v>
      </c>
      <c r="H311" s="1862">
        <v>60001</v>
      </c>
      <c r="I311" s="1862">
        <f>Tabla1[[#This Row],[Extraccion
Norte II]]+Tabla1[[#This Row],[Extraccion
ENO]]</f>
        <v>69419.064897000004</v>
      </c>
      <c r="J311" s="1862">
        <v>69419.064897000004</v>
      </c>
      <c r="K311" s="1862"/>
      <c r="L311" s="1862">
        <f t="shared" si="24"/>
        <v>-9418.0648970000038</v>
      </c>
      <c r="M311" s="1862">
        <f>M310+Tabla1[[#This Row],[Desbalance
TPL]]</f>
        <v>-175757.17899871929</v>
      </c>
    </row>
    <row r="312" spans="2:13" x14ac:dyDescent="0.25">
      <c r="B312" s="1859">
        <f t="shared" si="25"/>
        <v>2014</v>
      </c>
      <c r="C312" s="1859">
        <f t="shared" si="26"/>
        <v>5</v>
      </c>
      <c r="D312" s="1860">
        <f t="shared" si="27"/>
        <v>41771</v>
      </c>
      <c r="E312" s="1861">
        <v>41771</v>
      </c>
      <c r="F312" s="1862">
        <f t="shared" si="23"/>
        <v>0</v>
      </c>
      <c r="G312" s="1862">
        <v>60001</v>
      </c>
      <c r="H312" s="1862">
        <v>60001</v>
      </c>
      <c r="I312" s="1862">
        <f>Tabla1[[#This Row],[Extraccion
Norte II]]+Tabla1[[#This Row],[Extraccion
ENO]]</f>
        <v>73630.08994842424</v>
      </c>
      <c r="J312" s="1862">
        <v>73630.08994842424</v>
      </c>
      <c r="K312" s="1862"/>
      <c r="L312" s="1862">
        <f t="shared" si="24"/>
        <v>-13629.08994842424</v>
      </c>
      <c r="M312" s="1862">
        <f>M311+Tabla1[[#This Row],[Desbalance
TPL]]</f>
        <v>-189386.26894714352</v>
      </c>
    </row>
    <row r="313" spans="2:13" x14ac:dyDescent="0.25">
      <c r="B313" s="1859">
        <f t="shared" si="25"/>
        <v>2014</v>
      </c>
      <c r="C313" s="1859">
        <f t="shared" si="26"/>
        <v>5</v>
      </c>
      <c r="D313" s="1860">
        <f t="shared" si="27"/>
        <v>41772</v>
      </c>
      <c r="E313" s="1861">
        <v>41772</v>
      </c>
      <c r="F313" s="1862">
        <f t="shared" si="23"/>
        <v>0</v>
      </c>
      <c r="G313" s="1862">
        <v>59998</v>
      </c>
      <c r="H313" s="1862">
        <v>59998</v>
      </c>
      <c r="I313" s="1862">
        <f>Tabla1[[#This Row],[Extraccion
Norte II]]+Tabla1[[#This Row],[Extraccion
ENO]]</f>
        <v>73903.281905700002</v>
      </c>
      <c r="J313" s="1862">
        <v>73903.281905700002</v>
      </c>
      <c r="K313" s="1862"/>
      <c r="L313" s="1862">
        <f t="shared" si="24"/>
        <v>-13905.281905700002</v>
      </c>
      <c r="M313" s="1862">
        <f>M312+Tabla1[[#This Row],[Desbalance
TPL]]</f>
        <v>-203291.5508528435</v>
      </c>
    </row>
    <row r="314" spans="2:13" x14ac:dyDescent="0.25">
      <c r="B314" s="1859">
        <f t="shared" si="25"/>
        <v>2014</v>
      </c>
      <c r="C314" s="1859">
        <f t="shared" si="26"/>
        <v>5</v>
      </c>
      <c r="D314" s="1860">
        <f t="shared" si="27"/>
        <v>41773</v>
      </c>
      <c r="E314" s="1861">
        <v>41773</v>
      </c>
      <c r="F314" s="1862">
        <f t="shared" si="23"/>
        <v>0</v>
      </c>
      <c r="G314" s="1862">
        <v>65000</v>
      </c>
      <c r="H314" s="1862">
        <v>65000</v>
      </c>
      <c r="I314" s="1862">
        <f>Tabla1[[#This Row],[Extraccion
Norte II]]+Tabla1[[#This Row],[Extraccion
ENO]]</f>
        <v>74005.4565783</v>
      </c>
      <c r="J314" s="1862">
        <v>74005.4565783</v>
      </c>
      <c r="K314" s="1862"/>
      <c r="L314" s="1862">
        <f t="shared" si="24"/>
        <v>-9005.4565782999998</v>
      </c>
      <c r="M314" s="1862">
        <f>M313+Tabla1[[#This Row],[Desbalance
TPL]]</f>
        <v>-212297.00743114349</v>
      </c>
    </row>
    <row r="315" spans="2:13" x14ac:dyDescent="0.25">
      <c r="B315" s="1859">
        <f t="shared" si="25"/>
        <v>2014</v>
      </c>
      <c r="C315" s="1859">
        <f t="shared" si="26"/>
        <v>5</v>
      </c>
      <c r="D315" s="1860">
        <f t="shared" si="27"/>
        <v>41774</v>
      </c>
      <c r="E315" s="1861">
        <v>41774</v>
      </c>
      <c r="F315" s="1862">
        <f t="shared" si="23"/>
        <v>0</v>
      </c>
      <c r="G315" s="1862">
        <v>65000</v>
      </c>
      <c r="H315" s="1862">
        <v>65000</v>
      </c>
      <c r="I315" s="1862">
        <f>Tabla1[[#This Row],[Extraccion
Norte II]]+Tabla1[[#This Row],[Extraccion
ENO]]</f>
        <v>74447.234081999995</v>
      </c>
      <c r="J315" s="1862">
        <v>74447.234081999995</v>
      </c>
      <c r="K315" s="1862"/>
      <c r="L315" s="1862">
        <f t="shared" si="24"/>
        <v>-9447.2340819999954</v>
      </c>
      <c r="M315" s="1862">
        <f>M314+Tabla1[[#This Row],[Desbalance
TPL]]</f>
        <v>-221744.24151314347</v>
      </c>
    </row>
    <row r="316" spans="2:13" x14ac:dyDescent="0.25">
      <c r="B316" s="1859">
        <f t="shared" si="25"/>
        <v>2014</v>
      </c>
      <c r="C316" s="1859">
        <f t="shared" si="26"/>
        <v>5</v>
      </c>
      <c r="D316" s="1860">
        <f t="shared" si="27"/>
        <v>41775</v>
      </c>
      <c r="E316" s="1861">
        <v>41775</v>
      </c>
      <c r="F316" s="1862">
        <f t="shared" si="23"/>
        <v>0</v>
      </c>
      <c r="G316" s="1862">
        <v>65002</v>
      </c>
      <c r="H316" s="1862">
        <v>65002</v>
      </c>
      <c r="I316" s="1862">
        <f>Tabla1[[#This Row],[Extraccion
Norte II]]+Tabla1[[#This Row],[Extraccion
ENO]]</f>
        <v>73925.366041799993</v>
      </c>
      <c r="J316" s="1862">
        <v>73925.366041799993</v>
      </c>
      <c r="K316" s="1862"/>
      <c r="L316" s="1862">
        <f t="shared" si="24"/>
        <v>-8923.3660417999927</v>
      </c>
      <c r="M316" s="1862">
        <f>M315+Tabla1[[#This Row],[Desbalance
TPL]]</f>
        <v>-230667.60755494348</v>
      </c>
    </row>
    <row r="317" spans="2:13" x14ac:dyDescent="0.25">
      <c r="B317" s="1859">
        <f t="shared" si="25"/>
        <v>2014</v>
      </c>
      <c r="C317" s="1859">
        <f t="shared" si="26"/>
        <v>5</v>
      </c>
      <c r="D317" s="1860">
        <f t="shared" si="27"/>
        <v>41776</v>
      </c>
      <c r="E317" s="1861">
        <v>41776</v>
      </c>
      <c r="F317" s="1862">
        <f t="shared" si="23"/>
        <v>0</v>
      </c>
      <c r="G317" s="1862">
        <v>64942</v>
      </c>
      <c r="H317" s="1862">
        <v>64942</v>
      </c>
      <c r="I317" s="1862">
        <f>Tabla1[[#This Row],[Extraccion
Norte II]]+Tabla1[[#This Row],[Extraccion
ENO]]</f>
        <v>72582.878043000004</v>
      </c>
      <c r="J317" s="1862">
        <v>72582.878043000004</v>
      </c>
      <c r="K317" s="1862"/>
      <c r="L317" s="1862">
        <f t="shared" si="24"/>
        <v>-7640.8780430000043</v>
      </c>
      <c r="M317" s="1862">
        <f>M316+Tabla1[[#This Row],[Desbalance
TPL]]</f>
        <v>-238308.48559794348</v>
      </c>
    </row>
    <row r="318" spans="2:13" x14ac:dyDescent="0.25">
      <c r="B318" s="1859">
        <f t="shared" si="25"/>
        <v>2014</v>
      </c>
      <c r="C318" s="1859">
        <f t="shared" si="26"/>
        <v>5</v>
      </c>
      <c r="D318" s="1860">
        <f t="shared" si="27"/>
        <v>41777</v>
      </c>
      <c r="E318" s="1861">
        <v>41777</v>
      </c>
      <c r="F318" s="1862">
        <f t="shared" si="23"/>
        <v>0</v>
      </c>
      <c r="G318" s="1862">
        <v>63990</v>
      </c>
      <c r="H318" s="1862">
        <v>63990</v>
      </c>
      <c r="I318" s="1862">
        <f>Tabla1[[#This Row],[Extraccion
Norte II]]+Tabla1[[#This Row],[Extraccion
ENO]]</f>
        <v>66783.11917898673</v>
      </c>
      <c r="J318" s="1862">
        <v>66783.11917898673</v>
      </c>
      <c r="K318" s="1862"/>
      <c r="L318" s="1862">
        <f t="shared" si="24"/>
        <v>-2793.1191789867298</v>
      </c>
      <c r="M318" s="1862">
        <f>M317+Tabla1[[#This Row],[Desbalance
TPL]]</f>
        <v>-241101.60477693021</v>
      </c>
    </row>
    <row r="319" spans="2:13" x14ac:dyDescent="0.25">
      <c r="B319" s="1859">
        <f t="shared" si="25"/>
        <v>2014</v>
      </c>
      <c r="C319" s="1859">
        <f t="shared" si="26"/>
        <v>5</v>
      </c>
      <c r="D319" s="1860">
        <f t="shared" si="27"/>
        <v>41778</v>
      </c>
      <c r="E319" s="1861">
        <v>41778</v>
      </c>
      <c r="F319" s="1862">
        <f t="shared" si="23"/>
        <v>0</v>
      </c>
      <c r="G319" s="1862">
        <v>64370</v>
      </c>
      <c r="H319" s="1862">
        <v>64370</v>
      </c>
      <c r="I319" s="1862">
        <f>Tabla1[[#This Row],[Extraccion
Norte II]]+Tabla1[[#This Row],[Extraccion
ENO]]</f>
        <v>72994.815604174233</v>
      </c>
      <c r="J319" s="1862">
        <v>72994.815604174233</v>
      </c>
      <c r="K319" s="1862"/>
      <c r="L319" s="1862">
        <f t="shared" si="24"/>
        <v>-8624.8156041742332</v>
      </c>
      <c r="M319" s="1862">
        <f>M318+Tabla1[[#This Row],[Desbalance
TPL]]</f>
        <v>-249726.42038110446</v>
      </c>
    </row>
    <row r="320" spans="2:13" x14ac:dyDescent="0.25">
      <c r="B320" s="1859">
        <f t="shared" si="25"/>
        <v>2014</v>
      </c>
      <c r="C320" s="1859">
        <f t="shared" si="26"/>
        <v>5</v>
      </c>
      <c r="D320" s="1860">
        <f t="shared" si="27"/>
        <v>41779</v>
      </c>
      <c r="E320" s="1861">
        <v>41779</v>
      </c>
      <c r="F320" s="1862">
        <f t="shared" si="23"/>
        <v>-113</v>
      </c>
      <c r="G320" s="1862">
        <v>64880</v>
      </c>
      <c r="H320" s="1862">
        <v>64993</v>
      </c>
      <c r="I320" s="1862">
        <f>Tabla1[[#This Row],[Extraccion
Norte II]]+Tabla1[[#This Row],[Extraccion
ENO]]</f>
        <v>73009.166141200767</v>
      </c>
      <c r="J320" s="1862">
        <v>73009.166141200767</v>
      </c>
      <c r="K320" s="1862"/>
      <c r="L320" s="1862">
        <f t="shared" si="24"/>
        <v>-8016.166141200767</v>
      </c>
      <c r="M320" s="1862">
        <f>M319+Tabla1[[#This Row],[Desbalance
TPL]]</f>
        <v>-257742.58652230521</v>
      </c>
    </row>
    <row r="321" spans="2:13" x14ac:dyDescent="0.25">
      <c r="B321" s="1859">
        <f t="shared" si="25"/>
        <v>2014</v>
      </c>
      <c r="C321" s="1859">
        <f t="shared" si="26"/>
        <v>5</v>
      </c>
      <c r="D321" s="1860">
        <f t="shared" si="27"/>
        <v>41780</v>
      </c>
      <c r="E321" s="1861">
        <v>41780</v>
      </c>
      <c r="F321" s="1862">
        <f t="shared" si="23"/>
        <v>0</v>
      </c>
      <c r="G321" s="1862">
        <v>65000</v>
      </c>
      <c r="H321" s="1862">
        <v>65000</v>
      </c>
      <c r="I321" s="1862">
        <f>Tabla1[[#This Row],[Extraccion
Norte II]]+Tabla1[[#This Row],[Extraccion
ENO]]</f>
        <v>73214.642507160956</v>
      </c>
      <c r="J321" s="1862">
        <v>73214.642507160956</v>
      </c>
      <c r="K321" s="1862"/>
      <c r="L321" s="1862">
        <f t="shared" si="24"/>
        <v>-8214.6425071609556</v>
      </c>
      <c r="M321" s="1862">
        <f>M320+Tabla1[[#This Row],[Desbalance
TPL]]</f>
        <v>-265957.22902946617</v>
      </c>
    </row>
    <row r="322" spans="2:13" x14ac:dyDescent="0.25">
      <c r="B322" s="1859">
        <f t="shared" si="25"/>
        <v>2014</v>
      </c>
      <c r="C322" s="1859">
        <f t="shared" si="26"/>
        <v>5</v>
      </c>
      <c r="D322" s="1860">
        <f t="shared" si="27"/>
        <v>41781</v>
      </c>
      <c r="E322" s="1861">
        <v>41781</v>
      </c>
      <c r="F322" s="1862">
        <f t="shared" si="23"/>
        <v>0</v>
      </c>
      <c r="G322" s="1862">
        <v>65000</v>
      </c>
      <c r="H322" s="1862">
        <v>65000</v>
      </c>
      <c r="I322" s="1862">
        <f>Tabla1[[#This Row],[Extraccion
Norte II]]+Tabla1[[#This Row],[Extraccion
ENO]]</f>
        <v>72892.72534415625</v>
      </c>
      <c r="J322" s="1862">
        <v>72892.72534415625</v>
      </c>
      <c r="K322" s="1862"/>
      <c r="L322" s="1862">
        <f t="shared" si="24"/>
        <v>-7892.7253441562498</v>
      </c>
      <c r="M322" s="1862">
        <f>M321+Tabla1[[#This Row],[Desbalance
TPL]]</f>
        <v>-273849.95437362243</v>
      </c>
    </row>
    <row r="323" spans="2:13" x14ac:dyDescent="0.25">
      <c r="B323" s="1859">
        <f t="shared" si="25"/>
        <v>2014</v>
      </c>
      <c r="C323" s="1859">
        <f t="shared" si="26"/>
        <v>5</v>
      </c>
      <c r="D323" s="1860">
        <f t="shared" si="27"/>
        <v>41782</v>
      </c>
      <c r="E323" s="1861">
        <v>41782</v>
      </c>
      <c r="F323" s="1862">
        <f t="shared" si="23"/>
        <v>0</v>
      </c>
      <c r="G323" s="1862">
        <v>65000</v>
      </c>
      <c r="H323" s="1862">
        <v>65000</v>
      </c>
      <c r="I323" s="1862">
        <f>Tabla1[[#This Row],[Extraccion
Norte II]]+Tabla1[[#This Row],[Extraccion
ENO]]</f>
        <v>72898.960207598459</v>
      </c>
      <c r="J323" s="1862">
        <v>72898.960207598459</v>
      </c>
      <c r="K323" s="1862"/>
      <c r="L323" s="1862">
        <f t="shared" si="24"/>
        <v>-7898.9602075984585</v>
      </c>
      <c r="M323" s="1862">
        <f>M322+Tabla1[[#This Row],[Desbalance
TPL]]</f>
        <v>-281748.91458122089</v>
      </c>
    </row>
    <row r="324" spans="2:13" x14ac:dyDescent="0.25">
      <c r="B324" s="1859">
        <f t="shared" si="25"/>
        <v>2014</v>
      </c>
      <c r="C324" s="1859">
        <f t="shared" si="26"/>
        <v>5</v>
      </c>
      <c r="D324" s="1860">
        <f t="shared" si="27"/>
        <v>41783</v>
      </c>
      <c r="E324" s="1861">
        <v>41783</v>
      </c>
      <c r="F324" s="1862">
        <f t="shared" si="23"/>
        <v>0</v>
      </c>
      <c r="G324" s="1862">
        <v>70001</v>
      </c>
      <c r="H324" s="1862">
        <v>70001</v>
      </c>
      <c r="I324" s="1862">
        <f>Tabla1[[#This Row],[Extraccion
Norte II]]+Tabla1[[#This Row],[Extraccion
ENO]]</f>
        <v>71960.739854723462</v>
      </c>
      <c r="J324" s="1862">
        <v>71960.739854723462</v>
      </c>
      <c r="K324" s="1862"/>
      <c r="L324" s="1862">
        <f t="shared" si="24"/>
        <v>-1959.7398547234625</v>
      </c>
      <c r="M324" s="1862">
        <f>M323+Tabla1[[#This Row],[Desbalance
TPL]]</f>
        <v>-283708.65443594434</v>
      </c>
    </row>
    <row r="325" spans="2:13" x14ac:dyDescent="0.25">
      <c r="B325" s="1859">
        <f t="shared" si="25"/>
        <v>2014</v>
      </c>
      <c r="C325" s="1859">
        <f t="shared" si="26"/>
        <v>5</v>
      </c>
      <c r="D325" s="1860">
        <f t="shared" si="27"/>
        <v>41784</v>
      </c>
      <c r="E325" s="1861">
        <v>41784</v>
      </c>
      <c r="F325" s="1862">
        <f t="shared" si="23"/>
        <v>0</v>
      </c>
      <c r="G325" s="1862">
        <v>70001</v>
      </c>
      <c r="H325" s="1862">
        <v>70001</v>
      </c>
      <c r="I325" s="1862">
        <f>Tabla1[[#This Row],[Extraccion
Norte II]]+Tabla1[[#This Row],[Extraccion
ENO]]</f>
        <v>68462.317688442199</v>
      </c>
      <c r="J325" s="1862">
        <v>68462.317688442199</v>
      </c>
      <c r="K325" s="1862"/>
      <c r="L325" s="1862">
        <f t="shared" si="24"/>
        <v>1538.6823115578009</v>
      </c>
      <c r="M325" s="1862">
        <f>M324+Tabla1[[#This Row],[Desbalance
TPL]]</f>
        <v>-282169.97212438652</v>
      </c>
    </row>
    <row r="326" spans="2:13" x14ac:dyDescent="0.25">
      <c r="B326" s="1859">
        <f t="shared" si="25"/>
        <v>2014</v>
      </c>
      <c r="C326" s="1859">
        <f t="shared" si="26"/>
        <v>5</v>
      </c>
      <c r="D326" s="1860">
        <f t="shared" si="27"/>
        <v>41785</v>
      </c>
      <c r="E326" s="1861">
        <v>41785</v>
      </c>
      <c r="F326" s="1862">
        <f t="shared" si="23"/>
        <v>0</v>
      </c>
      <c r="G326" s="1862">
        <v>70001</v>
      </c>
      <c r="H326" s="1862">
        <v>70001</v>
      </c>
      <c r="I326" s="1862">
        <f>Tabla1[[#This Row],[Extraccion
Norte II]]+Tabla1[[#This Row],[Extraccion
ENO]]</f>
        <v>73626.394940718747</v>
      </c>
      <c r="J326" s="1862">
        <v>73626.394940718747</v>
      </c>
      <c r="K326" s="1862"/>
      <c r="L326" s="1862">
        <f t="shared" si="24"/>
        <v>-3625.3949407187465</v>
      </c>
      <c r="M326" s="1862">
        <f>M325+Tabla1[[#This Row],[Desbalance
TPL]]</f>
        <v>-285795.36706510524</v>
      </c>
    </row>
    <row r="327" spans="2:13" x14ac:dyDescent="0.25">
      <c r="B327" s="1859">
        <f t="shared" si="25"/>
        <v>2014</v>
      </c>
      <c r="C327" s="1859">
        <f t="shared" si="26"/>
        <v>5</v>
      </c>
      <c r="D327" s="1860">
        <f t="shared" si="27"/>
        <v>41786</v>
      </c>
      <c r="E327" s="1861">
        <v>41786</v>
      </c>
      <c r="F327" s="1862">
        <f t="shared" si="23"/>
        <v>-4720</v>
      </c>
      <c r="G327" s="1862">
        <v>69833</v>
      </c>
      <c r="H327" s="1862">
        <v>74553</v>
      </c>
      <c r="I327" s="1862">
        <f>Tabla1[[#This Row],[Extraccion
Norte II]]+Tabla1[[#This Row],[Extraccion
ENO]]</f>
        <v>73107.88720560701</v>
      </c>
      <c r="J327" s="1862">
        <v>73107.88720560701</v>
      </c>
      <c r="K327" s="1862"/>
      <c r="L327" s="1862">
        <f t="shared" si="24"/>
        <v>1445.1127943929896</v>
      </c>
      <c r="M327" s="1862">
        <f>M326+Tabla1[[#This Row],[Desbalance
TPL]]</f>
        <v>-284350.25427071226</v>
      </c>
    </row>
    <row r="328" spans="2:13" x14ac:dyDescent="0.25">
      <c r="B328" s="1859">
        <f t="shared" si="25"/>
        <v>2014</v>
      </c>
      <c r="C328" s="1859">
        <f t="shared" si="26"/>
        <v>5</v>
      </c>
      <c r="D328" s="1860">
        <f t="shared" si="27"/>
        <v>41787</v>
      </c>
      <c r="E328" s="1861">
        <v>41787</v>
      </c>
      <c r="F328" s="1862">
        <f t="shared" si="23"/>
        <v>0</v>
      </c>
      <c r="G328" s="1862">
        <v>73602</v>
      </c>
      <c r="H328" s="1862">
        <v>73602</v>
      </c>
      <c r="I328" s="1862">
        <f>Tabla1[[#This Row],[Extraccion
Norte II]]+Tabla1[[#This Row],[Extraccion
ENO]]</f>
        <v>72862.380395254702</v>
      </c>
      <c r="J328" s="1862">
        <v>72862.380395254702</v>
      </c>
      <c r="K328" s="1862"/>
      <c r="L328" s="1862">
        <f t="shared" si="24"/>
        <v>739.61960474529769</v>
      </c>
      <c r="M328" s="1862">
        <f>M327+Tabla1[[#This Row],[Desbalance
TPL]]</f>
        <v>-283610.63466596697</v>
      </c>
    </row>
    <row r="329" spans="2:13" x14ac:dyDescent="0.25">
      <c r="B329" s="1859">
        <f t="shared" si="25"/>
        <v>2014</v>
      </c>
      <c r="C329" s="1859">
        <f t="shared" si="26"/>
        <v>5</v>
      </c>
      <c r="D329" s="1860">
        <f t="shared" si="27"/>
        <v>41788</v>
      </c>
      <c r="E329" s="1861">
        <v>41788</v>
      </c>
      <c r="F329" s="1862">
        <f t="shared" si="23"/>
        <v>0</v>
      </c>
      <c r="G329" s="1862">
        <v>74765</v>
      </c>
      <c r="H329" s="1862">
        <v>74765</v>
      </c>
      <c r="I329" s="1862">
        <f>Tabla1[[#This Row],[Extraccion
Norte II]]+Tabla1[[#This Row],[Extraccion
ENO]]</f>
        <v>71906.894958599994</v>
      </c>
      <c r="J329" s="1862">
        <v>71906.894958599994</v>
      </c>
      <c r="K329" s="1862"/>
      <c r="L329" s="1862">
        <f t="shared" si="24"/>
        <v>2858.1050414000056</v>
      </c>
      <c r="M329" s="1862">
        <f>M328+Tabla1[[#This Row],[Desbalance
TPL]]</f>
        <v>-280752.52962456696</v>
      </c>
    </row>
    <row r="330" spans="2:13" x14ac:dyDescent="0.25">
      <c r="B330" s="1859">
        <f t="shared" si="25"/>
        <v>2014</v>
      </c>
      <c r="C330" s="1859">
        <f t="shared" si="26"/>
        <v>5</v>
      </c>
      <c r="D330" s="1860">
        <f t="shared" si="27"/>
        <v>41789</v>
      </c>
      <c r="E330" s="1861">
        <v>41789</v>
      </c>
      <c r="F330" s="1862">
        <f t="shared" si="23"/>
        <v>0</v>
      </c>
      <c r="G330" s="1862">
        <v>53976</v>
      </c>
      <c r="H330" s="1862">
        <v>53976</v>
      </c>
      <c r="I330" s="1862">
        <f>Tabla1[[#This Row],[Extraccion
Norte II]]+Tabla1[[#This Row],[Extraccion
ENO]]</f>
        <v>72340.966473135762</v>
      </c>
      <c r="J330" s="1862">
        <v>72340.966473135762</v>
      </c>
      <c r="K330" s="1862"/>
      <c r="L330" s="1862">
        <f t="shared" si="24"/>
        <v>-18364.966473135762</v>
      </c>
      <c r="M330" s="1862">
        <f>M329+Tabla1[[#This Row],[Desbalance
TPL]]</f>
        <v>-299117.49609770271</v>
      </c>
    </row>
    <row r="331" spans="2:13" x14ac:dyDescent="0.25">
      <c r="B331" s="1859">
        <f t="shared" si="25"/>
        <v>2014</v>
      </c>
      <c r="C331" s="1859">
        <f t="shared" si="26"/>
        <v>5</v>
      </c>
      <c r="D331" s="1860">
        <f t="shared" si="27"/>
        <v>41790</v>
      </c>
      <c r="E331" s="1861">
        <v>41790</v>
      </c>
      <c r="F331" s="1862">
        <f t="shared" si="23"/>
        <v>0</v>
      </c>
      <c r="G331" s="1862">
        <v>55001</v>
      </c>
      <c r="H331" s="1862">
        <v>55001</v>
      </c>
      <c r="I331" s="1862">
        <f>Tabla1[[#This Row],[Extraccion
Norte II]]+Tabla1[[#This Row],[Extraccion
ENO]]</f>
        <v>49808.368333174229</v>
      </c>
      <c r="J331" s="1862">
        <v>49808.368333174229</v>
      </c>
      <c r="K331" s="1862"/>
      <c r="L331" s="1862">
        <f t="shared" si="24"/>
        <v>5192.6316668257714</v>
      </c>
      <c r="M331" s="1862">
        <f>M330+Tabla1[[#This Row],[Desbalance
TPL]]</f>
        <v>-293924.86443087691</v>
      </c>
    </row>
    <row r="332" spans="2:13" x14ac:dyDescent="0.25">
      <c r="B332" s="1859">
        <f t="shared" si="25"/>
        <v>2014</v>
      </c>
      <c r="C332" s="1859">
        <f t="shared" si="26"/>
        <v>6</v>
      </c>
      <c r="D332" s="1860">
        <f t="shared" si="27"/>
        <v>41791</v>
      </c>
      <c r="E332" s="1861">
        <v>41791</v>
      </c>
      <c r="F332" s="1862">
        <f t="shared" ref="F332:F395" si="28">G332-H332</f>
        <v>19438</v>
      </c>
      <c r="G332" s="1862">
        <v>74438</v>
      </c>
      <c r="H332" s="1862">
        <v>55000</v>
      </c>
      <c r="I332" s="1862">
        <f>Tabla1[[#This Row],[Extraccion
Norte II]]+Tabla1[[#This Row],[Extraccion
ENO]]</f>
        <v>48935.279888819998</v>
      </c>
      <c r="J332" s="1862">
        <v>48935.279888819998</v>
      </c>
      <c r="K332" s="1862"/>
      <c r="L332" s="1862">
        <f t="shared" ref="L332:L395" si="29">H332-I332</f>
        <v>6064.7201111800023</v>
      </c>
      <c r="M332" s="1862">
        <f>M331+Tabla1[[#This Row],[Desbalance
TPL]]</f>
        <v>-287860.14431969693</v>
      </c>
    </row>
    <row r="333" spans="2:13" x14ac:dyDescent="0.25">
      <c r="B333" s="1859">
        <f t="shared" si="25"/>
        <v>2014</v>
      </c>
      <c r="C333" s="1859">
        <f t="shared" si="26"/>
        <v>6</v>
      </c>
      <c r="D333" s="1860">
        <f t="shared" si="27"/>
        <v>41792</v>
      </c>
      <c r="E333" s="1861">
        <v>41792</v>
      </c>
      <c r="F333" s="1862">
        <f t="shared" si="28"/>
        <v>0</v>
      </c>
      <c r="G333" s="1862">
        <v>55000</v>
      </c>
      <c r="H333" s="1862">
        <v>55000</v>
      </c>
      <c r="I333" s="1862">
        <f>Tabla1[[#This Row],[Extraccion
Norte II]]+Tabla1[[#This Row],[Extraccion
ENO]]</f>
        <v>50591.751225209999</v>
      </c>
      <c r="J333" s="1862">
        <v>50591.751225209999</v>
      </c>
      <c r="K333" s="1862"/>
      <c r="L333" s="1862">
        <f t="shared" si="29"/>
        <v>4408.2487747900013</v>
      </c>
      <c r="M333" s="1862">
        <f>M332+Tabla1[[#This Row],[Desbalance
TPL]]</f>
        <v>-283451.89554490696</v>
      </c>
    </row>
    <row r="334" spans="2:13" x14ac:dyDescent="0.25">
      <c r="B334" s="1859">
        <f t="shared" si="25"/>
        <v>2014</v>
      </c>
      <c r="C334" s="1859">
        <f t="shared" si="26"/>
        <v>6</v>
      </c>
      <c r="D334" s="1860">
        <f t="shared" si="27"/>
        <v>41793</v>
      </c>
      <c r="E334" s="1861">
        <v>41793</v>
      </c>
      <c r="F334" s="1862">
        <f t="shared" si="28"/>
        <v>0</v>
      </c>
      <c r="G334" s="1862">
        <v>74995</v>
      </c>
      <c r="H334" s="1862">
        <v>74995</v>
      </c>
      <c r="I334" s="1862">
        <f>Tabla1[[#This Row],[Extraccion
Norte II]]+Tabla1[[#This Row],[Extraccion
ENO]]</f>
        <v>16705.25566866</v>
      </c>
      <c r="J334" s="1862">
        <v>16705.25566866</v>
      </c>
      <c r="K334" s="1862"/>
      <c r="L334" s="1862">
        <f t="shared" si="29"/>
        <v>58289.74433134</v>
      </c>
      <c r="M334" s="1862">
        <f>M333+Tabla1[[#This Row],[Desbalance
TPL]]</f>
        <v>-225162.15121356695</v>
      </c>
    </row>
    <row r="335" spans="2:13" x14ac:dyDescent="0.25">
      <c r="B335" s="1859">
        <f t="shared" si="25"/>
        <v>2014</v>
      </c>
      <c r="C335" s="1859">
        <f t="shared" si="26"/>
        <v>6</v>
      </c>
      <c r="D335" s="1860">
        <f t="shared" si="27"/>
        <v>41794</v>
      </c>
      <c r="E335" s="1861">
        <v>41794</v>
      </c>
      <c r="F335" s="1862">
        <f t="shared" si="28"/>
        <v>0</v>
      </c>
      <c r="G335" s="1862">
        <v>55000</v>
      </c>
      <c r="H335" s="1862">
        <v>55000</v>
      </c>
      <c r="I335" s="1862">
        <f>Tabla1[[#This Row],[Extraccion
Norte II]]+Tabla1[[#This Row],[Extraccion
ENO]]</f>
        <v>13853.534965335</v>
      </c>
      <c r="J335" s="1862">
        <v>13853.534965335</v>
      </c>
      <c r="K335" s="1862"/>
      <c r="L335" s="1862">
        <f t="shared" si="29"/>
        <v>41146.465034665001</v>
      </c>
      <c r="M335" s="1862">
        <f>M334+Tabla1[[#This Row],[Desbalance
TPL]]</f>
        <v>-184015.68617890193</v>
      </c>
    </row>
    <row r="336" spans="2:13" x14ac:dyDescent="0.25">
      <c r="B336" s="1859">
        <f t="shared" si="25"/>
        <v>2014</v>
      </c>
      <c r="C336" s="1859">
        <f t="shared" si="26"/>
        <v>6</v>
      </c>
      <c r="D336" s="1860">
        <f t="shared" si="27"/>
        <v>41795</v>
      </c>
      <c r="E336" s="1861">
        <v>41795</v>
      </c>
      <c r="F336" s="1862">
        <f t="shared" si="28"/>
        <v>0</v>
      </c>
      <c r="G336" s="1862">
        <v>55000</v>
      </c>
      <c r="H336" s="1862">
        <v>55000</v>
      </c>
      <c r="I336" s="1862">
        <f>Tabla1[[#This Row],[Extraccion
Norte II]]+Tabla1[[#This Row],[Extraccion
ENO]]</f>
        <v>71355.65406957001</v>
      </c>
      <c r="J336" s="1862">
        <v>71355.65406957001</v>
      </c>
      <c r="K336" s="1862"/>
      <c r="L336" s="1862">
        <f t="shared" si="29"/>
        <v>-16355.65406957001</v>
      </c>
      <c r="M336" s="1862">
        <f>M335+Tabla1[[#This Row],[Desbalance
TPL]]</f>
        <v>-200371.34024847194</v>
      </c>
    </row>
    <row r="337" spans="2:13" x14ac:dyDescent="0.25">
      <c r="B337" s="1859">
        <f t="shared" si="25"/>
        <v>2014</v>
      </c>
      <c r="C337" s="1859">
        <f t="shared" si="26"/>
        <v>6</v>
      </c>
      <c r="D337" s="1860">
        <f t="shared" si="27"/>
        <v>41796</v>
      </c>
      <c r="E337" s="1861">
        <v>41796</v>
      </c>
      <c r="F337" s="1862">
        <f t="shared" si="28"/>
        <v>-1</v>
      </c>
      <c r="G337" s="1862">
        <v>55000</v>
      </c>
      <c r="H337" s="1862">
        <v>55001</v>
      </c>
      <c r="I337" s="1862">
        <f>Tabla1[[#This Row],[Extraccion
Norte II]]+Tabla1[[#This Row],[Extraccion
ENO]]</f>
        <v>71558.24047515</v>
      </c>
      <c r="J337" s="1862">
        <v>71558.24047515</v>
      </c>
      <c r="K337" s="1862"/>
      <c r="L337" s="1862">
        <f t="shared" si="29"/>
        <v>-16557.24047515</v>
      </c>
      <c r="M337" s="1862">
        <f>M336+Tabla1[[#This Row],[Desbalance
TPL]]</f>
        <v>-216928.58072362194</v>
      </c>
    </row>
    <row r="338" spans="2:13" x14ac:dyDescent="0.25">
      <c r="B338" s="1859">
        <f t="shared" si="25"/>
        <v>2014</v>
      </c>
      <c r="C338" s="1859">
        <f t="shared" si="26"/>
        <v>6</v>
      </c>
      <c r="D338" s="1860">
        <f t="shared" si="27"/>
        <v>41797</v>
      </c>
      <c r="E338" s="1861">
        <v>41797</v>
      </c>
      <c r="F338" s="1862">
        <f t="shared" si="28"/>
        <v>0</v>
      </c>
      <c r="G338" s="1862">
        <v>55001</v>
      </c>
      <c r="H338" s="1862">
        <v>55001</v>
      </c>
      <c r="I338" s="1862">
        <f>Tabla1[[#This Row],[Extraccion
Norte II]]+Tabla1[[#This Row],[Extraccion
ENO]]</f>
        <v>65649.198604860008</v>
      </c>
      <c r="J338" s="1862">
        <v>65649.198604860008</v>
      </c>
      <c r="K338" s="1862"/>
      <c r="L338" s="1862">
        <f t="shared" si="29"/>
        <v>-10648.198604860008</v>
      </c>
      <c r="M338" s="1862">
        <f>M337+Tabla1[[#This Row],[Desbalance
TPL]]</f>
        <v>-227576.77932848193</v>
      </c>
    </row>
    <row r="339" spans="2:13" x14ac:dyDescent="0.25">
      <c r="B339" s="1859">
        <f t="shared" si="25"/>
        <v>2014</v>
      </c>
      <c r="C339" s="1859">
        <f t="shared" si="26"/>
        <v>6</v>
      </c>
      <c r="D339" s="1860">
        <f t="shared" si="27"/>
        <v>41798</v>
      </c>
      <c r="E339" s="1861">
        <v>41798</v>
      </c>
      <c r="F339" s="1862">
        <f t="shared" si="28"/>
        <v>0</v>
      </c>
      <c r="G339" s="1862">
        <v>55001</v>
      </c>
      <c r="H339" s="1862">
        <v>55001</v>
      </c>
      <c r="I339" s="1862">
        <f>Tabla1[[#This Row],[Extraccion
Norte II]]+Tabla1[[#This Row],[Extraccion
ENO]]</f>
        <v>71823.619756979999</v>
      </c>
      <c r="J339" s="1862">
        <v>71823.619756979999</v>
      </c>
      <c r="K339" s="1862"/>
      <c r="L339" s="1862">
        <f t="shared" si="29"/>
        <v>-16822.619756979999</v>
      </c>
      <c r="M339" s="1862">
        <f>M338+Tabla1[[#This Row],[Desbalance
TPL]]</f>
        <v>-244399.39908546192</v>
      </c>
    </row>
    <row r="340" spans="2:13" x14ac:dyDescent="0.25">
      <c r="B340" s="1859">
        <f t="shared" si="25"/>
        <v>2014</v>
      </c>
      <c r="C340" s="1859">
        <f t="shared" si="26"/>
        <v>6</v>
      </c>
      <c r="D340" s="1860">
        <f t="shared" si="27"/>
        <v>41799</v>
      </c>
      <c r="E340" s="1861">
        <v>41799</v>
      </c>
      <c r="F340" s="1862">
        <f t="shared" si="28"/>
        <v>0</v>
      </c>
      <c r="G340" s="1862">
        <v>55001</v>
      </c>
      <c r="H340" s="1862">
        <v>55001</v>
      </c>
      <c r="I340" s="1862">
        <f>Tabla1[[#This Row],[Extraccion
Norte II]]+Tabla1[[#This Row],[Extraccion
ENO]]</f>
        <v>72177.022803600004</v>
      </c>
      <c r="J340" s="1862">
        <v>72177.022803600004</v>
      </c>
      <c r="K340" s="1862"/>
      <c r="L340" s="1862">
        <f t="shared" si="29"/>
        <v>-17176.022803600004</v>
      </c>
      <c r="M340" s="1862">
        <f>M339+Tabla1[[#This Row],[Desbalance
TPL]]</f>
        <v>-261575.42188906192</v>
      </c>
    </row>
    <row r="341" spans="2:13" x14ac:dyDescent="0.25">
      <c r="B341" s="1859">
        <f t="shared" si="25"/>
        <v>2014</v>
      </c>
      <c r="C341" s="1859">
        <f t="shared" si="26"/>
        <v>6</v>
      </c>
      <c r="D341" s="1860">
        <f t="shared" si="27"/>
        <v>41800</v>
      </c>
      <c r="E341" s="1861">
        <v>41800</v>
      </c>
      <c r="F341" s="1862">
        <f t="shared" si="28"/>
        <v>0</v>
      </c>
      <c r="G341" s="1862">
        <v>65000</v>
      </c>
      <c r="H341" s="1862">
        <v>65000</v>
      </c>
      <c r="I341" s="1862">
        <f>Tabla1[[#This Row],[Extraccion
Norte II]]+Tabla1[[#This Row],[Extraccion
ENO]]</f>
        <v>72053.389554120004</v>
      </c>
      <c r="J341" s="1862">
        <v>72053.389554120004</v>
      </c>
      <c r="K341" s="1862"/>
      <c r="L341" s="1862">
        <f t="shared" si="29"/>
        <v>-7053.3895541200036</v>
      </c>
      <c r="M341" s="1862">
        <f>M340+Tabla1[[#This Row],[Desbalance
TPL]]</f>
        <v>-268628.81144318194</v>
      </c>
    </row>
    <row r="342" spans="2:13" x14ac:dyDescent="0.25">
      <c r="B342" s="1859">
        <f t="shared" si="25"/>
        <v>2014</v>
      </c>
      <c r="C342" s="1859">
        <f t="shared" si="26"/>
        <v>6</v>
      </c>
      <c r="D342" s="1860">
        <f t="shared" si="27"/>
        <v>41801</v>
      </c>
      <c r="E342" s="1861">
        <v>41801</v>
      </c>
      <c r="F342" s="1862">
        <f t="shared" si="28"/>
        <v>0</v>
      </c>
      <c r="G342" s="1862">
        <v>65000</v>
      </c>
      <c r="H342" s="1862">
        <v>65000</v>
      </c>
      <c r="I342" s="1862">
        <f>Tabla1[[#This Row],[Extraccion
Norte II]]+Tabla1[[#This Row],[Extraccion
ENO]]</f>
        <v>71977.535759610008</v>
      </c>
      <c r="J342" s="1862">
        <v>71977.535759610008</v>
      </c>
      <c r="K342" s="1862"/>
      <c r="L342" s="1862">
        <f t="shared" si="29"/>
        <v>-6977.5357596100075</v>
      </c>
      <c r="M342" s="1862">
        <f>M341+Tabla1[[#This Row],[Desbalance
TPL]]</f>
        <v>-275606.34720279195</v>
      </c>
    </row>
    <row r="343" spans="2:13" x14ac:dyDescent="0.25">
      <c r="B343" s="1859">
        <f t="shared" si="25"/>
        <v>2014</v>
      </c>
      <c r="C343" s="1859">
        <f t="shared" si="26"/>
        <v>6</v>
      </c>
      <c r="D343" s="1860">
        <f t="shared" si="27"/>
        <v>41802</v>
      </c>
      <c r="E343" s="1861">
        <v>41802</v>
      </c>
      <c r="F343" s="1862">
        <f t="shared" si="28"/>
        <v>0</v>
      </c>
      <c r="G343" s="1862">
        <v>65000</v>
      </c>
      <c r="H343" s="1862">
        <v>65000</v>
      </c>
      <c r="I343" s="1862">
        <f>Tabla1[[#This Row],[Extraccion
Norte II]]+Tabla1[[#This Row],[Extraccion
ENO]]</f>
        <v>72491.769133875001</v>
      </c>
      <c r="J343" s="1862">
        <v>72491.769133875001</v>
      </c>
      <c r="K343" s="1862"/>
      <c r="L343" s="1862">
        <f t="shared" si="29"/>
        <v>-7491.769133875001</v>
      </c>
      <c r="M343" s="1862">
        <f>M342+Tabla1[[#This Row],[Desbalance
TPL]]</f>
        <v>-283098.11633666698</v>
      </c>
    </row>
    <row r="344" spans="2:13" x14ac:dyDescent="0.25">
      <c r="B344" s="1859">
        <f t="shared" si="25"/>
        <v>2014</v>
      </c>
      <c r="C344" s="1859">
        <f t="shared" si="26"/>
        <v>6</v>
      </c>
      <c r="D344" s="1860">
        <f t="shared" si="27"/>
        <v>41803</v>
      </c>
      <c r="E344" s="1861">
        <v>41803</v>
      </c>
      <c r="F344" s="1862">
        <f t="shared" si="28"/>
        <v>0</v>
      </c>
      <c r="G344" s="1862">
        <v>65000</v>
      </c>
      <c r="H344" s="1862">
        <v>65000</v>
      </c>
      <c r="I344" s="1862">
        <f>Tabla1[[#This Row],[Extraccion
Norte II]]+Tabla1[[#This Row],[Extraccion
ENO]]</f>
        <v>71948.699659547099</v>
      </c>
      <c r="J344" s="1862">
        <v>71948.699659547099</v>
      </c>
      <c r="K344" s="1862"/>
      <c r="L344" s="1862">
        <f t="shared" si="29"/>
        <v>-6948.6996595470991</v>
      </c>
      <c r="M344" s="1862">
        <f>M343+Tabla1[[#This Row],[Desbalance
TPL]]</f>
        <v>-290046.81599621405</v>
      </c>
    </row>
    <row r="345" spans="2:13" x14ac:dyDescent="0.25">
      <c r="B345" s="1859">
        <f t="shared" si="25"/>
        <v>2014</v>
      </c>
      <c r="C345" s="1859">
        <f t="shared" si="26"/>
        <v>6</v>
      </c>
      <c r="D345" s="1860">
        <f t="shared" si="27"/>
        <v>41804</v>
      </c>
      <c r="E345" s="1861">
        <v>41804</v>
      </c>
      <c r="F345" s="1862">
        <f t="shared" si="28"/>
        <v>-4</v>
      </c>
      <c r="G345" s="1862">
        <v>64996</v>
      </c>
      <c r="H345" s="1862">
        <v>65000</v>
      </c>
      <c r="I345" s="1862">
        <f>Tabla1[[#This Row],[Extraccion
Norte II]]+Tabla1[[#This Row],[Extraccion
ENO]]</f>
        <v>71675.387718117301</v>
      </c>
      <c r="J345" s="1862">
        <v>71675.387718117301</v>
      </c>
      <c r="K345" s="1862"/>
      <c r="L345" s="1862">
        <f t="shared" si="29"/>
        <v>-6675.3877181173011</v>
      </c>
      <c r="M345" s="1862">
        <f>M344+Tabla1[[#This Row],[Desbalance
TPL]]</f>
        <v>-296722.20371433138</v>
      </c>
    </row>
    <row r="346" spans="2:13" x14ac:dyDescent="0.25">
      <c r="B346" s="1859">
        <f t="shared" si="25"/>
        <v>2014</v>
      </c>
      <c r="C346" s="1859">
        <f t="shared" si="26"/>
        <v>6</v>
      </c>
      <c r="D346" s="1860">
        <f t="shared" si="27"/>
        <v>41805</v>
      </c>
      <c r="E346" s="1861">
        <v>41805</v>
      </c>
      <c r="F346" s="1862">
        <f t="shared" si="28"/>
        <v>0</v>
      </c>
      <c r="G346" s="1862">
        <v>65000</v>
      </c>
      <c r="H346" s="1862">
        <v>65000</v>
      </c>
      <c r="I346" s="1862">
        <f>Tabla1[[#This Row],[Extraccion
Norte II]]+Tabla1[[#This Row],[Extraccion
ENO]]</f>
        <v>71588.873920590006</v>
      </c>
      <c r="J346" s="1862">
        <v>71588.873920590006</v>
      </c>
      <c r="K346" s="1862"/>
      <c r="L346" s="1862">
        <f t="shared" si="29"/>
        <v>-6588.8739205900056</v>
      </c>
      <c r="M346" s="1862">
        <f>M345+Tabla1[[#This Row],[Desbalance
TPL]]</f>
        <v>-303311.07763492141</v>
      </c>
    </row>
    <row r="347" spans="2:13" x14ac:dyDescent="0.25">
      <c r="B347" s="1859">
        <f t="shared" si="25"/>
        <v>2014</v>
      </c>
      <c r="C347" s="1859">
        <f t="shared" si="26"/>
        <v>6</v>
      </c>
      <c r="D347" s="1860">
        <f t="shared" si="27"/>
        <v>41806</v>
      </c>
      <c r="E347" s="1861">
        <v>41806</v>
      </c>
      <c r="F347" s="1862">
        <f t="shared" si="28"/>
        <v>-105</v>
      </c>
      <c r="G347" s="1862">
        <v>64895</v>
      </c>
      <c r="H347" s="1862">
        <v>65000</v>
      </c>
      <c r="I347" s="1862">
        <f>Tabla1[[#This Row],[Extraccion
Norte II]]+Tabla1[[#This Row],[Extraccion
ENO]]</f>
        <v>71893.255871970003</v>
      </c>
      <c r="J347" s="1862">
        <v>71893.255871970003</v>
      </c>
      <c r="K347" s="1862"/>
      <c r="L347" s="1862">
        <f t="shared" si="29"/>
        <v>-6893.2558719700028</v>
      </c>
      <c r="M347" s="1862">
        <f>M346+Tabla1[[#This Row],[Desbalance
TPL]]</f>
        <v>-310204.33350689139</v>
      </c>
    </row>
    <row r="348" spans="2:13" x14ac:dyDescent="0.25">
      <c r="B348" s="1859">
        <f t="shared" ref="B348:B411" si="30">YEAR(E348)</f>
        <v>2014</v>
      </c>
      <c r="C348" s="1859">
        <f t="shared" ref="C348:C411" si="31">MONTH(E348)</f>
        <v>6</v>
      </c>
      <c r="D348" s="1860">
        <f t="shared" ref="D348:D411" si="32">E348</f>
        <v>41807</v>
      </c>
      <c r="E348" s="1861">
        <v>41807</v>
      </c>
      <c r="F348" s="1862">
        <f t="shared" si="28"/>
        <v>0</v>
      </c>
      <c r="G348" s="1862">
        <v>65000</v>
      </c>
      <c r="H348" s="1862">
        <v>65000</v>
      </c>
      <c r="I348" s="1862">
        <f>Tabla1[[#This Row],[Extraccion
Norte II]]+Tabla1[[#This Row],[Extraccion
ENO]]</f>
        <v>71614.104809130004</v>
      </c>
      <c r="J348" s="1862">
        <v>71614.104809130004</v>
      </c>
      <c r="K348" s="1862"/>
      <c r="L348" s="1862">
        <f t="shared" si="29"/>
        <v>-6614.1048091300036</v>
      </c>
      <c r="M348" s="1862">
        <f>M347+Tabla1[[#This Row],[Desbalance
TPL]]</f>
        <v>-316818.43831602141</v>
      </c>
    </row>
    <row r="349" spans="2:13" x14ac:dyDescent="0.25">
      <c r="B349" s="1859">
        <f t="shared" si="30"/>
        <v>2014</v>
      </c>
      <c r="C349" s="1859">
        <f t="shared" si="31"/>
        <v>6</v>
      </c>
      <c r="D349" s="1860">
        <f t="shared" si="32"/>
        <v>41808</v>
      </c>
      <c r="E349" s="1861">
        <v>41808</v>
      </c>
      <c r="F349" s="1862">
        <f t="shared" si="28"/>
        <v>0</v>
      </c>
      <c r="G349" s="1862">
        <v>65000</v>
      </c>
      <c r="H349" s="1862">
        <v>65000</v>
      </c>
      <c r="I349" s="1862">
        <f>Tabla1[[#This Row],[Extraccion
Norte II]]+Tabla1[[#This Row],[Extraccion
ENO]]</f>
        <v>71629.971265710003</v>
      </c>
      <c r="J349" s="1862">
        <v>71629.971265710003</v>
      </c>
      <c r="K349" s="1862"/>
      <c r="L349" s="1862">
        <f t="shared" si="29"/>
        <v>-6629.9712657100026</v>
      </c>
      <c r="M349" s="1862">
        <f>M348+Tabla1[[#This Row],[Desbalance
TPL]]</f>
        <v>-323448.40958173142</v>
      </c>
    </row>
    <row r="350" spans="2:13" x14ac:dyDescent="0.25">
      <c r="B350" s="1859">
        <f t="shared" si="30"/>
        <v>2014</v>
      </c>
      <c r="C350" s="1859">
        <f t="shared" si="31"/>
        <v>6</v>
      </c>
      <c r="D350" s="1860">
        <f t="shared" si="32"/>
        <v>41809</v>
      </c>
      <c r="E350" s="1861">
        <v>41809</v>
      </c>
      <c r="F350" s="1862">
        <f t="shared" si="28"/>
        <v>0</v>
      </c>
      <c r="G350" s="1862">
        <v>65000</v>
      </c>
      <c r="H350" s="1862">
        <v>65000</v>
      </c>
      <c r="I350" s="1862">
        <f>Tabla1[[#This Row],[Extraccion
Norte II]]+Tabla1[[#This Row],[Extraccion
ENO]]</f>
        <v>71561.652616350009</v>
      </c>
      <c r="J350" s="1862">
        <v>71561.652616350009</v>
      </c>
      <c r="K350" s="1862"/>
      <c r="L350" s="1862">
        <f t="shared" si="29"/>
        <v>-6561.6526163500093</v>
      </c>
      <c r="M350" s="1862">
        <f>M349+Tabla1[[#This Row],[Desbalance
TPL]]</f>
        <v>-330010.0621980814</v>
      </c>
    </row>
    <row r="351" spans="2:13" x14ac:dyDescent="0.25">
      <c r="B351" s="1859">
        <f t="shared" si="30"/>
        <v>2014</v>
      </c>
      <c r="C351" s="1859">
        <f t="shared" si="31"/>
        <v>6</v>
      </c>
      <c r="D351" s="1860">
        <f t="shared" si="32"/>
        <v>41810</v>
      </c>
      <c r="E351" s="1861">
        <v>41810</v>
      </c>
      <c r="F351" s="1862">
        <f t="shared" si="28"/>
        <v>0</v>
      </c>
      <c r="G351" s="1862">
        <v>65000</v>
      </c>
      <c r="H351" s="1862">
        <v>65000</v>
      </c>
      <c r="I351" s="1862">
        <f>Tabla1[[#This Row],[Extraccion
Norte II]]+Tabla1[[#This Row],[Extraccion
ENO]]</f>
        <v>71751.832097399994</v>
      </c>
      <c r="J351" s="1862">
        <v>71751.832097399994</v>
      </c>
      <c r="K351" s="1862"/>
      <c r="L351" s="1862">
        <f t="shared" si="29"/>
        <v>-6751.8320973999944</v>
      </c>
      <c r="M351" s="1862">
        <f>M350+Tabla1[[#This Row],[Desbalance
TPL]]</f>
        <v>-336761.89429548138</v>
      </c>
    </row>
    <row r="352" spans="2:13" x14ac:dyDescent="0.25">
      <c r="B352" s="1859">
        <f t="shared" si="30"/>
        <v>2014</v>
      </c>
      <c r="C352" s="1859">
        <f t="shared" si="31"/>
        <v>6</v>
      </c>
      <c r="D352" s="1860">
        <f t="shared" si="32"/>
        <v>41811</v>
      </c>
      <c r="E352" s="1861">
        <v>41811</v>
      </c>
      <c r="F352" s="1862">
        <f t="shared" si="28"/>
        <v>0</v>
      </c>
      <c r="G352" s="1862">
        <v>65000</v>
      </c>
      <c r="H352" s="1862">
        <v>65000</v>
      </c>
      <c r="I352" s="1862">
        <f>Tabla1[[#This Row],[Extraccion
Norte II]]+Tabla1[[#This Row],[Extraccion
ENO]]</f>
        <v>68080.99372541999</v>
      </c>
      <c r="J352" s="1862">
        <v>68080.99372541999</v>
      </c>
      <c r="K352" s="1862"/>
      <c r="L352" s="1862">
        <f t="shared" si="29"/>
        <v>-3080.9937254199904</v>
      </c>
      <c r="M352" s="1862">
        <f>M351+Tabla1[[#This Row],[Desbalance
TPL]]</f>
        <v>-339842.88802090136</v>
      </c>
    </row>
    <row r="353" spans="2:13" x14ac:dyDescent="0.25">
      <c r="B353" s="1859">
        <f t="shared" si="30"/>
        <v>2014</v>
      </c>
      <c r="C353" s="1859">
        <f t="shared" si="31"/>
        <v>6</v>
      </c>
      <c r="D353" s="1860">
        <f t="shared" si="32"/>
        <v>41812</v>
      </c>
      <c r="E353" s="1861">
        <v>41812</v>
      </c>
      <c r="F353" s="1862">
        <f t="shared" si="28"/>
        <v>0</v>
      </c>
      <c r="G353" s="1862">
        <v>65000</v>
      </c>
      <c r="H353" s="1862">
        <v>65000</v>
      </c>
      <c r="I353" s="1862">
        <f>Tabla1[[#This Row],[Extraccion
Norte II]]+Tabla1[[#This Row],[Extraccion
ENO]]</f>
        <v>66309.858331821</v>
      </c>
      <c r="J353" s="1862">
        <v>66309.858331821</v>
      </c>
      <c r="K353" s="1862"/>
      <c r="L353" s="1862">
        <f t="shared" si="29"/>
        <v>-1309.8583318210003</v>
      </c>
      <c r="M353" s="1862">
        <f>M352+Tabla1[[#This Row],[Desbalance
TPL]]</f>
        <v>-341152.74635272234</v>
      </c>
    </row>
    <row r="354" spans="2:13" x14ac:dyDescent="0.25">
      <c r="B354" s="1859">
        <f t="shared" si="30"/>
        <v>2014</v>
      </c>
      <c r="C354" s="1859">
        <f t="shared" si="31"/>
        <v>6</v>
      </c>
      <c r="D354" s="1860">
        <f t="shared" si="32"/>
        <v>41813</v>
      </c>
      <c r="E354" s="1861">
        <v>41813</v>
      </c>
      <c r="F354" s="1862">
        <f t="shared" si="28"/>
        <v>0</v>
      </c>
      <c r="G354" s="1862">
        <v>65000</v>
      </c>
      <c r="H354" s="1862">
        <v>65000</v>
      </c>
      <c r="I354" s="1862">
        <f>Tabla1[[#This Row],[Extraccion
Norte II]]+Tabla1[[#This Row],[Extraccion
ENO]]</f>
        <v>72087.292968210008</v>
      </c>
      <c r="J354" s="1862">
        <v>72087.292968210008</v>
      </c>
      <c r="K354" s="1862"/>
      <c r="L354" s="1862">
        <f t="shared" si="29"/>
        <v>-7087.2929682100075</v>
      </c>
      <c r="M354" s="1862">
        <f>M353+Tabla1[[#This Row],[Desbalance
TPL]]</f>
        <v>-348240.03932093235</v>
      </c>
    </row>
    <row r="355" spans="2:13" x14ac:dyDescent="0.25">
      <c r="B355" s="1859">
        <f t="shared" si="30"/>
        <v>2014</v>
      </c>
      <c r="C355" s="1859">
        <f t="shared" si="31"/>
        <v>6</v>
      </c>
      <c r="D355" s="1860">
        <f t="shared" si="32"/>
        <v>41814</v>
      </c>
      <c r="E355" s="1861">
        <v>41814</v>
      </c>
      <c r="F355" s="1862">
        <f t="shared" si="28"/>
        <v>0</v>
      </c>
      <c r="G355" s="1862">
        <v>65000</v>
      </c>
      <c r="H355" s="1862">
        <v>65000</v>
      </c>
      <c r="I355" s="1862">
        <f>Tabla1[[#This Row],[Extraccion
Norte II]]+Tabla1[[#This Row],[Extraccion
ENO]]</f>
        <v>71939.632557780002</v>
      </c>
      <c r="J355" s="1862">
        <v>71939.632557780002</v>
      </c>
      <c r="K355" s="1862"/>
      <c r="L355" s="1862">
        <f t="shared" si="29"/>
        <v>-6939.6325577800017</v>
      </c>
      <c r="M355" s="1862">
        <f>M354+Tabla1[[#This Row],[Desbalance
TPL]]</f>
        <v>-355179.67187871237</v>
      </c>
    </row>
    <row r="356" spans="2:13" x14ac:dyDescent="0.25">
      <c r="B356" s="1859">
        <f t="shared" si="30"/>
        <v>2014</v>
      </c>
      <c r="C356" s="1859">
        <f t="shared" si="31"/>
        <v>6</v>
      </c>
      <c r="D356" s="1860">
        <f t="shared" si="32"/>
        <v>41815</v>
      </c>
      <c r="E356" s="1861">
        <v>41815</v>
      </c>
      <c r="F356" s="1862">
        <f t="shared" si="28"/>
        <v>0</v>
      </c>
      <c r="G356" s="1862">
        <v>65000</v>
      </c>
      <c r="H356" s="1862">
        <v>65000</v>
      </c>
      <c r="I356" s="1862">
        <f>Tabla1[[#This Row],[Extraccion
Norte II]]+Tabla1[[#This Row],[Extraccion
ENO]]</f>
        <v>70289.966547450007</v>
      </c>
      <c r="J356" s="1862">
        <v>70289.966547450007</v>
      </c>
      <c r="K356" s="1862"/>
      <c r="L356" s="1862">
        <f t="shared" si="29"/>
        <v>-5289.9665474500071</v>
      </c>
      <c r="M356" s="1862">
        <f>M355+Tabla1[[#This Row],[Desbalance
TPL]]</f>
        <v>-360469.63842616236</v>
      </c>
    </row>
    <row r="357" spans="2:13" x14ac:dyDescent="0.25">
      <c r="B357" s="1859">
        <f t="shared" si="30"/>
        <v>2014</v>
      </c>
      <c r="C357" s="1859">
        <f t="shared" si="31"/>
        <v>6</v>
      </c>
      <c r="D357" s="1860">
        <f t="shared" si="32"/>
        <v>41816</v>
      </c>
      <c r="E357" s="1861">
        <v>41816</v>
      </c>
      <c r="F357" s="1862">
        <f t="shared" si="28"/>
        <v>0</v>
      </c>
      <c r="G357" s="1862">
        <v>65000</v>
      </c>
      <c r="H357" s="1862">
        <v>65000</v>
      </c>
      <c r="I357" s="1862">
        <f>Tabla1[[#This Row],[Extraccion
Norte II]]+Tabla1[[#This Row],[Extraccion
ENO]]</f>
        <v>71812.416560040001</v>
      </c>
      <c r="J357" s="1862">
        <v>71812.416560040001</v>
      </c>
      <c r="K357" s="1862"/>
      <c r="L357" s="1862">
        <f t="shared" si="29"/>
        <v>-6812.4165600400011</v>
      </c>
      <c r="M357" s="1862">
        <f>M356+Tabla1[[#This Row],[Desbalance
TPL]]</f>
        <v>-367282.05498620239</v>
      </c>
    </row>
    <row r="358" spans="2:13" x14ac:dyDescent="0.25">
      <c r="B358" s="1859">
        <f t="shared" si="30"/>
        <v>2014</v>
      </c>
      <c r="C358" s="1859">
        <f t="shared" si="31"/>
        <v>6</v>
      </c>
      <c r="D358" s="1860">
        <f t="shared" si="32"/>
        <v>41817</v>
      </c>
      <c r="E358" s="1861">
        <v>41817</v>
      </c>
      <c r="F358" s="1862">
        <f t="shared" si="28"/>
        <v>0</v>
      </c>
      <c r="G358" s="1862">
        <v>65000</v>
      </c>
      <c r="H358" s="1862">
        <v>65000</v>
      </c>
      <c r="I358" s="1862">
        <f>Tabla1[[#This Row],[Extraccion
Norte II]]+Tabla1[[#This Row],[Extraccion
ENO]]</f>
        <v>71557.690741290004</v>
      </c>
      <c r="J358" s="1862">
        <v>71557.690741290004</v>
      </c>
      <c r="K358" s="1862"/>
      <c r="L358" s="1862">
        <f t="shared" si="29"/>
        <v>-6557.6907412900036</v>
      </c>
      <c r="M358" s="1862">
        <f>M357+Tabla1[[#This Row],[Desbalance
TPL]]</f>
        <v>-373839.74572749238</v>
      </c>
    </row>
    <row r="359" spans="2:13" x14ac:dyDescent="0.25">
      <c r="B359" s="1859">
        <f t="shared" si="30"/>
        <v>2014</v>
      </c>
      <c r="C359" s="1859">
        <f t="shared" si="31"/>
        <v>6</v>
      </c>
      <c r="D359" s="1860">
        <f t="shared" si="32"/>
        <v>41818</v>
      </c>
      <c r="E359" s="1861">
        <v>41818</v>
      </c>
      <c r="F359" s="1862">
        <f t="shared" si="28"/>
        <v>0</v>
      </c>
      <c r="G359" s="1862">
        <v>64987</v>
      </c>
      <c r="H359" s="1862">
        <v>64987</v>
      </c>
      <c r="I359" s="1862">
        <f>Tabla1[[#This Row],[Extraccion
Norte II]]+Tabla1[[#This Row],[Extraccion
ENO]]</f>
        <v>68486.226249051004</v>
      </c>
      <c r="J359" s="1862">
        <v>68486.226249051004</v>
      </c>
      <c r="K359" s="1862"/>
      <c r="L359" s="1862">
        <f t="shared" si="29"/>
        <v>-3499.2262490510038</v>
      </c>
      <c r="M359" s="1862">
        <f>M358+Tabla1[[#This Row],[Desbalance
TPL]]</f>
        <v>-377338.97197654337</v>
      </c>
    </row>
    <row r="360" spans="2:13" x14ac:dyDescent="0.25">
      <c r="B360" s="1859">
        <f t="shared" si="30"/>
        <v>2014</v>
      </c>
      <c r="C360" s="1859">
        <f t="shared" si="31"/>
        <v>6</v>
      </c>
      <c r="D360" s="1860">
        <f t="shared" si="32"/>
        <v>41819</v>
      </c>
      <c r="E360" s="1861">
        <v>41819</v>
      </c>
      <c r="F360" s="1862">
        <f t="shared" si="28"/>
        <v>0</v>
      </c>
      <c r="G360" s="1862">
        <v>65000</v>
      </c>
      <c r="H360" s="1862">
        <v>65000</v>
      </c>
      <c r="I360" s="1862">
        <f>Tabla1[[#This Row],[Extraccion
Norte II]]+Tabla1[[#This Row],[Extraccion
ENO]]</f>
        <v>64244.344247460009</v>
      </c>
      <c r="J360" s="1862">
        <v>64244.344247460009</v>
      </c>
      <c r="K360" s="1862"/>
      <c r="L360" s="1862">
        <f t="shared" si="29"/>
        <v>755.65575253999123</v>
      </c>
      <c r="M360" s="1862">
        <f>M359+Tabla1[[#This Row],[Desbalance
TPL]]</f>
        <v>-376583.31622400339</v>
      </c>
    </row>
    <row r="361" spans="2:13" x14ac:dyDescent="0.25">
      <c r="B361" s="1859">
        <f t="shared" si="30"/>
        <v>2014</v>
      </c>
      <c r="C361" s="1859">
        <f t="shared" si="31"/>
        <v>6</v>
      </c>
      <c r="D361" s="1860">
        <f t="shared" si="32"/>
        <v>41820</v>
      </c>
      <c r="E361" s="1861">
        <v>41820</v>
      </c>
      <c r="F361" s="1862">
        <f t="shared" si="28"/>
        <v>-24651</v>
      </c>
      <c r="G361" s="1862">
        <v>45349</v>
      </c>
      <c r="H361" s="1862">
        <v>70000</v>
      </c>
      <c r="I361" s="1862">
        <f>Tabla1[[#This Row],[Extraccion
Norte II]]+Tabla1[[#This Row],[Extraccion
ENO]]</f>
        <v>71370.430536600004</v>
      </c>
      <c r="J361" s="1862">
        <v>71370.430536600004</v>
      </c>
      <c r="K361" s="1862"/>
      <c r="L361" s="1862">
        <f t="shared" si="29"/>
        <v>-1370.4305366000044</v>
      </c>
      <c r="M361" s="1862">
        <f>M360+Tabla1[[#This Row],[Desbalance
TPL]]</f>
        <v>-377953.74676060339</v>
      </c>
    </row>
    <row r="362" spans="2:13" x14ac:dyDescent="0.25">
      <c r="B362" s="1859">
        <f t="shared" si="30"/>
        <v>2014</v>
      </c>
      <c r="C362" s="1859">
        <f t="shared" si="31"/>
        <v>7</v>
      </c>
      <c r="D362" s="1860">
        <f t="shared" si="32"/>
        <v>41821</v>
      </c>
      <c r="E362" s="1861">
        <v>41821</v>
      </c>
      <c r="F362" s="1862">
        <f t="shared" si="28"/>
        <v>0</v>
      </c>
      <c r="G362" s="1862">
        <v>70000</v>
      </c>
      <c r="H362" s="1862">
        <v>70000</v>
      </c>
      <c r="I362" s="1862">
        <f>Tabla1[[#This Row],[Extraccion
Norte II]]+Tabla1[[#This Row],[Extraccion
ENO]]</f>
        <v>71762.504516820001</v>
      </c>
      <c r="J362" s="1862">
        <v>71762.504516820001</v>
      </c>
      <c r="K362" s="1862"/>
      <c r="L362" s="1862">
        <f t="shared" si="29"/>
        <v>-1762.5045168200013</v>
      </c>
      <c r="M362" s="1862">
        <f>M361+Tabla1[[#This Row],[Desbalance
TPL]]</f>
        <v>-379716.25127742341</v>
      </c>
    </row>
    <row r="363" spans="2:13" x14ac:dyDescent="0.25">
      <c r="B363" s="1859">
        <f t="shared" si="30"/>
        <v>2014</v>
      </c>
      <c r="C363" s="1859">
        <f t="shared" si="31"/>
        <v>7</v>
      </c>
      <c r="D363" s="1860">
        <f t="shared" si="32"/>
        <v>41822</v>
      </c>
      <c r="E363" s="1861">
        <v>41822</v>
      </c>
      <c r="F363" s="1862">
        <f t="shared" si="28"/>
        <v>1</v>
      </c>
      <c r="G363" s="1862">
        <v>70001</v>
      </c>
      <c r="H363" s="1862">
        <v>70000</v>
      </c>
      <c r="I363" s="1862">
        <f>Tabla1[[#This Row],[Extraccion
Norte II]]+Tabla1[[#This Row],[Extraccion
ENO]]</f>
        <v>71008.980523649996</v>
      </c>
      <c r="J363" s="1862">
        <v>71008.980523649996</v>
      </c>
      <c r="K363" s="1862"/>
      <c r="L363" s="1862">
        <f t="shared" si="29"/>
        <v>-1008.980523649996</v>
      </c>
      <c r="M363" s="1862">
        <f>M362+Tabla1[[#This Row],[Desbalance
TPL]]</f>
        <v>-380725.23180107342</v>
      </c>
    </row>
    <row r="364" spans="2:13" x14ac:dyDescent="0.25">
      <c r="B364" s="1859">
        <f t="shared" si="30"/>
        <v>2014</v>
      </c>
      <c r="C364" s="1859">
        <f t="shared" si="31"/>
        <v>7</v>
      </c>
      <c r="D364" s="1860">
        <f t="shared" si="32"/>
        <v>41823</v>
      </c>
      <c r="E364" s="1861">
        <v>41823</v>
      </c>
      <c r="F364" s="1862">
        <f t="shared" si="28"/>
        <v>0</v>
      </c>
      <c r="G364" s="1862">
        <v>70000</v>
      </c>
      <c r="H364" s="1862">
        <v>70000</v>
      </c>
      <c r="I364" s="1862">
        <f>Tabla1[[#This Row],[Extraccion
Norte II]]+Tabla1[[#This Row],[Extraccion
ENO]]</f>
        <v>69824.76848567999</v>
      </c>
      <c r="J364" s="1862">
        <v>69824.76848567999</v>
      </c>
      <c r="K364" s="1862"/>
      <c r="L364" s="1862">
        <f t="shared" si="29"/>
        <v>175.23151432001032</v>
      </c>
      <c r="M364" s="1862">
        <f>M363+Tabla1[[#This Row],[Desbalance
TPL]]</f>
        <v>-380550.00028675341</v>
      </c>
    </row>
    <row r="365" spans="2:13" x14ac:dyDescent="0.25">
      <c r="B365" s="1859">
        <f t="shared" si="30"/>
        <v>2014</v>
      </c>
      <c r="C365" s="1859">
        <f t="shared" si="31"/>
        <v>7</v>
      </c>
      <c r="D365" s="1860">
        <f t="shared" si="32"/>
        <v>41824</v>
      </c>
      <c r="E365" s="1861">
        <v>41824</v>
      </c>
      <c r="F365" s="1862">
        <f t="shared" si="28"/>
        <v>0</v>
      </c>
      <c r="G365" s="1862">
        <v>70001</v>
      </c>
      <c r="H365" s="1862">
        <v>70001</v>
      </c>
      <c r="I365" s="1862">
        <f>Tabla1[[#This Row],[Extraccion
Norte II]]+Tabla1[[#This Row],[Extraccion
ENO]]</f>
        <v>68095.883930490003</v>
      </c>
      <c r="J365" s="1862">
        <v>68095.883930490003</v>
      </c>
      <c r="K365" s="1862"/>
      <c r="L365" s="1862">
        <f t="shared" si="29"/>
        <v>1905.116069509997</v>
      </c>
      <c r="M365" s="1862">
        <f>M364+Tabla1[[#This Row],[Desbalance
TPL]]</f>
        <v>-378644.88421724341</v>
      </c>
    </row>
    <row r="366" spans="2:13" x14ac:dyDescent="0.25">
      <c r="B366" s="1859">
        <f t="shared" si="30"/>
        <v>2014</v>
      </c>
      <c r="C366" s="1859">
        <f t="shared" si="31"/>
        <v>7</v>
      </c>
      <c r="D366" s="1860">
        <f t="shared" si="32"/>
        <v>41825</v>
      </c>
      <c r="E366" s="1861">
        <v>41825</v>
      </c>
      <c r="F366" s="1862">
        <f t="shared" si="28"/>
        <v>0</v>
      </c>
      <c r="G366" s="1862">
        <v>70001</v>
      </c>
      <c r="H366" s="1862">
        <v>70001</v>
      </c>
      <c r="I366" s="1862">
        <f>Tabla1[[#This Row],[Extraccion
Norte II]]+Tabla1[[#This Row],[Extraccion
ENO]]</f>
        <v>59555.436679439998</v>
      </c>
      <c r="J366" s="1862">
        <v>59555.436679439998</v>
      </c>
      <c r="K366" s="1862"/>
      <c r="L366" s="1862">
        <f t="shared" si="29"/>
        <v>10445.563320560002</v>
      </c>
      <c r="M366" s="1862">
        <f>M365+Tabla1[[#This Row],[Desbalance
TPL]]</f>
        <v>-368199.32089668338</v>
      </c>
    </row>
    <row r="367" spans="2:13" x14ac:dyDescent="0.25">
      <c r="B367" s="1859">
        <f t="shared" si="30"/>
        <v>2014</v>
      </c>
      <c r="C367" s="1859">
        <f t="shared" si="31"/>
        <v>7</v>
      </c>
      <c r="D367" s="1860">
        <f t="shared" si="32"/>
        <v>41826</v>
      </c>
      <c r="E367" s="1861">
        <v>41826</v>
      </c>
      <c r="F367" s="1862">
        <f t="shared" si="28"/>
        <v>0</v>
      </c>
      <c r="G367" s="1862">
        <v>70001</v>
      </c>
      <c r="H367" s="1862">
        <v>70001</v>
      </c>
      <c r="I367" s="1862">
        <f>Tabla1[[#This Row],[Extraccion
Norte II]]+Tabla1[[#This Row],[Extraccion
ENO]]</f>
        <v>58093.154090010001</v>
      </c>
      <c r="J367" s="1862">
        <v>58093.154090010001</v>
      </c>
      <c r="K367" s="1862"/>
      <c r="L367" s="1862">
        <f t="shared" si="29"/>
        <v>11907.845909989999</v>
      </c>
      <c r="M367" s="1862">
        <f>M366+Tabla1[[#This Row],[Desbalance
TPL]]</f>
        <v>-356291.47498669336</v>
      </c>
    </row>
    <row r="368" spans="2:13" x14ac:dyDescent="0.25">
      <c r="B368" s="1859">
        <f t="shared" si="30"/>
        <v>2014</v>
      </c>
      <c r="C368" s="1859">
        <f t="shared" si="31"/>
        <v>7</v>
      </c>
      <c r="D368" s="1860">
        <f t="shared" si="32"/>
        <v>41827</v>
      </c>
      <c r="E368" s="1861">
        <v>41827</v>
      </c>
      <c r="F368" s="1862">
        <f t="shared" si="28"/>
        <v>0</v>
      </c>
      <c r="G368" s="1862">
        <v>70001</v>
      </c>
      <c r="H368" s="1862">
        <v>70001</v>
      </c>
      <c r="I368" s="1862">
        <f>Tabla1[[#This Row],[Extraccion
Norte II]]+Tabla1[[#This Row],[Extraccion
ENO]]</f>
        <v>70796.915948070004</v>
      </c>
      <c r="J368" s="1862">
        <v>70796.915948070004</v>
      </c>
      <c r="K368" s="1862"/>
      <c r="L368" s="1862">
        <f t="shared" si="29"/>
        <v>-795.91594807000365</v>
      </c>
      <c r="M368" s="1862">
        <f>M367+Tabla1[[#This Row],[Desbalance
TPL]]</f>
        <v>-357087.39093476336</v>
      </c>
    </row>
    <row r="369" spans="2:13" x14ac:dyDescent="0.25">
      <c r="B369" s="1859">
        <f t="shared" si="30"/>
        <v>2014</v>
      </c>
      <c r="C369" s="1859">
        <f t="shared" si="31"/>
        <v>7</v>
      </c>
      <c r="D369" s="1860">
        <f t="shared" si="32"/>
        <v>41828</v>
      </c>
      <c r="E369" s="1861">
        <v>41828</v>
      </c>
      <c r="F369" s="1862">
        <f t="shared" si="28"/>
        <v>0</v>
      </c>
      <c r="G369" s="1862">
        <v>70001</v>
      </c>
      <c r="H369" s="1862">
        <v>70001</v>
      </c>
      <c r="I369" s="1862">
        <f>Tabla1[[#This Row],[Extraccion
Norte II]]+Tabla1[[#This Row],[Extraccion
ENO]]</f>
        <v>68632.196701769994</v>
      </c>
      <c r="J369" s="1862">
        <v>68632.196701769994</v>
      </c>
      <c r="K369" s="1862"/>
      <c r="L369" s="1862">
        <f t="shared" si="29"/>
        <v>1368.8032982300065</v>
      </c>
      <c r="M369" s="1862">
        <f>M368+Tabla1[[#This Row],[Desbalance
TPL]]</f>
        <v>-355718.58763653337</v>
      </c>
    </row>
    <row r="370" spans="2:13" x14ac:dyDescent="0.25">
      <c r="B370" s="1859">
        <f t="shared" si="30"/>
        <v>2014</v>
      </c>
      <c r="C370" s="1859">
        <f t="shared" si="31"/>
        <v>7</v>
      </c>
      <c r="D370" s="1860">
        <f t="shared" si="32"/>
        <v>41829</v>
      </c>
      <c r="E370" s="1861">
        <v>41829</v>
      </c>
      <c r="F370" s="1862">
        <f t="shared" si="28"/>
        <v>0</v>
      </c>
      <c r="G370" s="1862">
        <v>70001</v>
      </c>
      <c r="H370" s="1862">
        <v>70001</v>
      </c>
      <c r="I370" s="1862">
        <f>Tabla1[[#This Row],[Extraccion
Norte II]]+Tabla1[[#This Row],[Extraccion
ENO]]</f>
        <v>71692.925270849999</v>
      </c>
      <c r="J370" s="1862">
        <v>71692.925270849999</v>
      </c>
      <c r="K370" s="1862"/>
      <c r="L370" s="1862">
        <f t="shared" si="29"/>
        <v>-1691.9252708499989</v>
      </c>
      <c r="M370" s="1862">
        <f>M369+Tabla1[[#This Row],[Desbalance
TPL]]</f>
        <v>-357410.51290738338</v>
      </c>
    </row>
    <row r="371" spans="2:13" x14ac:dyDescent="0.25">
      <c r="B371" s="1859">
        <f t="shared" si="30"/>
        <v>2014</v>
      </c>
      <c r="C371" s="1859">
        <f t="shared" si="31"/>
        <v>7</v>
      </c>
      <c r="D371" s="1860">
        <f t="shared" si="32"/>
        <v>41830</v>
      </c>
      <c r="E371" s="1861">
        <v>41830</v>
      </c>
      <c r="F371" s="1862">
        <f t="shared" si="28"/>
        <v>0</v>
      </c>
      <c r="G371" s="1862">
        <v>70001</v>
      </c>
      <c r="H371" s="1862">
        <v>70001</v>
      </c>
      <c r="I371" s="1862">
        <f>Tabla1[[#This Row],[Extraccion
Norte II]]+Tabla1[[#This Row],[Extraccion
ENO]]</f>
        <v>70850.012656409992</v>
      </c>
      <c r="J371" s="1862">
        <v>70850.012656409992</v>
      </c>
      <c r="K371" s="1862"/>
      <c r="L371" s="1862">
        <f t="shared" si="29"/>
        <v>-849.01265640999191</v>
      </c>
      <c r="M371" s="1862">
        <f>M370+Tabla1[[#This Row],[Desbalance
TPL]]</f>
        <v>-358259.52556379337</v>
      </c>
    </row>
    <row r="372" spans="2:13" x14ac:dyDescent="0.25">
      <c r="B372" s="1859">
        <f t="shared" si="30"/>
        <v>2014</v>
      </c>
      <c r="C372" s="1859">
        <f t="shared" si="31"/>
        <v>7</v>
      </c>
      <c r="D372" s="1860">
        <f t="shared" si="32"/>
        <v>41831</v>
      </c>
      <c r="E372" s="1861">
        <v>41831</v>
      </c>
      <c r="F372" s="1862">
        <f t="shared" si="28"/>
        <v>0</v>
      </c>
      <c r="G372" s="1862">
        <v>70001</v>
      </c>
      <c r="H372" s="1862">
        <v>70001</v>
      </c>
      <c r="I372" s="1862">
        <f>Tabla1[[#This Row],[Extraccion
Norte II]]+Tabla1[[#This Row],[Extraccion
ENO]]</f>
        <v>70124.183875980001</v>
      </c>
      <c r="J372" s="1862">
        <v>70124.183875980001</v>
      </c>
      <c r="K372" s="1862"/>
      <c r="L372" s="1862">
        <f t="shared" si="29"/>
        <v>-123.18387598000118</v>
      </c>
      <c r="M372" s="1862">
        <f>M371+Tabla1[[#This Row],[Desbalance
TPL]]</f>
        <v>-358382.70943977335</v>
      </c>
    </row>
    <row r="373" spans="2:13" x14ac:dyDescent="0.25">
      <c r="B373" s="1859">
        <f t="shared" si="30"/>
        <v>2014</v>
      </c>
      <c r="C373" s="1859">
        <f t="shared" si="31"/>
        <v>7</v>
      </c>
      <c r="D373" s="1860">
        <f t="shared" si="32"/>
        <v>41832</v>
      </c>
      <c r="E373" s="1861">
        <v>41832</v>
      </c>
      <c r="F373" s="1862">
        <f t="shared" si="28"/>
        <v>0</v>
      </c>
      <c r="G373" s="1862">
        <v>70001</v>
      </c>
      <c r="H373" s="1862">
        <v>70001</v>
      </c>
      <c r="I373" s="1862">
        <f>Tabla1[[#This Row],[Extraccion
Norte II]]+Tabla1[[#This Row],[Extraccion
ENO]]</f>
        <v>65598.83160948001</v>
      </c>
      <c r="J373" s="1862">
        <v>65598.83160948001</v>
      </c>
      <c r="K373" s="1862"/>
      <c r="L373" s="1862">
        <f t="shared" si="29"/>
        <v>4402.1683905199898</v>
      </c>
      <c r="M373" s="1862">
        <f>M372+Tabla1[[#This Row],[Desbalance
TPL]]</f>
        <v>-353980.54104925337</v>
      </c>
    </row>
    <row r="374" spans="2:13" x14ac:dyDescent="0.25">
      <c r="B374" s="1859">
        <f t="shared" si="30"/>
        <v>2014</v>
      </c>
      <c r="C374" s="1859">
        <f t="shared" si="31"/>
        <v>7</v>
      </c>
      <c r="D374" s="1860">
        <f t="shared" si="32"/>
        <v>41833</v>
      </c>
      <c r="E374" s="1861">
        <v>41833</v>
      </c>
      <c r="F374" s="1862">
        <f t="shared" si="28"/>
        <v>0</v>
      </c>
      <c r="G374" s="1862">
        <v>70001</v>
      </c>
      <c r="H374" s="1862">
        <v>70001</v>
      </c>
      <c r="I374" s="1862">
        <f>Tabla1[[#This Row],[Extraccion
Norte II]]+Tabla1[[#This Row],[Extraccion
ENO]]</f>
        <v>55347.432500880001</v>
      </c>
      <c r="J374" s="1862">
        <v>55347.432500880001</v>
      </c>
      <c r="K374" s="1862"/>
      <c r="L374" s="1862">
        <f t="shared" si="29"/>
        <v>14653.567499119999</v>
      </c>
      <c r="M374" s="1862">
        <f>M373+Tabla1[[#This Row],[Desbalance
TPL]]</f>
        <v>-339326.97355013335</v>
      </c>
    </row>
    <row r="375" spans="2:13" x14ac:dyDescent="0.25">
      <c r="B375" s="1859">
        <f t="shared" si="30"/>
        <v>2014</v>
      </c>
      <c r="C375" s="1859">
        <f t="shared" si="31"/>
        <v>7</v>
      </c>
      <c r="D375" s="1860">
        <f t="shared" si="32"/>
        <v>41834</v>
      </c>
      <c r="E375" s="1861">
        <v>41834</v>
      </c>
      <c r="F375" s="1862">
        <f t="shared" si="28"/>
        <v>0</v>
      </c>
      <c r="G375" s="1862">
        <v>70001</v>
      </c>
      <c r="H375" s="1862">
        <v>70001</v>
      </c>
      <c r="I375" s="1862">
        <f>Tabla1[[#This Row],[Extraccion
Norte II]]+Tabla1[[#This Row],[Extraccion
ENO]]</f>
        <v>71791.943712840002</v>
      </c>
      <c r="J375" s="1862">
        <v>71791.943712840002</v>
      </c>
      <c r="K375" s="1862"/>
      <c r="L375" s="1862">
        <f t="shared" si="29"/>
        <v>-1790.9437128400023</v>
      </c>
      <c r="M375" s="1862">
        <f>M374+Tabla1[[#This Row],[Desbalance
TPL]]</f>
        <v>-341117.91726297338</v>
      </c>
    </row>
    <row r="376" spans="2:13" x14ac:dyDescent="0.25">
      <c r="B376" s="1859">
        <f t="shared" si="30"/>
        <v>2014</v>
      </c>
      <c r="C376" s="1859">
        <f t="shared" si="31"/>
        <v>7</v>
      </c>
      <c r="D376" s="1860">
        <f t="shared" si="32"/>
        <v>41835</v>
      </c>
      <c r="E376" s="1861">
        <v>41835</v>
      </c>
      <c r="F376" s="1862">
        <f t="shared" si="28"/>
        <v>0</v>
      </c>
      <c r="G376" s="1862">
        <v>70001</v>
      </c>
      <c r="H376" s="1862">
        <v>70001</v>
      </c>
      <c r="I376" s="1862">
        <f>Tabla1[[#This Row],[Extraccion
Norte II]]+Tabla1[[#This Row],[Extraccion
ENO]]</f>
        <v>71865.769178970004</v>
      </c>
      <c r="J376" s="1862">
        <v>71865.769178970004</v>
      </c>
      <c r="K376" s="1862"/>
      <c r="L376" s="1862">
        <f t="shared" si="29"/>
        <v>-1864.7691789700038</v>
      </c>
      <c r="M376" s="1862">
        <f>M375+Tabla1[[#This Row],[Desbalance
TPL]]</f>
        <v>-342982.6864419434</v>
      </c>
    </row>
    <row r="377" spans="2:13" x14ac:dyDescent="0.25">
      <c r="B377" s="1859">
        <f t="shared" si="30"/>
        <v>2014</v>
      </c>
      <c r="C377" s="1859">
        <f t="shared" si="31"/>
        <v>7</v>
      </c>
      <c r="D377" s="1860">
        <f t="shared" si="32"/>
        <v>41836</v>
      </c>
      <c r="E377" s="1861">
        <v>41836</v>
      </c>
      <c r="F377" s="1862">
        <f t="shared" si="28"/>
        <v>0</v>
      </c>
      <c r="G377" s="1862">
        <v>70001</v>
      </c>
      <c r="H377" s="1862">
        <v>70001</v>
      </c>
      <c r="I377" s="1862">
        <f>Tabla1[[#This Row],[Extraccion
Norte II]]+Tabla1[[#This Row],[Extraccion
ENO]]</f>
        <v>71690.517815669999</v>
      </c>
      <c r="J377" s="1862">
        <v>71690.517815669999</v>
      </c>
      <c r="K377" s="1862"/>
      <c r="L377" s="1862">
        <f t="shared" si="29"/>
        <v>-1689.5178156699985</v>
      </c>
      <c r="M377" s="1862">
        <f>M376+Tabla1[[#This Row],[Desbalance
TPL]]</f>
        <v>-344672.2042576134</v>
      </c>
    </row>
    <row r="378" spans="2:13" x14ac:dyDescent="0.25">
      <c r="B378" s="1859">
        <f t="shared" si="30"/>
        <v>2014</v>
      </c>
      <c r="C378" s="1859">
        <f t="shared" si="31"/>
        <v>7</v>
      </c>
      <c r="D378" s="1860">
        <f t="shared" si="32"/>
        <v>41837</v>
      </c>
      <c r="E378" s="1861">
        <v>41837</v>
      </c>
      <c r="F378" s="1862">
        <f t="shared" si="28"/>
        <v>0</v>
      </c>
      <c r="G378" s="1862">
        <v>69982</v>
      </c>
      <c r="H378" s="1862">
        <v>69982</v>
      </c>
      <c r="I378" s="1862">
        <f>Tabla1[[#This Row],[Extraccion
Norte II]]+Tabla1[[#This Row],[Extraccion
ENO]]</f>
        <v>71600.541547860004</v>
      </c>
      <c r="J378" s="1862">
        <v>71600.541547860004</v>
      </c>
      <c r="K378" s="1862"/>
      <c r="L378" s="1862">
        <f t="shared" si="29"/>
        <v>-1618.5415478600044</v>
      </c>
      <c r="M378" s="1862">
        <f>M377+Tabla1[[#This Row],[Desbalance
TPL]]</f>
        <v>-346290.74580547342</v>
      </c>
    </row>
    <row r="379" spans="2:13" x14ac:dyDescent="0.25">
      <c r="B379" s="1859">
        <f t="shared" si="30"/>
        <v>2014</v>
      </c>
      <c r="C379" s="1859">
        <f t="shared" si="31"/>
        <v>7</v>
      </c>
      <c r="D379" s="1860">
        <f t="shared" si="32"/>
        <v>41838</v>
      </c>
      <c r="E379" s="1861">
        <v>41838</v>
      </c>
      <c r="F379" s="1862">
        <f t="shared" si="28"/>
        <v>0</v>
      </c>
      <c r="G379" s="1862">
        <v>70000</v>
      </c>
      <c r="H379" s="1862">
        <v>70000</v>
      </c>
      <c r="I379" s="1862">
        <f>Tabla1[[#This Row],[Extraccion
Norte II]]+Tabla1[[#This Row],[Extraccion
ENO]]</f>
        <v>71502.385619339999</v>
      </c>
      <c r="J379" s="1862">
        <v>71502.385619339999</v>
      </c>
      <c r="K379" s="1862"/>
      <c r="L379" s="1862">
        <f t="shared" si="29"/>
        <v>-1502.3856193399988</v>
      </c>
      <c r="M379" s="1862">
        <f>M378+Tabla1[[#This Row],[Desbalance
TPL]]</f>
        <v>-347793.13142481341</v>
      </c>
    </row>
    <row r="380" spans="2:13" x14ac:dyDescent="0.25">
      <c r="B380" s="1859">
        <f t="shared" si="30"/>
        <v>2014</v>
      </c>
      <c r="C380" s="1859">
        <f t="shared" si="31"/>
        <v>7</v>
      </c>
      <c r="D380" s="1860">
        <f t="shared" si="32"/>
        <v>41839</v>
      </c>
      <c r="E380" s="1861">
        <v>41839</v>
      </c>
      <c r="F380" s="1862">
        <f t="shared" si="28"/>
        <v>0</v>
      </c>
      <c r="G380" s="1862">
        <v>64999</v>
      </c>
      <c r="H380" s="1862">
        <v>64999</v>
      </c>
      <c r="I380" s="1862">
        <f>Tabla1[[#This Row],[Extraccion
Norte II]]+Tabla1[[#This Row],[Extraccion
ENO]]</f>
        <v>70775.988148710006</v>
      </c>
      <c r="J380" s="1862">
        <v>70775.988148710006</v>
      </c>
      <c r="K380" s="1862"/>
      <c r="L380" s="1862">
        <f t="shared" si="29"/>
        <v>-5776.9881487100065</v>
      </c>
      <c r="M380" s="1862">
        <f>M379+Tabla1[[#This Row],[Desbalance
TPL]]</f>
        <v>-353570.11957352341</v>
      </c>
    </row>
    <row r="381" spans="2:13" x14ac:dyDescent="0.25">
      <c r="B381" s="1859">
        <f t="shared" si="30"/>
        <v>2014</v>
      </c>
      <c r="C381" s="1859">
        <f t="shared" si="31"/>
        <v>7</v>
      </c>
      <c r="D381" s="1860">
        <f t="shared" si="32"/>
        <v>41840</v>
      </c>
      <c r="E381" s="1861">
        <v>41840</v>
      </c>
      <c r="F381" s="1862">
        <f t="shared" si="28"/>
        <v>0</v>
      </c>
      <c r="G381" s="1862">
        <v>64999</v>
      </c>
      <c r="H381" s="1862">
        <v>64999</v>
      </c>
      <c r="I381" s="1862">
        <f>Tabla1[[#This Row],[Extraccion
Norte II]]+Tabla1[[#This Row],[Extraccion
ENO]]</f>
        <v>68989.789099529997</v>
      </c>
      <c r="J381" s="1862">
        <v>68989.789099529997</v>
      </c>
      <c r="K381" s="1862"/>
      <c r="L381" s="1862">
        <f t="shared" si="29"/>
        <v>-3990.7890995299967</v>
      </c>
      <c r="M381" s="1862">
        <f>M380+Tabla1[[#This Row],[Desbalance
TPL]]</f>
        <v>-357560.90867305337</v>
      </c>
    </row>
    <row r="382" spans="2:13" x14ac:dyDescent="0.25">
      <c r="B382" s="1859">
        <f t="shared" si="30"/>
        <v>2014</v>
      </c>
      <c r="C382" s="1859">
        <f t="shared" si="31"/>
        <v>7</v>
      </c>
      <c r="D382" s="1860">
        <f t="shared" si="32"/>
        <v>41841</v>
      </c>
      <c r="E382" s="1861">
        <v>41841</v>
      </c>
      <c r="F382" s="1862">
        <f t="shared" si="28"/>
        <v>0</v>
      </c>
      <c r="G382" s="1862">
        <v>64999</v>
      </c>
      <c r="H382" s="1862">
        <v>64999</v>
      </c>
      <c r="I382" s="1862">
        <f>Tabla1[[#This Row],[Extraccion
Norte II]]+Tabla1[[#This Row],[Extraccion
ENO]]</f>
        <v>70973.456342489997</v>
      </c>
      <c r="J382" s="1862">
        <v>70973.456342489997</v>
      </c>
      <c r="K382" s="1862"/>
      <c r="L382" s="1862">
        <f t="shared" si="29"/>
        <v>-5974.456342489997</v>
      </c>
      <c r="M382" s="1862">
        <f>M381+Tabla1[[#This Row],[Desbalance
TPL]]</f>
        <v>-363535.36501554336</v>
      </c>
    </row>
    <row r="383" spans="2:13" x14ac:dyDescent="0.25">
      <c r="B383" s="1859">
        <f t="shared" si="30"/>
        <v>2014</v>
      </c>
      <c r="C383" s="1859">
        <f t="shared" si="31"/>
        <v>7</v>
      </c>
      <c r="D383" s="1860">
        <f t="shared" si="32"/>
        <v>41842</v>
      </c>
      <c r="E383" s="1861">
        <v>41842</v>
      </c>
      <c r="F383" s="1862">
        <f t="shared" si="28"/>
        <v>0</v>
      </c>
      <c r="G383" s="1862">
        <v>70000</v>
      </c>
      <c r="H383" s="1862">
        <v>70000</v>
      </c>
      <c r="I383" s="1862">
        <f>Tabla1[[#This Row],[Extraccion
Norte II]]+Tabla1[[#This Row],[Extraccion
ENO]]</f>
        <v>71694.583950600005</v>
      </c>
      <c r="J383" s="1862">
        <v>71694.583950600005</v>
      </c>
      <c r="K383" s="1862"/>
      <c r="L383" s="1862">
        <f t="shared" si="29"/>
        <v>-1694.5839506000048</v>
      </c>
      <c r="M383" s="1862">
        <f>M382+Tabla1[[#This Row],[Desbalance
TPL]]</f>
        <v>-365229.94896614336</v>
      </c>
    </row>
    <row r="384" spans="2:13" x14ac:dyDescent="0.25">
      <c r="B384" s="1859">
        <f t="shared" si="30"/>
        <v>2014</v>
      </c>
      <c r="C384" s="1859">
        <f t="shared" si="31"/>
        <v>7</v>
      </c>
      <c r="D384" s="1860">
        <f t="shared" si="32"/>
        <v>41843</v>
      </c>
      <c r="E384" s="1861">
        <v>41843</v>
      </c>
      <c r="F384" s="1862">
        <f t="shared" si="28"/>
        <v>-7884</v>
      </c>
      <c r="G384" s="1862">
        <v>71835</v>
      </c>
      <c r="H384" s="1862">
        <v>79719</v>
      </c>
      <c r="I384" s="1862">
        <f>Tabla1[[#This Row],[Extraccion
Norte II]]+Tabla1[[#This Row],[Extraccion
ENO]]</f>
        <v>71669.172976830014</v>
      </c>
      <c r="J384" s="1862">
        <v>71669.172976830014</v>
      </c>
      <c r="K384" s="1862"/>
      <c r="L384" s="1862">
        <f t="shared" si="29"/>
        <v>8049.8270231699862</v>
      </c>
      <c r="M384" s="1862">
        <f>M383+Tabla1[[#This Row],[Desbalance
TPL]]</f>
        <v>-357180.12194297335</v>
      </c>
    </row>
    <row r="385" spans="2:13" x14ac:dyDescent="0.25">
      <c r="B385" s="1859">
        <f t="shared" si="30"/>
        <v>2014</v>
      </c>
      <c r="C385" s="1859">
        <f t="shared" si="31"/>
        <v>7</v>
      </c>
      <c r="D385" s="1860">
        <f t="shared" si="32"/>
        <v>41844</v>
      </c>
      <c r="E385" s="1861">
        <v>41844</v>
      </c>
      <c r="F385" s="1862">
        <f t="shared" si="28"/>
        <v>-5000</v>
      </c>
      <c r="G385" s="1862">
        <v>69999</v>
      </c>
      <c r="H385" s="1862">
        <v>74999</v>
      </c>
      <c r="I385" s="1862">
        <f>Tabla1[[#This Row],[Extraccion
Norte II]]+Tabla1[[#This Row],[Extraccion
ENO]]</f>
        <v>72193.37264685001</v>
      </c>
      <c r="J385" s="1862">
        <v>72193.37264685001</v>
      </c>
      <c r="K385" s="1862"/>
      <c r="L385" s="1862">
        <f t="shared" si="29"/>
        <v>2805.6273531499901</v>
      </c>
      <c r="M385" s="1862">
        <f>M384+Tabla1[[#This Row],[Desbalance
TPL]]</f>
        <v>-354374.49458982336</v>
      </c>
    </row>
    <row r="386" spans="2:13" x14ac:dyDescent="0.25">
      <c r="B386" s="1859">
        <f t="shared" si="30"/>
        <v>2014</v>
      </c>
      <c r="C386" s="1859">
        <f t="shared" si="31"/>
        <v>7</v>
      </c>
      <c r="D386" s="1860">
        <f t="shared" si="32"/>
        <v>41845</v>
      </c>
      <c r="E386" s="1861">
        <v>41845</v>
      </c>
      <c r="F386" s="1862">
        <f t="shared" si="28"/>
        <v>0</v>
      </c>
      <c r="G386" s="1862">
        <v>74999</v>
      </c>
      <c r="H386" s="1862">
        <v>74999</v>
      </c>
      <c r="I386" s="1862">
        <f>Tabla1[[#This Row],[Extraccion
Norte II]]+Tabla1[[#This Row],[Extraccion
ENO]]</f>
        <v>72399.172152059997</v>
      </c>
      <c r="J386" s="1862">
        <v>72399.172152059997</v>
      </c>
      <c r="K386" s="1862"/>
      <c r="L386" s="1862">
        <f t="shared" si="29"/>
        <v>2599.8278479400033</v>
      </c>
      <c r="M386" s="1862">
        <f>M385+Tabla1[[#This Row],[Desbalance
TPL]]</f>
        <v>-351774.66674188338</v>
      </c>
    </row>
    <row r="387" spans="2:13" x14ac:dyDescent="0.25">
      <c r="B387" s="1859">
        <f t="shared" si="30"/>
        <v>2014</v>
      </c>
      <c r="C387" s="1859">
        <f t="shared" si="31"/>
        <v>7</v>
      </c>
      <c r="D387" s="1860">
        <f t="shared" si="32"/>
        <v>41846</v>
      </c>
      <c r="E387" s="1861">
        <v>41846</v>
      </c>
      <c r="F387" s="1862">
        <f t="shared" si="28"/>
        <v>0</v>
      </c>
      <c r="G387" s="1862">
        <v>69999</v>
      </c>
      <c r="H387" s="1862">
        <v>69999</v>
      </c>
      <c r="I387" s="1862">
        <f>Tabla1[[#This Row],[Extraccion
Norte II]]+Tabla1[[#This Row],[Extraccion
ENO]]</f>
        <v>70479.510991110001</v>
      </c>
      <c r="J387" s="1862">
        <v>70479.510991110001</v>
      </c>
      <c r="K387" s="1862"/>
      <c r="L387" s="1862">
        <f t="shared" si="29"/>
        <v>-480.51099111000076</v>
      </c>
      <c r="M387" s="1862">
        <f>M386+Tabla1[[#This Row],[Desbalance
TPL]]</f>
        <v>-352255.17773299338</v>
      </c>
    </row>
    <row r="388" spans="2:13" x14ac:dyDescent="0.25">
      <c r="B388" s="1859">
        <f t="shared" si="30"/>
        <v>2014</v>
      </c>
      <c r="C388" s="1859">
        <f t="shared" si="31"/>
        <v>7</v>
      </c>
      <c r="D388" s="1860">
        <f t="shared" si="32"/>
        <v>41847</v>
      </c>
      <c r="E388" s="1861">
        <v>41847</v>
      </c>
      <c r="F388" s="1862">
        <f t="shared" si="28"/>
        <v>0</v>
      </c>
      <c r="G388" s="1862">
        <v>69999</v>
      </c>
      <c r="H388" s="1862">
        <v>69999</v>
      </c>
      <c r="I388" s="1862">
        <f>Tabla1[[#This Row],[Extraccion
Norte II]]+Tabla1[[#This Row],[Extraccion
ENO]]</f>
        <v>67397.048978220002</v>
      </c>
      <c r="J388" s="1862">
        <v>67397.048978220002</v>
      </c>
      <c r="K388" s="1862"/>
      <c r="L388" s="1862">
        <f t="shared" si="29"/>
        <v>2601.951021779998</v>
      </c>
      <c r="M388" s="1862">
        <f>M387+Tabla1[[#This Row],[Desbalance
TPL]]</f>
        <v>-349653.22671121336</v>
      </c>
    </row>
    <row r="389" spans="2:13" x14ac:dyDescent="0.25">
      <c r="B389" s="1859">
        <f t="shared" si="30"/>
        <v>2014</v>
      </c>
      <c r="C389" s="1859">
        <f t="shared" si="31"/>
        <v>7</v>
      </c>
      <c r="D389" s="1860">
        <f t="shared" si="32"/>
        <v>41848</v>
      </c>
      <c r="E389" s="1861">
        <v>41848</v>
      </c>
      <c r="F389" s="1862">
        <f t="shared" si="28"/>
        <v>0</v>
      </c>
      <c r="G389" s="1862">
        <v>69999</v>
      </c>
      <c r="H389" s="1862">
        <v>69999</v>
      </c>
      <c r="I389" s="1862">
        <f>Tabla1[[#This Row],[Extraccion
Norte II]]+Tabla1[[#This Row],[Extraccion
ENO]]</f>
        <v>72223.911310590003</v>
      </c>
      <c r="J389" s="1862">
        <v>72223.911310590003</v>
      </c>
      <c r="K389" s="1862"/>
      <c r="L389" s="1862">
        <f t="shared" si="29"/>
        <v>-2224.9113105900033</v>
      </c>
      <c r="M389" s="1862">
        <f>M388+Tabla1[[#This Row],[Desbalance
TPL]]</f>
        <v>-351878.13802180334</v>
      </c>
    </row>
    <row r="390" spans="2:13" x14ac:dyDescent="0.25">
      <c r="B390" s="1859">
        <f t="shared" si="30"/>
        <v>2014</v>
      </c>
      <c r="C390" s="1859">
        <f t="shared" si="31"/>
        <v>7</v>
      </c>
      <c r="D390" s="1860">
        <f t="shared" si="32"/>
        <v>41849</v>
      </c>
      <c r="E390" s="1861">
        <v>41849</v>
      </c>
      <c r="F390" s="1862">
        <f t="shared" si="28"/>
        <v>-1</v>
      </c>
      <c r="G390" s="1862">
        <v>74999</v>
      </c>
      <c r="H390" s="1862">
        <v>75000</v>
      </c>
      <c r="I390" s="1862">
        <f>Tabla1[[#This Row],[Extraccion
Norte II]]+Tabla1[[#This Row],[Extraccion
ENO]]</f>
        <v>72145.735364430002</v>
      </c>
      <c r="J390" s="1862">
        <v>72145.735364430002</v>
      </c>
      <c r="K390" s="1862"/>
      <c r="L390" s="1862">
        <f t="shared" si="29"/>
        <v>2854.2646355699981</v>
      </c>
      <c r="M390" s="1862">
        <f>M389+Tabla1[[#This Row],[Desbalance
TPL]]</f>
        <v>-349023.87338623335</v>
      </c>
    </row>
    <row r="391" spans="2:13" x14ac:dyDescent="0.25">
      <c r="B391" s="1859">
        <f t="shared" si="30"/>
        <v>2014</v>
      </c>
      <c r="C391" s="1859">
        <f t="shared" si="31"/>
        <v>7</v>
      </c>
      <c r="D391" s="1860">
        <f t="shared" si="32"/>
        <v>41850</v>
      </c>
      <c r="E391" s="1861">
        <v>41850</v>
      </c>
      <c r="F391" s="1862">
        <f t="shared" si="28"/>
        <v>0</v>
      </c>
      <c r="G391" s="1862">
        <v>75000</v>
      </c>
      <c r="H391" s="1862">
        <v>75000</v>
      </c>
      <c r="I391" s="1862">
        <f>Tabla1[[#This Row],[Extraccion
Norte II]]+Tabla1[[#This Row],[Extraccion
ENO]]</f>
        <v>72077.302977030005</v>
      </c>
      <c r="J391" s="1862">
        <v>72077.302977030005</v>
      </c>
      <c r="K391" s="1862"/>
      <c r="L391" s="1862">
        <f t="shared" si="29"/>
        <v>2922.6970229699946</v>
      </c>
      <c r="M391" s="1862">
        <f>M390+Tabla1[[#This Row],[Desbalance
TPL]]</f>
        <v>-346101.17636326334</v>
      </c>
    </row>
    <row r="392" spans="2:13" x14ac:dyDescent="0.25">
      <c r="B392" s="1859">
        <f t="shared" si="30"/>
        <v>2014</v>
      </c>
      <c r="C392" s="1859">
        <f t="shared" si="31"/>
        <v>7</v>
      </c>
      <c r="D392" s="1860">
        <f t="shared" si="32"/>
        <v>41851</v>
      </c>
      <c r="E392" s="1861">
        <v>41851</v>
      </c>
      <c r="F392" s="1862">
        <f t="shared" si="28"/>
        <v>0</v>
      </c>
      <c r="G392" s="1862">
        <v>75000</v>
      </c>
      <c r="H392" s="1862">
        <v>75000</v>
      </c>
      <c r="I392" s="1862">
        <f>Tabla1[[#This Row],[Extraccion
Norte II]]+Tabla1[[#This Row],[Extraccion
ENO]]</f>
        <v>71619.886492830003</v>
      </c>
      <c r="J392" s="1862">
        <v>71619.886492830003</v>
      </c>
      <c r="K392" s="1862"/>
      <c r="L392" s="1862">
        <f t="shared" si="29"/>
        <v>3380.1135071699973</v>
      </c>
      <c r="M392" s="1862">
        <f>M391+Tabla1[[#This Row],[Desbalance
TPL]]</f>
        <v>-342721.06285609334</v>
      </c>
    </row>
    <row r="393" spans="2:13" x14ac:dyDescent="0.25">
      <c r="B393" s="1859">
        <f t="shared" si="30"/>
        <v>2014</v>
      </c>
      <c r="C393" s="1859">
        <f t="shared" si="31"/>
        <v>8</v>
      </c>
      <c r="D393" s="1860">
        <f t="shared" si="32"/>
        <v>41852</v>
      </c>
      <c r="E393" s="1861">
        <v>41852</v>
      </c>
      <c r="F393" s="1862">
        <f t="shared" si="28"/>
        <v>4999</v>
      </c>
      <c r="G393" s="1862">
        <v>75000</v>
      </c>
      <c r="H393" s="1862">
        <v>70001</v>
      </c>
      <c r="I393" s="1862">
        <f>Tabla1[[#This Row],[Extraccion
Norte II]]+Tabla1[[#This Row],[Extraccion
ENO]]</f>
        <v>71605.011452831997</v>
      </c>
      <c r="J393" s="1862">
        <v>71605.011452831997</v>
      </c>
      <c r="K393" s="1862"/>
      <c r="L393" s="1862">
        <f t="shared" si="29"/>
        <v>-1604.0114528319973</v>
      </c>
      <c r="M393" s="1862">
        <f>M392+Tabla1[[#This Row],[Desbalance
TPL]]</f>
        <v>-344325.07430892531</v>
      </c>
    </row>
    <row r="394" spans="2:13" x14ac:dyDescent="0.25">
      <c r="B394" s="1859">
        <f t="shared" si="30"/>
        <v>2014</v>
      </c>
      <c r="C394" s="1859">
        <f t="shared" si="31"/>
        <v>8</v>
      </c>
      <c r="D394" s="1860">
        <f t="shared" si="32"/>
        <v>41853</v>
      </c>
      <c r="E394" s="1861">
        <v>41853</v>
      </c>
      <c r="F394" s="1862">
        <f t="shared" si="28"/>
        <v>0</v>
      </c>
      <c r="G394" s="1862">
        <v>70001</v>
      </c>
      <c r="H394" s="1862">
        <v>70001</v>
      </c>
      <c r="I394" s="1862">
        <f>Tabla1[[#This Row],[Extraccion
Norte II]]+Tabla1[[#This Row],[Extraccion
ENO]]</f>
        <v>61705.367137089001</v>
      </c>
      <c r="J394" s="1862">
        <v>61705.367137089001</v>
      </c>
      <c r="K394" s="1862"/>
      <c r="L394" s="1862">
        <f t="shared" si="29"/>
        <v>8295.6328629109994</v>
      </c>
      <c r="M394" s="1862">
        <f>M393+Tabla1[[#This Row],[Desbalance
TPL]]</f>
        <v>-336029.44144601433</v>
      </c>
    </row>
    <row r="395" spans="2:13" x14ac:dyDescent="0.25">
      <c r="B395" s="1859">
        <f t="shared" si="30"/>
        <v>2014</v>
      </c>
      <c r="C395" s="1859">
        <f t="shared" si="31"/>
        <v>8</v>
      </c>
      <c r="D395" s="1860">
        <f t="shared" si="32"/>
        <v>41854</v>
      </c>
      <c r="E395" s="1861">
        <v>41854</v>
      </c>
      <c r="F395" s="1862">
        <f t="shared" si="28"/>
        <v>0</v>
      </c>
      <c r="G395" s="1862">
        <v>70001</v>
      </c>
      <c r="H395" s="1862">
        <v>70001</v>
      </c>
      <c r="I395" s="1862">
        <f>Tabla1[[#This Row],[Extraccion
Norte II]]+Tabla1[[#This Row],[Extraccion
ENO]]</f>
        <v>59567.565893589002</v>
      </c>
      <c r="J395" s="1862">
        <v>59567.565893589002</v>
      </c>
      <c r="K395" s="1862"/>
      <c r="L395" s="1862">
        <f t="shared" si="29"/>
        <v>10433.434106410998</v>
      </c>
      <c r="M395" s="1862">
        <f>M394+Tabla1[[#This Row],[Desbalance
TPL]]</f>
        <v>-325596.00733960333</v>
      </c>
    </row>
    <row r="396" spans="2:13" x14ac:dyDescent="0.25">
      <c r="B396" s="1859">
        <f t="shared" si="30"/>
        <v>2014</v>
      </c>
      <c r="C396" s="1859">
        <f t="shared" si="31"/>
        <v>8</v>
      </c>
      <c r="D396" s="1860">
        <f t="shared" si="32"/>
        <v>41855</v>
      </c>
      <c r="E396" s="1861">
        <v>41855</v>
      </c>
      <c r="F396" s="1862">
        <f t="shared" ref="F396:F459" si="33">G396-H396</f>
        <v>0</v>
      </c>
      <c r="G396" s="1862">
        <v>70001</v>
      </c>
      <c r="H396" s="1862">
        <v>70001</v>
      </c>
      <c r="I396" s="1862">
        <f>Tabla1[[#This Row],[Extraccion
Norte II]]+Tabla1[[#This Row],[Extraccion
ENO]]</f>
        <v>69925.865490350989</v>
      </c>
      <c r="J396" s="1862">
        <v>69925.865490350989</v>
      </c>
      <c r="K396" s="1862"/>
      <c r="L396" s="1862">
        <f t="shared" ref="L396:L459" si="34">H396-I396</f>
        <v>75.134509649011306</v>
      </c>
      <c r="M396" s="1862">
        <f>M395+Tabla1[[#This Row],[Desbalance
TPL]]</f>
        <v>-325520.87282995431</v>
      </c>
    </row>
    <row r="397" spans="2:13" x14ac:dyDescent="0.25">
      <c r="B397" s="1859">
        <f t="shared" si="30"/>
        <v>2014</v>
      </c>
      <c r="C397" s="1859">
        <f t="shared" si="31"/>
        <v>8</v>
      </c>
      <c r="D397" s="1860">
        <f t="shared" si="32"/>
        <v>41856</v>
      </c>
      <c r="E397" s="1861">
        <v>41856</v>
      </c>
      <c r="F397" s="1862">
        <f t="shared" si="33"/>
        <v>0</v>
      </c>
      <c r="G397" s="1862">
        <v>75001</v>
      </c>
      <c r="H397" s="1862">
        <v>75001</v>
      </c>
      <c r="I397" s="1862">
        <f>Tabla1[[#This Row],[Extraccion
Norte II]]+Tabla1[[#This Row],[Extraccion
ENO]]</f>
        <v>71177.087242404014</v>
      </c>
      <c r="J397" s="1862">
        <v>71177.087242404014</v>
      </c>
      <c r="K397" s="1862"/>
      <c r="L397" s="1862">
        <f t="shared" si="34"/>
        <v>3823.9127575959865</v>
      </c>
      <c r="M397" s="1862">
        <f>M396+Tabla1[[#This Row],[Desbalance
TPL]]</f>
        <v>-321696.96007235831</v>
      </c>
    </row>
    <row r="398" spans="2:13" x14ac:dyDescent="0.25">
      <c r="B398" s="1859">
        <f t="shared" si="30"/>
        <v>2014</v>
      </c>
      <c r="C398" s="1859">
        <f t="shared" si="31"/>
        <v>8</v>
      </c>
      <c r="D398" s="1860">
        <f t="shared" si="32"/>
        <v>41857</v>
      </c>
      <c r="E398" s="1861">
        <v>41857</v>
      </c>
      <c r="F398" s="1862">
        <f t="shared" si="33"/>
        <v>0</v>
      </c>
      <c r="G398" s="1862">
        <v>75001</v>
      </c>
      <c r="H398" s="1862">
        <v>75001</v>
      </c>
      <c r="I398" s="1862">
        <f>Tabla1[[#This Row],[Extraccion
Norte II]]+Tabla1[[#This Row],[Extraccion
ENO]]</f>
        <v>71336.513502379705</v>
      </c>
      <c r="J398" s="1862">
        <v>71336.513502379705</v>
      </c>
      <c r="K398" s="1862"/>
      <c r="L398" s="1862">
        <f t="shared" si="34"/>
        <v>3664.4864976202953</v>
      </c>
      <c r="M398" s="1862">
        <f>M397+Tabla1[[#This Row],[Desbalance
TPL]]</f>
        <v>-318032.47357473802</v>
      </c>
    </row>
    <row r="399" spans="2:13" x14ac:dyDescent="0.25">
      <c r="B399" s="1859">
        <f t="shared" si="30"/>
        <v>2014</v>
      </c>
      <c r="C399" s="1859">
        <f t="shared" si="31"/>
        <v>8</v>
      </c>
      <c r="D399" s="1860">
        <f t="shared" si="32"/>
        <v>41858</v>
      </c>
      <c r="E399" s="1861">
        <v>41858</v>
      </c>
      <c r="F399" s="1862">
        <f t="shared" si="33"/>
        <v>0</v>
      </c>
      <c r="G399" s="1862">
        <v>75001</v>
      </c>
      <c r="H399" s="1862">
        <v>75001</v>
      </c>
      <c r="I399" s="1862">
        <f>Tabla1[[#This Row],[Extraccion
Norte II]]+Tabla1[[#This Row],[Extraccion
ENO]]</f>
        <v>71255.270771100011</v>
      </c>
      <c r="J399" s="1862">
        <v>71255.270771100011</v>
      </c>
      <c r="K399" s="1862"/>
      <c r="L399" s="1862">
        <f t="shared" si="34"/>
        <v>3745.7292288999888</v>
      </c>
      <c r="M399" s="1862">
        <f>M398+Tabla1[[#This Row],[Desbalance
TPL]]</f>
        <v>-314286.74434583803</v>
      </c>
    </row>
    <row r="400" spans="2:13" x14ac:dyDescent="0.25">
      <c r="B400" s="1859">
        <f t="shared" si="30"/>
        <v>2014</v>
      </c>
      <c r="C400" s="1859">
        <f t="shared" si="31"/>
        <v>8</v>
      </c>
      <c r="D400" s="1860">
        <f t="shared" si="32"/>
        <v>41859</v>
      </c>
      <c r="E400" s="1861">
        <v>41859</v>
      </c>
      <c r="F400" s="1862">
        <f t="shared" si="33"/>
        <v>2000</v>
      </c>
      <c r="G400" s="1862">
        <v>72001</v>
      </c>
      <c r="H400" s="1862">
        <v>70001</v>
      </c>
      <c r="I400" s="1862">
        <f>Tabla1[[#This Row],[Extraccion
Norte II]]+Tabla1[[#This Row],[Extraccion
ENO]]</f>
        <v>71300.765987100007</v>
      </c>
      <c r="J400" s="1862">
        <v>71300.765987100007</v>
      </c>
      <c r="K400" s="1862"/>
      <c r="L400" s="1862">
        <f t="shared" si="34"/>
        <v>-1299.7659871000069</v>
      </c>
      <c r="M400" s="1862">
        <f>M399+Tabla1[[#This Row],[Desbalance
TPL]]</f>
        <v>-315586.51033293805</v>
      </c>
    </row>
    <row r="401" spans="2:13" x14ac:dyDescent="0.25">
      <c r="B401" s="1859">
        <f t="shared" si="30"/>
        <v>2014</v>
      </c>
      <c r="C401" s="1859">
        <f t="shared" si="31"/>
        <v>8</v>
      </c>
      <c r="D401" s="1860">
        <f t="shared" si="32"/>
        <v>41860</v>
      </c>
      <c r="E401" s="1861">
        <v>41860</v>
      </c>
      <c r="F401" s="1862">
        <f t="shared" si="33"/>
        <v>0</v>
      </c>
      <c r="G401" s="1862">
        <v>70001</v>
      </c>
      <c r="H401" s="1862">
        <v>70001</v>
      </c>
      <c r="I401" s="1862">
        <f>Tabla1[[#This Row],[Extraccion
Norte II]]+Tabla1[[#This Row],[Extraccion
ENO]]</f>
        <v>71284.937443200004</v>
      </c>
      <c r="J401" s="1862">
        <v>71284.937443200004</v>
      </c>
      <c r="K401" s="1862"/>
      <c r="L401" s="1862">
        <f t="shared" si="34"/>
        <v>-1283.9374432000041</v>
      </c>
      <c r="M401" s="1862">
        <f>M400+Tabla1[[#This Row],[Desbalance
TPL]]</f>
        <v>-316870.44777613808</v>
      </c>
    </row>
    <row r="402" spans="2:13" x14ac:dyDescent="0.25">
      <c r="B402" s="1859">
        <f t="shared" si="30"/>
        <v>2014</v>
      </c>
      <c r="C402" s="1859">
        <f t="shared" si="31"/>
        <v>8</v>
      </c>
      <c r="D402" s="1860">
        <f t="shared" si="32"/>
        <v>41861</v>
      </c>
      <c r="E402" s="1861">
        <v>41861</v>
      </c>
      <c r="F402" s="1862">
        <f t="shared" si="33"/>
        <v>0</v>
      </c>
      <c r="G402" s="1862">
        <v>70001</v>
      </c>
      <c r="H402" s="1862">
        <v>70001</v>
      </c>
      <c r="I402" s="1862">
        <f>Tabla1[[#This Row],[Extraccion
Norte II]]+Tabla1[[#This Row],[Extraccion
ENO]]</f>
        <v>65846.757438379704</v>
      </c>
      <c r="J402" s="1862">
        <v>65846.757438379704</v>
      </c>
      <c r="K402" s="1862"/>
      <c r="L402" s="1862">
        <f t="shared" si="34"/>
        <v>4154.2425616202963</v>
      </c>
      <c r="M402" s="1862">
        <f>M401+Tabla1[[#This Row],[Desbalance
TPL]]</f>
        <v>-312716.20521451777</v>
      </c>
    </row>
    <row r="403" spans="2:13" x14ac:dyDescent="0.25">
      <c r="B403" s="1859">
        <f t="shared" si="30"/>
        <v>2014</v>
      </c>
      <c r="C403" s="1859">
        <f t="shared" si="31"/>
        <v>8</v>
      </c>
      <c r="D403" s="1860">
        <f t="shared" si="32"/>
        <v>41862</v>
      </c>
      <c r="E403" s="1861">
        <v>41862</v>
      </c>
      <c r="F403" s="1862">
        <f t="shared" si="33"/>
        <v>0</v>
      </c>
      <c r="G403" s="1862">
        <v>70001</v>
      </c>
      <c r="H403" s="1862">
        <v>70001</v>
      </c>
      <c r="I403" s="1862">
        <f>Tabla1[[#This Row],[Extraccion
Norte II]]+Tabla1[[#This Row],[Extraccion
ENO]]</f>
        <v>70948.145486629699</v>
      </c>
      <c r="J403" s="1862">
        <v>70948.145486629699</v>
      </c>
      <c r="K403" s="1862"/>
      <c r="L403" s="1862">
        <f t="shared" si="34"/>
        <v>-947.14548662969901</v>
      </c>
      <c r="M403" s="1862">
        <f>M402+Tabla1[[#This Row],[Desbalance
TPL]]</f>
        <v>-313663.35070114746</v>
      </c>
    </row>
    <row r="404" spans="2:13" x14ac:dyDescent="0.25">
      <c r="B404" s="1859">
        <f t="shared" si="30"/>
        <v>2014</v>
      </c>
      <c r="C404" s="1859">
        <f t="shared" si="31"/>
        <v>8</v>
      </c>
      <c r="D404" s="1860">
        <f t="shared" si="32"/>
        <v>41863</v>
      </c>
      <c r="E404" s="1861">
        <v>41863</v>
      </c>
      <c r="F404" s="1862">
        <f t="shared" si="33"/>
        <v>0</v>
      </c>
      <c r="G404" s="1862">
        <v>65136</v>
      </c>
      <c r="H404" s="1862">
        <v>65136</v>
      </c>
      <c r="I404" s="1862">
        <f>Tabla1[[#This Row],[Extraccion
Norte II]]+Tabla1[[#This Row],[Extraccion
ENO]]</f>
        <v>71491.155769785953</v>
      </c>
      <c r="J404" s="1862">
        <v>71491.155769785953</v>
      </c>
      <c r="K404" s="1862"/>
      <c r="L404" s="1862">
        <f t="shared" si="34"/>
        <v>-6355.1557697859535</v>
      </c>
      <c r="M404" s="1862">
        <f>M403+Tabla1[[#This Row],[Desbalance
TPL]]</f>
        <v>-320018.50647093344</v>
      </c>
    </row>
    <row r="405" spans="2:13" x14ac:dyDescent="0.25">
      <c r="B405" s="1859">
        <f t="shared" si="30"/>
        <v>2014</v>
      </c>
      <c r="C405" s="1859">
        <f t="shared" si="31"/>
        <v>8</v>
      </c>
      <c r="D405" s="1860">
        <f t="shared" si="32"/>
        <v>41864</v>
      </c>
      <c r="E405" s="1861">
        <v>41864</v>
      </c>
      <c r="F405" s="1862">
        <f t="shared" si="33"/>
        <v>0</v>
      </c>
      <c r="G405" s="1862">
        <v>75001</v>
      </c>
      <c r="H405" s="1862">
        <v>75001</v>
      </c>
      <c r="I405" s="1862">
        <f>Tabla1[[#This Row],[Extraccion
Norte II]]+Tabla1[[#This Row],[Extraccion
ENO]]</f>
        <v>71467.29003154923</v>
      </c>
      <c r="J405" s="1862">
        <v>71467.29003154923</v>
      </c>
      <c r="K405" s="1862"/>
      <c r="L405" s="1862">
        <f t="shared" si="34"/>
        <v>3533.7099684507702</v>
      </c>
      <c r="M405" s="1862">
        <f>M404+Tabla1[[#This Row],[Desbalance
TPL]]</f>
        <v>-316484.79650248267</v>
      </c>
    </row>
    <row r="406" spans="2:13" x14ac:dyDescent="0.25">
      <c r="B406" s="1859">
        <f t="shared" si="30"/>
        <v>2014</v>
      </c>
      <c r="C406" s="1859">
        <f t="shared" si="31"/>
        <v>8</v>
      </c>
      <c r="D406" s="1860">
        <f t="shared" si="32"/>
        <v>41865</v>
      </c>
      <c r="E406" s="1861">
        <v>41865</v>
      </c>
      <c r="F406" s="1862">
        <f t="shared" si="33"/>
        <v>0</v>
      </c>
      <c r="G406" s="1862">
        <v>75001</v>
      </c>
      <c r="H406" s="1862">
        <v>75001</v>
      </c>
      <c r="I406" s="1862">
        <f>Tabla1[[#This Row],[Extraccion
Norte II]]+Tabla1[[#This Row],[Extraccion
ENO]]</f>
        <v>71590.395166875009</v>
      </c>
      <c r="J406" s="1862">
        <v>71590.395166875009</v>
      </c>
      <c r="K406" s="1862"/>
      <c r="L406" s="1862">
        <f t="shared" si="34"/>
        <v>3410.6048331249913</v>
      </c>
      <c r="M406" s="1862">
        <f>M405+Tabla1[[#This Row],[Desbalance
TPL]]</f>
        <v>-313074.19166935771</v>
      </c>
    </row>
    <row r="407" spans="2:13" x14ac:dyDescent="0.25">
      <c r="B407" s="1859">
        <f t="shared" si="30"/>
        <v>2014</v>
      </c>
      <c r="C407" s="1859">
        <f t="shared" si="31"/>
        <v>8</v>
      </c>
      <c r="D407" s="1860">
        <f t="shared" si="32"/>
        <v>41866</v>
      </c>
      <c r="E407" s="1861">
        <v>41866</v>
      </c>
      <c r="F407" s="1862">
        <f t="shared" si="33"/>
        <v>0</v>
      </c>
      <c r="G407" s="1862">
        <v>74941</v>
      </c>
      <c r="H407" s="1862">
        <v>74941</v>
      </c>
      <c r="I407" s="1862">
        <f>Tabla1[[#This Row],[Extraccion
Norte II]]+Tabla1[[#This Row],[Extraccion
ENO]]</f>
        <v>71791.102819075764</v>
      </c>
      <c r="J407" s="1862">
        <v>71791.102819075764</v>
      </c>
      <c r="K407" s="1862"/>
      <c r="L407" s="1862">
        <f t="shared" si="34"/>
        <v>3149.8971809242357</v>
      </c>
      <c r="M407" s="1862">
        <f>M406+Tabla1[[#This Row],[Desbalance
TPL]]</f>
        <v>-309924.29448843346</v>
      </c>
    </row>
    <row r="408" spans="2:13" x14ac:dyDescent="0.25">
      <c r="B408" s="1859">
        <f t="shared" si="30"/>
        <v>2014</v>
      </c>
      <c r="C408" s="1859">
        <f t="shared" si="31"/>
        <v>8</v>
      </c>
      <c r="D408" s="1860">
        <f t="shared" si="32"/>
        <v>41867</v>
      </c>
      <c r="E408" s="1861">
        <v>41867</v>
      </c>
      <c r="F408" s="1862">
        <f t="shared" si="33"/>
        <v>0</v>
      </c>
      <c r="G408" s="1862">
        <v>69984</v>
      </c>
      <c r="H408" s="1862">
        <v>69984</v>
      </c>
      <c r="I408" s="1862">
        <f>Tabla1[[#This Row],[Extraccion
Norte II]]+Tabla1[[#This Row],[Extraccion
ENO]]</f>
        <v>70718.166572625007</v>
      </c>
      <c r="J408" s="1862">
        <v>70718.166572625007</v>
      </c>
      <c r="K408" s="1862"/>
      <c r="L408" s="1862">
        <f t="shared" si="34"/>
        <v>-734.16657262500667</v>
      </c>
      <c r="M408" s="1862">
        <f>M407+Tabla1[[#This Row],[Desbalance
TPL]]</f>
        <v>-310658.46106105845</v>
      </c>
    </row>
    <row r="409" spans="2:13" x14ac:dyDescent="0.25">
      <c r="B409" s="1859">
        <f t="shared" si="30"/>
        <v>2014</v>
      </c>
      <c r="C409" s="1859">
        <f t="shared" si="31"/>
        <v>8</v>
      </c>
      <c r="D409" s="1860">
        <f t="shared" si="32"/>
        <v>41868</v>
      </c>
      <c r="E409" s="1861">
        <v>41868</v>
      </c>
      <c r="F409" s="1862">
        <f t="shared" si="33"/>
        <v>0</v>
      </c>
      <c r="G409" s="1862">
        <v>69984</v>
      </c>
      <c r="H409" s="1862">
        <v>69984</v>
      </c>
      <c r="I409" s="1862">
        <f>Tabla1[[#This Row],[Extraccion
Norte II]]+Tabla1[[#This Row],[Extraccion
ENO]]</f>
        <v>70848.816511355995</v>
      </c>
      <c r="J409" s="1862">
        <v>70848.816511355995</v>
      </c>
      <c r="K409" s="1862"/>
      <c r="L409" s="1862">
        <f t="shared" si="34"/>
        <v>-864.81651135599532</v>
      </c>
      <c r="M409" s="1862">
        <f>M408+Tabla1[[#This Row],[Desbalance
TPL]]</f>
        <v>-311523.27757241443</v>
      </c>
    </row>
    <row r="410" spans="2:13" x14ac:dyDescent="0.25">
      <c r="B410" s="1859">
        <f t="shared" si="30"/>
        <v>2014</v>
      </c>
      <c r="C410" s="1859">
        <f t="shared" si="31"/>
        <v>8</v>
      </c>
      <c r="D410" s="1860">
        <f t="shared" si="32"/>
        <v>41869</v>
      </c>
      <c r="E410" s="1861">
        <v>41869</v>
      </c>
      <c r="F410" s="1862">
        <f t="shared" si="33"/>
        <v>0</v>
      </c>
      <c r="G410" s="1862">
        <v>69984</v>
      </c>
      <c r="H410" s="1862">
        <v>69984</v>
      </c>
      <c r="I410" s="1862">
        <f>Tabla1[[#This Row],[Extraccion
Norte II]]+Tabla1[[#This Row],[Extraccion
ENO]]</f>
        <v>71119.396758888266</v>
      </c>
      <c r="J410" s="1862">
        <v>71119.396758888266</v>
      </c>
      <c r="K410" s="1862"/>
      <c r="L410" s="1862">
        <f t="shared" si="34"/>
        <v>-1135.396758888266</v>
      </c>
      <c r="M410" s="1862">
        <f>M409+Tabla1[[#This Row],[Desbalance
TPL]]</f>
        <v>-312658.6743313027</v>
      </c>
    </row>
    <row r="411" spans="2:13" x14ac:dyDescent="0.25">
      <c r="B411" s="1859">
        <f t="shared" si="30"/>
        <v>2014</v>
      </c>
      <c r="C411" s="1859">
        <f t="shared" si="31"/>
        <v>8</v>
      </c>
      <c r="D411" s="1860">
        <f t="shared" si="32"/>
        <v>41870</v>
      </c>
      <c r="E411" s="1861">
        <v>41870</v>
      </c>
      <c r="F411" s="1862">
        <f t="shared" si="33"/>
        <v>0</v>
      </c>
      <c r="G411" s="1862">
        <v>74949</v>
      </c>
      <c r="H411" s="1862">
        <v>74949</v>
      </c>
      <c r="I411" s="1862">
        <f>Tabla1[[#This Row],[Extraccion
Norte II]]+Tabla1[[#This Row],[Extraccion
ENO]]</f>
        <v>71079.010873642983</v>
      </c>
      <c r="J411" s="1862">
        <v>71079.010873642983</v>
      </c>
      <c r="K411" s="1862"/>
      <c r="L411" s="1862">
        <f t="shared" si="34"/>
        <v>3869.9891263570171</v>
      </c>
      <c r="M411" s="1862">
        <f>M410+Tabla1[[#This Row],[Desbalance
TPL]]</f>
        <v>-308788.68520494568</v>
      </c>
    </row>
    <row r="412" spans="2:13" x14ac:dyDescent="0.25">
      <c r="B412" s="1859">
        <f t="shared" ref="B412:B475" si="35">YEAR(E412)</f>
        <v>2014</v>
      </c>
      <c r="C412" s="1859">
        <f t="shared" ref="C412:C475" si="36">MONTH(E412)</f>
        <v>8</v>
      </c>
      <c r="D412" s="1860">
        <f t="shared" ref="D412:D475" si="37">E412</f>
        <v>41871</v>
      </c>
      <c r="E412" s="1861">
        <v>41871</v>
      </c>
      <c r="F412" s="1862">
        <f t="shared" si="33"/>
        <v>0</v>
      </c>
      <c r="G412" s="1862">
        <v>74770</v>
      </c>
      <c r="H412" s="1862">
        <v>74770</v>
      </c>
      <c r="I412" s="1862">
        <f>Tabla1[[#This Row],[Extraccion
Norte II]]+Tabla1[[#This Row],[Extraccion
ENO]]</f>
        <v>70979.556492702002</v>
      </c>
      <c r="J412" s="1862">
        <v>70979.556492702002</v>
      </c>
      <c r="K412" s="1862"/>
      <c r="L412" s="1862">
        <f t="shared" si="34"/>
        <v>3790.4435072979977</v>
      </c>
      <c r="M412" s="1862">
        <f>M411+Tabla1[[#This Row],[Desbalance
TPL]]</f>
        <v>-304998.24169764767</v>
      </c>
    </row>
    <row r="413" spans="2:13" x14ac:dyDescent="0.25">
      <c r="B413" s="1859">
        <f t="shared" si="35"/>
        <v>2014</v>
      </c>
      <c r="C413" s="1859">
        <f t="shared" si="36"/>
        <v>8</v>
      </c>
      <c r="D413" s="1860">
        <f t="shared" si="37"/>
        <v>41872</v>
      </c>
      <c r="E413" s="1861">
        <v>41872</v>
      </c>
      <c r="F413" s="1862">
        <f t="shared" si="33"/>
        <v>0</v>
      </c>
      <c r="G413" s="1862">
        <v>41092</v>
      </c>
      <c r="H413" s="1862">
        <v>41092</v>
      </c>
      <c r="I413" s="1862">
        <f>Tabla1[[#This Row],[Extraccion
Norte II]]+Tabla1[[#This Row],[Extraccion
ENO]]</f>
        <v>71425.60830037971</v>
      </c>
      <c r="J413" s="1862">
        <v>71425.60830037971</v>
      </c>
      <c r="K413" s="1862"/>
      <c r="L413" s="1862">
        <f t="shared" si="34"/>
        <v>-30333.60830037971</v>
      </c>
      <c r="M413" s="1862">
        <f>M412+Tabla1[[#This Row],[Desbalance
TPL]]</f>
        <v>-335331.84999802738</v>
      </c>
    </row>
    <row r="414" spans="2:13" x14ac:dyDescent="0.25">
      <c r="B414" s="1859">
        <f t="shared" si="35"/>
        <v>2014</v>
      </c>
      <c r="C414" s="1859">
        <f t="shared" si="36"/>
        <v>8</v>
      </c>
      <c r="D414" s="1860">
        <f t="shared" si="37"/>
        <v>41873</v>
      </c>
      <c r="E414" s="1861">
        <v>41873</v>
      </c>
      <c r="F414" s="1862">
        <f t="shared" si="33"/>
        <v>0</v>
      </c>
      <c r="G414" s="1862">
        <v>62686</v>
      </c>
      <c r="H414" s="1862">
        <v>62686</v>
      </c>
      <c r="I414" s="1862">
        <f>Tabla1[[#This Row],[Extraccion
Norte II]]+Tabla1[[#This Row],[Extraccion
ENO]]</f>
        <v>71458.641201424238</v>
      </c>
      <c r="J414" s="1862">
        <v>71458.641201424238</v>
      </c>
      <c r="K414" s="1862"/>
      <c r="L414" s="1862">
        <f t="shared" si="34"/>
        <v>-8772.6412014242378</v>
      </c>
      <c r="M414" s="1862">
        <f>M413+Tabla1[[#This Row],[Desbalance
TPL]]</f>
        <v>-344104.49119945162</v>
      </c>
    </row>
    <row r="415" spans="2:13" x14ac:dyDescent="0.25">
      <c r="B415" s="1859">
        <f t="shared" si="35"/>
        <v>2014</v>
      </c>
      <c r="C415" s="1859">
        <f t="shared" si="36"/>
        <v>8</v>
      </c>
      <c r="D415" s="1860">
        <f t="shared" si="37"/>
        <v>41874</v>
      </c>
      <c r="E415" s="1861">
        <v>41874</v>
      </c>
      <c r="F415" s="1862">
        <f t="shared" si="33"/>
        <v>0</v>
      </c>
      <c r="G415" s="1862">
        <v>69994</v>
      </c>
      <c r="H415" s="1862">
        <v>69994</v>
      </c>
      <c r="I415" s="1862">
        <f>Tabla1[[#This Row],[Extraccion
Norte II]]+Tabla1[[#This Row],[Extraccion
ENO]]</f>
        <v>66463.904782504702</v>
      </c>
      <c r="J415" s="1862">
        <v>66463.904782504702</v>
      </c>
      <c r="K415" s="1862"/>
      <c r="L415" s="1862">
        <f t="shared" si="34"/>
        <v>3530.0952174952981</v>
      </c>
      <c r="M415" s="1862">
        <f>M414+Tabla1[[#This Row],[Desbalance
TPL]]</f>
        <v>-340574.39598195633</v>
      </c>
    </row>
    <row r="416" spans="2:13" x14ac:dyDescent="0.25">
      <c r="B416" s="1859">
        <f t="shared" si="35"/>
        <v>2014</v>
      </c>
      <c r="C416" s="1859">
        <f t="shared" si="36"/>
        <v>8</v>
      </c>
      <c r="D416" s="1860">
        <f t="shared" si="37"/>
        <v>41875</v>
      </c>
      <c r="E416" s="1861">
        <v>41875</v>
      </c>
      <c r="F416" s="1862">
        <f t="shared" si="33"/>
        <v>0</v>
      </c>
      <c r="G416" s="1862">
        <v>69999</v>
      </c>
      <c r="H416" s="1862">
        <v>69999</v>
      </c>
      <c r="I416" s="1862">
        <f>Tabla1[[#This Row],[Extraccion
Norte II]]+Tabla1[[#This Row],[Extraccion
ENO]]</f>
        <v>69854.302463400003</v>
      </c>
      <c r="J416" s="1862">
        <v>69854.302463400003</v>
      </c>
      <c r="K416" s="1862"/>
      <c r="L416" s="1862">
        <f t="shared" si="34"/>
        <v>144.69753659999697</v>
      </c>
      <c r="M416" s="1862">
        <f>M415+Tabla1[[#This Row],[Desbalance
TPL]]</f>
        <v>-340429.69844535633</v>
      </c>
    </row>
    <row r="417" spans="2:13" x14ac:dyDescent="0.25">
      <c r="B417" s="1859">
        <f t="shared" si="35"/>
        <v>2014</v>
      </c>
      <c r="C417" s="1859">
        <f t="shared" si="36"/>
        <v>8</v>
      </c>
      <c r="D417" s="1860">
        <f t="shared" si="37"/>
        <v>41876</v>
      </c>
      <c r="E417" s="1861">
        <v>41876</v>
      </c>
      <c r="F417" s="1862">
        <f t="shared" si="33"/>
        <v>0</v>
      </c>
      <c r="G417" s="1862">
        <v>70001</v>
      </c>
      <c r="H417" s="1862">
        <v>70001</v>
      </c>
      <c r="I417" s="1862">
        <f>Tabla1[[#This Row],[Extraccion
Norte II]]+Tabla1[[#This Row],[Extraccion
ENO]]</f>
        <v>71686.243161000006</v>
      </c>
      <c r="J417" s="1862">
        <v>71686.243161000006</v>
      </c>
      <c r="K417" s="1862"/>
      <c r="L417" s="1862">
        <f t="shared" si="34"/>
        <v>-1685.2431610000058</v>
      </c>
      <c r="M417" s="1862">
        <f>M416+Tabla1[[#This Row],[Desbalance
TPL]]</f>
        <v>-342114.94160635635</v>
      </c>
    </row>
    <row r="418" spans="2:13" x14ac:dyDescent="0.25">
      <c r="B418" s="1859">
        <f t="shared" si="35"/>
        <v>2014</v>
      </c>
      <c r="C418" s="1859">
        <f t="shared" si="36"/>
        <v>8</v>
      </c>
      <c r="D418" s="1860">
        <f t="shared" si="37"/>
        <v>41877</v>
      </c>
      <c r="E418" s="1861">
        <v>41877</v>
      </c>
      <c r="F418" s="1862">
        <f t="shared" si="33"/>
        <v>0</v>
      </c>
      <c r="G418" s="1862">
        <v>78001</v>
      </c>
      <c r="H418" s="1862">
        <v>78001</v>
      </c>
      <c r="I418" s="1862">
        <f>Tabla1[[#This Row],[Extraccion
Norte II]]+Tabla1[[#This Row],[Extraccion
ENO]]</f>
        <v>71932.741928190007</v>
      </c>
      <c r="J418" s="1862">
        <v>71932.741928190007</v>
      </c>
      <c r="K418" s="1862"/>
      <c r="L418" s="1862">
        <f t="shared" si="34"/>
        <v>6068.2580718099925</v>
      </c>
      <c r="M418" s="1862">
        <f>M417+Tabla1[[#This Row],[Desbalance
TPL]]</f>
        <v>-336046.68353454635</v>
      </c>
    </row>
    <row r="419" spans="2:13" x14ac:dyDescent="0.25">
      <c r="B419" s="1859">
        <f t="shared" si="35"/>
        <v>2014</v>
      </c>
      <c r="C419" s="1859">
        <f t="shared" si="36"/>
        <v>8</v>
      </c>
      <c r="D419" s="1860">
        <f t="shared" si="37"/>
        <v>41878</v>
      </c>
      <c r="E419" s="1861">
        <v>41878</v>
      </c>
      <c r="F419" s="1862">
        <f t="shared" si="33"/>
        <v>0</v>
      </c>
      <c r="G419" s="1862">
        <v>78000</v>
      </c>
      <c r="H419" s="1862">
        <v>78000</v>
      </c>
      <c r="I419" s="1862">
        <f>Tabla1[[#This Row],[Extraccion
Norte II]]+Tabla1[[#This Row],[Extraccion
ENO]]</f>
        <v>71878.353345279</v>
      </c>
      <c r="J419" s="1862">
        <v>71878.353345279</v>
      </c>
      <c r="K419" s="1862"/>
      <c r="L419" s="1862">
        <f t="shared" si="34"/>
        <v>6121.6466547210002</v>
      </c>
      <c r="M419" s="1862">
        <f>M418+Tabla1[[#This Row],[Desbalance
TPL]]</f>
        <v>-329925.03687982535</v>
      </c>
    </row>
    <row r="420" spans="2:13" x14ac:dyDescent="0.25">
      <c r="B420" s="1859">
        <f t="shared" si="35"/>
        <v>2014</v>
      </c>
      <c r="C420" s="1859">
        <f t="shared" si="36"/>
        <v>8</v>
      </c>
      <c r="D420" s="1860">
        <f t="shared" si="37"/>
        <v>41879</v>
      </c>
      <c r="E420" s="1861">
        <v>41879</v>
      </c>
      <c r="F420" s="1862">
        <f t="shared" si="33"/>
        <v>0</v>
      </c>
      <c r="G420" s="1862">
        <v>77982</v>
      </c>
      <c r="H420" s="1862">
        <v>77982</v>
      </c>
      <c r="I420" s="1862">
        <f>Tabla1[[#This Row],[Extraccion
Norte II]]+Tabla1[[#This Row],[Extraccion
ENO]]</f>
        <v>71879.66447001326</v>
      </c>
      <c r="J420" s="1862">
        <v>71879.66447001326</v>
      </c>
      <c r="K420" s="1862"/>
      <c r="L420" s="1862">
        <f t="shared" si="34"/>
        <v>6102.3355299867399</v>
      </c>
      <c r="M420" s="1862">
        <f>M419+Tabla1[[#This Row],[Desbalance
TPL]]</f>
        <v>-323822.70134983864</v>
      </c>
    </row>
    <row r="421" spans="2:13" x14ac:dyDescent="0.25">
      <c r="B421" s="1859">
        <f t="shared" si="35"/>
        <v>2014</v>
      </c>
      <c r="C421" s="1859">
        <f t="shared" si="36"/>
        <v>8</v>
      </c>
      <c r="D421" s="1860">
        <f t="shared" si="37"/>
        <v>41880</v>
      </c>
      <c r="E421" s="1861">
        <v>41880</v>
      </c>
      <c r="F421" s="1862">
        <f t="shared" si="33"/>
        <v>0</v>
      </c>
      <c r="G421" s="1862">
        <v>75000</v>
      </c>
      <c r="H421" s="1862">
        <v>75000</v>
      </c>
      <c r="I421" s="1862">
        <f>Tabla1[[#This Row],[Extraccion
Norte II]]+Tabla1[[#This Row],[Extraccion
ENO]]</f>
        <v>72355.609297968753</v>
      </c>
      <c r="J421" s="1862">
        <v>72355.609297968753</v>
      </c>
      <c r="K421" s="1862"/>
      <c r="L421" s="1862">
        <f t="shared" si="34"/>
        <v>2644.3907020312472</v>
      </c>
      <c r="M421" s="1862">
        <f>M420+Tabla1[[#This Row],[Desbalance
TPL]]</f>
        <v>-321178.31064780738</v>
      </c>
    </row>
    <row r="422" spans="2:13" x14ac:dyDescent="0.25">
      <c r="B422" s="1859">
        <f t="shared" si="35"/>
        <v>2014</v>
      </c>
      <c r="C422" s="1859">
        <f t="shared" si="36"/>
        <v>8</v>
      </c>
      <c r="D422" s="1860">
        <f t="shared" si="37"/>
        <v>41881</v>
      </c>
      <c r="E422" s="1861">
        <v>41881</v>
      </c>
      <c r="F422" s="1862">
        <f t="shared" si="33"/>
        <v>0</v>
      </c>
      <c r="G422" s="1862">
        <v>75000</v>
      </c>
      <c r="H422" s="1862">
        <v>75000</v>
      </c>
      <c r="I422" s="1862">
        <f>Tabla1[[#This Row],[Extraccion
Norte II]]+Tabla1[[#This Row],[Extraccion
ENO]]</f>
        <v>66837.203986549241</v>
      </c>
      <c r="J422" s="1862">
        <v>66837.203986549241</v>
      </c>
      <c r="K422" s="1862"/>
      <c r="L422" s="1862">
        <f t="shared" si="34"/>
        <v>8162.7960134507593</v>
      </c>
      <c r="M422" s="1862">
        <f>M421+Tabla1[[#This Row],[Desbalance
TPL]]</f>
        <v>-313015.5146343566</v>
      </c>
    </row>
    <row r="423" spans="2:13" x14ac:dyDescent="0.25">
      <c r="B423" s="1859">
        <f t="shared" si="35"/>
        <v>2014</v>
      </c>
      <c r="C423" s="1859">
        <f t="shared" si="36"/>
        <v>8</v>
      </c>
      <c r="D423" s="1860">
        <f t="shared" si="37"/>
        <v>41882</v>
      </c>
      <c r="E423" s="1861">
        <v>41882</v>
      </c>
      <c r="F423" s="1862">
        <f t="shared" si="33"/>
        <v>0</v>
      </c>
      <c r="G423" s="1862">
        <v>74999</v>
      </c>
      <c r="H423" s="1862">
        <v>74999</v>
      </c>
      <c r="I423" s="1862">
        <f>Tabla1[[#This Row],[Extraccion
Norte II]]+Tabla1[[#This Row],[Extraccion
ENO]]</f>
        <v>69337.552635</v>
      </c>
      <c r="J423" s="1862">
        <v>69337.552635</v>
      </c>
      <c r="K423" s="1862"/>
      <c r="L423" s="1862">
        <f t="shared" si="34"/>
        <v>5661.447365</v>
      </c>
      <c r="M423" s="1862">
        <f>M422+Tabla1[[#This Row],[Desbalance
TPL]]</f>
        <v>-307354.06726935657</v>
      </c>
    </row>
    <row r="424" spans="2:13" x14ac:dyDescent="0.25">
      <c r="B424" s="1859">
        <f t="shared" si="35"/>
        <v>2014</v>
      </c>
      <c r="C424" s="1859">
        <f t="shared" si="36"/>
        <v>9</v>
      </c>
      <c r="D424" s="1860">
        <f t="shared" si="37"/>
        <v>41883</v>
      </c>
      <c r="E424" s="1861">
        <v>41883</v>
      </c>
      <c r="F424" s="1862">
        <f t="shared" si="33"/>
        <v>0</v>
      </c>
      <c r="G424" s="1862">
        <v>78001</v>
      </c>
      <c r="H424" s="1862">
        <v>78001</v>
      </c>
      <c r="I424" s="1862">
        <f>Tabla1[[#This Row],[Extraccion
Norte II]]+Tabla1[[#This Row],[Extraccion
ENO]]</f>
        <v>72052.801907580011</v>
      </c>
      <c r="J424" s="1862">
        <v>72052.801907580011</v>
      </c>
      <c r="K424" s="1862"/>
      <c r="L424" s="1862">
        <f t="shared" si="34"/>
        <v>5948.1980924199888</v>
      </c>
      <c r="M424" s="1862">
        <f>M423+Tabla1[[#This Row],[Desbalance
TPL]]</f>
        <v>-301405.86917693657</v>
      </c>
    </row>
    <row r="425" spans="2:13" x14ac:dyDescent="0.25">
      <c r="B425" s="1859">
        <f t="shared" si="35"/>
        <v>2014</v>
      </c>
      <c r="C425" s="1859">
        <f t="shared" si="36"/>
        <v>9</v>
      </c>
      <c r="D425" s="1860">
        <f t="shared" si="37"/>
        <v>41884</v>
      </c>
      <c r="E425" s="1861">
        <v>41884</v>
      </c>
      <c r="F425" s="1862">
        <f t="shared" si="33"/>
        <v>0</v>
      </c>
      <c r="G425" s="1862">
        <v>78001</v>
      </c>
      <c r="H425" s="1862">
        <v>78001</v>
      </c>
      <c r="I425" s="1862">
        <f>Tabla1[[#This Row],[Extraccion
Norte II]]+Tabla1[[#This Row],[Extraccion
ENO]]</f>
        <v>70712.645538600002</v>
      </c>
      <c r="J425" s="1862">
        <v>70712.645538600002</v>
      </c>
      <c r="K425" s="1862"/>
      <c r="L425" s="1862">
        <f t="shared" si="34"/>
        <v>7288.3544613999984</v>
      </c>
      <c r="M425" s="1862">
        <f>M424+Tabla1[[#This Row],[Desbalance
TPL]]</f>
        <v>-294117.51471553656</v>
      </c>
    </row>
    <row r="426" spans="2:13" x14ac:dyDescent="0.25">
      <c r="B426" s="1859">
        <f t="shared" si="35"/>
        <v>2014</v>
      </c>
      <c r="C426" s="1859">
        <f t="shared" si="36"/>
        <v>9</v>
      </c>
      <c r="D426" s="1860">
        <f t="shared" si="37"/>
        <v>41885</v>
      </c>
      <c r="E426" s="1861">
        <v>41885</v>
      </c>
      <c r="F426" s="1862">
        <f t="shared" si="33"/>
        <v>0</v>
      </c>
      <c r="G426" s="1862">
        <v>78001</v>
      </c>
      <c r="H426" s="1862">
        <v>78001</v>
      </c>
      <c r="I426" s="1862">
        <f>Tabla1[[#This Row],[Extraccion
Norte II]]+Tabla1[[#This Row],[Extraccion
ENO]]</f>
        <v>71461.838008080013</v>
      </c>
      <c r="J426" s="1862">
        <v>71461.838008080013</v>
      </c>
      <c r="K426" s="1862"/>
      <c r="L426" s="1862">
        <f t="shared" si="34"/>
        <v>6539.1619919199875</v>
      </c>
      <c r="M426" s="1862">
        <f>M425+Tabla1[[#This Row],[Desbalance
TPL]]</f>
        <v>-287578.35272361658</v>
      </c>
    </row>
    <row r="427" spans="2:13" x14ac:dyDescent="0.25">
      <c r="B427" s="1859">
        <f t="shared" si="35"/>
        <v>2014</v>
      </c>
      <c r="C427" s="1859">
        <f t="shared" si="36"/>
        <v>9</v>
      </c>
      <c r="D427" s="1860">
        <f t="shared" si="37"/>
        <v>41886</v>
      </c>
      <c r="E427" s="1861">
        <v>41886</v>
      </c>
      <c r="F427" s="1862">
        <f t="shared" si="33"/>
        <v>0</v>
      </c>
      <c r="G427" s="1862">
        <v>78001</v>
      </c>
      <c r="H427" s="1862">
        <v>78001</v>
      </c>
      <c r="I427" s="1862">
        <f>Tabla1[[#This Row],[Extraccion
Norte II]]+Tabla1[[#This Row],[Extraccion
ENO]]</f>
        <v>68405.630526090012</v>
      </c>
      <c r="J427" s="1862">
        <v>68405.630526090012</v>
      </c>
      <c r="K427" s="1862"/>
      <c r="L427" s="1862">
        <f t="shared" si="34"/>
        <v>9595.3694739099883</v>
      </c>
      <c r="M427" s="1862">
        <f>M426+Tabla1[[#This Row],[Desbalance
TPL]]</f>
        <v>-277982.98324970657</v>
      </c>
    </row>
    <row r="428" spans="2:13" x14ac:dyDescent="0.25">
      <c r="B428" s="1859">
        <f t="shared" si="35"/>
        <v>2014</v>
      </c>
      <c r="C428" s="1859">
        <f t="shared" si="36"/>
        <v>9</v>
      </c>
      <c r="D428" s="1860">
        <f t="shared" si="37"/>
        <v>41887</v>
      </c>
      <c r="E428" s="1861">
        <v>41887</v>
      </c>
      <c r="F428" s="1862">
        <f t="shared" si="33"/>
        <v>0</v>
      </c>
      <c r="G428" s="1862">
        <v>81964</v>
      </c>
      <c r="H428" s="1862">
        <v>81964</v>
      </c>
      <c r="I428" s="1862">
        <f>Tabla1[[#This Row],[Extraccion
Norte II]]+Tabla1[[#This Row],[Extraccion
ENO]]</f>
        <v>64438.323586575476</v>
      </c>
      <c r="J428" s="1862">
        <v>64438.323586575476</v>
      </c>
      <c r="K428" s="1862"/>
      <c r="L428" s="1862">
        <f t="shared" si="34"/>
        <v>17525.676413424524</v>
      </c>
      <c r="M428" s="1862">
        <f>M427+Tabla1[[#This Row],[Desbalance
TPL]]</f>
        <v>-260457.30683628205</v>
      </c>
    </row>
    <row r="429" spans="2:13" x14ac:dyDescent="0.25">
      <c r="B429" s="1859">
        <f t="shared" si="35"/>
        <v>2014</v>
      </c>
      <c r="C429" s="1859">
        <f t="shared" si="36"/>
        <v>9</v>
      </c>
      <c r="D429" s="1860">
        <f t="shared" si="37"/>
        <v>41888</v>
      </c>
      <c r="E429" s="1861">
        <v>41888</v>
      </c>
      <c r="F429" s="1862">
        <f t="shared" si="33"/>
        <v>0</v>
      </c>
      <c r="G429" s="1862">
        <v>74999</v>
      </c>
      <c r="H429" s="1862">
        <v>74999</v>
      </c>
      <c r="I429" s="1862">
        <f>Tabla1[[#This Row],[Extraccion
Norte II]]+Tabla1[[#This Row],[Extraccion
ENO]]</f>
        <v>60176.738423953124</v>
      </c>
      <c r="J429" s="1862">
        <v>60176.738423953124</v>
      </c>
      <c r="K429" s="1862"/>
      <c r="L429" s="1862">
        <f t="shared" si="34"/>
        <v>14822.261576046876</v>
      </c>
      <c r="M429" s="1862">
        <f>M428+Tabla1[[#This Row],[Desbalance
TPL]]</f>
        <v>-245635.04526023517</v>
      </c>
    </row>
    <row r="430" spans="2:13" x14ac:dyDescent="0.25">
      <c r="B430" s="1859">
        <f t="shared" si="35"/>
        <v>2014</v>
      </c>
      <c r="C430" s="1859">
        <f t="shared" si="36"/>
        <v>9</v>
      </c>
      <c r="D430" s="1860">
        <f t="shared" si="37"/>
        <v>41889</v>
      </c>
      <c r="E430" s="1861">
        <v>41889</v>
      </c>
      <c r="F430" s="1862">
        <f t="shared" si="33"/>
        <v>0</v>
      </c>
      <c r="G430" s="1862">
        <v>74999</v>
      </c>
      <c r="H430" s="1862">
        <v>74999</v>
      </c>
      <c r="I430" s="1862">
        <f>Tabla1[[#This Row],[Extraccion
Norte II]]+Tabla1[[#This Row],[Extraccion
ENO]]</f>
        <v>61709.758373249999</v>
      </c>
      <c r="J430" s="1862">
        <v>61709.758373249999</v>
      </c>
      <c r="K430" s="1862"/>
      <c r="L430" s="1862">
        <f t="shared" si="34"/>
        <v>13289.241626750001</v>
      </c>
      <c r="M430" s="1862">
        <f>M429+Tabla1[[#This Row],[Desbalance
TPL]]</f>
        <v>-232345.80363348516</v>
      </c>
    </row>
    <row r="431" spans="2:13" x14ac:dyDescent="0.25">
      <c r="B431" s="1859">
        <f t="shared" si="35"/>
        <v>2014</v>
      </c>
      <c r="C431" s="1859">
        <f t="shared" si="36"/>
        <v>9</v>
      </c>
      <c r="D431" s="1860">
        <f t="shared" si="37"/>
        <v>41890</v>
      </c>
      <c r="E431" s="1861">
        <v>41890</v>
      </c>
      <c r="F431" s="1862">
        <f t="shared" si="33"/>
        <v>0</v>
      </c>
      <c r="G431" s="1862">
        <v>73789</v>
      </c>
      <c r="H431" s="1862">
        <v>73789</v>
      </c>
      <c r="I431" s="1862">
        <f>Tabla1[[#This Row],[Extraccion
Norte II]]+Tabla1[[#This Row],[Extraccion
ENO]]</f>
        <v>66752.751416130006</v>
      </c>
      <c r="J431" s="1862">
        <v>66752.751416130006</v>
      </c>
      <c r="K431" s="1862"/>
      <c r="L431" s="1862">
        <f t="shared" si="34"/>
        <v>7036.248583869994</v>
      </c>
      <c r="M431" s="1862">
        <f>M430+Tabla1[[#This Row],[Desbalance
TPL]]</f>
        <v>-225309.55504961516</v>
      </c>
    </row>
    <row r="432" spans="2:13" x14ac:dyDescent="0.25">
      <c r="B432" s="1859">
        <f t="shared" si="35"/>
        <v>2014</v>
      </c>
      <c r="C432" s="1859">
        <f t="shared" si="36"/>
        <v>9</v>
      </c>
      <c r="D432" s="1860">
        <f t="shared" si="37"/>
        <v>41891</v>
      </c>
      <c r="E432" s="1861">
        <v>41891</v>
      </c>
      <c r="F432" s="1862">
        <f t="shared" si="33"/>
        <v>0</v>
      </c>
      <c r="G432" s="1862">
        <v>82999</v>
      </c>
      <c r="H432" s="1862">
        <v>82999</v>
      </c>
      <c r="I432" s="1862">
        <f>Tabla1[[#This Row],[Extraccion
Norte II]]+Tabla1[[#This Row],[Extraccion
ENO]]</f>
        <v>68434.586335440006</v>
      </c>
      <c r="J432" s="1862">
        <v>68434.586335440006</v>
      </c>
      <c r="K432" s="1862"/>
      <c r="L432" s="1862">
        <f t="shared" si="34"/>
        <v>14564.413664559994</v>
      </c>
      <c r="M432" s="1862">
        <f>M431+Tabla1[[#This Row],[Desbalance
TPL]]</f>
        <v>-210745.14138505515</v>
      </c>
    </row>
    <row r="433" spans="2:13" x14ac:dyDescent="0.25">
      <c r="B433" s="1859">
        <f t="shared" si="35"/>
        <v>2014</v>
      </c>
      <c r="C433" s="1859">
        <f t="shared" si="36"/>
        <v>9</v>
      </c>
      <c r="D433" s="1860">
        <f t="shared" si="37"/>
        <v>41892</v>
      </c>
      <c r="E433" s="1861">
        <v>41892</v>
      </c>
      <c r="F433" s="1862">
        <f t="shared" si="33"/>
        <v>0</v>
      </c>
      <c r="G433" s="1862">
        <v>83000</v>
      </c>
      <c r="H433" s="1862">
        <v>83000</v>
      </c>
      <c r="I433" s="1862">
        <f>Tabla1[[#This Row],[Extraccion
Norte II]]+Tabla1[[#This Row],[Extraccion
ENO]]</f>
        <v>70122.563108909992</v>
      </c>
      <c r="J433" s="1862">
        <v>70122.563108909992</v>
      </c>
      <c r="K433" s="1862"/>
      <c r="L433" s="1862">
        <f t="shared" si="34"/>
        <v>12877.436891090008</v>
      </c>
      <c r="M433" s="1862">
        <f>M432+Tabla1[[#This Row],[Desbalance
TPL]]</f>
        <v>-197867.70449396514</v>
      </c>
    </row>
    <row r="434" spans="2:13" x14ac:dyDescent="0.25">
      <c r="B434" s="1859">
        <f t="shared" si="35"/>
        <v>2014</v>
      </c>
      <c r="C434" s="1859">
        <f t="shared" si="36"/>
        <v>9</v>
      </c>
      <c r="D434" s="1860">
        <f t="shared" si="37"/>
        <v>41893</v>
      </c>
      <c r="E434" s="1861">
        <v>41893</v>
      </c>
      <c r="F434" s="1862">
        <f t="shared" si="33"/>
        <v>0</v>
      </c>
      <c r="G434" s="1862">
        <v>83000</v>
      </c>
      <c r="H434" s="1862">
        <v>83000</v>
      </c>
      <c r="I434" s="1862">
        <f>Tabla1[[#This Row],[Extraccion
Norte II]]+Tabla1[[#This Row],[Extraccion
ENO]]</f>
        <v>69331.894167510007</v>
      </c>
      <c r="J434" s="1862">
        <v>69331.894167510007</v>
      </c>
      <c r="K434" s="1862"/>
      <c r="L434" s="1862">
        <f t="shared" si="34"/>
        <v>13668.105832489993</v>
      </c>
      <c r="M434" s="1862">
        <f>M433+Tabla1[[#This Row],[Desbalance
TPL]]</f>
        <v>-184199.59866147515</v>
      </c>
    </row>
    <row r="435" spans="2:13" x14ac:dyDescent="0.25">
      <c r="B435" s="1859">
        <f t="shared" si="35"/>
        <v>2014</v>
      </c>
      <c r="C435" s="1859">
        <f t="shared" si="36"/>
        <v>9</v>
      </c>
      <c r="D435" s="1860">
        <f t="shared" si="37"/>
        <v>41894</v>
      </c>
      <c r="E435" s="1861">
        <v>41894</v>
      </c>
      <c r="F435" s="1862">
        <f t="shared" si="33"/>
        <v>0</v>
      </c>
      <c r="G435" s="1862">
        <v>83883</v>
      </c>
      <c r="H435" s="1862">
        <v>83883</v>
      </c>
      <c r="I435" s="1862">
        <f>Tabla1[[#This Row],[Extraccion
Norte II]]+Tabla1[[#This Row],[Extraccion
ENO]]</f>
        <v>68294.565330030004</v>
      </c>
      <c r="J435" s="1862">
        <v>68294.565330030004</v>
      </c>
      <c r="K435" s="1862"/>
      <c r="L435" s="1862">
        <f t="shared" si="34"/>
        <v>15588.434669969996</v>
      </c>
      <c r="M435" s="1862">
        <f>M434+Tabla1[[#This Row],[Desbalance
TPL]]</f>
        <v>-168611.16399150516</v>
      </c>
    </row>
    <row r="436" spans="2:13" x14ac:dyDescent="0.25">
      <c r="B436" s="1859">
        <f t="shared" si="35"/>
        <v>2014</v>
      </c>
      <c r="C436" s="1859">
        <f t="shared" si="36"/>
        <v>9</v>
      </c>
      <c r="D436" s="1860">
        <f t="shared" si="37"/>
        <v>41895</v>
      </c>
      <c r="E436" s="1861">
        <v>41895</v>
      </c>
      <c r="F436" s="1862">
        <f t="shared" si="33"/>
        <v>-3</v>
      </c>
      <c r="G436" s="1862">
        <v>74975</v>
      </c>
      <c r="H436" s="1862">
        <v>74978</v>
      </c>
      <c r="I436" s="1862">
        <f>Tabla1[[#This Row],[Extraccion
Norte II]]+Tabla1[[#This Row],[Extraccion
ENO]]</f>
        <v>65406.159369720008</v>
      </c>
      <c r="J436" s="1862">
        <v>65406.159369720008</v>
      </c>
      <c r="K436" s="1862"/>
      <c r="L436" s="1862">
        <f t="shared" si="34"/>
        <v>9571.8406302799922</v>
      </c>
      <c r="M436" s="1862">
        <f>M435+Tabla1[[#This Row],[Desbalance
TPL]]</f>
        <v>-159039.32336122516</v>
      </c>
    </row>
    <row r="437" spans="2:13" x14ac:dyDescent="0.25">
      <c r="B437" s="1859">
        <f t="shared" si="35"/>
        <v>2014</v>
      </c>
      <c r="C437" s="1859">
        <f t="shared" si="36"/>
        <v>9</v>
      </c>
      <c r="D437" s="1860">
        <f t="shared" si="37"/>
        <v>41896</v>
      </c>
      <c r="E437" s="1861">
        <v>41896</v>
      </c>
      <c r="F437" s="1862">
        <f t="shared" si="33"/>
        <v>0</v>
      </c>
      <c r="G437" s="1862">
        <v>71945</v>
      </c>
      <c r="H437" s="1862">
        <v>71945</v>
      </c>
      <c r="I437" s="1862">
        <f>Tabla1[[#This Row],[Extraccion
Norte II]]+Tabla1[[#This Row],[Extraccion
ENO]]</f>
        <v>56790.028931220004</v>
      </c>
      <c r="J437" s="1862">
        <v>56790.028931220004</v>
      </c>
      <c r="K437" s="1862"/>
      <c r="L437" s="1862">
        <f t="shared" si="34"/>
        <v>15154.971068779996</v>
      </c>
      <c r="M437" s="1862">
        <f>M436+Tabla1[[#This Row],[Desbalance
TPL]]</f>
        <v>-143884.35229244517</v>
      </c>
    </row>
    <row r="438" spans="2:13" x14ac:dyDescent="0.25">
      <c r="B438" s="1859">
        <f t="shared" si="35"/>
        <v>2014</v>
      </c>
      <c r="C438" s="1859">
        <f t="shared" si="36"/>
        <v>9</v>
      </c>
      <c r="D438" s="1860">
        <f t="shared" si="37"/>
        <v>41897</v>
      </c>
      <c r="E438" s="1861">
        <v>41897</v>
      </c>
      <c r="F438" s="1862">
        <f t="shared" si="33"/>
        <v>0</v>
      </c>
      <c r="G438" s="1862">
        <v>73713</v>
      </c>
      <c r="H438" s="1862">
        <v>73713</v>
      </c>
      <c r="I438" s="1862">
        <f>Tabla1[[#This Row],[Extraccion
Norte II]]+Tabla1[[#This Row],[Extraccion
ENO]]</f>
        <v>51789.109484970002</v>
      </c>
      <c r="J438" s="1862">
        <v>51789.109484970002</v>
      </c>
      <c r="K438" s="1862"/>
      <c r="L438" s="1862">
        <f t="shared" si="34"/>
        <v>21923.890515029998</v>
      </c>
      <c r="M438" s="1862">
        <f>M437+Tabla1[[#This Row],[Desbalance
TPL]]</f>
        <v>-121960.46177741517</v>
      </c>
    </row>
    <row r="439" spans="2:13" x14ac:dyDescent="0.25">
      <c r="B439" s="1859">
        <f t="shared" si="35"/>
        <v>2014</v>
      </c>
      <c r="C439" s="1859">
        <f t="shared" si="36"/>
        <v>9</v>
      </c>
      <c r="D439" s="1860">
        <f t="shared" si="37"/>
        <v>41898</v>
      </c>
      <c r="E439" s="1861">
        <v>41898</v>
      </c>
      <c r="F439" s="1862">
        <f t="shared" si="33"/>
        <v>0</v>
      </c>
      <c r="G439" s="1862">
        <v>70001</v>
      </c>
      <c r="H439" s="1862">
        <v>70001</v>
      </c>
      <c r="I439" s="1862">
        <f>Tabla1[[#This Row],[Extraccion
Norte II]]+Tabla1[[#This Row],[Extraccion
ENO]]</f>
        <v>62616.155770350008</v>
      </c>
      <c r="J439" s="1862">
        <v>62616.155770350008</v>
      </c>
      <c r="K439" s="1862"/>
      <c r="L439" s="1862">
        <f t="shared" si="34"/>
        <v>7384.8442296499925</v>
      </c>
      <c r="M439" s="1862">
        <f>M438+Tabla1[[#This Row],[Desbalance
TPL]]</f>
        <v>-114575.61754776517</v>
      </c>
    </row>
    <row r="440" spans="2:13" x14ac:dyDescent="0.25">
      <c r="B440" s="1859">
        <f t="shared" si="35"/>
        <v>2014</v>
      </c>
      <c r="C440" s="1859">
        <f t="shared" si="36"/>
        <v>9</v>
      </c>
      <c r="D440" s="1860">
        <f t="shared" si="37"/>
        <v>41899</v>
      </c>
      <c r="E440" s="1861">
        <v>41899</v>
      </c>
      <c r="F440" s="1862">
        <f t="shared" si="33"/>
        <v>0</v>
      </c>
      <c r="G440" s="1862">
        <v>84001</v>
      </c>
      <c r="H440" s="1862">
        <v>84001</v>
      </c>
      <c r="I440" s="1862">
        <f>Tabla1[[#This Row],[Extraccion
Norte II]]+Tabla1[[#This Row],[Extraccion
ENO]]</f>
        <v>70011.535825529994</v>
      </c>
      <c r="J440" s="1862">
        <v>70011.535825529994</v>
      </c>
      <c r="K440" s="1862"/>
      <c r="L440" s="1862">
        <f t="shared" si="34"/>
        <v>13989.464174470006</v>
      </c>
      <c r="M440" s="1862">
        <f>M439+Tabla1[[#This Row],[Desbalance
TPL]]</f>
        <v>-100586.15337329516</v>
      </c>
    </row>
    <row r="441" spans="2:13" x14ac:dyDescent="0.25">
      <c r="B441" s="1859">
        <f t="shared" si="35"/>
        <v>2014</v>
      </c>
      <c r="C441" s="1859">
        <f t="shared" si="36"/>
        <v>9</v>
      </c>
      <c r="D441" s="1860">
        <f t="shared" si="37"/>
        <v>41900</v>
      </c>
      <c r="E441" s="1861">
        <v>41900</v>
      </c>
      <c r="F441" s="1862">
        <f t="shared" si="33"/>
        <v>0</v>
      </c>
      <c r="G441" s="1862">
        <v>84001</v>
      </c>
      <c r="H441" s="1862">
        <v>84001</v>
      </c>
      <c r="I441" s="1862">
        <f>Tabla1[[#This Row],[Extraccion
Norte II]]+Tabla1[[#This Row],[Extraccion
ENO]]</f>
        <v>71072.910780299993</v>
      </c>
      <c r="J441" s="1862">
        <v>71072.910780299993</v>
      </c>
      <c r="K441" s="1862"/>
      <c r="L441" s="1862">
        <f t="shared" si="34"/>
        <v>12928.089219700007</v>
      </c>
      <c r="M441" s="1862">
        <f>M440+Tabla1[[#This Row],[Desbalance
TPL]]</f>
        <v>-87658.064153595158</v>
      </c>
    </row>
    <row r="442" spans="2:13" x14ac:dyDescent="0.25">
      <c r="B442" s="1859">
        <f t="shared" si="35"/>
        <v>2014</v>
      </c>
      <c r="C442" s="1859">
        <f t="shared" si="36"/>
        <v>9</v>
      </c>
      <c r="D442" s="1860">
        <f t="shared" si="37"/>
        <v>41901</v>
      </c>
      <c r="E442" s="1861">
        <v>41901</v>
      </c>
      <c r="F442" s="1862">
        <f t="shared" si="33"/>
        <v>0</v>
      </c>
      <c r="G442" s="1862">
        <v>88001</v>
      </c>
      <c r="H442" s="1862">
        <v>88001</v>
      </c>
      <c r="I442" s="1862">
        <f>Tabla1[[#This Row],[Extraccion
Norte II]]+Tabla1[[#This Row],[Extraccion
ENO]]</f>
        <v>70942.320554039994</v>
      </c>
      <c r="J442" s="1862">
        <v>70942.320554039994</v>
      </c>
      <c r="K442" s="1862"/>
      <c r="L442" s="1862">
        <f t="shared" si="34"/>
        <v>17058.679445960006</v>
      </c>
      <c r="M442" s="1862">
        <f>M441+Tabla1[[#This Row],[Desbalance
TPL]]</f>
        <v>-70599.384707635152</v>
      </c>
    </row>
    <row r="443" spans="2:13" x14ac:dyDescent="0.25">
      <c r="B443" s="1859">
        <f t="shared" si="35"/>
        <v>2014</v>
      </c>
      <c r="C443" s="1859">
        <f t="shared" si="36"/>
        <v>9</v>
      </c>
      <c r="D443" s="1860">
        <f t="shared" si="37"/>
        <v>41902</v>
      </c>
      <c r="E443" s="1861">
        <v>41902</v>
      </c>
      <c r="F443" s="1862">
        <f t="shared" si="33"/>
        <v>0</v>
      </c>
      <c r="G443" s="1862">
        <v>64637</v>
      </c>
      <c r="H443" s="1862">
        <v>64637</v>
      </c>
      <c r="I443" s="1862">
        <f>Tabla1[[#This Row],[Extraccion
Norte II]]+Tabla1[[#This Row],[Extraccion
ENO]]</f>
        <v>71083.554765210007</v>
      </c>
      <c r="J443" s="1862">
        <v>71083.554765210007</v>
      </c>
      <c r="K443" s="1862"/>
      <c r="L443" s="1862">
        <f t="shared" si="34"/>
        <v>-6446.5547652100067</v>
      </c>
      <c r="M443" s="1862">
        <f>M442+Tabla1[[#This Row],[Desbalance
TPL]]</f>
        <v>-77045.939472845159</v>
      </c>
    </row>
    <row r="444" spans="2:13" x14ac:dyDescent="0.25">
      <c r="B444" s="1859">
        <f t="shared" si="35"/>
        <v>2014</v>
      </c>
      <c r="C444" s="1859">
        <f t="shared" si="36"/>
        <v>9</v>
      </c>
      <c r="D444" s="1860">
        <f t="shared" si="37"/>
        <v>41903</v>
      </c>
      <c r="E444" s="1861">
        <v>41903</v>
      </c>
      <c r="F444" s="1862">
        <f t="shared" si="33"/>
        <v>-100</v>
      </c>
      <c r="G444" s="1862">
        <v>64670</v>
      </c>
      <c r="H444" s="1862">
        <v>64770</v>
      </c>
      <c r="I444" s="1862">
        <f>Tabla1[[#This Row],[Extraccion
Norte II]]+Tabla1[[#This Row],[Extraccion
ENO]]</f>
        <v>71212.476833549998</v>
      </c>
      <c r="J444" s="1862">
        <v>71212.476833549998</v>
      </c>
      <c r="K444" s="1862"/>
      <c r="L444" s="1862">
        <f t="shared" si="34"/>
        <v>-6442.4768335499975</v>
      </c>
      <c r="M444" s="1862">
        <f>M443+Tabla1[[#This Row],[Desbalance
TPL]]</f>
        <v>-83488.416306395156</v>
      </c>
    </row>
    <row r="445" spans="2:13" x14ac:dyDescent="0.25">
      <c r="B445" s="1859">
        <f t="shared" si="35"/>
        <v>2014</v>
      </c>
      <c r="C445" s="1859">
        <f t="shared" si="36"/>
        <v>9</v>
      </c>
      <c r="D445" s="1860">
        <f t="shared" si="37"/>
        <v>41904</v>
      </c>
      <c r="E445" s="1861">
        <v>41904</v>
      </c>
      <c r="F445" s="1862">
        <f t="shared" si="33"/>
        <v>0</v>
      </c>
      <c r="G445" s="1862">
        <v>75001</v>
      </c>
      <c r="H445" s="1862">
        <v>75001</v>
      </c>
      <c r="I445" s="1862">
        <f>Tabla1[[#This Row],[Extraccion
Norte II]]+Tabla1[[#This Row],[Extraccion
ENO]]</f>
        <v>70413.078497580005</v>
      </c>
      <c r="J445" s="1862">
        <v>70413.078497580005</v>
      </c>
      <c r="K445" s="1862"/>
      <c r="L445" s="1862">
        <f t="shared" si="34"/>
        <v>4587.9215024199948</v>
      </c>
      <c r="M445" s="1862">
        <f>M444+Tabla1[[#This Row],[Desbalance
TPL]]</f>
        <v>-78900.494803975162</v>
      </c>
    </row>
    <row r="446" spans="2:13" x14ac:dyDescent="0.25">
      <c r="B446" s="1859">
        <f t="shared" si="35"/>
        <v>2014</v>
      </c>
      <c r="C446" s="1859">
        <f t="shared" si="36"/>
        <v>9</v>
      </c>
      <c r="D446" s="1860">
        <f t="shared" si="37"/>
        <v>41905</v>
      </c>
      <c r="E446" s="1861">
        <v>41905</v>
      </c>
      <c r="F446" s="1862">
        <f t="shared" si="33"/>
        <v>0</v>
      </c>
      <c r="G446" s="1862">
        <v>84996</v>
      </c>
      <c r="H446" s="1862">
        <v>84996</v>
      </c>
      <c r="I446" s="1862">
        <f>Tabla1[[#This Row],[Extraccion
Norte II]]+Tabla1[[#This Row],[Extraccion
ENO]]</f>
        <v>69799.329077400005</v>
      </c>
      <c r="J446" s="1862">
        <v>69799.329077400005</v>
      </c>
      <c r="K446" s="1862"/>
      <c r="L446" s="1862">
        <f t="shared" si="34"/>
        <v>15196.670922599995</v>
      </c>
      <c r="M446" s="1862">
        <f>M445+Tabla1[[#This Row],[Desbalance
TPL]]</f>
        <v>-63703.823881375167</v>
      </c>
    </row>
    <row r="447" spans="2:13" x14ac:dyDescent="0.25">
      <c r="B447" s="1859">
        <f t="shared" si="35"/>
        <v>2014</v>
      </c>
      <c r="C447" s="1859">
        <f t="shared" si="36"/>
        <v>9</v>
      </c>
      <c r="D447" s="1860">
        <f t="shared" si="37"/>
        <v>41906</v>
      </c>
      <c r="E447" s="1861">
        <v>41906</v>
      </c>
      <c r="F447" s="1862">
        <f t="shared" si="33"/>
        <v>0</v>
      </c>
      <c r="G447" s="1862">
        <v>70423</v>
      </c>
      <c r="H447" s="1862">
        <v>70423</v>
      </c>
      <c r="I447" s="1862">
        <f>Tabla1[[#This Row],[Extraccion
Norte II]]+Tabla1[[#This Row],[Extraccion
ENO]]</f>
        <v>68058.919067490002</v>
      </c>
      <c r="J447" s="1862">
        <v>68058.919067490002</v>
      </c>
      <c r="K447" s="1862"/>
      <c r="L447" s="1862">
        <f t="shared" si="34"/>
        <v>2364.0809325099981</v>
      </c>
      <c r="M447" s="1862">
        <f>M446+Tabla1[[#This Row],[Desbalance
TPL]]</f>
        <v>-61339.742948865169</v>
      </c>
    </row>
    <row r="448" spans="2:13" x14ac:dyDescent="0.25">
      <c r="B448" s="1859">
        <f t="shared" si="35"/>
        <v>2014</v>
      </c>
      <c r="C448" s="1859">
        <f t="shared" si="36"/>
        <v>9</v>
      </c>
      <c r="D448" s="1860">
        <f t="shared" si="37"/>
        <v>41907</v>
      </c>
      <c r="E448" s="1861">
        <v>41907</v>
      </c>
      <c r="F448" s="1862">
        <f t="shared" si="33"/>
        <v>0</v>
      </c>
      <c r="G448" s="1862">
        <v>70001</v>
      </c>
      <c r="H448" s="1862">
        <v>70001</v>
      </c>
      <c r="I448" s="1862">
        <f>Tabla1[[#This Row],[Extraccion
Norte II]]+Tabla1[[#This Row],[Extraccion
ENO]]</f>
        <v>69414.866067690004</v>
      </c>
      <c r="J448" s="1862">
        <v>69414.866067690004</v>
      </c>
      <c r="K448" s="1862"/>
      <c r="L448" s="1862">
        <f t="shared" si="34"/>
        <v>586.13393230999645</v>
      </c>
      <c r="M448" s="1862">
        <f>M447+Tabla1[[#This Row],[Desbalance
TPL]]</f>
        <v>-60753.609016555172</v>
      </c>
    </row>
    <row r="449" spans="2:13" x14ac:dyDescent="0.25">
      <c r="B449" s="1859">
        <f t="shared" si="35"/>
        <v>2014</v>
      </c>
      <c r="C449" s="1859">
        <f t="shared" si="36"/>
        <v>9</v>
      </c>
      <c r="D449" s="1860">
        <f t="shared" si="37"/>
        <v>41908</v>
      </c>
      <c r="E449" s="1861">
        <v>41908</v>
      </c>
      <c r="F449" s="1862">
        <f t="shared" si="33"/>
        <v>0</v>
      </c>
      <c r="G449" s="1862">
        <v>70001</v>
      </c>
      <c r="H449" s="1862">
        <v>70001</v>
      </c>
      <c r="I449" s="1862">
        <f>Tabla1[[#This Row],[Extraccion
Norte II]]+Tabla1[[#This Row],[Extraccion
ENO]]</f>
        <v>69946.098539850005</v>
      </c>
      <c r="J449" s="1862">
        <v>69946.098539850005</v>
      </c>
      <c r="K449" s="1862"/>
      <c r="L449" s="1862">
        <f t="shared" si="34"/>
        <v>54.901460149994818</v>
      </c>
      <c r="M449" s="1862">
        <f>M448+Tabla1[[#This Row],[Desbalance
TPL]]</f>
        <v>-60698.707556405177</v>
      </c>
    </row>
    <row r="450" spans="2:13" x14ac:dyDescent="0.25">
      <c r="B450" s="1859">
        <f t="shared" si="35"/>
        <v>2014</v>
      </c>
      <c r="C450" s="1859">
        <f t="shared" si="36"/>
        <v>9</v>
      </c>
      <c r="D450" s="1860">
        <f t="shared" si="37"/>
        <v>41909</v>
      </c>
      <c r="E450" s="1861">
        <v>41909</v>
      </c>
      <c r="F450" s="1862">
        <f t="shared" si="33"/>
        <v>0</v>
      </c>
      <c r="G450" s="1862">
        <v>70001</v>
      </c>
      <c r="H450" s="1862">
        <v>70001</v>
      </c>
      <c r="I450" s="1862">
        <f>Tabla1[[#This Row],[Extraccion
Norte II]]+Tabla1[[#This Row],[Extraccion
ENO]]</f>
        <v>70914.57795045001</v>
      </c>
      <c r="J450" s="1862">
        <v>70914.57795045001</v>
      </c>
      <c r="K450" s="1862"/>
      <c r="L450" s="1862">
        <f t="shared" si="34"/>
        <v>-913.57795045000967</v>
      </c>
      <c r="M450" s="1862">
        <f>M449+Tabla1[[#This Row],[Desbalance
TPL]]</f>
        <v>-61612.285506855187</v>
      </c>
    </row>
    <row r="451" spans="2:13" x14ac:dyDescent="0.25">
      <c r="B451" s="1859">
        <f t="shared" si="35"/>
        <v>2014</v>
      </c>
      <c r="C451" s="1859">
        <f t="shared" si="36"/>
        <v>9</v>
      </c>
      <c r="D451" s="1860">
        <f t="shared" si="37"/>
        <v>41910</v>
      </c>
      <c r="E451" s="1861">
        <v>41910</v>
      </c>
      <c r="F451" s="1862">
        <f t="shared" si="33"/>
        <v>0</v>
      </c>
      <c r="G451" s="1862">
        <v>70001</v>
      </c>
      <c r="H451" s="1862">
        <v>70001</v>
      </c>
      <c r="I451" s="1862">
        <f>Tabla1[[#This Row],[Extraccion
Norte II]]+Tabla1[[#This Row],[Extraccion
ENO]]</f>
        <v>68786.321224140003</v>
      </c>
      <c r="J451" s="1862">
        <v>68786.321224140003</v>
      </c>
      <c r="K451" s="1862"/>
      <c r="L451" s="1862">
        <f t="shared" si="34"/>
        <v>1214.6787758599967</v>
      </c>
      <c r="M451" s="1862">
        <f>M450+Tabla1[[#This Row],[Desbalance
TPL]]</f>
        <v>-60397.60673099519</v>
      </c>
    </row>
    <row r="452" spans="2:13" x14ac:dyDescent="0.25">
      <c r="B452" s="1859">
        <f t="shared" si="35"/>
        <v>2014</v>
      </c>
      <c r="C452" s="1859">
        <f t="shared" si="36"/>
        <v>9</v>
      </c>
      <c r="D452" s="1860">
        <f t="shared" si="37"/>
        <v>41911</v>
      </c>
      <c r="E452" s="1861">
        <v>41911</v>
      </c>
      <c r="F452" s="1862">
        <f t="shared" si="33"/>
        <v>0</v>
      </c>
      <c r="G452" s="1862">
        <v>70001</v>
      </c>
      <c r="H452" s="1862">
        <v>70001</v>
      </c>
      <c r="I452" s="1862">
        <f>Tabla1[[#This Row],[Extraccion
Norte II]]+Tabla1[[#This Row],[Extraccion
ENO]]</f>
        <v>70446.090963690003</v>
      </c>
      <c r="J452" s="1862">
        <v>70446.090963690003</v>
      </c>
      <c r="K452" s="1862"/>
      <c r="L452" s="1862">
        <f t="shared" si="34"/>
        <v>-445.09096369000326</v>
      </c>
      <c r="M452" s="1862">
        <f>M451+Tabla1[[#This Row],[Desbalance
TPL]]</f>
        <v>-60842.697694685194</v>
      </c>
    </row>
    <row r="453" spans="2:13" x14ac:dyDescent="0.25">
      <c r="B453" s="1859">
        <f t="shared" si="35"/>
        <v>2014</v>
      </c>
      <c r="C453" s="1859">
        <f t="shared" si="36"/>
        <v>9</v>
      </c>
      <c r="D453" s="1860">
        <f t="shared" si="37"/>
        <v>41912</v>
      </c>
      <c r="E453" s="1861">
        <v>41912</v>
      </c>
      <c r="F453" s="1862">
        <f t="shared" si="33"/>
        <v>0</v>
      </c>
      <c r="G453" s="1862">
        <v>75001</v>
      </c>
      <c r="H453" s="1862">
        <v>75001</v>
      </c>
      <c r="I453" s="1862">
        <f>Tabla1[[#This Row],[Extraccion
Norte II]]+Tabla1[[#This Row],[Extraccion
ENO]]</f>
        <v>69308.255611529996</v>
      </c>
      <c r="J453" s="1862">
        <v>69308.255611529996</v>
      </c>
      <c r="K453" s="1862"/>
      <c r="L453" s="1862">
        <f t="shared" si="34"/>
        <v>5692.7443884700042</v>
      </c>
      <c r="M453" s="1862">
        <f>M452+Tabla1[[#This Row],[Desbalance
TPL]]</f>
        <v>-55149.95330621519</v>
      </c>
    </row>
    <row r="454" spans="2:13" x14ac:dyDescent="0.25">
      <c r="B454" s="1859">
        <f t="shared" si="35"/>
        <v>2014</v>
      </c>
      <c r="C454" s="1859">
        <f t="shared" si="36"/>
        <v>10</v>
      </c>
      <c r="D454" s="1860">
        <f t="shared" si="37"/>
        <v>41913</v>
      </c>
      <c r="E454" s="1861">
        <v>41913</v>
      </c>
      <c r="F454" s="1862">
        <f t="shared" si="33"/>
        <v>0</v>
      </c>
      <c r="G454" s="1862">
        <v>74230</v>
      </c>
      <c r="H454" s="1862">
        <v>74230</v>
      </c>
      <c r="I454" s="1862">
        <f>Tabla1[[#This Row],[Extraccion
Norte II]]+Tabla1[[#This Row],[Extraccion
ENO]]</f>
        <v>69932.829101850002</v>
      </c>
      <c r="J454" s="1862">
        <v>69932.829101850002</v>
      </c>
      <c r="K454" s="1862"/>
      <c r="L454" s="1862">
        <f t="shared" si="34"/>
        <v>4297.1708981499978</v>
      </c>
      <c r="M454" s="1862">
        <f>M453+Tabla1[[#This Row],[Desbalance
TPL]]</f>
        <v>-50852.782408065192</v>
      </c>
    </row>
    <row r="455" spans="2:13" x14ac:dyDescent="0.25">
      <c r="B455" s="1859">
        <f t="shared" si="35"/>
        <v>2014</v>
      </c>
      <c r="C455" s="1859">
        <f t="shared" si="36"/>
        <v>10</v>
      </c>
      <c r="D455" s="1860">
        <f t="shared" si="37"/>
        <v>41914</v>
      </c>
      <c r="E455" s="1861">
        <v>41914</v>
      </c>
      <c r="F455" s="1862">
        <f t="shared" si="33"/>
        <v>0</v>
      </c>
      <c r="G455" s="1862">
        <v>75000</v>
      </c>
      <c r="H455" s="1862">
        <v>75000</v>
      </c>
      <c r="I455" s="1862">
        <f>Tabla1[[#This Row],[Extraccion
Norte II]]+Tabla1[[#This Row],[Extraccion
ENO]]</f>
        <v>72311.290559820001</v>
      </c>
      <c r="J455" s="1862">
        <v>72311.290559820001</v>
      </c>
      <c r="K455" s="1862"/>
      <c r="L455" s="1862">
        <f t="shared" si="34"/>
        <v>2688.7094401799986</v>
      </c>
      <c r="M455" s="1862">
        <f>M454+Tabla1[[#This Row],[Desbalance
TPL]]</f>
        <v>-48164.072967885193</v>
      </c>
    </row>
    <row r="456" spans="2:13" x14ac:dyDescent="0.25">
      <c r="B456" s="1859">
        <f t="shared" si="35"/>
        <v>2014</v>
      </c>
      <c r="C456" s="1859">
        <f t="shared" si="36"/>
        <v>10</v>
      </c>
      <c r="D456" s="1860">
        <f t="shared" si="37"/>
        <v>41915</v>
      </c>
      <c r="E456" s="1861">
        <v>41915</v>
      </c>
      <c r="F456" s="1862">
        <f t="shared" si="33"/>
        <v>0</v>
      </c>
      <c r="G456" s="1862">
        <v>75000</v>
      </c>
      <c r="H456" s="1862">
        <v>75000</v>
      </c>
      <c r="I456" s="1862">
        <f>Tabla1[[#This Row],[Extraccion
Norte II]]+Tabla1[[#This Row],[Extraccion
ENO]]</f>
        <v>68279.239129139998</v>
      </c>
      <c r="J456" s="1862">
        <v>68279.239129139998</v>
      </c>
      <c r="K456" s="1862"/>
      <c r="L456" s="1862">
        <f t="shared" si="34"/>
        <v>6720.7608708600019</v>
      </c>
      <c r="M456" s="1862">
        <f>M455+Tabla1[[#This Row],[Desbalance
TPL]]</f>
        <v>-41443.312097025191</v>
      </c>
    </row>
    <row r="457" spans="2:13" x14ac:dyDescent="0.25">
      <c r="B457" s="1859">
        <f t="shared" si="35"/>
        <v>2014</v>
      </c>
      <c r="C457" s="1859">
        <f t="shared" si="36"/>
        <v>10</v>
      </c>
      <c r="D457" s="1860">
        <f t="shared" si="37"/>
        <v>41916</v>
      </c>
      <c r="E457" s="1861">
        <v>41916</v>
      </c>
      <c r="F457" s="1862">
        <f t="shared" si="33"/>
        <v>0</v>
      </c>
      <c r="G457" s="1862">
        <v>67983</v>
      </c>
      <c r="H457" s="1862">
        <v>67983</v>
      </c>
      <c r="I457" s="1862">
        <f>Tabla1[[#This Row],[Extraccion
Norte II]]+Tabla1[[#This Row],[Extraccion
ENO]]</f>
        <v>61727.890112460002</v>
      </c>
      <c r="J457" s="1862">
        <v>61727.890112460002</v>
      </c>
      <c r="K457" s="1862"/>
      <c r="L457" s="1862">
        <f t="shared" si="34"/>
        <v>6255.1098875399985</v>
      </c>
      <c r="M457" s="1862">
        <f>M456+Tabla1[[#This Row],[Desbalance
TPL]]</f>
        <v>-35188.202209485193</v>
      </c>
    </row>
    <row r="458" spans="2:13" x14ac:dyDescent="0.25">
      <c r="B458" s="1859">
        <f t="shared" si="35"/>
        <v>2014</v>
      </c>
      <c r="C458" s="1859">
        <f t="shared" si="36"/>
        <v>10</v>
      </c>
      <c r="D458" s="1860">
        <f t="shared" si="37"/>
        <v>41917</v>
      </c>
      <c r="E458" s="1861">
        <v>41917</v>
      </c>
      <c r="F458" s="1862">
        <f t="shared" si="33"/>
        <v>0</v>
      </c>
      <c r="G458" s="1862">
        <v>67983</v>
      </c>
      <c r="H458" s="1862">
        <v>67983</v>
      </c>
      <c r="I458" s="1862">
        <f>Tabla1[[#This Row],[Extraccion
Norte II]]+Tabla1[[#This Row],[Extraccion
ENO]]</f>
        <v>61933.368307706995</v>
      </c>
      <c r="J458" s="1862">
        <v>61933.368307706995</v>
      </c>
      <c r="K458" s="1862"/>
      <c r="L458" s="1862">
        <f t="shared" si="34"/>
        <v>6049.6316922930055</v>
      </c>
      <c r="M458" s="1862">
        <f>M457+Tabla1[[#This Row],[Desbalance
TPL]]</f>
        <v>-29138.570517192187</v>
      </c>
    </row>
    <row r="459" spans="2:13" x14ac:dyDescent="0.25">
      <c r="B459" s="1859">
        <f t="shared" si="35"/>
        <v>2014</v>
      </c>
      <c r="C459" s="1859">
        <f t="shared" si="36"/>
        <v>10</v>
      </c>
      <c r="D459" s="1860">
        <f t="shared" si="37"/>
        <v>41918</v>
      </c>
      <c r="E459" s="1861">
        <v>41918</v>
      </c>
      <c r="F459" s="1862">
        <f t="shared" si="33"/>
        <v>0</v>
      </c>
      <c r="G459" s="1862">
        <v>67723</v>
      </c>
      <c r="H459" s="1862">
        <v>67723</v>
      </c>
      <c r="I459" s="1862">
        <f>Tabla1[[#This Row],[Extraccion
Norte II]]+Tabla1[[#This Row],[Extraccion
ENO]]</f>
        <v>65706.920660160002</v>
      </c>
      <c r="J459" s="1862">
        <v>65706.920660160002</v>
      </c>
      <c r="K459" s="1862"/>
      <c r="L459" s="1862">
        <f t="shared" si="34"/>
        <v>2016.0793398399983</v>
      </c>
      <c r="M459" s="1862">
        <f>M458+Tabla1[[#This Row],[Desbalance
TPL]]</f>
        <v>-27122.491177352189</v>
      </c>
    </row>
    <row r="460" spans="2:13" x14ac:dyDescent="0.25">
      <c r="B460" s="1859">
        <f t="shared" si="35"/>
        <v>2014</v>
      </c>
      <c r="C460" s="1859">
        <f t="shared" si="36"/>
        <v>10</v>
      </c>
      <c r="D460" s="1860">
        <f t="shared" si="37"/>
        <v>41919</v>
      </c>
      <c r="E460" s="1861">
        <v>41919</v>
      </c>
      <c r="F460" s="1862">
        <f t="shared" ref="F460:F523" si="38">G460-H460</f>
        <v>0</v>
      </c>
      <c r="G460" s="1862">
        <v>75000</v>
      </c>
      <c r="H460" s="1862">
        <v>75000</v>
      </c>
      <c r="I460" s="1862">
        <f>Tabla1[[#This Row],[Extraccion
Norte II]]+Tabla1[[#This Row],[Extraccion
ENO]]</f>
        <v>65975.162349329999</v>
      </c>
      <c r="J460" s="1862">
        <v>65975.162349329999</v>
      </c>
      <c r="K460" s="1862"/>
      <c r="L460" s="1862">
        <f t="shared" ref="L460:L523" si="39">H460-I460</f>
        <v>9024.8376506700006</v>
      </c>
      <c r="M460" s="1862">
        <f>M459+Tabla1[[#This Row],[Desbalance
TPL]]</f>
        <v>-18097.653526682188</v>
      </c>
    </row>
    <row r="461" spans="2:13" x14ac:dyDescent="0.25">
      <c r="B461" s="1859">
        <f t="shared" si="35"/>
        <v>2014</v>
      </c>
      <c r="C461" s="1859">
        <f t="shared" si="36"/>
        <v>10</v>
      </c>
      <c r="D461" s="1860">
        <f t="shared" si="37"/>
        <v>41920</v>
      </c>
      <c r="E461" s="1861">
        <v>41920</v>
      </c>
      <c r="F461" s="1862">
        <f t="shared" si="38"/>
        <v>0</v>
      </c>
      <c r="G461" s="1862">
        <v>75000</v>
      </c>
      <c r="H461" s="1862">
        <v>75000</v>
      </c>
      <c r="I461" s="1862">
        <f>Tabla1[[#This Row],[Extraccion
Norte II]]+Tabla1[[#This Row],[Extraccion
ENO]]</f>
        <v>60732.758087820002</v>
      </c>
      <c r="J461" s="1862">
        <v>60732.758087820002</v>
      </c>
      <c r="K461" s="1862"/>
      <c r="L461" s="1862">
        <f t="shared" si="39"/>
        <v>14267.241912179998</v>
      </c>
      <c r="M461" s="1862">
        <f>M460+Tabla1[[#This Row],[Desbalance
TPL]]</f>
        <v>-3830.4116145021908</v>
      </c>
    </row>
    <row r="462" spans="2:13" x14ac:dyDescent="0.25">
      <c r="B462" s="1859">
        <f t="shared" si="35"/>
        <v>2014</v>
      </c>
      <c r="C462" s="1859">
        <f t="shared" si="36"/>
        <v>10</v>
      </c>
      <c r="D462" s="1860">
        <f t="shared" si="37"/>
        <v>41921</v>
      </c>
      <c r="E462" s="1861">
        <v>41921</v>
      </c>
      <c r="F462" s="1862">
        <f t="shared" si="38"/>
        <v>0</v>
      </c>
      <c r="G462" s="1862">
        <v>75000</v>
      </c>
      <c r="H462" s="1862">
        <v>75000</v>
      </c>
      <c r="I462" s="1862">
        <f>Tabla1[[#This Row],[Extraccion
Norte II]]+Tabla1[[#This Row],[Extraccion
ENO]]</f>
        <v>68890.533703289999</v>
      </c>
      <c r="J462" s="1862">
        <v>68890.533703289999</v>
      </c>
      <c r="K462" s="1862"/>
      <c r="L462" s="1862">
        <f t="shared" si="39"/>
        <v>6109.4662967100012</v>
      </c>
      <c r="M462" s="1862">
        <f>M461+Tabla1[[#This Row],[Desbalance
TPL]]</f>
        <v>2279.0546822078104</v>
      </c>
    </row>
    <row r="463" spans="2:13" x14ac:dyDescent="0.25">
      <c r="B463" s="1859">
        <f t="shared" si="35"/>
        <v>2014</v>
      </c>
      <c r="C463" s="1859">
        <f t="shared" si="36"/>
        <v>10</v>
      </c>
      <c r="D463" s="1860">
        <f t="shared" si="37"/>
        <v>41922</v>
      </c>
      <c r="E463" s="1861">
        <v>41922</v>
      </c>
      <c r="F463" s="1862">
        <f t="shared" si="38"/>
        <v>0</v>
      </c>
      <c r="G463" s="1862">
        <v>70000</v>
      </c>
      <c r="H463" s="1862">
        <v>70000</v>
      </c>
      <c r="I463" s="1862">
        <f>Tabla1[[#This Row],[Extraccion
Norte II]]+Tabla1[[#This Row],[Extraccion
ENO]]</f>
        <v>70175.574513719999</v>
      </c>
      <c r="J463" s="1862">
        <v>70175.574513719999</v>
      </c>
      <c r="K463" s="1862"/>
      <c r="L463" s="1862">
        <f t="shared" si="39"/>
        <v>-175.57451371999923</v>
      </c>
      <c r="M463" s="1862">
        <f>M462+Tabla1[[#This Row],[Desbalance
TPL]]</f>
        <v>2103.4801684878112</v>
      </c>
    </row>
    <row r="464" spans="2:13" x14ac:dyDescent="0.25">
      <c r="B464" s="1859">
        <f t="shared" si="35"/>
        <v>2014</v>
      </c>
      <c r="C464" s="1859">
        <f t="shared" si="36"/>
        <v>10</v>
      </c>
      <c r="D464" s="1860">
        <f t="shared" si="37"/>
        <v>41923</v>
      </c>
      <c r="E464" s="1861">
        <v>41923</v>
      </c>
      <c r="F464" s="1862">
        <f t="shared" si="38"/>
        <v>0</v>
      </c>
      <c r="G464" s="1862">
        <v>68000</v>
      </c>
      <c r="H464" s="1862">
        <v>68000</v>
      </c>
      <c r="I464" s="1862">
        <f>Tabla1[[#This Row],[Extraccion
Norte II]]+Tabla1[[#This Row],[Extraccion
ENO]]</f>
        <v>68160.942089370001</v>
      </c>
      <c r="J464" s="1862">
        <v>68160.942089370001</v>
      </c>
      <c r="K464" s="1862"/>
      <c r="L464" s="1862">
        <f t="shared" si="39"/>
        <v>-160.94208937000076</v>
      </c>
      <c r="M464" s="1862">
        <f>M463+Tabla1[[#This Row],[Desbalance
TPL]]</f>
        <v>1942.5380791178104</v>
      </c>
    </row>
    <row r="465" spans="2:13" x14ac:dyDescent="0.25">
      <c r="B465" s="1859">
        <f t="shared" si="35"/>
        <v>2014</v>
      </c>
      <c r="C465" s="1859">
        <f t="shared" si="36"/>
        <v>10</v>
      </c>
      <c r="D465" s="1860">
        <f t="shared" si="37"/>
        <v>41924</v>
      </c>
      <c r="E465" s="1861">
        <v>41924</v>
      </c>
      <c r="F465" s="1862">
        <f t="shared" si="38"/>
        <v>0</v>
      </c>
      <c r="G465" s="1862">
        <v>68000</v>
      </c>
      <c r="H465" s="1862">
        <v>68000</v>
      </c>
      <c r="I465" s="1862">
        <f>Tabla1[[#This Row],[Extraccion
Norte II]]+Tabla1[[#This Row],[Extraccion
ENO]]</f>
        <v>61582.390724790006</v>
      </c>
      <c r="J465" s="1862">
        <v>61582.390724790006</v>
      </c>
      <c r="K465" s="1862"/>
      <c r="L465" s="1862">
        <f t="shared" si="39"/>
        <v>6417.6092752099939</v>
      </c>
      <c r="M465" s="1862">
        <f>M464+Tabla1[[#This Row],[Desbalance
TPL]]</f>
        <v>8360.1473543278044</v>
      </c>
    </row>
    <row r="466" spans="2:13" x14ac:dyDescent="0.25">
      <c r="B466" s="1859">
        <f t="shared" si="35"/>
        <v>2014</v>
      </c>
      <c r="C466" s="1859">
        <f t="shared" si="36"/>
        <v>10</v>
      </c>
      <c r="D466" s="1860">
        <f t="shared" si="37"/>
        <v>41925</v>
      </c>
      <c r="E466" s="1861">
        <v>41925</v>
      </c>
      <c r="F466" s="1862">
        <f t="shared" si="38"/>
        <v>0</v>
      </c>
      <c r="G466" s="1862">
        <v>67098</v>
      </c>
      <c r="H466" s="1862">
        <v>67098</v>
      </c>
      <c r="I466" s="1862">
        <f>Tabla1[[#This Row],[Extraccion
Norte II]]+Tabla1[[#This Row],[Extraccion
ENO]]</f>
        <v>70212.160249919994</v>
      </c>
      <c r="J466" s="1862">
        <v>70212.160249919994</v>
      </c>
      <c r="K466" s="1862"/>
      <c r="L466" s="1862">
        <f t="shared" si="39"/>
        <v>-3114.1602499199944</v>
      </c>
      <c r="M466" s="1862">
        <f>M465+Tabla1[[#This Row],[Desbalance
TPL]]</f>
        <v>5245.98710440781</v>
      </c>
    </row>
    <row r="467" spans="2:13" x14ac:dyDescent="0.25">
      <c r="B467" s="1859">
        <f t="shared" si="35"/>
        <v>2014</v>
      </c>
      <c r="C467" s="1859">
        <f t="shared" si="36"/>
        <v>10</v>
      </c>
      <c r="D467" s="1860">
        <f t="shared" si="37"/>
        <v>41926</v>
      </c>
      <c r="E467" s="1861">
        <v>41926</v>
      </c>
      <c r="F467" s="1862">
        <f t="shared" si="38"/>
        <v>0</v>
      </c>
      <c r="G467" s="1862">
        <v>75000</v>
      </c>
      <c r="H467" s="1862">
        <v>75000</v>
      </c>
      <c r="I467" s="1862">
        <f>Tabla1[[#This Row],[Extraccion
Norte II]]+Tabla1[[#This Row],[Extraccion
ENO]]</f>
        <v>63952.075397340006</v>
      </c>
      <c r="J467" s="1862">
        <v>63952.075397340006</v>
      </c>
      <c r="K467" s="1862"/>
      <c r="L467" s="1862">
        <f t="shared" si="39"/>
        <v>11047.924602659994</v>
      </c>
      <c r="M467" s="1862">
        <f>M466+Tabla1[[#This Row],[Desbalance
TPL]]</f>
        <v>16293.911707067804</v>
      </c>
    </row>
    <row r="468" spans="2:13" x14ac:dyDescent="0.25">
      <c r="B468" s="1859">
        <f t="shared" si="35"/>
        <v>2014</v>
      </c>
      <c r="C468" s="1859">
        <f t="shared" si="36"/>
        <v>10</v>
      </c>
      <c r="D468" s="1860">
        <f t="shared" si="37"/>
        <v>41927</v>
      </c>
      <c r="E468" s="1861">
        <v>41927</v>
      </c>
      <c r="F468" s="1862">
        <f t="shared" si="38"/>
        <v>0</v>
      </c>
      <c r="G468" s="1862">
        <v>75000</v>
      </c>
      <c r="H468" s="1862">
        <v>75000</v>
      </c>
      <c r="I468" s="1862">
        <f>Tabla1[[#This Row],[Extraccion
Norte II]]+Tabla1[[#This Row],[Extraccion
ENO]]</f>
        <v>69056.979846660004</v>
      </c>
      <c r="J468" s="1862">
        <v>69056.979846660004</v>
      </c>
      <c r="K468" s="1862"/>
      <c r="L468" s="1862">
        <f t="shared" si="39"/>
        <v>5943.0201533399959</v>
      </c>
      <c r="M468" s="1862">
        <f>M467+Tabla1[[#This Row],[Desbalance
TPL]]</f>
        <v>22236.9318604078</v>
      </c>
    </row>
    <row r="469" spans="2:13" x14ac:dyDescent="0.25">
      <c r="B469" s="1859">
        <f t="shared" si="35"/>
        <v>2014</v>
      </c>
      <c r="C469" s="1859">
        <f t="shared" si="36"/>
        <v>10</v>
      </c>
      <c r="D469" s="1860">
        <f t="shared" si="37"/>
        <v>41928</v>
      </c>
      <c r="E469" s="1861">
        <v>41928</v>
      </c>
      <c r="F469" s="1862">
        <f t="shared" si="38"/>
        <v>0</v>
      </c>
      <c r="G469" s="1862">
        <v>75000</v>
      </c>
      <c r="H469" s="1862">
        <v>75000</v>
      </c>
      <c r="I469" s="1862">
        <f>Tabla1[[#This Row],[Extraccion
Norte II]]+Tabla1[[#This Row],[Extraccion
ENO]]</f>
        <v>68799.135709980008</v>
      </c>
      <c r="J469" s="1862">
        <v>68799.135709980008</v>
      </c>
      <c r="K469" s="1862"/>
      <c r="L469" s="1862">
        <f t="shared" si="39"/>
        <v>6200.864290019992</v>
      </c>
      <c r="M469" s="1862">
        <f>M468+Tabla1[[#This Row],[Desbalance
TPL]]</f>
        <v>28437.796150427792</v>
      </c>
    </row>
    <row r="470" spans="2:13" x14ac:dyDescent="0.25">
      <c r="B470" s="1859">
        <f t="shared" si="35"/>
        <v>2014</v>
      </c>
      <c r="C470" s="1859">
        <f t="shared" si="36"/>
        <v>10</v>
      </c>
      <c r="D470" s="1860">
        <f t="shared" si="37"/>
        <v>41929</v>
      </c>
      <c r="E470" s="1861">
        <v>41929</v>
      </c>
      <c r="F470" s="1862">
        <f t="shared" si="38"/>
        <v>0</v>
      </c>
      <c r="G470" s="1862">
        <v>55000</v>
      </c>
      <c r="H470" s="1862">
        <v>55000</v>
      </c>
      <c r="I470" s="1862">
        <f>Tabla1[[#This Row],[Extraccion
Norte II]]+Tabla1[[#This Row],[Extraccion
ENO]]</f>
        <v>71943.408660707995</v>
      </c>
      <c r="J470" s="1862">
        <v>71943.408660707995</v>
      </c>
      <c r="K470" s="1862"/>
      <c r="L470" s="1862">
        <f t="shared" si="39"/>
        <v>-16943.408660707995</v>
      </c>
      <c r="M470" s="1862">
        <f>M469+Tabla1[[#This Row],[Desbalance
TPL]]</f>
        <v>11494.387489719797</v>
      </c>
    </row>
    <row r="471" spans="2:13" x14ac:dyDescent="0.25">
      <c r="B471" s="1859">
        <f t="shared" si="35"/>
        <v>2014</v>
      </c>
      <c r="C471" s="1859">
        <f t="shared" si="36"/>
        <v>10</v>
      </c>
      <c r="D471" s="1860">
        <f t="shared" si="37"/>
        <v>41930</v>
      </c>
      <c r="E471" s="1861">
        <v>41930</v>
      </c>
      <c r="F471" s="1862">
        <f t="shared" si="38"/>
        <v>0</v>
      </c>
      <c r="G471" s="1862">
        <v>60000</v>
      </c>
      <c r="H471" s="1862">
        <v>60000</v>
      </c>
      <c r="I471" s="1862">
        <f>Tabla1[[#This Row],[Extraccion
Norte II]]+Tabla1[[#This Row],[Extraccion
ENO]]</f>
        <v>66628.33147854</v>
      </c>
      <c r="J471" s="1862">
        <v>66628.33147854</v>
      </c>
      <c r="K471" s="1862"/>
      <c r="L471" s="1862">
        <f t="shared" si="39"/>
        <v>-6628.3314785399998</v>
      </c>
      <c r="M471" s="1862">
        <f>M470+Tabla1[[#This Row],[Desbalance
TPL]]</f>
        <v>4866.0560111797968</v>
      </c>
    </row>
    <row r="472" spans="2:13" x14ac:dyDescent="0.25">
      <c r="B472" s="1859">
        <f t="shared" si="35"/>
        <v>2014</v>
      </c>
      <c r="C472" s="1859">
        <f t="shared" si="36"/>
        <v>10</v>
      </c>
      <c r="D472" s="1860">
        <f t="shared" si="37"/>
        <v>41931</v>
      </c>
      <c r="E472" s="1861">
        <v>41931</v>
      </c>
      <c r="F472" s="1862">
        <f t="shared" si="38"/>
        <v>0</v>
      </c>
      <c r="G472" s="1862">
        <v>60000</v>
      </c>
      <c r="H472" s="1862">
        <v>60000</v>
      </c>
      <c r="I472" s="1862">
        <f>Tabla1[[#This Row],[Extraccion
Norte II]]+Tabla1[[#This Row],[Extraccion
ENO]]</f>
        <v>61650.282856500002</v>
      </c>
      <c r="J472" s="1862">
        <v>61650.282856500002</v>
      </c>
      <c r="K472" s="1862"/>
      <c r="L472" s="1862">
        <f t="shared" si="39"/>
        <v>-1650.2828565000018</v>
      </c>
      <c r="M472" s="1862">
        <f>M471+Tabla1[[#This Row],[Desbalance
TPL]]</f>
        <v>3215.773154679795</v>
      </c>
    </row>
    <row r="473" spans="2:13" x14ac:dyDescent="0.25">
      <c r="B473" s="1859">
        <f t="shared" si="35"/>
        <v>2014</v>
      </c>
      <c r="C473" s="1859">
        <f t="shared" si="36"/>
        <v>10</v>
      </c>
      <c r="D473" s="1860">
        <f t="shared" si="37"/>
        <v>41932</v>
      </c>
      <c r="E473" s="1861">
        <v>41932</v>
      </c>
      <c r="F473" s="1862">
        <f t="shared" si="38"/>
        <v>0</v>
      </c>
      <c r="G473" s="1862">
        <v>60000</v>
      </c>
      <c r="H473" s="1862">
        <v>60000</v>
      </c>
      <c r="I473" s="1862">
        <f>Tabla1[[#This Row],[Extraccion
Norte II]]+Tabla1[[#This Row],[Extraccion
ENO]]</f>
        <v>68687.606083589999</v>
      </c>
      <c r="J473" s="1862">
        <v>68687.606083589999</v>
      </c>
      <c r="K473" s="1862"/>
      <c r="L473" s="1862">
        <f t="shared" si="39"/>
        <v>-8687.6060835899989</v>
      </c>
      <c r="M473" s="1862">
        <f>M472+Tabla1[[#This Row],[Desbalance
TPL]]</f>
        <v>-5471.8329289102039</v>
      </c>
    </row>
    <row r="474" spans="2:13" x14ac:dyDescent="0.25">
      <c r="B474" s="1859">
        <f t="shared" si="35"/>
        <v>2014</v>
      </c>
      <c r="C474" s="1859">
        <f t="shared" si="36"/>
        <v>10</v>
      </c>
      <c r="D474" s="1860">
        <f t="shared" si="37"/>
        <v>41933</v>
      </c>
      <c r="E474" s="1861">
        <v>41933</v>
      </c>
      <c r="F474" s="1862">
        <f t="shared" si="38"/>
        <v>0</v>
      </c>
      <c r="G474" s="1862">
        <v>70000</v>
      </c>
      <c r="H474" s="1862">
        <v>70000</v>
      </c>
      <c r="I474" s="1862">
        <f>Tabla1[[#This Row],[Extraccion
Norte II]]+Tabla1[[#This Row],[Extraccion
ENO]]</f>
        <v>65956.822090379996</v>
      </c>
      <c r="J474" s="1862">
        <v>65956.822090379996</v>
      </c>
      <c r="K474" s="1862"/>
      <c r="L474" s="1862">
        <f t="shared" si="39"/>
        <v>4043.1779096200044</v>
      </c>
      <c r="M474" s="1862">
        <f>M473+Tabla1[[#This Row],[Desbalance
TPL]]</f>
        <v>-1428.6550192901996</v>
      </c>
    </row>
    <row r="475" spans="2:13" x14ac:dyDescent="0.25">
      <c r="B475" s="1859">
        <f t="shared" si="35"/>
        <v>2014</v>
      </c>
      <c r="C475" s="1859">
        <f t="shared" si="36"/>
        <v>10</v>
      </c>
      <c r="D475" s="1860">
        <f t="shared" si="37"/>
        <v>41934</v>
      </c>
      <c r="E475" s="1861">
        <v>41934</v>
      </c>
      <c r="F475" s="1862">
        <f t="shared" si="38"/>
        <v>0</v>
      </c>
      <c r="G475" s="1862">
        <v>75000</v>
      </c>
      <c r="H475" s="1862">
        <v>75000</v>
      </c>
      <c r="I475" s="1862">
        <f>Tabla1[[#This Row],[Extraccion
Norte II]]+Tabla1[[#This Row],[Extraccion
ENO]]</f>
        <v>68220.42708429</v>
      </c>
      <c r="J475" s="1862">
        <v>68220.42708429</v>
      </c>
      <c r="K475" s="1862"/>
      <c r="L475" s="1862">
        <f t="shared" si="39"/>
        <v>6779.5729157099995</v>
      </c>
      <c r="M475" s="1862">
        <f>M474+Tabla1[[#This Row],[Desbalance
TPL]]</f>
        <v>5350.9178964197999</v>
      </c>
    </row>
    <row r="476" spans="2:13" x14ac:dyDescent="0.25">
      <c r="B476" s="1859">
        <f t="shared" ref="B476:B539" si="40">YEAR(E476)</f>
        <v>2014</v>
      </c>
      <c r="C476" s="1859">
        <f t="shared" ref="C476:C539" si="41">MONTH(E476)</f>
        <v>10</v>
      </c>
      <c r="D476" s="1860">
        <f t="shared" ref="D476:D539" si="42">E476</f>
        <v>41935</v>
      </c>
      <c r="E476" s="1861">
        <v>41935</v>
      </c>
      <c r="F476" s="1862">
        <f t="shared" si="38"/>
        <v>0</v>
      </c>
      <c r="G476" s="1862">
        <v>74973</v>
      </c>
      <c r="H476" s="1862">
        <v>74973</v>
      </c>
      <c r="I476" s="1862">
        <f>Tabla1[[#This Row],[Extraccion
Norte II]]+Tabla1[[#This Row],[Extraccion
ENO]]</f>
        <v>69201.048030659993</v>
      </c>
      <c r="J476" s="1862">
        <v>69201.048030659993</v>
      </c>
      <c r="K476" s="1862"/>
      <c r="L476" s="1862">
        <f t="shared" si="39"/>
        <v>5771.9519693400071</v>
      </c>
      <c r="M476" s="1862">
        <f>M475+Tabla1[[#This Row],[Desbalance
TPL]]</f>
        <v>11122.869865759807</v>
      </c>
    </row>
    <row r="477" spans="2:13" x14ac:dyDescent="0.25">
      <c r="B477" s="1859">
        <f t="shared" si="40"/>
        <v>2014</v>
      </c>
      <c r="C477" s="1859">
        <f t="shared" si="41"/>
        <v>10</v>
      </c>
      <c r="D477" s="1860">
        <f t="shared" si="42"/>
        <v>41936</v>
      </c>
      <c r="E477" s="1861">
        <v>41936</v>
      </c>
      <c r="F477" s="1862">
        <f t="shared" si="38"/>
        <v>0</v>
      </c>
      <c r="G477" s="1862">
        <v>70000</v>
      </c>
      <c r="H477" s="1862">
        <v>70000</v>
      </c>
      <c r="I477" s="1862">
        <f>Tabla1[[#This Row],[Extraccion
Norte II]]+Tabla1[[#This Row],[Extraccion
ENO]]</f>
        <v>69362.214833340011</v>
      </c>
      <c r="J477" s="1862">
        <v>69362.214833340011</v>
      </c>
      <c r="K477" s="1862"/>
      <c r="L477" s="1862">
        <f t="shared" si="39"/>
        <v>637.78516665998905</v>
      </c>
      <c r="M477" s="1862">
        <f>M476+Tabla1[[#This Row],[Desbalance
TPL]]</f>
        <v>11760.655032419796</v>
      </c>
    </row>
    <row r="478" spans="2:13" x14ac:dyDescent="0.25">
      <c r="B478" s="1859">
        <f t="shared" si="40"/>
        <v>2014</v>
      </c>
      <c r="C478" s="1859">
        <f t="shared" si="41"/>
        <v>10</v>
      </c>
      <c r="D478" s="1860">
        <f t="shared" si="42"/>
        <v>41937</v>
      </c>
      <c r="E478" s="1861">
        <v>41937</v>
      </c>
      <c r="F478" s="1862">
        <f t="shared" si="38"/>
        <v>0</v>
      </c>
      <c r="G478" s="1862">
        <v>64998</v>
      </c>
      <c r="H478" s="1862">
        <v>64998</v>
      </c>
      <c r="I478" s="1862">
        <f>Tabla1[[#This Row],[Extraccion
Norte II]]+Tabla1[[#This Row],[Extraccion
ENO]]</f>
        <v>62699.885924130002</v>
      </c>
      <c r="J478" s="1862">
        <v>62699.885924130002</v>
      </c>
      <c r="K478" s="1862"/>
      <c r="L478" s="1862">
        <f t="shared" si="39"/>
        <v>2298.1140758699985</v>
      </c>
      <c r="M478" s="1862">
        <f>M477+Tabla1[[#This Row],[Desbalance
TPL]]</f>
        <v>14058.769108289795</v>
      </c>
    </row>
    <row r="479" spans="2:13" x14ac:dyDescent="0.25">
      <c r="B479" s="1859">
        <f t="shared" si="40"/>
        <v>2014</v>
      </c>
      <c r="C479" s="1859">
        <f t="shared" si="41"/>
        <v>10</v>
      </c>
      <c r="D479" s="1860">
        <f t="shared" si="42"/>
        <v>41938</v>
      </c>
      <c r="E479" s="1861">
        <v>41938</v>
      </c>
      <c r="F479" s="1862">
        <f t="shared" si="38"/>
        <v>0</v>
      </c>
      <c r="G479" s="1862">
        <v>64994</v>
      </c>
      <c r="H479" s="1862">
        <v>64994</v>
      </c>
      <c r="I479" s="1862">
        <f>Tabla1[[#This Row],[Extraccion
Norte II]]+Tabla1[[#This Row],[Extraccion
ENO]]</f>
        <v>52964.468912160002</v>
      </c>
      <c r="J479" s="1862">
        <v>52964.468912160002</v>
      </c>
      <c r="K479" s="1862"/>
      <c r="L479" s="1862">
        <f t="shared" si="39"/>
        <v>12029.531087839998</v>
      </c>
      <c r="M479" s="1862">
        <f>M478+Tabla1[[#This Row],[Desbalance
TPL]]</f>
        <v>26088.300196129792</v>
      </c>
    </row>
    <row r="480" spans="2:13" x14ac:dyDescent="0.25">
      <c r="B480" s="1859">
        <f t="shared" si="40"/>
        <v>2014</v>
      </c>
      <c r="C480" s="1859">
        <f t="shared" si="41"/>
        <v>10</v>
      </c>
      <c r="D480" s="1860">
        <f t="shared" si="42"/>
        <v>41939</v>
      </c>
      <c r="E480" s="1861">
        <v>41939</v>
      </c>
      <c r="F480" s="1862">
        <f t="shared" si="38"/>
        <v>0</v>
      </c>
      <c r="G480" s="1862">
        <v>64982</v>
      </c>
      <c r="H480" s="1862">
        <v>64982</v>
      </c>
      <c r="I480" s="1862">
        <f>Tabla1[[#This Row],[Extraccion
Norte II]]+Tabla1[[#This Row],[Extraccion
ENO]]</f>
        <v>65908.527970778989</v>
      </c>
      <c r="J480" s="1862">
        <v>65908.527970778989</v>
      </c>
      <c r="K480" s="1862"/>
      <c r="L480" s="1862">
        <f t="shared" si="39"/>
        <v>-926.52797077898867</v>
      </c>
      <c r="M480" s="1862">
        <f>M479+Tabla1[[#This Row],[Desbalance
TPL]]</f>
        <v>25161.772225350804</v>
      </c>
    </row>
    <row r="481" spans="2:13" x14ac:dyDescent="0.25">
      <c r="B481" s="1859">
        <f t="shared" si="40"/>
        <v>2014</v>
      </c>
      <c r="C481" s="1859">
        <f t="shared" si="41"/>
        <v>10</v>
      </c>
      <c r="D481" s="1860">
        <f t="shared" si="42"/>
        <v>41940</v>
      </c>
      <c r="E481" s="1861">
        <v>41940</v>
      </c>
      <c r="F481" s="1862">
        <f t="shared" si="38"/>
        <v>0</v>
      </c>
      <c r="G481" s="1862">
        <v>70000</v>
      </c>
      <c r="H481" s="1862">
        <v>70000</v>
      </c>
      <c r="I481" s="1862">
        <f>Tabla1[[#This Row],[Extraccion
Norte II]]+Tabla1[[#This Row],[Extraccion
ENO]]</f>
        <v>65888.875933101008</v>
      </c>
      <c r="J481" s="1862">
        <v>65888.875933101008</v>
      </c>
      <c r="K481" s="1862"/>
      <c r="L481" s="1862">
        <f t="shared" si="39"/>
        <v>4111.1240668989922</v>
      </c>
      <c r="M481" s="1862">
        <f>M480+Tabla1[[#This Row],[Desbalance
TPL]]</f>
        <v>29272.896292249796</v>
      </c>
    </row>
    <row r="482" spans="2:13" x14ac:dyDescent="0.25">
      <c r="B482" s="1859">
        <f t="shared" si="40"/>
        <v>2014</v>
      </c>
      <c r="C482" s="1859">
        <f t="shared" si="41"/>
        <v>10</v>
      </c>
      <c r="D482" s="1860">
        <f t="shared" si="42"/>
        <v>41941</v>
      </c>
      <c r="E482" s="1861">
        <v>41941</v>
      </c>
      <c r="F482" s="1862">
        <f t="shared" si="38"/>
        <v>0</v>
      </c>
      <c r="G482" s="1862">
        <v>69800</v>
      </c>
      <c r="H482" s="1862">
        <v>69800</v>
      </c>
      <c r="I482" s="1862">
        <f>Tabla1[[#This Row],[Extraccion
Norte II]]+Tabla1[[#This Row],[Extraccion
ENO]]</f>
        <v>67416.697224629999</v>
      </c>
      <c r="J482" s="1862">
        <v>67416.697224629999</v>
      </c>
      <c r="K482" s="1862"/>
      <c r="L482" s="1862">
        <f t="shared" si="39"/>
        <v>2383.3027753700007</v>
      </c>
      <c r="M482" s="1862">
        <f>M481+Tabla1[[#This Row],[Desbalance
TPL]]</f>
        <v>31656.199067619797</v>
      </c>
    </row>
    <row r="483" spans="2:13" x14ac:dyDescent="0.25">
      <c r="B483" s="1859">
        <f t="shared" si="40"/>
        <v>2014</v>
      </c>
      <c r="C483" s="1859">
        <f t="shared" si="41"/>
        <v>10</v>
      </c>
      <c r="D483" s="1860">
        <f t="shared" si="42"/>
        <v>41942</v>
      </c>
      <c r="E483" s="1861">
        <v>41942</v>
      </c>
      <c r="F483" s="1862">
        <f t="shared" si="38"/>
        <v>0</v>
      </c>
      <c r="G483" s="1862">
        <v>65732</v>
      </c>
      <c r="H483" s="1862">
        <v>65732</v>
      </c>
      <c r="I483" s="1862">
        <f>Tabla1[[#This Row],[Extraccion
Norte II]]+Tabla1[[#This Row],[Extraccion
ENO]]</f>
        <v>66907.311934320009</v>
      </c>
      <c r="J483" s="1862">
        <v>66907.311934320009</v>
      </c>
      <c r="K483" s="1862"/>
      <c r="L483" s="1862">
        <f t="shared" si="39"/>
        <v>-1175.3119343200087</v>
      </c>
      <c r="M483" s="1862">
        <f>M482+Tabla1[[#This Row],[Desbalance
TPL]]</f>
        <v>30480.887133299788</v>
      </c>
    </row>
    <row r="484" spans="2:13" x14ac:dyDescent="0.25">
      <c r="B484" s="1859">
        <f t="shared" si="40"/>
        <v>2014</v>
      </c>
      <c r="C484" s="1859">
        <f t="shared" si="41"/>
        <v>10</v>
      </c>
      <c r="D484" s="1860">
        <f t="shared" si="42"/>
        <v>41943</v>
      </c>
      <c r="E484" s="1861">
        <v>41943</v>
      </c>
      <c r="F484" s="1862">
        <f t="shared" si="38"/>
        <v>0</v>
      </c>
      <c r="G484" s="1862">
        <v>70000</v>
      </c>
      <c r="H484" s="1862">
        <v>70000</v>
      </c>
      <c r="I484" s="1862">
        <f>Tabla1[[#This Row],[Extraccion
Norte II]]+Tabla1[[#This Row],[Extraccion
ENO]]</f>
        <v>62156.883638653599</v>
      </c>
      <c r="J484" s="1862">
        <v>62156.883638653599</v>
      </c>
      <c r="K484" s="1862"/>
      <c r="L484" s="1862">
        <f t="shared" si="39"/>
        <v>7843.1163613464014</v>
      </c>
      <c r="M484" s="1862">
        <f>M483+Tabla1[[#This Row],[Desbalance
TPL]]</f>
        <v>38324.003494646189</v>
      </c>
    </row>
    <row r="485" spans="2:13" x14ac:dyDescent="0.25">
      <c r="B485" s="1859">
        <f t="shared" si="40"/>
        <v>2014</v>
      </c>
      <c r="C485" s="1859">
        <f t="shared" si="41"/>
        <v>11</v>
      </c>
      <c r="D485" s="1860">
        <f t="shared" si="42"/>
        <v>41944</v>
      </c>
      <c r="E485" s="1861">
        <v>41944</v>
      </c>
      <c r="F485" s="1862">
        <f t="shared" si="38"/>
        <v>0</v>
      </c>
      <c r="G485" s="1862">
        <v>70000</v>
      </c>
      <c r="H485" s="1862">
        <v>70000</v>
      </c>
      <c r="I485" s="1862">
        <f>Tabla1[[#This Row],[Extraccion
Norte II]]+Tabla1[[#This Row],[Extraccion
ENO]]</f>
        <v>53275.409757180001</v>
      </c>
      <c r="J485" s="1862">
        <v>53275.409757180001</v>
      </c>
      <c r="K485" s="1862"/>
      <c r="L485" s="1862">
        <f t="shared" si="39"/>
        <v>16724.590242819999</v>
      </c>
      <c r="M485" s="1862">
        <f>M484+Tabla1[[#This Row],[Desbalance
TPL]]</f>
        <v>55048.593737466188</v>
      </c>
    </row>
    <row r="486" spans="2:13" x14ac:dyDescent="0.25">
      <c r="B486" s="1859">
        <f t="shared" si="40"/>
        <v>2014</v>
      </c>
      <c r="C486" s="1859">
        <f t="shared" si="41"/>
        <v>11</v>
      </c>
      <c r="D486" s="1860">
        <f t="shared" si="42"/>
        <v>41945</v>
      </c>
      <c r="E486" s="1861">
        <v>41945</v>
      </c>
      <c r="F486" s="1862">
        <f t="shared" si="38"/>
        <v>0</v>
      </c>
      <c r="G486" s="1862">
        <v>70000</v>
      </c>
      <c r="H486" s="1862">
        <v>70000</v>
      </c>
      <c r="I486" s="1862">
        <f>Tabla1[[#This Row],[Extraccion
Norte II]]+Tabla1[[#This Row],[Extraccion
ENO]]</f>
        <v>45722.199215160006</v>
      </c>
      <c r="J486" s="1862">
        <v>45722.199215160006</v>
      </c>
      <c r="K486" s="1862"/>
      <c r="L486" s="1862">
        <f t="shared" si="39"/>
        <v>24277.800784839994</v>
      </c>
      <c r="M486" s="1862">
        <f>M485+Tabla1[[#This Row],[Desbalance
TPL]]</f>
        <v>79326.394522306189</v>
      </c>
    </row>
    <row r="487" spans="2:13" x14ac:dyDescent="0.25">
      <c r="B487" s="1859">
        <f t="shared" si="40"/>
        <v>2014</v>
      </c>
      <c r="C487" s="1859">
        <f t="shared" si="41"/>
        <v>11</v>
      </c>
      <c r="D487" s="1860">
        <f t="shared" si="42"/>
        <v>41946</v>
      </c>
      <c r="E487" s="1861">
        <v>41946</v>
      </c>
      <c r="F487" s="1862">
        <f t="shared" si="38"/>
        <v>0</v>
      </c>
      <c r="G487" s="1862">
        <v>70000</v>
      </c>
      <c r="H487" s="1862">
        <v>70000</v>
      </c>
      <c r="I487" s="1862">
        <f>Tabla1[[#This Row],[Extraccion
Norte II]]+Tabla1[[#This Row],[Extraccion
ENO]]</f>
        <v>62900.718868260003</v>
      </c>
      <c r="J487" s="1862">
        <v>62900.718868260003</v>
      </c>
      <c r="K487" s="1862"/>
      <c r="L487" s="1862">
        <f t="shared" si="39"/>
        <v>7099.2811317399974</v>
      </c>
      <c r="M487" s="1862">
        <f>M486+Tabla1[[#This Row],[Desbalance
TPL]]</f>
        <v>86425.675654046179</v>
      </c>
    </row>
    <row r="488" spans="2:13" x14ac:dyDescent="0.25">
      <c r="B488" s="1859">
        <f t="shared" si="40"/>
        <v>2014</v>
      </c>
      <c r="C488" s="1859">
        <f t="shared" si="41"/>
        <v>11</v>
      </c>
      <c r="D488" s="1860">
        <f t="shared" si="42"/>
        <v>41947</v>
      </c>
      <c r="E488" s="1861">
        <v>41947</v>
      </c>
      <c r="F488" s="1862">
        <f t="shared" si="38"/>
        <v>0</v>
      </c>
      <c r="G488" s="1862">
        <v>74976</v>
      </c>
      <c r="H488" s="1862">
        <v>74976</v>
      </c>
      <c r="I488" s="1862">
        <f>Tabla1[[#This Row],[Extraccion
Norte II]]+Tabla1[[#This Row],[Extraccion
ENO]]</f>
        <v>64990.664831429996</v>
      </c>
      <c r="J488" s="1862">
        <v>64990.664831429996</v>
      </c>
      <c r="K488" s="1862"/>
      <c r="L488" s="1862">
        <f t="shared" si="39"/>
        <v>9985.3351685700036</v>
      </c>
      <c r="M488" s="1862">
        <f>M487+Tabla1[[#This Row],[Desbalance
TPL]]</f>
        <v>96411.010822616183</v>
      </c>
    </row>
    <row r="489" spans="2:13" x14ac:dyDescent="0.25">
      <c r="B489" s="1859">
        <f t="shared" si="40"/>
        <v>2014</v>
      </c>
      <c r="C489" s="1859">
        <f t="shared" si="41"/>
        <v>11</v>
      </c>
      <c r="D489" s="1860">
        <f t="shared" si="42"/>
        <v>41948</v>
      </c>
      <c r="E489" s="1861">
        <v>41948</v>
      </c>
      <c r="F489" s="1862">
        <f t="shared" si="38"/>
        <v>0</v>
      </c>
      <c r="G489" s="1862">
        <v>75000</v>
      </c>
      <c r="H489" s="1862">
        <v>75000</v>
      </c>
      <c r="I489" s="1862">
        <f>Tabla1[[#This Row],[Extraccion
Norte II]]+Tabla1[[#This Row],[Extraccion
ENO]]</f>
        <v>63165.422356569004</v>
      </c>
      <c r="J489" s="1862">
        <v>63165.422356569004</v>
      </c>
      <c r="K489" s="1862"/>
      <c r="L489" s="1862">
        <f t="shared" si="39"/>
        <v>11834.577643430996</v>
      </c>
      <c r="M489" s="1862">
        <f>M488+Tabla1[[#This Row],[Desbalance
TPL]]</f>
        <v>108245.58846604718</v>
      </c>
    </row>
    <row r="490" spans="2:13" x14ac:dyDescent="0.25">
      <c r="B490" s="1859">
        <f t="shared" si="40"/>
        <v>2014</v>
      </c>
      <c r="C490" s="1859">
        <f t="shared" si="41"/>
        <v>11</v>
      </c>
      <c r="D490" s="1860">
        <f t="shared" si="42"/>
        <v>41949</v>
      </c>
      <c r="E490" s="1861">
        <v>41949</v>
      </c>
      <c r="F490" s="1862">
        <f t="shared" si="38"/>
        <v>0</v>
      </c>
      <c r="G490" s="1862">
        <v>75000</v>
      </c>
      <c r="H490" s="1862">
        <v>75000</v>
      </c>
      <c r="I490" s="1862">
        <f>Tabla1[[#This Row],[Extraccion
Norte II]]+Tabla1[[#This Row],[Extraccion
ENO]]</f>
        <v>67591.11450897</v>
      </c>
      <c r="J490" s="1862">
        <v>67591.11450897</v>
      </c>
      <c r="K490" s="1862"/>
      <c r="L490" s="1862">
        <f t="shared" si="39"/>
        <v>7408.8854910299997</v>
      </c>
      <c r="M490" s="1862">
        <f>M489+Tabla1[[#This Row],[Desbalance
TPL]]</f>
        <v>115654.47395707718</v>
      </c>
    </row>
    <row r="491" spans="2:13" x14ac:dyDescent="0.25">
      <c r="B491" s="1859">
        <f t="shared" si="40"/>
        <v>2014</v>
      </c>
      <c r="C491" s="1859">
        <f t="shared" si="41"/>
        <v>11</v>
      </c>
      <c r="D491" s="1860">
        <f t="shared" si="42"/>
        <v>41950</v>
      </c>
      <c r="E491" s="1861">
        <v>41950</v>
      </c>
      <c r="F491" s="1862">
        <f t="shared" si="38"/>
        <v>0</v>
      </c>
      <c r="G491" s="1862">
        <v>70000</v>
      </c>
      <c r="H491" s="1862">
        <v>70000</v>
      </c>
      <c r="I491" s="1862">
        <f>Tabla1[[#This Row],[Extraccion
Norte II]]+Tabla1[[#This Row],[Extraccion
ENO]]</f>
        <v>70030.425818340009</v>
      </c>
      <c r="J491" s="1862">
        <v>70030.425818340009</v>
      </c>
      <c r="K491" s="1862"/>
      <c r="L491" s="1862">
        <f t="shared" si="39"/>
        <v>-30.425818340008846</v>
      </c>
      <c r="M491" s="1862">
        <f>M490+Tabla1[[#This Row],[Desbalance
TPL]]</f>
        <v>115624.04813873717</v>
      </c>
    </row>
    <row r="492" spans="2:13" x14ac:dyDescent="0.25">
      <c r="B492" s="1859">
        <f t="shared" si="40"/>
        <v>2014</v>
      </c>
      <c r="C492" s="1859">
        <f t="shared" si="41"/>
        <v>11</v>
      </c>
      <c r="D492" s="1860">
        <f t="shared" si="42"/>
        <v>41951</v>
      </c>
      <c r="E492" s="1861">
        <v>41951</v>
      </c>
      <c r="F492" s="1862">
        <f t="shared" si="38"/>
        <v>0</v>
      </c>
      <c r="G492" s="1862">
        <v>68000</v>
      </c>
      <c r="H492" s="1862">
        <v>68000</v>
      </c>
      <c r="I492" s="1862">
        <f>Tabla1[[#This Row],[Extraccion
Norte II]]+Tabla1[[#This Row],[Extraccion
ENO]]</f>
        <v>63110.309641470005</v>
      </c>
      <c r="J492" s="1862">
        <v>63110.309641470005</v>
      </c>
      <c r="K492" s="1862"/>
      <c r="L492" s="1862">
        <f t="shared" si="39"/>
        <v>4889.6903585299951</v>
      </c>
      <c r="M492" s="1862">
        <f>M491+Tabla1[[#This Row],[Desbalance
TPL]]</f>
        <v>120513.73849726716</v>
      </c>
    </row>
    <row r="493" spans="2:13" x14ac:dyDescent="0.25">
      <c r="B493" s="1859">
        <f t="shared" si="40"/>
        <v>2014</v>
      </c>
      <c r="C493" s="1859">
        <f t="shared" si="41"/>
        <v>11</v>
      </c>
      <c r="D493" s="1860">
        <f t="shared" si="42"/>
        <v>41952</v>
      </c>
      <c r="E493" s="1861">
        <v>41952</v>
      </c>
      <c r="F493" s="1862">
        <f t="shared" si="38"/>
        <v>0</v>
      </c>
      <c r="G493" s="1862">
        <v>68000</v>
      </c>
      <c r="H493" s="1862">
        <v>68000</v>
      </c>
      <c r="I493" s="1862">
        <f>Tabla1[[#This Row],[Extraccion
Norte II]]+Tabla1[[#This Row],[Extraccion
ENO]]</f>
        <v>56921.870275920002</v>
      </c>
      <c r="J493" s="1862">
        <v>56921.870275920002</v>
      </c>
      <c r="K493" s="1862"/>
      <c r="L493" s="1862">
        <f t="shared" si="39"/>
        <v>11078.129724079998</v>
      </c>
      <c r="M493" s="1862">
        <f>M492+Tabla1[[#This Row],[Desbalance
TPL]]</f>
        <v>131591.86822134716</v>
      </c>
    </row>
    <row r="494" spans="2:13" x14ac:dyDescent="0.25">
      <c r="B494" s="1859">
        <f t="shared" si="40"/>
        <v>2014</v>
      </c>
      <c r="C494" s="1859">
        <f t="shared" si="41"/>
        <v>11</v>
      </c>
      <c r="D494" s="1860">
        <f t="shared" si="42"/>
        <v>41953</v>
      </c>
      <c r="E494" s="1861">
        <v>41953</v>
      </c>
      <c r="F494" s="1862">
        <f t="shared" si="38"/>
        <v>-7000</v>
      </c>
      <c r="G494" s="1862">
        <v>68000</v>
      </c>
      <c r="H494" s="1862">
        <v>75000</v>
      </c>
      <c r="I494" s="1862">
        <f>Tabla1[[#This Row],[Extraccion
Norte II]]+Tabla1[[#This Row],[Extraccion
ENO]]</f>
        <v>30716.41734018</v>
      </c>
      <c r="J494" s="1862">
        <v>30716.41734018</v>
      </c>
      <c r="K494" s="1862"/>
      <c r="L494" s="1862">
        <f t="shared" si="39"/>
        <v>44283.58265982</v>
      </c>
      <c r="M494" s="1862">
        <f>M493+Tabla1[[#This Row],[Desbalance
TPL]]</f>
        <v>175875.45088116717</v>
      </c>
    </row>
    <row r="495" spans="2:13" x14ac:dyDescent="0.25">
      <c r="B495" s="1859">
        <f t="shared" si="40"/>
        <v>2014</v>
      </c>
      <c r="C495" s="1859">
        <f t="shared" si="41"/>
        <v>11</v>
      </c>
      <c r="D495" s="1860">
        <f t="shared" si="42"/>
        <v>41954</v>
      </c>
      <c r="E495" s="1861">
        <v>41954</v>
      </c>
      <c r="F495" s="1862">
        <f t="shared" si="38"/>
        <v>-37499</v>
      </c>
      <c r="G495" s="1862">
        <v>37501</v>
      </c>
      <c r="H495" s="1862">
        <v>75000</v>
      </c>
      <c r="I495" s="1862">
        <f>Tabla1[[#This Row],[Extraccion
Norte II]]+Tabla1[[#This Row],[Extraccion
ENO]]</f>
        <v>12003.13553166</v>
      </c>
      <c r="J495" s="1862">
        <v>12003.13553166</v>
      </c>
      <c r="K495" s="1862"/>
      <c r="L495" s="1862">
        <f t="shared" si="39"/>
        <v>62996.864468339998</v>
      </c>
      <c r="M495" s="1862">
        <f>M494+Tabla1[[#This Row],[Desbalance
TPL]]</f>
        <v>238872.31534950717</v>
      </c>
    </row>
    <row r="496" spans="2:13" x14ac:dyDescent="0.25">
      <c r="B496" s="1859">
        <f t="shared" si="40"/>
        <v>2014</v>
      </c>
      <c r="C496" s="1859">
        <f t="shared" si="41"/>
        <v>11</v>
      </c>
      <c r="D496" s="1860">
        <f t="shared" si="42"/>
        <v>41955</v>
      </c>
      <c r="E496" s="1861">
        <v>41955</v>
      </c>
      <c r="F496" s="1862">
        <f t="shared" si="38"/>
        <v>0</v>
      </c>
      <c r="G496" s="1862">
        <v>75000</v>
      </c>
      <c r="H496" s="1862">
        <v>75000</v>
      </c>
      <c r="I496" s="1862">
        <f>Tabla1[[#This Row],[Extraccion
Norte II]]+Tabla1[[#This Row],[Extraccion
ENO]]</f>
        <v>58603.591457189999</v>
      </c>
      <c r="J496" s="1862">
        <v>58603.591457189999</v>
      </c>
      <c r="K496" s="1862"/>
      <c r="L496" s="1862">
        <f t="shared" si="39"/>
        <v>16396.408542810001</v>
      </c>
      <c r="M496" s="1862">
        <f>M495+Tabla1[[#This Row],[Desbalance
TPL]]</f>
        <v>255268.72389231718</v>
      </c>
    </row>
    <row r="497" spans="2:13" x14ac:dyDescent="0.25">
      <c r="B497" s="1859">
        <f t="shared" si="40"/>
        <v>2014</v>
      </c>
      <c r="C497" s="1859">
        <f t="shared" si="41"/>
        <v>11</v>
      </c>
      <c r="D497" s="1860">
        <f t="shared" si="42"/>
        <v>41956</v>
      </c>
      <c r="E497" s="1861">
        <v>41956</v>
      </c>
      <c r="F497" s="1862">
        <f t="shared" si="38"/>
        <v>0</v>
      </c>
      <c r="G497" s="1862">
        <v>68000</v>
      </c>
      <c r="H497" s="1862">
        <v>68000</v>
      </c>
      <c r="I497" s="1862">
        <f>Tabla1[[#This Row],[Extraccion
Norte II]]+Tabla1[[#This Row],[Extraccion
ENO]]</f>
        <v>71915.539049640007</v>
      </c>
      <c r="J497" s="1862">
        <v>71915.539049640007</v>
      </c>
      <c r="K497" s="1862"/>
      <c r="L497" s="1862">
        <f t="shared" si="39"/>
        <v>-3915.5390496400069</v>
      </c>
      <c r="M497" s="1862">
        <f>M496+Tabla1[[#This Row],[Desbalance
TPL]]</f>
        <v>251353.18484267718</v>
      </c>
    </row>
    <row r="498" spans="2:13" x14ac:dyDescent="0.25">
      <c r="B498" s="1859">
        <f t="shared" si="40"/>
        <v>2014</v>
      </c>
      <c r="C498" s="1859">
        <f t="shared" si="41"/>
        <v>11</v>
      </c>
      <c r="D498" s="1860">
        <f t="shared" si="42"/>
        <v>41957</v>
      </c>
      <c r="E498" s="1861">
        <v>41957</v>
      </c>
      <c r="F498" s="1862">
        <f t="shared" si="38"/>
        <v>0</v>
      </c>
      <c r="G498" s="1862">
        <v>68000</v>
      </c>
      <c r="H498" s="1862">
        <v>68000</v>
      </c>
      <c r="I498" s="1862">
        <f>Tabla1[[#This Row],[Extraccion
Norte II]]+Tabla1[[#This Row],[Extraccion
ENO]]</f>
        <v>71787.678536340012</v>
      </c>
      <c r="J498" s="1862">
        <v>71787.678536340012</v>
      </c>
      <c r="K498" s="1862"/>
      <c r="L498" s="1862">
        <f t="shared" si="39"/>
        <v>-3787.6785363400122</v>
      </c>
      <c r="M498" s="1862">
        <f>M497+Tabla1[[#This Row],[Desbalance
TPL]]</f>
        <v>247565.50630633716</v>
      </c>
    </row>
    <row r="499" spans="2:13" x14ac:dyDescent="0.25">
      <c r="B499" s="1859">
        <f t="shared" si="40"/>
        <v>2014</v>
      </c>
      <c r="C499" s="1859">
        <f t="shared" si="41"/>
        <v>11</v>
      </c>
      <c r="D499" s="1860">
        <f t="shared" si="42"/>
        <v>41958</v>
      </c>
      <c r="E499" s="1861">
        <v>41958</v>
      </c>
      <c r="F499" s="1862">
        <f t="shared" si="38"/>
        <v>0</v>
      </c>
      <c r="G499" s="1862">
        <v>68000</v>
      </c>
      <c r="H499" s="1862">
        <v>68000</v>
      </c>
      <c r="I499" s="1862">
        <f>Tabla1[[#This Row],[Extraccion
Norte II]]+Tabla1[[#This Row],[Extraccion
ENO]]</f>
        <v>68886.960433200002</v>
      </c>
      <c r="J499" s="1862">
        <v>68886.960433200002</v>
      </c>
      <c r="K499" s="1862"/>
      <c r="L499" s="1862">
        <f t="shared" si="39"/>
        <v>-886.96043320000172</v>
      </c>
      <c r="M499" s="1862">
        <f>M498+Tabla1[[#This Row],[Desbalance
TPL]]</f>
        <v>246678.54587313716</v>
      </c>
    </row>
    <row r="500" spans="2:13" x14ac:dyDescent="0.25">
      <c r="B500" s="1859">
        <f t="shared" si="40"/>
        <v>2014</v>
      </c>
      <c r="C500" s="1859">
        <f t="shared" si="41"/>
        <v>11</v>
      </c>
      <c r="D500" s="1860">
        <f t="shared" si="42"/>
        <v>41959</v>
      </c>
      <c r="E500" s="1861">
        <v>41959</v>
      </c>
      <c r="F500" s="1862">
        <f t="shared" si="38"/>
        <v>0</v>
      </c>
      <c r="G500" s="1862">
        <v>68000</v>
      </c>
      <c r="H500" s="1862">
        <v>68000</v>
      </c>
      <c r="I500" s="1862">
        <f>Tabla1[[#This Row],[Extraccion
Norte II]]+Tabla1[[#This Row],[Extraccion
ENO]]</f>
        <v>68557.385505960003</v>
      </c>
      <c r="J500" s="1862">
        <v>68557.385505960003</v>
      </c>
      <c r="K500" s="1862"/>
      <c r="L500" s="1862">
        <f t="shared" si="39"/>
        <v>-557.38550596000277</v>
      </c>
      <c r="M500" s="1862">
        <f>M499+Tabla1[[#This Row],[Desbalance
TPL]]</f>
        <v>246121.16036717716</v>
      </c>
    </row>
    <row r="501" spans="2:13" x14ac:dyDescent="0.25">
      <c r="B501" s="1859">
        <f t="shared" si="40"/>
        <v>2014</v>
      </c>
      <c r="C501" s="1859">
        <f t="shared" si="41"/>
        <v>11</v>
      </c>
      <c r="D501" s="1860">
        <f t="shared" si="42"/>
        <v>41960</v>
      </c>
      <c r="E501" s="1861">
        <v>41960</v>
      </c>
      <c r="F501" s="1862">
        <f t="shared" si="38"/>
        <v>-20000</v>
      </c>
      <c r="G501" s="1862">
        <v>48000</v>
      </c>
      <c r="H501" s="1862">
        <v>68000</v>
      </c>
      <c r="I501" s="1862">
        <f>Tabla1[[#This Row],[Extraccion
Norte II]]+Tabla1[[#This Row],[Extraccion
ENO]]</f>
        <v>68421.392722799996</v>
      </c>
      <c r="J501" s="1862">
        <v>68421.392722799996</v>
      </c>
      <c r="K501" s="1862"/>
      <c r="L501" s="1862">
        <f t="shared" si="39"/>
        <v>-421.39272279999568</v>
      </c>
      <c r="M501" s="1862">
        <f>M500+Tabla1[[#This Row],[Desbalance
TPL]]</f>
        <v>245699.76764437716</v>
      </c>
    </row>
    <row r="502" spans="2:13" x14ac:dyDescent="0.25">
      <c r="B502" s="1859">
        <f t="shared" si="40"/>
        <v>2014</v>
      </c>
      <c r="C502" s="1859">
        <f t="shared" si="41"/>
        <v>11</v>
      </c>
      <c r="D502" s="1860">
        <f t="shared" si="42"/>
        <v>41961</v>
      </c>
      <c r="E502" s="1861">
        <v>41961</v>
      </c>
      <c r="F502" s="1862">
        <f t="shared" si="38"/>
        <v>0</v>
      </c>
      <c r="G502" s="1862">
        <v>68000</v>
      </c>
      <c r="H502" s="1862">
        <v>68000</v>
      </c>
      <c r="I502" s="1862">
        <f>Tabla1[[#This Row],[Extraccion
Norte II]]+Tabla1[[#This Row],[Extraccion
ENO]]</f>
        <v>70605.523261259994</v>
      </c>
      <c r="J502" s="1862">
        <v>70605.523261259994</v>
      </c>
      <c r="K502" s="1862"/>
      <c r="L502" s="1862">
        <f t="shared" si="39"/>
        <v>-2605.5232612599939</v>
      </c>
      <c r="M502" s="1862">
        <f>M501+Tabla1[[#This Row],[Desbalance
TPL]]</f>
        <v>243094.24438311718</v>
      </c>
    </row>
    <row r="503" spans="2:13" x14ac:dyDescent="0.25">
      <c r="B503" s="1859">
        <f t="shared" si="40"/>
        <v>2014</v>
      </c>
      <c r="C503" s="1859">
        <f t="shared" si="41"/>
        <v>11</v>
      </c>
      <c r="D503" s="1860">
        <f t="shared" si="42"/>
        <v>41962</v>
      </c>
      <c r="E503" s="1861">
        <v>41962</v>
      </c>
      <c r="F503" s="1862">
        <f t="shared" si="38"/>
        <v>0</v>
      </c>
      <c r="G503" s="1862">
        <v>72000</v>
      </c>
      <c r="H503" s="1862">
        <v>72000</v>
      </c>
      <c r="I503" s="1862">
        <f>Tabla1[[#This Row],[Extraccion
Norte II]]+Tabla1[[#This Row],[Extraccion
ENO]]</f>
        <v>69206.308415010004</v>
      </c>
      <c r="J503" s="1862">
        <v>69206.308415010004</v>
      </c>
      <c r="K503" s="1862"/>
      <c r="L503" s="1862">
        <f t="shared" si="39"/>
        <v>2793.691584989996</v>
      </c>
      <c r="M503" s="1862">
        <f>M502+Tabla1[[#This Row],[Desbalance
TPL]]</f>
        <v>245887.93596810719</v>
      </c>
    </row>
    <row r="504" spans="2:13" x14ac:dyDescent="0.25">
      <c r="B504" s="1859">
        <f t="shared" si="40"/>
        <v>2014</v>
      </c>
      <c r="C504" s="1859">
        <f t="shared" si="41"/>
        <v>11</v>
      </c>
      <c r="D504" s="1860">
        <f t="shared" si="42"/>
        <v>41963</v>
      </c>
      <c r="E504" s="1861">
        <v>41963</v>
      </c>
      <c r="F504" s="1862">
        <f t="shared" si="38"/>
        <v>-10</v>
      </c>
      <c r="G504" s="1862">
        <v>71880</v>
      </c>
      <c r="H504" s="1862">
        <v>71890</v>
      </c>
      <c r="I504" s="1862">
        <f>Tabla1[[#This Row],[Extraccion
Norte II]]+Tabla1[[#This Row],[Extraccion
ENO]]</f>
        <v>69011.702628570012</v>
      </c>
      <c r="J504" s="1862">
        <v>69011.702628570012</v>
      </c>
      <c r="K504" s="1862"/>
      <c r="L504" s="1862">
        <f t="shared" si="39"/>
        <v>2878.2973714299878</v>
      </c>
      <c r="M504" s="1862">
        <f>M503+Tabla1[[#This Row],[Desbalance
TPL]]</f>
        <v>248766.23333953717</v>
      </c>
    </row>
    <row r="505" spans="2:13" x14ac:dyDescent="0.25">
      <c r="B505" s="1859">
        <f t="shared" si="40"/>
        <v>2014</v>
      </c>
      <c r="C505" s="1859">
        <f t="shared" si="41"/>
        <v>11</v>
      </c>
      <c r="D505" s="1860">
        <f t="shared" si="42"/>
        <v>41964</v>
      </c>
      <c r="E505" s="1861">
        <v>41964</v>
      </c>
      <c r="F505" s="1862">
        <f t="shared" si="38"/>
        <v>-3000</v>
      </c>
      <c r="G505" s="1862">
        <v>72000</v>
      </c>
      <c r="H505" s="1862">
        <v>75000</v>
      </c>
      <c r="I505" s="1862">
        <f>Tabla1[[#This Row],[Extraccion
Norte II]]+Tabla1[[#This Row],[Extraccion
ENO]]</f>
        <v>71604.038992590009</v>
      </c>
      <c r="J505" s="1862">
        <v>71604.038992590009</v>
      </c>
      <c r="K505" s="1862"/>
      <c r="L505" s="1862">
        <f t="shared" si="39"/>
        <v>3395.961007409991</v>
      </c>
      <c r="M505" s="1862">
        <f>M504+Tabla1[[#This Row],[Desbalance
TPL]]</f>
        <v>252162.19434694716</v>
      </c>
    </row>
    <row r="506" spans="2:13" x14ac:dyDescent="0.25">
      <c r="B506" s="1859">
        <f t="shared" si="40"/>
        <v>2014</v>
      </c>
      <c r="C506" s="1859">
        <f t="shared" si="41"/>
        <v>11</v>
      </c>
      <c r="D506" s="1860">
        <f t="shared" si="42"/>
        <v>41965</v>
      </c>
      <c r="E506" s="1861">
        <v>41965</v>
      </c>
      <c r="F506" s="1862">
        <f t="shared" si="38"/>
        <v>0</v>
      </c>
      <c r="G506" s="1862">
        <v>68000</v>
      </c>
      <c r="H506" s="1862">
        <v>68000</v>
      </c>
      <c r="I506" s="1862">
        <f>Tabla1[[#This Row],[Extraccion
Norte II]]+Tabla1[[#This Row],[Extraccion
ENO]]</f>
        <v>66929.462417610004</v>
      </c>
      <c r="J506" s="1862">
        <v>66929.462417610004</v>
      </c>
      <c r="K506" s="1862"/>
      <c r="L506" s="1862">
        <f t="shared" si="39"/>
        <v>1070.5375823899958</v>
      </c>
      <c r="M506" s="1862">
        <f>M505+Tabla1[[#This Row],[Desbalance
TPL]]</f>
        <v>253232.73192933714</v>
      </c>
    </row>
    <row r="507" spans="2:13" x14ac:dyDescent="0.25">
      <c r="B507" s="1859">
        <f t="shared" si="40"/>
        <v>2014</v>
      </c>
      <c r="C507" s="1859">
        <f t="shared" si="41"/>
        <v>11</v>
      </c>
      <c r="D507" s="1860">
        <f t="shared" si="42"/>
        <v>41966</v>
      </c>
      <c r="E507" s="1861">
        <v>41966</v>
      </c>
      <c r="F507" s="1862">
        <f t="shared" si="38"/>
        <v>0</v>
      </c>
      <c r="G507" s="1862">
        <v>68000</v>
      </c>
      <c r="H507" s="1862">
        <v>68000</v>
      </c>
      <c r="I507" s="1862">
        <f>Tabla1[[#This Row],[Extraccion
Norte II]]+Tabla1[[#This Row],[Extraccion
ENO]]</f>
        <v>66750.874738470011</v>
      </c>
      <c r="J507" s="1862">
        <v>66750.874738470011</v>
      </c>
      <c r="K507" s="1862"/>
      <c r="L507" s="1862">
        <f t="shared" si="39"/>
        <v>1249.1252615299891</v>
      </c>
      <c r="M507" s="1862">
        <f>M506+Tabla1[[#This Row],[Desbalance
TPL]]</f>
        <v>254481.85719086713</v>
      </c>
    </row>
    <row r="508" spans="2:13" x14ac:dyDescent="0.25">
      <c r="B508" s="1859">
        <f t="shared" si="40"/>
        <v>2014</v>
      </c>
      <c r="C508" s="1859">
        <f t="shared" si="41"/>
        <v>11</v>
      </c>
      <c r="D508" s="1860">
        <f t="shared" si="42"/>
        <v>41967</v>
      </c>
      <c r="E508" s="1861">
        <v>41967</v>
      </c>
      <c r="F508" s="1862">
        <f t="shared" si="38"/>
        <v>0</v>
      </c>
      <c r="G508" s="1862">
        <v>68000</v>
      </c>
      <c r="H508" s="1862">
        <v>68000</v>
      </c>
      <c r="I508" s="1862">
        <f>Tabla1[[#This Row],[Extraccion
Norte II]]+Tabla1[[#This Row],[Extraccion
ENO]]</f>
        <v>73034.408583630007</v>
      </c>
      <c r="J508" s="1862">
        <v>73034.408583630007</v>
      </c>
      <c r="K508" s="1862"/>
      <c r="L508" s="1862">
        <f t="shared" si="39"/>
        <v>-5034.4085836300073</v>
      </c>
      <c r="M508" s="1862">
        <f>M507+Tabla1[[#This Row],[Desbalance
TPL]]</f>
        <v>249447.44860723714</v>
      </c>
    </row>
    <row r="509" spans="2:13" x14ac:dyDescent="0.25">
      <c r="B509" s="1859">
        <f t="shared" si="40"/>
        <v>2014</v>
      </c>
      <c r="C509" s="1859">
        <f t="shared" si="41"/>
        <v>11</v>
      </c>
      <c r="D509" s="1860">
        <f t="shared" si="42"/>
        <v>41968</v>
      </c>
      <c r="E509" s="1861">
        <v>41968</v>
      </c>
      <c r="F509" s="1862">
        <f t="shared" si="38"/>
        <v>0</v>
      </c>
      <c r="G509" s="1862">
        <v>72000</v>
      </c>
      <c r="H509" s="1862">
        <v>72000</v>
      </c>
      <c r="I509" s="1862">
        <f>Tabla1[[#This Row],[Extraccion
Norte II]]+Tabla1[[#This Row],[Extraccion
ENO]]</f>
        <v>74385.555838542001</v>
      </c>
      <c r="J509" s="1862">
        <v>74385.555838542001</v>
      </c>
      <c r="K509" s="1862"/>
      <c r="L509" s="1862">
        <f t="shared" si="39"/>
        <v>-2385.5558385420009</v>
      </c>
      <c r="M509" s="1862">
        <f>M508+Tabla1[[#This Row],[Desbalance
TPL]]</f>
        <v>247061.89276869514</v>
      </c>
    </row>
    <row r="510" spans="2:13" x14ac:dyDescent="0.25">
      <c r="B510" s="1859">
        <f t="shared" si="40"/>
        <v>2014</v>
      </c>
      <c r="C510" s="1859">
        <f t="shared" si="41"/>
        <v>11</v>
      </c>
      <c r="D510" s="1860">
        <f t="shared" si="42"/>
        <v>41969</v>
      </c>
      <c r="E510" s="1861">
        <v>41969</v>
      </c>
      <c r="F510" s="1862">
        <f t="shared" si="38"/>
        <v>0</v>
      </c>
      <c r="G510" s="1862">
        <v>70000</v>
      </c>
      <c r="H510" s="1862">
        <v>70000</v>
      </c>
      <c r="I510" s="1862">
        <f>Tabla1[[#This Row],[Extraccion
Norte II]]+Tabla1[[#This Row],[Extraccion
ENO]]</f>
        <v>72321.489070740005</v>
      </c>
      <c r="J510" s="1862">
        <v>72321.489070740005</v>
      </c>
      <c r="K510" s="1862"/>
      <c r="L510" s="1862">
        <f t="shared" si="39"/>
        <v>-2321.4890707400045</v>
      </c>
      <c r="M510" s="1862">
        <f>M509+Tabla1[[#This Row],[Desbalance
TPL]]</f>
        <v>244740.40369795513</v>
      </c>
    </row>
    <row r="511" spans="2:13" x14ac:dyDescent="0.25">
      <c r="B511" s="1859">
        <f t="shared" si="40"/>
        <v>2014</v>
      </c>
      <c r="C511" s="1859">
        <f t="shared" si="41"/>
        <v>11</v>
      </c>
      <c r="D511" s="1860">
        <f t="shared" si="42"/>
        <v>41970</v>
      </c>
      <c r="E511" s="1861">
        <v>41970</v>
      </c>
      <c r="F511" s="1862">
        <f t="shared" si="38"/>
        <v>0</v>
      </c>
      <c r="G511" s="1862">
        <v>70000</v>
      </c>
      <c r="H511" s="1862">
        <v>70000</v>
      </c>
      <c r="I511" s="1862">
        <f>Tabla1[[#This Row],[Extraccion
Norte II]]+Tabla1[[#This Row],[Extraccion
ENO]]</f>
        <v>70939.733013630001</v>
      </c>
      <c r="J511" s="1862">
        <v>70939.733013630001</v>
      </c>
      <c r="K511" s="1862"/>
      <c r="L511" s="1862">
        <f t="shared" si="39"/>
        <v>-939.73301363000064</v>
      </c>
      <c r="M511" s="1862">
        <f>M510+Tabla1[[#This Row],[Desbalance
TPL]]</f>
        <v>243800.67068432513</v>
      </c>
    </row>
    <row r="512" spans="2:13" x14ac:dyDescent="0.25">
      <c r="B512" s="1859">
        <f t="shared" si="40"/>
        <v>2014</v>
      </c>
      <c r="C512" s="1859">
        <f t="shared" si="41"/>
        <v>11</v>
      </c>
      <c r="D512" s="1860">
        <f t="shared" si="42"/>
        <v>41971</v>
      </c>
      <c r="E512" s="1861">
        <v>41971</v>
      </c>
      <c r="F512" s="1862">
        <f t="shared" si="38"/>
        <v>0</v>
      </c>
      <c r="G512" s="1862">
        <v>70000</v>
      </c>
      <c r="H512" s="1862">
        <v>70000</v>
      </c>
      <c r="I512" s="1862">
        <f>Tabla1[[#This Row],[Extraccion
Norte II]]+Tabla1[[#This Row],[Extraccion
ENO]]</f>
        <v>69905.399277870005</v>
      </c>
      <c r="J512" s="1862">
        <v>69905.399277870005</v>
      </c>
      <c r="K512" s="1862"/>
      <c r="L512" s="1862">
        <f t="shared" si="39"/>
        <v>94.60072212999512</v>
      </c>
      <c r="M512" s="1862">
        <f>M511+Tabla1[[#This Row],[Desbalance
TPL]]</f>
        <v>243895.27140645514</v>
      </c>
    </row>
    <row r="513" spans="2:13" x14ac:dyDescent="0.25">
      <c r="B513" s="1859">
        <f t="shared" si="40"/>
        <v>2014</v>
      </c>
      <c r="C513" s="1859">
        <f t="shared" si="41"/>
        <v>11</v>
      </c>
      <c r="D513" s="1860">
        <f t="shared" si="42"/>
        <v>41972</v>
      </c>
      <c r="E513" s="1861">
        <v>41972</v>
      </c>
      <c r="F513" s="1862">
        <f t="shared" si="38"/>
        <v>0</v>
      </c>
      <c r="G513" s="1862">
        <v>70000</v>
      </c>
      <c r="H513" s="1862">
        <v>70000</v>
      </c>
      <c r="I513" s="1862">
        <f>Tabla1[[#This Row],[Extraccion
Norte II]]+Tabla1[[#This Row],[Extraccion
ENO]]</f>
        <v>60744.899623589998</v>
      </c>
      <c r="J513" s="1862">
        <v>60744.899623589998</v>
      </c>
      <c r="K513" s="1862"/>
      <c r="L513" s="1862">
        <f t="shared" si="39"/>
        <v>9255.1003764100024</v>
      </c>
      <c r="M513" s="1862">
        <f>M512+Tabla1[[#This Row],[Desbalance
TPL]]</f>
        <v>253150.37178286514</v>
      </c>
    </row>
    <row r="514" spans="2:13" x14ac:dyDescent="0.25">
      <c r="B514" s="1859">
        <f t="shared" si="40"/>
        <v>2014</v>
      </c>
      <c r="C514" s="1859">
        <f t="shared" si="41"/>
        <v>11</v>
      </c>
      <c r="D514" s="1860">
        <f t="shared" si="42"/>
        <v>41973</v>
      </c>
      <c r="E514" s="1861">
        <v>41973</v>
      </c>
      <c r="F514" s="1862">
        <f t="shared" si="38"/>
        <v>0</v>
      </c>
      <c r="G514" s="1862">
        <v>70000</v>
      </c>
      <c r="H514" s="1862">
        <v>70000</v>
      </c>
      <c r="I514" s="1862">
        <f>Tabla1[[#This Row],[Extraccion
Norte II]]+Tabla1[[#This Row],[Extraccion
ENO]]</f>
        <v>61803.696516119999</v>
      </c>
      <c r="J514" s="1862">
        <v>61803.696516119999</v>
      </c>
      <c r="K514" s="1862"/>
      <c r="L514" s="1862">
        <f t="shared" si="39"/>
        <v>8196.3034838800013</v>
      </c>
      <c r="M514" s="1862">
        <f>M513+Tabla1[[#This Row],[Desbalance
TPL]]</f>
        <v>261346.67526674515</v>
      </c>
    </row>
    <row r="515" spans="2:13" x14ac:dyDescent="0.25">
      <c r="B515" s="1859">
        <f t="shared" si="40"/>
        <v>2014</v>
      </c>
      <c r="C515" s="1859">
        <f t="shared" si="41"/>
        <v>12</v>
      </c>
      <c r="D515" s="1860">
        <f t="shared" si="42"/>
        <v>41974</v>
      </c>
      <c r="E515" s="1861">
        <v>41974</v>
      </c>
      <c r="F515" s="1862">
        <f t="shared" si="38"/>
        <v>0</v>
      </c>
      <c r="G515" s="1862">
        <v>72000</v>
      </c>
      <c r="H515" s="1862">
        <v>72000</v>
      </c>
      <c r="I515" s="1862">
        <f>Tabla1[[#This Row],[Extraccion
Norte II]]+Tabla1[[#This Row],[Extraccion
ENO]]</f>
        <v>70434.262207530002</v>
      </c>
      <c r="J515" s="1862">
        <v>70434.262207530002</v>
      </c>
      <c r="K515" s="1862"/>
      <c r="L515" s="1862">
        <f t="shared" si="39"/>
        <v>1565.7377924699977</v>
      </c>
      <c r="M515" s="1862">
        <f>M514+Tabla1[[#This Row],[Desbalance
TPL]]</f>
        <v>262912.41305921518</v>
      </c>
    </row>
    <row r="516" spans="2:13" x14ac:dyDescent="0.25">
      <c r="B516" s="1859">
        <f t="shared" si="40"/>
        <v>2014</v>
      </c>
      <c r="C516" s="1859">
        <f t="shared" si="41"/>
        <v>12</v>
      </c>
      <c r="D516" s="1860">
        <f t="shared" si="42"/>
        <v>41975</v>
      </c>
      <c r="E516" s="1861">
        <v>41975</v>
      </c>
      <c r="F516" s="1862">
        <f t="shared" si="38"/>
        <v>0</v>
      </c>
      <c r="G516" s="1862">
        <v>72000</v>
      </c>
      <c r="H516" s="1862">
        <v>72000</v>
      </c>
      <c r="I516" s="1862">
        <f>Tabla1[[#This Row],[Extraccion
Norte II]]+Tabla1[[#This Row],[Extraccion
ENO]]</f>
        <v>70736.615830530005</v>
      </c>
      <c r="J516" s="1862">
        <v>70736.615830530005</v>
      </c>
      <c r="K516" s="1862"/>
      <c r="L516" s="1862">
        <f t="shared" si="39"/>
        <v>1263.384169469995</v>
      </c>
      <c r="M516" s="1862">
        <f>M515+Tabla1[[#This Row],[Desbalance
TPL]]</f>
        <v>264175.79722868517</v>
      </c>
    </row>
    <row r="517" spans="2:13" x14ac:dyDescent="0.25">
      <c r="B517" s="1859">
        <f t="shared" si="40"/>
        <v>2014</v>
      </c>
      <c r="C517" s="1859">
        <f t="shared" si="41"/>
        <v>12</v>
      </c>
      <c r="D517" s="1860">
        <f t="shared" si="42"/>
        <v>41976</v>
      </c>
      <c r="E517" s="1861">
        <v>41976</v>
      </c>
      <c r="F517" s="1862">
        <f t="shared" si="38"/>
        <v>0</v>
      </c>
      <c r="G517" s="1862">
        <v>70000</v>
      </c>
      <c r="H517" s="1862">
        <v>70000</v>
      </c>
      <c r="I517" s="1862">
        <f>Tabla1[[#This Row],[Extraccion
Norte II]]+Tabla1[[#This Row],[Extraccion
ENO]]</f>
        <v>71155.721551590002</v>
      </c>
      <c r="J517" s="1862">
        <v>71155.721551590002</v>
      </c>
      <c r="K517" s="1862"/>
      <c r="L517" s="1862">
        <f t="shared" si="39"/>
        <v>-1155.7215515900025</v>
      </c>
      <c r="M517" s="1862">
        <f>M516+Tabla1[[#This Row],[Desbalance
TPL]]</f>
        <v>263020.07567709516</v>
      </c>
    </row>
    <row r="518" spans="2:13" x14ac:dyDescent="0.25">
      <c r="B518" s="1859">
        <f t="shared" si="40"/>
        <v>2014</v>
      </c>
      <c r="C518" s="1859">
        <f t="shared" si="41"/>
        <v>12</v>
      </c>
      <c r="D518" s="1860">
        <f t="shared" si="42"/>
        <v>41977</v>
      </c>
      <c r="E518" s="1861">
        <v>41977</v>
      </c>
      <c r="F518" s="1862">
        <f t="shared" si="38"/>
        <v>0</v>
      </c>
      <c r="G518" s="1862">
        <v>56000</v>
      </c>
      <c r="H518" s="1862">
        <v>56000</v>
      </c>
      <c r="I518" s="1862">
        <f>Tabla1[[#This Row],[Extraccion
Norte II]]+Tabla1[[#This Row],[Extraccion
ENO]]</f>
        <v>72649.276415118002</v>
      </c>
      <c r="J518" s="1862">
        <v>72649.276415118002</v>
      </c>
      <c r="K518" s="1862"/>
      <c r="L518" s="1862">
        <f t="shared" si="39"/>
        <v>-16649.276415118002</v>
      </c>
      <c r="M518" s="1862">
        <f>M517+Tabla1[[#This Row],[Desbalance
TPL]]</f>
        <v>246370.79926197714</v>
      </c>
    </row>
    <row r="519" spans="2:13" x14ac:dyDescent="0.25">
      <c r="B519" s="1859">
        <f t="shared" si="40"/>
        <v>2014</v>
      </c>
      <c r="C519" s="1859">
        <f t="shared" si="41"/>
        <v>12</v>
      </c>
      <c r="D519" s="1860">
        <f t="shared" si="42"/>
        <v>41978</v>
      </c>
      <c r="E519" s="1861">
        <v>41978</v>
      </c>
      <c r="F519" s="1862">
        <f t="shared" si="38"/>
        <v>0</v>
      </c>
      <c r="G519" s="1862">
        <v>56000</v>
      </c>
      <c r="H519" s="1862">
        <v>56000</v>
      </c>
      <c r="I519" s="1862">
        <f>Tabla1[[#This Row],[Extraccion
Norte II]]+Tabla1[[#This Row],[Extraccion
ENO]]</f>
        <v>71464.196176775993</v>
      </c>
      <c r="J519" s="1862">
        <v>71464.196176775993</v>
      </c>
      <c r="K519" s="1862"/>
      <c r="L519" s="1862">
        <f t="shared" si="39"/>
        <v>-15464.196176775993</v>
      </c>
      <c r="M519" s="1862">
        <f>M518+Tabla1[[#This Row],[Desbalance
TPL]]</f>
        <v>230906.60308520115</v>
      </c>
    </row>
    <row r="520" spans="2:13" x14ac:dyDescent="0.25">
      <c r="B520" s="1859">
        <f t="shared" si="40"/>
        <v>2014</v>
      </c>
      <c r="C520" s="1859">
        <f t="shared" si="41"/>
        <v>12</v>
      </c>
      <c r="D520" s="1860">
        <f t="shared" si="42"/>
        <v>41979</v>
      </c>
      <c r="E520" s="1861">
        <v>41979</v>
      </c>
      <c r="F520" s="1862">
        <f t="shared" si="38"/>
        <v>0</v>
      </c>
      <c r="G520" s="1862">
        <v>55000</v>
      </c>
      <c r="H520" s="1862">
        <v>55000</v>
      </c>
      <c r="I520" s="1862">
        <f>Tabla1[[#This Row],[Extraccion
Norte II]]+Tabla1[[#This Row],[Extraccion
ENO]]</f>
        <v>69317.44943642999</v>
      </c>
      <c r="J520" s="1862">
        <v>69317.44943642999</v>
      </c>
      <c r="K520" s="1862"/>
      <c r="L520" s="1862">
        <f t="shared" si="39"/>
        <v>-14317.44943642999</v>
      </c>
      <c r="M520" s="1862">
        <f>M519+Tabla1[[#This Row],[Desbalance
TPL]]</f>
        <v>216589.15364877117</v>
      </c>
    </row>
    <row r="521" spans="2:13" x14ac:dyDescent="0.25">
      <c r="B521" s="1859">
        <f t="shared" si="40"/>
        <v>2014</v>
      </c>
      <c r="C521" s="1859">
        <f t="shared" si="41"/>
        <v>12</v>
      </c>
      <c r="D521" s="1860">
        <f t="shared" si="42"/>
        <v>41980</v>
      </c>
      <c r="E521" s="1861">
        <v>41980</v>
      </c>
      <c r="F521" s="1862">
        <f t="shared" si="38"/>
        <v>0</v>
      </c>
      <c r="G521" s="1862">
        <v>55000</v>
      </c>
      <c r="H521" s="1862">
        <v>55000</v>
      </c>
      <c r="I521" s="1862">
        <f>Tabla1[[#This Row],[Extraccion
Norte II]]+Tabla1[[#This Row],[Extraccion
ENO]]</f>
        <v>67659.281507610009</v>
      </c>
      <c r="J521" s="1862">
        <v>67659.281507610009</v>
      </c>
      <c r="K521" s="1862"/>
      <c r="L521" s="1862">
        <f t="shared" si="39"/>
        <v>-12659.281507610009</v>
      </c>
      <c r="M521" s="1862">
        <f>M520+Tabla1[[#This Row],[Desbalance
TPL]]</f>
        <v>203929.87214116118</v>
      </c>
    </row>
    <row r="522" spans="2:13" x14ac:dyDescent="0.25">
      <c r="B522" s="1859">
        <f t="shared" si="40"/>
        <v>2014</v>
      </c>
      <c r="C522" s="1859">
        <f t="shared" si="41"/>
        <v>12</v>
      </c>
      <c r="D522" s="1860">
        <f t="shared" si="42"/>
        <v>41981</v>
      </c>
      <c r="E522" s="1861">
        <v>41981</v>
      </c>
      <c r="F522" s="1862">
        <f t="shared" si="38"/>
        <v>0</v>
      </c>
      <c r="G522" s="1862">
        <v>55000</v>
      </c>
      <c r="H522" s="1862">
        <v>55000</v>
      </c>
      <c r="I522" s="1862">
        <f>Tabla1[[#This Row],[Extraccion
Norte II]]+Tabla1[[#This Row],[Extraccion
ENO]]</f>
        <v>71138.528151210005</v>
      </c>
      <c r="J522" s="1862">
        <v>71138.528151210005</v>
      </c>
      <c r="K522" s="1862"/>
      <c r="L522" s="1862">
        <f t="shared" si="39"/>
        <v>-16138.528151210005</v>
      </c>
      <c r="M522" s="1862">
        <f>M521+Tabla1[[#This Row],[Desbalance
TPL]]</f>
        <v>187791.34398995119</v>
      </c>
    </row>
    <row r="523" spans="2:13" x14ac:dyDescent="0.25">
      <c r="B523" s="1859">
        <f t="shared" si="40"/>
        <v>2014</v>
      </c>
      <c r="C523" s="1859">
        <f t="shared" si="41"/>
        <v>12</v>
      </c>
      <c r="D523" s="1860">
        <f t="shared" si="42"/>
        <v>41982</v>
      </c>
      <c r="E523" s="1861">
        <v>41982</v>
      </c>
      <c r="F523" s="1862">
        <f t="shared" si="38"/>
        <v>0</v>
      </c>
      <c r="G523" s="1862">
        <v>62000</v>
      </c>
      <c r="H523" s="1862">
        <v>62000</v>
      </c>
      <c r="I523" s="1862">
        <f>Tabla1[[#This Row],[Extraccion
Norte II]]+Tabla1[[#This Row],[Extraccion
ENO]]</f>
        <v>69684.605307720005</v>
      </c>
      <c r="J523" s="1862">
        <v>69684.605307720005</v>
      </c>
      <c r="K523" s="1862"/>
      <c r="L523" s="1862">
        <f t="shared" si="39"/>
        <v>-7684.6053077200049</v>
      </c>
      <c r="M523" s="1862">
        <f>M522+Tabla1[[#This Row],[Desbalance
TPL]]</f>
        <v>180106.73868223117</v>
      </c>
    </row>
    <row r="524" spans="2:13" x14ac:dyDescent="0.25">
      <c r="B524" s="1859">
        <f t="shared" si="40"/>
        <v>2014</v>
      </c>
      <c r="C524" s="1859">
        <f t="shared" si="41"/>
        <v>12</v>
      </c>
      <c r="D524" s="1860">
        <f t="shared" si="42"/>
        <v>41983</v>
      </c>
      <c r="E524" s="1861">
        <v>41983</v>
      </c>
      <c r="F524" s="1862">
        <f t="shared" ref="F524:F587" si="43">G524-H524</f>
        <v>0</v>
      </c>
      <c r="G524" s="1862">
        <v>62000</v>
      </c>
      <c r="H524" s="1862">
        <v>62000</v>
      </c>
      <c r="I524" s="1862">
        <f>Tabla1[[#This Row],[Extraccion
Norte II]]+Tabla1[[#This Row],[Extraccion
ENO]]</f>
        <v>66661.315510140004</v>
      </c>
      <c r="J524" s="1862">
        <v>66661.315510140004</v>
      </c>
      <c r="K524" s="1862"/>
      <c r="L524" s="1862">
        <f t="shared" ref="L524:L587" si="44">H524-I524</f>
        <v>-4661.3155101400043</v>
      </c>
      <c r="M524" s="1862">
        <f>M523+Tabla1[[#This Row],[Desbalance
TPL]]</f>
        <v>175445.42317209116</v>
      </c>
    </row>
    <row r="525" spans="2:13" x14ac:dyDescent="0.25">
      <c r="B525" s="1859">
        <f t="shared" si="40"/>
        <v>2014</v>
      </c>
      <c r="C525" s="1859">
        <f t="shared" si="41"/>
        <v>12</v>
      </c>
      <c r="D525" s="1860">
        <f t="shared" si="42"/>
        <v>41984</v>
      </c>
      <c r="E525" s="1861">
        <v>41984</v>
      </c>
      <c r="F525" s="1862">
        <f t="shared" si="43"/>
        <v>0</v>
      </c>
      <c r="G525" s="1862">
        <v>62000</v>
      </c>
      <c r="H525" s="1862">
        <v>62000</v>
      </c>
      <c r="I525" s="1862">
        <f>Tabla1[[#This Row],[Extraccion
Norte II]]+Tabla1[[#This Row],[Extraccion
ENO]]</f>
        <v>68935.801443210003</v>
      </c>
      <c r="J525" s="1862">
        <v>68935.801443210003</v>
      </c>
      <c r="K525" s="1862"/>
      <c r="L525" s="1862">
        <f t="shared" si="44"/>
        <v>-6935.8014432100026</v>
      </c>
      <c r="M525" s="1862">
        <f>M524+Tabla1[[#This Row],[Desbalance
TPL]]</f>
        <v>168509.62172888115</v>
      </c>
    </row>
    <row r="526" spans="2:13" x14ac:dyDescent="0.25">
      <c r="B526" s="1859">
        <f t="shared" si="40"/>
        <v>2014</v>
      </c>
      <c r="C526" s="1859">
        <f t="shared" si="41"/>
        <v>12</v>
      </c>
      <c r="D526" s="1860">
        <f t="shared" si="42"/>
        <v>41985</v>
      </c>
      <c r="E526" s="1861">
        <v>41985</v>
      </c>
      <c r="F526" s="1862">
        <f t="shared" si="43"/>
        <v>0</v>
      </c>
      <c r="G526" s="1862">
        <v>61500</v>
      </c>
      <c r="H526" s="1862">
        <v>61500</v>
      </c>
      <c r="I526" s="1862">
        <f>Tabla1[[#This Row],[Extraccion
Norte II]]+Tabla1[[#This Row],[Extraccion
ENO]]</f>
        <v>62445.452033016008</v>
      </c>
      <c r="J526" s="1862">
        <v>62445.452033016008</v>
      </c>
      <c r="K526" s="1862"/>
      <c r="L526" s="1862">
        <f t="shared" si="44"/>
        <v>-945.4520330160085</v>
      </c>
      <c r="M526" s="1862">
        <f>M525+Tabla1[[#This Row],[Desbalance
TPL]]</f>
        <v>167564.16969586513</v>
      </c>
    </row>
    <row r="527" spans="2:13" x14ac:dyDescent="0.25">
      <c r="B527" s="1859">
        <f t="shared" si="40"/>
        <v>2014</v>
      </c>
      <c r="C527" s="1859">
        <f t="shared" si="41"/>
        <v>12</v>
      </c>
      <c r="D527" s="1860">
        <f t="shared" si="42"/>
        <v>41986</v>
      </c>
      <c r="E527" s="1861">
        <v>41986</v>
      </c>
      <c r="F527" s="1862">
        <f t="shared" si="43"/>
        <v>0</v>
      </c>
      <c r="G527" s="1862">
        <v>59000</v>
      </c>
      <c r="H527" s="1862">
        <v>59000</v>
      </c>
      <c r="I527" s="1862">
        <f>Tabla1[[#This Row],[Extraccion
Norte II]]+Tabla1[[#This Row],[Extraccion
ENO]]</f>
        <v>68474.991774149996</v>
      </c>
      <c r="J527" s="1862">
        <v>68474.991774149996</v>
      </c>
      <c r="K527" s="1862"/>
      <c r="L527" s="1862">
        <f t="shared" si="44"/>
        <v>-9474.9917741499958</v>
      </c>
      <c r="M527" s="1862">
        <f>M526+Tabla1[[#This Row],[Desbalance
TPL]]</f>
        <v>158089.17792171513</v>
      </c>
    </row>
    <row r="528" spans="2:13" x14ac:dyDescent="0.25">
      <c r="B528" s="1859">
        <f t="shared" si="40"/>
        <v>2014</v>
      </c>
      <c r="C528" s="1859">
        <f t="shared" si="41"/>
        <v>12</v>
      </c>
      <c r="D528" s="1860">
        <f t="shared" si="42"/>
        <v>41987</v>
      </c>
      <c r="E528" s="1861">
        <v>41987</v>
      </c>
      <c r="F528" s="1862">
        <f t="shared" si="43"/>
        <v>0</v>
      </c>
      <c r="G528" s="1862">
        <v>59000</v>
      </c>
      <c r="H528" s="1862">
        <v>59000</v>
      </c>
      <c r="I528" s="1862">
        <f>Tabla1[[#This Row],[Extraccion
Norte II]]+Tabla1[[#This Row],[Extraccion
ENO]]</f>
        <v>68265.268306559999</v>
      </c>
      <c r="J528" s="1862">
        <v>68265.268306559999</v>
      </c>
      <c r="K528" s="1862"/>
      <c r="L528" s="1862">
        <f t="shared" si="44"/>
        <v>-9265.2683065599995</v>
      </c>
      <c r="M528" s="1862">
        <f>M527+Tabla1[[#This Row],[Desbalance
TPL]]</f>
        <v>148823.90961515513</v>
      </c>
    </row>
    <row r="529" spans="2:13" x14ac:dyDescent="0.25">
      <c r="B529" s="1859">
        <f t="shared" si="40"/>
        <v>2014</v>
      </c>
      <c r="C529" s="1859">
        <f t="shared" si="41"/>
        <v>12</v>
      </c>
      <c r="D529" s="1860">
        <f t="shared" si="42"/>
        <v>41988</v>
      </c>
      <c r="E529" s="1861">
        <v>41988</v>
      </c>
      <c r="F529" s="1862">
        <f t="shared" si="43"/>
        <v>0</v>
      </c>
      <c r="G529" s="1862">
        <v>59000</v>
      </c>
      <c r="H529" s="1862">
        <v>59000</v>
      </c>
      <c r="I529" s="1862">
        <f>Tabla1[[#This Row],[Extraccion
Norte II]]+Tabla1[[#This Row],[Extraccion
ENO]]</f>
        <v>72646.666127100005</v>
      </c>
      <c r="J529" s="1862">
        <v>72646.666127100005</v>
      </c>
      <c r="K529" s="1862"/>
      <c r="L529" s="1862">
        <f t="shared" si="44"/>
        <v>-13646.666127100005</v>
      </c>
      <c r="M529" s="1862">
        <f>M528+Tabla1[[#This Row],[Desbalance
TPL]]</f>
        <v>135177.24348805513</v>
      </c>
    </row>
    <row r="530" spans="2:13" x14ac:dyDescent="0.25">
      <c r="B530" s="1859">
        <f t="shared" si="40"/>
        <v>2014</v>
      </c>
      <c r="C530" s="1859">
        <f t="shared" si="41"/>
        <v>12</v>
      </c>
      <c r="D530" s="1860">
        <f t="shared" si="42"/>
        <v>41989</v>
      </c>
      <c r="E530" s="1861">
        <v>41989</v>
      </c>
      <c r="F530" s="1862">
        <f t="shared" si="43"/>
        <v>0</v>
      </c>
      <c r="G530" s="1862">
        <v>65000</v>
      </c>
      <c r="H530" s="1862">
        <v>65000</v>
      </c>
      <c r="I530" s="1862">
        <f>Tabla1[[#This Row],[Extraccion
Norte II]]+Tabla1[[#This Row],[Extraccion
ENO]]</f>
        <v>71033.794372710006</v>
      </c>
      <c r="J530" s="1862">
        <v>71033.794372710006</v>
      </c>
      <c r="K530" s="1862"/>
      <c r="L530" s="1862">
        <f t="shared" si="44"/>
        <v>-6033.7943727100064</v>
      </c>
      <c r="M530" s="1862">
        <f>M529+Tabla1[[#This Row],[Desbalance
TPL]]</f>
        <v>129143.44911534512</v>
      </c>
    </row>
    <row r="531" spans="2:13" x14ac:dyDescent="0.25">
      <c r="B531" s="1859">
        <f t="shared" si="40"/>
        <v>2014</v>
      </c>
      <c r="C531" s="1859">
        <f t="shared" si="41"/>
        <v>12</v>
      </c>
      <c r="D531" s="1860">
        <f t="shared" si="42"/>
        <v>41990</v>
      </c>
      <c r="E531" s="1861">
        <v>41990</v>
      </c>
      <c r="F531" s="1862">
        <f t="shared" si="43"/>
        <v>0</v>
      </c>
      <c r="G531" s="1862">
        <v>65500</v>
      </c>
      <c r="H531" s="1862">
        <v>65500</v>
      </c>
      <c r="I531" s="1862">
        <f>Tabla1[[#This Row],[Extraccion
Norte II]]+Tabla1[[#This Row],[Extraccion
ENO]]</f>
        <v>73397.109715019993</v>
      </c>
      <c r="J531" s="1862">
        <v>73397.109715019993</v>
      </c>
      <c r="K531" s="1862"/>
      <c r="L531" s="1862">
        <f t="shared" si="44"/>
        <v>-7897.109715019993</v>
      </c>
      <c r="M531" s="1862">
        <f>M530+Tabla1[[#This Row],[Desbalance
TPL]]</f>
        <v>121246.33940032513</v>
      </c>
    </row>
    <row r="532" spans="2:13" x14ac:dyDescent="0.25">
      <c r="B532" s="1859">
        <f t="shared" si="40"/>
        <v>2014</v>
      </c>
      <c r="C532" s="1859">
        <f t="shared" si="41"/>
        <v>12</v>
      </c>
      <c r="D532" s="1860">
        <f t="shared" si="42"/>
        <v>41991</v>
      </c>
      <c r="E532" s="1861">
        <v>41991</v>
      </c>
      <c r="F532" s="1862">
        <f t="shared" si="43"/>
        <v>0</v>
      </c>
      <c r="G532" s="1862">
        <v>65500</v>
      </c>
      <c r="H532" s="1862">
        <v>65500</v>
      </c>
      <c r="I532" s="1862">
        <f>Tabla1[[#This Row],[Extraccion
Norte II]]+Tabla1[[#This Row],[Extraccion
ENO]]</f>
        <v>71248.7308338</v>
      </c>
      <c r="J532" s="1862">
        <v>71248.7308338</v>
      </c>
      <c r="K532" s="1862"/>
      <c r="L532" s="1862">
        <f t="shared" si="44"/>
        <v>-5748.7308338000003</v>
      </c>
      <c r="M532" s="1862">
        <f>M531+Tabla1[[#This Row],[Desbalance
TPL]]</f>
        <v>115497.60856652513</v>
      </c>
    </row>
    <row r="533" spans="2:13" x14ac:dyDescent="0.25">
      <c r="B533" s="1859">
        <f t="shared" si="40"/>
        <v>2014</v>
      </c>
      <c r="C533" s="1859">
        <f t="shared" si="41"/>
        <v>12</v>
      </c>
      <c r="D533" s="1860">
        <f t="shared" si="42"/>
        <v>41992</v>
      </c>
      <c r="E533" s="1861">
        <v>41992</v>
      </c>
      <c r="F533" s="1862">
        <f t="shared" si="43"/>
        <v>0</v>
      </c>
      <c r="G533" s="1862">
        <v>64500</v>
      </c>
      <c r="H533" s="1862">
        <v>64500</v>
      </c>
      <c r="I533" s="1862">
        <f>Tabla1[[#This Row],[Extraccion
Norte II]]+Tabla1[[#This Row],[Extraccion
ENO]]</f>
        <v>68992.604116019997</v>
      </c>
      <c r="J533" s="1862">
        <v>68992.604116019997</v>
      </c>
      <c r="K533" s="1862"/>
      <c r="L533" s="1862">
        <f t="shared" si="44"/>
        <v>-4492.6041160199966</v>
      </c>
      <c r="M533" s="1862">
        <f>M532+Tabla1[[#This Row],[Desbalance
TPL]]</f>
        <v>111005.00445050513</v>
      </c>
    </row>
    <row r="534" spans="2:13" x14ac:dyDescent="0.25">
      <c r="B534" s="1859">
        <f t="shared" si="40"/>
        <v>2014</v>
      </c>
      <c r="C534" s="1859">
        <f t="shared" si="41"/>
        <v>12</v>
      </c>
      <c r="D534" s="1860">
        <f t="shared" si="42"/>
        <v>41993</v>
      </c>
      <c r="E534" s="1861">
        <v>41993</v>
      </c>
      <c r="F534" s="1862">
        <f t="shared" si="43"/>
        <v>0</v>
      </c>
      <c r="G534" s="1862">
        <v>60000</v>
      </c>
      <c r="H534" s="1862">
        <v>60000</v>
      </c>
      <c r="I534" s="1862">
        <f>Tabla1[[#This Row],[Extraccion
Norte II]]+Tabla1[[#This Row],[Extraccion
ENO]]</f>
        <v>64379.417648130002</v>
      </c>
      <c r="J534" s="1862">
        <v>64379.417648130002</v>
      </c>
      <c r="K534" s="1862"/>
      <c r="L534" s="1862">
        <f t="shared" si="44"/>
        <v>-4379.4176481300019</v>
      </c>
      <c r="M534" s="1862">
        <f>M533+Tabla1[[#This Row],[Desbalance
TPL]]</f>
        <v>106625.58680237512</v>
      </c>
    </row>
    <row r="535" spans="2:13" x14ac:dyDescent="0.25">
      <c r="B535" s="1859">
        <f t="shared" si="40"/>
        <v>2014</v>
      </c>
      <c r="C535" s="1859">
        <f t="shared" si="41"/>
        <v>12</v>
      </c>
      <c r="D535" s="1860">
        <f t="shared" si="42"/>
        <v>41994</v>
      </c>
      <c r="E535" s="1861">
        <v>41994</v>
      </c>
      <c r="F535" s="1862">
        <f t="shared" si="43"/>
        <v>0</v>
      </c>
      <c r="G535" s="1862">
        <v>60000</v>
      </c>
      <c r="H535" s="1862">
        <v>60000</v>
      </c>
      <c r="I535" s="1862">
        <f>Tabla1[[#This Row],[Extraccion
Norte II]]+Tabla1[[#This Row],[Extraccion
ENO]]</f>
        <v>64807.688759580007</v>
      </c>
      <c r="J535" s="1862">
        <v>64807.688759580007</v>
      </c>
      <c r="K535" s="1862"/>
      <c r="L535" s="1862">
        <f t="shared" si="44"/>
        <v>-4807.6887595800072</v>
      </c>
      <c r="M535" s="1862">
        <f>M534+Tabla1[[#This Row],[Desbalance
TPL]]</f>
        <v>101817.89804279512</v>
      </c>
    </row>
    <row r="536" spans="2:13" x14ac:dyDescent="0.25">
      <c r="B536" s="1859">
        <f t="shared" si="40"/>
        <v>2014</v>
      </c>
      <c r="C536" s="1859">
        <f t="shared" si="41"/>
        <v>12</v>
      </c>
      <c r="D536" s="1860">
        <f t="shared" si="42"/>
        <v>41995</v>
      </c>
      <c r="E536" s="1861">
        <v>41995</v>
      </c>
      <c r="F536" s="1862">
        <f t="shared" si="43"/>
        <v>0</v>
      </c>
      <c r="G536" s="1862">
        <v>60000</v>
      </c>
      <c r="H536" s="1862">
        <v>60000</v>
      </c>
      <c r="I536" s="1862">
        <f>Tabla1[[#This Row],[Extraccion
Norte II]]+Tabla1[[#This Row],[Extraccion
ENO]]</f>
        <v>71364.203378909995</v>
      </c>
      <c r="J536" s="1862">
        <v>71364.203378909995</v>
      </c>
      <c r="K536" s="1862"/>
      <c r="L536" s="1862">
        <f t="shared" si="44"/>
        <v>-11364.203378909995</v>
      </c>
      <c r="M536" s="1862">
        <f>M535+Tabla1[[#This Row],[Desbalance
TPL]]</f>
        <v>90453.694663885122</v>
      </c>
    </row>
    <row r="537" spans="2:13" x14ac:dyDescent="0.25">
      <c r="B537" s="1859">
        <f t="shared" si="40"/>
        <v>2014</v>
      </c>
      <c r="C537" s="1859">
        <f t="shared" si="41"/>
        <v>12</v>
      </c>
      <c r="D537" s="1860">
        <f t="shared" si="42"/>
        <v>41996</v>
      </c>
      <c r="E537" s="1861">
        <v>41996</v>
      </c>
      <c r="F537" s="1862">
        <f t="shared" si="43"/>
        <v>0</v>
      </c>
      <c r="G537" s="1862">
        <v>67000</v>
      </c>
      <c r="H537" s="1862">
        <v>67000</v>
      </c>
      <c r="I537" s="1862">
        <f>Tabla1[[#This Row],[Extraccion
Norte II]]+Tabla1[[#This Row],[Extraccion
ENO]]</f>
        <v>68340.259587599998</v>
      </c>
      <c r="J537" s="1862">
        <v>68340.259587599998</v>
      </c>
      <c r="K537" s="1862"/>
      <c r="L537" s="1862">
        <f t="shared" si="44"/>
        <v>-1340.2595875999978</v>
      </c>
      <c r="M537" s="1862">
        <f>M536+Tabla1[[#This Row],[Desbalance
TPL]]</f>
        <v>89113.435076285125</v>
      </c>
    </row>
    <row r="538" spans="2:13" x14ac:dyDescent="0.25">
      <c r="B538" s="1859">
        <f t="shared" si="40"/>
        <v>2014</v>
      </c>
      <c r="C538" s="1859">
        <f t="shared" si="41"/>
        <v>12</v>
      </c>
      <c r="D538" s="1860">
        <f t="shared" si="42"/>
        <v>41997</v>
      </c>
      <c r="E538" s="1861">
        <v>41997</v>
      </c>
      <c r="F538" s="1862">
        <f t="shared" si="43"/>
        <v>0</v>
      </c>
      <c r="G538" s="1862">
        <v>64000</v>
      </c>
      <c r="H538" s="1862">
        <v>64000</v>
      </c>
      <c r="I538" s="1862">
        <f>Tabla1[[#This Row],[Extraccion
Norte II]]+Tabla1[[#This Row],[Extraccion
ENO]]</f>
        <v>53763.222732570001</v>
      </c>
      <c r="J538" s="1862">
        <v>53763.222732570001</v>
      </c>
      <c r="K538" s="1862"/>
      <c r="L538" s="1862">
        <f t="shared" si="44"/>
        <v>10236.777267429999</v>
      </c>
      <c r="M538" s="1862">
        <f>M537+Tabla1[[#This Row],[Desbalance
TPL]]</f>
        <v>99350.212343715131</v>
      </c>
    </row>
    <row r="539" spans="2:13" x14ac:dyDescent="0.25">
      <c r="B539" s="1859">
        <f t="shared" si="40"/>
        <v>2014</v>
      </c>
      <c r="C539" s="1859">
        <f t="shared" si="41"/>
        <v>12</v>
      </c>
      <c r="D539" s="1860">
        <f t="shared" si="42"/>
        <v>41998</v>
      </c>
      <c r="E539" s="1861">
        <v>41998</v>
      </c>
      <c r="F539" s="1862">
        <f t="shared" si="43"/>
        <v>0</v>
      </c>
      <c r="G539" s="1862">
        <v>60000</v>
      </c>
      <c r="H539" s="1862">
        <v>60000</v>
      </c>
      <c r="I539" s="1862">
        <f>Tabla1[[#This Row],[Extraccion
Norte II]]+Tabla1[[#This Row],[Extraccion
ENO]]</f>
        <v>42486.655278600003</v>
      </c>
      <c r="J539" s="1862">
        <v>42486.655278600003</v>
      </c>
      <c r="K539" s="1862"/>
      <c r="L539" s="1862">
        <f t="shared" si="44"/>
        <v>17513.344721399997</v>
      </c>
      <c r="M539" s="1862">
        <f>M538+Tabla1[[#This Row],[Desbalance
TPL]]</f>
        <v>116863.55706511514</v>
      </c>
    </row>
    <row r="540" spans="2:13" x14ac:dyDescent="0.25">
      <c r="B540" s="1859">
        <f t="shared" ref="B540:B603" si="45">YEAR(E540)</f>
        <v>2014</v>
      </c>
      <c r="C540" s="1859">
        <f t="shared" ref="C540:C603" si="46">MONTH(E540)</f>
        <v>12</v>
      </c>
      <c r="D540" s="1860">
        <f t="shared" ref="D540:D603" si="47">E540</f>
        <v>41999</v>
      </c>
      <c r="E540" s="1861">
        <v>41999</v>
      </c>
      <c r="F540" s="1862">
        <f t="shared" si="43"/>
        <v>0</v>
      </c>
      <c r="G540" s="1862">
        <v>60000</v>
      </c>
      <c r="H540" s="1862">
        <v>60000</v>
      </c>
      <c r="I540" s="1862">
        <f>Tabla1[[#This Row],[Extraccion
Norte II]]+Tabla1[[#This Row],[Extraccion
ENO]]</f>
        <v>62389.466378460005</v>
      </c>
      <c r="J540" s="1862">
        <v>62389.466378460005</v>
      </c>
      <c r="K540" s="1862"/>
      <c r="L540" s="1862">
        <f t="shared" si="44"/>
        <v>-2389.4663784600052</v>
      </c>
      <c r="M540" s="1862">
        <f>M539+Tabla1[[#This Row],[Desbalance
TPL]]</f>
        <v>114474.09068665514</v>
      </c>
    </row>
    <row r="541" spans="2:13" x14ac:dyDescent="0.25">
      <c r="B541" s="1859">
        <f t="shared" si="45"/>
        <v>2014</v>
      </c>
      <c r="C541" s="1859">
        <f t="shared" si="46"/>
        <v>12</v>
      </c>
      <c r="D541" s="1860">
        <f t="shared" si="47"/>
        <v>42000</v>
      </c>
      <c r="E541" s="1861">
        <v>42000</v>
      </c>
      <c r="F541" s="1862">
        <f t="shared" si="43"/>
        <v>0</v>
      </c>
      <c r="G541" s="1862">
        <v>60000</v>
      </c>
      <c r="H541" s="1862">
        <v>60000</v>
      </c>
      <c r="I541" s="1862">
        <f>Tabla1[[#This Row],[Extraccion
Norte II]]+Tabla1[[#This Row],[Extraccion
ENO]]</f>
        <v>64954.486656539993</v>
      </c>
      <c r="J541" s="1862">
        <v>64954.486656539993</v>
      </c>
      <c r="K541" s="1862"/>
      <c r="L541" s="1862">
        <f t="shared" si="44"/>
        <v>-4954.4866565399934</v>
      </c>
      <c r="M541" s="1862">
        <f>M540+Tabla1[[#This Row],[Desbalance
TPL]]</f>
        <v>109519.60403011515</v>
      </c>
    </row>
    <row r="542" spans="2:13" x14ac:dyDescent="0.25">
      <c r="B542" s="1859">
        <f t="shared" si="45"/>
        <v>2014</v>
      </c>
      <c r="C542" s="1859">
        <f t="shared" si="46"/>
        <v>12</v>
      </c>
      <c r="D542" s="1860">
        <f t="shared" si="47"/>
        <v>42001</v>
      </c>
      <c r="E542" s="1861">
        <v>42001</v>
      </c>
      <c r="F542" s="1862">
        <f t="shared" si="43"/>
        <v>0</v>
      </c>
      <c r="G542" s="1862">
        <v>60000</v>
      </c>
      <c r="H542" s="1862">
        <v>60000</v>
      </c>
      <c r="I542" s="1862">
        <f>Tabla1[[#This Row],[Extraccion
Norte II]]+Tabla1[[#This Row],[Extraccion
ENO]]</f>
        <v>55316.145061709998</v>
      </c>
      <c r="J542" s="1862">
        <v>55316.145061709998</v>
      </c>
      <c r="K542" s="1862"/>
      <c r="L542" s="1862">
        <f t="shared" si="44"/>
        <v>4683.8549382900019</v>
      </c>
      <c r="M542" s="1862">
        <f>M541+Tabla1[[#This Row],[Desbalance
TPL]]</f>
        <v>114203.45896840515</v>
      </c>
    </row>
    <row r="543" spans="2:13" x14ac:dyDescent="0.25">
      <c r="B543" s="1859">
        <f t="shared" si="45"/>
        <v>2014</v>
      </c>
      <c r="C543" s="1859">
        <f t="shared" si="46"/>
        <v>12</v>
      </c>
      <c r="D543" s="1860">
        <f t="shared" si="47"/>
        <v>42002</v>
      </c>
      <c r="E543" s="1861">
        <v>42002</v>
      </c>
      <c r="F543" s="1862">
        <f t="shared" si="43"/>
        <v>0</v>
      </c>
      <c r="G543" s="1862">
        <v>60000</v>
      </c>
      <c r="H543" s="1862">
        <v>60000</v>
      </c>
      <c r="I543" s="1862">
        <f>Tabla1[[#This Row],[Extraccion
Norte II]]+Tabla1[[#This Row],[Extraccion
ENO]]</f>
        <v>59062.211668980002</v>
      </c>
      <c r="J543" s="1862">
        <v>59062.211668980002</v>
      </c>
      <c r="K543" s="1862"/>
      <c r="L543" s="1862">
        <f t="shared" si="44"/>
        <v>937.78833101999771</v>
      </c>
      <c r="M543" s="1862">
        <f>M542+Tabla1[[#This Row],[Desbalance
TPL]]</f>
        <v>115141.24729942514</v>
      </c>
    </row>
    <row r="544" spans="2:13" x14ac:dyDescent="0.25">
      <c r="B544" s="1859">
        <f t="shared" si="45"/>
        <v>2014</v>
      </c>
      <c r="C544" s="1859">
        <f t="shared" si="46"/>
        <v>12</v>
      </c>
      <c r="D544" s="1860">
        <f t="shared" si="47"/>
        <v>42003</v>
      </c>
      <c r="E544" s="1861">
        <v>42003</v>
      </c>
      <c r="F544" s="1862">
        <f t="shared" si="43"/>
        <v>0</v>
      </c>
      <c r="G544" s="1862">
        <v>60000</v>
      </c>
      <c r="H544" s="1862">
        <v>60000</v>
      </c>
      <c r="I544" s="1862">
        <f>Tabla1[[#This Row],[Extraccion
Norte II]]+Tabla1[[#This Row],[Extraccion
ENO]]</f>
        <v>58572.578884950002</v>
      </c>
      <c r="J544" s="1862">
        <v>58572.578884950002</v>
      </c>
      <c r="K544" s="1862"/>
      <c r="L544" s="1862">
        <f t="shared" si="44"/>
        <v>1427.4211150499978</v>
      </c>
      <c r="M544" s="1862">
        <f>M543+Tabla1[[#This Row],[Desbalance
TPL]]</f>
        <v>116568.66841447513</v>
      </c>
    </row>
    <row r="545" spans="2:13" x14ac:dyDescent="0.25">
      <c r="B545" s="1859">
        <f t="shared" si="45"/>
        <v>2014</v>
      </c>
      <c r="C545" s="1859">
        <f t="shared" si="46"/>
        <v>12</v>
      </c>
      <c r="D545" s="1860">
        <f t="shared" si="47"/>
        <v>42004</v>
      </c>
      <c r="E545" s="1861">
        <v>42004</v>
      </c>
      <c r="F545" s="1862">
        <f t="shared" si="43"/>
        <v>0</v>
      </c>
      <c r="G545" s="1862">
        <v>60000</v>
      </c>
      <c r="H545" s="1862">
        <v>60000</v>
      </c>
      <c r="I545" s="1862">
        <f>Tabla1[[#This Row],[Extraccion
Norte II]]+Tabla1[[#This Row],[Extraccion
ENO]]</f>
        <v>52372.396066770001</v>
      </c>
      <c r="J545" s="1862">
        <v>52372.396066770001</v>
      </c>
      <c r="K545" s="1862"/>
      <c r="L545" s="1862">
        <f t="shared" si="44"/>
        <v>7627.6039332299988</v>
      </c>
      <c r="M545" s="1862">
        <f>M544+Tabla1[[#This Row],[Desbalance
TPL]]</f>
        <v>124196.27234770513</v>
      </c>
    </row>
    <row r="546" spans="2:13" x14ac:dyDescent="0.25">
      <c r="B546" s="1859">
        <f t="shared" si="45"/>
        <v>2015</v>
      </c>
      <c r="C546" s="1859">
        <f t="shared" si="46"/>
        <v>1</v>
      </c>
      <c r="D546" s="1860">
        <f t="shared" si="47"/>
        <v>42005</v>
      </c>
      <c r="E546" s="1861">
        <v>42005</v>
      </c>
      <c r="F546" s="1862">
        <f t="shared" si="43"/>
        <v>0</v>
      </c>
      <c r="G546" s="1862">
        <v>54945</v>
      </c>
      <c r="H546" s="1862">
        <v>54945</v>
      </c>
      <c r="I546" s="1862">
        <f>Tabla1[[#This Row],[Extraccion
Norte II]]+Tabla1[[#This Row],[Extraccion
ENO]]</f>
        <v>48180.58060257</v>
      </c>
      <c r="J546" s="1862">
        <v>48180.58060257</v>
      </c>
      <c r="K546" s="1862"/>
      <c r="L546" s="1862">
        <f t="shared" si="44"/>
        <v>6764.4193974299997</v>
      </c>
      <c r="M546" s="1862">
        <f>M545+Tabla1[[#This Row],[Desbalance
TPL]]</f>
        <v>130960.69174513513</v>
      </c>
    </row>
    <row r="547" spans="2:13" x14ac:dyDescent="0.25">
      <c r="B547" s="1859">
        <f t="shared" si="45"/>
        <v>2015</v>
      </c>
      <c r="C547" s="1859">
        <f t="shared" si="46"/>
        <v>1</v>
      </c>
      <c r="D547" s="1860">
        <f t="shared" si="47"/>
        <v>42006</v>
      </c>
      <c r="E547" s="1861">
        <v>42006</v>
      </c>
      <c r="F547" s="1862">
        <f t="shared" si="43"/>
        <v>0</v>
      </c>
      <c r="G547" s="1862">
        <v>60000</v>
      </c>
      <c r="H547" s="1862">
        <v>60000</v>
      </c>
      <c r="I547" s="1862">
        <f>Tabla1[[#This Row],[Extraccion
Norte II]]+Tabla1[[#This Row],[Extraccion
ENO]]</f>
        <v>55705.536719820004</v>
      </c>
      <c r="J547" s="1862">
        <v>55705.536719820004</v>
      </c>
      <c r="K547" s="1862"/>
      <c r="L547" s="1862">
        <f t="shared" si="44"/>
        <v>4294.4632801799962</v>
      </c>
      <c r="M547" s="1862">
        <f>M546+Tabla1[[#This Row],[Desbalance
TPL]]</f>
        <v>135255.15502531512</v>
      </c>
    </row>
    <row r="548" spans="2:13" x14ac:dyDescent="0.25">
      <c r="B548" s="1859">
        <f t="shared" si="45"/>
        <v>2015</v>
      </c>
      <c r="C548" s="1859">
        <f t="shared" si="46"/>
        <v>1</v>
      </c>
      <c r="D548" s="1860">
        <f t="shared" si="47"/>
        <v>42007</v>
      </c>
      <c r="E548" s="1861">
        <v>42007</v>
      </c>
      <c r="F548" s="1862">
        <f t="shared" si="43"/>
        <v>0</v>
      </c>
      <c r="G548" s="1862">
        <v>59602</v>
      </c>
      <c r="H548" s="1862">
        <v>59602</v>
      </c>
      <c r="I548" s="1862">
        <f>Tabla1[[#This Row],[Extraccion
Norte II]]+Tabla1[[#This Row],[Extraccion
ENO]]</f>
        <v>66232.788488100006</v>
      </c>
      <c r="J548" s="1862">
        <v>66232.788488100006</v>
      </c>
      <c r="K548" s="1862"/>
      <c r="L548" s="1862">
        <f t="shared" si="44"/>
        <v>-6630.7884881000064</v>
      </c>
      <c r="M548" s="1862">
        <f>M547+Tabla1[[#This Row],[Desbalance
TPL]]</f>
        <v>128624.36653721512</v>
      </c>
    </row>
    <row r="549" spans="2:13" x14ac:dyDescent="0.25">
      <c r="B549" s="1859">
        <f t="shared" si="45"/>
        <v>2015</v>
      </c>
      <c r="C549" s="1859">
        <f t="shared" si="46"/>
        <v>1</v>
      </c>
      <c r="D549" s="1860">
        <f t="shared" si="47"/>
        <v>42008</v>
      </c>
      <c r="E549" s="1861">
        <v>42008</v>
      </c>
      <c r="F549" s="1862">
        <f t="shared" si="43"/>
        <v>0</v>
      </c>
      <c r="G549" s="1862">
        <v>59867</v>
      </c>
      <c r="H549" s="1862">
        <v>59867</v>
      </c>
      <c r="I549" s="1862">
        <f>Tabla1[[#This Row],[Extraccion
Norte II]]+Tabla1[[#This Row],[Extraccion
ENO]]</f>
        <v>59876.86038048</v>
      </c>
      <c r="J549" s="1862">
        <v>59876.86038048</v>
      </c>
      <c r="K549" s="1862"/>
      <c r="L549" s="1862">
        <f t="shared" si="44"/>
        <v>-9.8603804800004582</v>
      </c>
      <c r="M549" s="1862">
        <f>M548+Tabla1[[#This Row],[Desbalance
TPL]]</f>
        <v>128614.50615673512</v>
      </c>
    </row>
    <row r="550" spans="2:13" x14ac:dyDescent="0.25">
      <c r="B550" s="1859">
        <f t="shared" si="45"/>
        <v>2015</v>
      </c>
      <c r="C550" s="1859">
        <f t="shared" si="46"/>
        <v>1</v>
      </c>
      <c r="D550" s="1860">
        <f t="shared" si="47"/>
        <v>42009</v>
      </c>
      <c r="E550" s="1861">
        <v>42009</v>
      </c>
      <c r="F550" s="1862">
        <f t="shared" si="43"/>
        <v>0</v>
      </c>
      <c r="G550" s="1862">
        <v>60000</v>
      </c>
      <c r="H550" s="1862">
        <v>60000</v>
      </c>
      <c r="I550" s="1862">
        <f>Tabla1[[#This Row],[Extraccion
Norte II]]+Tabla1[[#This Row],[Extraccion
ENO]]</f>
        <v>66950.494476840002</v>
      </c>
      <c r="J550" s="1862">
        <v>66950.494476840002</v>
      </c>
      <c r="K550" s="1862"/>
      <c r="L550" s="1862">
        <f t="shared" si="44"/>
        <v>-6950.4944768400019</v>
      </c>
      <c r="M550" s="1862">
        <f>M549+Tabla1[[#This Row],[Desbalance
TPL]]</f>
        <v>121664.01167989512</v>
      </c>
    </row>
    <row r="551" spans="2:13" x14ac:dyDescent="0.25">
      <c r="B551" s="1859">
        <f t="shared" si="45"/>
        <v>2015</v>
      </c>
      <c r="C551" s="1859">
        <f t="shared" si="46"/>
        <v>1</v>
      </c>
      <c r="D551" s="1860">
        <f t="shared" si="47"/>
        <v>42010</v>
      </c>
      <c r="E551" s="1861">
        <v>42010</v>
      </c>
      <c r="F551" s="1862">
        <f t="shared" si="43"/>
        <v>0</v>
      </c>
      <c r="G551" s="1862">
        <v>60000</v>
      </c>
      <c r="H551" s="1862">
        <v>60000</v>
      </c>
      <c r="I551" s="1862">
        <f>Tabla1[[#This Row],[Extraccion
Norte II]]+Tabla1[[#This Row],[Extraccion
ENO]]</f>
        <v>65828.099063610003</v>
      </c>
      <c r="J551" s="1862">
        <v>65828.099063610003</v>
      </c>
      <c r="K551" s="1862"/>
      <c r="L551" s="1862">
        <f t="shared" si="44"/>
        <v>-5828.0990636100032</v>
      </c>
      <c r="M551" s="1862">
        <f>M550+Tabla1[[#This Row],[Desbalance
TPL]]</f>
        <v>115835.91261628512</v>
      </c>
    </row>
    <row r="552" spans="2:13" x14ac:dyDescent="0.25">
      <c r="B552" s="1859">
        <f t="shared" si="45"/>
        <v>2015</v>
      </c>
      <c r="C552" s="1859">
        <f t="shared" si="46"/>
        <v>1</v>
      </c>
      <c r="D552" s="1860">
        <f t="shared" si="47"/>
        <v>42011</v>
      </c>
      <c r="E552" s="1861">
        <v>42011</v>
      </c>
      <c r="F552" s="1862">
        <f t="shared" si="43"/>
        <v>0</v>
      </c>
      <c r="G552" s="1862">
        <v>60000</v>
      </c>
      <c r="H552" s="1862">
        <v>60000</v>
      </c>
      <c r="I552" s="1862">
        <f>Tabla1[[#This Row],[Extraccion
Norte II]]+Tabla1[[#This Row],[Extraccion
ENO]]</f>
        <v>67752.632003940002</v>
      </c>
      <c r="J552" s="1862">
        <v>67752.632003940002</v>
      </c>
      <c r="K552" s="1862"/>
      <c r="L552" s="1862">
        <f t="shared" si="44"/>
        <v>-7752.6320039400016</v>
      </c>
      <c r="M552" s="1862">
        <f>M551+Tabla1[[#This Row],[Desbalance
TPL]]</f>
        <v>108083.28061234512</v>
      </c>
    </row>
    <row r="553" spans="2:13" x14ac:dyDescent="0.25">
      <c r="B553" s="1859">
        <f t="shared" si="45"/>
        <v>2015</v>
      </c>
      <c r="C553" s="1859">
        <f t="shared" si="46"/>
        <v>1</v>
      </c>
      <c r="D553" s="1860">
        <f t="shared" si="47"/>
        <v>42012</v>
      </c>
      <c r="E553" s="1861">
        <v>42012</v>
      </c>
      <c r="F553" s="1862">
        <f t="shared" si="43"/>
        <v>0</v>
      </c>
      <c r="G553" s="1862">
        <v>63540</v>
      </c>
      <c r="H553" s="1862">
        <v>63540</v>
      </c>
      <c r="I553" s="1862">
        <f>Tabla1[[#This Row],[Extraccion
Norte II]]+Tabla1[[#This Row],[Extraccion
ENO]]</f>
        <v>67357.307011409997</v>
      </c>
      <c r="J553" s="1862">
        <v>67357.307011409997</v>
      </c>
      <c r="K553" s="1862"/>
      <c r="L553" s="1862">
        <f t="shared" si="44"/>
        <v>-3817.3070114099974</v>
      </c>
      <c r="M553" s="1862">
        <f>M552+Tabla1[[#This Row],[Desbalance
TPL]]</f>
        <v>104265.97360093512</v>
      </c>
    </row>
    <row r="554" spans="2:13" x14ac:dyDescent="0.25">
      <c r="B554" s="1859">
        <f t="shared" si="45"/>
        <v>2015</v>
      </c>
      <c r="C554" s="1859">
        <f t="shared" si="46"/>
        <v>1</v>
      </c>
      <c r="D554" s="1860">
        <f t="shared" si="47"/>
        <v>42013</v>
      </c>
      <c r="E554" s="1861">
        <v>42013</v>
      </c>
      <c r="F554" s="1862">
        <f t="shared" si="43"/>
        <v>0</v>
      </c>
      <c r="G554" s="1862">
        <v>65000</v>
      </c>
      <c r="H554" s="1862">
        <v>65000</v>
      </c>
      <c r="I554" s="1862">
        <f>Tabla1[[#This Row],[Extraccion
Norte II]]+Tabla1[[#This Row],[Extraccion
ENO]]</f>
        <v>67437.606067650006</v>
      </c>
      <c r="J554" s="1862">
        <v>67437.606067650006</v>
      </c>
      <c r="K554" s="1862"/>
      <c r="L554" s="1862">
        <f t="shared" si="44"/>
        <v>-2437.6060676500056</v>
      </c>
      <c r="M554" s="1862">
        <f>M553+Tabla1[[#This Row],[Desbalance
TPL]]</f>
        <v>101828.36753328511</v>
      </c>
    </row>
    <row r="555" spans="2:13" x14ac:dyDescent="0.25">
      <c r="B555" s="1859">
        <f t="shared" si="45"/>
        <v>2015</v>
      </c>
      <c r="C555" s="1859">
        <f t="shared" si="46"/>
        <v>1</v>
      </c>
      <c r="D555" s="1860">
        <f t="shared" si="47"/>
        <v>42014</v>
      </c>
      <c r="E555" s="1861">
        <v>42014</v>
      </c>
      <c r="F555" s="1862">
        <f t="shared" si="43"/>
        <v>0</v>
      </c>
      <c r="G555" s="1862">
        <v>65000</v>
      </c>
      <c r="H555" s="1862">
        <v>65000</v>
      </c>
      <c r="I555" s="1862">
        <f>Tabla1[[#This Row],[Extraccion
Norte II]]+Tabla1[[#This Row],[Extraccion
ENO]]</f>
        <v>61982.909754480002</v>
      </c>
      <c r="J555" s="1862">
        <v>61982.909754480002</v>
      </c>
      <c r="K555" s="1862"/>
      <c r="L555" s="1862">
        <f t="shared" si="44"/>
        <v>3017.0902455199976</v>
      </c>
      <c r="M555" s="1862">
        <f>M554+Tabla1[[#This Row],[Desbalance
TPL]]</f>
        <v>104845.45777880511</v>
      </c>
    </row>
    <row r="556" spans="2:13" x14ac:dyDescent="0.25">
      <c r="B556" s="1859">
        <f t="shared" si="45"/>
        <v>2015</v>
      </c>
      <c r="C556" s="1859">
        <f t="shared" si="46"/>
        <v>1</v>
      </c>
      <c r="D556" s="1860">
        <f t="shared" si="47"/>
        <v>42015</v>
      </c>
      <c r="E556" s="1861">
        <v>42015</v>
      </c>
      <c r="F556" s="1862">
        <f t="shared" si="43"/>
        <v>0</v>
      </c>
      <c r="G556" s="1862">
        <v>65000</v>
      </c>
      <c r="H556" s="1862">
        <v>65000</v>
      </c>
      <c r="I556" s="1862">
        <f>Tabla1[[#This Row],[Extraccion
Norte II]]+Tabla1[[#This Row],[Extraccion
ENO]]</f>
        <v>58616.965155060003</v>
      </c>
      <c r="J556" s="1862">
        <v>58616.965155060003</v>
      </c>
      <c r="K556" s="1862"/>
      <c r="L556" s="1862">
        <f t="shared" si="44"/>
        <v>6383.0348449399971</v>
      </c>
      <c r="M556" s="1862">
        <f>M555+Tabla1[[#This Row],[Desbalance
TPL]]</f>
        <v>111228.49262374511</v>
      </c>
    </row>
    <row r="557" spans="2:13" x14ac:dyDescent="0.25">
      <c r="B557" s="1859">
        <f t="shared" si="45"/>
        <v>2015</v>
      </c>
      <c r="C557" s="1859">
        <f t="shared" si="46"/>
        <v>1</v>
      </c>
      <c r="D557" s="1860">
        <f t="shared" si="47"/>
        <v>42016</v>
      </c>
      <c r="E557" s="1861">
        <v>42016</v>
      </c>
      <c r="F557" s="1862">
        <f t="shared" si="43"/>
        <v>0</v>
      </c>
      <c r="G557" s="1862">
        <v>65000</v>
      </c>
      <c r="H557" s="1862">
        <v>65000</v>
      </c>
      <c r="I557" s="1862">
        <f>Tabla1[[#This Row],[Extraccion
Norte II]]+Tabla1[[#This Row],[Extraccion
ENO]]</f>
        <v>65237.618550779996</v>
      </c>
      <c r="J557" s="1862">
        <v>65237.618550779996</v>
      </c>
      <c r="K557" s="1862"/>
      <c r="L557" s="1862">
        <f t="shared" si="44"/>
        <v>-237.61855077999644</v>
      </c>
      <c r="M557" s="1862">
        <f>M556+Tabla1[[#This Row],[Desbalance
TPL]]</f>
        <v>110990.87407296512</v>
      </c>
    </row>
    <row r="558" spans="2:13" x14ac:dyDescent="0.25">
      <c r="B558" s="1859">
        <f t="shared" si="45"/>
        <v>2015</v>
      </c>
      <c r="C558" s="1859">
        <f t="shared" si="46"/>
        <v>1</v>
      </c>
      <c r="D558" s="1860">
        <f t="shared" si="47"/>
        <v>42017</v>
      </c>
      <c r="E558" s="1861">
        <v>42017</v>
      </c>
      <c r="F558" s="1862">
        <f t="shared" si="43"/>
        <v>0</v>
      </c>
      <c r="G558" s="1862">
        <v>65000</v>
      </c>
      <c r="H558" s="1862">
        <v>65000</v>
      </c>
      <c r="I558" s="1862">
        <f>Tabla1[[#This Row],[Extraccion
Norte II]]+Tabla1[[#This Row],[Extraccion
ENO]]</f>
        <v>63290.717129249999</v>
      </c>
      <c r="J558" s="1862">
        <v>63290.717129249999</v>
      </c>
      <c r="K558" s="1862"/>
      <c r="L558" s="1862">
        <f t="shared" si="44"/>
        <v>1709.2828707500012</v>
      </c>
      <c r="M558" s="1862">
        <f>M557+Tabla1[[#This Row],[Desbalance
TPL]]</f>
        <v>112700.15694371512</v>
      </c>
    </row>
    <row r="559" spans="2:13" x14ac:dyDescent="0.25">
      <c r="B559" s="1859">
        <f t="shared" si="45"/>
        <v>2015</v>
      </c>
      <c r="C559" s="1859">
        <f t="shared" si="46"/>
        <v>1</v>
      </c>
      <c r="D559" s="1860">
        <f t="shared" si="47"/>
        <v>42018</v>
      </c>
      <c r="E559" s="1861">
        <v>42018</v>
      </c>
      <c r="F559" s="1862">
        <f t="shared" si="43"/>
        <v>0</v>
      </c>
      <c r="G559" s="1862">
        <v>68000</v>
      </c>
      <c r="H559" s="1862">
        <v>68000</v>
      </c>
      <c r="I559" s="1862">
        <f>Tabla1[[#This Row],[Extraccion
Norte II]]+Tabla1[[#This Row],[Extraccion
ENO]]</f>
        <v>67684.171182029997</v>
      </c>
      <c r="J559" s="1862">
        <v>67684.171182029997</v>
      </c>
      <c r="K559" s="1862"/>
      <c r="L559" s="1862">
        <f t="shared" si="44"/>
        <v>315.828817970003</v>
      </c>
      <c r="M559" s="1862">
        <f>M558+Tabla1[[#This Row],[Desbalance
TPL]]</f>
        <v>113015.98576168512</v>
      </c>
    </row>
    <row r="560" spans="2:13" x14ac:dyDescent="0.25">
      <c r="B560" s="1859">
        <f t="shared" si="45"/>
        <v>2015</v>
      </c>
      <c r="C560" s="1859">
        <f t="shared" si="46"/>
        <v>1</v>
      </c>
      <c r="D560" s="1860">
        <f t="shared" si="47"/>
        <v>42019</v>
      </c>
      <c r="E560" s="1861">
        <v>42019</v>
      </c>
      <c r="F560" s="1862">
        <f t="shared" si="43"/>
        <v>0</v>
      </c>
      <c r="G560" s="1862">
        <v>51747</v>
      </c>
      <c r="H560" s="1862">
        <v>51747</v>
      </c>
      <c r="I560" s="1862">
        <f>Tabla1[[#This Row],[Extraccion
Norte II]]+Tabla1[[#This Row],[Extraccion
ENO]]</f>
        <v>70088.915605410002</v>
      </c>
      <c r="J560" s="1862">
        <v>70088.915605410002</v>
      </c>
      <c r="K560" s="1862"/>
      <c r="L560" s="1862">
        <f t="shared" si="44"/>
        <v>-18341.915605410002</v>
      </c>
      <c r="M560" s="1862">
        <f>M559+Tabla1[[#This Row],[Desbalance
TPL]]</f>
        <v>94674.07015627512</v>
      </c>
    </row>
    <row r="561" spans="2:13" x14ac:dyDescent="0.25">
      <c r="B561" s="1859">
        <f t="shared" si="45"/>
        <v>2015</v>
      </c>
      <c r="C561" s="1859">
        <f t="shared" si="46"/>
        <v>1</v>
      </c>
      <c r="D561" s="1860">
        <f t="shared" si="47"/>
        <v>42020</v>
      </c>
      <c r="E561" s="1861">
        <v>42020</v>
      </c>
      <c r="F561" s="1862">
        <f t="shared" si="43"/>
        <v>0</v>
      </c>
      <c r="G561" s="1862">
        <v>50000</v>
      </c>
      <c r="H561" s="1862">
        <v>50000</v>
      </c>
      <c r="I561" s="1862">
        <f>Tabla1[[#This Row],[Extraccion
Norte II]]+Tabla1[[#This Row],[Extraccion
ENO]]</f>
        <v>65313.358607250004</v>
      </c>
      <c r="J561" s="1862">
        <v>65313.358607250004</v>
      </c>
      <c r="K561" s="1862"/>
      <c r="L561" s="1862">
        <f t="shared" si="44"/>
        <v>-15313.358607250004</v>
      </c>
      <c r="M561" s="1862">
        <f>M560+Tabla1[[#This Row],[Desbalance
TPL]]</f>
        <v>79360.711549025116</v>
      </c>
    </row>
    <row r="562" spans="2:13" x14ac:dyDescent="0.25">
      <c r="B562" s="1859">
        <f t="shared" si="45"/>
        <v>2015</v>
      </c>
      <c r="C562" s="1859">
        <f t="shared" si="46"/>
        <v>1</v>
      </c>
      <c r="D562" s="1860">
        <f t="shared" si="47"/>
        <v>42021</v>
      </c>
      <c r="E562" s="1861">
        <v>42021</v>
      </c>
      <c r="F562" s="1862">
        <f t="shared" si="43"/>
        <v>0</v>
      </c>
      <c r="G562" s="1862">
        <v>50000</v>
      </c>
      <c r="H562" s="1862">
        <v>50000</v>
      </c>
      <c r="I562" s="1862">
        <f>Tabla1[[#This Row],[Extraccion
Norte II]]+Tabla1[[#This Row],[Extraccion
ENO]]</f>
        <v>57455.756635680002</v>
      </c>
      <c r="J562" s="1862">
        <v>57455.756635680002</v>
      </c>
      <c r="K562" s="1862"/>
      <c r="L562" s="1862">
        <f t="shared" si="44"/>
        <v>-7455.7566356800016</v>
      </c>
      <c r="M562" s="1862">
        <f>M561+Tabla1[[#This Row],[Desbalance
TPL]]</f>
        <v>71904.954913345107</v>
      </c>
    </row>
    <row r="563" spans="2:13" x14ac:dyDescent="0.25">
      <c r="B563" s="1859">
        <f t="shared" si="45"/>
        <v>2015</v>
      </c>
      <c r="C563" s="1859">
        <f t="shared" si="46"/>
        <v>1</v>
      </c>
      <c r="D563" s="1860">
        <f t="shared" si="47"/>
        <v>42022</v>
      </c>
      <c r="E563" s="1861">
        <v>42022</v>
      </c>
      <c r="F563" s="1862">
        <f t="shared" si="43"/>
        <v>0</v>
      </c>
      <c r="G563" s="1862">
        <v>50000</v>
      </c>
      <c r="H563" s="1862">
        <v>50000</v>
      </c>
      <c r="I563" s="1862">
        <f>Tabla1[[#This Row],[Extraccion
Norte II]]+Tabla1[[#This Row],[Extraccion
ENO]]</f>
        <v>56309.078150910005</v>
      </c>
      <c r="J563" s="1862">
        <v>56309.078150910005</v>
      </c>
      <c r="K563" s="1862"/>
      <c r="L563" s="1862">
        <f t="shared" si="44"/>
        <v>-6309.0781509100052</v>
      </c>
      <c r="M563" s="1862">
        <f>M562+Tabla1[[#This Row],[Desbalance
TPL]]</f>
        <v>65595.876762435102</v>
      </c>
    </row>
    <row r="564" spans="2:13" x14ac:dyDescent="0.25">
      <c r="B564" s="1859">
        <f t="shared" si="45"/>
        <v>2015</v>
      </c>
      <c r="C564" s="1859">
        <f t="shared" si="46"/>
        <v>1</v>
      </c>
      <c r="D564" s="1860">
        <f t="shared" si="47"/>
        <v>42023</v>
      </c>
      <c r="E564" s="1861">
        <v>42023</v>
      </c>
      <c r="F564" s="1862">
        <f t="shared" si="43"/>
        <v>0</v>
      </c>
      <c r="G564" s="1862">
        <v>50000</v>
      </c>
      <c r="H564" s="1862">
        <v>50000</v>
      </c>
      <c r="I564" s="1862">
        <f>Tabla1[[#This Row],[Extraccion
Norte II]]+Tabla1[[#This Row],[Extraccion
ENO]]</f>
        <v>67946.280495210012</v>
      </c>
      <c r="J564" s="1862">
        <v>67946.280495210012</v>
      </c>
      <c r="K564" s="1862"/>
      <c r="L564" s="1862">
        <f t="shared" si="44"/>
        <v>-17946.280495210012</v>
      </c>
      <c r="M564" s="1862">
        <f>M563+Tabla1[[#This Row],[Desbalance
TPL]]</f>
        <v>47649.59626722509</v>
      </c>
    </row>
    <row r="565" spans="2:13" x14ac:dyDescent="0.25">
      <c r="B565" s="1859">
        <f t="shared" si="45"/>
        <v>2015</v>
      </c>
      <c r="C565" s="1859">
        <f t="shared" si="46"/>
        <v>1</v>
      </c>
      <c r="D565" s="1860">
        <f t="shared" si="47"/>
        <v>42024</v>
      </c>
      <c r="E565" s="1861">
        <v>42024</v>
      </c>
      <c r="F565" s="1862">
        <f t="shared" si="43"/>
        <v>0</v>
      </c>
      <c r="G565" s="1862">
        <v>50000</v>
      </c>
      <c r="H565" s="1862">
        <v>50000</v>
      </c>
      <c r="I565" s="1862">
        <f>Tabla1[[#This Row],[Extraccion
Norte II]]+Tabla1[[#This Row],[Extraccion
ENO]]</f>
        <v>69069.775376160003</v>
      </c>
      <c r="J565" s="1862">
        <v>69069.775376160003</v>
      </c>
      <c r="K565" s="1862"/>
      <c r="L565" s="1862">
        <f t="shared" si="44"/>
        <v>-19069.775376160003</v>
      </c>
      <c r="M565" s="1862">
        <f>M564+Tabla1[[#This Row],[Desbalance
TPL]]</f>
        <v>28579.820891065086</v>
      </c>
    </row>
    <row r="566" spans="2:13" x14ac:dyDescent="0.25">
      <c r="B566" s="1859">
        <f t="shared" si="45"/>
        <v>2015</v>
      </c>
      <c r="C566" s="1859">
        <f t="shared" si="46"/>
        <v>1</v>
      </c>
      <c r="D566" s="1860">
        <f t="shared" si="47"/>
        <v>42025</v>
      </c>
      <c r="E566" s="1861">
        <v>42025</v>
      </c>
      <c r="F566" s="1862">
        <f t="shared" si="43"/>
        <v>0</v>
      </c>
      <c r="G566" s="1862">
        <v>60000</v>
      </c>
      <c r="H566" s="1862">
        <v>60000</v>
      </c>
      <c r="I566" s="1862">
        <f>Tabla1[[#This Row],[Extraccion
Norte II]]+Tabla1[[#This Row],[Extraccion
ENO]]</f>
        <v>70995.61630395001</v>
      </c>
      <c r="J566" s="1862">
        <v>70995.61630395001</v>
      </c>
      <c r="K566" s="1862"/>
      <c r="L566" s="1862">
        <f t="shared" si="44"/>
        <v>-10995.61630395001</v>
      </c>
      <c r="M566" s="1862">
        <f>M565+Tabla1[[#This Row],[Desbalance
TPL]]</f>
        <v>17584.204587115077</v>
      </c>
    </row>
    <row r="567" spans="2:13" x14ac:dyDescent="0.25">
      <c r="B567" s="1859">
        <f t="shared" si="45"/>
        <v>2015</v>
      </c>
      <c r="C567" s="1859">
        <f t="shared" si="46"/>
        <v>1</v>
      </c>
      <c r="D567" s="1860">
        <f t="shared" si="47"/>
        <v>42026</v>
      </c>
      <c r="E567" s="1861">
        <v>42026</v>
      </c>
      <c r="F567" s="1862">
        <f t="shared" si="43"/>
        <v>0</v>
      </c>
      <c r="G567" s="1862">
        <v>60000</v>
      </c>
      <c r="H567" s="1862">
        <v>60000</v>
      </c>
      <c r="I567" s="1862">
        <f>Tabla1[[#This Row],[Extraccion
Norte II]]+Tabla1[[#This Row],[Extraccion
ENO]]</f>
        <v>72691.03344087</v>
      </c>
      <c r="J567" s="1862">
        <v>72691.03344087</v>
      </c>
      <c r="K567" s="1862"/>
      <c r="L567" s="1862">
        <f t="shared" si="44"/>
        <v>-12691.03344087</v>
      </c>
      <c r="M567" s="1862">
        <f>M566+Tabla1[[#This Row],[Desbalance
TPL]]</f>
        <v>4893.1711462450767</v>
      </c>
    </row>
    <row r="568" spans="2:13" x14ac:dyDescent="0.25">
      <c r="B568" s="1859">
        <f t="shared" si="45"/>
        <v>2015</v>
      </c>
      <c r="C568" s="1859">
        <f t="shared" si="46"/>
        <v>1</v>
      </c>
      <c r="D568" s="1860">
        <f t="shared" si="47"/>
        <v>42027</v>
      </c>
      <c r="E568" s="1861">
        <v>42027</v>
      </c>
      <c r="F568" s="1862">
        <f t="shared" si="43"/>
        <v>0</v>
      </c>
      <c r="G568" s="1862">
        <v>60000</v>
      </c>
      <c r="H568" s="1862">
        <v>60000</v>
      </c>
      <c r="I568" s="1862">
        <f>Tabla1[[#This Row],[Extraccion
Norte II]]+Tabla1[[#This Row],[Extraccion
ENO]]</f>
        <v>69220.648886220006</v>
      </c>
      <c r="J568" s="1862">
        <v>69220.648886220006</v>
      </c>
      <c r="K568" s="1862"/>
      <c r="L568" s="1862">
        <f t="shared" si="44"/>
        <v>-9220.6488862200058</v>
      </c>
      <c r="M568" s="1862">
        <f>M567+Tabla1[[#This Row],[Desbalance
TPL]]</f>
        <v>-4327.4777399749291</v>
      </c>
    </row>
    <row r="569" spans="2:13" x14ac:dyDescent="0.25">
      <c r="B569" s="1859">
        <f t="shared" si="45"/>
        <v>2015</v>
      </c>
      <c r="C569" s="1859">
        <f t="shared" si="46"/>
        <v>1</v>
      </c>
      <c r="D569" s="1860">
        <f t="shared" si="47"/>
        <v>42028</v>
      </c>
      <c r="E569" s="1861">
        <v>42028</v>
      </c>
      <c r="F569" s="1862">
        <f t="shared" si="43"/>
        <v>0</v>
      </c>
      <c r="G569" s="1862">
        <v>60000</v>
      </c>
      <c r="H569" s="1862">
        <v>60000</v>
      </c>
      <c r="I569" s="1862">
        <f>Tabla1[[#This Row],[Extraccion
Norte II]]+Tabla1[[#This Row],[Extraccion
ENO]]</f>
        <v>61337.683331730004</v>
      </c>
      <c r="J569" s="1862">
        <v>61337.683331730004</v>
      </c>
      <c r="K569" s="1862"/>
      <c r="L569" s="1862">
        <f t="shared" si="44"/>
        <v>-1337.6833317300043</v>
      </c>
      <c r="M569" s="1862">
        <f>M568+Tabla1[[#This Row],[Desbalance
TPL]]</f>
        <v>-5665.1610717049334</v>
      </c>
    </row>
    <row r="570" spans="2:13" x14ac:dyDescent="0.25">
      <c r="B570" s="1859">
        <f t="shared" si="45"/>
        <v>2015</v>
      </c>
      <c r="C570" s="1859">
        <f t="shared" si="46"/>
        <v>1</v>
      </c>
      <c r="D570" s="1860">
        <f t="shared" si="47"/>
        <v>42029</v>
      </c>
      <c r="E570" s="1861">
        <v>42029</v>
      </c>
      <c r="F570" s="1862">
        <f t="shared" si="43"/>
        <v>0</v>
      </c>
      <c r="G570" s="1862">
        <v>60000</v>
      </c>
      <c r="H570" s="1862">
        <v>60000</v>
      </c>
      <c r="I570" s="1862">
        <f>Tabla1[[#This Row],[Extraccion
Norte II]]+Tabla1[[#This Row],[Extraccion
ENO]]</f>
        <v>50624.820560339998</v>
      </c>
      <c r="J570" s="1862">
        <v>50624.820560339998</v>
      </c>
      <c r="K570" s="1862"/>
      <c r="L570" s="1862">
        <f t="shared" si="44"/>
        <v>9375.1794396600017</v>
      </c>
      <c r="M570" s="1862">
        <f>M569+Tabla1[[#This Row],[Desbalance
TPL]]</f>
        <v>3710.0183679550682</v>
      </c>
    </row>
    <row r="571" spans="2:13" x14ac:dyDescent="0.25">
      <c r="B571" s="1859">
        <f t="shared" si="45"/>
        <v>2015</v>
      </c>
      <c r="C571" s="1859">
        <f t="shared" si="46"/>
        <v>1</v>
      </c>
      <c r="D571" s="1860">
        <f t="shared" si="47"/>
        <v>42030</v>
      </c>
      <c r="E571" s="1861">
        <v>42030</v>
      </c>
      <c r="F571" s="1862">
        <f t="shared" si="43"/>
        <v>0</v>
      </c>
      <c r="G571" s="1862">
        <v>60000</v>
      </c>
      <c r="H571" s="1862">
        <v>60000</v>
      </c>
      <c r="I571" s="1862">
        <f>Tabla1[[#This Row],[Extraccion
Norte II]]+Tabla1[[#This Row],[Extraccion
ENO]]</f>
        <v>64646.171264610006</v>
      </c>
      <c r="J571" s="1862">
        <v>64646.171264610006</v>
      </c>
      <c r="K571" s="1862"/>
      <c r="L571" s="1862">
        <f t="shared" si="44"/>
        <v>-4646.1712646100059</v>
      </c>
      <c r="M571" s="1862">
        <f>M570+Tabla1[[#This Row],[Desbalance
TPL]]</f>
        <v>-936.15289665493765</v>
      </c>
    </row>
    <row r="572" spans="2:13" x14ac:dyDescent="0.25">
      <c r="B572" s="1859">
        <f t="shared" si="45"/>
        <v>2015</v>
      </c>
      <c r="C572" s="1859">
        <f t="shared" si="46"/>
        <v>1</v>
      </c>
      <c r="D572" s="1860">
        <f t="shared" si="47"/>
        <v>42031</v>
      </c>
      <c r="E572" s="1861">
        <v>42031</v>
      </c>
      <c r="F572" s="1862">
        <f t="shared" si="43"/>
        <v>0</v>
      </c>
      <c r="G572" s="1862">
        <v>64000</v>
      </c>
      <c r="H572" s="1862">
        <v>64000</v>
      </c>
      <c r="I572" s="1862">
        <f>Tabla1[[#This Row],[Extraccion
Norte II]]+Tabla1[[#This Row],[Extraccion
ENO]]</f>
        <v>62130.807119159996</v>
      </c>
      <c r="J572" s="1862">
        <v>62130.807119159996</v>
      </c>
      <c r="K572" s="1862"/>
      <c r="L572" s="1862">
        <f t="shared" si="44"/>
        <v>1869.1928808400044</v>
      </c>
      <c r="M572" s="1862">
        <f>M571+Tabla1[[#This Row],[Desbalance
TPL]]</f>
        <v>933.03998418506671</v>
      </c>
    </row>
    <row r="573" spans="2:13" x14ac:dyDescent="0.25">
      <c r="B573" s="1859">
        <f t="shared" si="45"/>
        <v>2015</v>
      </c>
      <c r="C573" s="1859">
        <f t="shared" si="46"/>
        <v>1</v>
      </c>
      <c r="D573" s="1860">
        <f t="shared" si="47"/>
        <v>42032</v>
      </c>
      <c r="E573" s="1861">
        <v>42032</v>
      </c>
      <c r="F573" s="1862">
        <f t="shared" si="43"/>
        <v>0</v>
      </c>
      <c r="G573" s="1862">
        <v>64000</v>
      </c>
      <c r="H573" s="1862">
        <v>64000</v>
      </c>
      <c r="I573" s="1862">
        <f>Tabla1[[#This Row],[Extraccion
Norte II]]+Tabla1[[#This Row],[Extraccion
ENO]]</f>
        <v>62796.411607409995</v>
      </c>
      <c r="J573" s="1862">
        <v>62796.411607409995</v>
      </c>
      <c r="K573" s="1862"/>
      <c r="L573" s="1862">
        <f t="shared" si="44"/>
        <v>1203.5883925900052</v>
      </c>
      <c r="M573" s="1862">
        <f>M572+Tabla1[[#This Row],[Desbalance
TPL]]</f>
        <v>2136.628376775072</v>
      </c>
    </row>
    <row r="574" spans="2:13" x14ac:dyDescent="0.25">
      <c r="B574" s="1859">
        <f t="shared" si="45"/>
        <v>2015</v>
      </c>
      <c r="C574" s="1859">
        <f t="shared" si="46"/>
        <v>1</v>
      </c>
      <c r="D574" s="1860">
        <f t="shared" si="47"/>
        <v>42033</v>
      </c>
      <c r="E574" s="1861">
        <v>42033</v>
      </c>
      <c r="F574" s="1862">
        <f t="shared" si="43"/>
        <v>0</v>
      </c>
      <c r="G574" s="1862">
        <v>64000</v>
      </c>
      <c r="H574" s="1862">
        <v>64000</v>
      </c>
      <c r="I574" s="1862">
        <f>Tabla1[[#This Row],[Extraccion
Norte II]]+Tabla1[[#This Row],[Extraccion
ENO]]</f>
        <v>63031.837206778604</v>
      </c>
      <c r="J574" s="1862">
        <v>63031.837206778604</v>
      </c>
      <c r="K574" s="1862"/>
      <c r="L574" s="1862">
        <f t="shared" si="44"/>
        <v>968.16279322139599</v>
      </c>
      <c r="M574" s="1862">
        <f>M573+Tabla1[[#This Row],[Desbalance
TPL]]</f>
        <v>3104.7911699964679</v>
      </c>
    </row>
    <row r="575" spans="2:13" x14ac:dyDescent="0.25">
      <c r="B575" s="1859">
        <f t="shared" si="45"/>
        <v>2015</v>
      </c>
      <c r="C575" s="1859">
        <f t="shared" si="46"/>
        <v>1</v>
      </c>
      <c r="D575" s="1860">
        <f t="shared" si="47"/>
        <v>42034</v>
      </c>
      <c r="E575" s="1861">
        <v>42034</v>
      </c>
      <c r="F575" s="1862">
        <f t="shared" si="43"/>
        <v>0</v>
      </c>
      <c r="G575" s="1862">
        <v>65000</v>
      </c>
      <c r="H575" s="1862">
        <v>65000</v>
      </c>
      <c r="I575" s="1862">
        <f>Tabla1[[#This Row],[Extraccion
Norte II]]+Tabla1[[#This Row],[Extraccion
ENO]]</f>
        <v>61385.542018514301</v>
      </c>
      <c r="J575" s="1862">
        <v>61385.542018514301</v>
      </c>
      <c r="K575" s="1862"/>
      <c r="L575" s="1862">
        <f t="shared" si="44"/>
        <v>3614.4579814856988</v>
      </c>
      <c r="M575" s="1862">
        <f>M574+Tabla1[[#This Row],[Desbalance
TPL]]</f>
        <v>6719.2491514821668</v>
      </c>
    </row>
    <row r="576" spans="2:13" x14ac:dyDescent="0.25">
      <c r="B576" s="1859">
        <f t="shared" si="45"/>
        <v>2015</v>
      </c>
      <c r="C576" s="1859">
        <f t="shared" si="46"/>
        <v>1</v>
      </c>
      <c r="D576" s="1860">
        <f t="shared" si="47"/>
        <v>42035</v>
      </c>
      <c r="E576" s="1861">
        <v>42035</v>
      </c>
      <c r="F576" s="1862">
        <f t="shared" si="43"/>
        <v>0</v>
      </c>
      <c r="G576" s="1862">
        <v>65000</v>
      </c>
      <c r="H576" s="1862">
        <v>65000</v>
      </c>
      <c r="I576" s="1862">
        <f>Tabla1[[#This Row],[Extraccion
Norte II]]+Tabla1[[#This Row],[Extraccion
ENO]]</f>
        <v>63615.988671591098</v>
      </c>
      <c r="J576" s="1862">
        <v>63615.988671591098</v>
      </c>
      <c r="K576" s="1862"/>
      <c r="L576" s="1862">
        <f t="shared" si="44"/>
        <v>1384.011328408902</v>
      </c>
      <c r="M576" s="1862">
        <f>M575+Tabla1[[#This Row],[Desbalance
TPL]]</f>
        <v>8103.2604798910688</v>
      </c>
    </row>
    <row r="577" spans="2:13" x14ac:dyDescent="0.25">
      <c r="B577" s="1859">
        <f t="shared" si="45"/>
        <v>2015</v>
      </c>
      <c r="C577" s="1859">
        <f t="shared" si="46"/>
        <v>2</v>
      </c>
      <c r="D577" s="1860">
        <f t="shared" si="47"/>
        <v>42036</v>
      </c>
      <c r="E577" s="1861">
        <v>42036</v>
      </c>
      <c r="F577" s="1862">
        <f t="shared" si="43"/>
        <v>0</v>
      </c>
      <c r="G577" s="1862">
        <v>65000</v>
      </c>
      <c r="H577" s="1862">
        <v>65000</v>
      </c>
      <c r="I577" s="1862">
        <f>Tabla1[[#This Row],[Extraccion
Norte II]]+Tabla1[[#This Row],[Extraccion
ENO]]</f>
        <v>56385.178377839999</v>
      </c>
      <c r="J577" s="1862">
        <v>56385.178377839999</v>
      </c>
      <c r="K577" s="1862"/>
      <c r="L577" s="1862">
        <f t="shared" si="44"/>
        <v>8614.8216221600014</v>
      </c>
      <c r="M577" s="1862">
        <f>M576+Tabla1[[#This Row],[Desbalance
TPL]]</f>
        <v>16718.08210205107</v>
      </c>
    </row>
    <row r="578" spans="2:13" x14ac:dyDescent="0.25">
      <c r="B578" s="1859">
        <f t="shared" si="45"/>
        <v>2015</v>
      </c>
      <c r="C578" s="1859">
        <f t="shared" si="46"/>
        <v>2</v>
      </c>
      <c r="D578" s="1860">
        <f t="shared" si="47"/>
        <v>42037</v>
      </c>
      <c r="E578" s="1861">
        <v>42037</v>
      </c>
      <c r="F578" s="1862">
        <f t="shared" si="43"/>
        <v>0</v>
      </c>
      <c r="G578" s="1862">
        <v>65000</v>
      </c>
      <c r="H578" s="1862">
        <v>65000</v>
      </c>
      <c r="I578" s="1862">
        <f>Tabla1[[#This Row],[Extraccion
Norte II]]+Tabla1[[#This Row],[Extraccion
ENO]]</f>
        <v>62996.1829965</v>
      </c>
      <c r="J578" s="1862">
        <v>62996.1829965</v>
      </c>
      <c r="K578" s="1862"/>
      <c r="L578" s="1862">
        <f t="shared" si="44"/>
        <v>2003.8170035000003</v>
      </c>
      <c r="M578" s="1862">
        <f>M577+Tabla1[[#This Row],[Desbalance
TPL]]</f>
        <v>18721.899105551071</v>
      </c>
    </row>
    <row r="579" spans="2:13" x14ac:dyDescent="0.25">
      <c r="B579" s="1859">
        <f t="shared" si="45"/>
        <v>2015</v>
      </c>
      <c r="C579" s="1859">
        <f t="shared" si="46"/>
        <v>2</v>
      </c>
      <c r="D579" s="1860">
        <f t="shared" si="47"/>
        <v>42038</v>
      </c>
      <c r="E579" s="1861">
        <v>42038</v>
      </c>
      <c r="F579" s="1862">
        <f t="shared" si="43"/>
        <v>0</v>
      </c>
      <c r="G579" s="1862">
        <v>80000</v>
      </c>
      <c r="H579" s="1862">
        <v>80000</v>
      </c>
      <c r="I579" s="1862">
        <f>Tabla1[[#This Row],[Extraccion
Norte II]]+Tabla1[[#This Row],[Extraccion
ENO]]</f>
        <v>64566.004902749999</v>
      </c>
      <c r="J579" s="1862">
        <v>64566.004902749999</v>
      </c>
      <c r="K579" s="1862"/>
      <c r="L579" s="1862">
        <f t="shared" si="44"/>
        <v>15433.995097250001</v>
      </c>
      <c r="M579" s="1862">
        <f>M578+Tabla1[[#This Row],[Desbalance
TPL]]</f>
        <v>34155.894202801072</v>
      </c>
    </row>
    <row r="580" spans="2:13" x14ac:dyDescent="0.25">
      <c r="B580" s="1859">
        <f t="shared" si="45"/>
        <v>2015</v>
      </c>
      <c r="C580" s="1859">
        <f t="shared" si="46"/>
        <v>2</v>
      </c>
      <c r="D580" s="1860">
        <f t="shared" si="47"/>
        <v>42039</v>
      </c>
      <c r="E580" s="1861">
        <v>42039</v>
      </c>
      <c r="F580" s="1862">
        <f t="shared" si="43"/>
        <v>0</v>
      </c>
      <c r="G580" s="1862">
        <v>75000</v>
      </c>
      <c r="H580" s="1862">
        <v>75000</v>
      </c>
      <c r="I580" s="1862">
        <f>Tabla1[[#This Row],[Extraccion
Norte II]]+Tabla1[[#This Row],[Extraccion
ENO]]</f>
        <v>60614.205137459998</v>
      </c>
      <c r="J580" s="1862">
        <v>60614.205137459998</v>
      </c>
      <c r="K580" s="1862"/>
      <c r="L580" s="1862">
        <f t="shared" si="44"/>
        <v>14385.794862540002</v>
      </c>
      <c r="M580" s="1862">
        <f>M579+Tabla1[[#This Row],[Desbalance
TPL]]</f>
        <v>48541.689065341074</v>
      </c>
    </row>
    <row r="581" spans="2:13" x14ac:dyDescent="0.25">
      <c r="B581" s="1859">
        <f t="shared" si="45"/>
        <v>2015</v>
      </c>
      <c r="C581" s="1859">
        <f t="shared" si="46"/>
        <v>2</v>
      </c>
      <c r="D581" s="1860">
        <f t="shared" si="47"/>
        <v>42040</v>
      </c>
      <c r="E581" s="1861">
        <v>42040</v>
      </c>
      <c r="F581" s="1862">
        <f t="shared" si="43"/>
        <v>0</v>
      </c>
      <c r="G581" s="1862">
        <v>75000</v>
      </c>
      <c r="H581" s="1862">
        <v>75000</v>
      </c>
      <c r="I581" s="1862">
        <f>Tabla1[[#This Row],[Extraccion
Norte II]]+Tabla1[[#This Row],[Extraccion
ENO]]</f>
        <v>63466.139099610002</v>
      </c>
      <c r="J581" s="1862">
        <v>63466.139099610002</v>
      </c>
      <c r="K581" s="1862"/>
      <c r="L581" s="1862">
        <f t="shared" si="44"/>
        <v>11533.860900389998</v>
      </c>
      <c r="M581" s="1862">
        <f>M580+Tabla1[[#This Row],[Desbalance
TPL]]</f>
        <v>60075.549965731072</v>
      </c>
    </row>
    <row r="582" spans="2:13" x14ac:dyDescent="0.25">
      <c r="B582" s="1859">
        <f t="shared" si="45"/>
        <v>2015</v>
      </c>
      <c r="C582" s="1859">
        <f t="shared" si="46"/>
        <v>2</v>
      </c>
      <c r="D582" s="1860">
        <f t="shared" si="47"/>
        <v>42041</v>
      </c>
      <c r="E582" s="1861">
        <v>42041</v>
      </c>
      <c r="F582" s="1862">
        <f t="shared" si="43"/>
        <v>0</v>
      </c>
      <c r="G582" s="1862">
        <v>75000</v>
      </c>
      <c r="H582" s="1862">
        <v>75000</v>
      </c>
      <c r="I582" s="1862">
        <f>Tabla1[[#This Row],[Extraccion
Norte II]]+Tabla1[[#This Row],[Extraccion
ENO]]</f>
        <v>65297.027720340004</v>
      </c>
      <c r="J582" s="1862">
        <v>65297.027720340004</v>
      </c>
      <c r="K582" s="1862"/>
      <c r="L582" s="1862">
        <f t="shared" si="44"/>
        <v>9702.9722796599963</v>
      </c>
      <c r="M582" s="1862">
        <f>M581+Tabla1[[#This Row],[Desbalance
TPL]]</f>
        <v>69778.522245391068</v>
      </c>
    </row>
    <row r="583" spans="2:13" x14ac:dyDescent="0.25">
      <c r="B583" s="1859">
        <f t="shared" si="45"/>
        <v>2015</v>
      </c>
      <c r="C583" s="1859">
        <f t="shared" si="46"/>
        <v>2</v>
      </c>
      <c r="D583" s="1860">
        <f t="shared" si="47"/>
        <v>42042</v>
      </c>
      <c r="E583" s="1861">
        <v>42042</v>
      </c>
      <c r="F583" s="1862">
        <f t="shared" si="43"/>
        <v>0</v>
      </c>
      <c r="G583" s="1862">
        <v>55000</v>
      </c>
      <c r="H583" s="1862">
        <v>55000</v>
      </c>
      <c r="I583" s="1862">
        <f>Tabla1[[#This Row],[Extraccion
Norte II]]+Tabla1[[#This Row],[Extraccion
ENO]]</f>
        <v>67786.66811241</v>
      </c>
      <c r="J583" s="1862">
        <v>67786.66811241</v>
      </c>
      <c r="K583" s="1862"/>
      <c r="L583" s="1862">
        <f t="shared" si="44"/>
        <v>-12786.66811241</v>
      </c>
      <c r="M583" s="1862">
        <f>M582+Tabla1[[#This Row],[Desbalance
TPL]]</f>
        <v>56991.854132981069</v>
      </c>
    </row>
    <row r="584" spans="2:13" x14ac:dyDescent="0.25">
      <c r="B584" s="1859">
        <f t="shared" si="45"/>
        <v>2015</v>
      </c>
      <c r="C584" s="1859">
        <f t="shared" si="46"/>
        <v>2</v>
      </c>
      <c r="D584" s="1860">
        <f t="shared" si="47"/>
        <v>42043</v>
      </c>
      <c r="E584" s="1861">
        <v>42043</v>
      </c>
      <c r="F584" s="1862">
        <f t="shared" si="43"/>
        <v>0</v>
      </c>
      <c r="G584" s="1862">
        <v>55000</v>
      </c>
      <c r="H584" s="1862">
        <v>55000</v>
      </c>
      <c r="I584" s="1862">
        <f>Tabla1[[#This Row],[Extraccion
Norte II]]+Tabla1[[#This Row],[Extraccion
ENO]]</f>
        <v>68708.066609168993</v>
      </c>
      <c r="J584" s="1862">
        <v>68708.066609168993</v>
      </c>
      <c r="K584" s="1862"/>
      <c r="L584" s="1862">
        <f t="shared" si="44"/>
        <v>-13708.066609168993</v>
      </c>
      <c r="M584" s="1862">
        <f>M583+Tabla1[[#This Row],[Desbalance
TPL]]</f>
        <v>43283.787523812076</v>
      </c>
    </row>
    <row r="585" spans="2:13" x14ac:dyDescent="0.25">
      <c r="B585" s="1859">
        <f t="shared" si="45"/>
        <v>2015</v>
      </c>
      <c r="C585" s="1859">
        <f t="shared" si="46"/>
        <v>2</v>
      </c>
      <c r="D585" s="1860">
        <f t="shared" si="47"/>
        <v>42044</v>
      </c>
      <c r="E585" s="1861">
        <v>42044</v>
      </c>
      <c r="F585" s="1862">
        <f t="shared" si="43"/>
        <v>0</v>
      </c>
      <c r="G585" s="1862">
        <v>55000</v>
      </c>
      <c r="H585" s="1862">
        <v>55000</v>
      </c>
      <c r="I585" s="1862">
        <f>Tabla1[[#This Row],[Extraccion
Norte II]]+Tabla1[[#This Row],[Extraccion
ENO]]</f>
        <v>68084.936644140005</v>
      </c>
      <c r="J585" s="1862">
        <v>68084.936644140005</v>
      </c>
      <c r="K585" s="1862"/>
      <c r="L585" s="1862">
        <f t="shared" si="44"/>
        <v>-13084.936644140005</v>
      </c>
      <c r="M585" s="1862">
        <f>M584+Tabla1[[#This Row],[Desbalance
TPL]]</f>
        <v>30198.850879672071</v>
      </c>
    </row>
    <row r="586" spans="2:13" x14ac:dyDescent="0.25">
      <c r="B586" s="1859">
        <f t="shared" si="45"/>
        <v>2015</v>
      </c>
      <c r="C586" s="1859">
        <f t="shared" si="46"/>
        <v>2</v>
      </c>
      <c r="D586" s="1860">
        <f t="shared" si="47"/>
        <v>42045</v>
      </c>
      <c r="E586" s="1861">
        <v>42045</v>
      </c>
      <c r="F586" s="1862">
        <f t="shared" si="43"/>
        <v>0</v>
      </c>
      <c r="G586" s="1862">
        <v>55000</v>
      </c>
      <c r="H586" s="1862">
        <v>55000</v>
      </c>
      <c r="I586" s="1862">
        <f>Tabla1[[#This Row],[Extraccion
Norte II]]+Tabla1[[#This Row],[Extraccion
ENO]]</f>
        <v>71207.184223422009</v>
      </c>
      <c r="J586" s="1862">
        <v>71207.184223422009</v>
      </c>
      <c r="K586" s="1862"/>
      <c r="L586" s="1862">
        <f t="shared" si="44"/>
        <v>-16207.184223422009</v>
      </c>
      <c r="M586" s="1862">
        <f>M585+Tabla1[[#This Row],[Desbalance
TPL]]</f>
        <v>13991.666656250061</v>
      </c>
    </row>
    <row r="587" spans="2:13" x14ac:dyDescent="0.25">
      <c r="B587" s="1859">
        <f t="shared" si="45"/>
        <v>2015</v>
      </c>
      <c r="C587" s="1859">
        <f t="shared" si="46"/>
        <v>2</v>
      </c>
      <c r="D587" s="1860">
        <f t="shared" si="47"/>
        <v>42046</v>
      </c>
      <c r="E587" s="1861">
        <v>42046</v>
      </c>
      <c r="F587" s="1862">
        <f t="shared" si="43"/>
        <v>0</v>
      </c>
      <c r="G587" s="1862">
        <v>55000</v>
      </c>
      <c r="H587" s="1862">
        <v>55000</v>
      </c>
      <c r="I587" s="1862">
        <f>Tabla1[[#This Row],[Extraccion
Norte II]]+Tabla1[[#This Row],[Extraccion
ENO]]</f>
        <v>70714.279575108012</v>
      </c>
      <c r="J587" s="1862">
        <v>70714.279575108012</v>
      </c>
      <c r="K587" s="1862"/>
      <c r="L587" s="1862">
        <f t="shared" si="44"/>
        <v>-15714.279575108012</v>
      </c>
      <c r="M587" s="1862">
        <f>M586+Tabla1[[#This Row],[Desbalance
TPL]]</f>
        <v>-1722.6129188579507</v>
      </c>
    </row>
    <row r="588" spans="2:13" x14ac:dyDescent="0.25">
      <c r="B588" s="1859">
        <f t="shared" si="45"/>
        <v>2015</v>
      </c>
      <c r="C588" s="1859">
        <f t="shared" si="46"/>
        <v>2</v>
      </c>
      <c r="D588" s="1860">
        <f t="shared" si="47"/>
        <v>42047</v>
      </c>
      <c r="E588" s="1861">
        <v>42047</v>
      </c>
      <c r="F588" s="1862">
        <f t="shared" ref="F588:F651" si="48">G588-H588</f>
        <v>0</v>
      </c>
      <c r="G588" s="1862">
        <v>55000</v>
      </c>
      <c r="H588" s="1862">
        <v>55000</v>
      </c>
      <c r="I588" s="1862">
        <f>Tabla1[[#This Row],[Extraccion
Norte II]]+Tabla1[[#This Row],[Extraccion
ENO]]</f>
        <v>66683.532340620004</v>
      </c>
      <c r="J588" s="1862">
        <v>66683.532340620004</v>
      </c>
      <c r="K588" s="1862"/>
      <c r="L588" s="1862">
        <f t="shared" ref="L588:L651" si="49">H588-I588</f>
        <v>-11683.532340620004</v>
      </c>
      <c r="M588" s="1862">
        <f>M587+Tabla1[[#This Row],[Desbalance
TPL]]</f>
        <v>-13406.145259477955</v>
      </c>
    </row>
    <row r="589" spans="2:13" x14ac:dyDescent="0.25">
      <c r="B589" s="1859">
        <f t="shared" si="45"/>
        <v>2015</v>
      </c>
      <c r="C589" s="1859">
        <f t="shared" si="46"/>
        <v>2</v>
      </c>
      <c r="D589" s="1860">
        <f t="shared" si="47"/>
        <v>42048</v>
      </c>
      <c r="E589" s="1861">
        <v>42048</v>
      </c>
      <c r="F589" s="1862">
        <f t="shared" si="48"/>
        <v>0</v>
      </c>
      <c r="G589" s="1862">
        <v>55000</v>
      </c>
      <c r="H589" s="1862">
        <v>55000</v>
      </c>
      <c r="I589" s="1862">
        <f>Tabla1[[#This Row],[Extraccion
Norte II]]+Tabla1[[#This Row],[Extraccion
ENO]]</f>
        <v>66136.048953609381</v>
      </c>
      <c r="J589" s="1862">
        <v>66136.048953609381</v>
      </c>
      <c r="K589" s="1862"/>
      <c r="L589" s="1862">
        <f t="shared" si="49"/>
        <v>-11136.048953609381</v>
      </c>
      <c r="M589" s="1862">
        <f>M588+Tabla1[[#This Row],[Desbalance
TPL]]</f>
        <v>-24542.194213087336</v>
      </c>
    </row>
    <row r="590" spans="2:13" x14ac:dyDescent="0.25">
      <c r="B590" s="1859">
        <f t="shared" si="45"/>
        <v>2015</v>
      </c>
      <c r="C590" s="1859">
        <f t="shared" si="46"/>
        <v>2</v>
      </c>
      <c r="D590" s="1860">
        <f t="shared" si="47"/>
        <v>42049</v>
      </c>
      <c r="E590" s="1861">
        <v>42049</v>
      </c>
      <c r="F590" s="1862">
        <f t="shared" si="48"/>
        <v>0</v>
      </c>
      <c r="G590" s="1862">
        <v>55000</v>
      </c>
      <c r="H590" s="1862">
        <v>55000</v>
      </c>
      <c r="I590" s="1862">
        <f>Tabla1[[#This Row],[Extraccion
Norte II]]+Tabla1[[#This Row],[Extraccion
ENO]]</f>
        <v>65414.656549125</v>
      </c>
      <c r="J590" s="1862">
        <v>65414.656549125</v>
      </c>
      <c r="K590" s="1862"/>
      <c r="L590" s="1862">
        <f t="shared" si="49"/>
        <v>-10414.656549125</v>
      </c>
      <c r="M590" s="1862">
        <f>M589+Tabla1[[#This Row],[Desbalance
TPL]]</f>
        <v>-34956.850762212336</v>
      </c>
    </row>
    <row r="591" spans="2:13" x14ac:dyDescent="0.25">
      <c r="B591" s="1859">
        <f t="shared" si="45"/>
        <v>2015</v>
      </c>
      <c r="C591" s="1859">
        <f t="shared" si="46"/>
        <v>2</v>
      </c>
      <c r="D591" s="1860">
        <f t="shared" si="47"/>
        <v>42050</v>
      </c>
      <c r="E591" s="1861">
        <v>42050</v>
      </c>
      <c r="F591" s="1862">
        <f t="shared" si="48"/>
        <v>0</v>
      </c>
      <c r="G591" s="1862">
        <v>55000</v>
      </c>
      <c r="H591" s="1862">
        <v>55000</v>
      </c>
      <c r="I591" s="1862">
        <f>Tabla1[[#This Row],[Extraccion
Norte II]]+Tabla1[[#This Row],[Extraccion
ENO]]</f>
        <v>60398.586248129999</v>
      </c>
      <c r="J591" s="1862">
        <v>60398.586248129999</v>
      </c>
      <c r="K591" s="1862"/>
      <c r="L591" s="1862">
        <f t="shared" si="49"/>
        <v>-5398.5862481299991</v>
      </c>
      <c r="M591" s="1862">
        <f>M590+Tabla1[[#This Row],[Desbalance
TPL]]</f>
        <v>-40355.437010342335</v>
      </c>
    </row>
    <row r="592" spans="2:13" x14ac:dyDescent="0.25">
      <c r="B592" s="1859">
        <f t="shared" si="45"/>
        <v>2015</v>
      </c>
      <c r="C592" s="1859">
        <f t="shared" si="46"/>
        <v>2</v>
      </c>
      <c r="D592" s="1860">
        <f t="shared" si="47"/>
        <v>42051</v>
      </c>
      <c r="E592" s="1861">
        <v>42051</v>
      </c>
      <c r="F592" s="1862">
        <f t="shared" si="48"/>
        <v>0</v>
      </c>
      <c r="G592" s="1862">
        <v>55000</v>
      </c>
      <c r="H592" s="1862">
        <v>55000</v>
      </c>
      <c r="I592" s="1862">
        <f>Tabla1[[#This Row],[Extraccion
Norte II]]+Tabla1[[#This Row],[Extraccion
ENO]]</f>
        <v>68958.251436671999</v>
      </c>
      <c r="J592" s="1862">
        <v>68958.251436671999</v>
      </c>
      <c r="K592" s="1862"/>
      <c r="L592" s="1862">
        <f t="shared" si="49"/>
        <v>-13958.251436671999</v>
      </c>
      <c r="M592" s="1862">
        <f>M591+Tabla1[[#This Row],[Desbalance
TPL]]</f>
        <v>-54313.688447014334</v>
      </c>
    </row>
    <row r="593" spans="2:13" x14ac:dyDescent="0.25">
      <c r="B593" s="1859">
        <f t="shared" si="45"/>
        <v>2015</v>
      </c>
      <c r="C593" s="1859">
        <f t="shared" si="46"/>
        <v>2</v>
      </c>
      <c r="D593" s="1860">
        <f t="shared" si="47"/>
        <v>42052</v>
      </c>
      <c r="E593" s="1861">
        <v>42052</v>
      </c>
      <c r="F593" s="1862">
        <f t="shared" si="48"/>
        <v>0</v>
      </c>
      <c r="G593" s="1862">
        <v>55000</v>
      </c>
      <c r="H593" s="1862">
        <v>55000</v>
      </c>
      <c r="I593" s="1862">
        <f>Tabla1[[#This Row],[Extraccion
Norte II]]+Tabla1[[#This Row],[Extraccion
ENO]]</f>
        <v>67784.943085470004</v>
      </c>
      <c r="J593" s="1862">
        <v>67784.943085470004</v>
      </c>
      <c r="K593" s="1862"/>
      <c r="L593" s="1862">
        <f t="shared" si="49"/>
        <v>-12784.943085470004</v>
      </c>
      <c r="M593" s="1862">
        <f>M592+Tabla1[[#This Row],[Desbalance
TPL]]</f>
        <v>-67098.631532484345</v>
      </c>
    </row>
    <row r="594" spans="2:13" x14ac:dyDescent="0.25">
      <c r="B594" s="1859">
        <f t="shared" si="45"/>
        <v>2015</v>
      </c>
      <c r="C594" s="1859">
        <f t="shared" si="46"/>
        <v>2</v>
      </c>
      <c r="D594" s="1860">
        <f t="shared" si="47"/>
        <v>42053</v>
      </c>
      <c r="E594" s="1861">
        <v>42053</v>
      </c>
      <c r="F594" s="1862">
        <f t="shared" si="48"/>
        <v>0</v>
      </c>
      <c r="G594" s="1862">
        <v>65000</v>
      </c>
      <c r="H594" s="1862">
        <v>65000</v>
      </c>
      <c r="I594" s="1862">
        <f>Tabla1[[#This Row],[Extraccion
Norte II]]+Tabla1[[#This Row],[Extraccion
ENO]]</f>
        <v>67505.801500799993</v>
      </c>
      <c r="J594" s="1862">
        <v>67505.801500799993</v>
      </c>
      <c r="K594" s="1862"/>
      <c r="L594" s="1862">
        <f t="shared" si="49"/>
        <v>-2505.8015007999929</v>
      </c>
      <c r="M594" s="1862">
        <f>M593+Tabla1[[#This Row],[Desbalance
TPL]]</f>
        <v>-69604.433033284338</v>
      </c>
    </row>
    <row r="595" spans="2:13" x14ac:dyDescent="0.25">
      <c r="B595" s="1859">
        <f t="shared" si="45"/>
        <v>2015</v>
      </c>
      <c r="C595" s="1859">
        <f t="shared" si="46"/>
        <v>2</v>
      </c>
      <c r="D595" s="1860">
        <f t="shared" si="47"/>
        <v>42054</v>
      </c>
      <c r="E595" s="1861">
        <v>42054</v>
      </c>
      <c r="F595" s="1862">
        <f t="shared" si="48"/>
        <v>0</v>
      </c>
      <c r="G595" s="1862">
        <v>60000</v>
      </c>
      <c r="H595" s="1862">
        <v>60000</v>
      </c>
      <c r="I595" s="1862">
        <f>Tabla1[[#This Row],[Extraccion
Norte II]]+Tabla1[[#This Row],[Extraccion
ENO]]</f>
        <v>65061.921713490003</v>
      </c>
      <c r="J595" s="1862">
        <v>65061.921713490003</v>
      </c>
      <c r="K595" s="1862"/>
      <c r="L595" s="1862">
        <f t="shared" si="49"/>
        <v>-5061.9217134900027</v>
      </c>
      <c r="M595" s="1862">
        <f>M594+Tabla1[[#This Row],[Desbalance
TPL]]</f>
        <v>-74666.354746774334</v>
      </c>
    </row>
    <row r="596" spans="2:13" x14ac:dyDescent="0.25">
      <c r="B596" s="1859">
        <f t="shared" si="45"/>
        <v>2015</v>
      </c>
      <c r="C596" s="1859">
        <f t="shared" si="46"/>
        <v>2</v>
      </c>
      <c r="D596" s="1860">
        <f t="shared" si="47"/>
        <v>42055</v>
      </c>
      <c r="E596" s="1861">
        <v>42055</v>
      </c>
      <c r="F596" s="1862">
        <f t="shared" si="48"/>
        <v>0</v>
      </c>
      <c r="G596" s="1862">
        <v>60000</v>
      </c>
      <c r="H596" s="1862">
        <v>60000</v>
      </c>
      <c r="I596" s="1862">
        <f>Tabla1[[#This Row],[Extraccion
Norte II]]+Tabla1[[#This Row],[Extraccion
ENO]]</f>
        <v>62240.9624109</v>
      </c>
      <c r="J596" s="1862">
        <v>62240.9624109</v>
      </c>
      <c r="K596" s="1862"/>
      <c r="L596" s="1862">
        <f t="shared" si="49"/>
        <v>-2240.9624108999997</v>
      </c>
      <c r="M596" s="1862">
        <f>M595+Tabla1[[#This Row],[Desbalance
TPL]]</f>
        <v>-76907.317157674333</v>
      </c>
    </row>
    <row r="597" spans="2:13" x14ac:dyDescent="0.25">
      <c r="B597" s="1859">
        <f t="shared" si="45"/>
        <v>2015</v>
      </c>
      <c r="C597" s="1859">
        <f t="shared" si="46"/>
        <v>2</v>
      </c>
      <c r="D597" s="1860">
        <f t="shared" si="47"/>
        <v>42056</v>
      </c>
      <c r="E597" s="1861">
        <v>42056</v>
      </c>
      <c r="F597" s="1862">
        <f t="shared" si="48"/>
        <v>0</v>
      </c>
      <c r="G597" s="1862">
        <v>65000</v>
      </c>
      <c r="H597" s="1862">
        <v>65000</v>
      </c>
      <c r="I597" s="1862">
        <f>Tabla1[[#This Row],[Extraccion
Norte II]]+Tabla1[[#This Row],[Extraccion
ENO]]</f>
        <v>63641.125074149997</v>
      </c>
      <c r="J597" s="1862">
        <v>63641.125074149997</v>
      </c>
      <c r="K597" s="1862"/>
      <c r="L597" s="1862">
        <f t="shared" si="49"/>
        <v>1358.8749258500029</v>
      </c>
      <c r="M597" s="1862">
        <f>M596+Tabla1[[#This Row],[Desbalance
TPL]]</f>
        <v>-75548.442231824331</v>
      </c>
    </row>
    <row r="598" spans="2:13" x14ac:dyDescent="0.25">
      <c r="B598" s="1859">
        <f t="shared" si="45"/>
        <v>2015</v>
      </c>
      <c r="C598" s="1859">
        <f t="shared" si="46"/>
        <v>2</v>
      </c>
      <c r="D598" s="1860">
        <f t="shared" si="47"/>
        <v>42057</v>
      </c>
      <c r="E598" s="1861">
        <v>42057</v>
      </c>
      <c r="F598" s="1862">
        <f t="shared" si="48"/>
        <v>0</v>
      </c>
      <c r="G598" s="1862">
        <v>65000</v>
      </c>
      <c r="H598" s="1862">
        <v>65000</v>
      </c>
      <c r="I598" s="1862">
        <f>Tabla1[[#This Row],[Extraccion
Norte II]]+Tabla1[[#This Row],[Extraccion
ENO]]</f>
        <v>61616.254330565993</v>
      </c>
      <c r="J598" s="1862">
        <v>61616.254330565993</v>
      </c>
      <c r="K598" s="1862"/>
      <c r="L598" s="1862">
        <f t="shared" si="49"/>
        <v>3383.7456694340071</v>
      </c>
      <c r="M598" s="1862">
        <f>M597+Tabla1[[#This Row],[Desbalance
TPL]]</f>
        <v>-72164.696562390323</v>
      </c>
    </row>
    <row r="599" spans="2:13" x14ac:dyDescent="0.25">
      <c r="B599" s="1859">
        <f t="shared" si="45"/>
        <v>2015</v>
      </c>
      <c r="C599" s="1859">
        <f t="shared" si="46"/>
        <v>2</v>
      </c>
      <c r="D599" s="1860">
        <f t="shared" si="47"/>
        <v>42058</v>
      </c>
      <c r="E599" s="1861">
        <v>42058</v>
      </c>
      <c r="F599" s="1862">
        <f t="shared" si="48"/>
        <v>0</v>
      </c>
      <c r="G599" s="1862">
        <v>55221</v>
      </c>
      <c r="H599" s="1862">
        <v>55221</v>
      </c>
      <c r="I599" s="1862">
        <f>Tabla1[[#This Row],[Extraccion
Norte II]]+Tabla1[[#This Row],[Extraccion
ENO]]</f>
        <v>60936.561490428008</v>
      </c>
      <c r="J599" s="1862">
        <v>60936.561490428008</v>
      </c>
      <c r="K599" s="1862"/>
      <c r="L599" s="1862">
        <f t="shared" si="49"/>
        <v>-5715.5614904280083</v>
      </c>
      <c r="M599" s="1862">
        <f>M598+Tabla1[[#This Row],[Desbalance
TPL]]</f>
        <v>-77880.258052818332</v>
      </c>
    </row>
    <row r="600" spans="2:13" x14ac:dyDescent="0.25">
      <c r="B600" s="1859">
        <f t="shared" si="45"/>
        <v>2015</v>
      </c>
      <c r="C600" s="1859">
        <f t="shared" si="46"/>
        <v>2</v>
      </c>
      <c r="D600" s="1860">
        <f t="shared" si="47"/>
        <v>42059</v>
      </c>
      <c r="E600" s="1861">
        <v>42059</v>
      </c>
      <c r="F600" s="1862">
        <f t="shared" si="48"/>
        <v>0</v>
      </c>
      <c r="G600" s="1862">
        <v>64488</v>
      </c>
      <c r="H600" s="1862">
        <v>64488</v>
      </c>
      <c r="I600" s="1862">
        <f>Tabla1[[#This Row],[Extraccion
Norte II]]+Tabla1[[#This Row],[Extraccion
ENO]]</f>
        <v>68154.364239389994</v>
      </c>
      <c r="J600" s="1862">
        <v>68154.364239389994</v>
      </c>
      <c r="K600" s="1862"/>
      <c r="L600" s="1862">
        <f t="shared" si="49"/>
        <v>-3666.3642393899936</v>
      </c>
      <c r="M600" s="1862">
        <f>M599+Tabla1[[#This Row],[Desbalance
TPL]]</f>
        <v>-81546.622292208325</v>
      </c>
    </row>
    <row r="601" spans="2:13" x14ac:dyDescent="0.25">
      <c r="B601" s="1859">
        <f t="shared" si="45"/>
        <v>2015</v>
      </c>
      <c r="C601" s="1859">
        <f t="shared" si="46"/>
        <v>2</v>
      </c>
      <c r="D601" s="1860">
        <f t="shared" si="47"/>
        <v>42060</v>
      </c>
      <c r="E601" s="1861">
        <v>42060</v>
      </c>
      <c r="F601" s="1862">
        <f t="shared" si="48"/>
        <v>0</v>
      </c>
      <c r="G601" s="1862">
        <v>59780</v>
      </c>
      <c r="H601" s="1862">
        <v>59780</v>
      </c>
      <c r="I601" s="1862">
        <f>Tabla1[[#This Row],[Extraccion
Norte II]]+Tabla1[[#This Row],[Extraccion
ENO]]</f>
        <v>72119.09886327901</v>
      </c>
      <c r="J601" s="1862">
        <v>72119.09886327901</v>
      </c>
      <c r="K601" s="1862"/>
      <c r="L601" s="1862">
        <f t="shared" si="49"/>
        <v>-12339.09886327901</v>
      </c>
      <c r="M601" s="1862">
        <f>M600+Tabla1[[#This Row],[Desbalance
TPL]]</f>
        <v>-93885.721155487336</v>
      </c>
    </row>
    <row r="602" spans="2:13" x14ac:dyDescent="0.25">
      <c r="B602" s="1859">
        <f t="shared" si="45"/>
        <v>2015</v>
      </c>
      <c r="C602" s="1859">
        <f t="shared" si="46"/>
        <v>2</v>
      </c>
      <c r="D602" s="1860">
        <f t="shared" si="47"/>
        <v>42061</v>
      </c>
      <c r="E602" s="1861">
        <v>42061</v>
      </c>
      <c r="F602" s="1862">
        <f t="shared" si="48"/>
        <v>0</v>
      </c>
      <c r="G602" s="1862">
        <v>60000</v>
      </c>
      <c r="H602" s="1862">
        <v>60000</v>
      </c>
      <c r="I602" s="1862">
        <f>Tabla1[[#This Row],[Extraccion
Norte II]]+Tabla1[[#This Row],[Extraccion
ENO]]</f>
        <v>64869.457993470001</v>
      </c>
      <c r="J602" s="1862">
        <v>64869.457993470001</v>
      </c>
      <c r="K602" s="1862"/>
      <c r="L602" s="1862">
        <f t="shared" si="49"/>
        <v>-4869.4579934700014</v>
      </c>
      <c r="M602" s="1862">
        <f>M601+Tabla1[[#This Row],[Desbalance
TPL]]</f>
        <v>-98755.179148957337</v>
      </c>
    </row>
    <row r="603" spans="2:13" x14ac:dyDescent="0.25">
      <c r="B603" s="1859">
        <f t="shared" si="45"/>
        <v>2015</v>
      </c>
      <c r="C603" s="1859">
        <f t="shared" si="46"/>
        <v>2</v>
      </c>
      <c r="D603" s="1860">
        <f t="shared" si="47"/>
        <v>42062</v>
      </c>
      <c r="E603" s="1861">
        <v>42062</v>
      </c>
      <c r="F603" s="1862">
        <f t="shared" si="48"/>
        <v>0</v>
      </c>
      <c r="G603" s="1862">
        <v>64912</v>
      </c>
      <c r="H603" s="1862">
        <v>64912</v>
      </c>
      <c r="I603" s="1862">
        <f>Tabla1[[#This Row],[Extraccion
Norte II]]+Tabla1[[#This Row],[Extraccion
ENO]]</f>
        <v>68529.301688250009</v>
      </c>
      <c r="J603" s="1862">
        <v>68529.301688250009</v>
      </c>
      <c r="K603" s="1862"/>
      <c r="L603" s="1862">
        <f t="shared" si="49"/>
        <v>-3617.3016882500087</v>
      </c>
      <c r="M603" s="1862">
        <f>M602+Tabla1[[#This Row],[Desbalance
TPL]]</f>
        <v>-102372.48083720735</v>
      </c>
    </row>
    <row r="604" spans="2:13" x14ac:dyDescent="0.25">
      <c r="B604" s="1859">
        <f t="shared" ref="B604:B667" si="50">YEAR(E604)</f>
        <v>2015</v>
      </c>
      <c r="C604" s="1859">
        <f t="shared" ref="C604:C667" si="51">MONTH(E604)</f>
        <v>2</v>
      </c>
      <c r="D604" s="1860">
        <f t="shared" ref="D604:D667" si="52">E604</f>
        <v>42063</v>
      </c>
      <c r="E604" s="1861">
        <v>42063</v>
      </c>
      <c r="F604" s="1862">
        <f t="shared" si="48"/>
        <v>0</v>
      </c>
      <c r="G604" s="1862">
        <v>62544</v>
      </c>
      <c r="H604" s="1862">
        <v>62544</v>
      </c>
      <c r="I604" s="1862">
        <f>Tabla1[[#This Row],[Extraccion
Norte II]]+Tabla1[[#This Row],[Extraccion
ENO]]</f>
        <v>59856.501271319998</v>
      </c>
      <c r="J604" s="1862">
        <v>59856.501271319998</v>
      </c>
      <c r="K604" s="1862"/>
      <c r="L604" s="1862">
        <f t="shared" si="49"/>
        <v>2687.4987286800024</v>
      </c>
      <c r="M604" s="1862">
        <f>M603+Tabla1[[#This Row],[Desbalance
TPL]]</f>
        <v>-99684.982108527343</v>
      </c>
    </row>
    <row r="605" spans="2:13" x14ac:dyDescent="0.25">
      <c r="B605" s="1859">
        <f t="shared" si="50"/>
        <v>2015</v>
      </c>
      <c r="C605" s="1859">
        <f t="shared" si="51"/>
        <v>3</v>
      </c>
      <c r="D605" s="1860">
        <f t="shared" si="52"/>
        <v>42064</v>
      </c>
      <c r="E605" s="1861">
        <v>42064</v>
      </c>
      <c r="F605" s="1862">
        <f t="shared" si="48"/>
        <v>0</v>
      </c>
      <c r="G605" s="1862">
        <v>63336</v>
      </c>
      <c r="H605" s="1862">
        <v>63336</v>
      </c>
      <c r="I605" s="1862">
        <f>Tabla1[[#This Row],[Extraccion
Norte II]]+Tabla1[[#This Row],[Extraccion
ENO]]</f>
        <v>37535.18344524</v>
      </c>
      <c r="J605" s="1862">
        <v>37535.18344524</v>
      </c>
      <c r="K605" s="1862"/>
      <c r="L605" s="1862">
        <f t="shared" si="49"/>
        <v>25800.81655476</v>
      </c>
      <c r="M605" s="1862">
        <f>M604+Tabla1[[#This Row],[Desbalance
TPL]]</f>
        <v>-73884.165553767351</v>
      </c>
    </row>
    <row r="606" spans="2:13" x14ac:dyDescent="0.25">
      <c r="B606" s="1859">
        <f t="shared" si="50"/>
        <v>2015</v>
      </c>
      <c r="C606" s="1859">
        <f t="shared" si="51"/>
        <v>3</v>
      </c>
      <c r="D606" s="1860">
        <f t="shared" si="52"/>
        <v>42065</v>
      </c>
      <c r="E606" s="1861">
        <v>42065</v>
      </c>
      <c r="F606" s="1862">
        <f t="shared" si="48"/>
        <v>0</v>
      </c>
      <c r="G606" s="1862">
        <v>60803</v>
      </c>
      <c r="H606" s="1862">
        <v>60803</v>
      </c>
      <c r="I606" s="1862">
        <f>Tabla1[[#This Row],[Extraccion
Norte II]]+Tabla1[[#This Row],[Extraccion
ENO]]</f>
        <v>37815.775189920001</v>
      </c>
      <c r="J606" s="1862">
        <v>37815.775189920001</v>
      </c>
      <c r="K606" s="1862"/>
      <c r="L606" s="1862">
        <f t="shared" si="49"/>
        <v>22987.224810079999</v>
      </c>
      <c r="M606" s="1862">
        <f>M605+Tabla1[[#This Row],[Desbalance
TPL]]</f>
        <v>-50896.940743687352</v>
      </c>
    </row>
    <row r="607" spans="2:13" x14ac:dyDescent="0.25">
      <c r="B607" s="1859">
        <f t="shared" si="50"/>
        <v>2015</v>
      </c>
      <c r="C607" s="1859">
        <f t="shared" si="51"/>
        <v>3</v>
      </c>
      <c r="D607" s="1860">
        <f t="shared" si="52"/>
        <v>42066</v>
      </c>
      <c r="E607" s="1861">
        <v>42066</v>
      </c>
      <c r="F607" s="1862">
        <f t="shared" si="48"/>
        <v>0</v>
      </c>
      <c r="G607" s="1862">
        <v>60000</v>
      </c>
      <c r="H607" s="1862">
        <v>60000</v>
      </c>
      <c r="I607" s="1862">
        <f>Tabla1[[#This Row],[Extraccion
Norte II]]+Tabla1[[#This Row],[Extraccion
ENO]]</f>
        <v>37430.411754059998</v>
      </c>
      <c r="J607" s="1862">
        <v>37430.411754059998</v>
      </c>
      <c r="K607" s="1862"/>
      <c r="L607" s="1862">
        <f t="shared" si="49"/>
        <v>22569.588245940002</v>
      </c>
      <c r="M607" s="1862">
        <f>M606+Tabla1[[#This Row],[Desbalance
TPL]]</f>
        <v>-28327.35249774735</v>
      </c>
    </row>
    <row r="608" spans="2:13" x14ac:dyDescent="0.25">
      <c r="B608" s="1859">
        <f t="shared" si="50"/>
        <v>2015</v>
      </c>
      <c r="C608" s="1859">
        <f t="shared" si="51"/>
        <v>3</v>
      </c>
      <c r="D608" s="1860">
        <f t="shared" si="52"/>
        <v>42067</v>
      </c>
      <c r="E608" s="1861">
        <v>42067</v>
      </c>
      <c r="F608" s="1862">
        <f t="shared" si="48"/>
        <v>0</v>
      </c>
      <c r="G608" s="1862">
        <v>65000</v>
      </c>
      <c r="H608" s="1862">
        <v>65000</v>
      </c>
      <c r="I608" s="1862">
        <f>Tabla1[[#This Row],[Extraccion
Norte II]]+Tabla1[[#This Row],[Extraccion
ENO]]</f>
        <v>37591.720729290006</v>
      </c>
      <c r="J608" s="1862">
        <v>37591.720729290006</v>
      </c>
      <c r="K608" s="1862"/>
      <c r="L608" s="1862">
        <f t="shared" si="49"/>
        <v>27408.279270709994</v>
      </c>
      <c r="M608" s="1862">
        <f>M607+Tabla1[[#This Row],[Desbalance
TPL]]</f>
        <v>-919.07322703735554</v>
      </c>
    </row>
    <row r="609" spans="2:13" x14ac:dyDescent="0.25">
      <c r="B609" s="1859">
        <f t="shared" si="50"/>
        <v>2015</v>
      </c>
      <c r="C609" s="1859">
        <f t="shared" si="51"/>
        <v>3</v>
      </c>
      <c r="D609" s="1860">
        <f t="shared" si="52"/>
        <v>42068</v>
      </c>
      <c r="E609" s="1861">
        <v>42068</v>
      </c>
      <c r="F609" s="1862">
        <f t="shared" si="48"/>
        <v>0</v>
      </c>
      <c r="G609" s="1862">
        <v>65000</v>
      </c>
      <c r="H609" s="1862">
        <v>65000</v>
      </c>
      <c r="I609" s="1862">
        <f>Tabla1[[#This Row],[Extraccion
Norte II]]+Tabla1[[#This Row],[Extraccion
ENO]]</f>
        <v>37577.456083440004</v>
      </c>
      <c r="J609" s="1862">
        <v>37577.456083440004</v>
      </c>
      <c r="K609" s="1862"/>
      <c r="L609" s="1862">
        <f t="shared" si="49"/>
        <v>27422.543916559996</v>
      </c>
      <c r="M609" s="1862">
        <f>M608+Tabla1[[#This Row],[Desbalance
TPL]]</f>
        <v>26503.470689522641</v>
      </c>
    </row>
    <row r="610" spans="2:13" x14ac:dyDescent="0.25">
      <c r="B610" s="1859">
        <f t="shared" si="50"/>
        <v>2015</v>
      </c>
      <c r="C610" s="1859">
        <f t="shared" si="51"/>
        <v>3</v>
      </c>
      <c r="D610" s="1860">
        <f t="shared" si="52"/>
        <v>42069</v>
      </c>
      <c r="E610" s="1861">
        <v>42069</v>
      </c>
      <c r="F610" s="1862">
        <f t="shared" si="48"/>
        <v>0</v>
      </c>
      <c r="G610" s="1862">
        <v>65000</v>
      </c>
      <c r="H610" s="1862">
        <v>65000</v>
      </c>
      <c r="I610" s="1862">
        <f>Tabla1[[#This Row],[Extraccion
Norte II]]+Tabla1[[#This Row],[Extraccion
ENO]]</f>
        <v>37347.032292570002</v>
      </c>
      <c r="J610" s="1862">
        <v>37347.032292570002</v>
      </c>
      <c r="K610" s="1862"/>
      <c r="L610" s="1862">
        <f t="shared" si="49"/>
        <v>27652.967707429998</v>
      </c>
      <c r="M610" s="1862">
        <f>M609+Tabla1[[#This Row],[Desbalance
TPL]]</f>
        <v>54156.438396952639</v>
      </c>
    </row>
    <row r="611" spans="2:13" x14ac:dyDescent="0.25">
      <c r="B611" s="1859">
        <f t="shared" si="50"/>
        <v>2015</v>
      </c>
      <c r="C611" s="1859">
        <f t="shared" si="51"/>
        <v>3</v>
      </c>
      <c r="D611" s="1860">
        <f t="shared" si="52"/>
        <v>42070</v>
      </c>
      <c r="E611" s="1861">
        <v>42070</v>
      </c>
      <c r="F611" s="1862">
        <f t="shared" si="48"/>
        <v>0</v>
      </c>
      <c r="G611" s="1862">
        <v>40000</v>
      </c>
      <c r="H611" s="1862">
        <v>40000</v>
      </c>
      <c r="I611" s="1862">
        <f>Tabla1[[#This Row],[Extraccion
Norte II]]+Tabla1[[#This Row],[Extraccion
ENO]]</f>
        <v>37209.054780612001</v>
      </c>
      <c r="J611" s="1862">
        <v>37209.054780612001</v>
      </c>
      <c r="K611" s="1862"/>
      <c r="L611" s="1862">
        <f t="shared" si="49"/>
        <v>2790.9452193879988</v>
      </c>
      <c r="M611" s="1862">
        <f>M610+Tabla1[[#This Row],[Desbalance
TPL]]</f>
        <v>56947.383616340638</v>
      </c>
    </row>
    <row r="612" spans="2:13" x14ac:dyDescent="0.25">
      <c r="B612" s="1859">
        <f t="shared" si="50"/>
        <v>2015</v>
      </c>
      <c r="C612" s="1859">
        <f t="shared" si="51"/>
        <v>3</v>
      </c>
      <c r="D612" s="1860">
        <f t="shared" si="52"/>
        <v>42071</v>
      </c>
      <c r="E612" s="1861">
        <v>42071</v>
      </c>
      <c r="F612" s="1862">
        <f t="shared" si="48"/>
        <v>0</v>
      </c>
      <c r="G612" s="1862">
        <v>40000</v>
      </c>
      <c r="H612" s="1862">
        <v>40000</v>
      </c>
      <c r="I612" s="1862">
        <f>Tabla1[[#This Row],[Extraccion
Norte II]]+Tabla1[[#This Row],[Extraccion
ENO]]</f>
        <v>36807.004078649996</v>
      </c>
      <c r="J612" s="1862">
        <v>36807.004078649996</v>
      </c>
      <c r="K612" s="1862"/>
      <c r="L612" s="1862">
        <f t="shared" si="49"/>
        <v>3192.9959213500042</v>
      </c>
      <c r="M612" s="1862">
        <f>M611+Tabla1[[#This Row],[Desbalance
TPL]]</f>
        <v>60140.379537690642</v>
      </c>
    </row>
    <row r="613" spans="2:13" x14ac:dyDescent="0.25">
      <c r="B613" s="1859">
        <f t="shared" si="50"/>
        <v>2015</v>
      </c>
      <c r="C613" s="1859">
        <f t="shared" si="51"/>
        <v>3</v>
      </c>
      <c r="D613" s="1860">
        <f t="shared" si="52"/>
        <v>42072</v>
      </c>
      <c r="E613" s="1861">
        <v>42072</v>
      </c>
      <c r="F613" s="1862">
        <f t="shared" si="48"/>
        <v>0</v>
      </c>
      <c r="G613" s="1862">
        <v>40000</v>
      </c>
      <c r="H613" s="1862">
        <v>40000</v>
      </c>
      <c r="I613" s="1862">
        <f>Tabla1[[#This Row],[Extraccion
Norte II]]+Tabla1[[#This Row],[Extraccion
ENO]]</f>
        <v>37203.205801904995</v>
      </c>
      <c r="J613" s="1862">
        <v>37203.205801904995</v>
      </c>
      <c r="K613" s="1862"/>
      <c r="L613" s="1862">
        <f t="shared" si="49"/>
        <v>2796.7941980950054</v>
      </c>
      <c r="M613" s="1862">
        <f>M612+Tabla1[[#This Row],[Desbalance
TPL]]</f>
        <v>62937.173735785647</v>
      </c>
    </row>
    <row r="614" spans="2:13" x14ac:dyDescent="0.25">
      <c r="B614" s="1859">
        <f t="shared" si="50"/>
        <v>2015</v>
      </c>
      <c r="C614" s="1859">
        <f t="shared" si="51"/>
        <v>3</v>
      </c>
      <c r="D614" s="1860">
        <f t="shared" si="52"/>
        <v>42073</v>
      </c>
      <c r="E614" s="1861">
        <v>42073</v>
      </c>
      <c r="F614" s="1862">
        <f t="shared" si="48"/>
        <v>0</v>
      </c>
      <c r="G614" s="1862">
        <v>40000</v>
      </c>
      <c r="H614" s="1862">
        <v>40000</v>
      </c>
      <c r="I614" s="1862">
        <f>Tabla1[[#This Row],[Extraccion
Norte II]]+Tabla1[[#This Row],[Extraccion
ENO]]</f>
        <v>37228.033868220002</v>
      </c>
      <c r="J614" s="1862">
        <v>37228.033868220002</v>
      </c>
      <c r="K614" s="1862"/>
      <c r="L614" s="1862">
        <f t="shared" si="49"/>
        <v>2771.9661317799982</v>
      </c>
      <c r="M614" s="1862">
        <f>M613+Tabla1[[#This Row],[Desbalance
TPL]]</f>
        <v>65709.139867565653</v>
      </c>
    </row>
    <row r="615" spans="2:13" x14ac:dyDescent="0.25">
      <c r="B615" s="1859">
        <f t="shared" si="50"/>
        <v>2015</v>
      </c>
      <c r="C615" s="1859">
        <f t="shared" si="51"/>
        <v>3</v>
      </c>
      <c r="D615" s="1860">
        <f t="shared" si="52"/>
        <v>42074</v>
      </c>
      <c r="E615" s="1861">
        <v>42074</v>
      </c>
      <c r="F615" s="1862">
        <f t="shared" si="48"/>
        <v>0</v>
      </c>
      <c r="G615" s="1862">
        <v>50000</v>
      </c>
      <c r="H615" s="1862">
        <v>50000</v>
      </c>
      <c r="I615" s="1862">
        <f>Tabla1[[#This Row],[Extraccion
Norte II]]+Tabla1[[#This Row],[Extraccion
ENO]]</f>
        <v>34864.746960420001</v>
      </c>
      <c r="J615" s="1862">
        <v>34864.746960420001</v>
      </c>
      <c r="K615" s="1862"/>
      <c r="L615" s="1862">
        <f t="shared" si="49"/>
        <v>15135.253039579999</v>
      </c>
      <c r="M615" s="1862">
        <f>M614+Tabla1[[#This Row],[Desbalance
TPL]]</f>
        <v>80844.392907145651</v>
      </c>
    </row>
    <row r="616" spans="2:13" x14ac:dyDescent="0.25">
      <c r="B616" s="1859">
        <f t="shared" si="50"/>
        <v>2015</v>
      </c>
      <c r="C616" s="1859">
        <f t="shared" si="51"/>
        <v>3</v>
      </c>
      <c r="D616" s="1860">
        <f t="shared" si="52"/>
        <v>42075</v>
      </c>
      <c r="E616" s="1861">
        <v>42075</v>
      </c>
      <c r="F616" s="1862">
        <f t="shared" si="48"/>
        <v>0</v>
      </c>
      <c r="G616" s="1862">
        <v>40000</v>
      </c>
      <c r="H616" s="1862">
        <v>40000</v>
      </c>
      <c r="I616" s="1862">
        <f>Tabla1[[#This Row],[Extraccion
Norte II]]+Tabla1[[#This Row],[Extraccion
ENO]]</f>
        <v>51643.402525377001</v>
      </c>
      <c r="J616" s="1862">
        <v>51643.402525377001</v>
      </c>
      <c r="K616" s="1862"/>
      <c r="L616" s="1862">
        <f t="shared" si="49"/>
        <v>-11643.402525377001</v>
      </c>
      <c r="M616" s="1862">
        <f>M615+Tabla1[[#This Row],[Desbalance
TPL]]</f>
        <v>69200.990381768643</v>
      </c>
    </row>
    <row r="617" spans="2:13" x14ac:dyDescent="0.25">
      <c r="B617" s="1859">
        <f t="shared" si="50"/>
        <v>2015</v>
      </c>
      <c r="C617" s="1859">
        <f t="shared" si="51"/>
        <v>3</v>
      </c>
      <c r="D617" s="1860">
        <f t="shared" si="52"/>
        <v>42076</v>
      </c>
      <c r="E617" s="1861">
        <v>42076</v>
      </c>
      <c r="F617" s="1862">
        <f t="shared" si="48"/>
        <v>0</v>
      </c>
      <c r="G617" s="1862">
        <v>35000</v>
      </c>
      <c r="H617" s="1862">
        <v>35000</v>
      </c>
      <c r="I617" s="1862">
        <f>Tabla1[[#This Row],[Extraccion
Norte II]]+Tabla1[[#This Row],[Extraccion
ENO]]</f>
        <v>37229.730460649997</v>
      </c>
      <c r="J617" s="1862">
        <v>37229.730460649997</v>
      </c>
      <c r="K617" s="1862"/>
      <c r="L617" s="1862">
        <f t="shared" si="49"/>
        <v>-2229.7304606499965</v>
      </c>
      <c r="M617" s="1862">
        <f>M616+Tabla1[[#This Row],[Desbalance
TPL]]</f>
        <v>66971.259921118646</v>
      </c>
    </row>
    <row r="618" spans="2:13" x14ac:dyDescent="0.25">
      <c r="B618" s="1859">
        <f t="shared" si="50"/>
        <v>2015</v>
      </c>
      <c r="C618" s="1859">
        <f t="shared" si="51"/>
        <v>3</v>
      </c>
      <c r="D618" s="1860">
        <f t="shared" si="52"/>
        <v>42077</v>
      </c>
      <c r="E618" s="1861">
        <v>42077</v>
      </c>
      <c r="F618" s="1862">
        <f t="shared" si="48"/>
        <v>0</v>
      </c>
      <c r="G618" s="1862">
        <v>40000</v>
      </c>
      <c r="H618" s="1862">
        <v>40000</v>
      </c>
      <c r="I618" s="1862">
        <f>Tabla1[[#This Row],[Extraccion
Norte II]]+Tabla1[[#This Row],[Extraccion
ENO]]</f>
        <v>36630.321511679998</v>
      </c>
      <c r="J618" s="1862">
        <v>36630.321511679998</v>
      </c>
      <c r="K618" s="1862"/>
      <c r="L618" s="1862">
        <f t="shared" si="49"/>
        <v>3369.6784883200016</v>
      </c>
      <c r="M618" s="1862">
        <f>M617+Tabla1[[#This Row],[Desbalance
TPL]]</f>
        <v>70340.938409438648</v>
      </c>
    </row>
    <row r="619" spans="2:13" x14ac:dyDescent="0.25">
      <c r="B619" s="1859">
        <f t="shared" si="50"/>
        <v>2015</v>
      </c>
      <c r="C619" s="1859">
        <f t="shared" si="51"/>
        <v>3</v>
      </c>
      <c r="D619" s="1860">
        <f t="shared" si="52"/>
        <v>42078</v>
      </c>
      <c r="E619" s="1861">
        <v>42078</v>
      </c>
      <c r="F619" s="1862">
        <f t="shared" si="48"/>
        <v>0</v>
      </c>
      <c r="G619" s="1862">
        <v>40000</v>
      </c>
      <c r="H619" s="1862">
        <v>40000</v>
      </c>
      <c r="I619" s="1862">
        <f>Tabla1[[#This Row],[Extraccion
Norte II]]+Tabla1[[#This Row],[Extraccion
ENO]]</f>
        <v>12946.583095290001</v>
      </c>
      <c r="J619" s="1862">
        <v>12946.583095290001</v>
      </c>
      <c r="K619" s="1862"/>
      <c r="L619" s="1862">
        <f t="shared" si="49"/>
        <v>27053.41690471</v>
      </c>
      <c r="M619" s="1862">
        <f>M618+Tabla1[[#This Row],[Desbalance
TPL]]</f>
        <v>97394.355314148648</v>
      </c>
    </row>
    <row r="620" spans="2:13" x14ac:dyDescent="0.25">
      <c r="B620" s="1859">
        <f t="shared" si="50"/>
        <v>2015</v>
      </c>
      <c r="C620" s="1859">
        <f t="shared" si="51"/>
        <v>3</v>
      </c>
      <c r="D620" s="1860">
        <f t="shared" si="52"/>
        <v>42079</v>
      </c>
      <c r="E620" s="1861">
        <v>42079</v>
      </c>
      <c r="F620" s="1862">
        <f t="shared" si="48"/>
        <v>0</v>
      </c>
      <c r="G620" s="1862">
        <v>39990</v>
      </c>
      <c r="H620" s="1862">
        <v>39990</v>
      </c>
      <c r="I620" s="1862">
        <f>Tabla1[[#This Row],[Extraccion
Norte II]]+Tabla1[[#This Row],[Extraccion
ENO]]</f>
        <v>37138.891679370005</v>
      </c>
      <c r="J620" s="1862">
        <v>37138.891679370005</v>
      </c>
      <c r="K620" s="1862"/>
      <c r="L620" s="1862">
        <f t="shared" si="49"/>
        <v>2851.1083206299954</v>
      </c>
      <c r="M620" s="1862">
        <f>M619+Tabla1[[#This Row],[Desbalance
TPL]]</f>
        <v>100245.46363477864</v>
      </c>
    </row>
    <row r="621" spans="2:13" x14ac:dyDescent="0.25">
      <c r="B621" s="1859">
        <f t="shared" si="50"/>
        <v>2015</v>
      </c>
      <c r="C621" s="1859">
        <f t="shared" si="51"/>
        <v>3</v>
      </c>
      <c r="D621" s="1860">
        <f t="shared" si="52"/>
        <v>42080</v>
      </c>
      <c r="E621" s="1861">
        <v>42080</v>
      </c>
      <c r="F621" s="1862">
        <f t="shared" si="48"/>
        <v>0</v>
      </c>
      <c r="G621" s="1862">
        <v>40000</v>
      </c>
      <c r="H621" s="1862">
        <v>40000</v>
      </c>
      <c r="I621" s="1862">
        <f>Tabla1[[#This Row],[Extraccion
Norte II]]+Tabla1[[#This Row],[Extraccion
ENO]]</f>
        <v>37001.486648880003</v>
      </c>
      <c r="J621" s="1862">
        <v>37001.486648880003</v>
      </c>
      <c r="K621" s="1862"/>
      <c r="L621" s="1862">
        <f t="shared" si="49"/>
        <v>2998.5133511199965</v>
      </c>
      <c r="M621" s="1862">
        <f>M620+Tabla1[[#This Row],[Desbalance
TPL]]</f>
        <v>103243.97698589864</v>
      </c>
    </row>
    <row r="622" spans="2:13" x14ac:dyDescent="0.25">
      <c r="B622" s="1859">
        <f t="shared" si="50"/>
        <v>2015</v>
      </c>
      <c r="C622" s="1859">
        <f t="shared" si="51"/>
        <v>3</v>
      </c>
      <c r="D622" s="1860">
        <f t="shared" si="52"/>
        <v>42081</v>
      </c>
      <c r="E622" s="1861">
        <v>42081</v>
      </c>
      <c r="F622" s="1862">
        <f t="shared" si="48"/>
        <v>0</v>
      </c>
      <c r="G622" s="1862">
        <v>40000</v>
      </c>
      <c r="H622" s="1862">
        <v>40000</v>
      </c>
      <c r="I622" s="1862">
        <f>Tabla1[[#This Row],[Extraccion
Norte II]]+Tabla1[[#This Row],[Extraccion
ENO]]</f>
        <v>35748.463096709995</v>
      </c>
      <c r="J622" s="1862">
        <v>35748.463096709995</v>
      </c>
      <c r="K622" s="1862"/>
      <c r="L622" s="1862">
        <f t="shared" si="49"/>
        <v>4251.5369032900053</v>
      </c>
      <c r="M622" s="1862">
        <f>M621+Tabla1[[#This Row],[Desbalance
TPL]]</f>
        <v>107495.51388918865</v>
      </c>
    </row>
    <row r="623" spans="2:13" x14ac:dyDescent="0.25">
      <c r="B623" s="1859">
        <f t="shared" si="50"/>
        <v>2015</v>
      </c>
      <c r="C623" s="1859">
        <f t="shared" si="51"/>
        <v>3</v>
      </c>
      <c r="D623" s="1860">
        <f t="shared" si="52"/>
        <v>42082</v>
      </c>
      <c r="E623" s="1861">
        <v>42082</v>
      </c>
      <c r="F623" s="1862">
        <f t="shared" si="48"/>
        <v>0</v>
      </c>
      <c r="G623" s="1862">
        <v>40000</v>
      </c>
      <c r="H623" s="1862">
        <v>40000</v>
      </c>
      <c r="I623" s="1862">
        <f>Tabla1[[#This Row],[Extraccion
Norte II]]+Tabla1[[#This Row],[Extraccion
ENO]]</f>
        <v>61555.870805129998</v>
      </c>
      <c r="J623" s="1862">
        <v>61555.870805129998</v>
      </c>
      <c r="K623" s="1862"/>
      <c r="L623" s="1862">
        <f t="shared" si="49"/>
        <v>-21555.870805129998</v>
      </c>
      <c r="M623" s="1862">
        <f>M622+Tabla1[[#This Row],[Desbalance
TPL]]</f>
        <v>85939.643084058654</v>
      </c>
    </row>
    <row r="624" spans="2:13" x14ac:dyDescent="0.25">
      <c r="B624" s="1859">
        <f t="shared" si="50"/>
        <v>2015</v>
      </c>
      <c r="C624" s="1859">
        <f t="shared" si="51"/>
        <v>3</v>
      </c>
      <c r="D624" s="1860">
        <f t="shared" si="52"/>
        <v>42083</v>
      </c>
      <c r="E624" s="1861">
        <v>42083</v>
      </c>
      <c r="F624" s="1862">
        <f t="shared" si="48"/>
        <v>0</v>
      </c>
      <c r="G624" s="1862">
        <v>40000</v>
      </c>
      <c r="H624" s="1862">
        <v>40000</v>
      </c>
      <c r="I624" s="1862">
        <f>Tabla1[[#This Row],[Extraccion
Norte II]]+Tabla1[[#This Row],[Extraccion
ENO]]</f>
        <v>67361.543753399994</v>
      </c>
      <c r="J624" s="1862">
        <v>67361.543753399994</v>
      </c>
      <c r="K624" s="1862"/>
      <c r="L624" s="1862">
        <f t="shared" si="49"/>
        <v>-27361.543753399994</v>
      </c>
      <c r="M624" s="1862">
        <f>M623+Tabla1[[#This Row],[Desbalance
TPL]]</f>
        <v>58578.099330658661</v>
      </c>
    </row>
    <row r="625" spans="2:13" x14ac:dyDescent="0.25">
      <c r="B625" s="1859">
        <f t="shared" si="50"/>
        <v>2015</v>
      </c>
      <c r="C625" s="1859">
        <f t="shared" si="51"/>
        <v>3</v>
      </c>
      <c r="D625" s="1860">
        <f t="shared" si="52"/>
        <v>42084</v>
      </c>
      <c r="E625" s="1861">
        <v>42084</v>
      </c>
      <c r="F625" s="1862">
        <f t="shared" si="48"/>
        <v>0</v>
      </c>
      <c r="G625" s="1862">
        <v>40000</v>
      </c>
      <c r="H625" s="1862">
        <v>40000</v>
      </c>
      <c r="I625" s="1862">
        <f>Tabla1[[#This Row],[Extraccion
Norte II]]+Tabla1[[#This Row],[Extraccion
ENO]]</f>
        <v>59887.784919222002</v>
      </c>
      <c r="J625" s="1862">
        <v>59887.784919222002</v>
      </c>
      <c r="K625" s="1862"/>
      <c r="L625" s="1862">
        <f t="shared" si="49"/>
        <v>-19887.784919222002</v>
      </c>
      <c r="M625" s="1862">
        <f>M624+Tabla1[[#This Row],[Desbalance
TPL]]</f>
        <v>38690.314411436659</v>
      </c>
    </row>
    <row r="626" spans="2:13" x14ac:dyDescent="0.25">
      <c r="B626" s="1859">
        <f t="shared" si="50"/>
        <v>2015</v>
      </c>
      <c r="C626" s="1859">
        <f t="shared" si="51"/>
        <v>3</v>
      </c>
      <c r="D626" s="1860">
        <f t="shared" si="52"/>
        <v>42085</v>
      </c>
      <c r="E626" s="1861">
        <v>42085</v>
      </c>
      <c r="F626" s="1862">
        <f t="shared" si="48"/>
        <v>0</v>
      </c>
      <c r="G626" s="1862">
        <v>40000</v>
      </c>
      <c r="H626" s="1862">
        <v>40000</v>
      </c>
      <c r="I626" s="1862">
        <f>Tabla1[[#This Row],[Extraccion
Norte II]]+Tabla1[[#This Row],[Extraccion
ENO]]</f>
        <v>73195.764949710006</v>
      </c>
      <c r="J626" s="1862">
        <v>73195.764949710006</v>
      </c>
      <c r="K626" s="1862"/>
      <c r="L626" s="1862">
        <f t="shared" si="49"/>
        <v>-33195.764949710006</v>
      </c>
      <c r="M626" s="1862">
        <f>M625+Tabla1[[#This Row],[Desbalance
TPL]]</f>
        <v>5494.5494617266522</v>
      </c>
    </row>
    <row r="627" spans="2:13" x14ac:dyDescent="0.25">
      <c r="B627" s="1859">
        <f t="shared" si="50"/>
        <v>2015</v>
      </c>
      <c r="C627" s="1859">
        <f t="shared" si="51"/>
        <v>3</v>
      </c>
      <c r="D627" s="1860">
        <f t="shared" si="52"/>
        <v>42086</v>
      </c>
      <c r="E627" s="1861">
        <v>42086</v>
      </c>
      <c r="F627" s="1862">
        <f t="shared" si="48"/>
        <v>0</v>
      </c>
      <c r="G627" s="1862">
        <v>39999</v>
      </c>
      <c r="H627" s="1862">
        <v>39999</v>
      </c>
      <c r="I627" s="1862">
        <f>Tabla1[[#This Row],[Extraccion
Norte II]]+Tabla1[[#This Row],[Extraccion
ENO]]</f>
        <v>72968.250957030003</v>
      </c>
      <c r="J627" s="1862">
        <v>72968.250957030003</v>
      </c>
      <c r="K627" s="1862"/>
      <c r="L627" s="1862">
        <f t="shared" si="49"/>
        <v>-32969.250957030003</v>
      </c>
      <c r="M627" s="1862">
        <f>M626+Tabla1[[#This Row],[Desbalance
TPL]]</f>
        <v>-27474.70149530335</v>
      </c>
    </row>
    <row r="628" spans="2:13" x14ac:dyDescent="0.25">
      <c r="B628" s="1859">
        <f t="shared" si="50"/>
        <v>2015</v>
      </c>
      <c r="C628" s="1859">
        <f t="shared" si="51"/>
        <v>3</v>
      </c>
      <c r="D628" s="1860">
        <f t="shared" si="52"/>
        <v>42087</v>
      </c>
      <c r="E628" s="1861">
        <v>42087</v>
      </c>
      <c r="F628" s="1862">
        <f t="shared" si="48"/>
        <v>0</v>
      </c>
      <c r="G628" s="1862">
        <v>40000</v>
      </c>
      <c r="H628" s="1862">
        <v>40000</v>
      </c>
      <c r="I628" s="1862">
        <f>Tabla1[[#This Row],[Extraccion
Norte II]]+Tabla1[[#This Row],[Extraccion
ENO]]</f>
        <v>73206.23832756</v>
      </c>
      <c r="J628" s="1862">
        <v>73206.23832756</v>
      </c>
      <c r="K628" s="1862"/>
      <c r="L628" s="1862">
        <f t="shared" si="49"/>
        <v>-33206.23832756</v>
      </c>
      <c r="M628" s="1862">
        <f>M627+Tabla1[[#This Row],[Desbalance
TPL]]</f>
        <v>-60680.939822863351</v>
      </c>
    </row>
    <row r="629" spans="2:13" x14ac:dyDescent="0.25">
      <c r="B629" s="1859">
        <f t="shared" si="50"/>
        <v>2015</v>
      </c>
      <c r="C629" s="1859">
        <f t="shared" si="51"/>
        <v>3</v>
      </c>
      <c r="D629" s="1860">
        <f t="shared" si="52"/>
        <v>42088</v>
      </c>
      <c r="E629" s="1861">
        <v>42088</v>
      </c>
      <c r="F629" s="1862">
        <f t="shared" si="48"/>
        <v>0</v>
      </c>
      <c r="G629" s="1862">
        <v>40000</v>
      </c>
      <c r="H629" s="1862">
        <v>40000</v>
      </c>
      <c r="I629" s="1862">
        <f>Tabla1[[#This Row],[Extraccion
Norte II]]+Tabla1[[#This Row],[Extraccion
ENO]]</f>
        <v>73710.429580709999</v>
      </c>
      <c r="J629" s="1862">
        <v>73710.429580709999</v>
      </c>
      <c r="K629" s="1862"/>
      <c r="L629" s="1862">
        <f t="shared" si="49"/>
        <v>-33710.429580709999</v>
      </c>
      <c r="M629" s="1862">
        <f>M628+Tabla1[[#This Row],[Desbalance
TPL]]</f>
        <v>-94391.36940357335</v>
      </c>
    </row>
    <row r="630" spans="2:13" x14ac:dyDescent="0.25">
      <c r="B630" s="1859">
        <f t="shared" si="50"/>
        <v>2015</v>
      </c>
      <c r="C630" s="1859">
        <f t="shared" si="51"/>
        <v>3</v>
      </c>
      <c r="D630" s="1860">
        <f t="shared" si="52"/>
        <v>42089</v>
      </c>
      <c r="E630" s="1861">
        <v>42089</v>
      </c>
      <c r="F630" s="1862">
        <f t="shared" si="48"/>
        <v>0</v>
      </c>
      <c r="G630" s="1862">
        <v>40000</v>
      </c>
      <c r="H630" s="1862">
        <v>40000</v>
      </c>
      <c r="I630" s="1862">
        <f>Tabla1[[#This Row],[Extraccion
Norte II]]+Tabla1[[#This Row],[Extraccion
ENO]]</f>
        <v>73052.712825534007</v>
      </c>
      <c r="J630" s="1862">
        <v>73052.712825534007</v>
      </c>
      <c r="K630" s="1862"/>
      <c r="L630" s="1862">
        <f t="shared" si="49"/>
        <v>-33052.712825534007</v>
      </c>
      <c r="M630" s="1862">
        <f>M629+Tabla1[[#This Row],[Desbalance
TPL]]</f>
        <v>-127444.08222910736</v>
      </c>
    </row>
    <row r="631" spans="2:13" x14ac:dyDescent="0.25">
      <c r="B631" s="1859">
        <f t="shared" si="50"/>
        <v>2015</v>
      </c>
      <c r="C631" s="1859">
        <f t="shared" si="51"/>
        <v>3</v>
      </c>
      <c r="D631" s="1860">
        <f t="shared" si="52"/>
        <v>42090</v>
      </c>
      <c r="E631" s="1861">
        <v>42090</v>
      </c>
      <c r="F631" s="1862">
        <f t="shared" si="48"/>
        <v>0</v>
      </c>
      <c r="G631" s="1862">
        <v>40000</v>
      </c>
      <c r="H631" s="1862">
        <v>40000</v>
      </c>
      <c r="I631" s="1862">
        <f>Tabla1[[#This Row],[Extraccion
Norte II]]+Tabla1[[#This Row],[Extraccion
ENO]]</f>
        <v>73460.50919415</v>
      </c>
      <c r="J631" s="1862">
        <v>73460.50919415</v>
      </c>
      <c r="K631" s="1862"/>
      <c r="L631" s="1862">
        <f t="shared" si="49"/>
        <v>-33460.50919415</v>
      </c>
      <c r="M631" s="1862">
        <f>M630+Tabla1[[#This Row],[Desbalance
TPL]]</f>
        <v>-160904.59142325737</v>
      </c>
    </row>
    <row r="632" spans="2:13" x14ac:dyDescent="0.25">
      <c r="B632" s="1859">
        <f t="shared" si="50"/>
        <v>2015</v>
      </c>
      <c r="C632" s="1859">
        <f t="shared" si="51"/>
        <v>3</v>
      </c>
      <c r="D632" s="1860">
        <f t="shared" si="52"/>
        <v>42091</v>
      </c>
      <c r="E632" s="1861">
        <v>42091</v>
      </c>
      <c r="F632" s="1862">
        <f t="shared" si="48"/>
        <v>0</v>
      </c>
      <c r="G632" s="1862">
        <v>40000</v>
      </c>
      <c r="H632" s="1862">
        <v>40000</v>
      </c>
      <c r="I632" s="1862">
        <f>Tabla1[[#This Row],[Extraccion
Norte II]]+Tabla1[[#This Row],[Extraccion
ENO]]</f>
        <v>69569.843625360008</v>
      </c>
      <c r="J632" s="1862">
        <v>69569.843625360008</v>
      </c>
      <c r="K632" s="1862"/>
      <c r="L632" s="1862">
        <f t="shared" si="49"/>
        <v>-29569.843625360008</v>
      </c>
      <c r="M632" s="1862">
        <f>M631+Tabla1[[#This Row],[Desbalance
TPL]]</f>
        <v>-190474.43504861736</v>
      </c>
    </row>
    <row r="633" spans="2:13" x14ac:dyDescent="0.25">
      <c r="B633" s="1859">
        <f t="shared" si="50"/>
        <v>2015</v>
      </c>
      <c r="C633" s="1859">
        <f t="shared" si="51"/>
        <v>3</v>
      </c>
      <c r="D633" s="1860">
        <f t="shared" si="52"/>
        <v>42092</v>
      </c>
      <c r="E633" s="1861">
        <v>42092</v>
      </c>
      <c r="F633" s="1862">
        <f t="shared" si="48"/>
        <v>0</v>
      </c>
      <c r="G633" s="1862">
        <v>40000</v>
      </c>
      <c r="H633" s="1862">
        <v>40000</v>
      </c>
      <c r="I633" s="1862">
        <f>Tabla1[[#This Row],[Extraccion
Norte II]]+Tabla1[[#This Row],[Extraccion
ENO]]</f>
        <v>68273.893441260007</v>
      </c>
      <c r="J633" s="1862">
        <v>68273.893441260007</v>
      </c>
      <c r="K633" s="1862"/>
      <c r="L633" s="1862">
        <f t="shared" si="49"/>
        <v>-28273.893441260007</v>
      </c>
      <c r="M633" s="1862">
        <f>M632+Tabla1[[#This Row],[Desbalance
TPL]]</f>
        <v>-218748.32848987737</v>
      </c>
    </row>
    <row r="634" spans="2:13" x14ac:dyDescent="0.25">
      <c r="B634" s="1859">
        <f t="shared" si="50"/>
        <v>2015</v>
      </c>
      <c r="C634" s="1859">
        <f t="shared" si="51"/>
        <v>3</v>
      </c>
      <c r="D634" s="1860">
        <f t="shared" si="52"/>
        <v>42093</v>
      </c>
      <c r="E634" s="1861">
        <v>42093</v>
      </c>
      <c r="F634" s="1862">
        <f t="shared" si="48"/>
        <v>0</v>
      </c>
      <c r="G634" s="1862">
        <v>40000</v>
      </c>
      <c r="H634" s="1862">
        <v>40000</v>
      </c>
      <c r="I634" s="1862">
        <f>Tabla1[[#This Row],[Extraccion
Norte II]]+Tabla1[[#This Row],[Extraccion
ENO]]</f>
        <v>73388.835272609998</v>
      </c>
      <c r="J634" s="1862">
        <v>73388.835272609998</v>
      </c>
      <c r="K634" s="1862"/>
      <c r="L634" s="1862">
        <f t="shared" si="49"/>
        <v>-33388.835272609998</v>
      </c>
      <c r="M634" s="1862">
        <f>M633+Tabla1[[#This Row],[Desbalance
TPL]]</f>
        <v>-252137.16376248735</v>
      </c>
    </row>
    <row r="635" spans="2:13" x14ac:dyDescent="0.25">
      <c r="B635" s="1859">
        <f t="shared" si="50"/>
        <v>2015</v>
      </c>
      <c r="C635" s="1859">
        <f t="shared" si="51"/>
        <v>3</v>
      </c>
      <c r="D635" s="1860">
        <f t="shared" si="52"/>
        <v>42094</v>
      </c>
      <c r="E635" s="1861">
        <v>42094</v>
      </c>
      <c r="F635" s="1862">
        <f t="shared" si="48"/>
        <v>0</v>
      </c>
      <c r="G635" s="1862">
        <v>40000</v>
      </c>
      <c r="H635" s="1862">
        <v>40000</v>
      </c>
      <c r="I635" s="1862">
        <f>Tabla1[[#This Row],[Extraccion
Norte II]]+Tabla1[[#This Row],[Extraccion
ENO]]</f>
        <v>72288.831088188002</v>
      </c>
      <c r="J635" s="1862">
        <v>72288.831088188002</v>
      </c>
      <c r="K635" s="1862"/>
      <c r="L635" s="1862">
        <f t="shared" si="49"/>
        <v>-32288.831088188002</v>
      </c>
      <c r="M635" s="1862">
        <f>M634+Tabla1[[#This Row],[Desbalance
TPL]]</f>
        <v>-284425.99485067534</v>
      </c>
    </row>
    <row r="636" spans="2:13" x14ac:dyDescent="0.25">
      <c r="B636" s="1859">
        <f t="shared" si="50"/>
        <v>2015</v>
      </c>
      <c r="C636" s="1859">
        <f t="shared" si="51"/>
        <v>4</v>
      </c>
      <c r="D636" s="1860">
        <f t="shared" si="52"/>
        <v>42095</v>
      </c>
      <c r="E636" s="1861">
        <v>42095</v>
      </c>
      <c r="F636" s="1862">
        <f t="shared" si="48"/>
        <v>0</v>
      </c>
      <c r="G636" s="1862">
        <v>60000</v>
      </c>
      <c r="H636" s="1862">
        <v>60000</v>
      </c>
      <c r="I636" s="1862">
        <f>Tabla1[[#This Row],[Extraccion
Norte II]]+Tabla1[[#This Row],[Extraccion
ENO]]</f>
        <v>72803.747838509997</v>
      </c>
      <c r="J636" s="1862">
        <v>72803.747838509997</v>
      </c>
      <c r="K636" s="1862"/>
      <c r="L636" s="1862">
        <f t="shared" si="49"/>
        <v>-12803.747838509997</v>
      </c>
      <c r="M636" s="1862">
        <f>M635+Tabla1[[#This Row],[Desbalance
TPL]]</f>
        <v>-297229.74268918531</v>
      </c>
    </row>
    <row r="637" spans="2:13" x14ac:dyDescent="0.25">
      <c r="B637" s="1859">
        <f t="shared" si="50"/>
        <v>2015</v>
      </c>
      <c r="C637" s="1859">
        <f t="shared" si="51"/>
        <v>4</v>
      </c>
      <c r="D637" s="1860">
        <f t="shared" si="52"/>
        <v>42096</v>
      </c>
      <c r="E637" s="1861">
        <v>42096</v>
      </c>
      <c r="F637" s="1862">
        <f t="shared" si="48"/>
        <v>0</v>
      </c>
      <c r="G637" s="1862">
        <v>60000</v>
      </c>
      <c r="H637" s="1862">
        <v>60000</v>
      </c>
      <c r="I637" s="1862">
        <f>Tabla1[[#This Row],[Extraccion
Norte II]]+Tabla1[[#This Row],[Extraccion
ENO]]</f>
        <v>69869.173712129996</v>
      </c>
      <c r="J637" s="1862">
        <v>69869.173712129996</v>
      </c>
      <c r="K637" s="1862"/>
      <c r="L637" s="1862">
        <f t="shared" si="49"/>
        <v>-9869.1737121299957</v>
      </c>
      <c r="M637" s="1862">
        <f>M636+Tabla1[[#This Row],[Desbalance
TPL]]</f>
        <v>-307098.91640131531</v>
      </c>
    </row>
    <row r="638" spans="2:13" x14ac:dyDescent="0.25">
      <c r="B638" s="1859">
        <f t="shared" si="50"/>
        <v>2015</v>
      </c>
      <c r="C638" s="1859">
        <f t="shared" si="51"/>
        <v>4</v>
      </c>
      <c r="D638" s="1860">
        <f t="shared" si="52"/>
        <v>42097</v>
      </c>
      <c r="E638" s="1861">
        <v>42097</v>
      </c>
      <c r="F638" s="1862">
        <f t="shared" si="48"/>
        <v>0</v>
      </c>
      <c r="G638" s="1862">
        <v>60000</v>
      </c>
      <c r="H638" s="1862">
        <v>60000</v>
      </c>
      <c r="I638" s="1862">
        <f>Tabla1[[#This Row],[Extraccion
Norte II]]+Tabla1[[#This Row],[Extraccion
ENO]]</f>
        <v>69155.988810480005</v>
      </c>
      <c r="J638" s="1862">
        <v>69155.988810480005</v>
      </c>
      <c r="K638" s="1862"/>
      <c r="L638" s="1862">
        <f t="shared" si="49"/>
        <v>-9155.9888104800048</v>
      </c>
      <c r="M638" s="1862">
        <f>M637+Tabla1[[#This Row],[Desbalance
TPL]]</f>
        <v>-316254.9052117953</v>
      </c>
    </row>
    <row r="639" spans="2:13" x14ac:dyDescent="0.25">
      <c r="B639" s="1859">
        <f t="shared" si="50"/>
        <v>2015</v>
      </c>
      <c r="C639" s="1859">
        <f t="shared" si="51"/>
        <v>4</v>
      </c>
      <c r="D639" s="1860">
        <f t="shared" si="52"/>
        <v>42098</v>
      </c>
      <c r="E639" s="1861">
        <v>42098</v>
      </c>
      <c r="F639" s="1862">
        <f t="shared" si="48"/>
        <v>0</v>
      </c>
      <c r="G639" s="1862">
        <v>60000</v>
      </c>
      <c r="H639" s="1862">
        <v>60000</v>
      </c>
      <c r="I639" s="1862">
        <f>Tabla1[[#This Row],[Extraccion
Norte II]]+Tabla1[[#This Row],[Extraccion
ENO]]</f>
        <v>65517.044480549994</v>
      </c>
      <c r="J639" s="1862">
        <v>65517.044480549994</v>
      </c>
      <c r="K639" s="1862"/>
      <c r="L639" s="1862">
        <f t="shared" si="49"/>
        <v>-5517.0444805499938</v>
      </c>
      <c r="M639" s="1862">
        <f>M638+Tabla1[[#This Row],[Desbalance
TPL]]</f>
        <v>-321771.94969234528</v>
      </c>
    </row>
    <row r="640" spans="2:13" x14ac:dyDescent="0.25">
      <c r="B640" s="1859">
        <f t="shared" si="50"/>
        <v>2015</v>
      </c>
      <c r="C640" s="1859">
        <f t="shared" si="51"/>
        <v>4</v>
      </c>
      <c r="D640" s="1860">
        <f t="shared" si="52"/>
        <v>42099</v>
      </c>
      <c r="E640" s="1861">
        <v>42099</v>
      </c>
      <c r="F640" s="1862">
        <f t="shared" si="48"/>
        <v>0</v>
      </c>
      <c r="G640" s="1862">
        <v>60000</v>
      </c>
      <c r="H640" s="1862">
        <v>60000</v>
      </c>
      <c r="I640" s="1862">
        <f>Tabla1[[#This Row],[Extraccion
Norte II]]+Tabla1[[#This Row],[Extraccion
ENO]]</f>
        <v>63693.832229702995</v>
      </c>
      <c r="J640" s="1862">
        <v>63693.832229702995</v>
      </c>
      <c r="K640" s="1862"/>
      <c r="L640" s="1862">
        <f t="shared" si="49"/>
        <v>-3693.8322297029954</v>
      </c>
      <c r="M640" s="1862">
        <f>M639+Tabla1[[#This Row],[Desbalance
TPL]]</f>
        <v>-325465.78192204831</v>
      </c>
    </row>
    <row r="641" spans="2:13" x14ac:dyDescent="0.25">
      <c r="B641" s="1859">
        <f t="shared" si="50"/>
        <v>2015</v>
      </c>
      <c r="C641" s="1859">
        <f t="shared" si="51"/>
        <v>4</v>
      </c>
      <c r="D641" s="1860">
        <f t="shared" si="52"/>
        <v>42100</v>
      </c>
      <c r="E641" s="1861">
        <v>42100</v>
      </c>
      <c r="F641" s="1862">
        <f t="shared" si="48"/>
        <v>0</v>
      </c>
      <c r="G641" s="1862">
        <v>60000</v>
      </c>
      <c r="H641" s="1862">
        <v>60000</v>
      </c>
      <c r="I641" s="1862">
        <f>Tabla1[[#This Row],[Extraccion
Norte II]]+Tabla1[[#This Row],[Extraccion
ENO]]</f>
        <v>73274.594889600005</v>
      </c>
      <c r="J641" s="1862">
        <v>73274.594889600005</v>
      </c>
      <c r="K641" s="1862"/>
      <c r="L641" s="1862">
        <f t="shared" si="49"/>
        <v>-13274.594889600005</v>
      </c>
      <c r="M641" s="1862">
        <f>M640+Tabla1[[#This Row],[Desbalance
TPL]]</f>
        <v>-338740.37681164831</v>
      </c>
    </row>
    <row r="642" spans="2:13" x14ac:dyDescent="0.25">
      <c r="B642" s="1859">
        <f t="shared" si="50"/>
        <v>2015</v>
      </c>
      <c r="C642" s="1859">
        <f t="shared" si="51"/>
        <v>4</v>
      </c>
      <c r="D642" s="1860">
        <f t="shared" si="52"/>
        <v>42101</v>
      </c>
      <c r="E642" s="1861">
        <v>42101</v>
      </c>
      <c r="F642" s="1862">
        <f t="shared" si="48"/>
        <v>0</v>
      </c>
      <c r="G642" s="1862">
        <v>75000</v>
      </c>
      <c r="H642" s="1862">
        <v>75000</v>
      </c>
      <c r="I642" s="1862">
        <f>Tabla1[[#This Row],[Extraccion
Norte II]]+Tabla1[[#This Row],[Extraccion
ENO]]</f>
        <v>73290.034828529999</v>
      </c>
      <c r="J642" s="1862">
        <v>73290.034828529999</v>
      </c>
      <c r="K642" s="1862"/>
      <c r="L642" s="1862">
        <f t="shared" si="49"/>
        <v>1709.9651714700012</v>
      </c>
      <c r="M642" s="1862">
        <f>M641+Tabla1[[#This Row],[Desbalance
TPL]]</f>
        <v>-337030.4116401783</v>
      </c>
    </row>
    <row r="643" spans="2:13" x14ac:dyDescent="0.25">
      <c r="B643" s="1859">
        <f t="shared" si="50"/>
        <v>2015</v>
      </c>
      <c r="C643" s="1859">
        <f t="shared" si="51"/>
        <v>4</v>
      </c>
      <c r="D643" s="1860">
        <f t="shared" si="52"/>
        <v>42102</v>
      </c>
      <c r="E643" s="1861">
        <v>42102</v>
      </c>
      <c r="F643" s="1862">
        <f t="shared" si="48"/>
        <v>0</v>
      </c>
      <c r="G643" s="1862">
        <v>80000</v>
      </c>
      <c r="H643" s="1862">
        <v>80000</v>
      </c>
      <c r="I643" s="1862">
        <f>Tabla1[[#This Row],[Extraccion
Norte II]]+Tabla1[[#This Row],[Extraccion
ENO]]</f>
        <v>70014.777359669999</v>
      </c>
      <c r="J643" s="1862">
        <v>70014.777359669999</v>
      </c>
      <c r="K643" s="1862"/>
      <c r="L643" s="1862">
        <f t="shared" si="49"/>
        <v>9985.222640330001</v>
      </c>
      <c r="M643" s="1862">
        <f>M642+Tabla1[[#This Row],[Desbalance
TPL]]</f>
        <v>-327045.18899984832</v>
      </c>
    </row>
    <row r="644" spans="2:13" x14ac:dyDescent="0.25">
      <c r="B644" s="1859">
        <f t="shared" si="50"/>
        <v>2015</v>
      </c>
      <c r="C644" s="1859">
        <f t="shared" si="51"/>
        <v>4</v>
      </c>
      <c r="D644" s="1860">
        <f t="shared" si="52"/>
        <v>42103</v>
      </c>
      <c r="E644" s="1861">
        <v>42103</v>
      </c>
      <c r="F644" s="1862">
        <f t="shared" si="48"/>
        <v>0</v>
      </c>
      <c r="G644" s="1862">
        <v>75000</v>
      </c>
      <c r="H644" s="1862">
        <v>75000</v>
      </c>
      <c r="I644" s="1862">
        <f>Tabla1[[#This Row],[Extraccion
Norte II]]+Tabla1[[#This Row],[Extraccion
ENO]]</f>
        <v>68867.046798030002</v>
      </c>
      <c r="J644" s="1862">
        <v>68867.046798030002</v>
      </c>
      <c r="K644" s="1862"/>
      <c r="L644" s="1862">
        <f t="shared" si="49"/>
        <v>6132.9532019699982</v>
      </c>
      <c r="M644" s="1862">
        <f>M643+Tabla1[[#This Row],[Desbalance
TPL]]</f>
        <v>-320912.23579787835</v>
      </c>
    </row>
    <row r="645" spans="2:13" x14ac:dyDescent="0.25">
      <c r="B645" s="1859">
        <f t="shared" si="50"/>
        <v>2015</v>
      </c>
      <c r="C645" s="1859">
        <f t="shared" si="51"/>
        <v>4</v>
      </c>
      <c r="D645" s="1860">
        <f t="shared" si="52"/>
        <v>42104</v>
      </c>
      <c r="E645" s="1861">
        <v>42104</v>
      </c>
      <c r="F645" s="1862">
        <f t="shared" si="48"/>
        <v>0</v>
      </c>
      <c r="G645" s="1862">
        <v>68286</v>
      </c>
      <c r="H645" s="1862">
        <v>68286</v>
      </c>
      <c r="I645" s="1862">
        <f>Tabla1[[#This Row],[Extraccion
Norte II]]+Tabla1[[#This Row],[Extraccion
ENO]]</f>
        <v>67874.028405299992</v>
      </c>
      <c r="J645" s="1862">
        <v>67874.028405299992</v>
      </c>
      <c r="K645" s="1862"/>
      <c r="L645" s="1862">
        <f t="shared" si="49"/>
        <v>411.9715947000077</v>
      </c>
      <c r="M645" s="1862">
        <f>M644+Tabla1[[#This Row],[Desbalance
TPL]]</f>
        <v>-320500.26420317835</v>
      </c>
    </row>
    <row r="646" spans="2:13" x14ac:dyDescent="0.25">
      <c r="B646" s="1859">
        <f t="shared" si="50"/>
        <v>2015</v>
      </c>
      <c r="C646" s="1859">
        <f t="shared" si="51"/>
        <v>4</v>
      </c>
      <c r="D646" s="1860">
        <f t="shared" si="52"/>
        <v>42105</v>
      </c>
      <c r="E646" s="1861">
        <v>42105</v>
      </c>
      <c r="F646" s="1862">
        <f t="shared" si="48"/>
        <v>0</v>
      </c>
      <c r="G646" s="1862">
        <v>68000</v>
      </c>
      <c r="H646" s="1862">
        <v>68000</v>
      </c>
      <c r="I646" s="1862">
        <f>Tabla1[[#This Row],[Extraccion
Norte II]]+Tabla1[[#This Row],[Extraccion
ENO]]</f>
        <v>62641.51935327</v>
      </c>
      <c r="J646" s="1862">
        <v>62641.51935327</v>
      </c>
      <c r="K646" s="1862"/>
      <c r="L646" s="1862">
        <f t="shared" si="49"/>
        <v>5358.4806467300004</v>
      </c>
      <c r="M646" s="1862">
        <f>M645+Tabla1[[#This Row],[Desbalance
TPL]]</f>
        <v>-315141.78355644835</v>
      </c>
    </row>
    <row r="647" spans="2:13" x14ac:dyDescent="0.25">
      <c r="B647" s="1859">
        <f t="shared" si="50"/>
        <v>2015</v>
      </c>
      <c r="C647" s="1859">
        <f t="shared" si="51"/>
        <v>4</v>
      </c>
      <c r="D647" s="1860">
        <f t="shared" si="52"/>
        <v>42106</v>
      </c>
      <c r="E647" s="1861">
        <v>42106</v>
      </c>
      <c r="F647" s="1862">
        <f t="shared" si="48"/>
        <v>0</v>
      </c>
      <c r="G647" s="1862">
        <v>68000</v>
      </c>
      <c r="H647" s="1862">
        <v>68000</v>
      </c>
      <c r="I647" s="1862">
        <f>Tabla1[[#This Row],[Extraccion
Norte II]]+Tabla1[[#This Row],[Extraccion
ENO]]</f>
        <v>45823.738850369999</v>
      </c>
      <c r="J647" s="1862">
        <v>45823.738850369999</v>
      </c>
      <c r="K647" s="1862"/>
      <c r="L647" s="1862">
        <f t="shared" si="49"/>
        <v>22176.261149630001</v>
      </c>
      <c r="M647" s="1862">
        <f>M646+Tabla1[[#This Row],[Desbalance
TPL]]</f>
        <v>-292965.52240681835</v>
      </c>
    </row>
    <row r="648" spans="2:13" x14ac:dyDescent="0.25">
      <c r="B648" s="1859">
        <f t="shared" si="50"/>
        <v>2015</v>
      </c>
      <c r="C648" s="1859">
        <f t="shared" si="51"/>
        <v>4</v>
      </c>
      <c r="D648" s="1860">
        <f t="shared" si="52"/>
        <v>42107</v>
      </c>
      <c r="E648" s="1861">
        <v>42107</v>
      </c>
      <c r="F648" s="1862">
        <f t="shared" si="48"/>
        <v>0</v>
      </c>
      <c r="G648" s="1862">
        <v>68000</v>
      </c>
      <c r="H648" s="1862">
        <v>68000</v>
      </c>
      <c r="I648" s="1862">
        <f>Tabla1[[#This Row],[Extraccion
Norte II]]+Tabla1[[#This Row],[Extraccion
ENO]]</f>
        <v>69964.344017100011</v>
      </c>
      <c r="J648" s="1862">
        <v>69964.344017100011</v>
      </c>
      <c r="K648" s="1862"/>
      <c r="L648" s="1862">
        <f t="shared" si="49"/>
        <v>-1964.3440171000111</v>
      </c>
      <c r="M648" s="1862">
        <f>M647+Tabla1[[#This Row],[Desbalance
TPL]]</f>
        <v>-294929.86642391834</v>
      </c>
    </row>
    <row r="649" spans="2:13" x14ac:dyDescent="0.25">
      <c r="B649" s="1859">
        <f t="shared" si="50"/>
        <v>2015</v>
      </c>
      <c r="C649" s="1859">
        <f t="shared" si="51"/>
        <v>4</v>
      </c>
      <c r="D649" s="1860">
        <f t="shared" si="52"/>
        <v>42108</v>
      </c>
      <c r="E649" s="1861">
        <v>42108</v>
      </c>
      <c r="F649" s="1862">
        <f t="shared" si="48"/>
        <v>0</v>
      </c>
      <c r="G649" s="1862">
        <v>70000</v>
      </c>
      <c r="H649" s="1862">
        <v>70000</v>
      </c>
      <c r="I649" s="1862">
        <f>Tabla1[[#This Row],[Extraccion
Norte II]]+Tabla1[[#This Row],[Extraccion
ENO]]</f>
        <v>72191.761357950003</v>
      </c>
      <c r="J649" s="1862">
        <v>72191.761357950003</v>
      </c>
      <c r="K649" s="1862"/>
      <c r="L649" s="1862">
        <f t="shared" si="49"/>
        <v>-2191.761357950003</v>
      </c>
      <c r="M649" s="1862">
        <f>M648+Tabla1[[#This Row],[Desbalance
TPL]]</f>
        <v>-297121.62778186833</v>
      </c>
    </row>
    <row r="650" spans="2:13" x14ac:dyDescent="0.25">
      <c r="B650" s="1859">
        <f t="shared" si="50"/>
        <v>2015</v>
      </c>
      <c r="C650" s="1859">
        <f t="shared" si="51"/>
        <v>4</v>
      </c>
      <c r="D650" s="1860">
        <f t="shared" si="52"/>
        <v>42109</v>
      </c>
      <c r="E650" s="1861">
        <v>42109</v>
      </c>
      <c r="F650" s="1862">
        <f t="shared" si="48"/>
        <v>0</v>
      </c>
      <c r="G650" s="1862">
        <v>77000</v>
      </c>
      <c r="H650" s="1862">
        <v>77000</v>
      </c>
      <c r="I650" s="1862">
        <f>Tabla1[[#This Row],[Extraccion
Norte II]]+Tabla1[[#This Row],[Extraccion
ENO]]</f>
        <v>73007.689622399994</v>
      </c>
      <c r="J650" s="1862">
        <v>73007.689622399994</v>
      </c>
      <c r="K650" s="1862"/>
      <c r="L650" s="1862">
        <f t="shared" si="49"/>
        <v>3992.3103776000062</v>
      </c>
      <c r="M650" s="1862">
        <f>M649+Tabla1[[#This Row],[Desbalance
TPL]]</f>
        <v>-293129.31740426831</v>
      </c>
    </row>
    <row r="651" spans="2:13" x14ac:dyDescent="0.25">
      <c r="B651" s="1859">
        <f t="shared" si="50"/>
        <v>2015</v>
      </c>
      <c r="C651" s="1859">
        <f t="shared" si="51"/>
        <v>4</v>
      </c>
      <c r="D651" s="1860">
        <f t="shared" si="52"/>
        <v>42110</v>
      </c>
      <c r="E651" s="1861">
        <v>42110</v>
      </c>
      <c r="F651" s="1862">
        <f t="shared" si="48"/>
        <v>0</v>
      </c>
      <c r="G651" s="1862">
        <v>77000</v>
      </c>
      <c r="H651" s="1862">
        <v>77000</v>
      </c>
      <c r="I651" s="1862">
        <f>Tabla1[[#This Row],[Extraccion
Norte II]]+Tabla1[[#This Row],[Extraccion
ENO]]</f>
        <v>73055.251079460009</v>
      </c>
      <c r="J651" s="1862">
        <v>73055.251079460009</v>
      </c>
      <c r="K651" s="1862"/>
      <c r="L651" s="1862">
        <f t="shared" si="49"/>
        <v>3944.7489205399906</v>
      </c>
      <c r="M651" s="1862">
        <f>M650+Tabla1[[#This Row],[Desbalance
TPL]]</f>
        <v>-289184.56848372833</v>
      </c>
    </row>
    <row r="652" spans="2:13" x14ac:dyDescent="0.25">
      <c r="B652" s="1859">
        <f t="shared" si="50"/>
        <v>2015</v>
      </c>
      <c r="C652" s="1859">
        <f t="shared" si="51"/>
        <v>4</v>
      </c>
      <c r="D652" s="1860">
        <f t="shared" si="52"/>
        <v>42111</v>
      </c>
      <c r="E652" s="1861">
        <v>42111</v>
      </c>
      <c r="F652" s="1862">
        <f t="shared" ref="F652:F715" si="53">G652-H652</f>
        <v>0</v>
      </c>
      <c r="G652" s="1862">
        <v>74922</v>
      </c>
      <c r="H652" s="1862">
        <v>74922</v>
      </c>
      <c r="I652" s="1862">
        <f>Tabla1[[#This Row],[Extraccion
Norte II]]+Tabla1[[#This Row],[Extraccion
ENO]]</f>
        <v>73297.181368710008</v>
      </c>
      <c r="J652" s="1862">
        <v>73297.181368710008</v>
      </c>
      <c r="K652" s="1862"/>
      <c r="L652" s="1862">
        <f t="shared" ref="L652:L715" si="54">H652-I652</f>
        <v>1624.8186312899925</v>
      </c>
      <c r="M652" s="1862">
        <f>M651+Tabla1[[#This Row],[Desbalance
TPL]]</f>
        <v>-287559.74985243834</v>
      </c>
    </row>
    <row r="653" spans="2:13" x14ac:dyDescent="0.25">
      <c r="B653" s="1859">
        <f t="shared" si="50"/>
        <v>2015</v>
      </c>
      <c r="C653" s="1859">
        <f t="shared" si="51"/>
        <v>4</v>
      </c>
      <c r="D653" s="1860">
        <f t="shared" si="52"/>
        <v>42112</v>
      </c>
      <c r="E653" s="1861">
        <v>42112</v>
      </c>
      <c r="F653" s="1862">
        <f t="shared" si="53"/>
        <v>0</v>
      </c>
      <c r="G653" s="1862">
        <v>72000</v>
      </c>
      <c r="H653" s="1862">
        <v>72000</v>
      </c>
      <c r="I653" s="1862">
        <f>Tabla1[[#This Row],[Extraccion
Norte II]]+Tabla1[[#This Row],[Extraccion
ENO]]</f>
        <v>73875.264435179997</v>
      </c>
      <c r="J653" s="1862">
        <v>73875.264435179997</v>
      </c>
      <c r="K653" s="1862"/>
      <c r="L653" s="1862">
        <f t="shared" si="54"/>
        <v>-1875.2644351799972</v>
      </c>
      <c r="M653" s="1862">
        <f>M652+Tabla1[[#This Row],[Desbalance
TPL]]</f>
        <v>-289435.01428761834</v>
      </c>
    </row>
    <row r="654" spans="2:13" x14ac:dyDescent="0.25">
      <c r="B654" s="1859">
        <f t="shared" si="50"/>
        <v>2015</v>
      </c>
      <c r="C654" s="1859">
        <f t="shared" si="51"/>
        <v>4</v>
      </c>
      <c r="D654" s="1860">
        <f t="shared" si="52"/>
        <v>42113</v>
      </c>
      <c r="E654" s="1861">
        <v>42113</v>
      </c>
      <c r="F654" s="1862">
        <f t="shared" si="53"/>
        <v>0</v>
      </c>
      <c r="G654" s="1862">
        <v>72000</v>
      </c>
      <c r="H654" s="1862">
        <v>72000</v>
      </c>
      <c r="I654" s="1862">
        <f>Tabla1[[#This Row],[Extraccion
Norte II]]+Tabla1[[#This Row],[Extraccion
ENO]]</f>
        <v>73862.791163460002</v>
      </c>
      <c r="J654" s="1862">
        <v>73862.791163460002</v>
      </c>
      <c r="K654" s="1862"/>
      <c r="L654" s="1862">
        <f t="shared" si="54"/>
        <v>-1862.7911634600023</v>
      </c>
      <c r="M654" s="1862">
        <f>M653+Tabla1[[#This Row],[Desbalance
TPL]]</f>
        <v>-291297.80545107834</v>
      </c>
    </row>
    <row r="655" spans="2:13" x14ac:dyDescent="0.25">
      <c r="B655" s="1859">
        <f t="shared" si="50"/>
        <v>2015</v>
      </c>
      <c r="C655" s="1859">
        <f t="shared" si="51"/>
        <v>4</v>
      </c>
      <c r="D655" s="1860">
        <f t="shared" si="52"/>
        <v>42114</v>
      </c>
      <c r="E655" s="1861">
        <v>42114</v>
      </c>
      <c r="F655" s="1862">
        <f t="shared" si="53"/>
        <v>0</v>
      </c>
      <c r="G655" s="1862">
        <v>72000</v>
      </c>
      <c r="H655" s="1862">
        <v>72000</v>
      </c>
      <c r="I655" s="1862">
        <f>Tabla1[[#This Row],[Extraccion
Norte II]]+Tabla1[[#This Row],[Extraccion
ENO]]</f>
        <v>73701.501144570007</v>
      </c>
      <c r="J655" s="1862">
        <v>73701.501144570007</v>
      </c>
      <c r="K655" s="1862"/>
      <c r="L655" s="1862">
        <f t="shared" si="54"/>
        <v>-1701.5011445700075</v>
      </c>
      <c r="M655" s="1862">
        <f>M654+Tabla1[[#This Row],[Desbalance
TPL]]</f>
        <v>-292999.30659564835</v>
      </c>
    </row>
    <row r="656" spans="2:13" x14ac:dyDescent="0.25">
      <c r="B656" s="1859">
        <f t="shared" si="50"/>
        <v>2015</v>
      </c>
      <c r="C656" s="1859">
        <f t="shared" si="51"/>
        <v>4</v>
      </c>
      <c r="D656" s="1860">
        <f t="shared" si="52"/>
        <v>42115</v>
      </c>
      <c r="E656" s="1861">
        <v>42115</v>
      </c>
      <c r="F656" s="1862">
        <f t="shared" si="53"/>
        <v>0</v>
      </c>
      <c r="G656" s="1862">
        <v>69000</v>
      </c>
      <c r="H656" s="1862">
        <v>69000</v>
      </c>
      <c r="I656" s="1862">
        <f>Tabla1[[#This Row],[Extraccion
Norte II]]+Tabla1[[#This Row],[Extraccion
ENO]]</f>
        <v>73702.524786929993</v>
      </c>
      <c r="J656" s="1862">
        <v>73702.524786929993</v>
      </c>
      <c r="K656" s="1862"/>
      <c r="L656" s="1862">
        <f t="shared" si="54"/>
        <v>-4702.5247869299928</v>
      </c>
      <c r="M656" s="1862">
        <f>M655+Tabla1[[#This Row],[Desbalance
TPL]]</f>
        <v>-297701.83138257836</v>
      </c>
    </row>
    <row r="657" spans="2:13" x14ac:dyDescent="0.25">
      <c r="B657" s="1859">
        <f t="shared" si="50"/>
        <v>2015</v>
      </c>
      <c r="C657" s="1859">
        <f t="shared" si="51"/>
        <v>4</v>
      </c>
      <c r="D657" s="1860">
        <f t="shared" si="52"/>
        <v>42116</v>
      </c>
      <c r="E657" s="1861">
        <v>42116</v>
      </c>
      <c r="F657" s="1862">
        <f t="shared" si="53"/>
        <v>0</v>
      </c>
      <c r="G657" s="1862">
        <v>80000</v>
      </c>
      <c r="H657" s="1862">
        <v>80000</v>
      </c>
      <c r="I657" s="1862">
        <f>Tabla1[[#This Row],[Extraccion
Norte II]]+Tabla1[[#This Row],[Extraccion
ENO]]</f>
        <v>73295.65538334001</v>
      </c>
      <c r="J657" s="1862">
        <v>73295.65538334001</v>
      </c>
      <c r="K657" s="1862"/>
      <c r="L657" s="1862">
        <f t="shared" si="54"/>
        <v>6704.3446166599897</v>
      </c>
      <c r="M657" s="1862">
        <f>M656+Tabla1[[#This Row],[Desbalance
TPL]]</f>
        <v>-290997.48676591838</v>
      </c>
    </row>
    <row r="658" spans="2:13" x14ac:dyDescent="0.25">
      <c r="B658" s="1859">
        <f t="shared" si="50"/>
        <v>2015</v>
      </c>
      <c r="C658" s="1859">
        <f t="shared" si="51"/>
        <v>4</v>
      </c>
      <c r="D658" s="1860">
        <f t="shared" si="52"/>
        <v>42117</v>
      </c>
      <c r="E658" s="1861">
        <v>42117</v>
      </c>
      <c r="F658" s="1862">
        <f t="shared" si="53"/>
        <v>0</v>
      </c>
      <c r="G658" s="1862">
        <v>80000</v>
      </c>
      <c r="H658" s="1862">
        <v>80000</v>
      </c>
      <c r="I658" s="1862">
        <f>Tabla1[[#This Row],[Extraccion
Norte II]]+Tabla1[[#This Row],[Extraccion
ENO]]</f>
        <v>71090.616001860006</v>
      </c>
      <c r="J658" s="1862">
        <v>71090.616001860006</v>
      </c>
      <c r="K658" s="1862"/>
      <c r="L658" s="1862">
        <f t="shared" si="54"/>
        <v>8909.3839981399942</v>
      </c>
      <c r="M658" s="1862">
        <f>M657+Tabla1[[#This Row],[Desbalance
TPL]]</f>
        <v>-282088.10276777839</v>
      </c>
    </row>
    <row r="659" spans="2:13" x14ac:dyDescent="0.25">
      <c r="B659" s="1859">
        <f t="shared" si="50"/>
        <v>2015</v>
      </c>
      <c r="C659" s="1859">
        <f t="shared" si="51"/>
        <v>4</v>
      </c>
      <c r="D659" s="1860">
        <f t="shared" si="52"/>
        <v>42118</v>
      </c>
      <c r="E659" s="1861">
        <v>42118</v>
      </c>
      <c r="F659" s="1862">
        <f t="shared" si="53"/>
        <v>0</v>
      </c>
      <c r="G659" s="1862">
        <v>78000</v>
      </c>
      <c r="H659" s="1862">
        <v>78000</v>
      </c>
      <c r="I659" s="1862">
        <f>Tabla1[[#This Row],[Extraccion
Norte II]]+Tabla1[[#This Row],[Extraccion
ENO]]</f>
        <v>73167.122867786995</v>
      </c>
      <c r="J659" s="1862">
        <v>73167.122867786995</v>
      </c>
      <c r="K659" s="1862"/>
      <c r="L659" s="1862">
        <f t="shared" si="54"/>
        <v>4832.8771322130051</v>
      </c>
      <c r="M659" s="1862">
        <f>M658+Tabla1[[#This Row],[Desbalance
TPL]]</f>
        <v>-277255.22563556535</v>
      </c>
    </row>
    <row r="660" spans="2:13" x14ac:dyDescent="0.25">
      <c r="B660" s="1859">
        <f t="shared" si="50"/>
        <v>2015</v>
      </c>
      <c r="C660" s="1859">
        <f t="shared" si="51"/>
        <v>4</v>
      </c>
      <c r="D660" s="1860">
        <f t="shared" si="52"/>
        <v>42119</v>
      </c>
      <c r="E660" s="1861">
        <v>42119</v>
      </c>
      <c r="F660" s="1862">
        <f t="shared" si="53"/>
        <v>0</v>
      </c>
      <c r="G660" s="1862">
        <v>77000</v>
      </c>
      <c r="H660" s="1862">
        <v>77000</v>
      </c>
      <c r="I660" s="1862">
        <f>Tabla1[[#This Row],[Extraccion
Norte II]]+Tabla1[[#This Row],[Extraccion
ENO]]</f>
        <v>72888.179376870001</v>
      </c>
      <c r="J660" s="1862">
        <v>72888.179376870001</v>
      </c>
      <c r="K660" s="1862"/>
      <c r="L660" s="1862">
        <f t="shared" si="54"/>
        <v>4111.8206231299991</v>
      </c>
      <c r="M660" s="1862">
        <f>M659+Tabla1[[#This Row],[Desbalance
TPL]]</f>
        <v>-273143.40501243534</v>
      </c>
    </row>
    <row r="661" spans="2:13" x14ac:dyDescent="0.25">
      <c r="B661" s="1859">
        <f t="shared" si="50"/>
        <v>2015</v>
      </c>
      <c r="C661" s="1859">
        <f t="shared" si="51"/>
        <v>4</v>
      </c>
      <c r="D661" s="1860">
        <f t="shared" si="52"/>
        <v>42120</v>
      </c>
      <c r="E661" s="1861">
        <v>42120</v>
      </c>
      <c r="F661" s="1862">
        <f t="shared" si="53"/>
        <v>0</v>
      </c>
      <c r="G661" s="1862">
        <v>77000</v>
      </c>
      <c r="H661" s="1862">
        <v>77000</v>
      </c>
      <c r="I661" s="1862">
        <f>Tabla1[[#This Row],[Extraccion
Norte II]]+Tabla1[[#This Row],[Extraccion
ENO]]</f>
        <v>72923.987903130008</v>
      </c>
      <c r="J661" s="1862">
        <v>72923.987903130008</v>
      </c>
      <c r="K661" s="1862"/>
      <c r="L661" s="1862">
        <f t="shared" si="54"/>
        <v>4076.0120968699921</v>
      </c>
      <c r="M661" s="1862">
        <f>M660+Tabla1[[#This Row],[Desbalance
TPL]]</f>
        <v>-269067.39291556535</v>
      </c>
    </row>
    <row r="662" spans="2:13" x14ac:dyDescent="0.25">
      <c r="B662" s="1859">
        <f t="shared" si="50"/>
        <v>2015</v>
      </c>
      <c r="C662" s="1859">
        <f t="shared" si="51"/>
        <v>4</v>
      </c>
      <c r="D662" s="1860">
        <f t="shared" si="52"/>
        <v>42121</v>
      </c>
      <c r="E662" s="1861">
        <v>42121</v>
      </c>
      <c r="F662" s="1862">
        <f t="shared" si="53"/>
        <v>0</v>
      </c>
      <c r="G662" s="1862">
        <v>77000</v>
      </c>
      <c r="H662" s="1862">
        <v>77000</v>
      </c>
      <c r="I662" s="1862">
        <f>Tabla1[[#This Row],[Extraccion
Norte II]]+Tabla1[[#This Row],[Extraccion
ENO]]</f>
        <v>73056.442219092423</v>
      </c>
      <c r="J662" s="1862">
        <v>73056.442219092423</v>
      </c>
      <c r="K662" s="1862"/>
      <c r="L662" s="1862">
        <f t="shared" si="54"/>
        <v>3943.5577809075767</v>
      </c>
      <c r="M662" s="1862">
        <f>M661+Tabla1[[#This Row],[Desbalance
TPL]]</f>
        <v>-265123.8351346578</v>
      </c>
    </row>
    <row r="663" spans="2:13" x14ac:dyDescent="0.25">
      <c r="B663" s="1859">
        <f t="shared" si="50"/>
        <v>2015</v>
      </c>
      <c r="C663" s="1859">
        <f t="shared" si="51"/>
        <v>4</v>
      </c>
      <c r="D663" s="1860">
        <f t="shared" si="52"/>
        <v>42122</v>
      </c>
      <c r="E663" s="1861">
        <v>42122</v>
      </c>
      <c r="F663" s="1862">
        <f t="shared" si="53"/>
        <v>0</v>
      </c>
      <c r="G663" s="1862">
        <v>80000</v>
      </c>
      <c r="H663" s="1862">
        <v>80000</v>
      </c>
      <c r="I663" s="1862">
        <f>Tabla1[[#This Row],[Extraccion
Norte II]]+Tabla1[[#This Row],[Extraccion
ENO]]</f>
        <v>73322.641807153603</v>
      </c>
      <c r="J663" s="1862">
        <v>73322.641807153603</v>
      </c>
      <c r="K663" s="1862"/>
      <c r="L663" s="1862">
        <f t="shared" si="54"/>
        <v>6677.3581928463973</v>
      </c>
      <c r="M663" s="1862">
        <f>M662+Tabla1[[#This Row],[Desbalance
TPL]]</f>
        <v>-258446.47694181139</v>
      </c>
    </row>
    <row r="664" spans="2:13" x14ac:dyDescent="0.25">
      <c r="B664" s="1859">
        <f t="shared" si="50"/>
        <v>2015</v>
      </c>
      <c r="C664" s="1859">
        <f t="shared" si="51"/>
        <v>4</v>
      </c>
      <c r="D664" s="1860">
        <f t="shared" si="52"/>
        <v>42123</v>
      </c>
      <c r="E664" s="1861">
        <v>42123</v>
      </c>
      <c r="F664" s="1862">
        <f t="shared" si="53"/>
        <v>0</v>
      </c>
      <c r="G664" s="1862">
        <v>80000</v>
      </c>
      <c r="H664" s="1862">
        <v>80000</v>
      </c>
      <c r="I664" s="1862">
        <f>Tabla1[[#This Row],[Extraccion
Norte II]]+Tabla1[[#This Row],[Extraccion
ENO]]</f>
        <v>73575.790398703131</v>
      </c>
      <c r="J664" s="1862">
        <v>73575.790398703131</v>
      </c>
      <c r="K664" s="1862"/>
      <c r="L664" s="1862">
        <f t="shared" si="54"/>
        <v>6424.2096012968686</v>
      </c>
      <c r="M664" s="1862">
        <f>M663+Tabla1[[#This Row],[Desbalance
TPL]]</f>
        <v>-252022.26734051452</v>
      </c>
    </row>
    <row r="665" spans="2:13" x14ac:dyDescent="0.25">
      <c r="B665" s="1859">
        <f t="shared" si="50"/>
        <v>2015</v>
      </c>
      <c r="C665" s="1859">
        <f t="shared" si="51"/>
        <v>4</v>
      </c>
      <c r="D665" s="1860">
        <f t="shared" si="52"/>
        <v>42124</v>
      </c>
      <c r="E665" s="1861">
        <v>42124</v>
      </c>
      <c r="F665" s="1862">
        <f t="shared" si="53"/>
        <v>0</v>
      </c>
      <c r="G665" s="1862">
        <v>70000</v>
      </c>
      <c r="H665" s="1862">
        <v>70000</v>
      </c>
      <c r="I665" s="1862">
        <f>Tabla1[[#This Row],[Extraccion
Norte II]]+Tabla1[[#This Row],[Extraccion
ENO]]</f>
        <v>74266.134392091102</v>
      </c>
      <c r="J665" s="1862">
        <v>74266.134392091102</v>
      </c>
      <c r="K665" s="1862"/>
      <c r="L665" s="1862">
        <f t="shared" si="54"/>
        <v>-4266.1343920911022</v>
      </c>
      <c r="M665" s="1862">
        <f>M664+Tabla1[[#This Row],[Desbalance
TPL]]</f>
        <v>-256288.40173260562</v>
      </c>
    </row>
    <row r="666" spans="2:13" x14ac:dyDescent="0.25">
      <c r="B666" s="1859">
        <f t="shared" si="50"/>
        <v>2015</v>
      </c>
      <c r="C666" s="1859">
        <f t="shared" si="51"/>
        <v>5</v>
      </c>
      <c r="D666" s="1860">
        <f t="shared" si="52"/>
        <v>42125</v>
      </c>
      <c r="E666" s="1861">
        <v>42125</v>
      </c>
      <c r="F666" s="1862">
        <f t="shared" si="53"/>
        <v>0</v>
      </c>
      <c r="G666" s="1862">
        <v>70000</v>
      </c>
      <c r="H666" s="1862">
        <v>70000</v>
      </c>
      <c r="I666" s="1862">
        <f>Tabla1[[#This Row],[Extraccion
Norte II]]+Tabla1[[#This Row],[Extraccion
ENO]]</f>
        <v>70059.028091948989</v>
      </c>
      <c r="J666" s="1862">
        <v>70059.028091948989</v>
      </c>
      <c r="K666" s="1862"/>
      <c r="L666" s="1862">
        <f t="shared" si="54"/>
        <v>-59.028091948988731</v>
      </c>
      <c r="M666" s="1862">
        <f>M665+Tabla1[[#This Row],[Desbalance
TPL]]</f>
        <v>-256347.42982455459</v>
      </c>
    </row>
    <row r="667" spans="2:13" x14ac:dyDescent="0.25">
      <c r="B667" s="1859">
        <f t="shared" si="50"/>
        <v>2015</v>
      </c>
      <c r="C667" s="1859">
        <f t="shared" si="51"/>
        <v>5</v>
      </c>
      <c r="D667" s="1860">
        <f t="shared" si="52"/>
        <v>42126</v>
      </c>
      <c r="E667" s="1861">
        <v>42126</v>
      </c>
      <c r="F667" s="1862">
        <f t="shared" si="53"/>
        <v>0</v>
      </c>
      <c r="G667" s="1862">
        <v>70000</v>
      </c>
      <c r="H667" s="1862">
        <v>70000</v>
      </c>
      <c r="I667" s="1862">
        <f>Tabla1[[#This Row],[Extraccion
Norte II]]+Tabla1[[#This Row],[Extraccion
ENO]]</f>
        <v>72152.114172840011</v>
      </c>
      <c r="J667" s="1862">
        <v>72152.114172840011</v>
      </c>
      <c r="K667" s="1862"/>
      <c r="L667" s="1862">
        <f t="shared" si="54"/>
        <v>-2152.1141728400107</v>
      </c>
      <c r="M667" s="1862">
        <f>M666+Tabla1[[#This Row],[Desbalance
TPL]]</f>
        <v>-258499.54399739462</v>
      </c>
    </row>
    <row r="668" spans="2:13" x14ac:dyDescent="0.25">
      <c r="B668" s="1859">
        <f t="shared" ref="B668:B731" si="55">YEAR(E668)</f>
        <v>2015</v>
      </c>
      <c r="C668" s="1859">
        <f t="shared" ref="C668:C731" si="56">MONTH(E668)</f>
        <v>5</v>
      </c>
      <c r="D668" s="1860">
        <f t="shared" ref="D668:D731" si="57">E668</f>
        <v>42127</v>
      </c>
      <c r="E668" s="1861">
        <v>42127</v>
      </c>
      <c r="F668" s="1862">
        <f t="shared" si="53"/>
        <v>0</v>
      </c>
      <c r="G668" s="1862">
        <v>70000</v>
      </c>
      <c r="H668" s="1862">
        <v>70000</v>
      </c>
      <c r="I668" s="1862">
        <f>Tabla1[[#This Row],[Extraccion
Norte II]]+Tabla1[[#This Row],[Extraccion
ENO]]</f>
        <v>73129.094554113006</v>
      </c>
      <c r="J668" s="1862">
        <v>73129.094554113006</v>
      </c>
      <c r="K668" s="1862"/>
      <c r="L668" s="1862">
        <f t="shared" si="54"/>
        <v>-3129.0945541130059</v>
      </c>
      <c r="M668" s="1862">
        <f>M667+Tabla1[[#This Row],[Desbalance
TPL]]</f>
        <v>-261628.63855150761</v>
      </c>
    </row>
    <row r="669" spans="2:13" x14ac:dyDescent="0.25">
      <c r="B669" s="1859">
        <f t="shared" si="55"/>
        <v>2015</v>
      </c>
      <c r="C669" s="1859">
        <f t="shared" si="56"/>
        <v>5</v>
      </c>
      <c r="D669" s="1860">
        <f t="shared" si="57"/>
        <v>42128</v>
      </c>
      <c r="E669" s="1861">
        <v>42128</v>
      </c>
      <c r="F669" s="1862">
        <f t="shared" si="53"/>
        <v>0</v>
      </c>
      <c r="G669" s="1862">
        <v>70000</v>
      </c>
      <c r="H669" s="1862">
        <v>70000</v>
      </c>
      <c r="I669" s="1862">
        <f>Tabla1[[#This Row],[Extraccion
Norte II]]+Tabla1[[#This Row],[Extraccion
ENO]]</f>
        <v>73244.27422377</v>
      </c>
      <c r="J669" s="1862">
        <v>73244.27422377</v>
      </c>
      <c r="K669" s="1862"/>
      <c r="L669" s="1862">
        <f t="shared" si="54"/>
        <v>-3244.2742237700004</v>
      </c>
      <c r="M669" s="1862">
        <f>M668+Tabla1[[#This Row],[Desbalance
TPL]]</f>
        <v>-264872.91277527763</v>
      </c>
    </row>
    <row r="670" spans="2:13" x14ac:dyDescent="0.25">
      <c r="B670" s="1859">
        <f t="shared" si="55"/>
        <v>2015</v>
      </c>
      <c r="C670" s="1859">
        <f t="shared" si="56"/>
        <v>5</v>
      </c>
      <c r="D670" s="1860">
        <f t="shared" si="57"/>
        <v>42129</v>
      </c>
      <c r="E670" s="1861">
        <v>42129</v>
      </c>
      <c r="F670" s="1862">
        <f t="shared" si="53"/>
        <v>0</v>
      </c>
      <c r="G670" s="1862">
        <v>75000</v>
      </c>
      <c r="H670" s="1862">
        <v>75000</v>
      </c>
      <c r="I670" s="1862">
        <f>Tabla1[[#This Row],[Extraccion
Norte II]]+Tabla1[[#This Row],[Extraccion
ENO]]</f>
        <v>73775.08965645</v>
      </c>
      <c r="J670" s="1862">
        <v>73775.08965645</v>
      </c>
      <c r="K670" s="1862"/>
      <c r="L670" s="1862">
        <f t="shared" si="54"/>
        <v>1224.9103435500001</v>
      </c>
      <c r="M670" s="1862">
        <f>M669+Tabla1[[#This Row],[Desbalance
TPL]]</f>
        <v>-263648.0024317276</v>
      </c>
    </row>
    <row r="671" spans="2:13" x14ac:dyDescent="0.25">
      <c r="B671" s="1859">
        <f t="shared" si="55"/>
        <v>2015</v>
      </c>
      <c r="C671" s="1859">
        <f t="shared" si="56"/>
        <v>5</v>
      </c>
      <c r="D671" s="1860">
        <f t="shared" si="57"/>
        <v>42130</v>
      </c>
      <c r="E671" s="1861">
        <v>42130</v>
      </c>
      <c r="F671" s="1862">
        <f t="shared" si="53"/>
        <v>0</v>
      </c>
      <c r="G671" s="1862">
        <v>75000</v>
      </c>
      <c r="H671" s="1862">
        <v>75000</v>
      </c>
      <c r="I671" s="1862">
        <f>Tabla1[[#This Row],[Extraccion
Norte II]]+Tabla1[[#This Row],[Extraccion
ENO]]</f>
        <v>69327.771163559999</v>
      </c>
      <c r="J671" s="1862">
        <v>69327.771163559999</v>
      </c>
      <c r="K671" s="1862"/>
      <c r="L671" s="1862">
        <f t="shared" si="54"/>
        <v>5672.228836440001</v>
      </c>
      <c r="M671" s="1862">
        <f>M670+Tabla1[[#This Row],[Desbalance
TPL]]</f>
        <v>-257975.77359528758</v>
      </c>
    </row>
    <row r="672" spans="2:13" x14ac:dyDescent="0.25">
      <c r="B672" s="1859">
        <f t="shared" si="55"/>
        <v>2015</v>
      </c>
      <c r="C672" s="1859">
        <f t="shared" si="56"/>
        <v>5</v>
      </c>
      <c r="D672" s="1860">
        <f t="shared" si="57"/>
        <v>42131</v>
      </c>
      <c r="E672" s="1861">
        <v>42131</v>
      </c>
      <c r="F672" s="1862">
        <f t="shared" si="53"/>
        <v>0</v>
      </c>
      <c r="G672" s="1862">
        <v>75000</v>
      </c>
      <c r="H672" s="1862">
        <v>75000</v>
      </c>
      <c r="I672" s="1862">
        <f>Tabla1[[#This Row],[Extraccion
Norte II]]+Tabla1[[#This Row],[Extraccion
ENO]]</f>
        <v>73458.281824200007</v>
      </c>
      <c r="J672" s="1862">
        <v>73458.281824200007</v>
      </c>
      <c r="K672" s="1862"/>
      <c r="L672" s="1862">
        <f t="shared" si="54"/>
        <v>1541.7181757999933</v>
      </c>
      <c r="M672" s="1862">
        <f>M671+Tabla1[[#This Row],[Desbalance
TPL]]</f>
        <v>-256434.05541948759</v>
      </c>
    </row>
    <row r="673" spans="2:13" x14ac:dyDescent="0.25">
      <c r="B673" s="1859">
        <f t="shared" si="55"/>
        <v>2015</v>
      </c>
      <c r="C673" s="1859">
        <f t="shared" si="56"/>
        <v>5</v>
      </c>
      <c r="D673" s="1860">
        <f t="shared" si="57"/>
        <v>42132</v>
      </c>
      <c r="E673" s="1861">
        <v>42132</v>
      </c>
      <c r="F673" s="1862">
        <f t="shared" si="53"/>
        <v>0</v>
      </c>
      <c r="G673" s="1862">
        <v>75000</v>
      </c>
      <c r="H673" s="1862">
        <v>75000</v>
      </c>
      <c r="I673" s="1862">
        <f>Tabla1[[#This Row],[Extraccion
Norte II]]+Tabla1[[#This Row],[Extraccion
ENO]]</f>
        <v>74036.459672370009</v>
      </c>
      <c r="J673" s="1862">
        <v>74036.459672370009</v>
      </c>
      <c r="K673" s="1862"/>
      <c r="L673" s="1862">
        <f t="shared" si="54"/>
        <v>963.54032762999122</v>
      </c>
      <c r="M673" s="1862">
        <f>M672+Tabla1[[#This Row],[Desbalance
TPL]]</f>
        <v>-255470.51509185758</v>
      </c>
    </row>
    <row r="674" spans="2:13" x14ac:dyDescent="0.25">
      <c r="B674" s="1859">
        <f t="shared" si="55"/>
        <v>2015</v>
      </c>
      <c r="C674" s="1859">
        <f t="shared" si="56"/>
        <v>5</v>
      </c>
      <c r="D674" s="1860">
        <f t="shared" si="57"/>
        <v>42133</v>
      </c>
      <c r="E674" s="1861">
        <v>42133</v>
      </c>
      <c r="F674" s="1862">
        <f t="shared" si="53"/>
        <v>0</v>
      </c>
      <c r="G674" s="1862">
        <v>69000</v>
      </c>
      <c r="H674" s="1862">
        <v>69000</v>
      </c>
      <c r="I674" s="1862">
        <f>Tabla1[[#This Row],[Extraccion
Norte II]]+Tabla1[[#This Row],[Extraccion
ENO]]</f>
        <v>74523.789261090002</v>
      </c>
      <c r="J674" s="1862">
        <v>74523.789261090002</v>
      </c>
      <c r="K674" s="1862"/>
      <c r="L674" s="1862">
        <f t="shared" si="54"/>
        <v>-5523.7892610900017</v>
      </c>
      <c r="M674" s="1862">
        <f>M673+Tabla1[[#This Row],[Desbalance
TPL]]</f>
        <v>-260994.30435294757</v>
      </c>
    </row>
    <row r="675" spans="2:13" x14ac:dyDescent="0.25">
      <c r="B675" s="1859">
        <f t="shared" si="55"/>
        <v>2015</v>
      </c>
      <c r="C675" s="1859">
        <f t="shared" si="56"/>
        <v>5</v>
      </c>
      <c r="D675" s="1860">
        <f t="shared" si="57"/>
        <v>42134</v>
      </c>
      <c r="E675" s="1861">
        <v>42134</v>
      </c>
      <c r="F675" s="1862">
        <f t="shared" si="53"/>
        <v>0</v>
      </c>
      <c r="G675" s="1862">
        <v>69000</v>
      </c>
      <c r="H675" s="1862">
        <v>69000</v>
      </c>
      <c r="I675" s="1862">
        <f>Tabla1[[#This Row],[Extraccion
Norte II]]+Tabla1[[#This Row],[Extraccion
ENO]]</f>
        <v>74535.472053432008</v>
      </c>
      <c r="J675" s="1862">
        <v>74535.472053432008</v>
      </c>
      <c r="K675" s="1862"/>
      <c r="L675" s="1862">
        <f t="shared" si="54"/>
        <v>-5535.4720534320077</v>
      </c>
      <c r="M675" s="1862">
        <f>M674+Tabla1[[#This Row],[Desbalance
TPL]]</f>
        <v>-266529.77640637959</v>
      </c>
    </row>
    <row r="676" spans="2:13" x14ac:dyDescent="0.25">
      <c r="B676" s="1859">
        <f t="shared" si="55"/>
        <v>2015</v>
      </c>
      <c r="C676" s="1859">
        <f t="shared" si="56"/>
        <v>5</v>
      </c>
      <c r="D676" s="1860">
        <f t="shared" si="57"/>
        <v>42135</v>
      </c>
      <c r="E676" s="1861">
        <v>42135</v>
      </c>
      <c r="F676" s="1862">
        <f t="shared" si="53"/>
        <v>0</v>
      </c>
      <c r="G676" s="1862">
        <v>69000</v>
      </c>
      <c r="H676" s="1862">
        <v>69000</v>
      </c>
      <c r="I676" s="1862">
        <f>Tabla1[[#This Row],[Extraccion
Norte II]]+Tabla1[[#This Row],[Extraccion
ENO]]</f>
        <v>74124.710913240007</v>
      </c>
      <c r="J676" s="1862">
        <v>74124.710913240007</v>
      </c>
      <c r="K676" s="1862"/>
      <c r="L676" s="1862">
        <f t="shared" si="54"/>
        <v>-5124.7109132400074</v>
      </c>
      <c r="M676" s="1862">
        <f>M675+Tabla1[[#This Row],[Desbalance
TPL]]</f>
        <v>-271654.48731961963</v>
      </c>
    </row>
    <row r="677" spans="2:13" x14ac:dyDescent="0.25">
      <c r="B677" s="1859">
        <f t="shared" si="55"/>
        <v>2015</v>
      </c>
      <c r="C677" s="1859">
        <f t="shared" si="56"/>
        <v>5</v>
      </c>
      <c r="D677" s="1860">
        <f t="shared" si="57"/>
        <v>42136</v>
      </c>
      <c r="E677" s="1861">
        <v>42136</v>
      </c>
      <c r="F677" s="1862">
        <f t="shared" si="53"/>
        <v>0</v>
      </c>
      <c r="G677" s="1862">
        <v>69000</v>
      </c>
      <c r="H677" s="1862">
        <v>69000</v>
      </c>
      <c r="I677" s="1862">
        <f>Tabla1[[#This Row],[Extraccion
Norte II]]+Tabla1[[#This Row],[Extraccion
ENO]]</f>
        <v>65883.46768929901</v>
      </c>
      <c r="J677" s="1862">
        <v>65883.46768929901</v>
      </c>
      <c r="K677" s="1862"/>
      <c r="L677" s="1862">
        <f t="shared" si="54"/>
        <v>3116.5323107009899</v>
      </c>
      <c r="M677" s="1862">
        <f>M676+Tabla1[[#This Row],[Desbalance
TPL]]</f>
        <v>-268537.95500891865</v>
      </c>
    </row>
    <row r="678" spans="2:13" x14ac:dyDescent="0.25">
      <c r="B678" s="1859">
        <f t="shared" si="55"/>
        <v>2015</v>
      </c>
      <c r="C678" s="1859">
        <f t="shared" si="56"/>
        <v>5</v>
      </c>
      <c r="D678" s="1860">
        <f t="shared" si="57"/>
        <v>42137</v>
      </c>
      <c r="E678" s="1861">
        <v>42137</v>
      </c>
      <c r="F678" s="1862">
        <f t="shared" si="53"/>
        <v>0</v>
      </c>
      <c r="G678" s="1862">
        <v>72000</v>
      </c>
      <c r="H678" s="1862">
        <v>72000</v>
      </c>
      <c r="I678" s="1862">
        <f>Tabla1[[#This Row],[Extraccion
Norte II]]+Tabla1[[#This Row],[Extraccion
ENO]]</f>
        <v>73826.565597720008</v>
      </c>
      <c r="J678" s="1862">
        <v>73826.565597720008</v>
      </c>
      <c r="K678" s="1862"/>
      <c r="L678" s="1862">
        <f t="shared" si="54"/>
        <v>-1826.5655977200076</v>
      </c>
      <c r="M678" s="1862">
        <f>M677+Tabla1[[#This Row],[Desbalance
TPL]]</f>
        <v>-270364.52060663863</v>
      </c>
    </row>
    <row r="679" spans="2:13" x14ac:dyDescent="0.25">
      <c r="B679" s="1859">
        <f t="shared" si="55"/>
        <v>2015</v>
      </c>
      <c r="C679" s="1859">
        <f t="shared" si="56"/>
        <v>5</v>
      </c>
      <c r="D679" s="1860">
        <f t="shared" si="57"/>
        <v>42138</v>
      </c>
      <c r="E679" s="1861">
        <v>42138</v>
      </c>
      <c r="F679" s="1862">
        <f t="shared" si="53"/>
        <v>0</v>
      </c>
      <c r="G679" s="1862">
        <v>74000</v>
      </c>
      <c r="H679" s="1862">
        <v>74000</v>
      </c>
      <c r="I679" s="1862">
        <f>Tabla1[[#This Row],[Extraccion
Norte II]]+Tabla1[[#This Row],[Extraccion
ENO]]</f>
        <v>72618.061010039994</v>
      </c>
      <c r="J679" s="1862">
        <v>72618.061010039994</v>
      </c>
      <c r="K679" s="1862"/>
      <c r="L679" s="1862">
        <f t="shared" si="54"/>
        <v>1381.9389899600064</v>
      </c>
      <c r="M679" s="1862">
        <f>M678+Tabla1[[#This Row],[Desbalance
TPL]]</f>
        <v>-268982.58161667862</v>
      </c>
    </row>
    <row r="680" spans="2:13" x14ac:dyDescent="0.25">
      <c r="B680" s="1859">
        <f t="shared" si="55"/>
        <v>2015</v>
      </c>
      <c r="C680" s="1859">
        <f t="shared" si="56"/>
        <v>5</v>
      </c>
      <c r="D680" s="1860">
        <f t="shared" si="57"/>
        <v>42139</v>
      </c>
      <c r="E680" s="1861">
        <v>42139</v>
      </c>
      <c r="F680" s="1862">
        <f t="shared" si="53"/>
        <v>0</v>
      </c>
      <c r="G680" s="1862">
        <v>74000</v>
      </c>
      <c r="H680" s="1862">
        <v>74000</v>
      </c>
      <c r="I680" s="1862">
        <f>Tabla1[[#This Row],[Extraccion
Norte II]]+Tabla1[[#This Row],[Extraccion
ENO]]</f>
        <v>72949.398876899999</v>
      </c>
      <c r="J680" s="1862">
        <v>72949.398876899999</v>
      </c>
      <c r="K680" s="1862"/>
      <c r="L680" s="1862">
        <f t="shared" si="54"/>
        <v>1050.6011231000011</v>
      </c>
      <c r="M680" s="1862">
        <f>M679+Tabla1[[#This Row],[Desbalance
TPL]]</f>
        <v>-267931.98049357859</v>
      </c>
    </row>
    <row r="681" spans="2:13" x14ac:dyDescent="0.25">
      <c r="B681" s="1859">
        <f t="shared" si="55"/>
        <v>2015</v>
      </c>
      <c r="C681" s="1859">
        <f t="shared" si="56"/>
        <v>5</v>
      </c>
      <c r="D681" s="1860">
        <f t="shared" si="57"/>
        <v>42140</v>
      </c>
      <c r="E681" s="1861">
        <v>42140</v>
      </c>
      <c r="F681" s="1862">
        <f t="shared" si="53"/>
        <v>0</v>
      </c>
      <c r="G681" s="1862">
        <v>70000</v>
      </c>
      <c r="H681" s="1862">
        <v>70000</v>
      </c>
      <c r="I681" s="1862">
        <f>Tabla1[[#This Row],[Extraccion
Norte II]]+Tabla1[[#This Row],[Extraccion
ENO]]</f>
        <v>73604.131904159993</v>
      </c>
      <c r="J681" s="1862">
        <v>73604.131904159993</v>
      </c>
      <c r="K681" s="1862"/>
      <c r="L681" s="1862">
        <f t="shared" si="54"/>
        <v>-3604.1319041599927</v>
      </c>
      <c r="M681" s="1862">
        <f>M680+Tabla1[[#This Row],[Desbalance
TPL]]</f>
        <v>-271536.11239773862</v>
      </c>
    </row>
    <row r="682" spans="2:13" x14ac:dyDescent="0.25">
      <c r="B682" s="1859">
        <f t="shared" si="55"/>
        <v>2015</v>
      </c>
      <c r="C682" s="1859">
        <f t="shared" si="56"/>
        <v>5</v>
      </c>
      <c r="D682" s="1860">
        <f t="shared" si="57"/>
        <v>42141</v>
      </c>
      <c r="E682" s="1861">
        <v>42141</v>
      </c>
      <c r="F682" s="1862">
        <f t="shared" si="53"/>
        <v>0</v>
      </c>
      <c r="G682" s="1862">
        <v>70000</v>
      </c>
      <c r="H682" s="1862">
        <v>70000</v>
      </c>
      <c r="I682" s="1862">
        <f>Tabla1[[#This Row],[Extraccion
Norte II]]+Tabla1[[#This Row],[Extraccion
ENO]]</f>
        <v>72627.406485660002</v>
      </c>
      <c r="J682" s="1862">
        <v>72627.406485660002</v>
      </c>
      <c r="K682" s="1862"/>
      <c r="L682" s="1862">
        <f t="shared" si="54"/>
        <v>-2627.4064856600016</v>
      </c>
      <c r="M682" s="1862">
        <f>M681+Tabla1[[#This Row],[Desbalance
TPL]]</f>
        <v>-274163.51888339862</v>
      </c>
    </row>
    <row r="683" spans="2:13" x14ac:dyDescent="0.25">
      <c r="B683" s="1859">
        <f t="shared" si="55"/>
        <v>2015</v>
      </c>
      <c r="C683" s="1859">
        <f t="shared" si="56"/>
        <v>5</v>
      </c>
      <c r="D683" s="1860">
        <f t="shared" si="57"/>
        <v>42142</v>
      </c>
      <c r="E683" s="1861">
        <v>42142</v>
      </c>
      <c r="F683" s="1862">
        <f t="shared" si="53"/>
        <v>0</v>
      </c>
      <c r="G683" s="1862">
        <v>70000</v>
      </c>
      <c r="H683" s="1862">
        <v>70000</v>
      </c>
      <c r="I683" s="1862">
        <f>Tabla1[[#This Row],[Extraccion
Norte II]]+Tabla1[[#This Row],[Extraccion
ENO]]</f>
        <v>73301.147035037997</v>
      </c>
      <c r="J683" s="1862">
        <v>73301.147035037997</v>
      </c>
      <c r="K683" s="1862"/>
      <c r="L683" s="1862">
        <f t="shared" si="54"/>
        <v>-3301.1470350379968</v>
      </c>
      <c r="M683" s="1862">
        <f>M682+Tabla1[[#This Row],[Desbalance
TPL]]</f>
        <v>-277464.6659184366</v>
      </c>
    </row>
    <row r="684" spans="2:13" x14ac:dyDescent="0.25">
      <c r="B684" s="1859">
        <f t="shared" si="55"/>
        <v>2015</v>
      </c>
      <c r="C684" s="1859">
        <f t="shared" si="56"/>
        <v>5</v>
      </c>
      <c r="D684" s="1860">
        <f t="shared" si="57"/>
        <v>42143</v>
      </c>
      <c r="E684" s="1861">
        <v>42143</v>
      </c>
      <c r="F684" s="1862">
        <f t="shared" si="53"/>
        <v>0</v>
      </c>
      <c r="G684" s="1862">
        <v>72000</v>
      </c>
      <c r="H684" s="1862">
        <v>72000</v>
      </c>
      <c r="I684" s="1862">
        <f>Tabla1[[#This Row],[Extraccion
Norte II]]+Tabla1[[#This Row],[Extraccion
ENO]]</f>
        <v>73980.538469370003</v>
      </c>
      <c r="J684" s="1862">
        <v>73980.538469370003</v>
      </c>
      <c r="K684" s="1862"/>
      <c r="L684" s="1862">
        <f t="shared" si="54"/>
        <v>-1980.5384693700034</v>
      </c>
      <c r="M684" s="1862">
        <f>M683+Tabla1[[#This Row],[Desbalance
TPL]]</f>
        <v>-279445.20438780659</v>
      </c>
    </row>
    <row r="685" spans="2:13" x14ac:dyDescent="0.25">
      <c r="B685" s="1859">
        <f t="shared" si="55"/>
        <v>2015</v>
      </c>
      <c r="C685" s="1859">
        <f t="shared" si="56"/>
        <v>5</v>
      </c>
      <c r="D685" s="1860">
        <f t="shared" si="57"/>
        <v>42144</v>
      </c>
      <c r="E685" s="1861">
        <v>42144</v>
      </c>
      <c r="F685" s="1862">
        <f t="shared" si="53"/>
        <v>0</v>
      </c>
      <c r="G685" s="1862">
        <v>72000</v>
      </c>
      <c r="H685" s="1862">
        <v>72000</v>
      </c>
      <c r="I685" s="1862">
        <f>Tabla1[[#This Row],[Extraccion
Norte II]]+Tabla1[[#This Row],[Extraccion
ENO]]</f>
        <v>73898.097346710012</v>
      </c>
      <c r="J685" s="1862">
        <v>73898.097346710012</v>
      </c>
      <c r="K685" s="1862"/>
      <c r="L685" s="1862">
        <f t="shared" si="54"/>
        <v>-1898.0973467100121</v>
      </c>
      <c r="M685" s="1862">
        <f>M684+Tabla1[[#This Row],[Desbalance
TPL]]</f>
        <v>-281343.30173451663</v>
      </c>
    </row>
    <row r="686" spans="2:13" x14ac:dyDescent="0.25">
      <c r="B686" s="1859">
        <f t="shared" si="55"/>
        <v>2015</v>
      </c>
      <c r="C686" s="1859">
        <f t="shared" si="56"/>
        <v>5</v>
      </c>
      <c r="D686" s="1860">
        <f t="shared" si="57"/>
        <v>42145</v>
      </c>
      <c r="E686" s="1861">
        <v>42145</v>
      </c>
      <c r="F686" s="1862">
        <f t="shared" si="53"/>
        <v>0</v>
      </c>
      <c r="G686" s="1862">
        <v>72000</v>
      </c>
      <c r="H686" s="1862">
        <v>72000</v>
      </c>
      <c r="I686" s="1862">
        <f>Tabla1[[#This Row],[Extraccion
Norte II]]+Tabla1[[#This Row],[Extraccion
ENO]]</f>
        <v>73487.095461000004</v>
      </c>
      <c r="J686" s="1862">
        <v>73487.095461000004</v>
      </c>
      <c r="K686" s="1862"/>
      <c r="L686" s="1862">
        <f t="shared" si="54"/>
        <v>-1487.0954610000044</v>
      </c>
      <c r="M686" s="1862">
        <f>M685+Tabla1[[#This Row],[Desbalance
TPL]]</f>
        <v>-282830.39719551662</v>
      </c>
    </row>
    <row r="687" spans="2:13" x14ac:dyDescent="0.25">
      <c r="B687" s="1859">
        <f t="shared" si="55"/>
        <v>2015</v>
      </c>
      <c r="C687" s="1859">
        <f t="shared" si="56"/>
        <v>5</v>
      </c>
      <c r="D687" s="1860">
        <f t="shared" si="57"/>
        <v>42146</v>
      </c>
      <c r="E687" s="1861">
        <v>42146</v>
      </c>
      <c r="F687" s="1862">
        <f t="shared" si="53"/>
        <v>0</v>
      </c>
      <c r="G687" s="1862">
        <v>77000</v>
      </c>
      <c r="H687" s="1862">
        <v>77000</v>
      </c>
      <c r="I687" s="1862">
        <f>Tabla1[[#This Row],[Extraccion
Norte II]]+Tabla1[[#This Row],[Extraccion
ENO]]</f>
        <v>73588.928919480008</v>
      </c>
      <c r="J687" s="1862">
        <v>73588.928919480008</v>
      </c>
      <c r="K687" s="1862"/>
      <c r="L687" s="1862">
        <f t="shared" si="54"/>
        <v>3411.0710805199924</v>
      </c>
      <c r="M687" s="1862">
        <f>M686+Tabla1[[#This Row],[Desbalance
TPL]]</f>
        <v>-279419.32611499663</v>
      </c>
    </row>
    <row r="688" spans="2:13" x14ac:dyDescent="0.25">
      <c r="B688" s="1859">
        <f t="shared" si="55"/>
        <v>2015</v>
      </c>
      <c r="C688" s="1859">
        <f t="shared" si="56"/>
        <v>5</v>
      </c>
      <c r="D688" s="1860">
        <f t="shared" si="57"/>
        <v>42147</v>
      </c>
      <c r="E688" s="1861">
        <v>42147</v>
      </c>
      <c r="F688" s="1862">
        <f t="shared" si="53"/>
        <v>0</v>
      </c>
      <c r="G688" s="1862">
        <v>75000</v>
      </c>
      <c r="H688" s="1862">
        <v>75000</v>
      </c>
      <c r="I688" s="1862">
        <f>Tabla1[[#This Row],[Extraccion
Norte II]]+Tabla1[[#This Row],[Extraccion
ENO]]</f>
        <v>73137.976547220009</v>
      </c>
      <c r="J688" s="1862">
        <v>73137.976547220009</v>
      </c>
      <c r="K688" s="1862"/>
      <c r="L688" s="1862">
        <f t="shared" si="54"/>
        <v>1862.0234527799912</v>
      </c>
      <c r="M688" s="1862">
        <f>M687+Tabla1[[#This Row],[Desbalance
TPL]]</f>
        <v>-277557.30266221665</v>
      </c>
    </row>
    <row r="689" spans="2:13" x14ac:dyDescent="0.25">
      <c r="B689" s="1859">
        <f t="shared" si="55"/>
        <v>2015</v>
      </c>
      <c r="C689" s="1859">
        <f t="shared" si="56"/>
        <v>5</v>
      </c>
      <c r="D689" s="1860">
        <f t="shared" si="57"/>
        <v>42148</v>
      </c>
      <c r="E689" s="1861">
        <v>42148</v>
      </c>
      <c r="F689" s="1862">
        <f t="shared" si="53"/>
        <v>0</v>
      </c>
      <c r="G689" s="1862">
        <v>75000</v>
      </c>
      <c r="H689" s="1862">
        <v>75000</v>
      </c>
      <c r="I689" s="1862">
        <f>Tabla1[[#This Row],[Extraccion
Norte II]]+Tabla1[[#This Row],[Extraccion
ENO]]</f>
        <v>74087.167881870002</v>
      </c>
      <c r="J689" s="1862">
        <v>74087.167881870002</v>
      </c>
      <c r="K689" s="1862"/>
      <c r="L689" s="1862">
        <f t="shared" si="54"/>
        <v>912.83211812999798</v>
      </c>
      <c r="M689" s="1862">
        <f>M688+Tabla1[[#This Row],[Desbalance
TPL]]</f>
        <v>-276644.47054408665</v>
      </c>
    </row>
    <row r="690" spans="2:13" x14ac:dyDescent="0.25">
      <c r="B690" s="1859">
        <f t="shared" si="55"/>
        <v>2015</v>
      </c>
      <c r="C690" s="1859">
        <f t="shared" si="56"/>
        <v>5</v>
      </c>
      <c r="D690" s="1860">
        <f t="shared" si="57"/>
        <v>42149</v>
      </c>
      <c r="E690" s="1861">
        <v>42149</v>
      </c>
      <c r="F690" s="1862">
        <f t="shared" si="53"/>
        <v>0</v>
      </c>
      <c r="G690" s="1862">
        <v>75000</v>
      </c>
      <c r="H690" s="1862">
        <v>75000</v>
      </c>
      <c r="I690" s="1862">
        <f>Tabla1[[#This Row],[Extraccion
Norte II]]+Tabla1[[#This Row],[Extraccion
ENO]]</f>
        <v>74603.458019024998</v>
      </c>
      <c r="J690" s="1862">
        <v>74603.458019024998</v>
      </c>
      <c r="K690" s="1862"/>
      <c r="L690" s="1862">
        <f t="shared" si="54"/>
        <v>396.54198097500193</v>
      </c>
      <c r="M690" s="1862">
        <f>M689+Tabla1[[#This Row],[Desbalance
TPL]]</f>
        <v>-276247.92856311164</v>
      </c>
    </row>
    <row r="691" spans="2:13" x14ac:dyDescent="0.25">
      <c r="B691" s="1859">
        <f t="shared" si="55"/>
        <v>2015</v>
      </c>
      <c r="C691" s="1859">
        <f t="shared" si="56"/>
        <v>5</v>
      </c>
      <c r="D691" s="1860">
        <f t="shared" si="57"/>
        <v>42150</v>
      </c>
      <c r="E691" s="1861">
        <v>42150</v>
      </c>
      <c r="F691" s="1862">
        <f t="shared" si="53"/>
        <v>0</v>
      </c>
      <c r="G691" s="1862">
        <v>75000</v>
      </c>
      <c r="H691" s="1862">
        <v>75000</v>
      </c>
      <c r="I691" s="1862">
        <f>Tabla1[[#This Row],[Extraccion
Norte II]]+Tabla1[[#This Row],[Extraccion
ENO]]</f>
        <v>74476.076153310001</v>
      </c>
      <c r="J691" s="1862">
        <v>74476.076153310001</v>
      </c>
      <c r="K691" s="1862"/>
      <c r="L691" s="1862">
        <f t="shared" si="54"/>
        <v>523.92384668999875</v>
      </c>
      <c r="M691" s="1862">
        <f>M690+Tabla1[[#This Row],[Desbalance
TPL]]</f>
        <v>-275724.00471642165</v>
      </c>
    </row>
    <row r="692" spans="2:13" x14ac:dyDescent="0.25">
      <c r="B692" s="1859">
        <f t="shared" si="55"/>
        <v>2015</v>
      </c>
      <c r="C692" s="1859">
        <f t="shared" si="56"/>
        <v>5</v>
      </c>
      <c r="D692" s="1860">
        <f t="shared" si="57"/>
        <v>42151</v>
      </c>
      <c r="E692" s="1861">
        <v>42151</v>
      </c>
      <c r="F692" s="1862">
        <f t="shared" si="53"/>
        <v>0</v>
      </c>
      <c r="G692" s="1862">
        <v>74000</v>
      </c>
      <c r="H692" s="1862">
        <v>74000</v>
      </c>
      <c r="I692" s="1862">
        <f>Tabla1[[#This Row],[Extraccion
Norte II]]+Tabla1[[#This Row],[Extraccion
ENO]]</f>
        <v>74386.971877139993</v>
      </c>
      <c r="J692" s="1862">
        <v>74386.971877139993</v>
      </c>
      <c r="K692" s="1862"/>
      <c r="L692" s="1862">
        <f t="shared" si="54"/>
        <v>-386.97187713999301</v>
      </c>
      <c r="M692" s="1862">
        <f>M691+Tabla1[[#This Row],[Desbalance
TPL]]</f>
        <v>-276110.97659356165</v>
      </c>
    </row>
    <row r="693" spans="2:13" x14ac:dyDescent="0.25">
      <c r="B693" s="1859">
        <f t="shared" si="55"/>
        <v>2015</v>
      </c>
      <c r="C693" s="1859">
        <f t="shared" si="56"/>
        <v>5</v>
      </c>
      <c r="D693" s="1860">
        <f t="shared" si="57"/>
        <v>42152</v>
      </c>
      <c r="E693" s="1861">
        <v>42152</v>
      </c>
      <c r="F693" s="1862">
        <f t="shared" si="53"/>
        <v>0</v>
      </c>
      <c r="G693" s="1862">
        <v>74000</v>
      </c>
      <c r="H693" s="1862">
        <v>74000</v>
      </c>
      <c r="I693" s="1862">
        <f>Tabla1[[#This Row],[Extraccion
Norte II]]+Tabla1[[#This Row],[Extraccion
ENO]]</f>
        <v>73870.779365136012</v>
      </c>
      <c r="J693" s="1862">
        <v>73870.779365136012</v>
      </c>
      <c r="K693" s="1862"/>
      <c r="L693" s="1862">
        <f t="shared" si="54"/>
        <v>129.22063486398838</v>
      </c>
      <c r="M693" s="1862">
        <f>M692+Tabla1[[#This Row],[Desbalance
TPL]]</f>
        <v>-275981.75595869764</v>
      </c>
    </row>
    <row r="694" spans="2:13" x14ac:dyDescent="0.25">
      <c r="B694" s="1859">
        <f t="shared" si="55"/>
        <v>2015</v>
      </c>
      <c r="C694" s="1859">
        <f t="shared" si="56"/>
        <v>5</v>
      </c>
      <c r="D694" s="1860">
        <f t="shared" si="57"/>
        <v>42153</v>
      </c>
      <c r="E694" s="1861">
        <v>42153</v>
      </c>
      <c r="F694" s="1862">
        <f t="shared" si="53"/>
        <v>0</v>
      </c>
      <c r="G694" s="1862">
        <v>68000</v>
      </c>
      <c r="H694" s="1862">
        <v>68000</v>
      </c>
      <c r="I694" s="1862">
        <f>Tabla1[[#This Row],[Extraccion
Norte II]]+Tabla1[[#This Row],[Extraccion
ENO]]</f>
        <v>73648.556086950004</v>
      </c>
      <c r="J694" s="1862">
        <v>73648.556086950004</v>
      </c>
      <c r="K694" s="1862"/>
      <c r="L694" s="1862">
        <f t="shared" si="54"/>
        <v>-5648.5560869500041</v>
      </c>
      <c r="M694" s="1862">
        <f>M693+Tabla1[[#This Row],[Desbalance
TPL]]</f>
        <v>-281630.31204564765</v>
      </c>
    </row>
    <row r="695" spans="2:13" x14ac:dyDescent="0.25">
      <c r="B695" s="1859">
        <f t="shared" si="55"/>
        <v>2015</v>
      </c>
      <c r="C695" s="1859">
        <f t="shared" si="56"/>
        <v>5</v>
      </c>
      <c r="D695" s="1860">
        <f t="shared" si="57"/>
        <v>42154</v>
      </c>
      <c r="E695" s="1861">
        <v>42154</v>
      </c>
      <c r="F695" s="1862">
        <f t="shared" si="53"/>
        <v>0</v>
      </c>
      <c r="G695" s="1862">
        <v>68000</v>
      </c>
      <c r="H695" s="1862">
        <v>68000</v>
      </c>
      <c r="I695" s="1862">
        <f>Tabla1[[#This Row],[Extraccion
Norte II]]+Tabla1[[#This Row],[Extraccion
ENO]]</f>
        <v>72601.27517097001</v>
      </c>
      <c r="J695" s="1862">
        <v>72601.27517097001</v>
      </c>
      <c r="K695" s="1862"/>
      <c r="L695" s="1862">
        <f t="shared" si="54"/>
        <v>-4601.2751709700096</v>
      </c>
      <c r="M695" s="1862">
        <f>M694+Tabla1[[#This Row],[Desbalance
TPL]]</f>
        <v>-286231.58721661766</v>
      </c>
    </row>
    <row r="696" spans="2:13" x14ac:dyDescent="0.25">
      <c r="B696" s="1859">
        <f t="shared" si="55"/>
        <v>2015</v>
      </c>
      <c r="C696" s="1859">
        <f t="shared" si="56"/>
        <v>5</v>
      </c>
      <c r="D696" s="1860">
        <f t="shared" si="57"/>
        <v>42155</v>
      </c>
      <c r="E696" s="1861">
        <v>42155</v>
      </c>
      <c r="F696" s="1862">
        <f t="shared" si="53"/>
        <v>0</v>
      </c>
      <c r="G696" s="1862">
        <v>68000</v>
      </c>
      <c r="H696" s="1862">
        <v>68000</v>
      </c>
      <c r="I696" s="1862">
        <f>Tabla1[[#This Row],[Extraccion
Norte II]]+Tabla1[[#This Row],[Extraccion
ENO]]</f>
        <v>70882.260234200992</v>
      </c>
      <c r="J696" s="1862">
        <v>70882.260234200992</v>
      </c>
      <c r="K696" s="1862"/>
      <c r="L696" s="1862">
        <f t="shared" si="54"/>
        <v>-2882.2602342009923</v>
      </c>
      <c r="M696" s="1862">
        <f>M695+Tabla1[[#This Row],[Desbalance
TPL]]</f>
        <v>-289113.84745081863</v>
      </c>
    </row>
    <row r="697" spans="2:13" x14ac:dyDescent="0.25">
      <c r="B697" s="1859">
        <f t="shared" si="55"/>
        <v>2015</v>
      </c>
      <c r="C697" s="1859">
        <f t="shared" si="56"/>
        <v>6</v>
      </c>
      <c r="D697" s="1860">
        <f t="shared" si="57"/>
        <v>42156</v>
      </c>
      <c r="E697" s="1861">
        <v>42156</v>
      </c>
      <c r="F697" s="1862">
        <f t="shared" si="53"/>
        <v>0</v>
      </c>
      <c r="G697" s="1862">
        <v>68000</v>
      </c>
      <c r="H697" s="1862">
        <v>68000</v>
      </c>
      <c r="I697" s="1862">
        <f>Tabla1[[#This Row],[Extraccion
Norte II]]+Tabla1[[#This Row],[Extraccion
ENO]]</f>
        <v>73192.864629690011</v>
      </c>
      <c r="J697" s="1862">
        <v>73192.864629690011</v>
      </c>
      <c r="K697" s="1862"/>
      <c r="L697" s="1862">
        <f t="shared" si="54"/>
        <v>-5192.8646296900115</v>
      </c>
      <c r="M697" s="1862">
        <f>M696+Tabla1[[#This Row],[Desbalance
TPL]]</f>
        <v>-294306.71208050865</v>
      </c>
    </row>
    <row r="698" spans="2:13" x14ac:dyDescent="0.25">
      <c r="B698" s="1859">
        <f t="shared" si="55"/>
        <v>2015</v>
      </c>
      <c r="C698" s="1859">
        <f t="shared" si="56"/>
        <v>6</v>
      </c>
      <c r="D698" s="1860">
        <f t="shared" si="57"/>
        <v>42157</v>
      </c>
      <c r="E698" s="1861">
        <v>42157</v>
      </c>
      <c r="F698" s="1862">
        <f t="shared" si="53"/>
        <v>0</v>
      </c>
      <c r="G698" s="1862">
        <v>68000</v>
      </c>
      <c r="H698" s="1862">
        <v>68000</v>
      </c>
      <c r="I698" s="1862">
        <f>Tabla1[[#This Row],[Extraccion
Norte II]]+Tabla1[[#This Row],[Extraccion
ENO]]</f>
        <v>73046.533058693996</v>
      </c>
      <c r="J698" s="1862">
        <v>73046.533058693996</v>
      </c>
      <c r="K698" s="1862"/>
      <c r="L698" s="1862">
        <f t="shared" si="54"/>
        <v>-5046.5330586939963</v>
      </c>
      <c r="M698" s="1862">
        <f>M697+Tabla1[[#This Row],[Desbalance
TPL]]</f>
        <v>-299353.24513920263</v>
      </c>
    </row>
    <row r="699" spans="2:13" x14ac:dyDescent="0.25">
      <c r="B699" s="1859">
        <f t="shared" si="55"/>
        <v>2015</v>
      </c>
      <c r="C699" s="1859">
        <f t="shared" si="56"/>
        <v>6</v>
      </c>
      <c r="D699" s="1860">
        <f t="shared" si="57"/>
        <v>42158</v>
      </c>
      <c r="E699" s="1861">
        <v>42158</v>
      </c>
      <c r="F699" s="1862">
        <f t="shared" si="53"/>
        <v>0</v>
      </c>
      <c r="G699" s="1862">
        <v>68000</v>
      </c>
      <c r="H699" s="1862">
        <v>68000</v>
      </c>
      <c r="I699" s="1862">
        <f>Tabla1[[#This Row],[Extraccion
Norte II]]+Tabla1[[#This Row],[Extraccion
ENO]]</f>
        <v>73598.505662447991</v>
      </c>
      <c r="J699" s="1862">
        <v>73598.505662447991</v>
      </c>
      <c r="K699" s="1862"/>
      <c r="L699" s="1862">
        <f t="shared" si="54"/>
        <v>-5598.5056624479912</v>
      </c>
      <c r="M699" s="1862">
        <f>M698+Tabla1[[#This Row],[Desbalance
TPL]]</f>
        <v>-304951.75080165063</v>
      </c>
    </row>
    <row r="700" spans="2:13" x14ac:dyDescent="0.25">
      <c r="B700" s="1859">
        <f t="shared" si="55"/>
        <v>2015</v>
      </c>
      <c r="C700" s="1859">
        <f t="shared" si="56"/>
        <v>6</v>
      </c>
      <c r="D700" s="1860">
        <f t="shared" si="57"/>
        <v>42159</v>
      </c>
      <c r="E700" s="1861">
        <v>42159</v>
      </c>
      <c r="F700" s="1862">
        <f t="shared" si="53"/>
        <v>0</v>
      </c>
      <c r="G700" s="1862">
        <v>68000</v>
      </c>
      <c r="H700" s="1862">
        <v>68000</v>
      </c>
      <c r="I700" s="1862">
        <f>Tabla1[[#This Row],[Extraccion
Norte II]]+Tabla1[[#This Row],[Extraccion
ENO]]</f>
        <v>73202.361756030004</v>
      </c>
      <c r="J700" s="1862">
        <v>73202.361756030004</v>
      </c>
      <c r="K700" s="1862"/>
      <c r="L700" s="1862">
        <f t="shared" si="54"/>
        <v>-5202.3617560300045</v>
      </c>
      <c r="M700" s="1862">
        <f>M699+Tabla1[[#This Row],[Desbalance
TPL]]</f>
        <v>-310154.11255768064</v>
      </c>
    </row>
    <row r="701" spans="2:13" x14ac:dyDescent="0.25">
      <c r="B701" s="1859">
        <f t="shared" si="55"/>
        <v>2015</v>
      </c>
      <c r="C701" s="1859">
        <f t="shared" si="56"/>
        <v>6</v>
      </c>
      <c r="D701" s="1860">
        <f t="shared" si="57"/>
        <v>42160</v>
      </c>
      <c r="E701" s="1861">
        <v>42160</v>
      </c>
      <c r="F701" s="1862">
        <f t="shared" si="53"/>
        <v>0</v>
      </c>
      <c r="G701" s="1862">
        <v>68000</v>
      </c>
      <c r="H701" s="1862">
        <v>68000</v>
      </c>
      <c r="I701" s="1862">
        <f>Tabla1[[#This Row],[Extraccion
Norte II]]+Tabla1[[#This Row],[Extraccion
ENO]]</f>
        <v>72705.961558620009</v>
      </c>
      <c r="J701" s="1862">
        <v>72705.961558620009</v>
      </c>
      <c r="K701" s="1862"/>
      <c r="L701" s="1862">
        <f t="shared" si="54"/>
        <v>-4705.9615586200089</v>
      </c>
      <c r="M701" s="1862">
        <f>M700+Tabla1[[#This Row],[Desbalance
TPL]]</f>
        <v>-314860.07411630068</v>
      </c>
    </row>
    <row r="702" spans="2:13" x14ac:dyDescent="0.25">
      <c r="B702" s="1859">
        <f t="shared" si="55"/>
        <v>2015</v>
      </c>
      <c r="C702" s="1859">
        <f t="shared" si="56"/>
        <v>6</v>
      </c>
      <c r="D702" s="1860">
        <f t="shared" si="57"/>
        <v>42161</v>
      </c>
      <c r="E702" s="1861">
        <v>42161</v>
      </c>
      <c r="F702" s="1862">
        <f t="shared" si="53"/>
        <v>0</v>
      </c>
      <c r="G702" s="1862">
        <v>65000</v>
      </c>
      <c r="H702" s="1862">
        <v>65000</v>
      </c>
      <c r="I702" s="1862">
        <f>Tabla1[[#This Row],[Extraccion
Norte II]]+Tabla1[[#This Row],[Extraccion
ENO]]</f>
        <v>72109.367626139996</v>
      </c>
      <c r="J702" s="1862">
        <v>72109.367626139996</v>
      </c>
      <c r="K702" s="1862"/>
      <c r="L702" s="1862">
        <f t="shared" si="54"/>
        <v>-7109.367626139996</v>
      </c>
      <c r="M702" s="1862">
        <f>M701+Tabla1[[#This Row],[Desbalance
TPL]]</f>
        <v>-321969.44174244069</v>
      </c>
    </row>
    <row r="703" spans="2:13" x14ac:dyDescent="0.25">
      <c r="B703" s="1859">
        <f t="shared" si="55"/>
        <v>2015</v>
      </c>
      <c r="C703" s="1859">
        <f t="shared" si="56"/>
        <v>6</v>
      </c>
      <c r="D703" s="1860">
        <f t="shared" si="57"/>
        <v>42162</v>
      </c>
      <c r="E703" s="1861">
        <v>42162</v>
      </c>
      <c r="F703" s="1862">
        <f t="shared" si="53"/>
        <v>0</v>
      </c>
      <c r="G703" s="1862">
        <v>65000</v>
      </c>
      <c r="H703" s="1862">
        <v>65000</v>
      </c>
      <c r="I703" s="1862">
        <f>Tabla1[[#This Row],[Extraccion
Norte II]]+Tabla1[[#This Row],[Extraccion
ENO]]</f>
        <v>71580.485740139993</v>
      </c>
      <c r="J703" s="1862">
        <v>71580.485740139993</v>
      </c>
      <c r="K703" s="1862"/>
      <c r="L703" s="1862">
        <f t="shared" si="54"/>
        <v>-6580.4857401399931</v>
      </c>
      <c r="M703" s="1862">
        <f>M702+Tabla1[[#This Row],[Desbalance
TPL]]</f>
        <v>-328549.92748258065</v>
      </c>
    </row>
    <row r="704" spans="2:13" x14ac:dyDescent="0.25">
      <c r="B704" s="1859">
        <f t="shared" si="55"/>
        <v>2015</v>
      </c>
      <c r="C704" s="1859">
        <f t="shared" si="56"/>
        <v>6</v>
      </c>
      <c r="D704" s="1860">
        <f t="shared" si="57"/>
        <v>42163</v>
      </c>
      <c r="E704" s="1861">
        <v>42163</v>
      </c>
      <c r="F704" s="1862">
        <f t="shared" si="53"/>
        <v>0</v>
      </c>
      <c r="G704" s="1862">
        <v>65000</v>
      </c>
      <c r="H704" s="1862">
        <v>65000</v>
      </c>
      <c r="I704" s="1862">
        <f>Tabla1[[#This Row],[Extraccion
Norte II]]+Tabla1[[#This Row],[Extraccion
ENO]]</f>
        <v>71478.112025970011</v>
      </c>
      <c r="J704" s="1862">
        <v>71478.112025970011</v>
      </c>
      <c r="K704" s="1862"/>
      <c r="L704" s="1862">
        <f t="shared" si="54"/>
        <v>-6478.112025970011</v>
      </c>
      <c r="M704" s="1862">
        <f>M703+Tabla1[[#This Row],[Desbalance
TPL]]</f>
        <v>-335028.03950855066</v>
      </c>
    </row>
    <row r="705" spans="2:13" x14ac:dyDescent="0.25">
      <c r="B705" s="1859">
        <f t="shared" si="55"/>
        <v>2015</v>
      </c>
      <c r="C705" s="1859">
        <f t="shared" si="56"/>
        <v>6</v>
      </c>
      <c r="D705" s="1860">
        <f t="shared" si="57"/>
        <v>42164</v>
      </c>
      <c r="E705" s="1861">
        <v>42164</v>
      </c>
      <c r="F705" s="1862">
        <f t="shared" si="53"/>
        <v>0</v>
      </c>
      <c r="G705" s="1862">
        <v>63000</v>
      </c>
      <c r="H705" s="1862">
        <v>63000</v>
      </c>
      <c r="I705" s="1862">
        <f>Tabla1[[#This Row],[Extraccion
Norte II]]+Tabla1[[#This Row],[Extraccion
ENO]]</f>
        <v>71744.126345190001</v>
      </c>
      <c r="J705" s="1862">
        <v>71744.126345190001</v>
      </c>
      <c r="K705" s="1862"/>
      <c r="L705" s="1862">
        <f t="shared" si="54"/>
        <v>-8744.1263451900013</v>
      </c>
      <c r="M705" s="1862">
        <f>M704+Tabla1[[#This Row],[Desbalance
TPL]]</f>
        <v>-343772.16585374065</v>
      </c>
    </row>
    <row r="706" spans="2:13" x14ac:dyDescent="0.25">
      <c r="B706" s="1859">
        <f t="shared" si="55"/>
        <v>2015</v>
      </c>
      <c r="C706" s="1859">
        <f t="shared" si="56"/>
        <v>6</v>
      </c>
      <c r="D706" s="1860">
        <f t="shared" si="57"/>
        <v>42165</v>
      </c>
      <c r="E706" s="1861">
        <v>42165</v>
      </c>
      <c r="F706" s="1862">
        <f t="shared" si="53"/>
        <v>0</v>
      </c>
      <c r="G706" s="1862">
        <v>48613</v>
      </c>
      <c r="H706" s="1862">
        <v>48613</v>
      </c>
      <c r="I706" s="1862">
        <f>Tabla1[[#This Row],[Extraccion
Norte II]]+Tabla1[[#This Row],[Extraccion
ENO]]</f>
        <v>71367.018395399995</v>
      </c>
      <c r="J706" s="1862">
        <v>71367.018395399995</v>
      </c>
      <c r="K706" s="1862"/>
      <c r="L706" s="1862">
        <f t="shared" si="54"/>
        <v>-22754.018395399995</v>
      </c>
      <c r="M706" s="1862">
        <f>M705+Tabla1[[#This Row],[Desbalance
TPL]]</f>
        <v>-366526.18424914067</v>
      </c>
    </row>
    <row r="707" spans="2:13" x14ac:dyDescent="0.25">
      <c r="B707" s="1859">
        <f t="shared" si="55"/>
        <v>2015</v>
      </c>
      <c r="C707" s="1859">
        <f t="shared" si="56"/>
        <v>6</v>
      </c>
      <c r="D707" s="1860">
        <f t="shared" si="57"/>
        <v>42166</v>
      </c>
      <c r="E707" s="1861">
        <v>42166</v>
      </c>
      <c r="F707" s="1862">
        <f t="shared" si="53"/>
        <v>0</v>
      </c>
      <c r="G707" s="1862">
        <v>63000</v>
      </c>
      <c r="H707" s="1862">
        <v>63000</v>
      </c>
      <c r="I707" s="1862">
        <f>Tabla1[[#This Row],[Extraccion
Norte II]]+Tabla1[[#This Row],[Extraccion
ENO]]</f>
        <v>72429.375288581999</v>
      </c>
      <c r="J707" s="1862">
        <v>72429.375288581999</v>
      </c>
      <c r="K707" s="1862"/>
      <c r="L707" s="1862">
        <f t="shared" si="54"/>
        <v>-9429.3752885819995</v>
      </c>
      <c r="M707" s="1862">
        <f>M706+Tabla1[[#This Row],[Desbalance
TPL]]</f>
        <v>-375955.55953772267</v>
      </c>
    </row>
    <row r="708" spans="2:13" x14ac:dyDescent="0.25">
      <c r="B708" s="1859">
        <f t="shared" si="55"/>
        <v>2015</v>
      </c>
      <c r="C708" s="1859">
        <f t="shared" si="56"/>
        <v>6</v>
      </c>
      <c r="D708" s="1860">
        <f t="shared" si="57"/>
        <v>42167</v>
      </c>
      <c r="E708" s="1861">
        <v>42167</v>
      </c>
      <c r="F708" s="1862">
        <f t="shared" si="53"/>
        <v>0</v>
      </c>
      <c r="G708" s="1862">
        <v>63000</v>
      </c>
      <c r="H708" s="1862">
        <v>63000</v>
      </c>
      <c r="I708" s="1862">
        <f>Tabla1[[#This Row],[Extraccion
Norte II]]+Tabla1[[#This Row],[Extraccion
ENO]]</f>
        <v>73128.318291989999</v>
      </c>
      <c r="J708" s="1862">
        <v>73128.318291989999</v>
      </c>
      <c r="K708" s="1862"/>
      <c r="L708" s="1862">
        <f t="shared" si="54"/>
        <v>-10128.318291989999</v>
      </c>
      <c r="M708" s="1862">
        <f>M707+Tabla1[[#This Row],[Desbalance
TPL]]</f>
        <v>-386083.8778297127</v>
      </c>
    </row>
    <row r="709" spans="2:13" x14ac:dyDescent="0.25">
      <c r="B709" s="1859">
        <f t="shared" si="55"/>
        <v>2015</v>
      </c>
      <c r="C709" s="1859">
        <f t="shared" si="56"/>
        <v>6</v>
      </c>
      <c r="D709" s="1860">
        <f t="shared" si="57"/>
        <v>42168</v>
      </c>
      <c r="E709" s="1861">
        <v>42168</v>
      </c>
      <c r="F709" s="1862">
        <f t="shared" si="53"/>
        <v>0</v>
      </c>
      <c r="G709" s="1862">
        <v>63000</v>
      </c>
      <c r="H709" s="1862">
        <v>63000</v>
      </c>
      <c r="I709" s="1862">
        <f>Tabla1[[#This Row],[Extraccion
Norte II]]+Tabla1[[#This Row],[Extraccion
ENO]]</f>
        <v>73349.263912859999</v>
      </c>
      <c r="J709" s="1862">
        <v>73349.263912859999</v>
      </c>
      <c r="K709" s="1862"/>
      <c r="L709" s="1862">
        <f t="shared" si="54"/>
        <v>-10349.263912859999</v>
      </c>
      <c r="M709" s="1862">
        <f>M708+Tabla1[[#This Row],[Desbalance
TPL]]</f>
        <v>-396433.14174257271</v>
      </c>
    </row>
    <row r="710" spans="2:13" x14ac:dyDescent="0.25">
      <c r="B710" s="1859">
        <f t="shared" si="55"/>
        <v>2015</v>
      </c>
      <c r="C710" s="1859">
        <f t="shared" si="56"/>
        <v>6</v>
      </c>
      <c r="D710" s="1860">
        <f t="shared" si="57"/>
        <v>42169</v>
      </c>
      <c r="E710" s="1861">
        <v>42169</v>
      </c>
      <c r="F710" s="1862">
        <f t="shared" si="53"/>
        <v>0</v>
      </c>
      <c r="G710" s="1862">
        <v>63000</v>
      </c>
      <c r="H710" s="1862">
        <v>63000</v>
      </c>
      <c r="I710" s="1862">
        <f>Tabla1[[#This Row],[Extraccion
Norte II]]+Tabla1[[#This Row],[Extraccion
ENO]]</f>
        <v>72918.255505914</v>
      </c>
      <c r="J710" s="1862">
        <v>72918.255505914</v>
      </c>
      <c r="K710" s="1862"/>
      <c r="L710" s="1862">
        <f t="shared" si="54"/>
        <v>-9918.2555059139995</v>
      </c>
      <c r="M710" s="1862">
        <f>M709+Tabla1[[#This Row],[Desbalance
TPL]]</f>
        <v>-406351.3972484867</v>
      </c>
    </row>
    <row r="711" spans="2:13" x14ac:dyDescent="0.25">
      <c r="B711" s="1859">
        <f t="shared" si="55"/>
        <v>2015</v>
      </c>
      <c r="C711" s="1859">
        <f t="shared" si="56"/>
        <v>6</v>
      </c>
      <c r="D711" s="1860">
        <f t="shared" si="57"/>
        <v>42170</v>
      </c>
      <c r="E711" s="1861">
        <v>42170</v>
      </c>
      <c r="F711" s="1862">
        <f t="shared" si="53"/>
        <v>-1</v>
      </c>
      <c r="G711" s="1862">
        <v>62999</v>
      </c>
      <c r="H711" s="1862">
        <v>63000</v>
      </c>
      <c r="I711" s="1862">
        <f>Tabla1[[#This Row],[Extraccion
Norte II]]+Tabla1[[#This Row],[Extraccion
ENO]]</f>
        <v>72745.532918370009</v>
      </c>
      <c r="J711" s="1862">
        <v>72745.532918370009</v>
      </c>
      <c r="K711" s="1862"/>
      <c r="L711" s="1862">
        <f t="shared" si="54"/>
        <v>-9745.5329183700087</v>
      </c>
      <c r="M711" s="1862">
        <f>M710+Tabla1[[#This Row],[Desbalance
TPL]]</f>
        <v>-416096.93016685674</v>
      </c>
    </row>
    <row r="712" spans="2:13" x14ac:dyDescent="0.25">
      <c r="B712" s="1859">
        <f t="shared" si="55"/>
        <v>2015</v>
      </c>
      <c r="C712" s="1859">
        <f t="shared" si="56"/>
        <v>6</v>
      </c>
      <c r="D712" s="1860">
        <f t="shared" si="57"/>
        <v>42171</v>
      </c>
      <c r="E712" s="1861">
        <v>42171</v>
      </c>
      <c r="F712" s="1862">
        <f t="shared" si="53"/>
        <v>0</v>
      </c>
      <c r="G712" s="1862">
        <v>61999</v>
      </c>
      <c r="H712" s="1862">
        <v>61999</v>
      </c>
      <c r="I712" s="1862">
        <f>Tabla1[[#This Row],[Extraccion
Norte II]]+Tabla1[[#This Row],[Extraccion
ENO]]</f>
        <v>68014.208643965991</v>
      </c>
      <c r="J712" s="1862">
        <v>68014.208643965991</v>
      </c>
      <c r="K712" s="1862"/>
      <c r="L712" s="1862">
        <f t="shared" si="54"/>
        <v>-6015.2086439659906</v>
      </c>
      <c r="M712" s="1862">
        <f>M711+Tabla1[[#This Row],[Desbalance
TPL]]</f>
        <v>-422112.13881082274</v>
      </c>
    </row>
    <row r="713" spans="2:13" x14ac:dyDescent="0.25">
      <c r="B713" s="1859">
        <f t="shared" si="55"/>
        <v>2015</v>
      </c>
      <c r="C713" s="1859">
        <f t="shared" si="56"/>
        <v>6</v>
      </c>
      <c r="D713" s="1860">
        <f t="shared" si="57"/>
        <v>42172</v>
      </c>
      <c r="E713" s="1861">
        <v>42172</v>
      </c>
      <c r="F713" s="1862">
        <f t="shared" si="53"/>
        <v>0</v>
      </c>
      <c r="G713" s="1862">
        <v>72000</v>
      </c>
      <c r="H713" s="1862">
        <v>72000</v>
      </c>
      <c r="I713" s="1862">
        <f>Tabla1[[#This Row],[Extraccion
Norte II]]+Tabla1[[#This Row],[Extraccion
ENO]]</f>
        <v>72806.562854999996</v>
      </c>
      <c r="J713" s="1862">
        <v>72806.562854999996</v>
      </c>
      <c r="K713" s="1862"/>
      <c r="L713" s="1862">
        <f t="shared" si="54"/>
        <v>-806.56285499999649</v>
      </c>
      <c r="M713" s="1862">
        <f>M712+Tabla1[[#This Row],[Desbalance
TPL]]</f>
        <v>-422918.70166582277</v>
      </c>
    </row>
    <row r="714" spans="2:13" x14ac:dyDescent="0.25">
      <c r="B714" s="1859">
        <f t="shared" si="55"/>
        <v>2015</v>
      </c>
      <c r="C714" s="1859">
        <f t="shared" si="56"/>
        <v>6</v>
      </c>
      <c r="D714" s="1860">
        <f t="shared" si="57"/>
        <v>42173</v>
      </c>
      <c r="E714" s="1861">
        <v>42173</v>
      </c>
      <c r="F714" s="1862">
        <f t="shared" si="53"/>
        <v>0</v>
      </c>
      <c r="G714" s="1862">
        <v>70000</v>
      </c>
      <c r="H714" s="1862">
        <v>70000</v>
      </c>
      <c r="I714" s="1862">
        <f>Tabla1[[#This Row],[Extraccion
Norte II]]+Tabla1[[#This Row],[Extraccion
ENO]]</f>
        <v>72846.617601420003</v>
      </c>
      <c r="J714" s="1862">
        <v>72846.617601420003</v>
      </c>
      <c r="K714" s="1862"/>
      <c r="L714" s="1862">
        <f t="shared" si="54"/>
        <v>-2846.6176014200028</v>
      </c>
      <c r="M714" s="1862">
        <f>M713+Tabla1[[#This Row],[Desbalance
TPL]]</f>
        <v>-425765.3192672428</v>
      </c>
    </row>
    <row r="715" spans="2:13" x14ac:dyDescent="0.25">
      <c r="B715" s="1859">
        <f t="shared" si="55"/>
        <v>2015</v>
      </c>
      <c r="C715" s="1859">
        <f t="shared" si="56"/>
        <v>6</v>
      </c>
      <c r="D715" s="1860">
        <f t="shared" si="57"/>
        <v>42174</v>
      </c>
      <c r="E715" s="1861">
        <v>42174</v>
      </c>
      <c r="F715" s="1862">
        <f t="shared" si="53"/>
        <v>0</v>
      </c>
      <c r="G715" s="1862">
        <v>70000</v>
      </c>
      <c r="H715" s="1862">
        <v>70000</v>
      </c>
      <c r="I715" s="1862">
        <f>Tabla1[[#This Row],[Extraccion
Norte II]]+Tabla1[[#This Row],[Extraccion
ENO]]</f>
        <v>72372.95553384001</v>
      </c>
      <c r="J715" s="1862">
        <v>72372.95553384001</v>
      </c>
      <c r="K715" s="1862"/>
      <c r="L715" s="1862">
        <f t="shared" si="54"/>
        <v>-2372.9555338400096</v>
      </c>
      <c r="M715" s="1862">
        <f>M714+Tabla1[[#This Row],[Desbalance
TPL]]</f>
        <v>-428138.27480108279</v>
      </c>
    </row>
    <row r="716" spans="2:13" x14ac:dyDescent="0.25">
      <c r="B716" s="1859">
        <f t="shared" si="55"/>
        <v>2015</v>
      </c>
      <c r="C716" s="1859">
        <f t="shared" si="56"/>
        <v>6</v>
      </c>
      <c r="D716" s="1860">
        <f t="shared" si="57"/>
        <v>42175</v>
      </c>
      <c r="E716" s="1861">
        <v>42175</v>
      </c>
      <c r="F716" s="1862">
        <f t="shared" ref="F716:F779" si="58">G716-H716</f>
        <v>0</v>
      </c>
      <c r="G716" s="1862">
        <v>70000</v>
      </c>
      <c r="H716" s="1862">
        <v>70000</v>
      </c>
      <c r="I716" s="1862">
        <f>Tabla1[[#This Row],[Extraccion
Norte II]]+Tabla1[[#This Row],[Extraccion
ENO]]</f>
        <v>72433.058505444002</v>
      </c>
      <c r="J716" s="1862">
        <v>72433.058505444002</v>
      </c>
      <c r="K716" s="1862"/>
      <c r="L716" s="1862">
        <f t="shared" ref="L716:L779" si="59">H716-I716</f>
        <v>-2433.0585054440016</v>
      </c>
      <c r="M716" s="1862">
        <f>M715+Tabla1[[#This Row],[Desbalance
TPL]]</f>
        <v>-430571.33330652677</v>
      </c>
    </row>
    <row r="717" spans="2:13" x14ac:dyDescent="0.25">
      <c r="B717" s="1859">
        <f t="shared" si="55"/>
        <v>2015</v>
      </c>
      <c r="C717" s="1859">
        <f t="shared" si="56"/>
        <v>6</v>
      </c>
      <c r="D717" s="1860">
        <f t="shared" si="57"/>
        <v>42176</v>
      </c>
      <c r="E717" s="1861">
        <v>42176</v>
      </c>
      <c r="F717" s="1862">
        <f t="shared" si="58"/>
        <v>0</v>
      </c>
      <c r="G717" s="1862">
        <v>70000</v>
      </c>
      <c r="H717" s="1862">
        <v>70000</v>
      </c>
      <c r="I717" s="1862">
        <f>Tabla1[[#This Row],[Extraccion
Norte II]]+Tabla1[[#This Row],[Extraccion
ENO]]</f>
        <v>72675.98210691</v>
      </c>
      <c r="J717" s="1862">
        <v>72675.98210691</v>
      </c>
      <c r="K717" s="1862"/>
      <c r="L717" s="1862">
        <f t="shared" si="59"/>
        <v>-2675.9821069099999</v>
      </c>
      <c r="M717" s="1862">
        <f>M716+Tabla1[[#This Row],[Desbalance
TPL]]</f>
        <v>-433247.31541343674</v>
      </c>
    </row>
    <row r="718" spans="2:13" x14ac:dyDescent="0.25">
      <c r="B718" s="1859">
        <f t="shared" si="55"/>
        <v>2015</v>
      </c>
      <c r="C718" s="1859">
        <f t="shared" si="56"/>
        <v>6</v>
      </c>
      <c r="D718" s="1860">
        <f t="shared" si="57"/>
        <v>42177</v>
      </c>
      <c r="E718" s="1861">
        <v>42177</v>
      </c>
      <c r="F718" s="1862">
        <f t="shared" si="58"/>
        <v>0</v>
      </c>
      <c r="G718" s="1862">
        <v>70000</v>
      </c>
      <c r="H718" s="1862">
        <v>70000</v>
      </c>
      <c r="I718" s="1862">
        <f>Tabla1[[#This Row],[Extraccion
Norte II]]+Tabla1[[#This Row],[Extraccion
ENO]]</f>
        <v>72549.751838850003</v>
      </c>
      <c r="J718" s="1862">
        <v>72549.751838850003</v>
      </c>
      <c r="K718" s="1862"/>
      <c r="L718" s="1862">
        <f t="shared" si="59"/>
        <v>-2549.751838850003</v>
      </c>
      <c r="M718" s="1862">
        <f>M717+Tabla1[[#This Row],[Desbalance
TPL]]</f>
        <v>-435797.06725228671</v>
      </c>
    </row>
    <row r="719" spans="2:13" x14ac:dyDescent="0.25">
      <c r="B719" s="1859">
        <f t="shared" si="55"/>
        <v>2015</v>
      </c>
      <c r="C719" s="1859">
        <f t="shared" si="56"/>
        <v>6</v>
      </c>
      <c r="D719" s="1860">
        <f t="shared" si="57"/>
        <v>42178</v>
      </c>
      <c r="E719" s="1861">
        <v>42178</v>
      </c>
      <c r="F719" s="1862">
        <f t="shared" si="58"/>
        <v>0</v>
      </c>
      <c r="G719" s="1862">
        <v>73000</v>
      </c>
      <c r="H719" s="1862">
        <v>73000</v>
      </c>
      <c r="I719" s="1862">
        <f>Tabla1[[#This Row],[Extraccion
Norte II]]+Tabla1[[#This Row],[Extraccion
ENO]]</f>
        <v>71739.254565809999</v>
      </c>
      <c r="J719" s="1862">
        <v>71739.254565809999</v>
      </c>
      <c r="K719" s="1862"/>
      <c r="L719" s="1862">
        <f t="shared" si="59"/>
        <v>1260.7454341900011</v>
      </c>
      <c r="M719" s="1862">
        <f>M718+Tabla1[[#This Row],[Desbalance
TPL]]</f>
        <v>-434536.32181809668</v>
      </c>
    </row>
    <row r="720" spans="2:13" x14ac:dyDescent="0.25">
      <c r="B720" s="1859">
        <f t="shared" si="55"/>
        <v>2015</v>
      </c>
      <c r="C720" s="1859">
        <f t="shared" si="56"/>
        <v>6</v>
      </c>
      <c r="D720" s="1860">
        <f t="shared" si="57"/>
        <v>42179</v>
      </c>
      <c r="E720" s="1861">
        <v>42179</v>
      </c>
      <c r="F720" s="1862">
        <f t="shared" si="58"/>
        <v>0</v>
      </c>
      <c r="G720" s="1862">
        <v>73000</v>
      </c>
      <c r="H720" s="1862">
        <v>73000</v>
      </c>
      <c r="I720" s="1862">
        <f>Tabla1[[#This Row],[Extraccion
Norte II]]+Tabla1[[#This Row],[Extraccion
ENO]]</f>
        <v>71783.935607006992</v>
      </c>
      <c r="J720" s="1862">
        <v>71783.935607006992</v>
      </c>
      <c r="K720" s="1862"/>
      <c r="L720" s="1862">
        <f t="shared" si="59"/>
        <v>1216.0643929930084</v>
      </c>
      <c r="M720" s="1862">
        <f>M719+Tabla1[[#This Row],[Desbalance
TPL]]</f>
        <v>-433320.25742510369</v>
      </c>
    </row>
    <row r="721" spans="2:13" x14ac:dyDescent="0.25">
      <c r="B721" s="1859">
        <f t="shared" si="55"/>
        <v>2015</v>
      </c>
      <c r="C721" s="1859">
        <f t="shared" si="56"/>
        <v>6</v>
      </c>
      <c r="D721" s="1860">
        <f t="shared" si="57"/>
        <v>42180</v>
      </c>
      <c r="E721" s="1861">
        <v>42180</v>
      </c>
      <c r="F721" s="1862">
        <f t="shared" si="58"/>
        <v>0</v>
      </c>
      <c r="G721" s="1862">
        <v>73000</v>
      </c>
      <c r="H721" s="1862">
        <v>73000</v>
      </c>
      <c r="I721" s="1862">
        <f>Tabla1[[#This Row],[Extraccion
Norte II]]+Tabla1[[#This Row],[Extraccion
ENO]]</f>
        <v>71494.518738240004</v>
      </c>
      <c r="J721" s="1862">
        <v>71494.518738240004</v>
      </c>
      <c r="K721" s="1862"/>
      <c r="L721" s="1862">
        <f t="shared" si="59"/>
        <v>1505.4812617599964</v>
      </c>
      <c r="M721" s="1862">
        <f>M720+Tabla1[[#This Row],[Desbalance
TPL]]</f>
        <v>-431814.77616334369</v>
      </c>
    </row>
    <row r="722" spans="2:13" x14ac:dyDescent="0.25">
      <c r="B722" s="1859">
        <f t="shared" si="55"/>
        <v>2015</v>
      </c>
      <c r="C722" s="1859">
        <f t="shared" si="56"/>
        <v>6</v>
      </c>
      <c r="D722" s="1860">
        <f t="shared" si="57"/>
        <v>42181</v>
      </c>
      <c r="E722" s="1861">
        <v>42181</v>
      </c>
      <c r="F722" s="1862">
        <f t="shared" si="58"/>
        <v>0</v>
      </c>
      <c r="G722" s="1862">
        <v>73000</v>
      </c>
      <c r="H722" s="1862">
        <v>73000</v>
      </c>
      <c r="I722" s="1862">
        <f>Tabla1[[#This Row],[Extraccion
Norte II]]+Tabla1[[#This Row],[Extraccion
ENO]]</f>
        <v>72146.796919469998</v>
      </c>
      <c r="J722" s="1862">
        <v>72146.796919469998</v>
      </c>
      <c r="K722" s="1862"/>
      <c r="L722" s="1862">
        <f t="shared" si="59"/>
        <v>853.2030805300019</v>
      </c>
      <c r="M722" s="1862">
        <f>M721+Tabla1[[#This Row],[Desbalance
TPL]]</f>
        <v>-430961.5730828137</v>
      </c>
    </row>
    <row r="723" spans="2:13" x14ac:dyDescent="0.25">
      <c r="B723" s="1859">
        <f t="shared" si="55"/>
        <v>2015</v>
      </c>
      <c r="C723" s="1859">
        <f t="shared" si="56"/>
        <v>6</v>
      </c>
      <c r="D723" s="1860">
        <f t="shared" si="57"/>
        <v>42182</v>
      </c>
      <c r="E723" s="1861">
        <v>42182</v>
      </c>
      <c r="F723" s="1862">
        <f t="shared" si="58"/>
        <v>0</v>
      </c>
      <c r="G723" s="1862">
        <v>70000</v>
      </c>
      <c r="H723" s="1862">
        <v>70000</v>
      </c>
      <c r="I723" s="1862">
        <f>Tabla1[[#This Row],[Extraccion
Norte II]]+Tabla1[[#This Row],[Extraccion
ENO]]</f>
        <v>71937.300927960008</v>
      </c>
      <c r="J723" s="1862">
        <v>71937.300927960008</v>
      </c>
      <c r="K723" s="1862"/>
      <c r="L723" s="1862">
        <f t="shared" si="59"/>
        <v>-1937.3009279600083</v>
      </c>
      <c r="M723" s="1862">
        <f>M722+Tabla1[[#This Row],[Desbalance
TPL]]</f>
        <v>-432898.87401077372</v>
      </c>
    </row>
    <row r="724" spans="2:13" x14ac:dyDescent="0.25">
      <c r="B724" s="1859">
        <f t="shared" si="55"/>
        <v>2015</v>
      </c>
      <c r="C724" s="1859">
        <f t="shared" si="56"/>
        <v>6</v>
      </c>
      <c r="D724" s="1860">
        <f t="shared" si="57"/>
        <v>42183</v>
      </c>
      <c r="E724" s="1861">
        <v>42183</v>
      </c>
      <c r="F724" s="1862">
        <f t="shared" si="58"/>
        <v>0</v>
      </c>
      <c r="G724" s="1862">
        <v>70000</v>
      </c>
      <c r="H724" s="1862">
        <v>70000</v>
      </c>
      <c r="I724" s="1862">
        <f>Tabla1[[#This Row],[Extraccion
Norte II]]+Tabla1[[#This Row],[Extraccion
ENO]]</f>
        <v>72379.154257019996</v>
      </c>
      <c r="J724" s="1862">
        <v>72379.154257019996</v>
      </c>
      <c r="K724" s="1862"/>
      <c r="L724" s="1862">
        <f t="shared" si="59"/>
        <v>-2379.1542570199963</v>
      </c>
      <c r="M724" s="1862">
        <f>M723+Tabla1[[#This Row],[Desbalance
TPL]]</f>
        <v>-435278.02826779371</v>
      </c>
    </row>
    <row r="725" spans="2:13" x14ac:dyDescent="0.25">
      <c r="B725" s="1859">
        <f t="shared" si="55"/>
        <v>2015</v>
      </c>
      <c r="C725" s="1859">
        <f t="shared" si="56"/>
        <v>6</v>
      </c>
      <c r="D725" s="1860">
        <f t="shared" si="57"/>
        <v>42184</v>
      </c>
      <c r="E725" s="1861">
        <v>42184</v>
      </c>
      <c r="F725" s="1862">
        <f t="shared" si="58"/>
        <v>0</v>
      </c>
      <c r="G725" s="1862">
        <v>70000</v>
      </c>
      <c r="H725" s="1862">
        <v>70000</v>
      </c>
      <c r="I725" s="1862">
        <f>Tabla1[[#This Row],[Extraccion
Norte II]]+Tabla1[[#This Row],[Extraccion
ENO]]</f>
        <v>72204.917057910003</v>
      </c>
      <c r="J725" s="1862">
        <v>72204.917057910003</v>
      </c>
      <c r="K725" s="1862"/>
      <c r="L725" s="1862">
        <f t="shared" si="59"/>
        <v>-2204.9170579100028</v>
      </c>
      <c r="M725" s="1862">
        <f>M724+Tabla1[[#This Row],[Desbalance
TPL]]</f>
        <v>-437482.94532570371</v>
      </c>
    </row>
    <row r="726" spans="2:13" x14ac:dyDescent="0.25">
      <c r="B726" s="1859">
        <f t="shared" si="55"/>
        <v>2015</v>
      </c>
      <c r="C726" s="1859">
        <f t="shared" si="56"/>
        <v>6</v>
      </c>
      <c r="D726" s="1860">
        <f t="shared" si="57"/>
        <v>42185</v>
      </c>
      <c r="E726" s="1861">
        <v>42185</v>
      </c>
      <c r="F726" s="1862">
        <f t="shared" si="58"/>
        <v>0</v>
      </c>
      <c r="G726" s="1862">
        <v>70000</v>
      </c>
      <c r="H726" s="1862">
        <v>70000</v>
      </c>
      <c r="I726" s="1862">
        <f>Tabla1[[#This Row],[Extraccion
Norte II]]+Tabla1[[#This Row],[Extraccion
ENO]]</f>
        <v>72174.139544286008</v>
      </c>
      <c r="J726" s="1862">
        <v>72174.139544286008</v>
      </c>
      <c r="K726" s="1862"/>
      <c r="L726" s="1862">
        <f t="shared" si="59"/>
        <v>-2174.1395442860085</v>
      </c>
      <c r="M726" s="1862">
        <f>M725+Tabla1[[#This Row],[Desbalance
TPL]]</f>
        <v>-439657.08486998972</v>
      </c>
    </row>
    <row r="727" spans="2:13" x14ac:dyDescent="0.25">
      <c r="B727" s="1859">
        <f t="shared" si="55"/>
        <v>2015</v>
      </c>
      <c r="C727" s="1859">
        <f t="shared" si="56"/>
        <v>7</v>
      </c>
      <c r="D727" s="1860">
        <f t="shared" si="57"/>
        <v>42186</v>
      </c>
      <c r="E727" s="1861">
        <v>42186</v>
      </c>
      <c r="F727" s="1862">
        <f t="shared" si="58"/>
        <v>2001</v>
      </c>
      <c r="G727" s="1862">
        <v>72000</v>
      </c>
      <c r="H727" s="1862">
        <v>69999</v>
      </c>
      <c r="I727" s="1862">
        <f>Tabla1[[#This Row],[Extraccion
Norte II]]+Tabla1[[#This Row],[Extraccion
ENO]]</f>
        <v>72355.609534923002</v>
      </c>
      <c r="J727" s="1862">
        <v>72355.609534923002</v>
      </c>
      <c r="K727" s="1862"/>
      <c r="L727" s="1862">
        <f t="shared" si="59"/>
        <v>-2356.6095349230018</v>
      </c>
      <c r="M727" s="1862">
        <f>M726+Tabla1[[#This Row],[Desbalance
TPL]]</f>
        <v>-442013.69440491271</v>
      </c>
    </row>
    <row r="728" spans="2:13" x14ac:dyDescent="0.25">
      <c r="B728" s="1859">
        <f t="shared" si="55"/>
        <v>2015</v>
      </c>
      <c r="C728" s="1859">
        <f t="shared" si="56"/>
        <v>7</v>
      </c>
      <c r="D728" s="1860">
        <f t="shared" si="57"/>
        <v>42187</v>
      </c>
      <c r="E728" s="1861">
        <v>42187</v>
      </c>
      <c r="F728" s="1862">
        <f t="shared" si="58"/>
        <v>3000</v>
      </c>
      <c r="G728" s="1862">
        <v>73000</v>
      </c>
      <c r="H728" s="1862">
        <v>70000</v>
      </c>
      <c r="I728" s="1862">
        <f>Tabla1[[#This Row],[Extraccion
Norte II]]+Tabla1[[#This Row],[Extraccion
ENO]]</f>
        <v>72135.394680960002</v>
      </c>
      <c r="J728" s="1862">
        <v>72135.394680960002</v>
      </c>
      <c r="K728" s="1862"/>
      <c r="L728" s="1862">
        <f t="shared" si="59"/>
        <v>-2135.394680960002</v>
      </c>
      <c r="M728" s="1862">
        <f>M727+Tabla1[[#This Row],[Desbalance
TPL]]</f>
        <v>-444149.08908587269</v>
      </c>
    </row>
    <row r="729" spans="2:13" x14ac:dyDescent="0.25">
      <c r="B729" s="1859">
        <f t="shared" si="55"/>
        <v>2015</v>
      </c>
      <c r="C729" s="1859">
        <f t="shared" si="56"/>
        <v>7</v>
      </c>
      <c r="D729" s="1860">
        <f t="shared" si="57"/>
        <v>42188</v>
      </c>
      <c r="E729" s="1861">
        <v>42188</v>
      </c>
      <c r="F729" s="1862">
        <f t="shared" si="58"/>
        <v>3000</v>
      </c>
      <c r="G729" s="1862">
        <v>73000</v>
      </c>
      <c r="H729" s="1862">
        <v>70000</v>
      </c>
      <c r="I729" s="1862">
        <f>Tabla1[[#This Row],[Extraccion
Norte II]]+Tabla1[[#This Row],[Extraccion
ENO]]</f>
        <v>72075.217779629995</v>
      </c>
      <c r="J729" s="1862">
        <v>72075.217779629995</v>
      </c>
      <c r="K729" s="1862"/>
      <c r="L729" s="1862">
        <f t="shared" si="59"/>
        <v>-2075.2177796299948</v>
      </c>
      <c r="M729" s="1862">
        <f>M728+Tabla1[[#This Row],[Desbalance
TPL]]</f>
        <v>-446224.30686550267</v>
      </c>
    </row>
    <row r="730" spans="2:13" x14ac:dyDescent="0.25">
      <c r="B730" s="1859">
        <f t="shared" si="55"/>
        <v>2015</v>
      </c>
      <c r="C730" s="1859">
        <f t="shared" si="56"/>
        <v>7</v>
      </c>
      <c r="D730" s="1860">
        <f t="shared" si="57"/>
        <v>42189</v>
      </c>
      <c r="E730" s="1861">
        <v>42189</v>
      </c>
      <c r="F730" s="1862">
        <f t="shared" si="58"/>
        <v>1000</v>
      </c>
      <c r="G730" s="1862">
        <v>73000</v>
      </c>
      <c r="H730" s="1862">
        <v>72000</v>
      </c>
      <c r="I730" s="1862">
        <f>Tabla1[[#This Row],[Extraccion
Norte II]]+Tabla1[[#This Row],[Extraccion
ENO]]</f>
        <v>71822.245422330001</v>
      </c>
      <c r="J730" s="1862">
        <v>71822.245422330001</v>
      </c>
      <c r="K730" s="1862"/>
      <c r="L730" s="1862">
        <f t="shared" si="59"/>
        <v>177.75457766999898</v>
      </c>
      <c r="M730" s="1862">
        <f>M729+Tabla1[[#This Row],[Desbalance
TPL]]</f>
        <v>-446046.55228783266</v>
      </c>
    </row>
    <row r="731" spans="2:13" x14ac:dyDescent="0.25">
      <c r="B731" s="1859">
        <f t="shared" si="55"/>
        <v>2015</v>
      </c>
      <c r="C731" s="1859">
        <f t="shared" si="56"/>
        <v>7</v>
      </c>
      <c r="D731" s="1860">
        <f t="shared" si="57"/>
        <v>42190</v>
      </c>
      <c r="E731" s="1861">
        <v>42190</v>
      </c>
      <c r="F731" s="1862">
        <f t="shared" si="58"/>
        <v>1000</v>
      </c>
      <c r="G731" s="1862">
        <v>73000</v>
      </c>
      <c r="H731" s="1862">
        <v>72000</v>
      </c>
      <c r="I731" s="1862">
        <f>Tabla1[[#This Row],[Extraccion
Norte II]]+Tabla1[[#This Row],[Extraccion
ENO]]</f>
        <v>72748.287274572009</v>
      </c>
      <c r="J731" s="1862">
        <v>72748.287274572009</v>
      </c>
      <c r="K731" s="1862"/>
      <c r="L731" s="1862">
        <f t="shared" si="59"/>
        <v>-748.28727457200876</v>
      </c>
      <c r="M731" s="1862">
        <f>M730+Tabla1[[#This Row],[Desbalance
TPL]]</f>
        <v>-446794.83956240467</v>
      </c>
    </row>
    <row r="732" spans="2:13" x14ac:dyDescent="0.25">
      <c r="B732" s="1859">
        <f t="shared" ref="B732:B795" si="60">YEAR(E732)</f>
        <v>2015</v>
      </c>
      <c r="C732" s="1859">
        <f t="shared" ref="C732:C795" si="61">MONTH(E732)</f>
        <v>7</v>
      </c>
      <c r="D732" s="1860">
        <f t="shared" ref="D732:D795" si="62">E732</f>
        <v>42191</v>
      </c>
      <c r="E732" s="1861">
        <v>42191</v>
      </c>
      <c r="F732" s="1862">
        <f t="shared" si="58"/>
        <v>1000</v>
      </c>
      <c r="G732" s="1862">
        <v>73000</v>
      </c>
      <c r="H732" s="1862">
        <v>72000</v>
      </c>
      <c r="I732" s="1862">
        <f>Tabla1[[#This Row],[Extraccion
Norte II]]+Tabla1[[#This Row],[Extraccion
ENO]]</f>
        <v>69635.688472349997</v>
      </c>
      <c r="J732" s="1862">
        <v>69635.688472349997</v>
      </c>
      <c r="K732" s="1862"/>
      <c r="L732" s="1862">
        <f t="shared" si="59"/>
        <v>2364.311527650003</v>
      </c>
      <c r="M732" s="1862">
        <f>M731+Tabla1[[#This Row],[Desbalance
TPL]]</f>
        <v>-444430.52803475468</v>
      </c>
    </row>
    <row r="733" spans="2:13" x14ac:dyDescent="0.25">
      <c r="B733" s="1859">
        <f t="shared" si="60"/>
        <v>2015</v>
      </c>
      <c r="C733" s="1859">
        <f t="shared" si="61"/>
        <v>7</v>
      </c>
      <c r="D733" s="1860">
        <f t="shared" si="62"/>
        <v>42192</v>
      </c>
      <c r="E733" s="1861">
        <v>42192</v>
      </c>
      <c r="F733" s="1862">
        <f t="shared" si="58"/>
        <v>1000</v>
      </c>
      <c r="G733" s="1862">
        <v>73000</v>
      </c>
      <c r="H733" s="1862">
        <v>72000</v>
      </c>
      <c r="I733" s="1862">
        <f>Tabla1[[#This Row],[Extraccion
Norte II]]+Tabla1[[#This Row],[Extraccion
ENO]]</f>
        <v>65684.185373781002</v>
      </c>
      <c r="J733" s="1862">
        <v>65684.185373781002</v>
      </c>
      <c r="K733" s="1862"/>
      <c r="L733" s="1862">
        <f t="shared" si="59"/>
        <v>6315.8146262189985</v>
      </c>
      <c r="M733" s="1862">
        <f>M732+Tabla1[[#This Row],[Desbalance
TPL]]</f>
        <v>-438114.7134085357</v>
      </c>
    </row>
    <row r="734" spans="2:13" x14ac:dyDescent="0.25">
      <c r="B734" s="1859">
        <f t="shared" si="60"/>
        <v>2015</v>
      </c>
      <c r="C734" s="1859">
        <f t="shared" si="61"/>
        <v>7</v>
      </c>
      <c r="D734" s="1860">
        <f t="shared" si="62"/>
        <v>42193</v>
      </c>
      <c r="E734" s="1861">
        <v>42193</v>
      </c>
      <c r="F734" s="1862">
        <f t="shared" si="58"/>
        <v>2000</v>
      </c>
      <c r="G734" s="1862">
        <v>73000</v>
      </c>
      <c r="H734" s="1862">
        <v>71000</v>
      </c>
      <c r="I734" s="1862">
        <f>Tabla1[[#This Row],[Extraccion
Norte II]]+Tabla1[[#This Row],[Extraccion
ENO]]</f>
        <v>70449.398845019998</v>
      </c>
      <c r="J734" s="1862">
        <v>70449.398845019998</v>
      </c>
      <c r="K734" s="1862"/>
      <c r="L734" s="1862">
        <f t="shared" si="59"/>
        <v>550.60115498000232</v>
      </c>
      <c r="M734" s="1862">
        <f>M733+Tabla1[[#This Row],[Desbalance
TPL]]</f>
        <v>-437564.11225355568</v>
      </c>
    </row>
    <row r="735" spans="2:13" x14ac:dyDescent="0.25">
      <c r="B735" s="1859">
        <f t="shared" si="60"/>
        <v>2015</v>
      </c>
      <c r="C735" s="1859">
        <f t="shared" si="61"/>
        <v>7</v>
      </c>
      <c r="D735" s="1860">
        <f t="shared" si="62"/>
        <v>42194</v>
      </c>
      <c r="E735" s="1861">
        <v>42194</v>
      </c>
      <c r="F735" s="1862">
        <f t="shared" si="58"/>
        <v>2000</v>
      </c>
      <c r="G735" s="1862">
        <v>73000</v>
      </c>
      <c r="H735" s="1862">
        <v>71000</v>
      </c>
      <c r="I735" s="1862">
        <f>Tabla1[[#This Row],[Extraccion
Norte II]]+Tabla1[[#This Row],[Extraccion
ENO]]</f>
        <v>70071.106123980004</v>
      </c>
      <c r="J735" s="1862">
        <v>70071.106123980004</v>
      </c>
      <c r="K735" s="1862"/>
      <c r="L735" s="1862">
        <f t="shared" si="59"/>
        <v>928.89387601999624</v>
      </c>
      <c r="M735" s="1862">
        <f>M734+Tabla1[[#This Row],[Desbalance
TPL]]</f>
        <v>-436635.2183775357</v>
      </c>
    </row>
    <row r="736" spans="2:13" x14ac:dyDescent="0.25">
      <c r="B736" s="1859">
        <f t="shared" si="60"/>
        <v>2015</v>
      </c>
      <c r="C736" s="1859">
        <f t="shared" si="61"/>
        <v>7</v>
      </c>
      <c r="D736" s="1860">
        <f t="shared" si="62"/>
        <v>42195</v>
      </c>
      <c r="E736" s="1861">
        <v>42195</v>
      </c>
      <c r="F736" s="1862">
        <f t="shared" si="58"/>
        <v>2000</v>
      </c>
      <c r="G736" s="1862">
        <v>73000</v>
      </c>
      <c r="H736" s="1862">
        <v>71000</v>
      </c>
      <c r="I736" s="1862">
        <f>Tabla1[[#This Row],[Extraccion
Norte II]]+Tabla1[[#This Row],[Extraccion
ENO]]</f>
        <v>72032.243756850003</v>
      </c>
      <c r="J736" s="1862">
        <v>72032.243756850003</v>
      </c>
      <c r="K736" s="1862"/>
      <c r="L736" s="1862">
        <f t="shared" si="59"/>
        <v>-1032.2437568500027</v>
      </c>
      <c r="M736" s="1862">
        <f>M735+Tabla1[[#This Row],[Desbalance
TPL]]</f>
        <v>-437667.46213438571</v>
      </c>
    </row>
    <row r="737" spans="2:13" x14ac:dyDescent="0.25">
      <c r="B737" s="1859">
        <f t="shared" si="60"/>
        <v>2015</v>
      </c>
      <c r="C737" s="1859">
        <f t="shared" si="61"/>
        <v>7</v>
      </c>
      <c r="D737" s="1860">
        <f t="shared" si="62"/>
        <v>42196</v>
      </c>
      <c r="E737" s="1861">
        <v>42196</v>
      </c>
      <c r="F737" s="1862">
        <f t="shared" si="58"/>
        <v>0</v>
      </c>
      <c r="G737" s="1862">
        <v>72000</v>
      </c>
      <c r="H737" s="1862">
        <v>72000</v>
      </c>
      <c r="I737" s="1862">
        <f>Tabla1[[#This Row],[Extraccion
Norte II]]+Tabla1[[#This Row],[Extraccion
ENO]]</f>
        <v>72316.295033580012</v>
      </c>
      <c r="J737" s="1862">
        <v>72316.295033580012</v>
      </c>
      <c r="K737" s="1862"/>
      <c r="L737" s="1862">
        <f t="shared" si="59"/>
        <v>-316.29503358001239</v>
      </c>
      <c r="M737" s="1862">
        <f>M736+Tabla1[[#This Row],[Desbalance
TPL]]</f>
        <v>-437983.75716796576</v>
      </c>
    </row>
    <row r="738" spans="2:13" x14ac:dyDescent="0.25">
      <c r="B738" s="1859">
        <f t="shared" si="60"/>
        <v>2015</v>
      </c>
      <c r="C738" s="1859">
        <f t="shared" si="61"/>
        <v>7</v>
      </c>
      <c r="D738" s="1860">
        <f t="shared" si="62"/>
        <v>42197</v>
      </c>
      <c r="E738" s="1861">
        <v>42197</v>
      </c>
      <c r="F738" s="1862">
        <f t="shared" si="58"/>
        <v>15000</v>
      </c>
      <c r="G738" s="1862">
        <v>72000</v>
      </c>
      <c r="H738" s="1862">
        <v>57000</v>
      </c>
      <c r="I738" s="1862">
        <f>Tabla1[[#This Row],[Extraccion
Norte II]]+Tabla1[[#This Row],[Extraccion
ENO]]</f>
        <v>70227.808708590004</v>
      </c>
      <c r="J738" s="1862">
        <v>70227.808708590004</v>
      </c>
      <c r="K738" s="1862"/>
      <c r="L738" s="1862">
        <f t="shared" si="59"/>
        <v>-13227.808708590004</v>
      </c>
      <c r="M738" s="1862">
        <f>M737+Tabla1[[#This Row],[Desbalance
TPL]]</f>
        <v>-451211.56587655575</v>
      </c>
    </row>
    <row r="739" spans="2:13" x14ac:dyDescent="0.25">
      <c r="B739" s="1859">
        <f t="shared" si="60"/>
        <v>2015</v>
      </c>
      <c r="C739" s="1859">
        <f t="shared" si="61"/>
        <v>7</v>
      </c>
      <c r="D739" s="1860">
        <f t="shared" si="62"/>
        <v>42198</v>
      </c>
      <c r="E739" s="1861">
        <v>42198</v>
      </c>
      <c r="F739" s="1862">
        <f t="shared" si="58"/>
        <v>15000</v>
      </c>
      <c r="G739" s="1862">
        <v>72000</v>
      </c>
      <c r="H739" s="1862">
        <v>57000</v>
      </c>
      <c r="I739" s="1862">
        <f>Tabla1[[#This Row],[Extraccion
Norte II]]+Tabla1[[#This Row],[Extraccion
ENO]]</f>
        <v>72912.064365269995</v>
      </c>
      <c r="J739" s="1862">
        <v>72912.064365269995</v>
      </c>
      <c r="K739" s="1862"/>
      <c r="L739" s="1862">
        <f t="shared" si="59"/>
        <v>-15912.064365269995</v>
      </c>
      <c r="M739" s="1862">
        <f>M738+Tabla1[[#This Row],[Desbalance
TPL]]</f>
        <v>-467123.63024182571</v>
      </c>
    </row>
    <row r="740" spans="2:13" x14ac:dyDescent="0.25">
      <c r="B740" s="1859">
        <f t="shared" si="60"/>
        <v>2015</v>
      </c>
      <c r="C740" s="1859">
        <f t="shared" si="61"/>
        <v>7</v>
      </c>
      <c r="D740" s="1860">
        <f t="shared" si="62"/>
        <v>42199</v>
      </c>
      <c r="E740" s="1861">
        <v>42199</v>
      </c>
      <c r="F740" s="1862">
        <f t="shared" si="58"/>
        <v>15000</v>
      </c>
      <c r="G740" s="1862">
        <v>72000</v>
      </c>
      <c r="H740" s="1862">
        <v>57000</v>
      </c>
      <c r="I740" s="1862">
        <f>Tabla1[[#This Row],[Extraccion
Norte II]]+Tabla1[[#This Row],[Extraccion
ENO]]</f>
        <v>72872.331876630007</v>
      </c>
      <c r="J740" s="1862">
        <v>72872.331876630007</v>
      </c>
      <c r="K740" s="1862"/>
      <c r="L740" s="1862">
        <f t="shared" si="59"/>
        <v>-15872.331876630007</v>
      </c>
      <c r="M740" s="1862">
        <f>M739+Tabla1[[#This Row],[Desbalance
TPL]]</f>
        <v>-482995.96211845573</v>
      </c>
    </row>
    <row r="741" spans="2:13" x14ac:dyDescent="0.25">
      <c r="B741" s="1859">
        <f t="shared" si="60"/>
        <v>2015</v>
      </c>
      <c r="C741" s="1859">
        <f t="shared" si="61"/>
        <v>7</v>
      </c>
      <c r="D741" s="1860">
        <f t="shared" si="62"/>
        <v>42200</v>
      </c>
      <c r="E741" s="1861">
        <v>42200</v>
      </c>
      <c r="F741" s="1862">
        <f t="shared" si="58"/>
        <v>13000</v>
      </c>
      <c r="G741" s="1862">
        <v>73000</v>
      </c>
      <c r="H741" s="1862">
        <v>60000</v>
      </c>
      <c r="I741" s="1862">
        <f>Tabla1[[#This Row],[Extraccion
Norte II]]+Tabla1[[#This Row],[Extraccion
ENO]]</f>
        <v>72978.92337645001</v>
      </c>
      <c r="J741" s="1862">
        <v>72978.92337645001</v>
      </c>
      <c r="K741" s="1862"/>
      <c r="L741" s="1862">
        <f t="shared" si="59"/>
        <v>-12978.92337645001</v>
      </c>
      <c r="M741" s="1862">
        <f>M740+Tabla1[[#This Row],[Desbalance
TPL]]</f>
        <v>-495974.88549490576</v>
      </c>
    </row>
    <row r="742" spans="2:13" x14ac:dyDescent="0.25">
      <c r="B742" s="1859">
        <f t="shared" si="60"/>
        <v>2015</v>
      </c>
      <c r="C742" s="1859">
        <f t="shared" si="61"/>
        <v>7</v>
      </c>
      <c r="D742" s="1860">
        <f t="shared" si="62"/>
        <v>42201</v>
      </c>
      <c r="E742" s="1861">
        <v>42201</v>
      </c>
      <c r="F742" s="1862">
        <f t="shared" si="58"/>
        <v>1000</v>
      </c>
      <c r="G742" s="1862">
        <v>73000</v>
      </c>
      <c r="H742" s="1862">
        <v>72000</v>
      </c>
      <c r="I742" s="1862">
        <f>Tabla1[[#This Row],[Extraccion
Norte II]]+Tabla1[[#This Row],[Extraccion
ENO]]</f>
        <v>72503.081329769993</v>
      </c>
      <c r="J742" s="1862">
        <v>72503.081329769993</v>
      </c>
      <c r="K742" s="1862"/>
      <c r="L742" s="1862">
        <f t="shared" si="59"/>
        <v>-503.08132976999332</v>
      </c>
      <c r="M742" s="1862">
        <f>M741+Tabla1[[#This Row],[Desbalance
TPL]]</f>
        <v>-496477.96682467574</v>
      </c>
    </row>
    <row r="743" spans="2:13" x14ac:dyDescent="0.25">
      <c r="B743" s="1859">
        <f t="shared" si="60"/>
        <v>2015</v>
      </c>
      <c r="C743" s="1859">
        <f t="shared" si="61"/>
        <v>7</v>
      </c>
      <c r="D743" s="1860">
        <f t="shared" si="62"/>
        <v>42202</v>
      </c>
      <c r="E743" s="1861">
        <v>42202</v>
      </c>
      <c r="F743" s="1862">
        <f t="shared" si="58"/>
        <v>13000</v>
      </c>
      <c r="G743" s="1862">
        <v>73000</v>
      </c>
      <c r="H743" s="1862">
        <v>60000</v>
      </c>
      <c r="I743" s="1862">
        <f>Tabla1[[#This Row],[Extraccion
Norte II]]+Tabla1[[#This Row],[Extraccion
ENO]]</f>
        <v>72762.293166381001</v>
      </c>
      <c r="J743" s="1862">
        <v>72762.293166381001</v>
      </c>
      <c r="K743" s="1862"/>
      <c r="L743" s="1862">
        <f t="shared" si="59"/>
        <v>-12762.293166381001</v>
      </c>
      <c r="M743" s="1862">
        <f>M742+Tabla1[[#This Row],[Desbalance
TPL]]</f>
        <v>-509240.25999105675</v>
      </c>
    </row>
    <row r="744" spans="2:13" x14ac:dyDescent="0.25">
      <c r="B744" s="1859">
        <f t="shared" si="60"/>
        <v>2015</v>
      </c>
      <c r="C744" s="1859">
        <f t="shared" si="61"/>
        <v>7</v>
      </c>
      <c r="D744" s="1860">
        <f t="shared" si="62"/>
        <v>42203</v>
      </c>
      <c r="E744" s="1861">
        <v>42203</v>
      </c>
      <c r="F744" s="1862">
        <f t="shared" si="58"/>
        <v>-1000</v>
      </c>
      <c r="G744" s="1862">
        <v>71000</v>
      </c>
      <c r="H744" s="1862">
        <v>72000</v>
      </c>
      <c r="I744" s="1862">
        <f>Tabla1[[#This Row],[Extraccion
Norte II]]+Tabla1[[#This Row],[Extraccion
ENO]]</f>
        <v>71978.63522733</v>
      </c>
      <c r="J744" s="1862">
        <v>71978.63522733</v>
      </c>
      <c r="K744" s="1862"/>
      <c r="L744" s="1862">
        <f t="shared" si="59"/>
        <v>21.364772670000093</v>
      </c>
      <c r="M744" s="1862">
        <f>M743+Tabla1[[#This Row],[Desbalance
TPL]]</f>
        <v>-509218.89521838678</v>
      </c>
    </row>
    <row r="745" spans="2:13" x14ac:dyDescent="0.25">
      <c r="B745" s="1859">
        <f t="shared" si="60"/>
        <v>2015</v>
      </c>
      <c r="C745" s="1859">
        <f t="shared" si="61"/>
        <v>7</v>
      </c>
      <c r="D745" s="1860">
        <f t="shared" si="62"/>
        <v>42204</v>
      </c>
      <c r="E745" s="1861">
        <v>42204</v>
      </c>
      <c r="F745" s="1862">
        <f t="shared" si="58"/>
        <v>-1000</v>
      </c>
      <c r="G745" s="1862">
        <v>71000</v>
      </c>
      <c r="H745" s="1862">
        <v>72000</v>
      </c>
      <c r="I745" s="1862">
        <f>Tabla1[[#This Row],[Extraccion
Norte II]]+Tabla1[[#This Row],[Extraccion
ENO]]</f>
        <v>72450.989307450014</v>
      </c>
      <c r="J745" s="1862">
        <v>72450.989307450014</v>
      </c>
      <c r="K745" s="1862"/>
      <c r="L745" s="1862">
        <f t="shared" si="59"/>
        <v>-450.98930745001417</v>
      </c>
      <c r="M745" s="1862">
        <f>M744+Tabla1[[#This Row],[Desbalance
TPL]]</f>
        <v>-509669.88452583679</v>
      </c>
    </row>
    <row r="746" spans="2:13" x14ac:dyDescent="0.25">
      <c r="B746" s="1859">
        <f t="shared" si="60"/>
        <v>2015</v>
      </c>
      <c r="C746" s="1859">
        <f t="shared" si="61"/>
        <v>7</v>
      </c>
      <c r="D746" s="1860">
        <f t="shared" si="62"/>
        <v>42205</v>
      </c>
      <c r="E746" s="1861">
        <v>42205</v>
      </c>
      <c r="F746" s="1862">
        <f t="shared" si="58"/>
        <v>-1000</v>
      </c>
      <c r="G746" s="1862">
        <v>71000</v>
      </c>
      <c r="H746" s="1862">
        <v>72000</v>
      </c>
      <c r="I746" s="1862">
        <f>Tabla1[[#This Row],[Extraccion
Norte II]]+Tabla1[[#This Row],[Extraccion
ENO]]</f>
        <v>72724.857238331999</v>
      </c>
      <c r="J746" s="1862">
        <v>72724.857238331999</v>
      </c>
      <c r="K746" s="1862"/>
      <c r="L746" s="1862">
        <f t="shared" si="59"/>
        <v>-724.85723833199881</v>
      </c>
      <c r="M746" s="1862">
        <f>M745+Tabla1[[#This Row],[Desbalance
TPL]]</f>
        <v>-510394.74176416878</v>
      </c>
    </row>
    <row r="747" spans="2:13" x14ac:dyDescent="0.25">
      <c r="B747" s="1859">
        <f t="shared" si="60"/>
        <v>2015</v>
      </c>
      <c r="C747" s="1859">
        <f t="shared" si="61"/>
        <v>7</v>
      </c>
      <c r="D747" s="1860">
        <f t="shared" si="62"/>
        <v>42206</v>
      </c>
      <c r="E747" s="1861">
        <v>42206</v>
      </c>
      <c r="F747" s="1862">
        <f t="shared" si="58"/>
        <v>-1000</v>
      </c>
      <c r="G747" s="1862">
        <v>71000</v>
      </c>
      <c r="H747" s="1862">
        <v>72000</v>
      </c>
      <c r="I747" s="1862">
        <f>Tabla1[[#This Row],[Extraccion
Norte II]]+Tabla1[[#This Row],[Extraccion
ENO]]</f>
        <v>72258.468718410004</v>
      </c>
      <c r="J747" s="1862">
        <v>72258.468718410004</v>
      </c>
      <c r="K747" s="1862"/>
      <c r="L747" s="1862">
        <f t="shared" si="59"/>
        <v>-258.46871841000393</v>
      </c>
      <c r="M747" s="1862">
        <f>M746+Tabla1[[#This Row],[Desbalance
TPL]]</f>
        <v>-510653.21048257878</v>
      </c>
    </row>
    <row r="748" spans="2:13" x14ac:dyDescent="0.25">
      <c r="B748" s="1859">
        <f t="shared" si="60"/>
        <v>2015</v>
      </c>
      <c r="C748" s="1859">
        <f t="shared" si="61"/>
        <v>7</v>
      </c>
      <c r="D748" s="1860">
        <f t="shared" si="62"/>
        <v>42207</v>
      </c>
      <c r="E748" s="1861">
        <v>42207</v>
      </c>
      <c r="F748" s="1862">
        <f t="shared" si="58"/>
        <v>3000</v>
      </c>
      <c r="G748" s="1862">
        <v>73000</v>
      </c>
      <c r="H748" s="1862">
        <v>70000</v>
      </c>
      <c r="I748" s="1862">
        <f>Tabla1[[#This Row],[Extraccion
Norte II]]+Tabla1[[#This Row],[Extraccion
ENO]]</f>
        <v>72350.226882179995</v>
      </c>
      <c r="J748" s="1862">
        <v>72350.226882179995</v>
      </c>
      <c r="K748" s="1862"/>
      <c r="L748" s="1862">
        <f t="shared" si="59"/>
        <v>-2350.2268821799953</v>
      </c>
      <c r="M748" s="1862">
        <f>M747+Tabla1[[#This Row],[Desbalance
TPL]]</f>
        <v>-513003.43736475881</v>
      </c>
    </row>
    <row r="749" spans="2:13" x14ac:dyDescent="0.25">
      <c r="B749" s="1859">
        <f t="shared" si="60"/>
        <v>2015</v>
      </c>
      <c r="C749" s="1859">
        <f t="shared" si="61"/>
        <v>7</v>
      </c>
      <c r="D749" s="1860">
        <f t="shared" si="62"/>
        <v>42208</v>
      </c>
      <c r="E749" s="1861">
        <v>42208</v>
      </c>
      <c r="F749" s="1862">
        <f t="shared" si="58"/>
        <v>3000</v>
      </c>
      <c r="G749" s="1862">
        <v>73000</v>
      </c>
      <c r="H749" s="1862">
        <v>70000</v>
      </c>
      <c r="I749" s="1862">
        <f>Tabla1[[#This Row],[Extraccion
Norte II]]+Tabla1[[#This Row],[Extraccion
ENO]]</f>
        <v>72346.865923098012</v>
      </c>
      <c r="J749" s="1862">
        <v>72346.865923098012</v>
      </c>
      <c r="K749" s="1862"/>
      <c r="L749" s="1862">
        <f t="shared" si="59"/>
        <v>-2346.865923098012</v>
      </c>
      <c r="M749" s="1862">
        <f>M748+Tabla1[[#This Row],[Desbalance
TPL]]</f>
        <v>-515350.3032878568</v>
      </c>
    </row>
    <row r="750" spans="2:13" x14ac:dyDescent="0.25">
      <c r="B750" s="1859">
        <f t="shared" si="60"/>
        <v>2015</v>
      </c>
      <c r="C750" s="1859">
        <f t="shared" si="61"/>
        <v>7</v>
      </c>
      <c r="D750" s="1860">
        <f t="shared" si="62"/>
        <v>42209</v>
      </c>
      <c r="E750" s="1861">
        <v>42209</v>
      </c>
      <c r="F750" s="1862">
        <f t="shared" si="58"/>
        <v>2000</v>
      </c>
      <c r="G750" s="1862">
        <v>72000</v>
      </c>
      <c r="H750" s="1862">
        <v>70000</v>
      </c>
      <c r="I750" s="1862">
        <f>Tabla1[[#This Row],[Extraccion
Norte II]]+Tabla1[[#This Row],[Extraccion
ENO]]</f>
        <v>72361.496426309997</v>
      </c>
      <c r="J750" s="1862">
        <v>72361.496426309997</v>
      </c>
      <c r="K750" s="1862"/>
      <c r="L750" s="1862">
        <f t="shared" si="59"/>
        <v>-2361.4964263099973</v>
      </c>
      <c r="M750" s="1862">
        <f>M749+Tabla1[[#This Row],[Desbalance
TPL]]</f>
        <v>-517711.79971416679</v>
      </c>
    </row>
    <row r="751" spans="2:13" x14ac:dyDescent="0.25">
      <c r="B751" s="1859">
        <f t="shared" si="60"/>
        <v>2015</v>
      </c>
      <c r="C751" s="1859">
        <f t="shared" si="61"/>
        <v>7</v>
      </c>
      <c r="D751" s="1860">
        <f t="shared" si="62"/>
        <v>42210</v>
      </c>
      <c r="E751" s="1861">
        <v>42210</v>
      </c>
      <c r="F751" s="1862">
        <f t="shared" si="58"/>
        <v>-2000</v>
      </c>
      <c r="G751" s="1862">
        <v>70000</v>
      </c>
      <c r="H751" s="1862">
        <v>72000</v>
      </c>
      <c r="I751" s="1862">
        <f>Tabla1[[#This Row],[Extraccion
Norte II]]+Tabla1[[#This Row],[Extraccion
ENO]]</f>
        <v>72810.970204049998</v>
      </c>
      <c r="J751" s="1862">
        <v>72810.970204049998</v>
      </c>
      <c r="K751" s="1862"/>
      <c r="L751" s="1862">
        <f t="shared" si="59"/>
        <v>-810.97020404999785</v>
      </c>
      <c r="M751" s="1862">
        <f>M750+Tabla1[[#This Row],[Desbalance
TPL]]</f>
        <v>-518522.7699182168</v>
      </c>
    </row>
    <row r="752" spans="2:13" x14ac:dyDescent="0.25">
      <c r="B752" s="1859">
        <f t="shared" si="60"/>
        <v>2015</v>
      </c>
      <c r="C752" s="1859">
        <f t="shared" si="61"/>
        <v>7</v>
      </c>
      <c r="D752" s="1860">
        <f t="shared" si="62"/>
        <v>42211</v>
      </c>
      <c r="E752" s="1861">
        <v>42211</v>
      </c>
      <c r="F752" s="1862">
        <f t="shared" si="58"/>
        <v>-3000</v>
      </c>
      <c r="G752" s="1862">
        <v>70000</v>
      </c>
      <c r="H752" s="1862">
        <v>73000</v>
      </c>
      <c r="I752" s="1862">
        <f>Tabla1[[#This Row],[Extraccion
Norte II]]+Tabla1[[#This Row],[Extraccion
ENO]]</f>
        <v>72928.933612235996</v>
      </c>
      <c r="J752" s="1862">
        <v>72928.933612235996</v>
      </c>
      <c r="K752" s="1862"/>
      <c r="L752" s="1862">
        <f t="shared" si="59"/>
        <v>71.066387764003593</v>
      </c>
      <c r="M752" s="1862">
        <f>M751+Tabla1[[#This Row],[Desbalance
TPL]]</f>
        <v>-518451.7035304528</v>
      </c>
    </row>
    <row r="753" spans="2:13" x14ac:dyDescent="0.25">
      <c r="B753" s="1859">
        <f t="shared" si="60"/>
        <v>2015</v>
      </c>
      <c r="C753" s="1859">
        <f t="shared" si="61"/>
        <v>7</v>
      </c>
      <c r="D753" s="1860">
        <f t="shared" si="62"/>
        <v>42212</v>
      </c>
      <c r="E753" s="1861">
        <v>42212</v>
      </c>
      <c r="F753" s="1862">
        <f t="shared" si="58"/>
        <v>-3000</v>
      </c>
      <c r="G753" s="1862">
        <v>70000</v>
      </c>
      <c r="H753" s="1862">
        <v>73000</v>
      </c>
      <c r="I753" s="1862">
        <f>Tabla1[[#This Row],[Extraccion
Norte II]]+Tabla1[[#This Row],[Extraccion
ENO]]</f>
        <v>73172.12639373001</v>
      </c>
      <c r="J753" s="1862">
        <v>73172.12639373001</v>
      </c>
      <c r="K753" s="1862"/>
      <c r="L753" s="1862">
        <f t="shared" si="59"/>
        <v>-172.12639373001002</v>
      </c>
      <c r="M753" s="1862">
        <f>M752+Tabla1[[#This Row],[Desbalance
TPL]]</f>
        <v>-518623.82992418279</v>
      </c>
    </row>
    <row r="754" spans="2:13" x14ac:dyDescent="0.25">
      <c r="B754" s="1859">
        <f t="shared" si="60"/>
        <v>2015</v>
      </c>
      <c r="C754" s="1859">
        <f t="shared" si="61"/>
        <v>7</v>
      </c>
      <c r="D754" s="1860">
        <f t="shared" si="62"/>
        <v>42213</v>
      </c>
      <c r="E754" s="1861">
        <v>42213</v>
      </c>
      <c r="F754" s="1862">
        <f t="shared" si="58"/>
        <v>0</v>
      </c>
      <c r="G754" s="1862">
        <v>73000</v>
      </c>
      <c r="H754" s="1862">
        <v>73000</v>
      </c>
      <c r="I754" s="1862">
        <f>Tabla1[[#This Row],[Extraccion
Norte II]]+Tabla1[[#This Row],[Extraccion
ENO]]</f>
        <v>73260.766239570003</v>
      </c>
      <c r="J754" s="1862">
        <v>73260.766239570003</v>
      </c>
      <c r="K754" s="1862"/>
      <c r="L754" s="1862">
        <f t="shared" si="59"/>
        <v>-260.76623957000265</v>
      </c>
      <c r="M754" s="1862">
        <f>M753+Tabla1[[#This Row],[Desbalance
TPL]]</f>
        <v>-518884.59616375278</v>
      </c>
    </row>
    <row r="755" spans="2:13" x14ac:dyDescent="0.25">
      <c r="B755" s="1859">
        <f t="shared" si="60"/>
        <v>2015</v>
      </c>
      <c r="C755" s="1859">
        <f t="shared" si="61"/>
        <v>7</v>
      </c>
      <c r="D755" s="1860">
        <f t="shared" si="62"/>
        <v>42214</v>
      </c>
      <c r="E755" s="1861">
        <v>42214</v>
      </c>
      <c r="F755" s="1862">
        <f t="shared" si="58"/>
        <v>2000</v>
      </c>
      <c r="G755" s="1862">
        <v>73000</v>
      </c>
      <c r="H755" s="1862">
        <v>71000</v>
      </c>
      <c r="I755" s="1862">
        <f>Tabla1[[#This Row],[Extraccion
Norte II]]+Tabla1[[#This Row],[Extraccion
ENO]]</f>
        <v>71903.646789741004</v>
      </c>
      <c r="J755" s="1862">
        <v>71903.646789741004</v>
      </c>
      <c r="K755" s="1862"/>
      <c r="L755" s="1862">
        <f t="shared" si="59"/>
        <v>-903.64678974100389</v>
      </c>
      <c r="M755" s="1862">
        <f>M754+Tabla1[[#This Row],[Desbalance
TPL]]</f>
        <v>-519788.24295349378</v>
      </c>
    </row>
    <row r="756" spans="2:13" x14ac:dyDescent="0.25">
      <c r="B756" s="1859">
        <f t="shared" si="60"/>
        <v>2015</v>
      </c>
      <c r="C756" s="1859">
        <f t="shared" si="61"/>
        <v>7</v>
      </c>
      <c r="D756" s="1860">
        <f t="shared" si="62"/>
        <v>42215</v>
      </c>
      <c r="E756" s="1861">
        <v>42215</v>
      </c>
      <c r="F756" s="1862">
        <f t="shared" si="58"/>
        <v>0</v>
      </c>
      <c r="G756" s="1862">
        <v>71000</v>
      </c>
      <c r="H756" s="1862">
        <v>71000</v>
      </c>
      <c r="I756" s="1862">
        <f>Tabla1[[#This Row],[Extraccion
Norte II]]+Tabla1[[#This Row],[Extraccion
ENO]]</f>
        <v>71725.62495735001</v>
      </c>
      <c r="J756" s="1862">
        <v>71725.62495735001</v>
      </c>
      <c r="K756" s="1862"/>
      <c r="L756" s="1862">
        <f t="shared" si="59"/>
        <v>-725.62495735000994</v>
      </c>
      <c r="M756" s="1862">
        <f>M755+Tabla1[[#This Row],[Desbalance
TPL]]</f>
        <v>-520513.86791084381</v>
      </c>
    </row>
    <row r="757" spans="2:13" x14ac:dyDescent="0.25">
      <c r="B757" s="1859">
        <f t="shared" si="60"/>
        <v>2015</v>
      </c>
      <c r="C757" s="1859">
        <f t="shared" si="61"/>
        <v>7</v>
      </c>
      <c r="D757" s="1860">
        <f t="shared" si="62"/>
        <v>42216</v>
      </c>
      <c r="E757" s="1861">
        <v>42216</v>
      </c>
      <c r="F757" s="1862">
        <f t="shared" si="58"/>
        <v>0</v>
      </c>
      <c r="G757" s="1862">
        <v>71000</v>
      </c>
      <c r="H757" s="1862">
        <v>71000</v>
      </c>
      <c r="I757" s="1862">
        <f>Tabla1[[#This Row],[Extraccion
Norte II]]+Tabla1[[#This Row],[Extraccion
ENO]]</f>
        <v>73490.799529836004</v>
      </c>
      <c r="J757" s="1862">
        <v>73490.799529836004</v>
      </c>
      <c r="K757" s="1862"/>
      <c r="L757" s="1862">
        <f t="shared" si="59"/>
        <v>-2490.7995298360038</v>
      </c>
      <c r="M757" s="1862">
        <f>M756+Tabla1[[#This Row],[Desbalance
TPL]]</f>
        <v>-523004.6674406798</v>
      </c>
    </row>
    <row r="758" spans="2:13" x14ac:dyDescent="0.25">
      <c r="B758" s="1859">
        <f t="shared" si="60"/>
        <v>2015</v>
      </c>
      <c r="C758" s="1859">
        <f t="shared" si="61"/>
        <v>8</v>
      </c>
      <c r="D758" s="1860">
        <f t="shared" si="62"/>
        <v>42217</v>
      </c>
      <c r="E758" s="1861">
        <v>42217</v>
      </c>
      <c r="F758" s="1862">
        <f t="shared" si="58"/>
        <v>0</v>
      </c>
      <c r="G758" s="1862">
        <v>69999</v>
      </c>
      <c r="H758" s="1862">
        <v>69999</v>
      </c>
      <c r="I758" s="1862">
        <f>Tabla1[[#This Row],[Extraccion
Norte II]]+Tabla1[[#This Row],[Extraccion
ENO]]</f>
        <v>72355.609534923002</v>
      </c>
      <c r="J758" s="1862">
        <v>72355.609534923002</v>
      </c>
      <c r="K758" s="1862"/>
      <c r="L758" s="1862">
        <f t="shared" si="59"/>
        <v>-2356.6095349230018</v>
      </c>
      <c r="M758" s="1862">
        <f>M757+Tabla1[[#This Row],[Desbalance
TPL]]</f>
        <v>-525361.27697560284</v>
      </c>
    </row>
    <row r="759" spans="2:13" x14ac:dyDescent="0.25">
      <c r="B759" s="1859">
        <f t="shared" si="60"/>
        <v>2015</v>
      </c>
      <c r="C759" s="1859">
        <f t="shared" si="61"/>
        <v>8</v>
      </c>
      <c r="D759" s="1860">
        <f t="shared" si="62"/>
        <v>42218</v>
      </c>
      <c r="E759" s="1861">
        <v>42218</v>
      </c>
      <c r="F759" s="1862">
        <f t="shared" si="58"/>
        <v>0</v>
      </c>
      <c r="G759" s="1862">
        <v>70000</v>
      </c>
      <c r="H759" s="1862">
        <v>70000</v>
      </c>
      <c r="I759" s="1862">
        <f>Tabla1[[#This Row],[Extraccion
Norte II]]+Tabla1[[#This Row],[Extraccion
ENO]]</f>
        <v>72135.394680960002</v>
      </c>
      <c r="J759" s="1862">
        <v>72135.394680960002</v>
      </c>
      <c r="K759" s="1862"/>
      <c r="L759" s="1862">
        <f t="shared" si="59"/>
        <v>-2135.394680960002</v>
      </c>
      <c r="M759" s="1862">
        <f>M758+Tabla1[[#This Row],[Desbalance
TPL]]</f>
        <v>-527496.67165656283</v>
      </c>
    </row>
    <row r="760" spans="2:13" x14ac:dyDescent="0.25">
      <c r="B760" s="1859">
        <f t="shared" si="60"/>
        <v>2015</v>
      </c>
      <c r="C760" s="1859">
        <f t="shared" si="61"/>
        <v>8</v>
      </c>
      <c r="D760" s="1860">
        <f t="shared" si="62"/>
        <v>42219</v>
      </c>
      <c r="E760" s="1861">
        <v>42219</v>
      </c>
      <c r="F760" s="1862">
        <f t="shared" si="58"/>
        <v>0</v>
      </c>
      <c r="G760" s="1862">
        <v>70000</v>
      </c>
      <c r="H760" s="1862">
        <v>70000</v>
      </c>
      <c r="I760" s="1862">
        <f>Tabla1[[#This Row],[Extraccion
Norte II]]+Tabla1[[#This Row],[Extraccion
ENO]]</f>
        <v>72075.217779629995</v>
      </c>
      <c r="J760" s="1862">
        <v>72075.217779629995</v>
      </c>
      <c r="K760" s="1862"/>
      <c r="L760" s="1862">
        <f t="shared" si="59"/>
        <v>-2075.2177796299948</v>
      </c>
      <c r="M760" s="1862">
        <f>M759+Tabla1[[#This Row],[Desbalance
TPL]]</f>
        <v>-529571.88943619281</v>
      </c>
    </row>
    <row r="761" spans="2:13" x14ac:dyDescent="0.25">
      <c r="B761" s="1859">
        <f t="shared" si="60"/>
        <v>2015</v>
      </c>
      <c r="C761" s="1859">
        <f t="shared" si="61"/>
        <v>8</v>
      </c>
      <c r="D761" s="1860">
        <f t="shared" si="62"/>
        <v>42220</v>
      </c>
      <c r="E761" s="1861">
        <v>42220</v>
      </c>
      <c r="F761" s="1862">
        <f t="shared" si="58"/>
        <v>0</v>
      </c>
      <c r="G761" s="1862">
        <v>72000</v>
      </c>
      <c r="H761" s="1862">
        <v>72000</v>
      </c>
      <c r="I761" s="1862">
        <f>Tabla1[[#This Row],[Extraccion
Norte II]]+Tabla1[[#This Row],[Extraccion
ENO]]</f>
        <v>71822.245422330001</v>
      </c>
      <c r="J761" s="1862">
        <v>71822.245422330001</v>
      </c>
      <c r="K761" s="1862"/>
      <c r="L761" s="1862">
        <f t="shared" si="59"/>
        <v>177.75457766999898</v>
      </c>
      <c r="M761" s="1862">
        <f>M760+Tabla1[[#This Row],[Desbalance
TPL]]</f>
        <v>-529394.1348585228</v>
      </c>
    </row>
    <row r="762" spans="2:13" x14ac:dyDescent="0.25">
      <c r="B762" s="1859">
        <f t="shared" si="60"/>
        <v>2015</v>
      </c>
      <c r="C762" s="1859">
        <f t="shared" si="61"/>
        <v>8</v>
      </c>
      <c r="D762" s="1860">
        <f t="shared" si="62"/>
        <v>42221</v>
      </c>
      <c r="E762" s="1861">
        <v>42221</v>
      </c>
      <c r="F762" s="1862">
        <f t="shared" si="58"/>
        <v>0</v>
      </c>
      <c r="G762" s="1862">
        <v>72000</v>
      </c>
      <c r="H762" s="1862">
        <v>72000</v>
      </c>
      <c r="I762" s="1862">
        <f>Tabla1[[#This Row],[Extraccion
Norte II]]+Tabla1[[#This Row],[Extraccion
ENO]]</f>
        <v>72748.287274572009</v>
      </c>
      <c r="J762" s="1862">
        <v>72748.287274572009</v>
      </c>
      <c r="K762" s="1862"/>
      <c r="L762" s="1862">
        <f t="shared" si="59"/>
        <v>-748.28727457200876</v>
      </c>
      <c r="M762" s="1862">
        <f>M761+Tabla1[[#This Row],[Desbalance
TPL]]</f>
        <v>-530142.42213309486</v>
      </c>
    </row>
    <row r="763" spans="2:13" x14ac:dyDescent="0.25">
      <c r="B763" s="1859">
        <f t="shared" si="60"/>
        <v>2015</v>
      </c>
      <c r="C763" s="1859">
        <f t="shared" si="61"/>
        <v>8</v>
      </c>
      <c r="D763" s="1860">
        <f t="shared" si="62"/>
        <v>42222</v>
      </c>
      <c r="E763" s="1861">
        <v>42222</v>
      </c>
      <c r="F763" s="1862">
        <f t="shared" si="58"/>
        <v>0</v>
      </c>
      <c r="G763" s="1862">
        <v>72000</v>
      </c>
      <c r="H763" s="1862">
        <v>72000</v>
      </c>
      <c r="I763" s="1862">
        <f>Tabla1[[#This Row],[Extraccion
Norte II]]+Tabla1[[#This Row],[Extraccion
ENO]]</f>
        <v>69635.688472349997</v>
      </c>
      <c r="J763" s="1862">
        <v>69635.688472349997</v>
      </c>
      <c r="K763" s="1862"/>
      <c r="L763" s="1862">
        <f t="shared" si="59"/>
        <v>2364.311527650003</v>
      </c>
      <c r="M763" s="1862">
        <f>M762+Tabla1[[#This Row],[Desbalance
TPL]]</f>
        <v>-527778.11060544488</v>
      </c>
    </row>
    <row r="764" spans="2:13" x14ac:dyDescent="0.25">
      <c r="B764" s="1859">
        <f t="shared" si="60"/>
        <v>2015</v>
      </c>
      <c r="C764" s="1859">
        <f t="shared" si="61"/>
        <v>8</v>
      </c>
      <c r="D764" s="1860">
        <f t="shared" si="62"/>
        <v>42223</v>
      </c>
      <c r="E764" s="1861">
        <v>42223</v>
      </c>
      <c r="F764" s="1862">
        <f t="shared" si="58"/>
        <v>0</v>
      </c>
      <c r="G764" s="1862">
        <v>72000</v>
      </c>
      <c r="H764" s="1862">
        <v>72000</v>
      </c>
      <c r="I764" s="1862">
        <f>Tabla1[[#This Row],[Extraccion
Norte II]]+Tabla1[[#This Row],[Extraccion
ENO]]</f>
        <v>65684.185373781002</v>
      </c>
      <c r="J764" s="1862">
        <v>65684.185373781002</v>
      </c>
      <c r="K764" s="1862"/>
      <c r="L764" s="1862">
        <f t="shared" si="59"/>
        <v>6315.8146262189985</v>
      </c>
      <c r="M764" s="1862">
        <f>M763+Tabla1[[#This Row],[Desbalance
TPL]]</f>
        <v>-521462.29597922589</v>
      </c>
    </row>
    <row r="765" spans="2:13" x14ac:dyDescent="0.25">
      <c r="B765" s="1859">
        <f t="shared" si="60"/>
        <v>2015</v>
      </c>
      <c r="C765" s="1859">
        <f t="shared" si="61"/>
        <v>8</v>
      </c>
      <c r="D765" s="1860">
        <f t="shared" si="62"/>
        <v>42224</v>
      </c>
      <c r="E765" s="1861">
        <v>42224</v>
      </c>
      <c r="F765" s="1862">
        <f t="shared" si="58"/>
        <v>0</v>
      </c>
      <c r="G765" s="1862">
        <v>71000</v>
      </c>
      <c r="H765" s="1862">
        <v>71000</v>
      </c>
      <c r="I765" s="1862">
        <f>Tabla1[[#This Row],[Extraccion
Norte II]]+Tabla1[[#This Row],[Extraccion
ENO]]</f>
        <v>70449.398845019998</v>
      </c>
      <c r="J765" s="1862">
        <v>70449.398845019998</v>
      </c>
      <c r="K765" s="1862"/>
      <c r="L765" s="1862">
        <f t="shared" si="59"/>
        <v>550.60115498000232</v>
      </c>
      <c r="M765" s="1862">
        <f>M764+Tabla1[[#This Row],[Desbalance
TPL]]</f>
        <v>-520911.69482424587</v>
      </c>
    </row>
    <row r="766" spans="2:13" x14ac:dyDescent="0.25">
      <c r="B766" s="1859">
        <f t="shared" si="60"/>
        <v>2015</v>
      </c>
      <c r="C766" s="1859">
        <f t="shared" si="61"/>
        <v>8</v>
      </c>
      <c r="D766" s="1860">
        <f t="shared" si="62"/>
        <v>42225</v>
      </c>
      <c r="E766" s="1861">
        <v>42225</v>
      </c>
      <c r="F766" s="1862">
        <f t="shared" si="58"/>
        <v>0</v>
      </c>
      <c r="G766" s="1862">
        <v>71000</v>
      </c>
      <c r="H766" s="1862">
        <v>71000</v>
      </c>
      <c r="I766" s="1862">
        <f>Tabla1[[#This Row],[Extraccion
Norte II]]+Tabla1[[#This Row],[Extraccion
ENO]]</f>
        <v>70071.106123980004</v>
      </c>
      <c r="J766" s="1862">
        <v>70071.106123980004</v>
      </c>
      <c r="K766" s="1862"/>
      <c r="L766" s="1862">
        <f t="shared" si="59"/>
        <v>928.89387601999624</v>
      </c>
      <c r="M766" s="1862">
        <f>M765+Tabla1[[#This Row],[Desbalance
TPL]]</f>
        <v>-519982.80094822589</v>
      </c>
    </row>
    <row r="767" spans="2:13" x14ac:dyDescent="0.25">
      <c r="B767" s="1859">
        <f t="shared" si="60"/>
        <v>2015</v>
      </c>
      <c r="C767" s="1859">
        <f t="shared" si="61"/>
        <v>8</v>
      </c>
      <c r="D767" s="1860">
        <f t="shared" si="62"/>
        <v>42226</v>
      </c>
      <c r="E767" s="1861">
        <v>42226</v>
      </c>
      <c r="F767" s="1862">
        <f t="shared" si="58"/>
        <v>0</v>
      </c>
      <c r="G767" s="1862">
        <v>71000</v>
      </c>
      <c r="H767" s="1862">
        <v>71000</v>
      </c>
      <c r="I767" s="1862">
        <f>Tabla1[[#This Row],[Extraccion
Norte II]]+Tabla1[[#This Row],[Extraccion
ENO]]</f>
        <v>72032.243756850003</v>
      </c>
      <c r="J767" s="1862">
        <v>72032.243756850003</v>
      </c>
      <c r="K767" s="1862"/>
      <c r="L767" s="1862">
        <f t="shared" si="59"/>
        <v>-1032.2437568500027</v>
      </c>
      <c r="M767" s="1862">
        <f>M766+Tabla1[[#This Row],[Desbalance
TPL]]</f>
        <v>-521015.04470507591</v>
      </c>
    </row>
    <row r="768" spans="2:13" x14ac:dyDescent="0.25">
      <c r="B768" s="1859">
        <f t="shared" si="60"/>
        <v>2015</v>
      </c>
      <c r="C768" s="1859">
        <f t="shared" si="61"/>
        <v>8</v>
      </c>
      <c r="D768" s="1860">
        <f t="shared" si="62"/>
        <v>42227</v>
      </c>
      <c r="E768" s="1861">
        <v>42227</v>
      </c>
      <c r="F768" s="1862">
        <f t="shared" si="58"/>
        <v>0</v>
      </c>
      <c r="G768" s="1862">
        <v>72000</v>
      </c>
      <c r="H768" s="1862">
        <v>72000</v>
      </c>
      <c r="I768" s="1862">
        <f>Tabla1[[#This Row],[Extraccion
Norte II]]+Tabla1[[#This Row],[Extraccion
ENO]]</f>
        <v>72316.295033580012</v>
      </c>
      <c r="J768" s="1862">
        <v>72316.295033580012</v>
      </c>
      <c r="K768" s="1862"/>
      <c r="L768" s="1862">
        <f t="shared" si="59"/>
        <v>-316.29503358001239</v>
      </c>
      <c r="M768" s="1862">
        <f>M767+Tabla1[[#This Row],[Desbalance
TPL]]</f>
        <v>-521331.33973865595</v>
      </c>
    </row>
    <row r="769" spans="2:13" x14ac:dyDescent="0.25">
      <c r="B769" s="1859">
        <f t="shared" si="60"/>
        <v>2015</v>
      </c>
      <c r="C769" s="1859">
        <f t="shared" si="61"/>
        <v>8</v>
      </c>
      <c r="D769" s="1860">
        <f t="shared" si="62"/>
        <v>42228</v>
      </c>
      <c r="E769" s="1861">
        <v>42228</v>
      </c>
      <c r="F769" s="1862">
        <f t="shared" si="58"/>
        <v>0</v>
      </c>
      <c r="G769" s="1862">
        <v>57000</v>
      </c>
      <c r="H769" s="1862">
        <v>57000</v>
      </c>
      <c r="I769" s="1862">
        <f>Tabla1[[#This Row],[Extraccion
Norte II]]+Tabla1[[#This Row],[Extraccion
ENO]]</f>
        <v>70227.808708590004</v>
      </c>
      <c r="J769" s="1862">
        <v>70227.808708590004</v>
      </c>
      <c r="K769" s="1862"/>
      <c r="L769" s="1862">
        <f t="shared" si="59"/>
        <v>-13227.808708590004</v>
      </c>
      <c r="M769" s="1862">
        <f>M768+Tabla1[[#This Row],[Desbalance
TPL]]</f>
        <v>-534559.14844724594</v>
      </c>
    </row>
    <row r="770" spans="2:13" x14ac:dyDescent="0.25">
      <c r="B770" s="1859">
        <f t="shared" si="60"/>
        <v>2015</v>
      </c>
      <c r="C770" s="1859">
        <f t="shared" si="61"/>
        <v>8</v>
      </c>
      <c r="D770" s="1860">
        <f t="shared" si="62"/>
        <v>42229</v>
      </c>
      <c r="E770" s="1861">
        <v>42229</v>
      </c>
      <c r="F770" s="1862">
        <f t="shared" si="58"/>
        <v>0</v>
      </c>
      <c r="G770" s="1862">
        <v>57000</v>
      </c>
      <c r="H770" s="1862">
        <v>57000</v>
      </c>
      <c r="I770" s="1862">
        <f>Tabla1[[#This Row],[Extraccion
Norte II]]+Tabla1[[#This Row],[Extraccion
ENO]]</f>
        <v>72912.064365269995</v>
      </c>
      <c r="J770" s="1862">
        <v>72912.064365269995</v>
      </c>
      <c r="K770" s="1862"/>
      <c r="L770" s="1862">
        <f t="shared" si="59"/>
        <v>-15912.064365269995</v>
      </c>
      <c r="M770" s="1862">
        <f>M769+Tabla1[[#This Row],[Desbalance
TPL]]</f>
        <v>-550471.21281251591</v>
      </c>
    </row>
    <row r="771" spans="2:13" x14ac:dyDescent="0.25">
      <c r="B771" s="1859">
        <f t="shared" si="60"/>
        <v>2015</v>
      </c>
      <c r="C771" s="1859">
        <f t="shared" si="61"/>
        <v>8</v>
      </c>
      <c r="D771" s="1860">
        <f t="shared" si="62"/>
        <v>42230</v>
      </c>
      <c r="E771" s="1861">
        <v>42230</v>
      </c>
      <c r="F771" s="1862">
        <f t="shared" si="58"/>
        <v>0</v>
      </c>
      <c r="G771" s="1862">
        <v>57000</v>
      </c>
      <c r="H771" s="1862">
        <v>57000</v>
      </c>
      <c r="I771" s="1862">
        <f>Tabla1[[#This Row],[Extraccion
Norte II]]+Tabla1[[#This Row],[Extraccion
ENO]]</f>
        <v>72872.331876630007</v>
      </c>
      <c r="J771" s="1862">
        <v>72872.331876630007</v>
      </c>
      <c r="K771" s="1862"/>
      <c r="L771" s="1862">
        <f t="shared" si="59"/>
        <v>-15872.331876630007</v>
      </c>
      <c r="M771" s="1862">
        <f>M770+Tabla1[[#This Row],[Desbalance
TPL]]</f>
        <v>-566343.54468914587</v>
      </c>
    </row>
    <row r="772" spans="2:13" x14ac:dyDescent="0.25">
      <c r="B772" s="1859">
        <f t="shared" si="60"/>
        <v>2015</v>
      </c>
      <c r="C772" s="1859">
        <f t="shared" si="61"/>
        <v>8</v>
      </c>
      <c r="D772" s="1860">
        <f t="shared" si="62"/>
        <v>42231</v>
      </c>
      <c r="E772" s="1861">
        <v>42231</v>
      </c>
      <c r="F772" s="1862">
        <f t="shared" si="58"/>
        <v>0</v>
      </c>
      <c r="G772" s="1862">
        <v>60000</v>
      </c>
      <c r="H772" s="1862">
        <v>60000</v>
      </c>
      <c r="I772" s="1862">
        <f>Tabla1[[#This Row],[Extraccion
Norte II]]+Tabla1[[#This Row],[Extraccion
ENO]]</f>
        <v>72978.92337645001</v>
      </c>
      <c r="J772" s="1862">
        <v>72978.92337645001</v>
      </c>
      <c r="K772" s="1862"/>
      <c r="L772" s="1862">
        <f t="shared" si="59"/>
        <v>-12978.92337645001</v>
      </c>
      <c r="M772" s="1862">
        <f>M771+Tabla1[[#This Row],[Desbalance
TPL]]</f>
        <v>-579322.46806559584</v>
      </c>
    </row>
    <row r="773" spans="2:13" x14ac:dyDescent="0.25">
      <c r="B773" s="1859">
        <f t="shared" si="60"/>
        <v>2015</v>
      </c>
      <c r="C773" s="1859">
        <f t="shared" si="61"/>
        <v>8</v>
      </c>
      <c r="D773" s="1860">
        <f t="shared" si="62"/>
        <v>42232</v>
      </c>
      <c r="E773" s="1861">
        <v>42232</v>
      </c>
      <c r="F773" s="1862">
        <f t="shared" si="58"/>
        <v>0</v>
      </c>
      <c r="G773" s="1862">
        <v>72000</v>
      </c>
      <c r="H773" s="1862">
        <v>72000</v>
      </c>
      <c r="I773" s="1862">
        <f>Tabla1[[#This Row],[Extraccion
Norte II]]+Tabla1[[#This Row],[Extraccion
ENO]]</f>
        <v>72503.081329769993</v>
      </c>
      <c r="J773" s="1862">
        <v>72503.081329769993</v>
      </c>
      <c r="K773" s="1862"/>
      <c r="L773" s="1862">
        <f t="shared" si="59"/>
        <v>-503.08132976999332</v>
      </c>
      <c r="M773" s="1862">
        <f>M772+Tabla1[[#This Row],[Desbalance
TPL]]</f>
        <v>-579825.54939536587</v>
      </c>
    </row>
    <row r="774" spans="2:13" x14ac:dyDescent="0.25">
      <c r="B774" s="1859">
        <f t="shared" si="60"/>
        <v>2015</v>
      </c>
      <c r="C774" s="1859">
        <f t="shared" si="61"/>
        <v>8</v>
      </c>
      <c r="D774" s="1860">
        <f t="shared" si="62"/>
        <v>42233</v>
      </c>
      <c r="E774" s="1861">
        <v>42233</v>
      </c>
      <c r="F774" s="1862">
        <f t="shared" si="58"/>
        <v>0</v>
      </c>
      <c r="G774" s="1862">
        <v>60000</v>
      </c>
      <c r="H774" s="1862">
        <v>60000</v>
      </c>
      <c r="I774" s="1862">
        <f>Tabla1[[#This Row],[Extraccion
Norte II]]+Tabla1[[#This Row],[Extraccion
ENO]]</f>
        <v>72762.293166381001</v>
      </c>
      <c r="J774" s="1862">
        <v>72762.293166381001</v>
      </c>
      <c r="K774" s="1862"/>
      <c r="L774" s="1862">
        <f t="shared" si="59"/>
        <v>-12762.293166381001</v>
      </c>
      <c r="M774" s="1862">
        <f>M773+Tabla1[[#This Row],[Desbalance
TPL]]</f>
        <v>-592587.84256174683</v>
      </c>
    </row>
    <row r="775" spans="2:13" x14ac:dyDescent="0.25">
      <c r="B775" s="1859">
        <f t="shared" si="60"/>
        <v>2015</v>
      </c>
      <c r="C775" s="1859">
        <f t="shared" si="61"/>
        <v>8</v>
      </c>
      <c r="D775" s="1860">
        <f t="shared" si="62"/>
        <v>42234</v>
      </c>
      <c r="E775" s="1861">
        <v>42234</v>
      </c>
      <c r="F775" s="1862">
        <f t="shared" si="58"/>
        <v>0</v>
      </c>
      <c r="G775" s="1862">
        <v>72000</v>
      </c>
      <c r="H775" s="1862">
        <v>72000</v>
      </c>
      <c r="I775" s="1862">
        <f>Tabla1[[#This Row],[Extraccion
Norte II]]+Tabla1[[#This Row],[Extraccion
ENO]]</f>
        <v>71978.63522733</v>
      </c>
      <c r="J775" s="1862">
        <v>71978.63522733</v>
      </c>
      <c r="K775" s="1862"/>
      <c r="L775" s="1862">
        <f t="shared" si="59"/>
        <v>21.364772670000093</v>
      </c>
      <c r="M775" s="1862">
        <f>M774+Tabla1[[#This Row],[Desbalance
TPL]]</f>
        <v>-592566.47778907686</v>
      </c>
    </row>
    <row r="776" spans="2:13" x14ac:dyDescent="0.25">
      <c r="B776" s="1859">
        <f t="shared" si="60"/>
        <v>2015</v>
      </c>
      <c r="C776" s="1859">
        <f t="shared" si="61"/>
        <v>8</v>
      </c>
      <c r="D776" s="1860">
        <f t="shared" si="62"/>
        <v>42235</v>
      </c>
      <c r="E776" s="1861">
        <v>42235</v>
      </c>
      <c r="F776" s="1862">
        <f t="shared" si="58"/>
        <v>0</v>
      </c>
      <c r="G776" s="1862">
        <v>72000</v>
      </c>
      <c r="H776" s="1862">
        <v>72000</v>
      </c>
      <c r="I776" s="1862">
        <f>Tabla1[[#This Row],[Extraccion
Norte II]]+Tabla1[[#This Row],[Extraccion
ENO]]</f>
        <v>72450.989307450014</v>
      </c>
      <c r="J776" s="1862">
        <v>72450.989307450014</v>
      </c>
      <c r="K776" s="1862"/>
      <c r="L776" s="1862">
        <f t="shared" si="59"/>
        <v>-450.98930745001417</v>
      </c>
      <c r="M776" s="1862">
        <f>M775+Tabla1[[#This Row],[Desbalance
TPL]]</f>
        <v>-593017.46709652687</v>
      </c>
    </row>
    <row r="777" spans="2:13" x14ac:dyDescent="0.25">
      <c r="B777" s="1859">
        <f t="shared" si="60"/>
        <v>2015</v>
      </c>
      <c r="C777" s="1859">
        <f t="shared" si="61"/>
        <v>8</v>
      </c>
      <c r="D777" s="1860">
        <f t="shared" si="62"/>
        <v>42236</v>
      </c>
      <c r="E777" s="1861">
        <v>42236</v>
      </c>
      <c r="F777" s="1862">
        <f t="shared" si="58"/>
        <v>0</v>
      </c>
      <c r="G777" s="1862">
        <v>72000</v>
      </c>
      <c r="H777" s="1862">
        <v>72000</v>
      </c>
      <c r="I777" s="1862">
        <f>Tabla1[[#This Row],[Extraccion
Norte II]]+Tabla1[[#This Row],[Extraccion
ENO]]</f>
        <v>72724.857238331999</v>
      </c>
      <c r="J777" s="1862">
        <v>72724.857238331999</v>
      </c>
      <c r="K777" s="1862"/>
      <c r="L777" s="1862">
        <f t="shared" si="59"/>
        <v>-724.85723833199881</v>
      </c>
      <c r="M777" s="1862">
        <f>M776+Tabla1[[#This Row],[Desbalance
TPL]]</f>
        <v>-593742.32433485892</v>
      </c>
    </row>
    <row r="778" spans="2:13" x14ac:dyDescent="0.25">
      <c r="B778" s="1859">
        <f t="shared" si="60"/>
        <v>2015</v>
      </c>
      <c r="C778" s="1859">
        <f t="shared" si="61"/>
        <v>8</v>
      </c>
      <c r="D778" s="1860">
        <f t="shared" si="62"/>
        <v>42237</v>
      </c>
      <c r="E778" s="1861">
        <v>42237</v>
      </c>
      <c r="F778" s="1862">
        <f t="shared" si="58"/>
        <v>0</v>
      </c>
      <c r="G778" s="1862">
        <v>72000</v>
      </c>
      <c r="H778" s="1862">
        <v>72000</v>
      </c>
      <c r="I778" s="1862">
        <f>Tabla1[[#This Row],[Extraccion
Norte II]]+Tabla1[[#This Row],[Extraccion
ENO]]</f>
        <v>72258.468718410004</v>
      </c>
      <c r="J778" s="1862">
        <v>72258.468718410004</v>
      </c>
      <c r="K778" s="1862"/>
      <c r="L778" s="1862">
        <f t="shared" si="59"/>
        <v>-258.46871841000393</v>
      </c>
      <c r="M778" s="1862">
        <f>M777+Tabla1[[#This Row],[Desbalance
TPL]]</f>
        <v>-594000.79305326892</v>
      </c>
    </row>
    <row r="779" spans="2:13" x14ac:dyDescent="0.25">
      <c r="B779" s="1859">
        <f t="shared" si="60"/>
        <v>2015</v>
      </c>
      <c r="C779" s="1859">
        <f t="shared" si="61"/>
        <v>8</v>
      </c>
      <c r="D779" s="1860">
        <f t="shared" si="62"/>
        <v>42238</v>
      </c>
      <c r="E779" s="1861">
        <v>42238</v>
      </c>
      <c r="F779" s="1862">
        <f t="shared" si="58"/>
        <v>0</v>
      </c>
      <c r="G779" s="1862">
        <v>70000</v>
      </c>
      <c r="H779" s="1862">
        <v>70000</v>
      </c>
      <c r="I779" s="1862">
        <f>Tabla1[[#This Row],[Extraccion
Norte II]]+Tabla1[[#This Row],[Extraccion
ENO]]</f>
        <v>72350.226882179995</v>
      </c>
      <c r="J779" s="1862">
        <v>72350.226882179995</v>
      </c>
      <c r="K779" s="1862"/>
      <c r="L779" s="1862">
        <f t="shared" si="59"/>
        <v>-2350.2268821799953</v>
      </c>
      <c r="M779" s="1862">
        <f>M778+Tabla1[[#This Row],[Desbalance
TPL]]</f>
        <v>-596351.01993544889</v>
      </c>
    </row>
    <row r="780" spans="2:13" x14ac:dyDescent="0.25">
      <c r="B780" s="1859">
        <f t="shared" si="60"/>
        <v>2015</v>
      </c>
      <c r="C780" s="1859">
        <f t="shared" si="61"/>
        <v>8</v>
      </c>
      <c r="D780" s="1860">
        <f t="shared" si="62"/>
        <v>42239</v>
      </c>
      <c r="E780" s="1861">
        <v>42239</v>
      </c>
      <c r="F780" s="1862">
        <f t="shared" ref="F780:F843" si="63">G780-H780</f>
        <v>0</v>
      </c>
      <c r="G780" s="1862">
        <v>70000</v>
      </c>
      <c r="H780" s="1862">
        <v>70000</v>
      </c>
      <c r="I780" s="1862">
        <f>Tabla1[[#This Row],[Extraccion
Norte II]]+Tabla1[[#This Row],[Extraccion
ENO]]</f>
        <v>72346.865923098012</v>
      </c>
      <c r="J780" s="1862">
        <v>72346.865923098012</v>
      </c>
      <c r="K780" s="1862"/>
      <c r="L780" s="1862">
        <f t="shared" ref="L780:L843" si="64">H780-I780</f>
        <v>-2346.865923098012</v>
      </c>
      <c r="M780" s="1862">
        <f>M779+Tabla1[[#This Row],[Desbalance
TPL]]</f>
        <v>-598697.88585854694</v>
      </c>
    </row>
    <row r="781" spans="2:13" x14ac:dyDescent="0.25">
      <c r="B781" s="1859">
        <f t="shared" si="60"/>
        <v>2015</v>
      </c>
      <c r="C781" s="1859">
        <f t="shared" si="61"/>
        <v>8</v>
      </c>
      <c r="D781" s="1860">
        <f t="shared" si="62"/>
        <v>42240</v>
      </c>
      <c r="E781" s="1861">
        <v>42240</v>
      </c>
      <c r="F781" s="1862">
        <f t="shared" si="63"/>
        <v>0</v>
      </c>
      <c r="G781" s="1862">
        <v>70000</v>
      </c>
      <c r="H781" s="1862">
        <v>70000</v>
      </c>
      <c r="I781" s="1862">
        <f>Tabla1[[#This Row],[Extraccion
Norte II]]+Tabla1[[#This Row],[Extraccion
ENO]]</f>
        <v>72361.496426309997</v>
      </c>
      <c r="J781" s="1862">
        <v>72361.496426309997</v>
      </c>
      <c r="K781" s="1862"/>
      <c r="L781" s="1862">
        <f t="shared" si="64"/>
        <v>-2361.4964263099973</v>
      </c>
      <c r="M781" s="1862">
        <f>M780+Tabla1[[#This Row],[Desbalance
TPL]]</f>
        <v>-601059.38228485698</v>
      </c>
    </row>
    <row r="782" spans="2:13" x14ac:dyDescent="0.25">
      <c r="B782" s="1859">
        <f t="shared" si="60"/>
        <v>2015</v>
      </c>
      <c r="C782" s="1859">
        <f t="shared" si="61"/>
        <v>8</v>
      </c>
      <c r="D782" s="1860">
        <f t="shared" si="62"/>
        <v>42241</v>
      </c>
      <c r="E782" s="1861">
        <v>42241</v>
      </c>
      <c r="F782" s="1862">
        <f t="shared" si="63"/>
        <v>0</v>
      </c>
      <c r="G782" s="1862">
        <v>72000</v>
      </c>
      <c r="H782" s="1862">
        <v>72000</v>
      </c>
      <c r="I782" s="1862">
        <f>Tabla1[[#This Row],[Extraccion
Norte II]]+Tabla1[[#This Row],[Extraccion
ENO]]</f>
        <v>72810.970204049998</v>
      </c>
      <c r="J782" s="1862">
        <v>72810.970204049998</v>
      </c>
      <c r="K782" s="1862"/>
      <c r="L782" s="1862">
        <f t="shared" si="64"/>
        <v>-810.97020404999785</v>
      </c>
      <c r="M782" s="1862">
        <f>M781+Tabla1[[#This Row],[Desbalance
TPL]]</f>
        <v>-601870.35248890694</v>
      </c>
    </row>
    <row r="783" spans="2:13" x14ac:dyDescent="0.25">
      <c r="B783" s="1859">
        <f t="shared" si="60"/>
        <v>2015</v>
      </c>
      <c r="C783" s="1859">
        <f t="shared" si="61"/>
        <v>8</v>
      </c>
      <c r="D783" s="1860">
        <f t="shared" si="62"/>
        <v>42242</v>
      </c>
      <c r="E783" s="1861">
        <v>42242</v>
      </c>
      <c r="F783" s="1862">
        <f t="shared" si="63"/>
        <v>0</v>
      </c>
      <c r="G783" s="1862">
        <v>73000</v>
      </c>
      <c r="H783" s="1862">
        <v>73000</v>
      </c>
      <c r="I783" s="1862">
        <f>Tabla1[[#This Row],[Extraccion
Norte II]]+Tabla1[[#This Row],[Extraccion
ENO]]</f>
        <v>72928.933612235996</v>
      </c>
      <c r="J783" s="1862">
        <v>72928.933612235996</v>
      </c>
      <c r="K783" s="1862"/>
      <c r="L783" s="1862">
        <f t="shared" si="64"/>
        <v>71.066387764003593</v>
      </c>
      <c r="M783" s="1862">
        <f>M782+Tabla1[[#This Row],[Desbalance
TPL]]</f>
        <v>-601799.28610114288</v>
      </c>
    </row>
    <row r="784" spans="2:13" x14ac:dyDescent="0.25">
      <c r="B784" s="1859">
        <f t="shared" si="60"/>
        <v>2015</v>
      </c>
      <c r="C784" s="1859">
        <f t="shared" si="61"/>
        <v>8</v>
      </c>
      <c r="D784" s="1860">
        <f t="shared" si="62"/>
        <v>42243</v>
      </c>
      <c r="E784" s="1861">
        <v>42243</v>
      </c>
      <c r="F784" s="1862">
        <f t="shared" si="63"/>
        <v>0</v>
      </c>
      <c r="G784" s="1862">
        <v>73000</v>
      </c>
      <c r="H784" s="1862">
        <v>73000</v>
      </c>
      <c r="I784" s="1862">
        <f>Tabla1[[#This Row],[Extraccion
Norte II]]+Tabla1[[#This Row],[Extraccion
ENO]]</f>
        <v>73172.12639373001</v>
      </c>
      <c r="J784" s="1862">
        <v>73172.12639373001</v>
      </c>
      <c r="K784" s="1862"/>
      <c r="L784" s="1862">
        <f t="shared" si="64"/>
        <v>-172.12639373001002</v>
      </c>
      <c r="M784" s="1862">
        <f>M783+Tabla1[[#This Row],[Desbalance
TPL]]</f>
        <v>-601971.41249487293</v>
      </c>
    </row>
    <row r="785" spans="2:13" x14ac:dyDescent="0.25">
      <c r="B785" s="1859">
        <f t="shared" si="60"/>
        <v>2015</v>
      </c>
      <c r="C785" s="1859">
        <f t="shared" si="61"/>
        <v>8</v>
      </c>
      <c r="D785" s="1860">
        <f t="shared" si="62"/>
        <v>42244</v>
      </c>
      <c r="E785" s="1861">
        <v>42244</v>
      </c>
      <c r="F785" s="1862">
        <f t="shared" si="63"/>
        <v>0</v>
      </c>
      <c r="G785" s="1862">
        <v>73000</v>
      </c>
      <c r="H785" s="1862">
        <v>73000</v>
      </c>
      <c r="I785" s="1862">
        <f>Tabla1[[#This Row],[Extraccion
Norte II]]+Tabla1[[#This Row],[Extraccion
ENO]]</f>
        <v>73260.766239570003</v>
      </c>
      <c r="J785" s="1862">
        <v>73260.766239570003</v>
      </c>
      <c r="K785" s="1862"/>
      <c r="L785" s="1862">
        <f t="shared" si="64"/>
        <v>-260.76623957000265</v>
      </c>
      <c r="M785" s="1862">
        <f>M784+Tabla1[[#This Row],[Desbalance
TPL]]</f>
        <v>-602232.17873444292</v>
      </c>
    </row>
    <row r="786" spans="2:13" x14ac:dyDescent="0.25">
      <c r="B786" s="1859">
        <f t="shared" si="60"/>
        <v>2015</v>
      </c>
      <c r="C786" s="1859">
        <f t="shared" si="61"/>
        <v>8</v>
      </c>
      <c r="D786" s="1860">
        <f t="shared" si="62"/>
        <v>42245</v>
      </c>
      <c r="E786" s="1861">
        <v>42245</v>
      </c>
      <c r="F786" s="1862">
        <f t="shared" si="63"/>
        <v>0</v>
      </c>
      <c r="G786" s="1862">
        <v>71000</v>
      </c>
      <c r="H786" s="1862">
        <v>71000</v>
      </c>
      <c r="I786" s="1862">
        <f>Tabla1[[#This Row],[Extraccion
Norte II]]+Tabla1[[#This Row],[Extraccion
ENO]]</f>
        <v>71903.646789741004</v>
      </c>
      <c r="J786" s="1862">
        <v>71903.646789741004</v>
      </c>
      <c r="K786" s="1862"/>
      <c r="L786" s="1862">
        <f t="shared" si="64"/>
        <v>-903.64678974100389</v>
      </c>
      <c r="M786" s="1862">
        <f>M785+Tabla1[[#This Row],[Desbalance
TPL]]</f>
        <v>-603135.82552418392</v>
      </c>
    </row>
    <row r="787" spans="2:13" x14ac:dyDescent="0.25">
      <c r="B787" s="1859">
        <f t="shared" si="60"/>
        <v>2015</v>
      </c>
      <c r="C787" s="1859">
        <f t="shared" si="61"/>
        <v>8</v>
      </c>
      <c r="D787" s="1860">
        <f t="shared" si="62"/>
        <v>42246</v>
      </c>
      <c r="E787" s="1861">
        <v>42246</v>
      </c>
      <c r="F787" s="1862">
        <f t="shared" si="63"/>
        <v>0</v>
      </c>
      <c r="G787" s="1862">
        <v>71000</v>
      </c>
      <c r="H787" s="1862">
        <v>71000</v>
      </c>
      <c r="I787" s="1862">
        <f>Tabla1[[#This Row],[Extraccion
Norte II]]+Tabla1[[#This Row],[Extraccion
ENO]]</f>
        <v>71725.62495735001</v>
      </c>
      <c r="J787" s="1862">
        <v>71725.62495735001</v>
      </c>
      <c r="K787" s="1862"/>
      <c r="L787" s="1862">
        <f t="shared" si="64"/>
        <v>-725.62495735000994</v>
      </c>
      <c r="M787" s="1862">
        <f>M786+Tabla1[[#This Row],[Desbalance
TPL]]</f>
        <v>-603861.45048153389</v>
      </c>
    </row>
    <row r="788" spans="2:13" x14ac:dyDescent="0.25">
      <c r="B788" s="1859">
        <f t="shared" si="60"/>
        <v>2015</v>
      </c>
      <c r="C788" s="1859">
        <f t="shared" si="61"/>
        <v>8</v>
      </c>
      <c r="D788" s="1860">
        <f t="shared" si="62"/>
        <v>42247</v>
      </c>
      <c r="E788" s="1861">
        <v>42247</v>
      </c>
      <c r="F788" s="1862">
        <f t="shared" si="63"/>
        <v>0</v>
      </c>
      <c r="G788" s="1862">
        <v>71000</v>
      </c>
      <c r="H788" s="1862">
        <v>71000</v>
      </c>
      <c r="I788" s="1862">
        <f>Tabla1[[#This Row],[Extraccion
Norte II]]+Tabla1[[#This Row],[Extraccion
ENO]]</f>
        <v>73490.799529836004</v>
      </c>
      <c r="J788" s="1862">
        <v>73490.799529836004</v>
      </c>
      <c r="K788" s="1862"/>
      <c r="L788" s="1862">
        <f t="shared" si="64"/>
        <v>-2490.7995298360038</v>
      </c>
      <c r="M788" s="1862">
        <f>M787+Tabla1[[#This Row],[Desbalance
TPL]]</f>
        <v>-606352.25001136994</v>
      </c>
    </row>
    <row r="789" spans="2:13" x14ac:dyDescent="0.25">
      <c r="B789" s="1859">
        <f t="shared" si="60"/>
        <v>2015</v>
      </c>
      <c r="C789" s="1859">
        <f t="shared" si="61"/>
        <v>9</v>
      </c>
      <c r="D789" s="1860">
        <f t="shared" si="62"/>
        <v>42248</v>
      </c>
      <c r="E789" s="1861">
        <v>42248</v>
      </c>
      <c r="F789" s="1862">
        <f t="shared" si="63"/>
        <v>0</v>
      </c>
      <c r="G789" s="1862">
        <v>73000</v>
      </c>
      <c r="H789" s="1862">
        <v>73000</v>
      </c>
      <c r="I789" s="1862">
        <f>Tabla1[[#This Row],[Extraccion
Norte II]]+Tabla1[[#This Row],[Extraccion
ENO]]</f>
        <v>73526.012827019993</v>
      </c>
      <c r="J789" s="1862">
        <v>73526.012827019993</v>
      </c>
      <c r="K789" s="1862"/>
      <c r="L789" s="1862">
        <f t="shared" si="64"/>
        <v>-526.01282701999298</v>
      </c>
      <c r="M789" s="1862">
        <f>M788+Tabla1[[#This Row],[Desbalance
TPL]]</f>
        <v>-606878.26283838996</v>
      </c>
    </row>
    <row r="790" spans="2:13" x14ac:dyDescent="0.25">
      <c r="B790" s="1859">
        <f t="shared" si="60"/>
        <v>2015</v>
      </c>
      <c r="C790" s="1859">
        <f t="shared" si="61"/>
        <v>9</v>
      </c>
      <c r="D790" s="1860">
        <f t="shared" si="62"/>
        <v>42249</v>
      </c>
      <c r="E790" s="1861">
        <v>42249</v>
      </c>
      <c r="F790" s="1862">
        <f t="shared" si="63"/>
        <v>0</v>
      </c>
      <c r="G790" s="1862">
        <v>73000</v>
      </c>
      <c r="H790" s="1862">
        <v>73000</v>
      </c>
      <c r="I790" s="1862">
        <f>Tabla1[[#This Row],[Extraccion
Norte II]]+Tabla1[[#This Row],[Extraccion
ENO]]</f>
        <v>73698.976160082006</v>
      </c>
      <c r="J790" s="1862">
        <v>73698.976160082006</v>
      </c>
      <c r="K790" s="1862"/>
      <c r="L790" s="1862">
        <f t="shared" si="64"/>
        <v>-698.97616008200566</v>
      </c>
      <c r="M790" s="1862">
        <f>M789+Tabla1[[#This Row],[Desbalance
TPL]]</f>
        <v>-607577.23899847199</v>
      </c>
    </row>
    <row r="791" spans="2:13" x14ac:dyDescent="0.25">
      <c r="B791" s="1859">
        <f t="shared" si="60"/>
        <v>2015</v>
      </c>
      <c r="C791" s="1859">
        <f t="shared" si="61"/>
        <v>9</v>
      </c>
      <c r="D791" s="1860">
        <f t="shared" si="62"/>
        <v>42250</v>
      </c>
      <c r="E791" s="1861">
        <v>42250</v>
      </c>
      <c r="F791" s="1862">
        <f t="shared" si="63"/>
        <v>0</v>
      </c>
      <c r="G791" s="1862">
        <v>73000</v>
      </c>
      <c r="H791" s="1862">
        <v>73000</v>
      </c>
      <c r="I791" s="1862">
        <f>Tabla1[[#This Row],[Extraccion
Norte II]]+Tabla1[[#This Row],[Extraccion
ENO]]</f>
        <v>73294.807087124995</v>
      </c>
      <c r="J791" s="1862">
        <v>73294.807087124995</v>
      </c>
      <c r="K791" s="1862"/>
      <c r="L791" s="1862">
        <f t="shared" si="64"/>
        <v>-294.80708712499472</v>
      </c>
      <c r="M791" s="1862">
        <f>M790+Tabla1[[#This Row],[Desbalance
TPL]]</f>
        <v>-607872.04608559702</v>
      </c>
    </row>
    <row r="792" spans="2:13" x14ac:dyDescent="0.25">
      <c r="B792" s="1859">
        <f t="shared" si="60"/>
        <v>2015</v>
      </c>
      <c r="C792" s="1859">
        <f t="shared" si="61"/>
        <v>9</v>
      </c>
      <c r="D792" s="1860">
        <f t="shared" si="62"/>
        <v>42251</v>
      </c>
      <c r="E792" s="1861">
        <v>42251</v>
      </c>
      <c r="F792" s="1862">
        <f t="shared" si="63"/>
        <v>0</v>
      </c>
      <c r="G792" s="1862">
        <v>73000</v>
      </c>
      <c r="H792" s="1862">
        <v>73000</v>
      </c>
      <c r="I792" s="1862">
        <f>Tabla1[[#This Row],[Extraccion
Norte II]]+Tabla1[[#This Row],[Extraccion
ENO]]</f>
        <v>73052.473975650006</v>
      </c>
      <c r="J792" s="1862">
        <v>73052.473975650006</v>
      </c>
      <c r="K792" s="1862"/>
      <c r="L792" s="1862">
        <f t="shared" si="64"/>
        <v>-52.473975650005741</v>
      </c>
      <c r="M792" s="1862">
        <f>M791+Tabla1[[#This Row],[Desbalance
TPL]]</f>
        <v>-607924.52006124705</v>
      </c>
    </row>
    <row r="793" spans="2:13" x14ac:dyDescent="0.25">
      <c r="B793" s="1859">
        <f t="shared" si="60"/>
        <v>2015</v>
      </c>
      <c r="C793" s="1859">
        <f t="shared" si="61"/>
        <v>9</v>
      </c>
      <c r="D793" s="1860">
        <f t="shared" si="62"/>
        <v>42252</v>
      </c>
      <c r="E793" s="1861">
        <v>42252</v>
      </c>
      <c r="F793" s="1862">
        <f t="shared" si="63"/>
        <v>0</v>
      </c>
      <c r="G793" s="1862">
        <v>72000</v>
      </c>
      <c r="H793" s="1862">
        <v>72000</v>
      </c>
      <c r="I793" s="1862">
        <f>Tabla1[[#This Row],[Extraccion
Norte II]]+Tabla1[[#This Row],[Extraccion
ENO]]</f>
        <v>73037.773333980003</v>
      </c>
      <c r="J793" s="1862">
        <v>73037.773333980003</v>
      </c>
      <c r="K793" s="1862"/>
      <c r="L793" s="1862">
        <f t="shared" si="64"/>
        <v>-1037.7733339800034</v>
      </c>
      <c r="M793" s="1862">
        <f>M792+Tabla1[[#This Row],[Desbalance
TPL]]</f>
        <v>-608962.29339522705</v>
      </c>
    </row>
    <row r="794" spans="2:13" x14ac:dyDescent="0.25">
      <c r="B794" s="1859">
        <f t="shared" si="60"/>
        <v>2015</v>
      </c>
      <c r="C794" s="1859">
        <f t="shared" si="61"/>
        <v>9</v>
      </c>
      <c r="D794" s="1860">
        <f t="shared" si="62"/>
        <v>42253</v>
      </c>
      <c r="E794" s="1861">
        <v>42253</v>
      </c>
      <c r="F794" s="1862">
        <f t="shared" si="63"/>
        <v>0</v>
      </c>
      <c r="G794" s="1862">
        <v>72000</v>
      </c>
      <c r="H794" s="1862">
        <v>72000</v>
      </c>
      <c r="I794" s="1862">
        <f>Tabla1[[#This Row],[Extraccion
Norte II]]+Tabla1[[#This Row],[Extraccion
ENO]]</f>
        <v>72518.123185559991</v>
      </c>
      <c r="J794" s="1862">
        <v>72518.123185559991</v>
      </c>
      <c r="K794" s="1862"/>
      <c r="L794" s="1862">
        <f t="shared" si="64"/>
        <v>-518.12318555999082</v>
      </c>
      <c r="M794" s="1862">
        <f>M793+Tabla1[[#This Row],[Desbalance
TPL]]</f>
        <v>-609480.41658078704</v>
      </c>
    </row>
    <row r="795" spans="2:13" x14ac:dyDescent="0.25">
      <c r="B795" s="1859">
        <f t="shared" si="60"/>
        <v>2015</v>
      </c>
      <c r="C795" s="1859">
        <f t="shared" si="61"/>
        <v>9</v>
      </c>
      <c r="D795" s="1860">
        <f t="shared" si="62"/>
        <v>42254</v>
      </c>
      <c r="E795" s="1861">
        <v>42254</v>
      </c>
      <c r="F795" s="1862">
        <f t="shared" si="63"/>
        <v>0</v>
      </c>
      <c r="G795" s="1862">
        <v>72000</v>
      </c>
      <c r="H795" s="1862">
        <v>72000</v>
      </c>
      <c r="I795" s="1862">
        <f>Tabla1[[#This Row],[Extraccion
Norte II]]+Tabla1[[#This Row],[Extraccion
ENO]]</f>
        <v>72639.007765739996</v>
      </c>
      <c r="J795" s="1862">
        <v>72639.007765739996</v>
      </c>
      <c r="K795" s="1862"/>
      <c r="L795" s="1862">
        <f t="shared" si="64"/>
        <v>-639.0077657399961</v>
      </c>
      <c r="M795" s="1862">
        <f>M794+Tabla1[[#This Row],[Desbalance
TPL]]</f>
        <v>-610119.42434652708</v>
      </c>
    </row>
    <row r="796" spans="2:13" x14ac:dyDescent="0.25">
      <c r="B796" s="1859">
        <f t="shared" ref="B796:B859" si="65">YEAR(E796)</f>
        <v>2015</v>
      </c>
      <c r="C796" s="1859">
        <f t="shared" ref="C796:C859" si="66">MONTH(E796)</f>
        <v>9</v>
      </c>
      <c r="D796" s="1860">
        <f t="shared" ref="D796:D859" si="67">E796</f>
        <v>42255</v>
      </c>
      <c r="E796" s="1861">
        <v>42255</v>
      </c>
      <c r="F796" s="1862">
        <f t="shared" si="63"/>
        <v>0</v>
      </c>
      <c r="G796" s="1862">
        <v>72000</v>
      </c>
      <c r="H796" s="1862">
        <v>72000</v>
      </c>
      <c r="I796" s="1862">
        <f>Tabla1[[#This Row],[Extraccion
Norte II]]+Tabla1[[#This Row],[Extraccion
ENO]]</f>
        <v>72321.659677799995</v>
      </c>
      <c r="J796" s="1862">
        <v>72321.659677799995</v>
      </c>
      <c r="K796" s="1862"/>
      <c r="L796" s="1862">
        <f t="shared" si="64"/>
        <v>-321.65967779999482</v>
      </c>
      <c r="M796" s="1862">
        <f>M795+Tabla1[[#This Row],[Desbalance
TPL]]</f>
        <v>-610441.08402432711</v>
      </c>
    </row>
    <row r="797" spans="2:13" x14ac:dyDescent="0.25">
      <c r="B797" s="1859">
        <f t="shared" si="65"/>
        <v>2015</v>
      </c>
      <c r="C797" s="1859">
        <f t="shared" si="66"/>
        <v>9</v>
      </c>
      <c r="D797" s="1860">
        <f t="shared" si="67"/>
        <v>42256</v>
      </c>
      <c r="E797" s="1861">
        <v>42256</v>
      </c>
      <c r="F797" s="1862">
        <f t="shared" si="63"/>
        <v>0</v>
      </c>
      <c r="G797" s="1862">
        <v>73000</v>
      </c>
      <c r="H797" s="1862">
        <v>73000</v>
      </c>
      <c r="I797" s="1862">
        <f>Tabla1[[#This Row],[Extraccion
Norte II]]+Tabla1[[#This Row],[Extraccion
ENO]]</f>
        <v>71690.375643120002</v>
      </c>
      <c r="J797" s="1862">
        <v>71690.375643120002</v>
      </c>
      <c r="K797" s="1862"/>
      <c r="L797" s="1862">
        <f t="shared" si="64"/>
        <v>1309.6243568799982</v>
      </c>
      <c r="M797" s="1862">
        <f>M796+Tabla1[[#This Row],[Desbalance
TPL]]</f>
        <v>-609131.45966744714</v>
      </c>
    </row>
    <row r="798" spans="2:13" x14ac:dyDescent="0.25">
      <c r="B798" s="1859">
        <f t="shared" si="65"/>
        <v>2015</v>
      </c>
      <c r="C798" s="1859">
        <f t="shared" si="66"/>
        <v>9</v>
      </c>
      <c r="D798" s="1860">
        <f t="shared" si="67"/>
        <v>42257</v>
      </c>
      <c r="E798" s="1861">
        <v>42257</v>
      </c>
      <c r="F798" s="1862">
        <f t="shared" si="63"/>
        <v>0</v>
      </c>
      <c r="G798" s="1862">
        <v>73000</v>
      </c>
      <c r="H798" s="1862">
        <v>73000</v>
      </c>
      <c r="I798" s="1862">
        <f>Tabla1[[#This Row],[Extraccion
Norte II]]+Tabla1[[#This Row],[Extraccion
ENO]]</f>
        <v>71347.445974350005</v>
      </c>
      <c r="J798" s="1862">
        <v>71347.445974350005</v>
      </c>
      <c r="K798" s="1862"/>
      <c r="L798" s="1862">
        <f t="shared" si="64"/>
        <v>1652.5540256499953</v>
      </c>
      <c r="M798" s="1862">
        <f>M797+Tabla1[[#This Row],[Desbalance
TPL]]</f>
        <v>-607478.90564179712</v>
      </c>
    </row>
    <row r="799" spans="2:13" x14ac:dyDescent="0.25">
      <c r="B799" s="1859">
        <f t="shared" si="65"/>
        <v>2015</v>
      </c>
      <c r="C799" s="1859">
        <f t="shared" si="66"/>
        <v>9</v>
      </c>
      <c r="D799" s="1860">
        <f t="shared" si="67"/>
        <v>42258</v>
      </c>
      <c r="E799" s="1861">
        <v>42258</v>
      </c>
      <c r="F799" s="1862">
        <f t="shared" si="63"/>
        <v>0</v>
      </c>
      <c r="G799" s="1862">
        <v>72999</v>
      </c>
      <c r="H799" s="1862">
        <v>72999</v>
      </c>
      <c r="I799" s="1862">
        <f>Tabla1[[#This Row],[Extraccion
Norte II]]+Tabla1[[#This Row],[Extraccion
ENO]]</f>
        <v>72073.928748510007</v>
      </c>
      <c r="J799" s="1862">
        <v>72073.928748510007</v>
      </c>
      <c r="K799" s="1862"/>
      <c r="L799" s="1862">
        <f t="shared" si="64"/>
        <v>925.0712514899933</v>
      </c>
      <c r="M799" s="1862">
        <f>M798+Tabla1[[#This Row],[Desbalance
TPL]]</f>
        <v>-606553.83439030708</v>
      </c>
    </row>
    <row r="800" spans="2:13" x14ac:dyDescent="0.25">
      <c r="B800" s="1859">
        <f t="shared" si="65"/>
        <v>2015</v>
      </c>
      <c r="C800" s="1859">
        <f t="shared" si="66"/>
        <v>9</v>
      </c>
      <c r="D800" s="1860">
        <f t="shared" si="67"/>
        <v>42259</v>
      </c>
      <c r="E800" s="1861">
        <v>42259</v>
      </c>
      <c r="F800" s="1862">
        <f t="shared" si="63"/>
        <v>0</v>
      </c>
      <c r="G800" s="1862">
        <v>73000</v>
      </c>
      <c r="H800" s="1862">
        <v>73000</v>
      </c>
      <c r="I800" s="1862">
        <f>Tabla1[[#This Row],[Extraccion
Norte II]]+Tabla1[[#This Row],[Extraccion
ENO]]</f>
        <v>69634.07054873099</v>
      </c>
      <c r="J800" s="1862">
        <v>69634.07054873099</v>
      </c>
      <c r="K800" s="1862"/>
      <c r="L800" s="1862">
        <f t="shared" si="64"/>
        <v>3365.9294512690103</v>
      </c>
      <c r="M800" s="1862">
        <f>M799+Tabla1[[#This Row],[Desbalance
TPL]]</f>
        <v>-603187.9049390381</v>
      </c>
    </row>
    <row r="801" spans="2:13" x14ac:dyDescent="0.25">
      <c r="B801" s="1859">
        <f t="shared" si="65"/>
        <v>2015</v>
      </c>
      <c r="C801" s="1859">
        <f t="shared" si="66"/>
        <v>9</v>
      </c>
      <c r="D801" s="1860">
        <f t="shared" si="67"/>
        <v>42260</v>
      </c>
      <c r="E801" s="1861">
        <v>42260</v>
      </c>
      <c r="F801" s="1862">
        <f t="shared" si="63"/>
        <v>0</v>
      </c>
      <c r="G801" s="1862">
        <v>73000</v>
      </c>
      <c r="H801" s="1862">
        <v>73000</v>
      </c>
      <c r="I801" s="1862">
        <f>Tabla1[[#This Row],[Extraccion
Norte II]]+Tabla1[[#This Row],[Extraccion
ENO]]</f>
        <v>67234.128714090009</v>
      </c>
      <c r="J801" s="1862">
        <v>67234.128714090009</v>
      </c>
      <c r="K801" s="1862"/>
      <c r="L801" s="1862">
        <f t="shared" si="64"/>
        <v>5765.8712859099905</v>
      </c>
      <c r="M801" s="1862">
        <f>M800+Tabla1[[#This Row],[Desbalance
TPL]]</f>
        <v>-597422.03365312808</v>
      </c>
    </row>
    <row r="802" spans="2:13" x14ac:dyDescent="0.25">
      <c r="B802" s="1859">
        <f t="shared" si="65"/>
        <v>2015</v>
      </c>
      <c r="C802" s="1859">
        <f t="shared" si="66"/>
        <v>9</v>
      </c>
      <c r="D802" s="1860">
        <f t="shared" si="67"/>
        <v>42261</v>
      </c>
      <c r="E802" s="1861">
        <v>42261</v>
      </c>
      <c r="F802" s="1862">
        <f t="shared" si="63"/>
        <v>0</v>
      </c>
      <c r="G802" s="1862">
        <v>73000</v>
      </c>
      <c r="H802" s="1862">
        <v>73000</v>
      </c>
      <c r="I802" s="1862">
        <f>Tabla1[[#This Row],[Extraccion
Norte II]]+Tabla1[[#This Row],[Extraccion
ENO]]</f>
        <v>72407.674070549998</v>
      </c>
      <c r="J802" s="1862">
        <v>72407.674070549998</v>
      </c>
      <c r="K802" s="1862"/>
      <c r="L802" s="1862">
        <f t="shared" si="64"/>
        <v>592.32592945000215</v>
      </c>
      <c r="M802" s="1862">
        <f>M801+Tabla1[[#This Row],[Desbalance
TPL]]</f>
        <v>-596829.70772367809</v>
      </c>
    </row>
    <row r="803" spans="2:13" x14ac:dyDescent="0.25">
      <c r="B803" s="1859">
        <f t="shared" si="65"/>
        <v>2015</v>
      </c>
      <c r="C803" s="1859">
        <f t="shared" si="66"/>
        <v>9</v>
      </c>
      <c r="D803" s="1860">
        <f t="shared" si="67"/>
        <v>42262</v>
      </c>
      <c r="E803" s="1861">
        <v>42262</v>
      </c>
      <c r="F803" s="1862">
        <f t="shared" si="63"/>
        <v>0</v>
      </c>
      <c r="G803" s="1862">
        <v>74000</v>
      </c>
      <c r="H803" s="1862">
        <v>74000</v>
      </c>
      <c r="I803" s="1862">
        <f>Tabla1[[#This Row],[Extraccion
Norte II]]+Tabla1[[#This Row],[Extraccion
ENO]]</f>
        <v>72383.290530408005</v>
      </c>
      <c r="J803" s="1862">
        <v>72383.290530408005</v>
      </c>
      <c r="K803" s="1862"/>
      <c r="L803" s="1862">
        <f t="shared" si="64"/>
        <v>1616.709469591995</v>
      </c>
      <c r="M803" s="1862">
        <f>M802+Tabla1[[#This Row],[Desbalance
TPL]]</f>
        <v>-595212.99825408612</v>
      </c>
    </row>
    <row r="804" spans="2:13" x14ac:dyDescent="0.25">
      <c r="B804" s="1859">
        <f t="shared" si="65"/>
        <v>2015</v>
      </c>
      <c r="C804" s="1859">
        <f t="shared" si="66"/>
        <v>9</v>
      </c>
      <c r="D804" s="1860">
        <f t="shared" si="67"/>
        <v>42263</v>
      </c>
      <c r="E804" s="1861">
        <v>42263</v>
      </c>
      <c r="F804" s="1862">
        <f t="shared" si="63"/>
        <v>0</v>
      </c>
      <c r="G804" s="1862">
        <v>73000</v>
      </c>
      <c r="H804" s="1862">
        <v>73000</v>
      </c>
      <c r="I804" s="1862">
        <f>Tabla1[[#This Row],[Extraccion
Norte II]]+Tabla1[[#This Row],[Extraccion
ENO]]</f>
        <v>71804.037857760006</v>
      </c>
      <c r="J804" s="1862">
        <v>71804.037857760006</v>
      </c>
      <c r="K804" s="1862"/>
      <c r="L804" s="1862">
        <f t="shared" si="64"/>
        <v>1195.9621422399941</v>
      </c>
      <c r="M804" s="1862">
        <f>M803+Tabla1[[#This Row],[Desbalance
TPL]]</f>
        <v>-594017.0361118461</v>
      </c>
    </row>
    <row r="805" spans="2:13" x14ac:dyDescent="0.25">
      <c r="B805" s="1859">
        <f t="shared" si="65"/>
        <v>2015</v>
      </c>
      <c r="C805" s="1859">
        <f t="shared" si="66"/>
        <v>9</v>
      </c>
      <c r="D805" s="1860">
        <f t="shared" si="67"/>
        <v>42264</v>
      </c>
      <c r="E805" s="1861">
        <v>42264</v>
      </c>
      <c r="F805" s="1862">
        <f t="shared" si="63"/>
        <v>0</v>
      </c>
      <c r="G805" s="1862">
        <v>73000</v>
      </c>
      <c r="H805" s="1862">
        <v>73000</v>
      </c>
      <c r="I805" s="1862">
        <f>Tabla1[[#This Row],[Extraccion
Norte II]]+Tabla1[[#This Row],[Extraccion
ENO]]</f>
        <v>70012.79831777401</v>
      </c>
      <c r="J805" s="1862">
        <v>70012.79831777401</v>
      </c>
      <c r="K805" s="1862"/>
      <c r="L805" s="1862">
        <f t="shared" si="64"/>
        <v>2987.2016822259902</v>
      </c>
      <c r="M805" s="1862">
        <f>M804+Tabla1[[#This Row],[Desbalance
TPL]]</f>
        <v>-591029.83442962007</v>
      </c>
    </row>
    <row r="806" spans="2:13" x14ac:dyDescent="0.25">
      <c r="B806" s="1859">
        <f t="shared" si="65"/>
        <v>2015</v>
      </c>
      <c r="C806" s="1859">
        <f t="shared" si="66"/>
        <v>9</v>
      </c>
      <c r="D806" s="1860">
        <f t="shared" si="67"/>
        <v>42265</v>
      </c>
      <c r="E806" s="1861">
        <v>42265</v>
      </c>
      <c r="F806" s="1862">
        <f t="shared" si="63"/>
        <v>0</v>
      </c>
      <c r="G806" s="1862">
        <v>58000</v>
      </c>
      <c r="H806" s="1862">
        <v>58000</v>
      </c>
      <c r="I806" s="1862">
        <f>Tabla1[[#This Row],[Extraccion
Norte II]]+Tabla1[[#This Row],[Extraccion
ENO]]</f>
        <v>70017.080554979999</v>
      </c>
      <c r="J806" s="1862">
        <v>70017.080554979999</v>
      </c>
      <c r="K806" s="1862"/>
      <c r="L806" s="1862">
        <f t="shared" si="64"/>
        <v>-12017.080554979999</v>
      </c>
      <c r="M806" s="1862">
        <f>M805+Tabla1[[#This Row],[Desbalance
TPL]]</f>
        <v>-603046.91498460004</v>
      </c>
    </row>
    <row r="807" spans="2:13" x14ac:dyDescent="0.25">
      <c r="B807" s="1859">
        <f t="shared" si="65"/>
        <v>2015</v>
      </c>
      <c r="C807" s="1859">
        <f t="shared" si="66"/>
        <v>9</v>
      </c>
      <c r="D807" s="1860">
        <f t="shared" si="67"/>
        <v>42266</v>
      </c>
      <c r="E807" s="1861">
        <v>42266</v>
      </c>
      <c r="F807" s="1862">
        <f t="shared" si="63"/>
        <v>0</v>
      </c>
      <c r="G807" s="1862">
        <v>72000</v>
      </c>
      <c r="H807" s="1862">
        <v>72000</v>
      </c>
      <c r="I807" s="1862">
        <f>Tabla1[[#This Row],[Extraccion
Norte II]]+Tabla1[[#This Row],[Extraccion
ENO]]</f>
        <v>68837.607602010001</v>
      </c>
      <c r="J807" s="1862">
        <v>68837.607602010001</v>
      </c>
      <c r="K807" s="1862"/>
      <c r="L807" s="1862">
        <f t="shared" si="64"/>
        <v>3162.3923979899992</v>
      </c>
      <c r="M807" s="1862">
        <f>M806+Tabla1[[#This Row],[Desbalance
TPL]]</f>
        <v>-599884.52258661005</v>
      </c>
    </row>
    <row r="808" spans="2:13" x14ac:dyDescent="0.25">
      <c r="B808" s="1859">
        <f t="shared" si="65"/>
        <v>2015</v>
      </c>
      <c r="C808" s="1859">
        <f t="shared" si="66"/>
        <v>9</v>
      </c>
      <c r="D808" s="1860">
        <f t="shared" si="67"/>
        <v>42267</v>
      </c>
      <c r="E808" s="1861">
        <v>42267</v>
      </c>
      <c r="F808" s="1862">
        <f t="shared" si="63"/>
        <v>0</v>
      </c>
      <c r="G808" s="1862">
        <v>72000</v>
      </c>
      <c r="H808" s="1862">
        <v>72000</v>
      </c>
      <c r="I808" s="1862">
        <f>Tabla1[[#This Row],[Extraccion
Norte II]]+Tabla1[[#This Row],[Extraccion
ENO]]</f>
        <v>68678.706081960001</v>
      </c>
      <c r="J808" s="1862">
        <v>68678.706081960001</v>
      </c>
      <c r="K808" s="1862"/>
      <c r="L808" s="1862">
        <f t="shared" si="64"/>
        <v>3321.293918039999</v>
      </c>
      <c r="M808" s="1862">
        <f>M807+Tabla1[[#This Row],[Desbalance
TPL]]</f>
        <v>-596563.22866857005</v>
      </c>
    </row>
    <row r="809" spans="2:13" x14ac:dyDescent="0.25">
      <c r="B809" s="1859">
        <f t="shared" si="65"/>
        <v>2015</v>
      </c>
      <c r="C809" s="1859">
        <f t="shared" si="66"/>
        <v>9</v>
      </c>
      <c r="D809" s="1860">
        <f t="shared" si="67"/>
        <v>42268</v>
      </c>
      <c r="E809" s="1861">
        <v>42268</v>
      </c>
      <c r="F809" s="1862">
        <f t="shared" si="63"/>
        <v>0</v>
      </c>
      <c r="G809" s="1862">
        <v>72000</v>
      </c>
      <c r="H809" s="1862">
        <v>72000</v>
      </c>
      <c r="I809" s="1862">
        <f>Tabla1[[#This Row],[Extraccion
Norte II]]+Tabla1[[#This Row],[Extraccion
ENO]]</f>
        <v>69294.521743200006</v>
      </c>
      <c r="J809" s="1862">
        <v>69294.521743200006</v>
      </c>
      <c r="K809" s="1862"/>
      <c r="L809" s="1862">
        <f t="shared" si="64"/>
        <v>2705.4782567999937</v>
      </c>
      <c r="M809" s="1862">
        <f>M808+Tabla1[[#This Row],[Desbalance
TPL]]</f>
        <v>-593857.75041177007</v>
      </c>
    </row>
    <row r="810" spans="2:13" x14ac:dyDescent="0.25">
      <c r="B810" s="1859">
        <f t="shared" si="65"/>
        <v>2015</v>
      </c>
      <c r="C810" s="1859">
        <f t="shared" si="66"/>
        <v>9</v>
      </c>
      <c r="D810" s="1860">
        <f t="shared" si="67"/>
        <v>42269</v>
      </c>
      <c r="E810" s="1861">
        <v>42269</v>
      </c>
      <c r="F810" s="1862">
        <f t="shared" si="63"/>
        <v>0</v>
      </c>
      <c r="G810" s="1862">
        <v>73000</v>
      </c>
      <c r="H810" s="1862">
        <v>73000</v>
      </c>
      <c r="I810" s="1862">
        <f>Tabla1[[#This Row],[Extraccion
Norte II]]+Tabla1[[#This Row],[Extraccion
ENO]]</f>
        <v>70093.569386880001</v>
      </c>
      <c r="J810" s="1862">
        <v>70093.569386880001</v>
      </c>
      <c r="K810" s="1862"/>
      <c r="L810" s="1862">
        <f t="shared" si="64"/>
        <v>2906.4306131199992</v>
      </c>
      <c r="M810" s="1862">
        <f>M809+Tabla1[[#This Row],[Desbalance
TPL]]</f>
        <v>-590951.3197986501</v>
      </c>
    </row>
    <row r="811" spans="2:13" x14ac:dyDescent="0.25">
      <c r="B811" s="1859">
        <f t="shared" si="65"/>
        <v>2015</v>
      </c>
      <c r="C811" s="1859">
        <f t="shared" si="66"/>
        <v>9</v>
      </c>
      <c r="D811" s="1860">
        <f t="shared" si="67"/>
        <v>42270</v>
      </c>
      <c r="E811" s="1861">
        <v>42270</v>
      </c>
      <c r="F811" s="1862">
        <f t="shared" si="63"/>
        <v>0</v>
      </c>
      <c r="G811" s="1862">
        <v>70000</v>
      </c>
      <c r="H811" s="1862">
        <v>70000</v>
      </c>
      <c r="I811" s="1862">
        <f>Tabla1[[#This Row],[Extraccion
Norte II]]+Tabla1[[#This Row],[Extraccion
ENO]]</f>
        <v>71180.497487970002</v>
      </c>
      <c r="J811" s="1862">
        <v>71180.497487970002</v>
      </c>
      <c r="K811" s="1862"/>
      <c r="L811" s="1862">
        <f t="shared" si="64"/>
        <v>-1180.4974879700021</v>
      </c>
      <c r="M811" s="1862">
        <f>M810+Tabla1[[#This Row],[Desbalance
TPL]]</f>
        <v>-592131.81728662015</v>
      </c>
    </row>
    <row r="812" spans="2:13" x14ac:dyDescent="0.25">
      <c r="B812" s="1859">
        <f t="shared" si="65"/>
        <v>2015</v>
      </c>
      <c r="C812" s="1859">
        <f t="shared" si="66"/>
        <v>9</v>
      </c>
      <c r="D812" s="1860">
        <f t="shared" si="67"/>
        <v>42271</v>
      </c>
      <c r="E812" s="1861">
        <v>42271</v>
      </c>
      <c r="F812" s="1862">
        <f t="shared" si="63"/>
        <v>0</v>
      </c>
      <c r="G812" s="1862">
        <v>70000</v>
      </c>
      <c r="H812" s="1862">
        <v>70000</v>
      </c>
      <c r="I812" s="1862">
        <f>Tabla1[[#This Row],[Extraccion
Norte II]]+Tabla1[[#This Row],[Extraccion
ENO]]</f>
        <v>70425.257946030004</v>
      </c>
      <c r="J812" s="1862">
        <v>70425.257946030004</v>
      </c>
      <c r="K812" s="1862"/>
      <c r="L812" s="1862">
        <f t="shared" si="64"/>
        <v>-425.25794603000395</v>
      </c>
      <c r="M812" s="1862">
        <f>M811+Tabla1[[#This Row],[Desbalance
TPL]]</f>
        <v>-592557.07523265015</v>
      </c>
    </row>
    <row r="813" spans="2:13" x14ac:dyDescent="0.25">
      <c r="B813" s="1859">
        <f t="shared" si="65"/>
        <v>2015</v>
      </c>
      <c r="C813" s="1859">
        <f t="shared" si="66"/>
        <v>9</v>
      </c>
      <c r="D813" s="1860">
        <f t="shared" si="67"/>
        <v>42272</v>
      </c>
      <c r="E813" s="1861">
        <v>42272</v>
      </c>
      <c r="F813" s="1862">
        <f t="shared" si="63"/>
        <v>0</v>
      </c>
      <c r="G813" s="1862">
        <v>72000</v>
      </c>
      <c r="H813" s="1862">
        <v>72000</v>
      </c>
      <c r="I813" s="1862">
        <f>Tabla1[[#This Row],[Extraccion
Norte II]]+Tabla1[[#This Row],[Extraccion
ENO]]</f>
        <v>68559.480181530002</v>
      </c>
      <c r="J813" s="1862">
        <v>68559.480181530002</v>
      </c>
      <c r="K813" s="1862"/>
      <c r="L813" s="1862">
        <f t="shared" si="64"/>
        <v>3440.5198184699984</v>
      </c>
      <c r="M813" s="1862">
        <f>M812+Tabla1[[#This Row],[Desbalance
TPL]]</f>
        <v>-589116.55541418015</v>
      </c>
    </row>
    <row r="814" spans="2:13" x14ac:dyDescent="0.25">
      <c r="B814" s="1859">
        <f t="shared" si="65"/>
        <v>2015</v>
      </c>
      <c r="C814" s="1859">
        <f t="shared" si="66"/>
        <v>9</v>
      </c>
      <c r="D814" s="1860">
        <f t="shared" si="67"/>
        <v>42273</v>
      </c>
      <c r="E814" s="1861">
        <v>42273</v>
      </c>
      <c r="F814" s="1862">
        <f t="shared" si="63"/>
        <v>0</v>
      </c>
      <c r="G814" s="1862">
        <v>70000</v>
      </c>
      <c r="H814" s="1862">
        <v>70000</v>
      </c>
      <c r="I814" s="1862">
        <f>Tabla1[[#This Row],[Extraccion
Norte II]]+Tabla1[[#This Row],[Extraccion
ENO]]</f>
        <v>69653.393693909995</v>
      </c>
      <c r="J814" s="1862">
        <v>69653.393693909995</v>
      </c>
      <c r="K814" s="1862"/>
      <c r="L814" s="1862">
        <f t="shared" si="64"/>
        <v>346.60630609000509</v>
      </c>
      <c r="M814" s="1862">
        <f>M813+Tabla1[[#This Row],[Desbalance
TPL]]</f>
        <v>-588769.94910809014</v>
      </c>
    </row>
    <row r="815" spans="2:13" x14ac:dyDescent="0.25">
      <c r="B815" s="1859">
        <f t="shared" si="65"/>
        <v>2015</v>
      </c>
      <c r="C815" s="1859">
        <f t="shared" si="66"/>
        <v>9</v>
      </c>
      <c r="D815" s="1860">
        <f t="shared" si="67"/>
        <v>42274</v>
      </c>
      <c r="E815" s="1861">
        <v>42274</v>
      </c>
      <c r="F815" s="1862">
        <f t="shared" si="63"/>
        <v>0</v>
      </c>
      <c r="G815" s="1862">
        <v>70000</v>
      </c>
      <c r="H815" s="1862">
        <v>70000</v>
      </c>
      <c r="I815" s="1862">
        <f>Tabla1[[#This Row],[Extraccion
Norte II]]+Tabla1[[#This Row],[Extraccion
ENO]]</f>
        <v>71740.192904640004</v>
      </c>
      <c r="J815" s="1862">
        <v>71740.192904640004</v>
      </c>
      <c r="K815" s="1862"/>
      <c r="L815" s="1862">
        <f t="shared" si="64"/>
        <v>-1740.1929046400037</v>
      </c>
      <c r="M815" s="1862">
        <f>M814+Tabla1[[#This Row],[Desbalance
TPL]]</f>
        <v>-590510.14201273012</v>
      </c>
    </row>
    <row r="816" spans="2:13" x14ac:dyDescent="0.25">
      <c r="B816" s="1859">
        <f t="shared" si="65"/>
        <v>2015</v>
      </c>
      <c r="C816" s="1859">
        <f t="shared" si="66"/>
        <v>9</v>
      </c>
      <c r="D816" s="1860">
        <f t="shared" si="67"/>
        <v>42275</v>
      </c>
      <c r="E816" s="1861">
        <v>42275</v>
      </c>
      <c r="F816" s="1862">
        <f t="shared" si="63"/>
        <v>0</v>
      </c>
      <c r="G816" s="1862">
        <v>70000</v>
      </c>
      <c r="H816" s="1862">
        <v>70000</v>
      </c>
      <c r="I816" s="1862">
        <f>Tabla1[[#This Row],[Extraccion
Norte II]]+Tabla1[[#This Row],[Extraccion
ENO]]</f>
        <v>73436.453598690001</v>
      </c>
      <c r="J816" s="1862">
        <v>73436.453598690001</v>
      </c>
      <c r="K816" s="1862"/>
      <c r="L816" s="1862">
        <f t="shared" si="64"/>
        <v>-3436.4535986900009</v>
      </c>
      <c r="M816" s="1862">
        <f>M815+Tabla1[[#This Row],[Desbalance
TPL]]</f>
        <v>-593946.59561142011</v>
      </c>
    </row>
    <row r="817" spans="2:13" x14ac:dyDescent="0.25">
      <c r="B817" s="1859">
        <f t="shared" si="65"/>
        <v>2015</v>
      </c>
      <c r="C817" s="1859">
        <f t="shared" si="66"/>
        <v>9</v>
      </c>
      <c r="D817" s="1860">
        <f t="shared" si="67"/>
        <v>42276</v>
      </c>
      <c r="E817" s="1861">
        <v>42276</v>
      </c>
      <c r="F817" s="1862">
        <f t="shared" si="63"/>
        <v>0</v>
      </c>
      <c r="G817" s="1862">
        <v>73000</v>
      </c>
      <c r="H817" s="1862">
        <v>73000</v>
      </c>
      <c r="I817" s="1862">
        <f>Tabla1[[#This Row],[Extraccion
Norte II]]+Tabla1[[#This Row],[Extraccion
ENO]]</f>
        <v>73448.490874590003</v>
      </c>
      <c r="J817" s="1862">
        <v>73448.490874590003</v>
      </c>
      <c r="K817" s="1862"/>
      <c r="L817" s="1862">
        <f t="shared" si="64"/>
        <v>-448.49087459000293</v>
      </c>
      <c r="M817" s="1862">
        <f>M816+Tabla1[[#This Row],[Desbalance
TPL]]</f>
        <v>-594395.08648601011</v>
      </c>
    </row>
    <row r="818" spans="2:13" x14ac:dyDescent="0.25">
      <c r="B818" s="1859">
        <f t="shared" si="65"/>
        <v>2015</v>
      </c>
      <c r="C818" s="1859">
        <f t="shared" si="66"/>
        <v>9</v>
      </c>
      <c r="D818" s="1860">
        <f t="shared" si="67"/>
        <v>42277</v>
      </c>
      <c r="E818" s="1861">
        <v>42277</v>
      </c>
      <c r="F818" s="1862">
        <f t="shared" si="63"/>
        <v>0</v>
      </c>
      <c r="G818" s="1862">
        <v>73000</v>
      </c>
      <c r="H818" s="1862">
        <v>73000</v>
      </c>
      <c r="I818" s="1862">
        <f>Tabla1[[#This Row],[Extraccion
Norte II]]+Tabla1[[#This Row],[Extraccion
ENO]]</f>
        <v>71931.552417854997</v>
      </c>
      <c r="J818" s="1862">
        <v>71931.552417854997</v>
      </c>
      <c r="K818" s="1862"/>
      <c r="L818" s="1862">
        <f t="shared" si="64"/>
        <v>1068.4475821450033</v>
      </c>
      <c r="M818" s="1862">
        <f>M817+Tabla1[[#This Row],[Desbalance
TPL]]</f>
        <v>-593326.63890386513</v>
      </c>
    </row>
    <row r="819" spans="2:13" x14ac:dyDescent="0.25">
      <c r="B819" s="1859">
        <f t="shared" si="65"/>
        <v>2015</v>
      </c>
      <c r="C819" s="1859">
        <f t="shared" si="66"/>
        <v>10</v>
      </c>
      <c r="D819" s="1860">
        <f t="shared" si="67"/>
        <v>42278</v>
      </c>
      <c r="E819" s="1861">
        <v>42278</v>
      </c>
      <c r="F819" s="1862">
        <f t="shared" si="63"/>
        <v>0</v>
      </c>
      <c r="G819" s="1862">
        <v>73500</v>
      </c>
      <c r="H819" s="1862">
        <v>73500</v>
      </c>
      <c r="I819" s="1862">
        <f>Tabla1[[#This Row],[Extraccion
Norte II]]+Tabla1[[#This Row],[Extraccion
ENO]]</f>
        <v>73064.168141796006</v>
      </c>
      <c r="J819" s="1862">
        <v>73064.168141796006</v>
      </c>
      <c r="K819" s="1862"/>
      <c r="L819" s="1862">
        <f t="shared" si="64"/>
        <v>435.83185820399376</v>
      </c>
      <c r="M819" s="1862">
        <f>M818+Tabla1[[#This Row],[Desbalance
TPL]]</f>
        <v>-592890.80704566115</v>
      </c>
    </row>
    <row r="820" spans="2:13" x14ac:dyDescent="0.25">
      <c r="B820" s="1859">
        <f t="shared" si="65"/>
        <v>2015</v>
      </c>
      <c r="C820" s="1859">
        <f t="shared" si="66"/>
        <v>10</v>
      </c>
      <c r="D820" s="1860">
        <f t="shared" si="67"/>
        <v>42279</v>
      </c>
      <c r="E820" s="1861">
        <v>42279</v>
      </c>
      <c r="F820" s="1862">
        <f t="shared" si="63"/>
        <v>0</v>
      </c>
      <c r="G820" s="1862">
        <v>73500</v>
      </c>
      <c r="H820" s="1862">
        <v>73500</v>
      </c>
      <c r="I820" s="1862">
        <f>Tabla1[[#This Row],[Extraccion
Norte II]]+Tabla1[[#This Row],[Extraccion
ENO]]</f>
        <v>72946.53646956</v>
      </c>
      <c r="J820" s="1862">
        <v>72946.53646956</v>
      </c>
      <c r="K820" s="1862"/>
      <c r="L820" s="1862">
        <f t="shared" si="64"/>
        <v>553.46353043999989</v>
      </c>
      <c r="M820" s="1862">
        <f>M819+Tabla1[[#This Row],[Desbalance
TPL]]</f>
        <v>-592337.34351522115</v>
      </c>
    </row>
    <row r="821" spans="2:13" x14ac:dyDescent="0.25">
      <c r="B821" s="1859">
        <f t="shared" si="65"/>
        <v>2015</v>
      </c>
      <c r="C821" s="1859">
        <f t="shared" si="66"/>
        <v>10</v>
      </c>
      <c r="D821" s="1860">
        <f t="shared" si="67"/>
        <v>42280</v>
      </c>
      <c r="E821" s="1861">
        <v>42280</v>
      </c>
      <c r="F821" s="1862">
        <f t="shared" si="63"/>
        <v>0</v>
      </c>
      <c r="G821" s="1862">
        <v>72000</v>
      </c>
      <c r="H821" s="1862">
        <v>72000</v>
      </c>
      <c r="I821" s="1862">
        <f>Tabla1[[#This Row],[Extraccion
Norte II]]+Tabla1[[#This Row],[Extraccion
ENO]]</f>
        <v>71383.51988937</v>
      </c>
      <c r="J821" s="1862">
        <v>71383.51988937</v>
      </c>
      <c r="K821" s="1862"/>
      <c r="L821" s="1862">
        <f t="shared" si="64"/>
        <v>616.48011063000013</v>
      </c>
      <c r="M821" s="1862">
        <f>M820+Tabla1[[#This Row],[Desbalance
TPL]]</f>
        <v>-591720.8634045911</v>
      </c>
    </row>
    <row r="822" spans="2:13" x14ac:dyDescent="0.25">
      <c r="B822" s="1859">
        <f t="shared" si="65"/>
        <v>2015</v>
      </c>
      <c r="C822" s="1859">
        <f t="shared" si="66"/>
        <v>10</v>
      </c>
      <c r="D822" s="1860">
        <f t="shared" si="67"/>
        <v>42281</v>
      </c>
      <c r="E822" s="1861">
        <v>42281</v>
      </c>
      <c r="F822" s="1862">
        <f t="shared" si="63"/>
        <v>0</v>
      </c>
      <c r="G822" s="1862">
        <v>72000</v>
      </c>
      <c r="H822" s="1862">
        <v>72000</v>
      </c>
      <c r="I822" s="1862">
        <f>Tabla1[[#This Row],[Extraccion
Norte II]]+Tabla1[[#This Row],[Extraccion
ENO]]</f>
        <v>69518.26342422</v>
      </c>
      <c r="J822" s="1862">
        <v>69518.26342422</v>
      </c>
      <c r="K822" s="1862"/>
      <c r="L822" s="1862">
        <f t="shared" si="64"/>
        <v>2481.7365757799998</v>
      </c>
      <c r="M822" s="1862">
        <f>M821+Tabla1[[#This Row],[Desbalance
TPL]]</f>
        <v>-589239.12682881113</v>
      </c>
    </row>
    <row r="823" spans="2:13" x14ac:dyDescent="0.25">
      <c r="B823" s="1859">
        <f t="shared" si="65"/>
        <v>2015</v>
      </c>
      <c r="C823" s="1859">
        <f t="shared" si="66"/>
        <v>10</v>
      </c>
      <c r="D823" s="1860">
        <f t="shared" si="67"/>
        <v>42282</v>
      </c>
      <c r="E823" s="1861">
        <v>42282</v>
      </c>
      <c r="F823" s="1862">
        <f t="shared" si="63"/>
        <v>0</v>
      </c>
      <c r="G823" s="1862">
        <v>72000</v>
      </c>
      <c r="H823" s="1862">
        <v>72000</v>
      </c>
      <c r="I823" s="1862">
        <f>Tabla1[[#This Row],[Extraccion
Norte II]]+Tabla1[[#This Row],[Extraccion
ENO]]</f>
        <v>70424.925262263001</v>
      </c>
      <c r="J823" s="1862">
        <v>70424.925262263001</v>
      </c>
      <c r="K823" s="1862"/>
      <c r="L823" s="1862">
        <f t="shared" si="64"/>
        <v>1575.0747377369989</v>
      </c>
      <c r="M823" s="1862">
        <f>M822+Tabla1[[#This Row],[Desbalance
TPL]]</f>
        <v>-587664.05209107418</v>
      </c>
    </row>
    <row r="824" spans="2:13" x14ac:dyDescent="0.25">
      <c r="B824" s="1859">
        <f t="shared" si="65"/>
        <v>2015</v>
      </c>
      <c r="C824" s="1859">
        <f t="shared" si="66"/>
        <v>10</v>
      </c>
      <c r="D824" s="1860">
        <f t="shared" si="67"/>
        <v>42283</v>
      </c>
      <c r="E824" s="1861">
        <v>42283</v>
      </c>
      <c r="F824" s="1862">
        <f t="shared" si="63"/>
        <v>0</v>
      </c>
      <c r="G824" s="1862">
        <v>73000</v>
      </c>
      <c r="H824" s="1862">
        <v>73000</v>
      </c>
      <c r="I824" s="1862">
        <f>Tabla1[[#This Row],[Extraccion
Norte II]]+Tabla1[[#This Row],[Extraccion
ENO]]</f>
        <v>71714.090024460005</v>
      </c>
      <c r="J824" s="1862">
        <v>71714.090024460005</v>
      </c>
      <c r="K824" s="1862"/>
      <c r="L824" s="1862">
        <f t="shared" si="64"/>
        <v>1285.9099755399948</v>
      </c>
      <c r="M824" s="1862">
        <f>M823+Tabla1[[#This Row],[Desbalance
TPL]]</f>
        <v>-586378.14211553417</v>
      </c>
    </row>
    <row r="825" spans="2:13" x14ac:dyDescent="0.25">
      <c r="B825" s="1859">
        <f t="shared" si="65"/>
        <v>2015</v>
      </c>
      <c r="C825" s="1859">
        <f t="shared" si="66"/>
        <v>10</v>
      </c>
      <c r="D825" s="1860">
        <f t="shared" si="67"/>
        <v>42284</v>
      </c>
      <c r="E825" s="1861">
        <v>42284</v>
      </c>
      <c r="F825" s="1862">
        <f t="shared" si="63"/>
        <v>0</v>
      </c>
      <c r="G825" s="1862">
        <v>73000</v>
      </c>
      <c r="H825" s="1862">
        <v>73000</v>
      </c>
      <c r="I825" s="1862">
        <f>Tabla1[[#This Row],[Extraccion
Norte II]]+Tabla1[[#This Row],[Extraccion
ENO]]</f>
        <v>69593.418677601003</v>
      </c>
      <c r="J825" s="1862">
        <v>69593.418677601003</v>
      </c>
      <c r="K825" s="1862"/>
      <c r="L825" s="1862">
        <f t="shared" si="64"/>
        <v>3406.5813223989971</v>
      </c>
      <c r="M825" s="1862">
        <f>M824+Tabla1[[#This Row],[Desbalance
TPL]]</f>
        <v>-582971.5607931352</v>
      </c>
    </row>
    <row r="826" spans="2:13" x14ac:dyDescent="0.25">
      <c r="B826" s="1859">
        <f t="shared" si="65"/>
        <v>2015</v>
      </c>
      <c r="C826" s="1859">
        <f t="shared" si="66"/>
        <v>10</v>
      </c>
      <c r="D826" s="1860">
        <f t="shared" si="67"/>
        <v>42285</v>
      </c>
      <c r="E826" s="1861">
        <v>42285</v>
      </c>
      <c r="F826" s="1862">
        <f t="shared" si="63"/>
        <v>0</v>
      </c>
      <c r="G826" s="1862">
        <v>72000</v>
      </c>
      <c r="H826" s="1862">
        <v>72000</v>
      </c>
      <c r="I826" s="1862">
        <f>Tabla1[[#This Row],[Extraccion
Norte II]]+Tabla1[[#This Row],[Extraccion
ENO]]</f>
        <v>69166.320015780002</v>
      </c>
      <c r="J826" s="1862">
        <v>69166.320015780002</v>
      </c>
      <c r="K826" s="1862"/>
      <c r="L826" s="1862">
        <f t="shared" si="64"/>
        <v>2833.679984219998</v>
      </c>
      <c r="M826" s="1862">
        <f>M825+Tabla1[[#This Row],[Desbalance
TPL]]</f>
        <v>-580137.88080891524</v>
      </c>
    </row>
    <row r="827" spans="2:13" x14ac:dyDescent="0.25">
      <c r="B827" s="1859">
        <f t="shared" si="65"/>
        <v>2015</v>
      </c>
      <c r="C827" s="1859">
        <f t="shared" si="66"/>
        <v>10</v>
      </c>
      <c r="D827" s="1860">
        <f t="shared" si="67"/>
        <v>42286</v>
      </c>
      <c r="E827" s="1861">
        <v>42286</v>
      </c>
      <c r="F827" s="1862">
        <f t="shared" si="63"/>
        <v>0</v>
      </c>
      <c r="G827" s="1862">
        <v>72000</v>
      </c>
      <c r="H827" s="1862">
        <v>72000</v>
      </c>
      <c r="I827" s="1862">
        <f>Tabla1[[#This Row],[Extraccion
Norte II]]+Tabla1[[#This Row],[Extraccion
ENO]]</f>
        <v>71112.747528809996</v>
      </c>
      <c r="J827" s="1862">
        <v>71112.747528809996</v>
      </c>
      <c r="K827" s="1862"/>
      <c r="L827" s="1862">
        <f t="shared" si="64"/>
        <v>887.25247119000414</v>
      </c>
      <c r="M827" s="1862">
        <f>M826+Tabla1[[#This Row],[Desbalance
TPL]]</f>
        <v>-579250.6283377253</v>
      </c>
    </row>
    <row r="828" spans="2:13" x14ac:dyDescent="0.25">
      <c r="B828" s="1859">
        <f t="shared" si="65"/>
        <v>2015</v>
      </c>
      <c r="C828" s="1859">
        <f t="shared" si="66"/>
        <v>10</v>
      </c>
      <c r="D828" s="1860">
        <f t="shared" si="67"/>
        <v>42287</v>
      </c>
      <c r="E828" s="1861">
        <v>42287</v>
      </c>
      <c r="F828" s="1862">
        <f t="shared" si="63"/>
        <v>0</v>
      </c>
      <c r="G828" s="1862">
        <v>72000</v>
      </c>
      <c r="H828" s="1862">
        <v>72000</v>
      </c>
      <c r="I828" s="1862">
        <f>Tabla1[[#This Row],[Extraccion
Norte II]]+Tabla1[[#This Row],[Extraccion
ENO]]</f>
        <v>68898.163630139999</v>
      </c>
      <c r="J828" s="1862">
        <v>68898.163630139999</v>
      </c>
      <c r="K828" s="1862"/>
      <c r="L828" s="1862">
        <f t="shared" si="64"/>
        <v>3101.8363698600006</v>
      </c>
      <c r="M828" s="1862">
        <f>M827+Tabla1[[#This Row],[Desbalance
TPL]]</f>
        <v>-576148.79196786531</v>
      </c>
    </row>
    <row r="829" spans="2:13" x14ac:dyDescent="0.25">
      <c r="B829" s="1859">
        <f t="shared" si="65"/>
        <v>2015</v>
      </c>
      <c r="C829" s="1859">
        <f t="shared" si="66"/>
        <v>10</v>
      </c>
      <c r="D829" s="1860">
        <f t="shared" si="67"/>
        <v>42288</v>
      </c>
      <c r="E829" s="1861">
        <v>42288</v>
      </c>
      <c r="F829" s="1862">
        <f t="shared" si="63"/>
        <v>0</v>
      </c>
      <c r="G829" s="1862">
        <v>72000</v>
      </c>
      <c r="H829" s="1862">
        <v>72000</v>
      </c>
      <c r="I829" s="1862">
        <f>Tabla1[[#This Row],[Extraccion
Norte II]]+Tabla1[[#This Row],[Extraccion
ENO]]</f>
        <v>69269.384688542996</v>
      </c>
      <c r="J829" s="1862">
        <v>69269.384688542996</v>
      </c>
      <c r="K829" s="1862"/>
      <c r="L829" s="1862">
        <f t="shared" si="64"/>
        <v>2730.6153114570043</v>
      </c>
      <c r="M829" s="1862">
        <f>M828+Tabla1[[#This Row],[Desbalance
TPL]]</f>
        <v>-573418.17665640835</v>
      </c>
    </row>
    <row r="830" spans="2:13" x14ac:dyDescent="0.25">
      <c r="B830" s="1859">
        <f t="shared" si="65"/>
        <v>2015</v>
      </c>
      <c r="C830" s="1859">
        <f t="shared" si="66"/>
        <v>10</v>
      </c>
      <c r="D830" s="1860">
        <f t="shared" si="67"/>
        <v>42289</v>
      </c>
      <c r="E830" s="1861">
        <v>42289</v>
      </c>
      <c r="F830" s="1862">
        <f t="shared" si="63"/>
        <v>0</v>
      </c>
      <c r="G830" s="1862">
        <v>72000</v>
      </c>
      <c r="H830" s="1862">
        <v>72000</v>
      </c>
      <c r="I830" s="1862">
        <f>Tabla1[[#This Row],[Extraccion
Norte II]]+Tabla1[[#This Row],[Extraccion
ENO]]</f>
        <v>72694.966881419998</v>
      </c>
      <c r="J830" s="1862">
        <v>72694.966881419998</v>
      </c>
      <c r="K830" s="1862"/>
      <c r="L830" s="1862">
        <f t="shared" si="64"/>
        <v>-694.96688141999766</v>
      </c>
      <c r="M830" s="1862">
        <f>M829+Tabla1[[#This Row],[Desbalance
TPL]]</f>
        <v>-574113.14353782835</v>
      </c>
    </row>
    <row r="831" spans="2:13" x14ac:dyDescent="0.25">
      <c r="B831" s="1859">
        <f t="shared" si="65"/>
        <v>2015</v>
      </c>
      <c r="C831" s="1859">
        <f t="shared" si="66"/>
        <v>10</v>
      </c>
      <c r="D831" s="1860">
        <f t="shared" si="67"/>
        <v>42290</v>
      </c>
      <c r="E831" s="1861">
        <v>42290</v>
      </c>
      <c r="F831" s="1862">
        <f t="shared" si="63"/>
        <v>0</v>
      </c>
      <c r="G831" s="1862">
        <v>72000</v>
      </c>
      <c r="H831" s="1862">
        <v>72000</v>
      </c>
      <c r="I831" s="1862">
        <f>Tabla1[[#This Row],[Extraccion
Norte II]]+Tabla1[[#This Row],[Extraccion
ENO]]</f>
        <v>71557.501177889993</v>
      </c>
      <c r="J831" s="1862">
        <v>71557.501177889993</v>
      </c>
      <c r="K831" s="1862"/>
      <c r="L831" s="1862">
        <f t="shared" si="64"/>
        <v>442.49882211000659</v>
      </c>
      <c r="M831" s="1862">
        <f>M830+Tabla1[[#This Row],[Desbalance
TPL]]</f>
        <v>-573670.64471571834</v>
      </c>
    </row>
    <row r="832" spans="2:13" x14ac:dyDescent="0.25">
      <c r="B832" s="1859">
        <f t="shared" si="65"/>
        <v>2015</v>
      </c>
      <c r="C832" s="1859">
        <f t="shared" si="66"/>
        <v>10</v>
      </c>
      <c r="D832" s="1860">
        <f t="shared" si="67"/>
        <v>42291</v>
      </c>
      <c r="E832" s="1861">
        <v>42291</v>
      </c>
      <c r="F832" s="1862">
        <f t="shared" si="63"/>
        <v>0</v>
      </c>
      <c r="G832" s="1862">
        <v>71000</v>
      </c>
      <c r="H832" s="1862">
        <v>71000</v>
      </c>
      <c r="I832" s="1862">
        <f>Tabla1[[#This Row],[Extraccion
Norte II]]+Tabla1[[#This Row],[Extraccion
ENO]]</f>
        <v>70988.346547559995</v>
      </c>
      <c r="J832" s="1862">
        <v>70988.346547559995</v>
      </c>
      <c r="K832" s="1862"/>
      <c r="L832" s="1862">
        <f t="shared" si="64"/>
        <v>11.653452440004912</v>
      </c>
      <c r="M832" s="1862">
        <f>M831+Tabla1[[#This Row],[Desbalance
TPL]]</f>
        <v>-573658.99126327829</v>
      </c>
    </row>
    <row r="833" spans="2:13" x14ac:dyDescent="0.25">
      <c r="B833" s="1859">
        <f t="shared" si="65"/>
        <v>2015</v>
      </c>
      <c r="C833" s="1859">
        <f t="shared" si="66"/>
        <v>10</v>
      </c>
      <c r="D833" s="1860">
        <f t="shared" si="67"/>
        <v>42292</v>
      </c>
      <c r="E833" s="1861">
        <v>42292</v>
      </c>
      <c r="F833" s="1862">
        <f t="shared" si="63"/>
        <v>0</v>
      </c>
      <c r="G833" s="1862">
        <v>71000</v>
      </c>
      <c r="H833" s="1862">
        <v>71000</v>
      </c>
      <c r="I833" s="1862">
        <f>Tabla1[[#This Row],[Extraccion
Norte II]]+Tabla1[[#This Row],[Extraccion
ENO]]</f>
        <v>68767.687141920003</v>
      </c>
      <c r="J833" s="1862">
        <v>68767.687141920003</v>
      </c>
      <c r="K833" s="1862"/>
      <c r="L833" s="1862">
        <f t="shared" si="64"/>
        <v>2232.3128580799967</v>
      </c>
      <c r="M833" s="1862">
        <f>M832+Tabla1[[#This Row],[Desbalance
TPL]]</f>
        <v>-571426.67840519827</v>
      </c>
    </row>
    <row r="834" spans="2:13" x14ac:dyDescent="0.25">
      <c r="B834" s="1859">
        <f t="shared" si="65"/>
        <v>2015</v>
      </c>
      <c r="C834" s="1859">
        <f t="shared" si="66"/>
        <v>10</v>
      </c>
      <c r="D834" s="1860">
        <f t="shared" si="67"/>
        <v>42293</v>
      </c>
      <c r="E834" s="1861">
        <v>42293</v>
      </c>
      <c r="F834" s="1862">
        <f t="shared" si="63"/>
        <v>0</v>
      </c>
      <c r="G834" s="1862">
        <v>72000</v>
      </c>
      <c r="H834" s="1862">
        <v>72000</v>
      </c>
      <c r="I834" s="1862">
        <f>Tabla1[[#This Row],[Extraccion
Norte II]]+Tabla1[[#This Row],[Extraccion
ENO]]</f>
        <v>69355.67489604</v>
      </c>
      <c r="J834" s="1862">
        <v>69355.67489604</v>
      </c>
      <c r="K834" s="1862"/>
      <c r="L834" s="1862">
        <f t="shared" si="64"/>
        <v>2644.32510396</v>
      </c>
      <c r="M834" s="1862">
        <f>M833+Tabla1[[#This Row],[Desbalance
TPL]]</f>
        <v>-568782.35330123827</v>
      </c>
    </row>
    <row r="835" spans="2:13" x14ac:dyDescent="0.25">
      <c r="B835" s="1859">
        <f t="shared" si="65"/>
        <v>2015</v>
      </c>
      <c r="C835" s="1859">
        <f t="shared" si="66"/>
        <v>10</v>
      </c>
      <c r="D835" s="1860">
        <f t="shared" si="67"/>
        <v>42294</v>
      </c>
      <c r="E835" s="1861">
        <v>42294</v>
      </c>
      <c r="F835" s="1862">
        <f t="shared" si="63"/>
        <v>0</v>
      </c>
      <c r="G835" s="1862">
        <v>71000</v>
      </c>
      <c r="H835" s="1862">
        <v>71000</v>
      </c>
      <c r="I835" s="1862">
        <f>Tabla1[[#This Row],[Extraccion
Norte II]]+Tabla1[[#This Row],[Extraccion
ENO]]</f>
        <v>61180.824357315003</v>
      </c>
      <c r="J835" s="1862">
        <v>61180.824357315003</v>
      </c>
      <c r="K835" s="1862"/>
      <c r="L835" s="1862">
        <f t="shared" si="64"/>
        <v>9819.175642684997</v>
      </c>
      <c r="M835" s="1862">
        <f>M834+Tabla1[[#This Row],[Desbalance
TPL]]</f>
        <v>-558963.17765855324</v>
      </c>
    </row>
    <row r="836" spans="2:13" x14ac:dyDescent="0.25">
      <c r="B836" s="1859">
        <f t="shared" si="65"/>
        <v>2015</v>
      </c>
      <c r="C836" s="1859">
        <f t="shared" si="66"/>
        <v>10</v>
      </c>
      <c r="D836" s="1860">
        <f t="shared" si="67"/>
        <v>42295</v>
      </c>
      <c r="E836" s="1861">
        <v>42295</v>
      </c>
      <c r="F836" s="1862">
        <f t="shared" si="63"/>
        <v>0</v>
      </c>
      <c r="G836" s="1862">
        <v>71000</v>
      </c>
      <c r="H836" s="1862">
        <v>71000</v>
      </c>
      <c r="I836" s="1862">
        <f>Tabla1[[#This Row],[Extraccion
Norte II]]+Tabla1[[#This Row],[Extraccion
ENO]]</f>
        <v>61614.066768930003</v>
      </c>
      <c r="J836" s="1862">
        <v>61614.066768930003</v>
      </c>
      <c r="K836" s="1862"/>
      <c r="L836" s="1862">
        <f t="shared" si="64"/>
        <v>9385.9332310699974</v>
      </c>
      <c r="M836" s="1862">
        <f>M835+Tabla1[[#This Row],[Desbalance
TPL]]</f>
        <v>-549577.2444274833</v>
      </c>
    </row>
    <row r="837" spans="2:13" x14ac:dyDescent="0.25">
      <c r="B837" s="1859">
        <f t="shared" si="65"/>
        <v>2015</v>
      </c>
      <c r="C837" s="1859">
        <f t="shared" si="66"/>
        <v>10</v>
      </c>
      <c r="D837" s="1860">
        <f t="shared" si="67"/>
        <v>42296</v>
      </c>
      <c r="E837" s="1861">
        <v>42296</v>
      </c>
      <c r="F837" s="1862">
        <f t="shared" si="63"/>
        <v>0</v>
      </c>
      <c r="G837" s="1862">
        <v>71000</v>
      </c>
      <c r="H837" s="1862">
        <v>71000</v>
      </c>
      <c r="I837" s="1862">
        <f>Tabla1[[#This Row],[Extraccion
Norte II]]+Tabla1[[#This Row],[Extraccion
ENO]]</f>
        <v>64443.766839894008</v>
      </c>
      <c r="J837" s="1862">
        <v>64443.766839894008</v>
      </c>
      <c r="K837" s="1862"/>
      <c r="L837" s="1862">
        <f t="shared" si="64"/>
        <v>6556.2331601059923</v>
      </c>
      <c r="M837" s="1862">
        <f>M836+Tabla1[[#This Row],[Desbalance
TPL]]</f>
        <v>-543021.0112673773</v>
      </c>
    </row>
    <row r="838" spans="2:13" x14ac:dyDescent="0.25">
      <c r="B838" s="1859">
        <f t="shared" si="65"/>
        <v>2015</v>
      </c>
      <c r="C838" s="1859">
        <f t="shared" si="66"/>
        <v>10</v>
      </c>
      <c r="D838" s="1860">
        <f t="shared" si="67"/>
        <v>42297</v>
      </c>
      <c r="E838" s="1861">
        <v>42297</v>
      </c>
      <c r="F838" s="1862">
        <f t="shared" si="63"/>
        <v>0</v>
      </c>
      <c r="G838" s="1862">
        <v>35001</v>
      </c>
      <c r="H838" s="1862">
        <v>35001</v>
      </c>
      <c r="I838" s="1862">
        <f>Tabla1[[#This Row],[Extraccion
Norte II]]+Tabla1[[#This Row],[Extraccion
ENO]]</f>
        <v>72528.340652820014</v>
      </c>
      <c r="J838" s="1862">
        <v>72528.340652820014</v>
      </c>
      <c r="K838" s="1862"/>
      <c r="L838" s="1862">
        <f t="shared" si="64"/>
        <v>-37527.340652820014</v>
      </c>
      <c r="M838" s="1862">
        <f>M837+Tabla1[[#This Row],[Desbalance
TPL]]</f>
        <v>-580548.35192019725</v>
      </c>
    </row>
    <row r="839" spans="2:13" x14ac:dyDescent="0.25">
      <c r="B839" s="1859">
        <f t="shared" si="65"/>
        <v>2015</v>
      </c>
      <c r="C839" s="1859">
        <f t="shared" si="66"/>
        <v>10</v>
      </c>
      <c r="D839" s="1860">
        <f t="shared" si="67"/>
        <v>42298</v>
      </c>
      <c r="E839" s="1861">
        <v>42298</v>
      </c>
      <c r="F839" s="1862">
        <f t="shared" si="63"/>
        <v>0</v>
      </c>
      <c r="G839" s="1862">
        <v>65000</v>
      </c>
      <c r="H839" s="1862">
        <v>65000</v>
      </c>
      <c r="I839" s="1862">
        <f>Tabla1[[#This Row],[Extraccion
Norte II]]+Tabla1[[#This Row],[Extraccion
ENO]]</f>
        <v>68718.476483279999</v>
      </c>
      <c r="J839" s="1862">
        <v>68718.476483279999</v>
      </c>
      <c r="K839" s="1862"/>
      <c r="L839" s="1862">
        <f t="shared" si="64"/>
        <v>-3718.4764832799992</v>
      </c>
      <c r="M839" s="1862">
        <f>M838+Tabla1[[#This Row],[Desbalance
TPL]]</f>
        <v>-584266.82840347721</v>
      </c>
    </row>
    <row r="840" spans="2:13" x14ac:dyDescent="0.25">
      <c r="B840" s="1859">
        <f t="shared" si="65"/>
        <v>2015</v>
      </c>
      <c r="C840" s="1859">
        <f t="shared" si="66"/>
        <v>10</v>
      </c>
      <c r="D840" s="1860">
        <f t="shared" si="67"/>
        <v>42299</v>
      </c>
      <c r="E840" s="1861">
        <v>42299</v>
      </c>
      <c r="F840" s="1862">
        <f t="shared" si="63"/>
        <v>0</v>
      </c>
      <c r="G840" s="1862">
        <v>60000</v>
      </c>
      <c r="H840" s="1862">
        <v>60000</v>
      </c>
      <c r="I840" s="1862">
        <f>Tabla1[[#This Row],[Extraccion
Norte II]]+Tabla1[[#This Row],[Extraccion
ENO]]</f>
        <v>72596.185393679989</v>
      </c>
      <c r="J840" s="1862">
        <v>72596.185393679989</v>
      </c>
      <c r="K840" s="1862"/>
      <c r="L840" s="1862">
        <f t="shared" si="64"/>
        <v>-12596.185393679989</v>
      </c>
      <c r="M840" s="1862">
        <f>M839+Tabla1[[#This Row],[Desbalance
TPL]]</f>
        <v>-596863.01379715721</v>
      </c>
    </row>
    <row r="841" spans="2:13" x14ac:dyDescent="0.25">
      <c r="B841" s="1859">
        <f t="shared" si="65"/>
        <v>2015</v>
      </c>
      <c r="C841" s="1859">
        <f t="shared" si="66"/>
        <v>10</v>
      </c>
      <c r="D841" s="1860">
        <f t="shared" si="67"/>
        <v>42300</v>
      </c>
      <c r="E841" s="1861">
        <v>42300</v>
      </c>
      <c r="F841" s="1862">
        <f t="shared" si="63"/>
        <v>0</v>
      </c>
      <c r="G841" s="1862">
        <v>72000</v>
      </c>
      <c r="H841" s="1862">
        <v>72000</v>
      </c>
      <c r="I841" s="1862">
        <f>Tabla1[[#This Row],[Extraccion
Norte II]]+Tabla1[[#This Row],[Extraccion
ENO]]</f>
        <v>72034.98294798001</v>
      </c>
      <c r="J841" s="1862">
        <v>72034.98294798001</v>
      </c>
      <c r="K841" s="1862"/>
      <c r="L841" s="1862">
        <f t="shared" si="64"/>
        <v>-34.982947980010067</v>
      </c>
      <c r="M841" s="1862">
        <f>M840+Tabla1[[#This Row],[Desbalance
TPL]]</f>
        <v>-596897.99674513726</v>
      </c>
    </row>
    <row r="842" spans="2:13" x14ac:dyDescent="0.25">
      <c r="B842" s="1859">
        <f t="shared" si="65"/>
        <v>2015</v>
      </c>
      <c r="C842" s="1859">
        <f t="shared" si="66"/>
        <v>10</v>
      </c>
      <c r="D842" s="1860">
        <f t="shared" si="67"/>
        <v>42301</v>
      </c>
      <c r="E842" s="1861">
        <v>42301</v>
      </c>
      <c r="F842" s="1862">
        <f t="shared" si="63"/>
        <v>0</v>
      </c>
      <c r="G842" s="1862">
        <v>65000</v>
      </c>
      <c r="H842" s="1862">
        <v>65000</v>
      </c>
      <c r="I842" s="1862">
        <f>Tabla1[[#This Row],[Extraccion
Norte II]]+Tabla1[[#This Row],[Extraccion
ENO]]</f>
        <v>67515.933664529992</v>
      </c>
      <c r="J842" s="1862">
        <v>67515.933664529992</v>
      </c>
      <c r="K842" s="1862"/>
      <c r="L842" s="1862">
        <f t="shared" si="64"/>
        <v>-2515.9336645299918</v>
      </c>
      <c r="M842" s="1862">
        <f>M841+Tabla1[[#This Row],[Desbalance
TPL]]</f>
        <v>-599413.93040966731</v>
      </c>
    </row>
    <row r="843" spans="2:13" x14ac:dyDescent="0.25">
      <c r="B843" s="1859">
        <f t="shared" si="65"/>
        <v>2015</v>
      </c>
      <c r="C843" s="1859">
        <f t="shared" si="66"/>
        <v>10</v>
      </c>
      <c r="D843" s="1860">
        <f t="shared" si="67"/>
        <v>42302</v>
      </c>
      <c r="E843" s="1861">
        <v>42302</v>
      </c>
      <c r="F843" s="1862">
        <f t="shared" si="63"/>
        <v>0</v>
      </c>
      <c r="G843" s="1862">
        <v>65000</v>
      </c>
      <c r="H843" s="1862">
        <v>65000</v>
      </c>
      <c r="I843" s="1862">
        <f>Tabla1[[#This Row],[Extraccion
Norte II]]+Tabla1[[#This Row],[Extraccion
ENO]]</f>
        <v>64323.742877549994</v>
      </c>
      <c r="J843" s="1862">
        <v>64323.742877549994</v>
      </c>
      <c r="K843" s="1862"/>
      <c r="L843" s="1862">
        <f t="shared" si="64"/>
        <v>676.25712245000614</v>
      </c>
      <c r="M843" s="1862">
        <f>M842+Tabla1[[#This Row],[Desbalance
TPL]]</f>
        <v>-598737.67328721727</v>
      </c>
    </row>
    <row r="844" spans="2:13" x14ac:dyDescent="0.25">
      <c r="B844" s="1859">
        <f t="shared" si="65"/>
        <v>2015</v>
      </c>
      <c r="C844" s="1859">
        <f t="shared" si="66"/>
        <v>10</v>
      </c>
      <c r="D844" s="1860">
        <f t="shared" si="67"/>
        <v>42303</v>
      </c>
      <c r="E844" s="1861">
        <v>42303</v>
      </c>
      <c r="F844" s="1862">
        <f t="shared" ref="F844:F907" si="68">G844-H844</f>
        <v>0</v>
      </c>
      <c r="G844" s="1862">
        <v>65000</v>
      </c>
      <c r="H844" s="1862">
        <v>65000</v>
      </c>
      <c r="I844" s="1862">
        <f>Tabla1[[#This Row],[Extraccion
Norte II]]+Tabla1[[#This Row],[Extraccion
ENO]]</f>
        <v>70767.625559319</v>
      </c>
      <c r="J844" s="1862">
        <v>70767.625559319</v>
      </c>
      <c r="K844" s="1862"/>
      <c r="L844" s="1862">
        <f t="shared" ref="L844:L907" si="69">H844-I844</f>
        <v>-5767.6255593189999</v>
      </c>
      <c r="M844" s="1862">
        <f>M843+Tabla1[[#This Row],[Desbalance
TPL]]</f>
        <v>-604505.29884653632</v>
      </c>
    </row>
    <row r="845" spans="2:13" x14ac:dyDescent="0.25">
      <c r="B845" s="1859">
        <f t="shared" si="65"/>
        <v>2015</v>
      </c>
      <c r="C845" s="1859">
        <f t="shared" si="66"/>
        <v>10</v>
      </c>
      <c r="D845" s="1860">
        <f t="shared" si="67"/>
        <v>42304</v>
      </c>
      <c r="E845" s="1861">
        <v>42304</v>
      </c>
      <c r="F845" s="1862">
        <f t="shared" si="68"/>
        <v>0</v>
      </c>
      <c r="G845" s="1862">
        <v>72000</v>
      </c>
      <c r="H845" s="1862">
        <v>72000</v>
      </c>
      <c r="I845" s="1862">
        <f>Tabla1[[#This Row],[Extraccion
Norte II]]+Tabla1[[#This Row],[Extraccion
ENO]]</f>
        <v>68529.927247470012</v>
      </c>
      <c r="J845" s="1862">
        <v>68529.927247470012</v>
      </c>
      <c r="K845" s="1862"/>
      <c r="L845" s="1862">
        <f t="shared" si="69"/>
        <v>3470.0727525299881</v>
      </c>
      <c r="M845" s="1862">
        <f>M844+Tabla1[[#This Row],[Desbalance
TPL]]</f>
        <v>-601035.22609400633</v>
      </c>
    </row>
    <row r="846" spans="2:13" x14ac:dyDescent="0.25">
      <c r="B846" s="1859">
        <f t="shared" si="65"/>
        <v>2015</v>
      </c>
      <c r="C846" s="1859">
        <f t="shared" si="66"/>
        <v>10</v>
      </c>
      <c r="D846" s="1860">
        <f t="shared" si="67"/>
        <v>42305</v>
      </c>
      <c r="E846" s="1861">
        <v>42305</v>
      </c>
      <c r="F846" s="1862">
        <f t="shared" si="68"/>
        <v>0</v>
      </c>
      <c r="G846" s="1862">
        <v>70000</v>
      </c>
      <c r="H846" s="1862">
        <v>70000</v>
      </c>
      <c r="I846" s="1862">
        <f>Tabla1[[#This Row],[Extraccion
Norte II]]+Tabla1[[#This Row],[Extraccion
ENO]]</f>
        <v>71624.07584397</v>
      </c>
      <c r="J846" s="1862">
        <v>71624.07584397</v>
      </c>
      <c r="K846" s="1862"/>
      <c r="L846" s="1862">
        <f t="shared" si="69"/>
        <v>-1624.0758439700003</v>
      </c>
      <c r="M846" s="1862">
        <f>M845+Tabla1[[#This Row],[Desbalance
TPL]]</f>
        <v>-602659.30193797639</v>
      </c>
    </row>
    <row r="847" spans="2:13" x14ac:dyDescent="0.25">
      <c r="B847" s="1859">
        <f t="shared" si="65"/>
        <v>2015</v>
      </c>
      <c r="C847" s="1859">
        <f t="shared" si="66"/>
        <v>10</v>
      </c>
      <c r="D847" s="1860">
        <f t="shared" si="67"/>
        <v>42306</v>
      </c>
      <c r="E847" s="1861">
        <v>42306</v>
      </c>
      <c r="F847" s="1862">
        <f t="shared" si="68"/>
        <v>0</v>
      </c>
      <c r="G847" s="1862">
        <v>73000</v>
      </c>
      <c r="H847" s="1862">
        <v>73000</v>
      </c>
      <c r="I847" s="1862">
        <f>Tabla1[[#This Row],[Extraccion
Norte II]]+Tabla1[[#This Row],[Extraccion
ENO]]</f>
        <v>70463.578187340012</v>
      </c>
      <c r="J847" s="1862">
        <v>70463.578187340012</v>
      </c>
      <c r="K847" s="1862"/>
      <c r="L847" s="1862">
        <f t="shared" si="69"/>
        <v>2536.4218126599881</v>
      </c>
      <c r="M847" s="1862">
        <f>M846+Tabla1[[#This Row],[Desbalance
TPL]]</f>
        <v>-600122.88012531644</v>
      </c>
    </row>
    <row r="848" spans="2:13" x14ac:dyDescent="0.25">
      <c r="B848" s="1859">
        <f t="shared" si="65"/>
        <v>2015</v>
      </c>
      <c r="C848" s="1859">
        <f t="shared" si="66"/>
        <v>10</v>
      </c>
      <c r="D848" s="1860">
        <f t="shared" si="67"/>
        <v>42307</v>
      </c>
      <c r="E848" s="1861">
        <v>42307</v>
      </c>
      <c r="F848" s="1862">
        <f t="shared" si="68"/>
        <v>0</v>
      </c>
      <c r="G848" s="1862">
        <v>70000</v>
      </c>
      <c r="H848" s="1862">
        <v>70000</v>
      </c>
      <c r="I848" s="1862">
        <f>Tabla1[[#This Row],[Extraccion
Norte II]]+Tabla1[[#This Row],[Extraccion
ENO]]</f>
        <v>71615.725576200013</v>
      </c>
      <c r="J848" s="1862">
        <v>71615.725576200013</v>
      </c>
      <c r="K848" s="1862"/>
      <c r="L848" s="1862">
        <f t="shared" si="69"/>
        <v>-1615.7255762000132</v>
      </c>
      <c r="M848" s="1862">
        <f>M847+Tabla1[[#This Row],[Desbalance
TPL]]</f>
        <v>-601738.6057015165</v>
      </c>
    </row>
    <row r="849" spans="2:13" x14ac:dyDescent="0.25">
      <c r="B849" s="1859">
        <f t="shared" si="65"/>
        <v>2015</v>
      </c>
      <c r="C849" s="1859">
        <f t="shared" si="66"/>
        <v>10</v>
      </c>
      <c r="D849" s="1860">
        <f t="shared" si="67"/>
        <v>42308</v>
      </c>
      <c r="E849" s="1861">
        <v>42308</v>
      </c>
      <c r="F849" s="1862">
        <f t="shared" si="68"/>
        <v>0</v>
      </c>
      <c r="G849" s="1862">
        <v>70000</v>
      </c>
      <c r="H849" s="1862">
        <v>70000</v>
      </c>
      <c r="I849" s="1862">
        <f>Tabla1[[#This Row],[Extraccion
Norte II]]+Tabla1[[#This Row],[Extraccion
ENO]]</f>
        <v>68173.791644438999</v>
      </c>
      <c r="J849" s="1862">
        <v>68173.791644438999</v>
      </c>
      <c r="K849" s="1862"/>
      <c r="L849" s="1862">
        <f t="shared" si="69"/>
        <v>1826.2083555610006</v>
      </c>
      <c r="M849" s="1862">
        <f>M848+Tabla1[[#This Row],[Desbalance
TPL]]</f>
        <v>-599912.39734595548</v>
      </c>
    </row>
    <row r="850" spans="2:13" x14ac:dyDescent="0.25">
      <c r="B850" s="1859">
        <f t="shared" si="65"/>
        <v>2015</v>
      </c>
      <c r="C850" s="1859">
        <f t="shared" si="66"/>
        <v>11</v>
      </c>
      <c r="D850" s="1860">
        <f t="shared" si="67"/>
        <v>42309</v>
      </c>
      <c r="E850" s="1861">
        <v>42309</v>
      </c>
      <c r="F850" s="1862">
        <f t="shared" si="68"/>
        <v>0</v>
      </c>
      <c r="G850" s="1862">
        <v>72000</v>
      </c>
      <c r="H850" s="1862">
        <v>72000</v>
      </c>
      <c r="I850" s="1862">
        <f>Tabla1[[#This Row],[Extraccion
Norte II]]+Tabla1[[#This Row],[Extraccion
ENO]]</f>
        <v>66798.493064549999</v>
      </c>
      <c r="J850" s="1862">
        <v>66798.493064549999</v>
      </c>
      <c r="K850" s="1862"/>
      <c r="L850" s="1862">
        <f t="shared" si="69"/>
        <v>5201.506935450001</v>
      </c>
      <c r="M850" s="1862">
        <f>M849+Tabla1[[#This Row],[Desbalance
TPL]]</f>
        <v>-594710.89041050547</v>
      </c>
    </row>
    <row r="851" spans="2:13" x14ac:dyDescent="0.25">
      <c r="B851" s="1859">
        <f t="shared" si="65"/>
        <v>2015</v>
      </c>
      <c r="C851" s="1859">
        <f t="shared" si="66"/>
        <v>11</v>
      </c>
      <c r="D851" s="1860">
        <f t="shared" si="67"/>
        <v>42310</v>
      </c>
      <c r="E851" s="1861">
        <v>42310</v>
      </c>
      <c r="F851" s="1862">
        <f t="shared" si="68"/>
        <v>0</v>
      </c>
      <c r="G851" s="1862">
        <v>72000</v>
      </c>
      <c r="H851" s="1862">
        <v>72000</v>
      </c>
      <c r="I851" s="1862">
        <f>Tabla1[[#This Row],[Extraccion
Norte II]]+Tabla1[[#This Row],[Extraccion
ENO]]</f>
        <v>67546.230634934996</v>
      </c>
      <c r="J851" s="1862">
        <v>67546.230634934996</v>
      </c>
      <c r="K851" s="1862"/>
      <c r="L851" s="1862">
        <f t="shared" si="69"/>
        <v>4453.7693650650035</v>
      </c>
      <c r="M851" s="1862">
        <f>M850+Tabla1[[#This Row],[Desbalance
TPL]]</f>
        <v>-590257.12104544044</v>
      </c>
    </row>
    <row r="852" spans="2:13" x14ac:dyDescent="0.25">
      <c r="B852" s="1859">
        <f t="shared" si="65"/>
        <v>2015</v>
      </c>
      <c r="C852" s="1859">
        <f t="shared" si="66"/>
        <v>11</v>
      </c>
      <c r="D852" s="1860">
        <f t="shared" si="67"/>
        <v>42311</v>
      </c>
      <c r="E852" s="1861">
        <v>42311</v>
      </c>
      <c r="F852" s="1862">
        <f t="shared" si="68"/>
        <v>0</v>
      </c>
      <c r="G852" s="1862">
        <v>71000</v>
      </c>
      <c r="H852" s="1862">
        <v>71000</v>
      </c>
      <c r="I852" s="1862">
        <f>Tabla1[[#This Row],[Extraccion
Norte II]]+Tabla1[[#This Row],[Extraccion
ENO]]</f>
        <v>70924.634288820002</v>
      </c>
      <c r="J852" s="1862">
        <v>70924.634288820002</v>
      </c>
      <c r="K852" s="1862"/>
      <c r="L852" s="1862">
        <f t="shared" si="69"/>
        <v>75.36571117999847</v>
      </c>
      <c r="M852" s="1862">
        <f>M851+Tabla1[[#This Row],[Desbalance
TPL]]</f>
        <v>-590181.75533426041</v>
      </c>
    </row>
    <row r="853" spans="2:13" x14ac:dyDescent="0.25">
      <c r="B853" s="1859">
        <f t="shared" si="65"/>
        <v>2015</v>
      </c>
      <c r="C853" s="1859">
        <f t="shared" si="66"/>
        <v>11</v>
      </c>
      <c r="D853" s="1860">
        <f t="shared" si="67"/>
        <v>42312</v>
      </c>
      <c r="E853" s="1861">
        <v>42312</v>
      </c>
      <c r="F853" s="1862">
        <f t="shared" si="68"/>
        <v>0</v>
      </c>
      <c r="G853" s="1862">
        <v>70000</v>
      </c>
      <c r="H853" s="1862">
        <v>70000</v>
      </c>
      <c r="I853" s="1862">
        <f>Tabla1[[#This Row],[Extraccion
Norte II]]+Tabla1[[#This Row],[Extraccion
ENO]]</f>
        <v>71672.919697431003</v>
      </c>
      <c r="J853" s="1862">
        <v>71672.919697431003</v>
      </c>
      <c r="K853" s="1862"/>
      <c r="L853" s="1862">
        <f t="shared" si="69"/>
        <v>-1672.9196974310034</v>
      </c>
      <c r="M853" s="1862">
        <f>M852+Tabla1[[#This Row],[Desbalance
TPL]]</f>
        <v>-591854.67503169144</v>
      </c>
    </row>
    <row r="854" spans="2:13" x14ac:dyDescent="0.25">
      <c r="B854" s="1859">
        <f t="shared" si="65"/>
        <v>2015</v>
      </c>
      <c r="C854" s="1859">
        <f t="shared" si="66"/>
        <v>11</v>
      </c>
      <c r="D854" s="1860">
        <f t="shared" si="67"/>
        <v>42313</v>
      </c>
      <c r="E854" s="1861">
        <v>42313</v>
      </c>
      <c r="F854" s="1862">
        <f t="shared" si="68"/>
        <v>0</v>
      </c>
      <c r="G854" s="1862">
        <v>70000</v>
      </c>
      <c r="H854" s="1862">
        <v>70000</v>
      </c>
      <c r="I854" s="1862">
        <f>Tabla1[[#This Row],[Extraccion
Norte II]]+Tabla1[[#This Row],[Extraccion
ENO]]</f>
        <v>73476.555735960006</v>
      </c>
      <c r="J854" s="1862">
        <v>73476.555735960006</v>
      </c>
      <c r="K854" s="1862"/>
      <c r="L854" s="1862">
        <f t="shared" si="69"/>
        <v>-3476.5557359600061</v>
      </c>
      <c r="M854" s="1862">
        <f>M853+Tabla1[[#This Row],[Desbalance
TPL]]</f>
        <v>-595331.23076765146</v>
      </c>
    </row>
    <row r="855" spans="2:13" x14ac:dyDescent="0.25">
      <c r="B855" s="1859">
        <f t="shared" si="65"/>
        <v>2015</v>
      </c>
      <c r="C855" s="1859">
        <f t="shared" si="66"/>
        <v>11</v>
      </c>
      <c r="D855" s="1860">
        <f t="shared" si="67"/>
        <v>42314</v>
      </c>
      <c r="E855" s="1861">
        <v>42314</v>
      </c>
      <c r="F855" s="1862">
        <f t="shared" si="68"/>
        <v>0</v>
      </c>
      <c r="G855" s="1862">
        <v>70000</v>
      </c>
      <c r="H855" s="1862">
        <v>70000</v>
      </c>
      <c r="I855" s="1862">
        <f>Tabla1[[#This Row],[Extraccion
Norte II]]+Tabla1[[#This Row],[Extraccion
ENO]]</f>
        <v>73030.527273015003</v>
      </c>
      <c r="J855" s="1862">
        <v>73030.527273015003</v>
      </c>
      <c r="K855" s="1862"/>
      <c r="L855" s="1862">
        <f t="shared" si="69"/>
        <v>-3030.5272730150027</v>
      </c>
      <c r="M855" s="1862">
        <f>M854+Tabla1[[#This Row],[Desbalance
TPL]]</f>
        <v>-598361.75804066646</v>
      </c>
    </row>
    <row r="856" spans="2:13" x14ac:dyDescent="0.25">
      <c r="B856" s="1859">
        <f t="shared" si="65"/>
        <v>2015</v>
      </c>
      <c r="C856" s="1859">
        <f t="shared" si="66"/>
        <v>11</v>
      </c>
      <c r="D856" s="1860">
        <f t="shared" si="67"/>
        <v>42315</v>
      </c>
      <c r="E856" s="1861">
        <v>42315</v>
      </c>
      <c r="F856" s="1862">
        <f t="shared" si="68"/>
        <v>0</v>
      </c>
      <c r="G856" s="1862">
        <v>63000</v>
      </c>
      <c r="H856" s="1862">
        <v>63000</v>
      </c>
      <c r="I856" s="1862">
        <f>Tabla1[[#This Row],[Extraccion
Norte II]]+Tabla1[[#This Row],[Extraccion
ENO]]</f>
        <v>67460.287328460006</v>
      </c>
      <c r="J856" s="1862">
        <v>67460.287328460006</v>
      </c>
      <c r="K856" s="1862"/>
      <c r="L856" s="1862">
        <f t="shared" si="69"/>
        <v>-4460.2873284600064</v>
      </c>
      <c r="M856" s="1862">
        <f>M855+Tabla1[[#This Row],[Desbalance
TPL]]</f>
        <v>-602822.04536912648</v>
      </c>
    </row>
    <row r="857" spans="2:13" x14ac:dyDescent="0.25">
      <c r="B857" s="1859">
        <f t="shared" si="65"/>
        <v>2015</v>
      </c>
      <c r="C857" s="1859">
        <f t="shared" si="66"/>
        <v>11</v>
      </c>
      <c r="D857" s="1860">
        <f t="shared" si="67"/>
        <v>42316</v>
      </c>
      <c r="E857" s="1861">
        <v>42316</v>
      </c>
      <c r="F857" s="1862">
        <f t="shared" si="68"/>
        <v>0</v>
      </c>
      <c r="G857" s="1862">
        <v>63000</v>
      </c>
      <c r="H857" s="1862">
        <v>63000</v>
      </c>
      <c r="I857" s="1862">
        <f>Tabla1[[#This Row],[Extraccion
Norte II]]+Tabla1[[#This Row],[Extraccion
ENO]]</f>
        <v>63143.521149150001</v>
      </c>
      <c r="J857" s="1862">
        <v>63143.521149150001</v>
      </c>
      <c r="K857" s="1862"/>
      <c r="L857" s="1862">
        <f t="shared" si="69"/>
        <v>-143.52114915000129</v>
      </c>
      <c r="M857" s="1862">
        <f>M856+Tabla1[[#This Row],[Desbalance
TPL]]</f>
        <v>-602965.56651827646</v>
      </c>
    </row>
    <row r="858" spans="2:13" x14ac:dyDescent="0.25">
      <c r="B858" s="1859">
        <f t="shared" si="65"/>
        <v>2015</v>
      </c>
      <c r="C858" s="1859">
        <f t="shared" si="66"/>
        <v>11</v>
      </c>
      <c r="D858" s="1860">
        <f t="shared" si="67"/>
        <v>42317</v>
      </c>
      <c r="E858" s="1861">
        <v>42317</v>
      </c>
      <c r="F858" s="1862">
        <f t="shared" si="68"/>
        <v>0</v>
      </c>
      <c r="G858" s="1862">
        <v>63000</v>
      </c>
      <c r="H858" s="1862">
        <v>63000</v>
      </c>
      <c r="I858" s="1862">
        <f>Tabla1[[#This Row],[Extraccion
Norte II]]+Tabla1[[#This Row],[Extraccion
ENO]]</f>
        <v>68488.04321424001</v>
      </c>
      <c r="J858" s="1862">
        <v>68488.04321424001</v>
      </c>
      <c r="K858" s="1862"/>
      <c r="L858" s="1862">
        <f t="shared" si="69"/>
        <v>-5488.0432142400095</v>
      </c>
      <c r="M858" s="1862">
        <f>M857+Tabla1[[#This Row],[Desbalance
TPL]]</f>
        <v>-608453.60973251646</v>
      </c>
    </row>
    <row r="859" spans="2:13" x14ac:dyDescent="0.25">
      <c r="B859" s="1859">
        <f t="shared" si="65"/>
        <v>2015</v>
      </c>
      <c r="C859" s="1859">
        <f t="shared" si="66"/>
        <v>11</v>
      </c>
      <c r="D859" s="1860">
        <f t="shared" si="67"/>
        <v>42318</v>
      </c>
      <c r="E859" s="1861">
        <v>42318</v>
      </c>
      <c r="F859" s="1862">
        <f t="shared" si="68"/>
        <v>0</v>
      </c>
      <c r="G859" s="1862">
        <v>70000</v>
      </c>
      <c r="H859" s="1862">
        <v>70000</v>
      </c>
      <c r="I859" s="1862">
        <f>Tabla1[[#This Row],[Extraccion
Norte II]]+Tabla1[[#This Row],[Extraccion
ENO]]</f>
        <v>69069.827506095011</v>
      </c>
      <c r="J859" s="1862">
        <v>69069.827506095011</v>
      </c>
      <c r="K859" s="1862"/>
      <c r="L859" s="1862">
        <f t="shared" si="69"/>
        <v>930.1724939049891</v>
      </c>
      <c r="M859" s="1862">
        <f>M858+Tabla1[[#This Row],[Desbalance
TPL]]</f>
        <v>-607523.43723861151</v>
      </c>
    </row>
    <row r="860" spans="2:13" x14ac:dyDescent="0.25">
      <c r="B860" s="1859">
        <f t="shared" ref="B860:B923" si="70">YEAR(E860)</f>
        <v>2015</v>
      </c>
      <c r="C860" s="1859">
        <f t="shared" ref="C860:C923" si="71">MONTH(E860)</f>
        <v>11</v>
      </c>
      <c r="D860" s="1860">
        <f t="shared" ref="D860:D923" si="72">E860</f>
        <v>42319</v>
      </c>
      <c r="E860" s="1861">
        <v>42319</v>
      </c>
      <c r="F860" s="1862">
        <f t="shared" si="68"/>
        <v>0</v>
      </c>
      <c r="G860" s="1862">
        <v>72000</v>
      </c>
      <c r="H860" s="1862">
        <v>72000</v>
      </c>
      <c r="I860" s="1862">
        <f>Tabla1[[#This Row],[Extraccion
Norte II]]+Tabla1[[#This Row],[Extraccion
ENO]]</f>
        <v>71447.108931900002</v>
      </c>
      <c r="J860" s="1862">
        <v>71447.108931900002</v>
      </c>
      <c r="K860" s="1862"/>
      <c r="L860" s="1862">
        <f t="shared" si="69"/>
        <v>552.89106809999794</v>
      </c>
      <c r="M860" s="1862">
        <f>M859+Tabla1[[#This Row],[Desbalance
TPL]]</f>
        <v>-606970.54617051152</v>
      </c>
    </row>
    <row r="861" spans="2:13" x14ac:dyDescent="0.25">
      <c r="B861" s="1859">
        <f t="shared" si="70"/>
        <v>2015</v>
      </c>
      <c r="C861" s="1859">
        <f t="shared" si="71"/>
        <v>11</v>
      </c>
      <c r="D861" s="1860">
        <f t="shared" si="72"/>
        <v>42320</v>
      </c>
      <c r="E861" s="1861">
        <v>42320</v>
      </c>
      <c r="F861" s="1862">
        <f t="shared" si="68"/>
        <v>0</v>
      </c>
      <c r="G861" s="1862">
        <v>62368</v>
      </c>
      <c r="H861" s="1862">
        <v>62368</v>
      </c>
      <c r="I861" s="1862">
        <f>Tabla1[[#This Row],[Extraccion
Norte II]]+Tabla1[[#This Row],[Extraccion
ENO]]</f>
        <v>66741.244917749995</v>
      </c>
      <c r="J861" s="1862">
        <v>66741.244917749995</v>
      </c>
      <c r="K861" s="1862"/>
      <c r="L861" s="1862">
        <f t="shared" si="69"/>
        <v>-4373.2449177499948</v>
      </c>
      <c r="M861" s="1862">
        <f>M860+Tabla1[[#This Row],[Desbalance
TPL]]</f>
        <v>-611343.79108826153</v>
      </c>
    </row>
    <row r="862" spans="2:13" x14ac:dyDescent="0.25">
      <c r="B862" s="1859">
        <f t="shared" si="70"/>
        <v>2015</v>
      </c>
      <c r="C862" s="1859">
        <f t="shared" si="71"/>
        <v>11</v>
      </c>
      <c r="D862" s="1860">
        <f t="shared" si="72"/>
        <v>42321</v>
      </c>
      <c r="E862" s="1861">
        <v>42321</v>
      </c>
      <c r="F862" s="1862">
        <f t="shared" si="68"/>
        <v>0</v>
      </c>
      <c r="G862" s="1862">
        <v>70000</v>
      </c>
      <c r="H862" s="1862">
        <v>70000</v>
      </c>
      <c r="I862" s="1862">
        <f>Tabla1[[#This Row],[Extraccion
Norte II]]+Tabla1[[#This Row],[Extraccion
ENO]]</f>
        <v>62349.155721450006</v>
      </c>
      <c r="J862" s="1862">
        <v>62349.155721450006</v>
      </c>
      <c r="K862" s="1862"/>
      <c r="L862" s="1862">
        <f t="shared" si="69"/>
        <v>7650.8442785499938</v>
      </c>
      <c r="M862" s="1862">
        <f>M861+Tabla1[[#This Row],[Desbalance
TPL]]</f>
        <v>-603692.94680971152</v>
      </c>
    </row>
    <row r="863" spans="2:13" x14ac:dyDescent="0.25">
      <c r="B863" s="1859">
        <f t="shared" si="70"/>
        <v>2015</v>
      </c>
      <c r="C863" s="1859">
        <f t="shared" si="71"/>
        <v>11</v>
      </c>
      <c r="D863" s="1860">
        <f t="shared" si="72"/>
        <v>42322</v>
      </c>
      <c r="E863" s="1861">
        <v>42322</v>
      </c>
      <c r="F863" s="1862">
        <f t="shared" si="68"/>
        <v>0</v>
      </c>
      <c r="G863" s="1862">
        <v>70000</v>
      </c>
      <c r="H863" s="1862">
        <v>70000</v>
      </c>
      <c r="I863" s="1862">
        <f>Tabla1[[#This Row],[Extraccion
Norte II]]+Tabla1[[#This Row],[Extraccion
ENO]]</f>
        <v>64568.327054399997</v>
      </c>
      <c r="J863" s="1862">
        <v>64568.327054399997</v>
      </c>
      <c r="K863" s="1862"/>
      <c r="L863" s="1862">
        <f t="shared" si="69"/>
        <v>5431.672945600003</v>
      </c>
      <c r="M863" s="1862">
        <f>M862+Tabla1[[#This Row],[Desbalance
TPL]]</f>
        <v>-598261.27386411151</v>
      </c>
    </row>
    <row r="864" spans="2:13" x14ac:dyDescent="0.25">
      <c r="B864" s="1859">
        <f t="shared" si="70"/>
        <v>2015</v>
      </c>
      <c r="C864" s="1859">
        <f t="shared" si="71"/>
        <v>11</v>
      </c>
      <c r="D864" s="1860">
        <f t="shared" si="72"/>
        <v>42323</v>
      </c>
      <c r="E864" s="1861">
        <v>42323</v>
      </c>
      <c r="F864" s="1862">
        <f t="shared" si="68"/>
        <v>0</v>
      </c>
      <c r="G864" s="1862">
        <v>70000</v>
      </c>
      <c r="H864" s="1862">
        <v>70000</v>
      </c>
      <c r="I864" s="1862">
        <f>Tabla1[[#This Row],[Extraccion
Norte II]]+Tabla1[[#This Row],[Extraccion
ENO]]</f>
        <v>63660.618826389007</v>
      </c>
      <c r="J864" s="1862">
        <v>63660.618826389007</v>
      </c>
      <c r="K864" s="1862"/>
      <c r="L864" s="1862">
        <f t="shared" si="69"/>
        <v>6339.3811736109928</v>
      </c>
      <c r="M864" s="1862">
        <f>M863+Tabla1[[#This Row],[Desbalance
TPL]]</f>
        <v>-591921.89269050048</v>
      </c>
    </row>
    <row r="865" spans="2:13" x14ac:dyDescent="0.25">
      <c r="B865" s="1859">
        <f t="shared" si="70"/>
        <v>2015</v>
      </c>
      <c r="C865" s="1859">
        <f t="shared" si="71"/>
        <v>11</v>
      </c>
      <c r="D865" s="1860">
        <f t="shared" si="72"/>
        <v>42324</v>
      </c>
      <c r="E865" s="1861">
        <v>42324</v>
      </c>
      <c r="F865" s="1862">
        <f t="shared" si="68"/>
        <v>0</v>
      </c>
      <c r="G865" s="1862">
        <v>70000</v>
      </c>
      <c r="H865" s="1862">
        <v>70000</v>
      </c>
      <c r="I865" s="1862">
        <f>Tabla1[[#This Row],[Extraccion
Norte II]]+Tabla1[[#This Row],[Extraccion
ENO]]</f>
        <v>68658.906184830004</v>
      </c>
      <c r="J865" s="1862">
        <v>68658.906184830004</v>
      </c>
      <c r="K865" s="1862"/>
      <c r="L865" s="1862">
        <f t="shared" si="69"/>
        <v>1341.0938151699957</v>
      </c>
      <c r="M865" s="1862">
        <f>M864+Tabla1[[#This Row],[Desbalance
TPL]]</f>
        <v>-590580.79887533048</v>
      </c>
    </row>
    <row r="866" spans="2:13" x14ac:dyDescent="0.25">
      <c r="B866" s="1859">
        <f t="shared" si="70"/>
        <v>2015</v>
      </c>
      <c r="C866" s="1859">
        <f t="shared" si="71"/>
        <v>11</v>
      </c>
      <c r="D866" s="1860">
        <f t="shared" si="72"/>
        <v>42325</v>
      </c>
      <c r="E866" s="1861">
        <v>42325</v>
      </c>
      <c r="F866" s="1862">
        <f t="shared" si="68"/>
        <v>0</v>
      </c>
      <c r="G866" s="1862">
        <v>70000</v>
      </c>
      <c r="H866" s="1862">
        <v>70000</v>
      </c>
      <c r="I866" s="1862">
        <f>Tabla1[[#This Row],[Extraccion
Norte II]]+Tabla1[[#This Row],[Extraccion
ENO]]</f>
        <v>68457.210727230005</v>
      </c>
      <c r="J866" s="1862">
        <v>68457.210727230005</v>
      </c>
      <c r="K866" s="1862"/>
      <c r="L866" s="1862">
        <f t="shared" si="69"/>
        <v>1542.7892727699946</v>
      </c>
      <c r="M866" s="1862">
        <f>M865+Tabla1[[#This Row],[Desbalance
TPL]]</f>
        <v>-589038.00960256043</v>
      </c>
    </row>
    <row r="867" spans="2:13" x14ac:dyDescent="0.25">
      <c r="B867" s="1859">
        <f t="shared" si="70"/>
        <v>2015</v>
      </c>
      <c r="C867" s="1859">
        <f t="shared" si="71"/>
        <v>11</v>
      </c>
      <c r="D867" s="1860">
        <f t="shared" si="72"/>
        <v>42326</v>
      </c>
      <c r="E867" s="1861">
        <v>42326</v>
      </c>
      <c r="F867" s="1862">
        <f t="shared" si="68"/>
        <v>0</v>
      </c>
      <c r="G867" s="1862">
        <v>70000</v>
      </c>
      <c r="H867" s="1862">
        <v>70000</v>
      </c>
      <c r="I867" s="1862">
        <f>Tabla1[[#This Row],[Extraccion
Norte II]]+Tabla1[[#This Row],[Extraccion
ENO]]</f>
        <v>68683.985422650003</v>
      </c>
      <c r="J867" s="1862">
        <v>68683.985422650003</v>
      </c>
      <c r="K867" s="1862"/>
      <c r="L867" s="1862">
        <f t="shared" si="69"/>
        <v>1316.0145773499971</v>
      </c>
      <c r="M867" s="1862">
        <f>M866+Tabla1[[#This Row],[Desbalance
TPL]]</f>
        <v>-587721.99502521043</v>
      </c>
    </row>
    <row r="868" spans="2:13" x14ac:dyDescent="0.25">
      <c r="B868" s="1859">
        <f t="shared" si="70"/>
        <v>2015</v>
      </c>
      <c r="C868" s="1859">
        <f t="shared" si="71"/>
        <v>11</v>
      </c>
      <c r="D868" s="1860">
        <f t="shared" si="72"/>
        <v>42327</v>
      </c>
      <c r="E868" s="1861">
        <v>42327</v>
      </c>
      <c r="F868" s="1862">
        <f t="shared" si="68"/>
        <v>0</v>
      </c>
      <c r="G868" s="1862">
        <v>64860</v>
      </c>
      <c r="H868" s="1862">
        <v>64860</v>
      </c>
      <c r="I868" s="1862">
        <f>Tabla1[[#This Row],[Extraccion
Norte II]]+Tabla1[[#This Row],[Extraccion
ENO]]</f>
        <v>60948.803494800006</v>
      </c>
      <c r="J868" s="1862">
        <v>60948.803494800006</v>
      </c>
      <c r="K868" s="1862"/>
      <c r="L868" s="1862">
        <f t="shared" si="69"/>
        <v>3911.1965051999941</v>
      </c>
      <c r="M868" s="1862">
        <f>M867+Tabla1[[#This Row],[Desbalance
TPL]]</f>
        <v>-583810.79852001043</v>
      </c>
    </row>
    <row r="869" spans="2:13" x14ac:dyDescent="0.25">
      <c r="B869" s="1859">
        <f t="shared" si="70"/>
        <v>2015</v>
      </c>
      <c r="C869" s="1859">
        <f t="shared" si="71"/>
        <v>11</v>
      </c>
      <c r="D869" s="1860">
        <f t="shared" si="72"/>
        <v>42328</v>
      </c>
      <c r="E869" s="1861">
        <v>42328</v>
      </c>
      <c r="F869" s="1862">
        <f t="shared" si="68"/>
        <v>0</v>
      </c>
      <c r="G869" s="1862">
        <v>65000</v>
      </c>
      <c r="H869" s="1862">
        <v>65000</v>
      </c>
      <c r="I869" s="1862">
        <f>Tabla1[[#This Row],[Extraccion
Norte II]]+Tabla1[[#This Row],[Extraccion
ENO]]</f>
        <v>67850.469465948001</v>
      </c>
      <c r="J869" s="1862">
        <v>67850.469465948001</v>
      </c>
      <c r="K869" s="1862"/>
      <c r="L869" s="1862">
        <f t="shared" si="69"/>
        <v>-2850.469465948001</v>
      </c>
      <c r="M869" s="1862">
        <f>M868+Tabla1[[#This Row],[Desbalance
TPL]]</f>
        <v>-586661.26798595837</v>
      </c>
    </row>
    <row r="870" spans="2:13" x14ac:dyDescent="0.25">
      <c r="B870" s="1859">
        <f t="shared" si="70"/>
        <v>2015</v>
      </c>
      <c r="C870" s="1859">
        <f t="shared" si="71"/>
        <v>11</v>
      </c>
      <c r="D870" s="1860">
        <f t="shared" si="72"/>
        <v>42329</v>
      </c>
      <c r="E870" s="1861">
        <v>42329</v>
      </c>
      <c r="F870" s="1862">
        <f t="shared" si="68"/>
        <v>0</v>
      </c>
      <c r="G870" s="1862">
        <v>65000</v>
      </c>
      <c r="H870" s="1862">
        <v>65000</v>
      </c>
      <c r="I870" s="1862">
        <f>Tabla1[[#This Row],[Extraccion
Norte II]]+Tabla1[[#This Row],[Extraccion
ENO]]</f>
        <v>66987.648903239999</v>
      </c>
      <c r="J870" s="1862">
        <v>66987.648903239999</v>
      </c>
      <c r="K870" s="1862"/>
      <c r="L870" s="1862">
        <f t="shared" si="69"/>
        <v>-1987.6489032399986</v>
      </c>
      <c r="M870" s="1862">
        <f>M869+Tabla1[[#This Row],[Desbalance
TPL]]</f>
        <v>-588648.91688919836</v>
      </c>
    </row>
    <row r="871" spans="2:13" x14ac:dyDescent="0.25">
      <c r="B871" s="1859">
        <f t="shared" si="70"/>
        <v>2015</v>
      </c>
      <c r="C871" s="1859">
        <f t="shared" si="71"/>
        <v>11</v>
      </c>
      <c r="D871" s="1860">
        <f t="shared" si="72"/>
        <v>42330</v>
      </c>
      <c r="E871" s="1861">
        <v>42330</v>
      </c>
      <c r="F871" s="1862">
        <f t="shared" si="68"/>
        <v>0</v>
      </c>
      <c r="G871" s="1862">
        <v>65000</v>
      </c>
      <c r="H871" s="1862">
        <v>65000</v>
      </c>
      <c r="I871" s="1862">
        <f>Tabla1[[#This Row],[Extraccion
Norte II]]+Tabla1[[#This Row],[Extraccion
ENO]]</f>
        <v>63031.621874130004</v>
      </c>
      <c r="J871" s="1862">
        <v>63031.621874130004</v>
      </c>
      <c r="K871" s="1862"/>
      <c r="L871" s="1862">
        <f t="shared" si="69"/>
        <v>1968.3781258699964</v>
      </c>
      <c r="M871" s="1862">
        <f>M870+Tabla1[[#This Row],[Desbalance
TPL]]</f>
        <v>-586680.53876332834</v>
      </c>
    </row>
    <row r="872" spans="2:13" x14ac:dyDescent="0.25">
      <c r="B872" s="1859">
        <f t="shared" si="70"/>
        <v>2015</v>
      </c>
      <c r="C872" s="1859">
        <f t="shared" si="71"/>
        <v>11</v>
      </c>
      <c r="D872" s="1860">
        <f t="shared" si="72"/>
        <v>42331</v>
      </c>
      <c r="E872" s="1861">
        <v>42331</v>
      </c>
      <c r="F872" s="1862">
        <f t="shared" si="68"/>
        <v>0</v>
      </c>
      <c r="G872" s="1862">
        <v>65000</v>
      </c>
      <c r="H872" s="1862">
        <v>65000</v>
      </c>
      <c r="I872" s="1862">
        <f>Tabla1[[#This Row],[Extraccion
Norte II]]+Tabla1[[#This Row],[Extraccion
ENO]]</f>
        <v>69641.555459580006</v>
      </c>
      <c r="J872" s="1862">
        <v>69641.555459580006</v>
      </c>
      <c r="K872" s="1862"/>
      <c r="L872" s="1862">
        <f t="shared" si="69"/>
        <v>-4641.5554595800058</v>
      </c>
      <c r="M872" s="1862">
        <f>M871+Tabla1[[#This Row],[Desbalance
TPL]]</f>
        <v>-591322.09422290837</v>
      </c>
    </row>
    <row r="873" spans="2:13" x14ac:dyDescent="0.25">
      <c r="B873" s="1859">
        <f t="shared" si="70"/>
        <v>2015</v>
      </c>
      <c r="C873" s="1859">
        <f t="shared" si="71"/>
        <v>11</v>
      </c>
      <c r="D873" s="1860">
        <f t="shared" si="72"/>
        <v>42332</v>
      </c>
      <c r="E873" s="1861">
        <v>42332</v>
      </c>
      <c r="F873" s="1862">
        <f t="shared" si="68"/>
        <v>0</v>
      </c>
      <c r="G873" s="1862">
        <v>60000</v>
      </c>
      <c r="H873" s="1862">
        <v>60000</v>
      </c>
      <c r="I873" s="1862">
        <f>Tabla1[[#This Row],[Extraccion
Norte II]]+Tabla1[[#This Row],[Extraccion
ENO]]</f>
        <v>71119.003121009999</v>
      </c>
      <c r="J873" s="1862">
        <v>71119.003121009999</v>
      </c>
      <c r="K873" s="1862"/>
      <c r="L873" s="1862">
        <f t="shared" si="69"/>
        <v>-11119.003121009999</v>
      </c>
      <c r="M873" s="1862">
        <f>M872+Tabla1[[#This Row],[Desbalance
TPL]]</f>
        <v>-602441.0973439184</v>
      </c>
    </row>
    <row r="874" spans="2:13" x14ac:dyDescent="0.25">
      <c r="B874" s="1859">
        <f t="shared" si="70"/>
        <v>2015</v>
      </c>
      <c r="C874" s="1859">
        <f t="shared" si="71"/>
        <v>11</v>
      </c>
      <c r="D874" s="1860">
        <f t="shared" si="72"/>
        <v>42333</v>
      </c>
      <c r="E874" s="1861">
        <v>42333</v>
      </c>
      <c r="F874" s="1862">
        <f t="shared" si="68"/>
        <v>6000</v>
      </c>
      <c r="G874" s="1862">
        <v>66000</v>
      </c>
      <c r="H874" s="1862">
        <v>60000</v>
      </c>
      <c r="I874" s="1862">
        <f>Tabla1[[#This Row],[Extraccion
Norte II]]+Tabla1[[#This Row],[Extraccion
ENO]]</f>
        <v>71846.33893047001</v>
      </c>
      <c r="J874" s="1862">
        <v>71846.33893047001</v>
      </c>
      <c r="K874" s="1862"/>
      <c r="L874" s="1862">
        <f t="shared" si="69"/>
        <v>-11846.33893047001</v>
      </c>
      <c r="M874" s="1862">
        <f>M873+Tabla1[[#This Row],[Desbalance
TPL]]</f>
        <v>-614287.43627438846</v>
      </c>
    </row>
    <row r="875" spans="2:13" x14ac:dyDescent="0.25">
      <c r="B875" s="1859">
        <f t="shared" si="70"/>
        <v>2015</v>
      </c>
      <c r="C875" s="1859">
        <f t="shared" si="71"/>
        <v>11</v>
      </c>
      <c r="D875" s="1860">
        <f t="shared" si="72"/>
        <v>42334</v>
      </c>
      <c r="E875" s="1861">
        <v>42334</v>
      </c>
      <c r="F875" s="1862">
        <f t="shared" si="68"/>
        <v>0</v>
      </c>
      <c r="G875" s="1862">
        <v>68000</v>
      </c>
      <c r="H875" s="1862">
        <v>68000</v>
      </c>
      <c r="I875" s="1862">
        <f>Tabla1[[#This Row],[Extraccion
Norte II]]+Tabla1[[#This Row],[Extraccion
ENO]]</f>
        <v>68900.675345190015</v>
      </c>
      <c r="J875" s="1862">
        <v>68900.675345190015</v>
      </c>
      <c r="K875" s="1862"/>
      <c r="L875" s="1862">
        <f t="shared" si="69"/>
        <v>-900.67534519001492</v>
      </c>
      <c r="M875" s="1862">
        <f>M874+Tabla1[[#This Row],[Desbalance
TPL]]</f>
        <v>-615188.11161957844</v>
      </c>
    </row>
    <row r="876" spans="2:13" x14ac:dyDescent="0.25">
      <c r="B876" s="1859">
        <f t="shared" si="70"/>
        <v>2015</v>
      </c>
      <c r="C876" s="1859">
        <f t="shared" si="71"/>
        <v>11</v>
      </c>
      <c r="D876" s="1860">
        <f t="shared" si="72"/>
        <v>42335</v>
      </c>
      <c r="E876" s="1861">
        <v>42335</v>
      </c>
      <c r="F876" s="1862">
        <f t="shared" si="68"/>
        <v>0</v>
      </c>
      <c r="G876" s="1862">
        <v>68000</v>
      </c>
      <c r="H876" s="1862">
        <v>68000</v>
      </c>
      <c r="I876" s="1862">
        <f>Tabla1[[#This Row],[Extraccion
Norte II]]+Tabla1[[#This Row],[Extraccion
ENO]]</f>
        <v>69693.808610790002</v>
      </c>
      <c r="J876" s="1862">
        <v>69693.808610790002</v>
      </c>
      <c r="K876" s="1862"/>
      <c r="L876" s="1862">
        <f t="shared" si="69"/>
        <v>-1693.8086107900017</v>
      </c>
      <c r="M876" s="1862">
        <f>M875+Tabla1[[#This Row],[Desbalance
TPL]]</f>
        <v>-616881.92023036839</v>
      </c>
    </row>
    <row r="877" spans="2:13" x14ac:dyDescent="0.25">
      <c r="B877" s="1859">
        <f t="shared" si="70"/>
        <v>2015</v>
      </c>
      <c r="C877" s="1859">
        <f t="shared" si="71"/>
        <v>11</v>
      </c>
      <c r="D877" s="1860">
        <f t="shared" si="72"/>
        <v>42336</v>
      </c>
      <c r="E877" s="1861">
        <v>42336</v>
      </c>
      <c r="F877" s="1862">
        <f t="shared" si="68"/>
        <v>0</v>
      </c>
      <c r="G877" s="1862">
        <v>68000</v>
      </c>
      <c r="H877" s="1862">
        <v>68000</v>
      </c>
      <c r="I877" s="1862">
        <f>Tabla1[[#This Row],[Extraccion
Norte II]]+Tabla1[[#This Row],[Extraccion
ENO]]</f>
        <v>61058.901917520001</v>
      </c>
      <c r="J877" s="1862">
        <v>61058.901917520001</v>
      </c>
      <c r="K877" s="1862"/>
      <c r="L877" s="1862">
        <f t="shared" si="69"/>
        <v>6941.098082479999</v>
      </c>
      <c r="M877" s="1862">
        <f>M876+Tabla1[[#This Row],[Desbalance
TPL]]</f>
        <v>-609940.82214788836</v>
      </c>
    </row>
    <row r="878" spans="2:13" x14ac:dyDescent="0.25">
      <c r="B878" s="1859">
        <f t="shared" si="70"/>
        <v>2015</v>
      </c>
      <c r="C878" s="1859">
        <f t="shared" si="71"/>
        <v>11</v>
      </c>
      <c r="D878" s="1860">
        <f t="shared" si="72"/>
        <v>42337</v>
      </c>
      <c r="E878" s="1861">
        <v>42337</v>
      </c>
      <c r="F878" s="1862">
        <f t="shared" si="68"/>
        <v>0</v>
      </c>
      <c r="G878" s="1862">
        <v>68000</v>
      </c>
      <c r="H878" s="1862">
        <v>68000</v>
      </c>
      <c r="I878" s="1862">
        <f>Tabla1[[#This Row],[Extraccion
Norte II]]+Tabla1[[#This Row],[Extraccion
ENO]]</f>
        <v>63812.935861739999</v>
      </c>
      <c r="J878" s="1862">
        <v>63812.935861739999</v>
      </c>
      <c r="K878" s="1862"/>
      <c r="L878" s="1862">
        <f t="shared" si="69"/>
        <v>4187.0641382600006</v>
      </c>
      <c r="M878" s="1862">
        <f>M877+Tabla1[[#This Row],[Desbalance
TPL]]</f>
        <v>-605753.75800962839</v>
      </c>
    </row>
    <row r="879" spans="2:13" x14ac:dyDescent="0.25">
      <c r="B879" s="1859">
        <f t="shared" si="70"/>
        <v>2015</v>
      </c>
      <c r="C879" s="1859">
        <f t="shared" si="71"/>
        <v>11</v>
      </c>
      <c r="D879" s="1860">
        <f t="shared" si="72"/>
        <v>42338</v>
      </c>
      <c r="E879" s="1861">
        <v>42338</v>
      </c>
      <c r="F879" s="1862">
        <f t="shared" si="68"/>
        <v>0</v>
      </c>
      <c r="G879" s="1862">
        <v>68000</v>
      </c>
      <c r="H879" s="1862">
        <v>68000</v>
      </c>
      <c r="I879" s="1862">
        <f>Tabla1[[#This Row],[Extraccion
Norte II]]+Tabla1[[#This Row],[Extraccion
ENO]]</f>
        <v>66741.747260760007</v>
      </c>
      <c r="J879" s="1862">
        <v>66741.747260760007</v>
      </c>
      <c r="K879" s="1862"/>
      <c r="L879" s="1862">
        <f t="shared" si="69"/>
        <v>1258.2527392399934</v>
      </c>
      <c r="M879" s="1862">
        <f>M878+Tabla1[[#This Row],[Desbalance
TPL]]</f>
        <v>-604495.50527038844</v>
      </c>
    </row>
    <row r="880" spans="2:13" x14ac:dyDescent="0.25">
      <c r="B880" s="1859">
        <f t="shared" si="70"/>
        <v>2015</v>
      </c>
      <c r="C880" s="1859">
        <f t="shared" si="71"/>
        <v>12</v>
      </c>
      <c r="D880" s="1860">
        <f t="shared" si="72"/>
        <v>42339</v>
      </c>
      <c r="E880" s="1861">
        <v>42339</v>
      </c>
      <c r="F880" s="1862">
        <f t="shared" si="68"/>
        <v>0</v>
      </c>
      <c r="G880" s="1862">
        <v>70000</v>
      </c>
      <c r="H880" s="1862">
        <v>70000</v>
      </c>
      <c r="I880" s="1862">
        <f>Tabla1[[#This Row],[Extraccion
Norte II]]+Tabla1[[#This Row],[Extraccion
ENO]]</f>
        <v>71370.345233070009</v>
      </c>
      <c r="J880" s="1862">
        <v>71370.345233070009</v>
      </c>
      <c r="K880" s="1862"/>
      <c r="L880" s="1862">
        <f t="shared" si="69"/>
        <v>-1370.3452330700093</v>
      </c>
      <c r="M880" s="1862">
        <f>M879+Tabla1[[#This Row],[Desbalance
TPL]]</f>
        <v>-605865.85050345841</v>
      </c>
    </row>
    <row r="881" spans="2:13" x14ac:dyDescent="0.25">
      <c r="B881" s="1859">
        <f t="shared" si="70"/>
        <v>2015</v>
      </c>
      <c r="C881" s="1859">
        <f t="shared" si="71"/>
        <v>12</v>
      </c>
      <c r="D881" s="1860">
        <f t="shared" si="72"/>
        <v>42340</v>
      </c>
      <c r="E881" s="1861">
        <v>42340</v>
      </c>
      <c r="F881" s="1862">
        <f t="shared" si="68"/>
        <v>0</v>
      </c>
      <c r="G881" s="1862">
        <v>65000</v>
      </c>
      <c r="H881" s="1862">
        <v>65000</v>
      </c>
      <c r="I881" s="1862">
        <f>Tabla1[[#This Row],[Extraccion
Norte II]]+Tabla1[[#This Row],[Extraccion
ENO]]</f>
        <v>72521.659490786988</v>
      </c>
      <c r="J881" s="1862">
        <v>72521.659490786988</v>
      </c>
      <c r="K881" s="1862"/>
      <c r="L881" s="1862">
        <f t="shared" si="69"/>
        <v>-7521.6594907869876</v>
      </c>
      <c r="M881" s="1862">
        <f>M880+Tabla1[[#This Row],[Desbalance
TPL]]</f>
        <v>-613387.50999424537</v>
      </c>
    </row>
    <row r="882" spans="2:13" x14ac:dyDescent="0.25">
      <c r="B882" s="1859">
        <f t="shared" si="70"/>
        <v>2015</v>
      </c>
      <c r="C882" s="1859">
        <f t="shared" si="71"/>
        <v>12</v>
      </c>
      <c r="D882" s="1860">
        <f t="shared" si="72"/>
        <v>42341</v>
      </c>
      <c r="E882" s="1861">
        <v>42341</v>
      </c>
      <c r="F882" s="1862">
        <f t="shared" si="68"/>
        <v>0</v>
      </c>
      <c r="G882" s="1862">
        <v>67000</v>
      </c>
      <c r="H882" s="1862">
        <v>67000</v>
      </c>
      <c r="I882" s="1862">
        <f>Tabla1[[#This Row],[Extraccion
Norte II]]+Tabla1[[#This Row],[Extraccion
ENO]]</f>
        <v>70222.463020710013</v>
      </c>
      <c r="J882" s="1862">
        <v>70222.463020710013</v>
      </c>
      <c r="K882" s="1862"/>
      <c r="L882" s="1862">
        <f t="shared" si="69"/>
        <v>-3222.4630207100126</v>
      </c>
      <c r="M882" s="1862">
        <f>M881+Tabla1[[#This Row],[Desbalance
TPL]]</f>
        <v>-616609.97301495541</v>
      </c>
    </row>
    <row r="883" spans="2:13" x14ac:dyDescent="0.25">
      <c r="B883" s="1859">
        <f t="shared" si="70"/>
        <v>2015</v>
      </c>
      <c r="C883" s="1859">
        <f t="shared" si="71"/>
        <v>12</v>
      </c>
      <c r="D883" s="1860">
        <f t="shared" si="72"/>
        <v>42342</v>
      </c>
      <c r="E883" s="1861">
        <v>42342</v>
      </c>
      <c r="F883" s="1862">
        <f t="shared" si="68"/>
        <v>0</v>
      </c>
      <c r="G883" s="1862">
        <v>67000</v>
      </c>
      <c r="H883" s="1862">
        <v>67000</v>
      </c>
      <c r="I883" s="1862">
        <f>Tabla1[[#This Row],[Extraccion
Norte II]]+Tabla1[[#This Row],[Extraccion
ENO]]</f>
        <v>73059.677384850002</v>
      </c>
      <c r="J883" s="1862">
        <v>73059.677384850002</v>
      </c>
      <c r="K883" s="1862"/>
      <c r="L883" s="1862">
        <f t="shared" si="69"/>
        <v>-6059.6773848500015</v>
      </c>
      <c r="M883" s="1862">
        <f>M882+Tabla1[[#This Row],[Desbalance
TPL]]</f>
        <v>-622669.6503998054</v>
      </c>
    </row>
    <row r="884" spans="2:13" x14ac:dyDescent="0.25">
      <c r="B884" s="1859">
        <f t="shared" si="70"/>
        <v>2015</v>
      </c>
      <c r="C884" s="1859">
        <f t="shared" si="71"/>
        <v>12</v>
      </c>
      <c r="D884" s="1860">
        <f t="shared" si="72"/>
        <v>42343</v>
      </c>
      <c r="E884" s="1861">
        <v>42343</v>
      </c>
      <c r="F884" s="1862">
        <f t="shared" si="68"/>
        <v>0</v>
      </c>
      <c r="G884" s="1862">
        <v>67000</v>
      </c>
      <c r="H884" s="1862">
        <v>67000</v>
      </c>
      <c r="I884" s="1862">
        <f>Tabla1[[#This Row],[Extraccion
Norte II]]+Tabla1[[#This Row],[Extraccion
ENO]]</f>
        <v>72158.995324260002</v>
      </c>
      <c r="J884" s="1862">
        <v>72158.995324260002</v>
      </c>
      <c r="K884" s="1862"/>
      <c r="L884" s="1862">
        <f t="shared" si="69"/>
        <v>-5158.9953242600022</v>
      </c>
      <c r="M884" s="1862">
        <f>M883+Tabla1[[#This Row],[Desbalance
TPL]]</f>
        <v>-627828.64572406537</v>
      </c>
    </row>
    <row r="885" spans="2:13" x14ac:dyDescent="0.25">
      <c r="B885" s="1859">
        <f t="shared" si="70"/>
        <v>2015</v>
      </c>
      <c r="C885" s="1859">
        <f t="shared" si="71"/>
        <v>12</v>
      </c>
      <c r="D885" s="1860">
        <f t="shared" si="72"/>
        <v>42344</v>
      </c>
      <c r="E885" s="1861">
        <v>42344</v>
      </c>
      <c r="F885" s="1862">
        <f t="shared" si="68"/>
        <v>0</v>
      </c>
      <c r="G885" s="1862">
        <v>67000</v>
      </c>
      <c r="H885" s="1862">
        <v>67000</v>
      </c>
      <c r="I885" s="1862">
        <f>Tabla1[[#This Row],[Extraccion
Norte II]]+Tabla1[[#This Row],[Extraccion
ENO]]</f>
        <v>69703.391040660004</v>
      </c>
      <c r="J885" s="1862">
        <v>69703.391040660004</v>
      </c>
      <c r="K885" s="1862"/>
      <c r="L885" s="1862">
        <f t="shared" si="69"/>
        <v>-2703.3910406600044</v>
      </c>
      <c r="M885" s="1862">
        <f>M884+Tabla1[[#This Row],[Desbalance
TPL]]</f>
        <v>-630532.03676472534</v>
      </c>
    </row>
    <row r="886" spans="2:13" x14ac:dyDescent="0.25">
      <c r="B886" s="1859">
        <f t="shared" si="70"/>
        <v>2015</v>
      </c>
      <c r="C886" s="1859">
        <f t="shared" si="71"/>
        <v>12</v>
      </c>
      <c r="D886" s="1860">
        <f t="shared" si="72"/>
        <v>42345</v>
      </c>
      <c r="E886" s="1861">
        <v>42345</v>
      </c>
      <c r="F886" s="1862">
        <f t="shared" si="68"/>
        <v>0</v>
      </c>
      <c r="G886" s="1862">
        <v>67000</v>
      </c>
      <c r="H886" s="1862">
        <v>67000</v>
      </c>
      <c r="I886" s="1862">
        <f>Tabla1[[#This Row],[Extraccion
Norte II]]+Tabla1[[#This Row],[Extraccion
ENO]]</f>
        <v>69377.136316371005</v>
      </c>
      <c r="J886" s="1862">
        <v>69377.136316371005</v>
      </c>
      <c r="K886" s="1862"/>
      <c r="L886" s="1862">
        <f t="shared" si="69"/>
        <v>-2377.1363163710048</v>
      </c>
      <c r="M886" s="1862">
        <f>M885+Tabla1[[#This Row],[Desbalance
TPL]]</f>
        <v>-632909.17308109638</v>
      </c>
    </row>
    <row r="887" spans="2:13" x14ac:dyDescent="0.25">
      <c r="B887" s="1859">
        <f t="shared" si="70"/>
        <v>2015</v>
      </c>
      <c r="C887" s="1859">
        <f t="shared" si="71"/>
        <v>12</v>
      </c>
      <c r="D887" s="1860">
        <f t="shared" si="72"/>
        <v>42346</v>
      </c>
      <c r="E887" s="1861">
        <v>42346</v>
      </c>
      <c r="F887" s="1862">
        <f t="shared" si="68"/>
        <v>0</v>
      </c>
      <c r="G887" s="1862">
        <v>70000</v>
      </c>
      <c r="H887" s="1862">
        <v>70000</v>
      </c>
      <c r="I887" s="1862">
        <f>Tabla1[[#This Row],[Extraccion
Norte II]]+Tabla1[[#This Row],[Extraccion
ENO]]</f>
        <v>70879.313471148009</v>
      </c>
      <c r="J887" s="1862">
        <v>70879.313471148009</v>
      </c>
      <c r="K887" s="1862"/>
      <c r="L887" s="1862">
        <f t="shared" si="69"/>
        <v>-879.31347114800883</v>
      </c>
      <c r="M887" s="1862">
        <f>M886+Tabla1[[#This Row],[Desbalance
TPL]]</f>
        <v>-633788.4865522444</v>
      </c>
    </row>
    <row r="888" spans="2:13" x14ac:dyDescent="0.25">
      <c r="B888" s="1859">
        <f t="shared" si="70"/>
        <v>2015</v>
      </c>
      <c r="C888" s="1859">
        <f t="shared" si="71"/>
        <v>12</v>
      </c>
      <c r="D888" s="1860">
        <f t="shared" si="72"/>
        <v>42347</v>
      </c>
      <c r="E888" s="1861">
        <v>42347</v>
      </c>
      <c r="F888" s="1862">
        <f t="shared" si="68"/>
        <v>0</v>
      </c>
      <c r="G888" s="1862">
        <v>65003</v>
      </c>
      <c r="H888" s="1862">
        <v>65003</v>
      </c>
      <c r="I888" s="1862">
        <f>Tabla1[[#This Row],[Extraccion
Norte II]]+Tabla1[[#This Row],[Extraccion
ENO]]</f>
        <v>68695.018012529996</v>
      </c>
      <c r="J888" s="1862">
        <v>68695.018012529996</v>
      </c>
      <c r="K888" s="1862"/>
      <c r="L888" s="1862">
        <f t="shared" si="69"/>
        <v>-3692.0180125299958</v>
      </c>
      <c r="M888" s="1862">
        <f>M887+Tabla1[[#This Row],[Desbalance
TPL]]</f>
        <v>-637480.50456477446</v>
      </c>
    </row>
    <row r="889" spans="2:13" x14ac:dyDescent="0.25">
      <c r="B889" s="1859">
        <f t="shared" si="70"/>
        <v>2015</v>
      </c>
      <c r="C889" s="1859">
        <f t="shared" si="71"/>
        <v>12</v>
      </c>
      <c r="D889" s="1860">
        <f t="shared" si="72"/>
        <v>42348</v>
      </c>
      <c r="E889" s="1861">
        <v>42348</v>
      </c>
      <c r="F889" s="1862">
        <f t="shared" si="68"/>
        <v>0</v>
      </c>
      <c r="G889" s="1862">
        <v>70000</v>
      </c>
      <c r="H889" s="1862">
        <v>70000</v>
      </c>
      <c r="I889" s="1862">
        <f>Tabla1[[#This Row],[Extraccion
Norte II]]+Tabla1[[#This Row],[Extraccion
ENO]]</f>
        <v>69155.554710294004</v>
      </c>
      <c r="J889" s="1862">
        <v>69155.554710294004</v>
      </c>
      <c r="K889" s="1862"/>
      <c r="L889" s="1862">
        <f t="shared" si="69"/>
        <v>844.4452897059964</v>
      </c>
      <c r="M889" s="1862">
        <f>M888+Tabla1[[#This Row],[Desbalance
TPL]]</f>
        <v>-636636.05927506846</v>
      </c>
    </row>
    <row r="890" spans="2:13" x14ac:dyDescent="0.25">
      <c r="B890" s="1859">
        <f t="shared" si="70"/>
        <v>2015</v>
      </c>
      <c r="C890" s="1859">
        <f t="shared" si="71"/>
        <v>12</v>
      </c>
      <c r="D890" s="1860">
        <f t="shared" si="72"/>
        <v>42349</v>
      </c>
      <c r="E890" s="1861">
        <v>42349</v>
      </c>
      <c r="F890" s="1862">
        <f t="shared" si="68"/>
        <v>0</v>
      </c>
      <c r="G890" s="1862">
        <v>71000</v>
      </c>
      <c r="H890" s="1862">
        <v>71000</v>
      </c>
      <c r="I890" s="1862">
        <f>Tabla1[[#This Row],[Extraccion
Norte II]]+Tabla1[[#This Row],[Extraccion
ENO]]</f>
        <v>72853.337623950007</v>
      </c>
      <c r="J890" s="1862">
        <v>72853.337623950007</v>
      </c>
      <c r="K890" s="1862"/>
      <c r="L890" s="1862">
        <f t="shared" si="69"/>
        <v>-1853.3376239500067</v>
      </c>
      <c r="M890" s="1862">
        <f>M889+Tabla1[[#This Row],[Desbalance
TPL]]</f>
        <v>-638489.39689901844</v>
      </c>
    </row>
    <row r="891" spans="2:13" x14ac:dyDescent="0.25">
      <c r="B891" s="1859">
        <f t="shared" si="70"/>
        <v>2015</v>
      </c>
      <c r="C891" s="1859">
        <f t="shared" si="71"/>
        <v>12</v>
      </c>
      <c r="D891" s="1860">
        <f t="shared" si="72"/>
        <v>42350</v>
      </c>
      <c r="E891" s="1861">
        <v>42350</v>
      </c>
      <c r="F891" s="1862">
        <f t="shared" si="68"/>
        <v>0</v>
      </c>
      <c r="G891" s="1862">
        <v>70000</v>
      </c>
      <c r="H891" s="1862">
        <v>70000</v>
      </c>
      <c r="I891" s="1862">
        <f>Tabla1[[#This Row],[Extraccion
Norte II]]+Tabla1[[#This Row],[Extraccion
ENO]]</f>
        <v>71202.837534659993</v>
      </c>
      <c r="J891" s="1862">
        <v>71202.837534659993</v>
      </c>
      <c r="K891" s="1862"/>
      <c r="L891" s="1862">
        <f t="shared" si="69"/>
        <v>-1202.8375346599933</v>
      </c>
      <c r="M891" s="1862">
        <f>M890+Tabla1[[#This Row],[Desbalance
TPL]]</f>
        <v>-639692.23443367844</v>
      </c>
    </row>
    <row r="892" spans="2:13" x14ac:dyDescent="0.25">
      <c r="B892" s="1859">
        <f t="shared" si="70"/>
        <v>2015</v>
      </c>
      <c r="C892" s="1859">
        <f t="shared" si="71"/>
        <v>12</v>
      </c>
      <c r="D892" s="1860">
        <f t="shared" si="72"/>
        <v>42351</v>
      </c>
      <c r="E892" s="1861">
        <v>42351</v>
      </c>
      <c r="F892" s="1862">
        <f t="shared" si="68"/>
        <v>0</v>
      </c>
      <c r="G892" s="1862">
        <v>69648</v>
      </c>
      <c r="H892" s="1862">
        <v>69648</v>
      </c>
      <c r="I892" s="1862">
        <f>Tabla1[[#This Row],[Extraccion
Norte II]]+Tabla1[[#This Row],[Extraccion
ENO]]</f>
        <v>68981.533613460007</v>
      </c>
      <c r="J892" s="1862">
        <v>68981.533613460007</v>
      </c>
      <c r="K892" s="1862"/>
      <c r="L892" s="1862">
        <f t="shared" si="69"/>
        <v>666.46638653999253</v>
      </c>
      <c r="M892" s="1862">
        <f>M891+Tabla1[[#This Row],[Desbalance
TPL]]</f>
        <v>-639025.76804713847</v>
      </c>
    </row>
    <row r="893" spans="2:13" x14ac:dyDescent="0.25">
      <c r="B893" s="1859">
        <f t="shared" si="70"/>
        <v>2015</v>
      </c>
      <c r="C893" s="1859">
        <f t="shared" si="71"/>
        <v>12</v>
      </c>
      <c r="D893" s="1860">
        <f t="shared" si="72"/>
        <v>42352</v>
      </c>
      <c r="E893" s="1861">
        <v>42352</v>
      </c>
      <c r="F893" s="1862">
        <f t="shared" si="68"/>
        <v>0</v>
      </c>
      <c r="G893" s="1862">
        <v>69981</v>
      </c>
      <c r="H893" s="1862">
        <v>69981</v>
      </c>
      <c r="I893" s="1862">
        <f>Tabla1[[#This Row],[Extraccion
Norte II]]+Tabla1[[#This Row],[Extraccion
ENO]]</f>
        <v>66854.490092909997</v>
      </c>
      <c r="J893" s="1862">
        <v>66854.490092909997</v>
      </c>
      <c r="K893" s="1862"/>
      <c r="L893" s="1862">
        <f t="shared" si="69"/>
        <v>3126.5099070900033</v>
      </c>
      <c r="M893" s="1862">
        <f>M892+Tabla1[[#This Row],[Desbalance
TPL]]</f>
        <v>-635899.25814004848</v>
      </c>
    </row>
    <row r="894" spans="2:13" x14ac:dyDescent="0.25">
      <c r="B894" s="1859">
        <f t="shared" si="70"/>
        <v>2015</v>
      </c>
      <c r="C894" s="1859">
        <f t="shared" si="71"/>
        <v>12</v>
      </c>
      <c r="D894" s="1860">
        <f t="shared" si="72"/>
        <v>42353</v>
      </c>
      <c r="E894" s="1861">
        <v>42353</v>
      </c>
      <c r="F894" s="1862">
        <f t="shared" si="68"/>
        <v>0</v>
      </c>
      <c r="G894" s="1862">
        <v>71000</v>
      </c>
      <c r="H894" s="1862">
        <v>71000</v>
      </c>
      <c r="I894" s="1862">
        <f>Tabla1[[#This Row],[Extraccion
Norte II]]+Tabla1[[#This Row],[Extraccion
ENO]]</f>
        <v>73523.16937602</v>
      </c>
      <c r="J894" s="1862">
        <v>73523.16937602</v>
      </c>
      <c r="K894" s="1862"/>
      <c r="L894" s="1862">
        <f t="shared" si="69"/>
        <v>-2523.1693760199996</v>
      </c>
      <c r="M894" s="1862">
        <f>M893+Tabla1[[#This Row],[Desbalance
TPL]]</f>
        <v>-638422.42751606845</v>
      </c>
    </row>
    <row r="895" spans="2:13" x14ac:dyDescent="0.25">
      <c r="B895" s="1859">
        <f t="shared" si="70"/>
        <v>2015</v>
      </c>
      <c r="C895" s="1859">
        <f t="shared" si="71"/>
        <v>12</v>
      </c>
      <c r="D895" s="1860">
        <f t="shared" si="72"/>
        <v>42354</v>
      </c>
      <c r="E895" s="1861">
        <v>42354</v>
      </c>
      <c r="F895" s="1862">
        <f t="shared" si="68"/>
        <v>0</v>
      </c>
      <c r="G895" s="1862">
        <v>70757</v>
      </c>
      <c r="H895" s="1862">
        <v>70757</v>
      </c>
      <c r="I895" s="1862">
        <f>Tabla1[[#This Row],[Extraccion
Norte II]]+Tabla1[[#This Row],[Extraccion
ENO]]</f>
        <v>73931.28041988</v>
      </c>
      <c r="J895" s="1862">
        <v>73931.28041988</v>
      </c>
      <c r="K895" s="1862"/>
      <c r="L895" s="1862">
        <f t="shared" si="69"/>
        <v>-3174.2804198800004</v>
      </c>
      <c r="M895" s="1862">
        <f>M894+Tabla1[[#This Row],[Desbalance
TPL]]</f>
        <v>-641596.70793594839</v>
      </c>
    </row>
    <row r="896" spans="2:13" x14ac:dyDescent="0.25">
      <c r="B896" s="1859">
        <f t="shared" si="70"/>
        <v>2015</v>
      </c>
      <c r="C896" s="1859">
        <f t="shared" si="71"/>
        <v>12</v>
      </c>
      <c r="D896" s="1860">
        <f t="shared" si="72"/>
        <v>42355</v>
      </c>
      <c r="E896" s="1861">
        <v>42355</v>
      </c>
      <c r="F896" s="1862">
        <f t="shared" si="68"/>
        <v>0</v>
      </c>
      <c r="G896" s="1862">
        <v>70000</v>
      </c>
      <c r="H896" s="1862">
        <v>70000</v>
      </c>
      <c r="I896" s="1862">
        <f>Tabla1[[#This Row],[Extraccion
Norte II]]+Tabla1[[#This Row],[Extraccion
ENO]]</f>
        <v>72689.659106220002</v>
      </c>
      <c r="J896" s="1862">
        <v>72689.659106220002</v>
      </c>
      <c r="K896" s="1862"/>
      <c r="L896" s="1862">
        <f t="shared" si="69"/>
        <v>-2689.6591062200023</v>
      </c>
      <c r="M896" s="1862">
        <f>M895+Tabla1[[#This Row],[Desbalance
TPL]]</f>
        <v>-644286.36704216839</v>
      </c>
    </row>
    <row r="897" spans="2:13" x14ac:dyDescent="0.25">
      <c r="B897" s="1859">
        <f t="shared" si="70"/>
        <v>2015</v>
      </c>
      <c r="C897" s="1859">
        <f t="shared" si="71"/>
        <v>12</v>
      </c>
      <c r="D897" s="1860">
        <f t="shared" si="72"/>
        <v>42356</v>
      </c>
      <c r="E897" s="1861">
        <v>42356</v>
      </c>
      <c r="F897" s="1862">
        <f t="shared" si="68"/>
        <v>0</v>
      </c>
      <c r="G897" s="1862">
        <v>71000</v>
      </c>
      <c r="H897" s="1862">
        <v>71000</v>
      </c>
      <c r="I897" s="1862">
        <f>Tabla1[[#This Row],[Extraccion
Norte II]]+Tabla1[[#This Row],[Extraccion
ENO]]</f>
        <v>69245.292128220011</v>
      </c>
      <c r="J897" s="1862">
        <v>69245.292128220011</v>
      </c>
      <c r="K897" s="1862"/>
      <c r="L897" s="1862">
        <f t="shared" si="69"/>
        <v>1754.7078717799886</v>
      </c>
      <c r="M897" s="1862">
        <f>M896+Tabla1[[#This Row],[Desbalance
TPL]]</f>
        <v>-642531.65917038836</v>
      </c>
    </row>
    <row r="898" spans="2:13" x14ac:dyDescent="0.25">
      <c r="B898" s="1859">
        <f t="shared" si="70"/>
        <v>2015</v>
      </c>
      <c r="C898" s="1859">
        <f t="shared" si="71"/>
        <v>12</v>
      </c>
      <c r="D898" s="1860">
        <f t="shared" si="72"/>
        <v>42357</v>
      </c>
      <c r="E898" s="1861">
        <v>42357</v>
      </c>
      <c r="F898" s="1862">
        <f t="shared" si="68"/>
        <v>0</v>
      </c>
      <c r="G898" s="1862">
        <v>70001</v>
      </c>
      <c r="H898" s="1862">
        <v>70001</v>
      </c>
      <c r="I898" s="1862">
        <f>Tabla1[[#This Row],[Extraccion
Norte II]]+Tabla1[[#This Row],[Extraccion
ENO]]</f>
        <v>69743.456213067009</v>
      </c>
      <c r="J898" s="1862">
        <v>69743.456213067009</v>
      </c>
      <c r="K898" s="1862"/>
      <c r="L898" s="1862">
        <f t="shared" si="69"/>
        <v>257.54378693299077</v>
      </c>
      <c r="M898" s="1862">
        <f>M897+Tabla1[[#This Row],[Desbalance
TPL]]</f>
        <v>-642274.11538345541</v>
      </c>
    </row>
    <row r="899" spans="2:13" x14ac:dyDescent="0.25">
      <c r="B899" s="1859">
        <f t="shared" si="70"/>
        <v>2015</v>
      </c>
      <c r="C899" s="1859">
        <f t="shared" si="71"/>
        <v>12</v>
      </c>
      <c r="D899" s="1860">
        <f t="shared" si="72"/>
        <v>42358</v>
      </c>
      <c r="E899" s="1861">
        <v>42358</v>
      </c>
      <c r="F899" s="1862">
        <f t="shared" si="68"/>
        <v>0</v>
      </c>
      <c r="G899" s="1862">
        <v>70000</v>
      </c>
      <c r="H899" s="1862">
        <v>70000</v>
      </c>
      <c r="I899" s="1862">
        <f>Tabla1[[#This Row],[Extraccion
Norte II]]+Tabla1[[#This Row],[Extraccion
ENO]]</f>
        <v>66089.37429783</v>
      </c>
      <c r="J899" s="1862">
        <v>66089.37429783</v>
      </c>
      <c r="K899" s="1862"/>
      <c r="L899" s="1862">
        <f t="shared" si="69"/>
        <v>3910.6257021700003</v>
      </c>
      <c r="M899" s="1862">
        <f>M898+Tabla1[[#This Row],[Desbalance
TPL]]</f>
        <v>-638363.48968128546</v>
      </c>
    </row>
    <row r="900" spans="2:13" x14ac:dyDescent="0.25">
      <c r="B900" s="1859">
        <f t="shared" si="70"/>
        <v>2015</v>
      </c>
      <c r="C900" s="1859">
        <f t="shared" si="71"/>
        <v>12</v>
      </c>
      <c r="D900" s="1860">
        <f t="shared" si="72"/>
        <v>42359</v>
      </c>
      <c r="E900" s="1861">
        <v>42359</v>
      </c>
      <c r="F900" s="1862">
        <f t="shared" si="68"/>
        <v>0</v>
      </c>
      <c r="G900" s="1862">
        <v>70000</v>
      </c>
      <c r="H900" s="1862">
        <v>70000</v>
      </c>
      <c r="I900" s="1862">
        <f>Tabla1[[#This Row],[Extraccion
Norte II]]+Tabla1[[#This Row],[Extraccion
ENO]]</f>
        <v>68045.877105570005</v>
      </c>
      <c r="J900" s="1862">
        <v>68045.877105570005</v>
      </c>
      <c r="K900" s="1862"/>
      <c r="L900" s="1862">
        <f t="shared" si="69"/>
        <v>1954.1228944299946</v>
      </c>
      <c r="M900" s="1862">
        <f>M899+Tabla1[[#This Row],[Desbalance
TPL]]</f>
        <v>-636409.36678685551</v>
      </c>
    </row>
    <row r="901" spans="2:13" x14ac:dyDescent="0.25">
      <c r="B901" s="1859">
        <f t="shared" si="70"/>
        <v>2015</v>
      </c>
      <c r="C901" s="1859">
        <f t="shared" si="71"/>
        <v>12</v>
      </c>
      <c r="D901" s="1860">
        <f t="shared" si="72"/>
        <v>42360</v>
      </c>
      <c r="E901" s="1861">
        <v>42360</v>
      </c>
      <c r="F901" s="1862">
        <f t="shared" si="68"/>
        <v>0</v>
      </c>
      <c r="G901" s="1862">
        <v>70000</v>
      </c>
      <c r="H901" s="1862">
        <v>70000</v>
      </c>
      <c r="I901" s="1862">
        <f>Tabla1[[#This Row],[Extraccion
Norte II]]+Tabla1[[#This Row],[Extraccion
ENO]]</f>
        <v>69855.107160033003</v>
      </c>
      <c r="J901" s="1862">
        <v>69855.107160033003</v>
      </c>
      <c r="K901" s="1862"/>
      <c r="L901" s="1862">
        <f t="shared" si="69"/>
        <v>144.89283996699669</v>
      </c>
      <c r="M901" s="1862">
        <f>M900+Tabla1[[#This Row],[Desbalance
TPL]]</f>
        <v>-636264.47394688847</v>
      </c>
    </row>
    <row r="902" spans="2:13" x14ac:dyDescent="0.25">
      <c r="B902" s="1859">
        <f t="shared" si="70"/>
        <v>2015</v>
      </c>
      <c r="C902" s="1859">
        <f t="shared" si="71"/>
        <v>12</v>
      </c>
      <c r="D902" s="1860">
        <f t="shared" si="72"/>
        <v>42361</v>
      </c>
      <c r="E902" s="1861">
        <v>42361</v>
      </c>
      <c r="F902" s="1862">
        <f t="shared" si="68"/>
        <v>0</v>
      </c>
      <c r="G902" s="1862">
        <v>70000</v>
      </c>
      <c r="H902" s="1862">
        <v>70000</v>
      </c>
      <c r="I902" s="1862">
        <f>Tabla1[[#This Row],[Extraccion
Norte II]]+Tabla1[[#This Row],[Extraccion
ENO]]</f>
        <v>69655.933843470004</v>
      </c>
      <c r="J902" s="1862">
        <v>69655.933843470004</v>
      </c>
      <c r="K902" s="1862"/>
      <c r="L902" s="1862">
        <f t="shared" si="69"/>
        <v>344.06615652999608</v>
      </c>
      <c r="M902" s="1862">
        <f>M901+Tabla1[[#This Row],[Desbalance
TPL]]</f>
        <v>-635920.40779035841</v>
      </c>
    </row>
    <row r="903" spans="2:13" x14ac:dyDescent="0.25">
      <c r="B903" s="1859">
        <f t="shared" si="70"/>
        <v>2015</v>
      </c>
      <c r="C903" s="1859">
        <f t="shared" si="71"/>
        <v>12</v>
      </c>
      <c r="D903" s="1860">
        <f t="shared" si="72"/>
        <v>42362</v>
      </c>
      <c r="E903" s="1861">
        <v>42362</v>
      </c>
      <c r="F903" s="1862">
        <f t="shared" si="68"/>
        <v>0</v>
      </c>
      <c r="G903" s="1862">
        <v>70000</v>
      </c>
      <c r="H903" s="1862">
        <v>70000</v>
      </c>
      <c r="I903" s="1862">
        <f>Tabla1[[#This Row],[Extraccion
Norte II]]+Tabla1[[#This Row],[Extraccion
ENO]]</f>
        <v>68294.157768720004</v>
      </c>
      <c r="J903" s="1862">
        <v>68294.157768720004</v>
      </c>
      <c r="K903" s="1862"/>
      <c r="L903" s="1862">
        <f t="shared" si="69"/>
        <v>1705.8422312799958</v>
      </c>
      <c r="M903" s="1862">
        <f>M902+Tabla1[[#This Row],[Desbalance
TPL]]</f>
        <v>-634214.56555907847</v>
      </c>
    </row>
    <row r="904" spans="2:13" x14ac:dyDescent="0.25">
      <c r="B904" s="1859">
        <f t="shared" si="70"/>
        <v>2015</v>
      </c>
      <c r="C904" s="1859">
        <f t="shared" si="71"/>
        <v>12</v>
      </c>
      <c r="D904" s="1860">
        <f t="shared" si="72"/>
        <v>42363</v>
      </c>
      <c r="E904" s="1861">
        <v>42363</v>
      </c>
      <c r="F904" s="1862">
        <f t="shared" si="68"/>
        <v>0</v>
      </c>
      <c r="G904" s="1862">
        <v>68000</v>
      </c>
      <c r="H904" s="1862">
        <v>68000</v>
      </c>
      <c r="I904" s="1862">
        <f>Tabla1[[#This Row],[Extraccion
Norte II]]+Tabla1[[#This Row],[Extraccion
ENO]]</f>
        <v>60881.186230020008</v>
      </c>
      <c r="J904" s="1862">
        <v>60881.186230020008</v>
      </c>
      <c r="K904" s="1862"/>
      <c r="L904" s="1862">
        <f t="shared" si="69"/>
        <v>7118.8137699799918</v>
      </c>
      <c r="M904" s="1862">
        <f>M903+Tabla1[[#This Row],[Desbalance
TPL]]</f>
        <v>-627095.75178909849</v>
      </c>
    </row>
    <row r="905" spans="2:13" x14ac:dyDescent="0.25">
      <c r="B905" s="1859">
        <f t="shared" si="70"/>
        <v>2015</v>
      </c>
      <c r="C905" s="1859">
        <f t="shared" si="71"/>
        <v>12</v>
      </c>
      <c r="D905" s="1860">
        <f t="shared" si="72"/>
        <v>42364</v>
      </c>
      <c r="E905" s="1861">
        <v>42364</v>
      </c>
      <c r="F905" s="1862">
        <f t="shared" si="68"/>
        <v>0</v>
      </c>
      <c r="G905" s="1862">
        <v>67999</v>
      </c>
      <c r="H905" s="1862">
        <v>67999</v>
      </c>
      <c r="I905" s="1862">
        <f>Tabla1[[#This Row],[Extraccion
Norte II]]+Tabla1[[#This Row],[Extraccion
ENO]]</f>
        <v>70354.68349221001</v>
      </c>
      <c r="J905" s="1862">
        <v>70354.68349221001</v>
      </c>
      <c r="K905" s="1862"/>
      <c r="L905" s="1862">
        <f t="shared" si="69"/>
        <v>-2355.6834922100097</v>
      </c>
      <c r="M905" s="1862">
        <f>M904+Tabla1[[#This Row],[Desbalance
TPL]]</f>
        <v>-629451.43528130848</v>
      </c>
    </row>
    <row r="906" spans="2:13" x14ac:dyDescent="0.25">
      <c r="B906" s="1859">
        <f t="shared" si="70"/>
        <v>2015</v>
      </c>
      <c r="C906" s="1859">
        <f t="shared" si="71"/>
        <v>12</v>
      </c>
      <c r="D906" s="1860">
        <f t="shared" si="72"/>
        <v>42365</v>
      </c>
      <c r="E906" s="1861">
        <v>42365</v>
      </c>
      <c r="F906" s="1862">
        <f t="shared" si="68"/>
        <v>0</v>
      </c>
      <c r="G906" s="1862">
        <v>63651</v>
      </c>
      <c r="H906" s="1862">
        <v>63651</v>
      </c>
      <c r="I906" s="1862">
        <f>Tabla1[[#This Row],[Extraccion
Norte II]]+Tabla1[[#This Row],[Extraccion
ENO]]</f>
        <v>70365.071566529994</v>
      </c>
      <c r="J906" s="1862">
        <v>70365.071566529994</v>
      </c>
      <c r="K906" s="1862"/>
      <c r="L906" s="1862">
        <f t="shared" si="69"/>
        <v>-6714.071566529994</v>
      </c>
      <c r="M906" s="1862">
        <f>M905+Tabla1[[#This Row],[Desbalance
TPL]]</f>
        <v>-636165.50684783852</v>
      </c>
    </row>
    <row r="907" spans="2:13" x14ac:dyDescent="0.25">
      <c r="B907" s="1859">
        <f t="shared" si="70"/>
        <v>2015</v>
      </c>
      <c r="C907" s="1859">
        <f t="shared" si="71"/>
        <v>12</v>
      </c>
      <c r="D907" s="1860">
        <f t="shared" si="72"/>
        <v>42366</v>
      </c>
      <c r="E907" s="1861">
        <v>42366</v>
      </c>
      <c r="F907" s="1862">
        <f t="shared" si="68"/>
        <v>0</v>
      </c>
      <c r="G907" s="1862">
        <v>48679</v>
      </c>
      <c r="H907" s="1862">
        <v>48679</v>
      </c>
      <c r="I907" s="1862">
        <f>Tabla1[[#This Row],[Extraccion
Norte II]]+Tabla1[[#This Row],[Extraccion
ENO]]</f>
        <v>68189.528250090007</v>
      </c>
      <c r="J907" s="1862">
        <v>68189.528250090007</v>
      </c>
      <c r="K907" s="1862"/>
      <c r="L907" s="1862">
        <f t="shared" si="69"/>
        <v>-19510.528250090007</v>
      </c>
      <c r="M907" s="1862">
        <f>M906+Tabla1[[#This Row],[Desbalance
TPL]]</f>
        <v>-655676.03509792848</v>
      </c>
    </row>
    <row r="908" spans="2:13" x14ac:dyDescent="0.25">
      <c r="B908" s="1859">
        <f t="shared" si="70"/>
        <v>2015</v>
      </c>
      <c r="C908" s="1859">
        <f t="shared" si="71"/>
        <v>12</v>
      </c>
      <c r="D908" s="1860">
        <f t="shared" si="72"/>
        <v>42367</v>
      </c>
      <c r="E908" s="1861">
        <v>42367</v>
      </c>
      <c r="F908" s="1862">
        <f t="shared" ref="F908:F971" si="73">G908-H908</f>
        <v>0</v>
      </c>
      <c r="G908" s="1862">
        <v>68000</v>
      </c>
      <c r="H908" s="1862">
        <v>68000</v>
      </c>
      <c r="I908" s="1862">
        <f>Tabla1[[#This Row],[Extraccion
Norte II]]+Tabla1[[#This Row],[Extraccion
ENO]]</f>
        <v>70150.79857734</v>
      </c>
      <c r="J908" s="1862">
        <v>70150.79857734</v>
      </c>
      <c r="K908" s="1862"/>
      <c r="L908" s="1862">
        <f t="shared" ref="L908:L971" si="74">H908-I908</f>
        <v>-2150.7985773399996</v>
      </c>
      <c r="M908" s="1862">
        <f>M907+Tabla1[[#This Row],[Desbalance
TPL]]</f>
        <v>-657826.83367526846</v>
      </c>
    </row>
    <row r="909" spans="2:13" x14ac:dyDescent="0.25">
      <c r="B909" s="1859">
        <f t="shared" si="70"/>
        <v>2015</v>
      </c>
      <c r="C909" s="1859">
        <f t="shared" si="71"/>
        <v>12</v>
      </c>
      <c r="D909" s="1860">
        <f t="shared" si="72"/>
        <v>42368</v>
      </c>
      <c r="E909" s="1861">
        <v>42368</v>
      </c>
      <c r="F909" s="1862">
        <f t="shared" si="73"/>
        <v>0</v>
      </c>
      <c r="G909" s="1862">
        <v>68000</v>
      </c>
      <c r="H909" s="1862">
        <v>68000</v>
      </c>
      <c r="I909" s="1862">
        <f>Tabla1[[#This Row],[Extraccion
Norte II]]+Tabla1[[#This Row],[Extraccion
ENO]]</f>
        <v>68582.948130450008</v>
      </c>
      <c r="J909" s="1862">
        <v>68582.948130450008</v>
      </c>
      <c r="K909" s="1862"/>
      <c r="L909" s="1862">
        <f t="shared" si="74"/>
        <v>-582.94813045000774</v>
      </c>
      <c r="M909" s="1862">
        <f>M908+Tabla1[[#This Row],[Desbalance
TPL]]</f>
        <v>-658409.78180571843</v>
      </c>
    </row>
    <row r="910" spans="2:13" x14ac:dyDescent="0.25">
      <c r="B910" s="1859">
        <f t="shared" si="70"/>
        <v>2015</v>
      </c>
      <c r="C910" s="1859">
        <f t="shared" si="71"/>
        <v>12</v>
      </c>
      <c r="D910" s="1860">
        <f t="shared" si="72"/>
        <v>42369</v>
      </c>
      <c r="E910" s="1861">
        <v>42369</v>
      </c>
      <c r="F910" s="1862">
        <f t="shared" si="73"/>
        <v>0</v>
      </c>
      <c r="G910" s="1862">
        <v>68000</v>
      </c>
      <c r="H910" s="1862">
        <v>68000</v>
      </c>
      <c r="I910" s="1862">
        <f>Tabla1[[#This Row],[Extraccion
Norte II]]+Tabla1[[#This Row],[Extraccion
ENO]]</f>
        <v>60423.700288842425</v>
      </c>
      <c r="J910" s="1862">
        <v>60423.700288842425</v>
      </c>
      <c r="K910" s="1862"/>
      <c r="L910" s="1862">
        <f t="shared" si="74"/>
        <v>7576.2997111575751</v>
      </c>
      <c r="M910" s="1862">
        <f>M909+Tabla1[[#This Row],[Desbalance
TPL]]</f>
        <v>-650833.48209456087</v>
      </c>
    </row>
    <row r="911" spans="2:13" x14ac:dyDescent="0.25">
      <c r="B911" s="1859">
        <f t="shared" si="70"/>
        <v>2016</v>
      </c>
      <c r="C911" s="1859">
        <f t="shared" si="71"/>
        <v>1</v>
      </c>
      <c r="D911" s="1860">
        <f t="shared" si="72"/>
        <v>42370</v>
      </c>
      <c r="E911" s="1861">
        <v>42370</v>
      </c>
      <c r="F911" s="1862">
        <f t="shared" si="73"/>
        <v>0</v>
      </c>
      <c r="G911" s="1862">
        <v>64993</v>
      </c>
      <c r="H911" s="1862">
        <v>64993</v>
      </c>
      <c r="I911" s="1862">
        <f>Tabla1[[#This Row],[Extraccion
Norte II]]+Tabla1[[#This Row],[Extraccion
ENO]]</f>
        <v>55517.129656559999</v>
      </c>
      <c r="J911" s="1862">
        <v>55517.129656559999</v>
      </c>
      <c r="K911" s="1862"/>
      <c r="L911" s="1862">
        <f t="shared" si="74"/>
        <v>9475.8703434400013</v>
      </c>
      <c r="M911" s="1862">
        <f>M910+Tabla1[[#This Row],[Desbalance
TPL]]</f>
        <v>-641357.61175112089</v>
      </c>
    </row>
    <row r="912" spans="2:13" x14ac:dyDescent="0.25">
      <c r="B912" s="1859">
        <f t="shared" si="70"/>
        <v>2016</v>
      </c>
      <c r="C912" s="1859">
        <f t="shared" si="71"/>
        <v>1</v>
      </c>
      <c r="D912" s="1860">
        <f t="shared" si="72"/>
        <v>42371</v>
      </c>
      <c r="E912" s="1861">
        <v>42371</v>
      </c>
      <c r="F912" s="1862">
        <f t="shared" si="73"/>
        <v>0</v>
      </c>
      <c r="G912" s="1862">
        <v>64993</v>
      </c>
      <c r="H912" s="1862">
        <v>64993</v>
      </c>
      <c r="I912" s="1862">
        <f>Tabla1[[#This Row],[Extraccion
Norte II]]+Tabla1[[#This Row],[Extraccion
ENO]]</f>
        <v>66550.98013317</v>
      </c>
      <c r="J912" s="1862">
        <v>66550.98013317</v>
      </c>
      <c r="K912" s="1862"/>
      <c r="L912" s="1862">
        <f t="shared" si="74"/>
        <v>-1557.98013317</v>
      </c>
      <c r="M912" s="1862">
        <f>M911+Tabla1[[#This Row],[Desbalance
TPL]]</f>
        <v>-642915.59188429092</v>
      </c>
    </row>
    <row r="913" spans="2:13" x14ac:dyDescent="0.25">
      <c r="B913" s="1859">
        <f t="shared" si="70"/>
        <v>2016</v>
      </c>
      <c r="C913" s="1859">
        <f t="shared" si="71"/>
        <v>1</v>
      </c>
      <c r="D913" s="1860">
        <f t="shared" si="72"/>
        <v>42372</v>
      </c>
      <c r="E913" s="1861">
        <v>42372</v>
      </c>
      <c r="F913" s="1862">
        <f t="shared" si="73"/>
        <v>0</v>
      </c>
      <c r="G913" s="1862">
        <v>64993</v>
      </c>
      <c r="H913" s="1862">
        <v>64993</v>
      </c>
      <c r="I913" s="1862">
        <f>Tabla1[[#This Row],[Extraccion
Norte II]]+Tabla1[[#This Row],[Extraccion
ENO]]</f>
        <v>66878.948510595001</v>
      </c>
      <c r="J913" s="1862">
        <v>66878.948510595001</v>
      </c>
      <c r="K913" s="1862"/>
      <c r="L913" s="1862">
        <f t="shared" si="74"/>
        <v>-1885.9485105950007</v>
      </c>
      <c r="M913" s="1862">
        <f>M912+Tabla1[[#This Row],[Desbalance
TPL]]</f>
        <v>-644801.54039488593</v>
      </c>
    </row>
    <row r="914" spans="2:13" x14ac:dyDescent="0.25">
      <c r="B914" s="1859">
        <f t="shared" si="70"/>
        <v>2016</v>
      </c>
      <c r="C914" s="1859">
        <f t="shared" si="71"/>
        <v>1</v>
      </c>
      <c r="D914" s="1860">
        <f t="shared" si="72"/>
        <v>42373</v>
      </c>
      <c r="E914" s="1861">
        <v>42373</v>
      </c>
      <c r="F914" s="1862">
        <f t="shared" si="73"/>
        <v>0</v>
      </c>
      <c r="G914" s="1862">
        <v>64993</v>
      </c>
      <c r="H914" s="1862">
        <v>64993</v>
      </c>
      <c r="I914" s="1862">
        <f>Tabla1[[#This Row],[Extraccion
Norte II]]+Tabla1[[#This Row],[Extraccion
ENO]]</f>
        <v>64496.984868809996</v>
      </c>
      <c r="J914" s="1862">
        <v>64496.984868809996</v>
      </c>
      <c r="K914" s="1862"/>
      <c r="L914" s="1862">
        <f t="shared" si="74"/>
        <v>496.01513119000447</v>
      </c>
      <c r="M914" s="1862">
        <f>M913+Tabla1[[#This Row],[Desbalance
TPL]]</f>
        <v>-644305.52526369598</v>
      </c>
    </row>
    <row r="915" spans="2:13" x14ac:dyDescent="0.25">
      <c r="B915" s="1859">
        <f t="shared" si="70"/>
        <v>2016</v>
      </c>
      <c r="C915" s="1859">
        <f t="shared" si="71"/>
        <v>1</v>
      </c>
      <c r="D915" s="1860">
        <f t="shared" si="72"/>
        <v>42374</v>
      </c>
      <c r="E915" s="1861">
        <v>42374</v>
      </c>
      <c r="F915" s="1862">
        <f t="shared" si="73"/>
        <v>0</v>
      </c>
      <c r="G915" s="1862">
        <v>69984</v>
      </c>
      <c r="H915" s="1862">
        <v>69984</v>
      </c>
      <c r="I915" s="1862">
        <f>Tabla1[[#This Row],[Extraccion
Norte II]]+Tabla1[[#This Row],[Extraccion
ENO]]</f>
        <v>67587.247415610007</v>
      </c>
      <c r="J915" s="1862">
        <v>67587.247415610007</v>
      </c>
      <c r="K915" s="1862"/>
      <c r="L915" s="1862">
        <f t="shared" si="74"/>
        <v>2396.752584389993</v>
      </c>
      <c r="M915" s="1862">
        <f>M914+Tabla1[[#This Row],[Desbalance
TPL]]</f>
        <v>-641908.77267930598</v>
      </c>
    </row>
    <row r="916" spans="2:13" x14ac:dyDescent="0.25">
      <c r="B916" s="1859">
        <f t="shared" si="70"/>
        <v>2016</v>
      </c>
      <c r="C916" s="1859">
        <f t="shared" si="71"/>
        <v>1</v>
      </c>
      <c r="D916" s="1860">
        <f t="shared" si="72"/>
        <v>42375</v>
      </c>
      <c r="E916" s="1861">
        <v>42375</v>
      </c>
      <c r="F916" s="1862">
        <f t="shared" si="73"/>
        <v>0</v>
      </c>
      <c r="G916" s="1862">
        <v>70000</v>
      </c>
      <c r="H916" s="1862">
        <v>70000</v>
      </c>
      <c r="I916" s="1862">
        <f>Tabla1[[#This Row],[Extraccion
Norte II]]+Tabla1[[#This Row],[Extraccion
ENO]]</f>
        <v>70601.624889939005</v>
      </c>
      <c r="J916" s="1862">
        <v>70601.624889939005</v>
      </c>
      <c r="K916" s="1862"/>
      <c r="L916" s="1862">
        <f t="shared" si="74"/>
        <v>-601.62488993900479</v>
      </c>
      <c r="M916" s="1862">
        <f>M915+Tabla1[[#This Row],[Desbalance
TPL]]</f>
        <v>-642510.39756924496</v>
      </c>
    </row>
    <row r="917" spans="2:13" x14ac:dyDescent="0.25">
      <c r="B917" s="1859">
        <f t="shared" si="70"/>
        <v>2016</v>
      </c>
      <c r="C917" s="1859">
        <f t="shared" si="71"/>
        <v>1</v>
      </c>
      <c r="D917" s="1860">
        <f t="shared" si="72"/>
        <v>42376</v>
      </c>
      <c r="E917" s="1861">
        <v>42376</v>
      </c>
      <c r="F917" s="1862">
        <f t="shared" si="73"/>
        <v>0</v>
      </c>
      <c r="G917" s="1862">
        <v>70000</v>
      </c>
      <c r="H917" s="1862">
        <v>70000</v>
      </c>
      <c r="I917" s="1862">
        <f>Tabla1[[#This Row],[Extraccion
Norte II]]+Tabla1[[#This Row],[Extraccion
ENO]]</f>
        <v>72509.441181840011</v>
      </c>
      <c r="J917" s="1862">
        <v>72509.441181840011</v>
      </c>
      <c r="K917" s="1862"/>
      <c r="L917" s="1862">
        <f t="shared" si="74"/>
        <v>-2509.4411818400113</v>
      </c>
      <c r="M917" s="1862">
        <f>M916+Tabla1[[#This Row],[Desbalance
TPL]]</f>
        <v>-645019.83875108499</v>
      </c>
    </row>
    <row r="918" spans="2:13" x14ac:dyDescent="0.25">
      <c r="B918" s="1859">
        <f t="shared" si="70"/>
        <v>2016</v>
      </c>
      <c r="C918" s="1859">
        <f t="shared" si="71"/>
        <v>1</v>
      </c>
      <c r="D918" s="1860">
        <f t="shared" si="72"/>
        <v>42377</v>
      </c>
      <c r="E918" s="1861">
        <v>42377</v>
      </c>
      <c r="F918" s="1862">
        <f t="shared" si="73"/>
        <v>0</v>
      </c>
      <c r="G918" s="1862">
        <v>68000</v>
      </c>
      <c r="H918" s="1862">
        <v>68000</v>
      </c>
      <c r="I918" s="1862">
        <f>Tabla1[[#This Row],[Extraccion
Norte II]]+Tabla1[[#This Row],[Extraccion
ENO]]</f>
        <v>71748.581085090002</v>
      </c>
      <c r="J918" s="1862">
        <v>71748.581085090002</v>
      </c>
      <c r="K918" s="1862"/>
      <c r="L918" s="1862">
        <f t="shared" si="74"/>
        <v>-3748.5810850900016</v>
      </c>
      <c r="M918" s="1862">
        <f>M917+Tabla1[[#This Row],[Desbalance
TPL]]</f>
        <v>-648768.41983617493</v>
      </c>
    </row>
    <row r="919" spans="2:13" x14ac:dyDescent="0.25">
      <c r="B919" s="1859">
        <f t="shared" si="70"/>
        <v>2016</v>
      </c>
      <c r="C919" s="1859">
        <f t="shared" si="71"/>
        <v>1</v>
      </c>
      <c r="D919" s="1860">
        <f t="shared" si="72"/>
        <v>42378</v>
      </c>
      <c r="E919" s="1861">
        <v>42378</v>
      </c>
      <c r="F919" s="1862">
        <f t="shared" si="73"/>
        <v>0</v>
      </c>
      <c r="G919" s="1862">
        <v>68000</v>
      </c>
      <c r="H919" s="1862">
        <v>68000</v>
      </c>
      <c r="I919" s="1862">
        <f>Tabla1[[#This Row],[Extraccion
Norte II]]+Tabla1[[#This Row],[Extraccion
ENO]]</f>
        <v>65760.965185499997</v>
      </c>
      <c r="J919" s="1862">
        <v>65760.965185499997</v>
      </c>
      <c r="K919" s="1862"/>
      <c r="L919" s="1862">
        <f t="shared" si="74"/>
        <v>2239.0348145000025</v>
      </c>
      <c r="M919" s="1862">
        <f>M918+Tabla1[[#This Row],[Desbalance
TPL]]</f>
        <v>-646529.38502167491</v>
      </c>
    </row>
    <row r="920" spans="2:13" x14ac:dyDescent="0.25">
      <c r="B920" s="1859">
        <f t="shared" si="70"/>
        <v>2016</v>
      </c>
      <c r="C920" s="1859">
        <f t="shared" si="71"/>
        <v>1</v>
      </c>
      <c r="D920" s="1860">
        <f t="shared" si="72"/>
        <v>42379</v>
      </c>
      <c r="E920" s="1861">
        <v>42379</v>
      </c>
      <c r="F920" s="1862">
        <f t="shared" si="73"/>
        <v>0</v>
      </c>
      <c r="G920" s="1862">
        <v>68000</v>
      </c>
      <c r="H920" s="1862">
        <v>68000</v>
      </c>
      <c r="I920" s="1862">
        <f>Tabla1[[#This Row],[Extraccion
Norte II]]+Tabla1[[#This Row],[Extraccion
ENO]]</f>
        <v>64542.499041149997</v>
      </c>
      <c r="J920" s="1862">
        <v>64542.499041149997</v>
      </c>
      <c r="K920" s="1862"/>
      <c r="L920" s="1862">
        <f t="shared" si="74"/>
        <v>3457.5009588500034</v>
      </c>
      <c r="M920" s="1862">
        <f>M919+Tabla1[[#This Row],[Desbalance
TPL]]</f>
        <v>-643071.88406282489</v>
      </c>
    </row>
    <row r="921" spans="2:13" x14ac:dyDescent="0.25">
      <c r="B921" s="1859">
        <f t="shared" si="70"/>
        <v>2016</v>
      </c>
      <c r="C921" s="1859">
        <f t="shared" si="71"/>
        <v>1</v>
      </c>
      <c r="D921" s="1860">
        <f t="shared" si="72"/>
        <v>42380</v>
      </c>
      <c r="E921" s="1861">
        <v>42380</v>
      </c>
      <c r="F921" s="1862">
        <f t="shared" si="73"/>
        <v>0</v>
      </c>
      <c r="G921" s="1862">
        <v>68000</v>
      </c>
      <c r="H921" s="1862">
        <v>68000</v>
      </c>
      <c r="I921" s="1862">
        <f>Tabla1[[#This Row],[Extraccion
Norte II]]+Tabla1[[#This Row],[Extraccion
ENO]]</f>
        <v>67510.559542140007</v>
      </c>
      <c r="J921" s="1862">
        <v>67510.559542140007</v>
      </c>
      <c r="K921" s="1862"/>
      <c r="L921" s="1862">
        <f t="shared" si="74"/>
        <v>489.44045785999333</v>
      </c>
      <c r="M921" s="1862">
        <f>M920+Tabla1[[#This Row],[Desbalance
TPL]]</f>
        <v>-642582.44360496488</v>
      </c>
    </row>
    <row r="922" spans="2:13" x14ac:dyDescent="0.25">
      <c r="B922" s="1859">
        <f t="shared" si="70"/>
        <v>2016</v>
      </c>
      <c r="C922" s="1859">
        <f t="shared" si="71"/>
        <v>1</v>
      </c>
      <c r="D922" s="1860">
        <f t="shared" si="72"/>
        <v>42381</v>
      </c>
      <c r="E922" s="1861">
        <v>42381</v>
      </c>
      <c r="F922" s="1862">
        <f t="shared" si="73"/>
        <v>0</v>
      </c>
      <c r="G922" s="1862">
        <v>70000</v>
      </c>
      <c r="H922" s="1862">
        <v>70000</v>
      </c>
      <c r="I922" s="1862">
        <f>Tabla1[[#This Row],[Extraccion
Norte II]]+Tabla1[[#This Row],[Extraccion
ENO]]</f>
        <v>68699.671793999994</v>
      </c>
      <c r="J922" s="1862">
        <v>68699.671793999994</v>
      </c>
      <c r="K922" s="1862"/>
      <c r="L922" s="1862">
        <f t="shared" si="74"/>
        <v>1300.3282060000056</v>
      </c>
      <c r="M922" s="1862">
        <f>M921+Tabla1[[#This Row],[Desbalance
TPL]]</f>
        <v>-641282.11539896484</v>
      </c>
    </row>
    <row r="923" spans="2:13" x14ac:dyDescent="0.25">
      <c r="B923" s="1859">
        <f t="shared" si="70"/>
        <v>2016</v>
      </c>
      <c r="C923" s="1859">
        <f t="shared" si="71"/>
        <v>1</v>
      </c>
      <c r="D923" s="1860">
        <f t="shared" si="72"/>
        <v>42382</v>
      </c>
      <c r="E923" s="1861">
        <v>42382</v>
      </c>
      <c r="F923" s="1862">
        <f t="shared" si="73"/>
        <v>0</v>
      </c>
      <c r="G923" s="1862">
        <v>72000</v>
      </c>
      <c r="H923" s="1862">
        <v>72000</v>
      </c>
      <c r="I923" s="1862">
        <f>Tabla1[[#This Row],[Extraccion
Norte II]]+Tabla1[[#This Row],[Extraccion
ENO]]</f>
        <v>70357.972417200013</v>
      </c>
      <c r="J923" s="1862">
        <v>70357.972417200013</v>
      </c>
      <c r="K923" s="1862"/>
      <c r="L923" s="1862">
        <f t="shared" si="74"/>
        <v>1642.0275827999867</v>
      </c>
      <c r="M923" s="1862">
        <f>M922+Tabla1[[#This Row],[Desbalance
TPL]]</f>
        <v>-639640.08781616483</v>
      </c>
    </row>
    <row r="924" spans="2:13" x14ac:dyDescent="0.25">
      <c r="B924" s="1859">
        <f t="shared" ref="B924:B970" si="75">YEAR(E924)</f>
        <v>2016</v>
      </c>
      <c r="C924" s="1859">
        <f t="shared" ref="C924:C970" si="76">MONTH(E924)</f>
        <v>1</v>
      </c>
      <c r="D924" s="1860">
        <f t="shared" ref="D924:D970" si="77">E924</f>
        <v>42383</v>
      </c>
      <c r="E924" s="1861">
        <v>42383</v>
      </c>
      <c r="F924" s="1862">
        <f t="shared" si="73"/>
        <v>0</v>
      </c>
      <c r="G924" s="1862">
        <v>70000</v>
      </c>
      <c r="H924" s="1862">
        <v>70000</v>
      </c>
      <c r="I924" s="1862">
        <f>Tabla1[[#This Row],[Extraccion
Norte II]]+Tabla1[[#This Row],[Extraccion
ENO]]</f>
        <v>69454.827928044004</v>
      </c>
      <c r="J924" s="1862">
        <v>69454.827928044004</v>
      </c>
      <c r="K924" s="1862"/>
      <c r="L924" s="1862">
        <f t="shared" si="74"/>
        <v>545.17207195599622</v>
      </c>
      <c r="M924" s="1862">
        <f>M923+Tabla1[[#This Row],[Desbalance
TPL]]</f>
        <v>-639094.91574420885</v>
      </c>
    </row>
    <row r="925" spans="2:13" x14ac:dyDescent="0.25">
      <c r="B925" s="1859">
        <f t="shared" si="75"/>
        <v>2016</v>
      </c>
      <c r="C925" s="1859">
        <f t="shared" si="76"/>
        <v>1</v>
      </c>
      <c r="D925" s="1860">
        <f t="shared" si="77"/>
        <v>42384</v>
      </c>
      <c r="E925" s="1861">
        <v>42384</v>
      </c>
      <c r="F925" s="1862">
        <f t="shared" si="73"/>
        <v>0</v>
      </c>
      <c r="G925" s="1862">
        <v>70000</v>
      </c>
      <c r="H925" s="1862">
        <v>70000</v>
      </c>
      <c r="I925" s="1862">
        <f>Tabla1[[#This Row],[Extraccion
Norte II]]+Tabla1[[#This Row],[Extraccion
ENO]]</f>
        <v>70094.242336950003</v>
      </c>
      <c r="J925" s="1862">
        <v>70094.242336950003</v>
      </c>
      <c r="K925" s="1862"/>
      <c r="L925" s="1862">
        <f t="shared" si="74"/>
        <v>-94.242336950002937</v>
      </c>
      <c r="M925" s="1862">
        <f>M924+Tabla1[[#This Row],[Desbalance
TPL]]</f>
        <v>-639189.15808115888</v>
      </c>
    </row>
    <row r="926" spans="2:13" x14ac:dyDescent="0.25">
      <c r="B926" s="1859">
        <f t="shared" si="75"/>
        <v>2016</v>
      </c>
      <c r="C926" s="1859">
        <f t="shared" si="76"/>
        <v>1</v>
      </c>
      <c r="D926" s="1860">
        <f t="shared" si="77"/>
        <v>42385</v>
      </c>
      <c r="E926" s="1861">
        <v>42385</v>
      </c>
      <c r="F926" s="1862">
        <f t="shared" si="73"/>
        <v>0</v>
      </c>
      <c r="G926" s="1862">
        <v>70000</v>
      </c>
      <c r="H926" s="1862">
        <v>70000</v>
      </c>
      <c r="I926" s="1862">
        <f>Tabla1[[#This Row],[Extraccion
Norte II]]+Tabla1[[#This Row],[Extraccion
ENO]]</f>
        <v>69570.120387924006</v>
      </c>
      <c r="J926" s="1862">
        <v>69570.120387924006</v>
      </c>
      <c r="K926" s="1862"/>
      <c r="L926" s="1862">
        <f t="shared" si="74"/>
        <v>429.87961207599437</v>
      </c>
      <c r="M926" s="1862">
        <f>M925+Tabla1[[#This Row],[Desbalance
TPL]]</f>
        <v>-638759.2784690829</v>
      </c>
    </row>
    <row r="927" spans="2:13" x14ac:dyDescent="0.25">
      <c r="B927" s="1859">
        <f t="shared" si="75"/>
        <v>2016</v>
      </c>
      <c r="C927" s="1859">
        <f t="shared" si="76"/>
        <v>1</v>
      </c>
      <c r="D927" s="1860">
        <f t="shared" si="77"/>
        <v>42386</v>
      </c>
      <c r="E927" s="1861">
        <v>42386</v>
      </c>
      <c r="F927" s="1862">
        <f t="shared" si="73"/>
        <v>0</v>
      </c>
      <c r="G927" s="1862">
        <v>70000</v>
      </c>
      <c r="H927" s="1862">
        <v>70000</v>
      </c>
      <c r="I927" s="1862">
        <f>Tabla1[[#This Row],[Extraccion
Norte II]]+Tabla1[[#This Row],[Extraccion
ENO]]</f>
        <v>68591.364745409999</v>
      </c>
      <c r="J927" s="1862">
        <v>68591.364745409999</v>
      </c>
      <c r="K927" s="1862"/>
      <c r="L927" s="1862">
        <f t="shared" si="74"/>
        <v>1408.6352545900008</v>
      </c>
      <c r="M927" s="1862">
        <f>M926+Tabla1[[#This Row],[Desbalance
TPL]]</f>
        <v>-637350.64321449294</v>
      </c>
    </row>
    <row r="928" spans="2:13" x14ac:dyDescent="0.25">
      <c r="B928" s="1859">
        <f t="shared" si="75"/>
        <v>2016</v>
      </c>
      <c r="C928" s="1859">
        <f t="shared" si="76"/>
        <v>1</v>
      </c>
      <c r="D928" s="1860">
        <f t="shared" si="77"/>
        <v>42387</v>
      </c>
      <c r="E928" s="1861">
        <v>42387</v>
      </c>
      <c r="F928" s="1862">
        <f t="shared" si="73"/>
        <v>0</v>
      </c>
      <c r="G928" s="1862">
        <v>70000</v>
      </c>
      <c r="H928" s="1862">
        <v>70000</v>
      </c>
      <c r="I928" s="1862">
        <f>Tabla1[[#This Row],[Extraccion
Norte II]]+Tabla1[[#This Row],[Extraccion
ENO]]</f>
        <v>67700.246158349997</v>
      </c>
      <c r="J928" s="1862">
        <v>67700.246158349997</v>
      </c>
      <c r="K928" s="1862"/>
      <c r="L928" s="1862">
        <f t="shared" si="74"/>
        <v>2299.7538416500029</v>
      </c>
      <c r="M928" s="1862">
        <f>M927+Tabla1[[#This Row],[Desbalance
TPL]]</f>
        <v>-635050.88937284297</v>
      </c>
    </row>
    <row r="929" spans="2:13" x14ac:dyDescent="0.25">
      <c r="B929" s="1859">
        <f t="shared" si="75"/>
        <v>2016</v>
      </c>
      <c r="C929" s="1859">
        <f t="shared" si="76"/>
        <v>1</v>
      </c>
      <c r="D929" s="1860">
        <f t="shared" si="77"/>
        <v>42388</v>
      </c>
      <c r="E929" s="1861">
        <v>42388</v>
      </c>
      <c r="F929" s="1862">
        <f t="shared" si="73"/>
        <v>0</v>
      </c>
      <c r="G929" s="1862">
        <v>70000</v>
      </c>
      <c r="H929" s="1862">
        <v>70000</v>
      </c>
      <c r="I929" s="1862">
        <f>Tabla1[[#This Row],[Extraccion
Norte II]]+Tabla1[[#This Row],[Extraccion
ENO]]</f>
        <v>67311.148323510002</v>
      </c>
      <c r="J929" s="1862">
        <v>67311.148323510002</v>
      </c>
      <c r="K929" s="1862"/>
      <c r="L929" s="1862">
        <f t="shared" si="74"/>
        <v>2688.8516764899978</v>
      </c>
      <c r="M929" s="1862">
        <f>M928+Tabla1[[#This Row],[Desbalance
TPL]]</f>
        <v>-632362.03769635293</v>
      </c>
    </row>
    <row r="930" spans="2:13" x14ac:dyDescent="0.25">
      <c r="B930" s="1859">
        <f t="shared" si="75"/>
        <v>2016</v>
      </c>
      <c r="C930" s="1859">
        <f t="shared" si="76"/>
        <v>1</v>
      </c>
      <c r="D930" s="1860">
        <f t="shared" si="77"/>
        <v>42389</v>
      </c>
      <c r="E930" s="1861">
        <v>42389</v>
      </c>
      <c r="F930" s="1862">
        <f t="shared" si="73"/>
        <v>0</v>
      </c>
      <c r="G930" s="1862">
        <v>70000</v>
      </c>
      <c r="H930" s="1862">
        <v>70000</v>
      </c>
      <c r="I930" s="1862">
        <f>Tabla1[[#This Row],[Extraccion
Norte II]]+Tabla1[[#This Row],[Extraccion
ENO]]</f>
        <v>66039.613905329999</v>
      </c>
      <c r="J930" s="1862">
        <v>66039.613905329999</v>
      </c>
      <c r="K930" s="1862"/>
      <c r="L930" s="1862">
        <f t="shared" si="74"/>
        <v>3960.3860946700006</v>
      </c>
      <c r="M930" s="1862">
        <f>M929+Tabla1[[#This Row],[Desbalance
TPL]]</f>
        <v>-628401.65160168288</v>
      </c>
    </row>
    <row r="931" spans="2:13" x14ac:dyDescent="0.25">
      <c r="B931" s="1859">
        <f t="shared" si="75"/>
        <v>2016</v>
      </c>
      <c r="C931" s="1859">
        <f t="shared" si="76"/>
        <v>1</v>
      </c>
      <c r="D931" s="1860">
        <f t="shared" si="77"/>
        <v>42390</v>
      </c>
      <c r="E931" s="1861">
        <v>42390</v>
      </c>
      <c r="F931" s="1862">
        <f t="shared" si="73"/>
        <v>0</v>
      </c>
      <c r="G931" s="1862">
        <v>70000</v>
      </c>
      <c r="H931" s="1862">
        <v>70000</v>
      </c>
      <c r="I931" s="1862">
        <f>Tabla1[[#This Row],[Extraccion
Norte II]]+Tabla1[[#This Row],[Extraccion
ENO]]</f>
        <v>69947.188529399995</v>
      </c>
      <c r="J931" s="1862">
        <v>69947.188529399995</v>
      </c>
      <c r="K931" s="1862"/>
      <c r="L931" s="1862">
        <f t="shared" si="74"/>
        <v>52.811470600005123</v>
      </c>
      <c r="M931" s="1862">
        <f>M930+Tabla1[[#This Row],[Desbalance
TPL]]</f>
        <v>-628348.84013108292</v>
      </c>
    </row>
    <row r="932" spans="2:13" x14ac:dyDescent="0.25">
      <c r="B932" s="1859">
        <f t="shared" si="75"/>
        <v>2016</v>
      </c>
      <c r="C932" s="1859">
        <f t="shared" si="76"/>
        <v>1</v>
      </c>
      <c r="D932" s="1860">
        <f t="shared" si="77"/>
        <v>42391</v>
      </c>
      <c r="E932" s="1861">
        <v>42391</v>
      </c>
      <c r="F932" s="1862">
        <f t="shared" si="73"/>
        <v>0</v>
      </c>
      <c r="G932" s="1862">
        <v>60000</v>
      </c>
      <c r="H932" s="1862">
        <v>60000</v>
      </c>
      <c r="I932" s="1862">
        <f>Tabla1[[#This Row],[Extraccion
Norte II]]+Tabla1[[#This Row],[Extraccion
ENO]]</f>
        <v>70151.879088720001</v>
      </c>
      <c r="J932" s="1862">
        <v>70151.879088720001</v>
      </c>
      <c r="K932" s="1862"/>
      <c r="L932" s="1862">
        <f t="shared" si="74"/>
        <v>-10151.879088720001</v>
      </c>
      <c r="M932" s="1862">
        <f>M931+Tabla1[[#This Row],[Desbalance
TPL]]</f>
        <v>-638500.71921980288</v>
      </c>
    </row>
    <row r="933" spans="2:13" x14ac:dyDescent="0.25">
      <c r="B933" s="1859">
        <f t="shared" si="75"/>
        <v>2016</v>
      </c>
      <c r="C933" s="1859">
        <f t="shared" si="76"/>
        <v>1</v>
      </c>
      <c r="D933" s="1860">
        <f t="shared" si="77"/>
        <v>42392</v>
      </c>
      <c r="E933" s="1861">
        <v>42392</v>
      </c>
      <c r="F933" s="1862">
        <f t="shared" si="73"/>
        <v>0</v>
      </c>
      <c r="G933" s="1862">
        <v>60000</v>
      </c>
      <c r="H933" s="1862">
        <v>60000</v>
      </c>
      <c r="I933" s="1862">
        <f>Tabla1[[#This Row],[Extraccion
Norte II]]+Tabla1[[#This Row],[Extraccion
ENO]]</f>
        <v>68216.910683220005</v>
      </c>
      <c r="J933" s="1862">
        <v>68216.910683220005</v>
      </c>
      <c r="K933" s="1862"/>
      <c r="L933" s="1862">
        <f t="shared" si="74"/>
        <v>-8216.910683220005</v>
      </c>
      <c r="M933" s="1862">
        <f>M932+Tabla1[[#This Row],[Desbalance
TPL]]</f>
        <v>-646717.6299030229</v>
      </c>
    </row>
    <row r="934" spans="2:13" x14ac:dyDescent="0.25">
      <c r="B934" s="1859">
        <f t="shared" si="75"/>
        <v>2016</v>
      </c>
      <c r="C934" s="1859">
        <f t="shared" si="76"/>
        <v>1</v>
      </c>
      <c r="D934" s="1860">
        <f t="shared" si="77"/>
        <v>42393</v>
      </c>
      <c r="E934" s="1861">
        <v>42393</v>
      </c>
      <c r="F934" s="1862">
        <f t="shared" si="73"/>
        <v>0</v>
      </c>
      <c r="G934" s="1862">
        <v>60000</v>
      </c>
      <c r="H934" s="1862">
        <v>60000</v>
      </c>
      <c r="I934" s="1862">
        <f>Tabla1[[#This Row],[Extraccion
Norte II]]+Tabla1[[#This Row],[Extraccion
ENO]]</f>
        <v>69159.088172070013</v>
      </c>
      <c r="J934" s="1862">
        <v>69159.088172070013</v>
      </c>
      <c r="K934" s="1862"/>
      <c r="L934" s="1862">
        <f t="shared" si="74"/>
        <v>-9159.0881720700127</v>
      </c>
      <c r="M934" s="1862">
        <f>M933+Tabla1[[#This Row],[Desbalance
TPL]]</f>
        <v>-655876.71807509288</v>
      </c>
    </row>
    <row r="935" spans="2:13" x14ac:dyDescent="0.25">
      <c r="B935" s="1859">
        <f t="shared" si="75"/>
        <v>2016</v>
      </c>
      <c r="C935" s="1859">
        <f t="shared" si="76"/>
        <v>1</v>
      </c>
      <c r="D935" s="1860">
        <f t="shared" si="77"/>
        <v>42394</v>
      </c>
      <c r="E935" s="1861">
        <v>42394</v>
      </c>
      <c r="F935" s="1862">
        <f t="shared" si="73"/>
        <v>0</v>
      </c>
      <c r="G935" s="1862">
        <v>60000</v>
      </c>
      <c r="H935" s="1862">
        <v>60000</v>
      </c>
      <c r="I935" s="1862">
        <f>Tabla1[[#This Row],[Extraccion
Norte II]]+Tabla1[[#This Row],[Extraccion
ENO]]</f>
        <v>70206.904604654992</v>
      </c>
      <c r="J935" s="1862">
        <v>70206.904604654992</v>
      </c>
      <c r="K935" s="1862"/>
      <c r="L935" s="1862">
        <f t="shared" si="74"/>
        <v>-10206.904604654992</v>
      </c>
      <c r="M935" s="1862">
        <f>M934+Tabla1[[#This Row],[Desbalance
TPL]]</f>
        <v>-666083.62267974787</v>
      </c>
    </row>
    <row r="936" spans="2:13" x14ac:dyDescent="0.25">
      <c r="B936" s="1859">
        <f t="shared" si="75"/>
        <v>2016</v>
      </c>
      <c r="C936" s="1859">
        <f t="shared" si="76"/>
        <v>1</v>
      </c>
      <c r="D936" s="1860">
        <f t="shared" si="77"/>
        <v>42395</v>
      </c>
      <c r="E936" s="1861">
        <v>42395</v>
      </c>
      <c r="F936" s="1862">
        <f t="shared" si="73"/>
        <v>0</v>
      </c>
      <c r="G936" s="1862">
        <v>60000</v>
      </c>
      <c r="H936" s="1862">
        <v>60000</v>
      </c>
      <c r="I936" s="1862">
        <f>Tabla1[[#This Row],[Extraccion
Norte II]]+Tabla1[[#This Row],[Extraccion
ENO]]</f>
        <v>70541.583526440008</v>
      </c>
      <c r="J936" s="1862">
        <v>70541.583526440008</v>
      </c>
      <c r="K936" s="1862"/>
      <c r="L936" s="1862">
        <f t="shared" si="74"/>
        <v>-10541.583526440008</v>
      </c>
      <c r="M936" s="1862">
        <f>M935+Tabla1[[#This Row],[Desbalance
TPL]]</f>
        <v>-676625.20620618784</v>
      </c>
    </row>
    <row r="937" spans="2:13" x14ac:dyDescent="0.25">
      <c r="B937" s="1859">
        <f t="shared" si="75"/>
        <v>2016</v>
      </c>
      <c r="C937" s="1859">
        <f t="shared" si="76"/>
        <v>1</v>
      </c>
      <c r="D937" s="1860">
        <f t="shared" si="77"/>
        <v>42396</v>
      </c>
      <c r="E937" s="1861">
        <v>42396</v>
      </c>
      <c r="F937" s="1862">
        <f t="shared" si="73"/>
        <v>0</v>
      </c>
      <c r="G937" s="1862">
        <v>60000</v>
      </c>
      <c r="H937" s="1862">
        <v>60000</v>
      </c>
      <c r="I937" s="1862">
        <f>Tabla1[[#This Row],[Extraccion
Norte II]]+Tabla1[[#This Row],[Extraccion
ENO]]</f>
        <v>70536.863397780005</v>
      </c>
      <c r="J937" s="1862">
        <v>70536.863397780005</v>
      </c>
      <c r="K937" s="1862"/>
      <c r="L937" s="1862">
        <f t="shared" si="74"/>
        <v>-10536.863397780005</v>
      </c>
      <c r="M937" s="1862">
        <f>M936+Tabla1[[#This Row],[Desbalance
TPL]]</f>
        <v>-687162.06960396783</v>
      </c>
    </row>
    <row r="938" spans="2:13" x14ac:dyDescent="0.25">
      <c r="B938" s="1859">
        <f t="shared" si="75"/>
        <v>2016</v>
      </c>
      <c r="C938" s="1859">
        <f t="shared" si="76"/>
        <v>1</v>
      </c>
      <c r="D938" s="1860">
        <f t="shared" si="77"/>
        <v>42397</v>
      </c>
      <c r="E938" s="1861">
        <v>42397</v>
      </c>
      <c r="F938" s="1862">
        <f t="shared" si="73"/>
        <v>0</v>
      </c>
      <c r="G938" s="1862">
        <v>70000</v>
      </c>
      <c r="H938" s="1862">
        <v>70000</v>
      </c>
      <c r="I938" s="1862">
        <f>Tabla1[[#This Row],[Extraccion
Norte II]]+Tabla1[[#This Row],[Extraccion
ENO]]</f>
        <v>68530.505415840002</v>
      </c>
      <c r="J938" s="1862">
        <v>68530.505415840002</v>
      </c>
      <c r="K938" s="1862"/>
      <c r="L938" s="1862">
        <f t="shared" si="74"/>
        <v>1469.4945841599983</v>
      </c>
      <c r="M938" s="1862">
        <f>M937+Tabla1[[#This Row],[Desbalance
TPL]]</f>
        <v>-685692.57501980779</v>
      </c>
    </row>
    <row r="939" spans="2:13" x14ac:dyDescent="0.25">
      <c r="B939" s="1859">
        <f t="shared" si="75"/>
        <v>2016</v>
      </c>
      <c r="C939" s="1859">
        <f t="shared" si="76"/>
        <v>1</v>
      </c>
      <c r="D939" s="1860">
        <f t="shared" si="77"/>
        <v>42398</v>
      </c>
      <c r="E939" s="1861">
        <v>42398</v>
      </c>
      <c r="F939" s="1862">
        <f t="shared" si="73"/>
        <v>0</v>
      </c>
      <c r="G939" s="1862">
        <v>68000</v>
      </c>
      <c r="H939" s="1862">
        <v>68000</v>
      </c>
      <c r="I939" s="1862">
        <f>Tabla1[[#This Row],[Extraccion
Norte II]]+Tabla1[[#This Row],[Extraccion
ENO]]</f>
        <v>70286.886142200005</v>
      </c>
      <c r="J939" s="1862">
        <v>70286.886142200005</v>
      </c>
      <c r="K939" s="1862"/>
      <c r="L939" s="1862">
        <f t="shared" si="74"/>
        <v>-2286.8861422000045</v>
      </c>
      <c r="M939" s="1862">
        <f>M938+Tabla1[[#This Row],[Desbalance
TPL]]</f>
        <v>-687979.46116200776</v>
      </c>
    </row>
    <row r="940" spans="2:13" x14ac:dyDescent="0.25">
      <c r="B940" s="1859">
        <f t="shared" si="75"/>
        <v>2016</v>
      </c>
      <c r="C940" s="1859">
        <f t="shared" si="76"/>
        <v>1</v>
      </c>
      <c r="D940" s="1860">
        <f t="shared" si="77"/>
        <v>42399</v>
      </c>
      <c r="E940" s="1861">
        <v>42399</v>
      </c>
      <c r="F940" s="1862">
        <f t="shared" si="73"/>
        <v>0</v>
      </c>
      <c r="G940" s="1862">
        <v>68000</v>
      </c>
      <c r="H940" s="1862">
        <v>68000</v>
      </c>
      <c r="I940" s="1862">
        <f>Tabla1[[#This Row],[Extraccion
Norte II]]+Tabla1[[#This Row],[Extraccion
ENO]]</f>
        <v>70369.422046559994</v>
      </c>
      <c r="J940" s="1862">
        <v>70369.422046559994</v>
      </c>
      <c r="K940" s="1862"/>
      <c r="L940" s="1862">
        <f t="shared" si="74"/>
        <v>-2369.4220465599938</v>
      </c>
      <c r="M940" s="1862">
        <f>M939+Tabla1[[#This Row],[Desbalance
TPL]]</f>
        <v>-690348.88320856774</v>
      </c>
    </row>
    <row r="941" spans="2:13" x14ac:dyDescent="0.25">
      <c r="B941" s="1859">
        <f t="shared" si="75"/>
        <v>2016</v>
      </c>
      <c r="C941" s="1859">
        <f t="shared" si="76"/>
        <v>1</v>
      </c>
      <c r="D941" s="1860">
        <f t="shared" si="77"/>
        <v>42400</v>
      </c>
      <c r="E941" s="1861">
        <v>42400</v>
      </c>
      <c r="F941" s="1862">
        <f t="shared" si="73"/>
        <v>0</v>
      </c>
      <c r="G941" s="1862">
        <v>68000</v>
      </c>
      <c r="H941" s="1862">
        <v>68000</v>
      </c>
      <c r="I941" s="1862">
        <f>Tabla1[[#This Row],[Extraccion
Norte II]]+Tabla1[[#This Row],[Extraccion
ENO]]</f>
        <v>70613.465967720011</v>
      </c>
      <c r="J941" s="1862">
        <v>70613.465967720011</v>
      </c>
      <c r="K941" s="1862"/>
      <c r="L941" s="1862">
        <f t="shared" si="74"/>
        <v>-2613.4659677200107</v>
      </c>
      <c r="M941" s="1862">
        <f>M940+Tabla1[[#This Row],[Desbalance
TPL]]</f>
        <v>-692962.34917628777</v>
      </c>
    </row>
    <row r="942" spans="2:13" x14ac:dyDescent="0.25">
      <c r="B942" s="1859">
        <f t="shared" si="75"/>
        <v>2016</v>
      </c>
      <c r="C942" s="1859">
        <f t="shared" si="76"/>
        <v>2</v>
      </c>
      <c r="D942" s="1860">
        <f t="shared" si="77"/>
        <v>42401</v>
      </c>
      <c r="E942" s="1861">
        <v>42401</v>
      </c>
      <c r="F942" s="1862">
        <f t="shared" si="73"/>
        <v>2000</v>
      </c>
      <c r="G942" s="1862">
        <v>70000</v>
      </c>
      <c r="H942" s="1862">
        <v>68000</v>
      </c>
      <c r="I942" s="1862">
        <f>Tabla1[[#This Row],[Extraccion
Norte II]]+Tabla1[[#This Row],[Extraccion
ENO]]</f>
        <v>72976.819222710008</v>
      </c>
      <c r="J942" s="1862">
        <v>72976.819222710008</v>
      </c>
      <c r="K942" s="1862"/>
      <c r="L942" s="1862">
        <f t="shared" si="74"/>
        <v>-4976.819222710008</v>
      </c>
      <c r="M942" s="1862">
        <f>M941+Tabla1[[#This Row],[Desbalance
TPL]]</f>
        <v>-697939.16839899775</v>
      </c>
    </row>
    <row r="943" spans="2:13" x14ac:dyDescent="0.25">
      <c r="B943" s="1859">
        <f t="shared" si="75"/>
        <v>2016</v>
      </c>
      <c r="C943" s="1859">
        <f t="shared" si="76"/>
        <v>2</v>
      </c>
      <c r="D943" s="1860">
        <f t="shared" si="77"/>
        <v>42402</v>
      </c>
      <c r="E943" s="1861">
        <v>42402</v>
      </c>
      <c r="F943" s="1862">
        <f t="shared" si="73"/>
        <v>0</v>
      </c>
      <c r="G943" s="1862">
        <v>68052</v>
      </c>
      <c r="H943" s="1862">
        <v>68052</v>
      </c>
      <c r="I943" s="1862">
        <f>Tabla1[[#This Row],[Extraccion
Norte II]]+Tabla1[[#This Row],[Extraccion
ENO]]</f>
        <v>74864.169302130002</v>
      </c>
      <c r="J943" s="1862">
        <v>74864.169302130002</v>
      </c>
      <c r="K943" s="1862"/>
      <c r="L943" s="1862">
        <f t="shared" si="74"/>
        <v>-6812.1693021300016</v>
      </c>
      <c r="M943" s="1862">
        <f>M942+Tabla1[[#This Row],[Desbalance
TPL]]</f>
        <v>-704751.33770112775</v>
      </c>
    </row>
    <row r="944" spans="2:13" x14ac:dyDescent="0.25">
      <c r="B944" s="1859">
        <f t="shared" si="75"/>
        <v>2016</v>
      </c>
      <c r="C944" s="1859">
        <f t="shared" si="76"/>
        <v>2</v>
      </c>
      <c r="D944" s="1860">
        <f t="shared" si="77"/>
        <v>42403</v>
      </c>
      <c r="E944" s="1861">
        <v>42403</v>
      </c>
      <c r="F944" s="1862">
        <f t="shared" si="73"/>
        <v>0</v>
      </c>
      <c r="G944" s="1862">
        <v>72000</v>
      </c>
      <c r="H944" s="1862">
        <v>72000</v>
      </c>
      <c r="I944" s="1862">
        <f>Tabla1[[#This Row],[Extraccion
Norte II]]+Tabla1[[#This Row],[Extraccion
ENO]]</f>
        <v>70694.798144490007</v>
      </c>
      <c r="J944" s="1862">
        <v>70694.798144490007</v>
      </c>
      <c r="K944" s="1862"/>
      <c r="L944" s="1862">
        <f t="shared" si="74"/>
        <v>1305.201855509993</v>
      </c>
      <c r="M944" s="1862">
        <f>M943+Tabla1[[#This Row],[Desbalance
TPL]]</f>
        <v>-703446.13584561774</v>
      </c>
    </row>
    <row r="945" spans="2:13" x14ac:dyDescent="0.25">
      <c r="B945" s="1859">
        <f t="shared" si="75"/>
        <v>2016</v>
      </c>
      <c r="C945" s="1859">
        <f t="shared" si="76"/>
        <v>2</v>
      </c>
      <c r="D945" s="1860">
        <f t="shared" si="77"/>
        <v>42404</v>
      </c>
      <c r="E945" s="1861">
        <v>42404</v>
      </c>
      <c r="F945" s="1862">
        <f t="shared" si="73"/>
        <v>0</v>
      </c>
      <c r="G945" s="1862">
        <v>72000</v>
      </c>
      <c r="H945" s="1862">
        <v>72000</v>
      </c>
      <c r="I945" s="1862">
        <f>Tabla1[[#This Row],[Extraccion
Norte II]]+Tabla1[[#This Row],[Extraccion
ENO]]</f>
        <v>70611.437639340002</v>
      </c>
      <c r="J945" s="1862">
        <v>70611.437639340002</v>
      </c>
      <c r="K945" s="1862"/>
      <c r="L945" s="1862">
        <f t="shared" si="74"/>
        <v>1388.5623606599984</v>
      </c>
      <c r="M945" s="1862">
        <f>M944+Tabla1[[#This Row],[Desbalance
TPL]]</f>
        <v>-702057.57348495768</v>
      </c>
    </row>
    <row r="946" spans="2:13" x14ac:dyDescent="0.25">
      <c r="B946" s="1859">
        <f t="shared" si="75"/>
        <v>2016</v>
      </c>
      <c r="C946" s="1859">
        <f t="shared" si="76"/>
        <v>2</v>
      </c>
      <c r="D946" s="1860">
        <f t="shared" si="77"/>
        <v>42405</v>
      </c>
      <c r="E946" s="1861">
        <v>42405</v>
      </c>
      <c r="F946" s="1862">
        <f t="shared" si="73"/>
        <v>0</v>
      </c>
      <c r="G946" s="1862">
        <v>73000</v>
      </c>
      <c r="H946" s="1862">
        <v>73000</v>
      </c>
      <c r="I946" s="1862">
        <f>Tabla1[[#This Row],[Extraccion
Norte II]]+Tabla1[[#This Row],[Extraccion
ENO]]</f>
        <v>59509.211644350005</v>
      </c>
      <c r="J946" s="1862">
        <v>59509.211644350005</v>
      </c>
      <c r="K946" s="1862"/>
      <c r="L946" s="1862">
        <f t="shared" si="74"/>
        <v>13490.788355649995</v>
      </c>
      <c r="M946" s="1862">
        <f>M945+Tabla1[[#This Row],[Desbalance
TPL]]</f>
        <v>-688566.78512930765</v>
      </c>
    </row>
    <row r="947" spans="2:13" x14ac:dyDescent="0.25">
      <c r="B947" s="1859">
        <f t="shared" si="75"/>
        <v>2016</v>
      </c>
      <c r="C947" s="1859">
        <f t="shared" si="76"/>
        <v>2</v>
      </c>
      <c r="D947" s="1860">
        <f t="shared" si="77"/>
        <v>42406</v>
      </c>
      <c r="E947" s="1861">
        <v>42406</v>
      </c>
      <c r="F947" s="1862">
        <f t="shared" si="73"/>
        <v>0</v>
      </c>
      <c r="G947" s="1862">
        <v>68000</v>
      </c>
      <c r="H947" s="1862">
        <v>68000</v>
      </c>
      <c r="I947" s="1862">
        <f>Tabla1[[#This Row],[Extraccion
Norte II]]+Tabla1[[#This Row],[Extraccion
ENO]]</f>
        <v>39789.357660000001</v>
      </c>
      <c r="J947" s="1862">
        <v>39789.357660000001</v>
      </c>
      <c r="K947" s="1862"/>
      <c r="L947" s="1862">
        <f t="shared" si="74"/>
        <v>28210.642339999999</v>
      </c>
      <c r="M947" s="1862">
        <f>M946+Tabla1[[#This Row],[Desbalance
TPL]]</f>
        <v>-660356.14278930763</v>
      </c>
    </row>
    <row r="948" spans="2:13" x14ac:dyDescent="0.25">
      <c r="B948" s="1859">
        <f t="shared" si="75"/>
        <v>2016</v>
      </c>
      <c r="C948" s="1859">
        <f t="shared" si="76"/>
        <v>2</v>
      </c>
      <c r="D948" s="1860">
        <f t="shared" si="77"/>
        <v>42407</v>
      </c>
      <c r="E948" s="1861">
        <v>42407</v>
      </c>
      <c r="F948" s="1862">
        <f t="shared" si="73"/>
        <v>-830</v>
      </c>
      <c r="G948" s="1862">
        <v>67170</v>
      </c>
      <c r="H948" s="1862">
        <v>68000</v>
      </c>
      <c r="I948" s="1862">
        <f>Tabla1[[#This Row],[Extraccion
Norte II]]+Tabla1[[#This Row],[Extraccion
ENO]]</f>
        <v>58302.062434980005</v>
      </c>
      <c r="J948" s="1862">
        <v>58302.062434980005</v>
      </c>
      <c r="K948" s="1862"/>
      <c r="L948" s="1862">
        <f t="shared" si="74"/>
        <v>9697.9375650199945</v>
      </c>
      <c r="M948" s="1862">
        <f>M947+Tabla1[[#This Row],[Desbalance
TPL]]</f>
        <v>-650658.2052242877</v>
      </c>
    </row>
    <row r="949" spans="2:13" x14ac:dyDescent="0.25">
      <c r="B949" s="1859">
        <f t="shared" si="75"/>
        <v>2016</v>
      </c>
      <c r="C949" s="1859">
        <f t="shared" si="76"/>
        <v>2</v>
      </c>
      <c r="D949" s="1860">
        <f t="shared" si="77"/>
        <v>42408</v>
      </c>
      <c r="E949" s="1861">
        <v>42408</v>
      </c>
      <c r="F949" s="1862">
        <f t="shared" si="73"/>
        <v>0</v>
      </c>
      <c r="G949" s="1862">
        <v>68000</v>
      </c>
      <c r="H949" s="1862">
        <v>68000</v>
      </c>
      <c r="I949" s="1862">
        <f>Tabla1[[#This Row],[Extraccion
Norte II]]+Tabla1[[#This Row],[Extraccion
ENO]]</f>
        <v>70537.536347850008</v>
      </c>
      <c r="J949" s="1862">
        <v>70537.536347850008</v>
      </c>
      <c r="K949" s="1862"/>
      <c r="L949" s="1862">
        <f t="shared" si="74"/>
        <v>-2537.5363478500076</v>
      </c>
      <c r="M949" s="1862">
        <f>M948+Tabla1[[#This Row],[Desbalance
TPL]]</f>
        <v>-653195.74157213769</v>
      </c>
    </row>
    <row r="950" spans="2:13" x14ac:dyDescent="0.25">
      <c r="B950" s="1859">
        <f t="shared" si="75"/>
        <v>2016</v>
      </c>
      <c r="C950" s="1859">
        <f t="shared" si="76"/>
        <v>2</v>
      </c>
      <c r="D950" s="1860">
        <f t="shared" si="77"/>
        <v>42409</v>
      </c>
      <c r="E950" s="1861">
        <v>42409</v>
      </c>
      <c r="F950" s="1862">
        <f t="shared" si="73"/>
        <v>0</v>
      </c>
      <c r="G950" s="1862">
        <v>60000</v>
      </c>
      <c r="H950" s="1862">
        <v>60000</v>
      </c>
      <c r="I950" s="1862">
        <f>Tabla1[[#This Row],[Extraccion
Norte II]]+Tabla1[[#This Row],[Extraccion
ENO]]</f>
        <v>70803.057802230003</v>
      </c>
      <c r="J950" s="1862">
        <v>70803.057802230003</v>
      </c>
      <c r="K950" s="1862"/>
      <c r="L950" s="1862">
        <f t="shared" si="74"/>
        <v>-10803.057802230003</v>
      </c>
      <c r="M950" s="1862">
        <f>M949+Tabla1[[#This Row],[Desbalance
TPL]]</f>
        <v>-663998.79937436769</v>
      </c>
    </row>
    <row r="951" spans="2:13" x14ac:dyDescent="0.25">
      <c r="B951" s="1859">
        <f t="shared" si="75"/>
        <v>2016</v>
      </c>
      <c r="C951" s="1859">
        <f t="shared" si="76"/>
        <v>2</v>
      </c>
      <c r="D951" s="1860">
        <f t="shared" si="77"/>
        <v>42410</v>
      </c>
      <c r="E951" s="1861">
        <v>42410</v>
      </c>
      <c r="F951" s="1862">
        <f t="shared" si="73"/>
        <v>0</v>
      </c>
      <c r="G951" s="1862">
        <v>69000</v>
      </c>
      <c r="H951" s="1862">
        <v>69000</v>
      </c>
      <c r="I951" s="1862">
        <f>Tabla1[[#This Row],[Extraccion
Norte II]]+Tabla1[[#This Row],[Extraccion
ENO]]</f>
        <v>53701.81366914</v>
      </c>
      <c r="J951" s="1862">
        <v>53701.81366914</v>
      </c>
      <c r="K951" s="1862"/>
      <c r="L951" s="1862">
        <f t="shared" si="74"/>
        <v>15298.18633086</v>
      </c>
      <c r="M951" s="1862">
        <f>M950+Tabla1[[#This Row],[Desbalance
TPL]]</f>
        <v>-648700.61304350768</v>
      </c>
    </row>
    <row r="952" spans="2:13" x14ac:dyDescent="0.25">
      <c r="B952" s="1859">
        <f t="shared" si="75"/>
        <v>2016</v>
      </c>
      <c r="C952" s="1859">
        <f t="shared" si="76"/>
        <v>2</v>
      </c>
      <c r="D952" s="1860">
        <f t="shared" si="77"/>
        <v>42411</v>
      </c>
      <c r="E952" s="1861">
        <v>42411</v>
      </c>
      <c r="F952" s="1862">
        <f t="shared" si="73"/>
        <v>0</v>
      </c>
      <c r="G952" s="1862">
        <v>69000</v>
      </c>
      <c r="H952" s="1862">
        <v>69000</v>
      </c>
      <c r="I952" s="1862">
        <f>Tabla1[[#This Row],[Extraccion
Norte II]]+Tabla1[[#This Row],[Extraccion
ENO]]</f>
        <v>69660.587624940003</v>
      </c>
      <c r="J952" s="1862">
        <v>69660.587624940003</v>
      </c>
      <c r="K952" s="1862"/>
      <c r="L952" s="1862">
        <f t="shared" si="74"/>
        <v>-660.58762494000257</v>
      </c>
      <c r="M952" s="1862">
        <f>M951+Tabla1[[#This Row],[Desbalance
TPL]]</f>
        <v>-649361.20066844765</v>
      </c>
    </row>
    <row r="953" spans="2:13" x14ac:dyDescent="0.25">
      <c r="B953" s="1859">
        <f t="shared" si="75"/>
        <v>2016</v>
      </c>
      <c r="C953" s="1859">
        <f t="shared" si="76"/>
        <v>2</v>
      </c>
      <c r="D953" s="1860">
        <f t="shared" si="77"/>
        <v>42412</v>
      </c>
      <c r="E953" s="1861">
        <v>42412</v>
      </c>
      <c r="F953" s="1862">
        <f t="shared" si="73"/>
        <v>0</v>
      </c>
      <c r="G953" s="1862">
        <v>70000</v>
      </c>
      <c r="H953" s="1862">
        <v>70000</v>
      </c>
      <c r="I953" s="1862">
        <f>Tabla1[[#This Row],[Extraccion
Norte II]]+Tabla1[[#This Row],[Extraccion
ENO]]</f>
        <v>70272.858450600004</v>
      </c>
      <c r="J953" s="1862">
        <v>70272.858450600004</v>
      </c>
      <c r="K953" s="1862"/>
      <c r="L953" s="1862">
        <f t="shared" si="74"/>
        <v>-272.85845060000429</v>
      </c>
      <c r="M953" s="1862">
        <f>M952+Tabla1[[#This Row],[Desbalance
TPL]]</f>
        <v>-649634.0591190476</v>
      </c>
    </row>
    <row r="954" spans="2:13" x14ac:dyDescent="0.25">
      <c r="B954" s="1859">
        <f t="shared" si="75"/>
        <v>2016</v>
      </c>
      <c r="C954" s="1859">
        <f t="shared" si="76"/>
        <v>2</v>
      </c>
      <c r="D954" s="1860">
        <f t="shared" si="77"/>
        <v>42413</v>
      </c>
      <c r="E954" s="1861">
        <v>42413</v>
      </c>
      <c r="F954" s="1862">
        <f t="shared" si="73"/>
        <v>0</v>
      </c>
      <c r="G954" s="1862">
        <v>67000</v>
      </c>
      <c r="H954" s="1862">
        <v>67000</v>
      </c>
      <c r="I954" s="1862">
        <f>Tabla1[[#This Row],[Extraccion
Norte II]]+Tabla1[[#This Row],[Extraccion
ENO]]</f>
        <v>70483.785645779994</v>
      </c>
      <c r="J954" s="1862">
        <v>70483.785645779994</v>
      </c>
      <c r="K954" s="1862"/>
      <c r="L954" s="1862">
        <f t="shared" si="74"/>
        <v>-3483.7856457799935</v>
      </c>
      <c r="M954" s="1862">
        <f>M953+Tabla1[[#This Row],[Desbalance
TPL]]</f>
        <v>-653117.84476482763</v>
      </c>
    </row>
    <row r="955" spans="2:13" x14ac:dyDescent="0.25">
      <c r="B955" s="1859">
        <f t="shared" si="75"/>
        <v>2016</v>
      </c>
      <c r="C955" s="1859">
        <f t="shared" si="76"/>
        <v>2</v>
      </c>
      <c r="D955" s="1860">
        <f t="shared" si="77"/>
        <v>42414</v>
      </c>
      <c r="E955" s="1861">
        <v>42414</v>
      </c>
      <c r="F955" s="1862">
        <f t="shared" si="73"/>
        <v>0</v>
      </c>
      <c r="G955" s="1862">
        <v>67000</v>
      </c>
      <c r="H955" s="1862">
        <v>67000</v>
      </c>
      <c r="I955" s="1862">
        <f>Tabla1[[#This Row],[Extraccion
Norte II]]+Tabla1[[#This Row],[Extraccion
ENO]]</f>
        <v>70768.115580707992</v>
      </c>
      <c r="J955" s="1862">
        <v>70768.115580707992</v>
      </c>
      <c r="K955" s="1862"/>
      <c r="L955" s="1862">
        <f t="shared" si="74"/>
        <v>-3768.1155807079922</v>
      </c>
      <c r="M955" s="1862">
        <f>M954+Tabla1[[#This Row],[Desbalance
TPL]]</f>
        <v>-656885.96034553566</v>
      </c>
    </row>
    <row r="956" spans="2:13" x14ac:dyDescent="0.25">
      <c r="B956" s="1859">
        <f t="shared" si="75"/>
        <v>2016</v>
      </c>
      <c r="C956" s="1859">
        <f t="shared" si="76"/>
        <v>2</v>
      </c>
      <c r="D956" s="1860">
        <f t="shared" si="77"/>
        <v>42415</v>
      </c>
      <c r="E956" s="1861">
        <v>42415</v>
      </c>
      <c r="F956" s="1862">
        <f t="shared" si="73"/>
        <v>0</v>
      </c>
      <c r="G956" s="1862">
        <v>67000</v>
      </c>
      <c r="H956" s="1862">
        <v>67000</v>
      </c>
      <c r="I956" s="1862">
        <f>Tabla1[[#This Row],[Extraccion
Norte II]]+Tabla1[[#This Row],[Extraccion
ENO]]</f>
        <v>70789.933380230999</v>
      </c>
      <c r="J956" s="1862">
        <v>70789.933380230999</v>
      </c>
      <c r="K956" s="1862"/>
      <c r="L956" s="1862">
        <f t="shared" si="74"/>
        <v>-3789.9333802309993</v>
      </c>
      <c r="M956" s="1862">
        <f>M955+Tabla1[[#This Row],[Desbalance
TPL]]</f>
        <v>-660675.89372576668</v>
      </c>
    </row>
    <row r="957" spans="2:13" x14ac:dyDescent="0.25">
      <c r="B957" s="1859">
        <f t="shared" si="75"/>
        <v>2016</v>
      </c>
      <c r="C957" s="1859">
        <f t="shared" si="76"/>
        <v>2</v>
      </c>
      <c r="D957" s="1860">
        <f t="shared" si="77"/>
        <v>42416</v>
      </c>
      <c r="E957" s="1861">
        <v>42416</v>
      </c>
      <c r="F957" s="1862">
        <f t="shared" si="73"/>
        <v>0</v>
      </c>
      <c r="G957" s="1862">
        <v>67000</v>
      </c>
      <c r="H957" s="1862">
        <v>67000</v>
      </c>
      <c r="I957" s="1862">
        <f>Tabla1[[#This Row],[Extraccion
Norte II]]+Tabla1[[#This Row],[Extraccion
ENO]]</f>
        <v>70611.067990710013</v>
      </c>
      <c r="J957" s="1862">
        <v>70611.067990710013</v>
      </c>
      <c r="K957" s="1862"/>
      <c r="L957" s="1862">
        <f t="shared" si="74"/>
        <v>-3611.067990710013</v>
      </c>
      <c r="M957" s="1862">
        <f>M956+Tabla1[[#This Row],[Desbalance
TPL]]</f>
        <v>-664286.96171647671</v>
      </c>
    </row>
    <row r="958" spans="2:13" x14ac:dyDescent="0.25">
      <c r="B958" s="1859">
        <f t="shared" si="75"/>
        <v>2016</v>
      </c>
      <c r="C958" s="1859">
        <f t="shared" si="76"/>
        <v>2</v>
      </c>
      <c r="D958" s="1860">
        <f t="shared" si="77"/>
        <v>42417</v>
      </c>
      <c r="E958" s="1861">
        <v>42417</v>
      </c>
      <c r="F958" s="1862">
        <f t="shared" si="73"/>
        <v>0</v>
      </c>
      <c r="G958" s="1862">
        <v>65000</v>
      </c>
      <c r="H958" s="1862">
        <v>65000</v>
      </c>
      <c r="I958" s="1862">
        <f>Tabla1[[#This Row],[Extraccion
Norte II]]+Tabla1[[#This Row],[Extraccion
ENO]]</f>
        <v>70163.912573352005</v>
      </c>
      <c r="J958" s="1862">
        <v>70163.912573352005</v>
      </c>
      <c r="K958" s="1862"/>
      <c r="L958" s="1862">
        <f t="shared" si="74"/>
        <v>-5163.912573352005</v>
      </c>
      <c r="M958" s="1862">
        <f>M957+Tabla1[[#This Row],[Desbalance
TPL]]</f>
        <v>-669450.8742898287</v>
      </c>
    </row>
    <row r="959" spans="2:13" x14ac:dyDescent="0.25">
      <c r="B959" s="1859">
        <f t="shared" si="75"/>
        <v>2016</v>
      </c>
      <c r="C959" s="1859">
        <f t="shared" si="76"/>
        <v>2</v>
      </c>
      <c r="D959" s="1860">
        <f t="shared" si="77"/>
        <v>42418</v>
      </c>
      <c r="E959" s="1861">
        <v>42418</v>
      </c>
      <c r="F959" s="1862">
        <f t="shared" si="73"/>
        <v>0</v>
      </c>
      <c r="G959" s="1862">
        <v>65000</v>
      </c>
      <c r="H959" s="1862">
        <v>65000</v>
      </c>
      <c r="I959" s="1862">
        <f>Tabla1[[#This Row],[Extraccion
Norte II]]+Tabla1[[#This Row],[Extraccion
ENO]]</f>
        <v>70675.547981220006</v>
      </c>
      <c r="J959" s="1862">
        <v>70675.547981220006</v>
      </c>
      <c r="K959" s="1862"/>
      <c r="L959" s="1862">
        <f t="shared" si="74"/>
        <v>-5675.5479812200065</v>
      </c>
      <c r="M959" s="1862">
        <f>M958+Tabla1[[#This Row],[Desbalance
TPL]]</f>
        <v>-675126.42227104865</v>
      </c>
    </row>
    <row r="960" spans="2:13" x14ac:dyDescent="0.25">
      <c r="B960" s="1859">
        <f t="shared" si="75"/>
        <v>2016</v>
      </c>
      <c r="C960" s="1859">
        <f t="shared" si="76"/>
        <v>2</v>
      </c>
      <c r="D960" s="1860">
        <f t="shared" si="77"/>
        <v>42419</v>
      </c>
      <c r="E960" s="1861">
        <v>42419</v>
      </c>
      <c r="F960" s="1862">
        <f t="shared" si="73"/>
        <v>0</v>
      </c>
      <c r="G960" s="1862">
        <v>65000</v>
      </c>
      <c r="H960" s="1862">
        <v>65000</v>
      </c>
      <c r="I960" s="1862">
        <f>Tabla1[[#This Row],[Extraccion
Norte II]]+Tabla1[[#This Row],[Extraccion
ENO]]</f>
        <v>70808.240465586001</v>
      </c>
      <c r="J960" s="1862">
        <v>70808.240465586001</v>
      </c>
      <c r="K960" s="1862"/>
      <c r="L960" s="1862">
        <f t="shared" si="74"/>
        <v>-5808.2404655860009</v>
      </c>
      <c r="M960" s="1862">
        <f>M959+Tabla1[[#This Row],[Desbalance
TPL]]</f>
        <v>-680934.66273663461</v>
      </c>
    </row>
    <row r="961" spans="2:13" x14ac:dyDescent="0.25">
      <c r="B961" s="1859">
        <f t="shared" si="75"/>
        <v>2016</v>
      </c>
      <c r="C961" s="1859">
        <f t="shared" si="76"/>
        <v>2</v>
      </c>
      <c r="D961" s="1860">
        <f t="shared" si="77"/>
        <v>42420</v>
      </c>
      <c r="E961" s="1861">
        <v>42420</v>
      </c>
      <c r="F961" s="1862">
        <f t="shared" si="73"/>
        <v>0</v>
      </c>
      <c r="G961" s="1862">
        <v>65000</v>
      </c>
      <c r="H961" s="1862">
        <v>65000</v>
      </c>
      <c r="I961" s="1862">
        <f>Tabla1[[#This Row],[Extraccion
Norte II]]+Tabla1[[#This Row],[Extraccion
ENO]]</f>
        <v>69434.277359850006</v>
      </c>
      <c r="J961" s="1862">
        <v>69434.277359850006</v>
      </c>
      <c r="K961" s="1862"/>
      <c r="L961" s="1862">
        <f t="shared" si="74"/>
        <v>-4434.2773598500062</v>
      </c>
      <c r="M961" s="1862">
        <f>M960+Tabla1[[#This Row],[Desbalance
TPL]]</f>
        <v>-685368.94009648461</v>
      </c>
    </row>
    <row r="962" spans="2:13" x14ac:dyDescent="0.25">
      <c r="B962" s="1859">
        <f t="shared" si="75"/>
        <v>2016</v>
      </c>
      <c r="C962" s="1859">
        <f t="shared" si="76"/>
        <v>2</v>
      </c>
      <c r="D962" s="1860">
        <f t="shared" si="77"/>
        <v>42421</v>
      </c>
      <c r="E962" s="1861">
        <v>42421</v>
      </c>
      <c r="F962" s="1862">
        <f t="shared" si="73"/>
        <v>0</v>
      </c>
      <c r="G962" s="1862">
        <v>65000</v>
      </c>
      <c r="H962" s="1862">
        <v>65000</v>
      </c>
      <c r="I962" s="1862">
        <f>Tabla1[[#This Row],[Extraccion
Norte II]]+Tabla1[[#This Row],[Extraccion
ENO]]</f>
        <v>68944.511881440005</v>
      </c>
      <c r="J962" s="1862">
        <v>68944.511881440005</v>
      </c>
      <c r="K962" s="1862"/>
      <c r="L962" s="1862">
        <f t="shared" si="74"/>
        <v>-3944.5118814400048</v>
      </c>
      <c r="M962" s="1862">
        <f>M961+Tabla1[[#This Row],[Desbalance
TPL]]</f>
        <v>-689313.45197792468</v>
      </c>
    </row>
    <row r="963" spans="2:13" x14ac:dyDescent="0.25">
      <c r="B963" s="1859">
        <f t="shared" si="75"/>
        <v>2016</v>
      </c>
      <c r="C963" s="1859">
        <f t="shared" si="76"/>
        <v>2</v>
      </c>
      <c r="D963" s="1860">
        <f t="shared" si="77"/>
        <v>42422</v>
      </c>
      <c r="E963" s="1861">
        <v>42422</v>
      </c>
      <c r="F963" s="1862">
        <f t="shared" si="73"/>
        <v>0</v>
      </c>
      <c r="G963" s="1862">
        <v>65000</v>
      </c>
      <c r="H963" s="1862">
        <v>65000</v>
      </c>
      <c r="I963" s="1862">
        <f>Tabla1[[#This Row],[Extraccion
Norte II]]+Tabla1[[#This Row],[Extraccion
ENO]]</f>
        <v>70411.931639009999</v>
      </c>
      <c r="J963" s="1862">
        <v>70411.931639009999</v>
      </c>
      <c r="K963" s="1862"/>
      <c r="L963" s="1862">
        <f t="shared" si="74"/>
        <v>-5411.9316390099993</v>
      </c>
      <c r="M963" s="1862">
        <f>M962+Tabla1[[#This Row],[Desbalance
TPL]]</f>
        <v>-694725.38361693465</v>
      </c>
    </row>
    <row r="964" spans="2:13" x14ac:dyDescent="0.25">
      <c r="B964" s="1859">
        <f t="shared" si="75"/>
        <v>2016</v>
      </c>
      <c r="C964" s="1859">
        <f t="shared" si="76"/>
        <v>2</v>
      </c>
      <c r="D964" s="1860">
        <f t="shared" si="77"/>
        <v>42423</v>
      </c>
      <c r="E964" s="1861">
        <v>42423</v>
      </c>
      <c r="F964" s="1862">
        <f t="shared" si="73"/>
        <v>0</v>
      </c>
      <c r="G964" s="1862">
        <v>68000</v>
      </c>
      <c r="H964" s="1862">
        <v>68000</v>
      </c>
      <c r="I964" s="1862">
        <f>Tabla1[[#This Row],[Extraccion
Norte II]]+Tabla1[[#This Row],[Extraccion
ENO]]</f>
        <v>70381.35506259001</v>
      </c>
      <c r="J964" s="1862">
        <v>70381.35506259001</v>
      </c>
      <c r="K964" s="1862"/>
      <c r="L964" s="1862">
        <f t="shared" si="74"/>
        <v>-2381.3550625900098</v>
      </c>
      <c r="M964" s="1862">
        <f>M963+Tabla1[[#This Row],[Desbalance
TPL]]</f>
        <v>-697106.73867952463</v>
      </c>
    </row>
    <row r="965" spans="2:13" x14ac:dyDescent="0.25">
      <c r="B965" s="1859">
        <f t="shared" si="75"/>
        <v>2016</v>
      </c>
      <c r="C965" s="1859">
        <f t="shared" si="76"/>
        <v>2</v>
      </c>
      <c r="D965" s="1860">
        <f t="shared" si="77"/>
        <v>42424</v>
      </c>
      <c r="E965" s="1861">
        <v>42424</v>
      </c>
      <c r="F965" s="1862">
        <f t="shared" si="73"/>
        <v>0</v>
      </c>
      <c r="G965" s="1862">
        <v>68000</v>
      </c>
      <c r="H965" s="1862">
        <v>68000</v>
      </c>
      <c r="I965" s="1862">
        <f>Tabla1[[#This Row],[Extraccion
Norte II]]+Tabla1[[#This Row],[Extraccion
ENO]]</f>
        <v>69221.489481421871</v>
      </c>
      <c r="J965" s="1862">
        <v>69221.489481421871</v>
      </c>
      <c r="K965" s="1862"/>
      <c r="L965" s="1862">
        <f t="shared" si="74"/>
        <v>-1221.4894814218715</v>
      </c>
      <c r="M965" s="1862">
        <f>M964+Tabla1[[#This Row],[Desbalance
TPL]]</f>
        <v>-698328.22816094651</v>
      </c>
    </row>
    <row r="966" spans="2:13" x14ac:dyDescent="0.25">
      <c r="B966" s="1859">
        <f t="shared" si="75"/>
        <v>2016</v>
      </c>
      <c r="C966" s="1859">
        <f t="shared" si="76"/>
        <v>2</v>
      </c>
      <c r="D966" s="1860">
        <f t="shared" si="77"/>
        <v>42425</v>
      </c>
      <c r="E966" s="1861">
        <v>42425</v>
      </c>
      <c r="F966" s="1862">
        <f t="shared" si="73"/>
        <v>0</v>
      </c>
      <c r="G966" s="1862">
        <v>69727</v>
      </c>
      <c r="H966" s="1862">
        <v>69727</v>
      </c>
      <c r="I966" s="1862">
        <f>Tabla1[[#This Row],[Extraccion
Norte II]]+Tabla1[[#This Row],[Extraccion
ENO]]</f>
        <v>69206.524340044227</v>
      </c>
      <c r="J966" s="1862">
        <v>69206.524340044227</v>
      </c>
      <c r="K966" s="1862"/>
      <c r="L966" s="1862">
        <f t="shared" si="74"/>
        <v>520.47565995577315</v>
      </c>
      <c r="M966" s="1862">
        <f>M965+Tabla1[[#This Row],[Desbalance
TPL]]</f>
        <v>-697807.75250099075</v>
      </c>
    </row>
    <row r="967" spans="2:13" x14ac:dyDescent="0.25">
      <c r="B967" s="1859">
        <f t="shared" si="75"/>
        <v>2016</v>
      </c>
      <c r="C967" s="1859">
        <f t="shared" si="76"/>
        <v>2</v>
      </c>
      <c r="D967" s="1860">
        <f t="shared" si="77"/>
        <v>42426</v>
      </c>
      <c r="E967" s="1861">
        <v>42426</v>
      </c>
      <c r="F967" s="1862">
        <f t="shared" si="73"/>
        <v>0</v>
      </c>
      <c r="G967" s="1862">
        <v>70000</v>
      </c>
      <c r="H967" s="1862">
        <v>70000</v>
      </c>
      <c r="I967" s="1862">
        <f>Tabla1[[#This Row],[Extraccion
Norte II]]+Tabla1[[#This Row],[Extraccion
ENO]]</f>
        <v>69418.072651078124</v>
      </c>
      <c r="J967" s="1862">
        <v>69418.072651078124</v>
      </c>
      <c r="K967" s="1862"/>
      <c r="L967" s="1862">
        <f t="shared" si="74"/>
        <v>581.92734892187582</v>
      </c>
      <c r="M967" s="1862">
        <f>M966+Tabla1[[#This Row],[Desbalance
TPL]]</f>
        <v>-697225.82515206886</v>
      </c>
    </row>
    <row r="968" spans="2:13" x14ac:dyDescent="0.25">
      <c r="B968" s="1859">
        <f t="shared" si="75"/>
        <v>2016</v>
      </c>
      <c r="C968" s="1859">
        <f t="shared" si="76"/>
        <v>2</v>
      </c>
      <c r="D968" s="1860">
        <f t="shared" si="77"/>
        <v>42427</v>
      </c>
      <c r="E968" s="1861">
        <v>42427</v>
      </c>
      <c r="F968" s="1862">
        <f t="shared" si="73"/>
        <v>0</v>
      </c>
      <c r="G968" s="1862">
        <v>70000</v>
      </c>
      <c r="H968" s="1862">
        <v>70000</v>
      </c>
      <c r="I968" s="1862">
        <f>Tabla1[[#This Row],[Extraccion
Norte II]]+Tabla1[[#This Row],[Extraccion
ENO]]</f>
        <v>70187.637577824935</v>
      </c>
      <c r="J968" s="1862">
        <v>70187.637577824935</v>
      </c>
      <c r="K968" s="1862"/>
      <c r="L968" s="1862">
        <f t="shared" si="74"/>
        <v>-187.63757782493485</v>
      </c>
      <c r="M968" s="1862">
        <f>M967+Tabla1[[#This Row],[Desbalance
TPL]]</f>
        <v>-697413.46272989386</v>
      </c>
    </row>
    <row r="969" spans="2:13" x14ac:dyDescent="0.25">
      <c r="B969" s="1859">
        <f t="shared" si="75"/>
        <v>2016</v>
      </c>
      <c r="C969" s="1859">
        <f t="shared" si="76"/>
        <v>2</v>
      </c>
      <c r="D969" s="1860">
        <f t="shared" si="77"/>
        <v>42428</v>
      </c>
      <c r="E969" s="1861">
        <v>42428</v>
      </c>
      <c r="F969" s="1862">
        <f t="shared" si="73"/>
        <v>0</v>
      </c>
      <c r="G969" s="1862">
        <v>70000</v>
      </c>
      <c r="H969" s="1862">
        <v>70000</v>
      </c>
      <c r="I969" s="1862">
        <f>Tabla1[[#This Row],[Extraccion
Norte II]]+Tabla1[[#This Row],[Extraccion
ENO]]</f>
        <v>69227.82800760938</v>
      </c>
      <c r="J969" s="1862">
        <v>69227.82800760938</v>
      </c>
      <c r="K969" s="1862"/>
      <c r="L969" s="1862">
        <f t="shared" si="74"/>
        <v>772.17199239062029</v>
      </c>
      <c r="M969" s="1862">
        <f>M968+Tabla1[[#This Row],[Desbalance
TPL]]</f>
        <v>-696641.29073750321</v>
      </c>
    </row>
    <row r="970" spans="2:13" x14ac:dyDescent="0.25">
      <c r="B970" s="1859">
        <f t="shared" si="75"/>
        <v>2016</v>
      </c>
      <c r="C970" s="1859">
        <f t="shared" si="76"/>
        <v>2</v>
      </c>
      <c r="D970" s="1860">
        <f t="shared" si="77"/>
        <v>42429</v>
      </c>
      <c r="E970" s="1861">
        <v>42429</v>
      </c>
      <c r="F970" s="1862">
        <f t="shared" si="73"/>
        <v>0</v>
      </c>
      <c r="G970" s="1862">
        <v>70000</v>
      </c>
      <c r="H970" s="1862">
        <v>70000</v>
      </c>
      <c r="I970" s="1862">
        <f>Tabla1[[#This Row],[Extraccion
Norte II]]+Tabla1[[#This Row],[Extraccion
ENO]]</f>
        <v>69908.449007970616</v>
      </c>
      <c r="J970" s="1862">
        <v>69908.449007970616</v>
      </c>
      <c r="K970" s="1862"/>
      <c r="L970" s="1862">
        <f t="shared" si="74"/>
        <v>91.550992029384361</v>
      </c>
      <c r="M970" s="1862">
        <f>M969+Tabla1[[#This Row],[Desbalance
TPL]]</f>
        <v>-696549.73974547384</v>
      </c>
    </row>
    <row r="971" spans="2:13" x14ac:dyDescent="0.25">
      <c r="B971" s="1859">
        <f t="shared" ref="B971:B1004" si="78">YEAR(E971)</f>
        <v>2016</v>
      </c>
      <c r="C971" s="1859">
        <f t="shared" ref="C971:C1004" si="79">MONTH(E971)</f>
        <v>3</v>
      </c>
      <c r="D971" s="1860">
        <f t="shared" ref="D971:D1004" si="80">E971</f>
        <v>42430</v>
      </c>
      <c r="E971" s="1861">
        <v>42430</v>
      </c>
      <c r="F971" s="1862">
        <f t="shared" si="73"/>
        <v>0</v>
      </c>
      <c r="G971" s="1862">
        <v>70000</v>
      </c>
      <c r="H971" s="1862">
        <v>70000</v>
      </c>
      <c r="I971" s="1862">
        <f>Tabla1[[#This Row],[Extraccion
Norte II]]+Tabla1[[#This Row],[Extraccion
ENO]]</f>
        <v>70647.694898184855</v>
      </c>
      <c r="J971" s="1862">
        <v>70647.694898184855</v>
      </c>
      <c r="K971" s="1862"/>
      <c r="L971" s="1862">
        <f t="shared" si="74"/>
        <v>-647.69489818485454</v>
      </c>
      <c r="M971" s="1862">
        <f>M970+Tabla1[[#This Row],[Desbalance
TPL]]</f>
        <v>-697197.43464365869</v>
      </c>
    </row>
    <row r="972" spans="2:13" x14ac:dyDescent="0.25">
      <c r="B972" s="1859">
        <f t="shared" si="78"/>
        <v>2016</v>
      </c>
      <c r="C972" s="1859">
        <f t="shared" si="79"/>
        <v>3</v>
      </c>
      <c r="D972" s="1860">
        <f t="shared" si="80"/>
        <v>42431</v>
      </c>
      <c r="E972" s="1861">
        <v>42431</v>
      </c>
      <c r="F972" s="1862">
        <f t="shared" ref="F972:F1035" si="81">G972-H972</f>
        <v>0</v>
      </c>
      <c r="G972" s="1862">
        <v>69000</v>
      </c>
      <c r="H972" s="1862">
        <v>69000</v>
      </c>
      <c r="I972" s="1862">
        <f>Tabla1[[#This Row],[Extraccion
Norte II]]+Tabla1[[#This Row],[Extraccion
ENO]]</f>
        <v>70051.471030426517</v>
      </c>
      <c r="J972" s="1862">
        <v>70051.471030426517</v>
      </c>
      <c r="K972" s="1862"/>
      <c r="L972" s="1862">
        <f t="shared" ref="L972:L1035" si="82">H972-I972</f>
        <v>-1051.4710304265172</v>
      </c>
      <c r="M972" s="1862">
        <f>M971+Tabla1[[#This Row],[Desbalance
TPL]]</f>
        <v>-698248.90567408525</v>
      </c>
    </row>
    <row r="973" spans="2:13" x14ac:dyDescent="0.25">
      <c r="B973" s="1859">
        <f t="shared" si="78"/>
        <v>2016</v>
      </c>
      <c r="C973" s="1859">
        <f t="shared" si="79"/>
        <v>3</v>
      </c>
      <c r="D973" s="1860">
        <f t="shared" si="80"/>
        <v>42432</v>
      </c>
      <c r="E973" s="1861">
        <v>42432</v>
      </c>
      <c r="F973" s="1862">
        <f t="shared" si="81"/>
        <v>0</v>
      </c>
      <c r="G973" s="1862">
        <v>70000</v>
      </c>
      <c r="H973" s="1862">
        <v>70000</v>
      </c>
      <c r="I973" s="1862">
        <f>Tabla1[[#This Row],[Extraccion
Norte II]]+Tabla1[[#This Row],[Extraccion
ENO]]</f>
        <v>72914.71766048437</v>
      </c>
      <c r="J973" s="1862">
        <v>72914.71766048437</v>
      </c>
      <c r="K973" s="1862"/>
      <c r="L973" s="1862">
        <f t="shared" si="82"/>
        <v>-2914.7176604843698</v>
      </c>
      <c r="M973" s="1862">
        <f>M972+Tabla1[[#This Row],[Desbalance
TPL]]</f>
        <v>-701163.62333456962</v>
      </c>
    </row>
    <row r="974" spans="2:13" x14ac:dyDescent="0.25">
      <c r="B974" s="1859">
        <f t="shared" si="78"/>
        <v>2016</v>
      </c>
      <c r="C974" s="1859">
        <f t="shared" si="79"/>
        <v>3</v>
      </c>
      <c r="D974" s="1860">
        <f t="shared" si="80"/>
        <v>42433</v>
      </c>
      <c r="E974" s="1861">
        <v>42433</v>
      </c>
      <c r="F974" s="1862">
        <f t="shared" si="81"/>
        <v>0</v>
      </c>
      <c r="G974" s="1862">
        <v>70000</v>
      </c>
      <c r="H974" s="1862">
        <v>70000</v>
      </c>
      <c r="I974" s="1862">
        <f>Tabla1[[#This Row],[Extraccion
Norte II]]+Tabla1[[#This Row],[Extraccion
ENO]]</f>
        <v>69849.714436734372</v>
      </c>
      <c r="J974" s="1862">
        <v>69849.714436734372</v>
      </c>
      <c r="K974" s="1862"/>
      <c r="L974" s="1862">
        <f t="shared" si="82"/>
        <v>150.2855632656283</v>
      </c>
      <c r="M974" s="1862">
        <f>M973+Tabla1[[#This Row],[Desbalance
TPL]]</f>
        <v>-701013.33777130395</v>
      </c>
    </row>
    <row r="975" spans="2:13" x14ac:dyDescent="0.25">
      <c r="B975" s="1859">
        <f t="shared" si="78"/>
        <v>2016</v>
      </c>
      <c r="C975" s="1859">
        <f t="shared" si="79"/>
        <v>3</v>
      </c>
      <c r="D975" s="1860">
        <f t="shared" si="80"/>
        <v>42434</v>
      </c>
      <c r="E975" s="1861">
        <v>42434</v>
      </c>
      <c r="F975" s="1862">
        <f t="shared" si="81"/>
        <v>0</v>
      </c>
      <c r="G975" s="1862">
        <v>69000</v>
      </c>
      <c r="H975" s="1862">
        <v>69000</v>
      </c>
      <c r="I975" s="1862">
        <f>Tabla1[[#This Row],[Extraccion
Norte II]]+Tabla1[[#This Row],[Extraccion
ENO]]</f>
        <v>58166.637009389298</v>
      </c>
      <c r="J975" s="1862">
        <v>58166.637009389298</v>
      </c>
      <c r="K975" s="1862"/>
      <c r="L975" s="1862">
        <f t="shared" si="82"/>
        <v>10833.362990610702</v>
      </c>
      <c r="M975" s="1862">
        <f>M974+Tabla1[[#This Row],[Desbalance
TPL]]</f>
        <v>-690179.9747806933</v>
      </c>
    </row>
    <row r="976" spans="2:13" x14ac:dyDescent="0.25">
      <c r="B976" s="1859">
        <f t="shared" si="78"/>
        <v>2016</v>
      </c>
      <c r="C976" s="1859">
        <f t="shared" si="79"/>
        <v>3</v>
      </c>
      <c r="D976" s="1860">
        <f t="shared" si="80"/>
        <v>42435</v>
      </c>
      <c r="E976" s="1861">
        <v>42435</v>
      </c>
      <c r="F976" s="1862">
        <f t="shared" si="81"/>
        <v>0</v>
      </c>
      <c r="G976" s="1862">
        <v>69000</v>
      </c>
      <c r="H976" s="1862">
        <v>69000</v>
      </c>
      <c r="I976" s="1862">
        <f>Tabla1[[#This Row],[Extraccion
Norte II]]+Tabla1[[#This Row],[Extraccion
ENO]]</f>
        <v>50120.00447494565</v>
      </c>
      <c r="J976" s="1862">
        <v>50120.00447494565</v>
      </c>
      <c r="K976" s="1862"/>
      <c r="L976" s="1862">
        <f t="shared" si="82"/>
        <v>18879.99552505435</v>
      </c>
      <c r="M976" s="1862">
        <f>M975+Tabla1[[#This Row],[Desbalance
TPL]]</f>
        <v>-671299.9792556389</v>
      </c>
    </row>
    <row r="977" spans="2:13" x14ac:dyDescent="0.25">
      <c r="B977" s="1859">
        <f t="shared" si="78"/>
        <v>2016</v>
      </c>
      <c r="C977" s="1859">
        <f t="shared" si="79"/>
        <v>3</v>
      </c>
      <c r="D977" s="1860">
        <f t="shared" si="80"/>
        <v>42436</v>
      </c>
      <c r="E977" s="1861">
        <v>42436</v>
      </c>
      <c r="F977" s="1862">
        <f t="shared" si="81"/>
        <v>0</v>
      </c>
      <c r="G977" s="1862">
        <v>69000</v>
      </c>
      <c r="H977" s="1862">
        <v>69000</v>
      </c>
      <c r="I977" s="1862">
        <f>Tabla1[[#This Row],[Extraccion
Norte II]]+Tabla1[[#This Row],[Extraccion
ENO]]</f>
        <v>73493.730179999999</v>
      </c>
      <c r="J977" s="1862">
        <v>73493.730179999999</v>
      </c>
      <c r="K977" s="1862"/>
      <c r="L977" s="1862">
        <f t="shared" si="82"/>
        <v>-4493.7301799999987</v>
      </c>
      <c r="M977" s="1862">
        <f>M976+Tabla1[[#This Row],[Desbalance
TPL]]</f>
        <v>-675793.70943563886</v>
      </c>
    </row>
    <row r="978" spans="2:13" x14ac:dyDescent="0.25">
      <c r="B978" s="1859">
        <f t="shared" si="78"/>
        <v>2016</v>
      </c>
      <c r="C978" s="1859">
        <f t="shared" si="79"/>
        <v>3</v>
      </c>
      <c r="D978" s="1860">
        <f t="shared" si="80"/>
        <v>42437</v>
      </c>
      <c r="E978" s="1861">
        <v>42437</v>
      </c>
      <c r="F978" s="1862">
        <f t="shared" si="81"/>
        <v>0</v>
      </c>
      <c r="G978" s="1862">
        <v>71000</v>
      </c>
      <c r="H978" s="1862">
        <v>71000</v>
      </c>
      <c r="I978" s="1862">
        <f>Tabla1[[#This Row],[Extraccion
Norte II]]+Tabla1[[#This Row],[Extraccion
ENO]]</f>
        <v>72755.415679221522</v>
      </c>
      <c r="J978" s="1862">
        <v>72755.415679221522</v>
      </c>
      <c r="K978" s="1862"/>
      <c r="L978" s="1862">
        <f t="shared" si="82"/>
        <v>-1755.4156792215217</v>
      </c>
      <c r="M978" s="1862">
        <f>M977+Tabla1[[#This Row],[Desbalance
TPL]]</f>
        <v>-677549.12511486036</v>
      </c>
    </row>
    <row r="979" spans="2:13" x14ac:dyDescent="0.25">
      <c r="B979" s="1859">
        <f t="shared" si="78"/>
        <v>2016</v>
      </c>
      <c r="C979" s="1859">
        <f t="shared" si="79"/>
        <v>3</v>
      </c>
      <c r="D979" s="1860">
        <f t="shared" si="80"/>
        <v>42438</v>
      </c>
      <c r="E979" s="1861">
        <v>42438</v>
      </c>
      <c r="F979" s="1862">
        <f t="shared" si="81"/>
        <v>0</v>
      </c>
      <c r="G979" s="1862">
        <v>71000</v>
      </c>
      <c r="H979" s="1862">
        <v>71000</v>
      </c>
      <c r="I979" s="1862">
        <f>Tabla1[[#This Row],[Extraccion
Norte II]]+Tabla1[[#This Row],[Extraccion
ENO]]</f>
        <v>70704.252915731733</v>
      </c>
      <c r="J979" s="1862">
        <v>70704.252915731733</v>
      </c>
      <c r="K979" s="1862"/>
      <c r="L979" s="1862">
        <f t="shared" si="82"/>
        <v>295.74708426826692</v>
      </c>
      <c r="M979" s="1862">
        <f>M978+Tabla1[[#This Row],[Desbalance
TPL]]</f>
        <v>-677253.37803059211</v>
      </c>
    </row>
    <row r="980" spans="2:13" x14ac:dyDescent="0.25">
      <c r="B980" s="1859">
        <f t="shared" si="78"/>
        <v>2016</v>
      </c>
      <c r="C980" s="1859">
        <f t="shared" si="79"/>
        <v>3</v>
      </c>
      <c r="D980" s="1860">
        <f t="shared" si="80"/>
        <v>42439</v>
      </c>
      <c r="E980" s="1861">
        <v>42439</v>
      </c>
      <c r="F980" s="1862">
        <f t="shared" si="81"/>
        <v>0</v>
      </c>
      <c r="G980" s="1862">
        <v>71000</v>
      </c>
      <c r="H980" s="1862">
        <v>71000</v>
      </c>
      <c r="I980" s="1862">
        <f>Tabla1[[#This Row],[Extraccion
Norte II]]+Tabla1[[#This Row],[Extraccion
ENO]]</f>
        <v>70032.606094106726</v>
      </c>
      <c r="J980" s="1862">
        <v>70032.606094106726</v>
      </c>
      <c r="K980" s="1862"/>
      <c r="L980" s="1862">
        <f t="shared" si="82"/>
        <v>967.39390589327377</v>
      </c>
      <c r="M980" s="1862">
        <f>M979+Tabla1[[#This Row],[Desbalance
TPL]]</f>
        <v>-676285.98412469879</v>
      </c>
    </row>
    <row r="981" spans="2:13" x14ac:dyDescent="0.25">
      <c r="B981" s="1859">
        <f t="shared" si="78"/>
        <v>2016</v>
      </c>
      <c r="C981" s="1859">
        <f t="shared" si="79"/>
        <v>3</v>
      </c>
      <c r="D981" s="1860">
        <f t="shared" si="80"/>
        <v>42440</v>
      </c>
      <c r="E981" s="1861">
        <v>42440</v>
      </c>
      <c r="F981" s="1862">
        <f t="shared" si="81"/>
        <v>0</v>
      </c>
      <c r="G981" s="1862">
        <v>72000</v>
      </c>
      <c r="H981" s="1862">
        <v>72000</v>
      </c>
      <c r="I981" s="1862">
        <f>Tabla1[[#This Row],[Extraccion
Norte II]]+Tabla1[[#This Row],[Extraccion
ENO]]</f>
        <v>69862.902422184852</v>
      </c>
      <c r="J981" s="1862">
        <v>69862.902422184852</v>
      </c>
      <c r="K981" s="1862"/>
      <c r="L981" s="1862">
        <f t="shared" si="82"/>
        <v>2137.0975778151478</v>
      </c>
      <c r="M981" s="1862">
        <f>M980+Tabla1[[#This Row],[Desbalance
TPL]]</f>
        <v>-674148.88654688362</v>
      </c>
    </row>
    <row r="982" spans="2:13" x14ac:dyDescent="0.25">
      <c r="B982" s="1859">
        <f t="shared" si="78"/>
        <v>2016</v>
      </c>
      <c r="C982" s="1859">
        <f t="shared" si="79"/>
        <v>3</v>
      </c>
      <c r="D982" s="1860">
        <f t="shared" si="80"/>
        <v>42441</v>
      </c>
      <c r="E982" s="1861">
        <v>42441</v>
      </c>
      <c r="F982" s="1862">
        <f t="shared" si="81"/>
        <v>0</v>
      </c>
      <c r="G982" s="1862">
        <v>70000</v>
      </c>
      <c r="H982" s="1862">
        <v>70000</v>
      </c>
      <c r="I982" s="1862">
        <f>Tabla1[[#This Row],[Extraccion
Norte II]]+Tabla1[[#This Row],[Extraccion
ENO]]</f>
        <v>70470.497548106723</v>
      </c>
      <c r="J982" s="1862">
        <v>70470.497548106723</v>
      </c>
      <c r="K982" s="1862"/>
      <c r="L982" s="1862">
        <f t="shared" si="82"/>
        <v>-470.49754810672312</v>
      </c>
      <c r="M982" s="1862">
        <f>M981+Tabla1[[#This Row],[Desbalance
TPL]]</f>
        <v>-674619.38409499032</v>
      </c>
    </row>
    <row r="983" spans="2:13" x14ac:dyDescent="0.25">
      <c r="B983" s="1859">
        <f t="shared" si="78"/>
        <v>2016</v>
      </c>
      <c r="C983" s="1859">
        <f t="shared" si="79"/>
        <v>3</v>
      </c>
      <c r="D983" s="1860">
        <f t="shared" si="80"/>
        <v>42442</v>
      </c>
      <c r="E983" s="1861">
        <v>42442</v>
      </c>
      <c r="F983" s="1862">
        <f t="shared" si="81"/>
        <v>0</v>
      </c>
      <c r="G983" s="1862">
        <v>70000</v>
      </c>
      <c r="H983" s="1862">
        <v>70000</v>
      </c>
      <c r="I983" s="1862">
        <f>Tabla1[[#This Row],[Extraccion
Norte II]]+Tabla1[[#This Row],[Extraccion
ENO]]</f>
        <v>70610.09322063798</v>
      </c>
      <c r="J983" s="1862">
        <v>70610.09322063798</v>
      </c>
      <c r="K983" s="1862"/>
      <c r="L983" s="1862">
        <f t="shared" si="82"/>
        <v>-610.09322063798027</v>
      </c>
      <c r="M983" s="1862">
        <f>M982+Tabla1[[#This Row],[Desbalance
TPL]]</f>
        <v>-675229.47731562832</v>
      </c>
    </row>
    <row r="984" spans="2:13" x14ac:dyDescent="0.25">
      <c r="B984" s="1859">
        <f t="shared" si="78"/>
        <v>2016</v>
      </c>
      <c r="C984" s="1859">
        <f t="shared" si="79"/>
        <v>3</v>
      </c>
      <c r="D984" s="1860">
        <f t="shared" si="80"/>
        <v>42443</v>
      </c>
      <c r="E984" s="1861">
        <v>42443</v>
      </c>
      <c r="F984" s="1862">
        <f t="shared" si="81"/>
        <v>0</v>
      </c>
      <c r="G984" s="1862">
        <v>70000</v>
      </c>
      <c r="H984" s="1862">
        <v>70000</v>
      </c>
      <c r="I984" s="1862">
        <f>Tabla1[[#This Row],[Extraccion
Norte II]]+Tabla1[[#This Row],[Extraccion
ENO]]</f>
        <v>72561.97423573173</v>
      </c>
      <c r="J984" s="1862">
        <v>72561.97423573173</v>
      </c>
      <c r="K984" s="1862"/>
      <c r="L984" s="1862">
        <f t="shared" si="82"/>
        <v>-2561.97423573173</v>
      </c>
      <c r="M984" s="1862">
        <f>M983+Tabla1[[#This Row],[Desbalance
TPL]]</f>
        <v>-677791.45155136008</v>
      </c>
    </row>
    <row r="985" spans="2:13" x14ac:dyDescent="0.25">
      <c r="B985" s="1859">
        <f t="shared" si="78"/>
        <v>2016</v>
      </c>
      <c r="C985" s="1859">
        <f t="shared" si="79"/>
        <v>3</v>
      </c>
      <c r="D985" s="1860">
        <f t="shared" si="80"/>
        <v>42444</v>
      </c>
      <c r="E985" s="1861">
        <v>42444</v>
      </c>
      <c r="F985" s="1862">
        <f t="shared" si="81"/>
        <v>0</v>
      </c>
      <c r="G985" s="1862">
        <v>73000</v>
      </c>
      <c r="H985" s="1862">
        <v>73000</v>
      </c>
      <c r="I985" s="1862">
        <f>Tabla1[[#This Row],[Extraccion
Norte II]]+Tabla1[[#This Row],[Extraccion
ENO]]</f>
        <v>73340.405970609383</v>
      </c>
      <c r="J985" s="1862">
        <v>73340.405970609383</v>
      </c>
      <c r="K985" s="1862"/>
      <c r="L985" s="1862">
        <f t="shared" si="82"/>
        <v>-340.40597060938308</v>
      </c>
      <c r="M985" s="1862">
        <f>M984+Tabla1[[#This Row],[Desbalance
TPL]]</f>
        <v>-678131.85752196948</v>
      </c>
    </row>
    <row r="986" spans="2:13" x14ac:dyDescent="0.25">
      <c r="B986" s="1859">
        <f t="shared" si="78"/>
        <v>2016</v>
      </c>
      <c r="C986" s="1859">
        <f t="shared" si="79"/>
        <v>3</v>
      </c>
      <c r="D986" s="1860">
        <f t="shared" si="80"/>
        <v>42445</v>
      </c>
      <c r="E986" s="1861">
        <v>42445</v>
      </c>
      <c r="F986" s="1862">
        <f t="shared" si="81"/>
        <v>0</v>
      </c>
      <c r="G986" s="1862">
        <v>73000</v>
      </c>
      <c r="H986" s="1862">
        <v>73000</v>
      </c>
      <c r="I986" s="1862">
        <f>Tabla1[[#This Row],[Extraccion
Norte II]]+Tabla1[[#This Row],[Extraccion
ENO]]</f>
        <v>74419.569673312508</v>
      </c>
      <c r="J986" s="1862">
        <v>74419.569673312508</v>
      </c>
      <c r="K986" s="1862"/>
      <c r="L986" s="1862">
        <f t="shared" si="82"/>
        <v>-1419.5696733125078</v>
      </c>
      <c r="M986" s="1862">
        <f>M985+Tabla1[[#This Row],[Desbalance
TPL]]</f>
        <v>-679551.42719528195</v>
      </c>
    </row>
    <row r="987" spans="2:13" x14ac:dyDescent="0.25">
      <c r="B987" s="1859">
        <f t="shared" si="78"/>
        <v>2016</v>
      </c>
      <c r="C987" s="1859">
        <f t="shared" si="79"/>
        <v>3</v>
      </c>
      <c r="D987" s="1860">
        <f t="shared" si="80"/>
        <v>42446</v>
      </c>
      <c r="E987" s="1861">
        <v>42446</v>
      </c>
      <c r="F987" s="1862">
        <f t="shared" si="81"/>
        <v>0</v>
      </c>
      <c r="G987" s="1862">
        <v>73000</v>
      </c>
      <c r="H987" s="1862">
        <v>73000</v>
      </c>
      <c r="I987" s="1862">
        <f>Tabla1[[#This Row],[Extraccion
Norte II]]+Tabla1[[#This Row],[Extraccion
ENO]]</f>
        <v>73091.774319450473</v>
      </c>
      <c r="J987" s="1862">
        <v>73091.774319450473</v>
      </c>
      <c r="K987" s="1862"/>
      <c r="L987" s="1862">
        <f t="shared" si="82"/>
        <v>-91.774319450472831</v>
      </c>
      <c r="M987" s="1862">
        <f>M986+Tabla1[[#This Row],[Desbalance
TPL]]</f>
        <v>-679643.20151473244</v>
      </c>
    </row>
    <row r="988" spans="2:13" x14ac:dyDescent="0.25">
      <c r="B988" s="1859">
        <f t="shared" si="78"/>
        <v>2016</v>
      </c>
      <c r="C988" s="1859">
        <f t="shared" si="79"/>
        <v>3</v>
      </c>
      <c r="D988" s="1860">
        <f t="shared" si="80"/>
        <v>42447</v>
      </c>
      <c r="E988" s="1861">
        <v>42447</v>
      </c>
      <c r="F988" s="1862">
        <f t="shared" si="81"/>
        <v>0</v>
      </c>
      <c r="G988" s="1862">
        <v>73000</v>
      </c>
      <c r="H988" s="1862">
        <v>73000</v>
      </c>
      <c r="I988" s="1862">
        <f>Tabla1[[#This Row],[Extraccion
Norte II]]+Tabla1[[#This Row],[Extraccion
ENO]]</f>
        <v>72851.539733578131</v>
      </c>
      <c r="J988" s="1862">
        <v>72851.539733578131</v>
      </c>
      <c r="K988" s="1862"/>
      <c r="L988" s="1862">
        <f t="shared" si="82"/>
        <v>148.46026642186916</v>
      </c>
      <c r="M988" s="1862">
        <f>M987+Tabla1[[#This Row],[Desbalance
TPL]]</f>
        <v>-679494.74124831054</v>
      </c>
    </row>
    <row r="989" spans="2:13" x14ac:dyDescent="0.25">
      <c r="B989" s="1859">
        <f t="shared" si="78"/>
        <v>2016</v>
      </c>
      <c r="C989" s="1859">
        <f t="shared" si="79"/>
        <v>3</v>
      </c>
      <c r="D989" s="1860">
        <f t="shared" si="80"/>
        <v>42448</v>
      </c>
      <c r="E989" s="1861">
        <v>42448</v>
      </c>
      <c r="F989" s="1862">
        <f t="shared" si="81"/>
        <v>0</v>
      </c>
      <c r="G989" s="1862">
        <v>69000</v>
      </c>
      <c r="H989" s="1862">
        <v>69000</v>
      </c>
      <c r="I989" s="1862">
        <f>Tabla1[[#This Row],[Extraccion
Norte II]]+Tabla1[[#This Row],[Extraccion
ENO]]</f>
        <v>70129.401905231731</v>
      </c>
      <c r="J989" s="1862">
        <v>70129.401905231731</v>
      </c>
      <c r="K989" s="1862"/>
      <c r="L989" s="1862">
        <f t="shared" si="82"/>
        <v>-1129.4019052317308</v>
      </c>
      <c r="M989" s="1862">
        <f>M988+Tabla1[[#This Row],[Desbalance
TPL]]</f>
        <v>-680624.1431535423</v>
      </c>
    </row>
    <row r="990" spans="2:13" x14ac:dyDescent="0.25">
      <c r="B990" s="1859">
        <f t="shared" si="78"/>
        <v>2016</v>
      </c>
      <c r="C990" s="1859">
        <f t="shared" si="79"/>
        <v>3</v>
      </c>
      <c r="D990" s="1860">
        <f t="shared" si="80"/>
        <v>42449</v>
      </c>
      <c r="E990" s="1861">
        <v>42449</v>
      </c>
      <c r="F990" s="1862">
        <f t="shared" si="81"/>
        <v>0</v>
      </c>
      <c r="G990" s="1862">
        <v>69000</v>
      </c>
      <c r="H990" s="1862">
        <v>69000</v>
      </c>
      <c r="I990" s="1862">
        <f>Tabla1[[#This Row],[Extraccion
Norte II]]+Tabla1[[#This Row],[Extraccion
ENO]]</f>
        <v>69970.435222762972</v>
      </c>
      <c r="J990" s="1862">
        <v>69970.435222762972</v>
      </c>
      <c r="K990" s="1862"/>
      <c r="L990" s="1862">
        <f t="shared" si="82"/>
        <v>-970.43522276297153</v>
      </c>
      <c r="M990" s="1862">
        <f>M989+Tabla1[[#This Row],[Desbalance
TPL]]</f>
        <v>-681594.57837630529</v>
      </c>
    </row>
    <row r="991" spans="2:13" x14ac:dyDescent="0.25">
      <c r="B991" s="1859">
        <f t="shared" si="78"/>
        <v>2016</v>
      </c>
      <c r="C991" s="1859">
        <f t="shared" si="79"/>
        <v>3</v>
      </c>
      <c r="D991" s="1860">
        <f t="shared" si="80"/>
        <v>42450</v>
      </c>
      <c r="E991" s="1861">
        <v>42450</v>
      </c>
      <c r="F991" s="1862">
        <f t="shared" si="81"/>
        <v>0</v>
      </c>
      <c r="G991" s="1862">
        <v>69000</v>
      </c>
      <c r="H991" s="1862">
        <v>69000</v>
      </c>
      <c r="I991" s="1862">
        <f>Tabla1[[#This Row],[Extraccion
Norte II]]+Tabla1[[#This Row],[Extraccion
ENO]]</f>
        <v>70058.041651406253</v>
      </c>
      <c r="J991" s="1862">
        <v>70058.041651406253</v>
      </c>
      <c r="K991" s="1862"/>
      <c r="L991" s="1862">
        <f t="shared" si="82"/>
        <v>-1058.0416514062526</v>
      </c>
      <c r="M991" s="1862">
        <f>M990+Tabla1[[#This Row],[Desbalance
TPL]]</f>
        <v>-682652.6200277115</v>
      </c>
    </row>
    <row r="992" spans="2:13" x14ac:dyDescent="0.25">
      <c r="B992" s="1859">
        <f t="shared" si="78"/>
        <v>2016</v>
      </c>
      <c r="C992" s="1859">
        <f t="shared" si="79"/>
        <v>3</v>
      </c>
      <c r="D992" s="1860">
        <f t="shared" si="80"/>
        <v>42451</v>
      </c>
      <c r="E992" s="1861">
        <v>42451</v>
      </c>
      <c r="F992" s="1862">
        <f t="shared" si="81"/>
        <v>0</v>
      </c>
      <c r="G992" s="1862">
        <v>71000</v>
      </c>
      <c r="H992" s="1862">
        <v>71000</v>
      </c>
      <c r="I992" s="1862">
        <f>Tabla1[[#This Row],[Extraccion
Norte II]]+Tabla1[[#This Row],[Extraccion
ENO]]</f>
        <v>70979.20011351</v>
      </c>
      <c r="J992" s="1862">
        <v>70979.20011351</v>
      </c>
      <c r="K992" s="1862"/>
      <c r="L992" s="1862">
        <f t="shared" si="82"/>
        <v>20.799886490000063</v>
      </c>
      <c r="M992" s="1862">
        <f>M991+Tabla1[[#This Row],[Desbalance
TPL]]</f>
        <v>-682631.82014122151</v>
      </c>
    </row>
    <row r="993" spans="2:13" x14ac:dyDescent="0.25">
      <c r="B993" s="1859">
        <f t="shared" si="78"/>
        <v>2016</v>
      </c>
      <c r="C993" s="1859">
        <f t="shared" si="79"/>
        <v>3</v>
      </c>
      <c r="D993" s="1860">
        <f t="shared" si="80"/>
        <v>42452</v>
      </c>
      <c r="E993" s="1861">
        <v>42452</v>
      </c>
      <c r="F993" s="1862">
        <f t="shared" si="81"/>
        <v>0</v>
      </c>
      <c r="G993" s="1862">
        <v>71000</v>
      </c>
      <c r="H993" s="1862">
        <v>71000</v>
      </c>
      <c r="I993" s="1862">
        <f>Tabla1[[#This Row],[Extraccion
Norte II]]+Tabla1[[#This Row],[Extraccion
ENO]]</f>
        <v>72337.412396340005</v>
      </c>
      <c r="J993" s="1862">
        <v>72337.412396340005</v>
      </c>
      <c r="K993" s="1862"/>
      <c r="L993" s="1862">
        <f t="shared" si="82"/>
        <v>-1337.4123963400052</v>
      </c>
      <c r="M993" s="1862">
        <f>M992+Tabla1[[#This Row],[Desbalance
TPL]]</f>
        <v>-683969.23253756156</v>
      </c>
    </row>
    <row r="994" spans="2:13" x14ac:dyDescent="0.25">
      <c r="B994" s="1859">
        <f t="shared" si="78"/>
        <v>2016</v>
      </c>
      <c r="C994" s="1859">
        <f t="shared" si="79"/>
        <v>3</v>
      </c>
      <c r="D994" s="1860">
        <f t="shared" si="80"/>
        <v>42453</v>
      </c>
      <c r="E994" s="1861">
        <v>42453</v>
      </c>
      <c r="F994" s="1862">
        <f t="shared" si="81"/>
        <v>0</v>
      </c>
      <c r="G994" s="1862">
        <v>71000</v>
      </c>
      <c r="H994" s="1862">
        <v>71000</v>
      </c>
      <c r="I994" s="1862">
        <f>Tabla1[[#This Row],[Extraccion
Norte II]]+Tabla1[[#This Row],[Extraccion
ENO]]</f>
        <v>69329.581494030004</v>
      </c>
      <c r="J994" s="1862">
        <v>69329.581494030004</v>
      </c>
      <c r="K994" s="1862"/>
      <c r="L994" s="1862">
        <f t="shared" si="82"/>
        <v>1670.4185059699957</v>
      </c>
      <c r="M994" s="1862">
        <f>M993+Tabla1[[#This Row],[Desbalance
TPL]]</f>
        <v>-682298.81403159152</v>
      </c>
    </row>
    <row r="995" spans="2:13" x14ac:dyDescent="0.25">
      <c r="B995" s="1859">
        <f t="shared" si="78"/>
        <v>2016</v>
      </c>
      <c r="C995" s="1859">
        <f t="shared" si="79"/>
        <v>3</v>
      </c>
      <c r="D995" s="1860">
        <f t="shared" si="80"/>
        <v>42454</v>
      </c>
      <c r="E995" s="1861">
        <v>42454</v>
      </c>
      <c r="F995" s="1862">
        <f t="shared" si="81"/>
        <v>0</v>
      </c>
      <c r="G995" s="1862">
        <v>65000</v>
      </c>
      <c r="H995" s="1862">
        <v>65000</v>
      </c>
      <c r="I995" s="1862">
        <f>Tabla1[[#This Row],[Extraccion
Norte II]]+Tabla1[[#This Row],[Extraccion
ENO]]</f>
        <v>69576.753211289993</v>
      </c>
      <c r="J995" s="1862">
        <v>69576.753211289993</v>
      </c>
      <c r="K995" s="1862"/>
      <c r="L995" s="1862">
        <f t="shared" si="82"/>
        <v>-4576.7532112899935</v>
      </c>
      <c r="M995" s="1862">
        <f>M994+Tabla1[[#This Row],[Desbalance
TPL]]</f>
        <v>-686875.56724288152</v>
      </c>
    </row>
    <row r="996" spans="2:13" x14ac:dyDescent="0.25">
      <c r="B996" s="1859">
        <f t="shared" si="78"/>
        <v>2016</v>
      </c>
      <c r="C996" s="1859">
        <f t="shared" si="79"/>
        <v>3</v>
      </c>
      <c r="D996" s="1860">
        <f t="shared" si="80"/>
        <v>42455</v>
      </c>
      <c r="E996" s="1861">
        <v>42455</v>
      </c>
      <c r="F996" s="1862">
        <f t="shared" si="81"/>
        <v>0</v>
      </c>
      <c r="G996" s="1862">
        <v>65000</v>
      </c>
      <c r="H996" s="1862">
        <v>65000</v>
      </c>
      <c r="I996" s="1862">
        <f>Tabla1[[#This Row],[Extraccion
Norte II]]+Tabla1[[#This Row],[Extraccion
ENO]]</f>
        <v>71489.087746830002</v>
      </c>
      <c r="J996" s="1862">
        <v>71489.087746830002</v>
      </c>
      <c r="K996" s="1862"/>
      <c r="L996" s="1862">
        <f t="shared" si="82"/>
        <v>-6489.0877468300023</v>
      </c>
      <c r="M996" s="1862">
        <f>M995+Tabla1[[#This Row],[Desbalance
TPL]]</f>
        <v>-693364.65498971147</v>
      </c>
    </row>
    <row r="997" spans="2:13" x14ac:dyDescent="0.25">
      <c r="B997" s="1859">
        <f t="shared" si="78"/>
        <v>2016</v>
      </c>
      <c r="C997" s="1859">
        <f t="shared" si="79"/>
        <v>3</v>
      </c>
      <c r="D997" s="1860">
        <f t="shared" si="80"/>
        <v>42456</v>
      </c>
      <c r="E997" s="1861">
        <v>42456</v>
      </c>
      <c r="F997" s="1862">
        <f t="shared" si="81"/>
        <v>0</v>
      </c>
      <c r="G997" s="1862">
        <v>64998</v>
      </c>
      <c r="H997" s="1862">
        <v>64998</v>
      </c>
      <c r="I997" s="1862">
        <f>Tabla1[[#This Row],[Extraccion
Norte II]]+Tabla1[[#This Row],[Extraccion
ENO]]</f>
        <v>69841.506933900004</v>
      </c>
      <c r="J997" s="1862">
        <v>69841.506933900004</v>
      </c>
      <c r="K997" s="1862"/>
      <c r="L997" s="1862">
        <f t="shared" si="82"/>
        <v>-4843.5069339000038</v>
      </c>
      <c r="M997" s="1862">
        <f>M996+Tabla1[[#This Row],[Desbalance
TPL]]</f>
        <v>-698208.16192361154</v>
      </c>
    </row>
    <row r="998" spans="2:13" x14ac:dyDescent="0.25">
      <c r="B998" s="1859">
        <f t="shared" si="78"/>
        <v>2016</v>
      </c>
      <c r="C998" s="1859">
        <f t="shared" si="79"/>
        <v>3</v>
      </c>
      <c r="D998" s="1860">
        <f t="shared" si="80"/>
        <v>42457</v>
      </c>
      <c r="E998" s="1861">
        <v>42457</v>
      </c>
      <c r="F998" s="1862">
        <f t="shared" si="81"/>
        <v>0</v>
      </c>
      <c r="G998" s="1862">
        <v>65000</v>
      </c>
      <c r="H998" s="1862">
        <v>65000</v>
      </c>
      <c r="I998" s="1862">
        <f>Tabla1[[#This Row],[Extraccion
Norte II]]+Tabla1[[#This Row],[Extraccion
ENO]]</f>
        <v>69655.817261978998</v>
      </c>
      <c r="J998" s="1862">
        <v>69655.817261978998</v>
      </c>
      <c r="K998" s="1862"/>
      <c r="L998" s="1862">
        <f t="shared" si="82"/>
        <v>-4655.8172619789984</v>
      </c>
      <c r="M998" s="1862">
        <f>M997+Tabla1[[#This Row],[Desbalance
TPL]]</f>
        <v>-702863.97918559052</v>
      </c>
    </row>
    <row r="999" spans="2:13" x14ac:dyDescent="0.25">
      <c r="B999" s="1859">
        <f t="shared" si="78"/>
        <v>2016</v>
      </c>
      <c r="C999" s="1859">
        <f t="shared" si="79"/>
        <v>3</v>
      </c>
      <c r="D999" s="1860">
        <f t="shared" si="80"/>
        <v>42458</v>
      </c>
      <c r="E999" s="1861">
        <v>42458</v>
      </c>
      <c r="F999" s="1862">
        <f t="shared" si="81"/>
        <v>0</v>
      </c>
      <c r="G999" s="1862">
        <v>74000</v>
      </c>
      <c r="H999" s="1862">
        <v>74000</v>
      </c>
      <c r="I999" s="1862">
        <f>Tabla1[[#This Row],[Extraccion
Norte II]]+Tabla1[[#This Row],[Extraccion
ENO]]</f>
        <v>70559.269791660001</v>
      </c>
      <c r="J999" s="1862">
        <v>70559.269791660001</v>
      </c>
      <c r="K999" s="1862"/>
      <c r="L999" s="1862">
        <f t="shared" si="82"/>
        <v>3440.7302083399991</v>
      </c>
      <c r="M999" s="1862">
        <f>M998+Tabla1[[#This Row],[Desbalance
TPL]]</f>
        <v>-699423.24897725054</v>
      </c>
    </row>
    <row r="1000" spans="2:13" x14ac:dyDescent="0.25">
      <c r="B1000" s="1859">
        <f t="shared" si="78"/>
        <v>2016</v>
      </c>
      <c r="C1000" s="1859">
        <f t="shared" si="79"/>
        <v>3</v>
      </c>
      <c r="D1000" s="1860">
        <f t="shared" si="80"/>
        <v>42459</v>
      </c>
      <c r="E1000" s="1861">
        <v>42459</v>
      </c>
      <c r="F1000" s="1862">
        <f t="shared" si="81"/>
        <v>0</v>
      </c>
      <c r="G1000" s="1862">
        <v>73000</v>
      </c>
      <c r="H1000" s="1862">
        <v>73000</v>
      </c>
      <c r="I1000" s="1862">
        <f>Tabla1[[#This Row],[Extraccion
Norte II]]+Tabla1[[#This Row],[Extraccion
ENO]]</f>
        <v>73218.000736529997</v>
      </c>
      <c r="J1000" s="1862">
        <v>73218.000736529997</v>
      </c>
      <c r="K1000" s="1862"/>
      <c r="L1000" s="1862">
        <f t="shared" si="82"/>
        <v>-218.00073652999708</v>
      </c>
      <c r="M1000" s="1862">
        <f>M999+Tabla1[[#This Row],[Desbalance
TPL]]</f>
        <v>-699641.24971378059</v>
      </c>
    </row>
    <row r="1001" spans="2:13" x14ac:dyDescent="0.25">
      <c r="B1001" s="1859">
        <f t="shared" si="78"/>
        <v>2016</v>
      </c>
      <c r="C1001" s="1859">
        <f t="shared" si="79"/>
        <v>3</v>
      </c>
      <c r="D1001" s="1860">
        <f t="shared" si="80"/>
        <v>42460</v>
      </c>
      <c r="E1001" s="1861">
        <v>42460</v>
      </c>
      <c r="F1001" s="1862">
        <f t="shared" si="81"/>
        <v>0</v>
      </c>
      <c r="G1001" s="1862">
        <v>73000</v>
      </c>
      <c r="H1001" s="1862">
        <v>73000</v>
      </c>
      <c r="I1001" s="1862">
        <f>Tabla1[[#This Row],[Extraccion
Norte II]]+Tabla1[[#This Row],[Extraccion
ENO]]</f>
        <v>73313.426952090012</v>
      </c>
      <c r="J1001" s="1862">
        <v>73313.426952090012</v>
      </c>
      <c r="K1001" s="1862"/>
      <c r="L1001" s="1862">
        <f t="shared" si="82"/>
        <v>-313.42695209001249</v>
      </c>
      <c r="M1001" s="1862">
        <f>M1000+Tabla1[[#This Row],[Desbalance
TPL]]</f>
        <v>-699954.67666587059</v>
      </c>
    </row>
    <row r="1002" spans="2:13" x14ac:dyDescent="0.25">
      <c r="B1002" s="1859">
        <f t="shared" si="78"/>
        <v>2016</v>
      </c>
      <c r="C1002" s="1859">
        <f t="shared" si="79"/>
        <v>4</v>
      </c>
      <c r="D1002" s="1860">
        <f t="shared" si="80"/>
        <v>42461</v>
      </c>
      <c r="E1002" s="1861">
        <v>42461</v>
      </c>
      <c r="F1002" s="1862">
        <f t="shared" si="81"/>
        <v>0</v>
      </c>
      <c r="G1002" s="1862">
        <v>71186</v>
      </c>
      <c r="H1002" s="1862">
        <v>71186</v>
      </c>
      <c r="I1002" s="1862">
        <f>Tabla1[[#This Row],[Extraccion
Norte II]]+Tabla1[[#This Row],[Extraccion
ENO]]</f>
        <v>72732.528869129994</v>
      </c>
      <c r="J1002" s="1862">
        <v>72732.528869129994</v>
      </c>
      <c r="K1002" s="1862"/>
      <c r="L1002" s="1862">
        <f t="shared" si="82"/>
        <v>-1546.5288691299938</v>
      </c>
      <c r="M1002" s="1862">
        <f>M1001+Tabla1[[#This Row],[Desbalance
TPL]]</f>
        <v>-701501.20553500054</v>
      </c>
    </row>
    <row r="1003" spans="2:13" x14ac:dyDescent="0.25">
      <c r="B1003" s="1859">
        <f t="shared" si="78"/>
        <v>2016</v>
      </c>
      <c r="C1003" s="1859">
        <f t="shared" si="79"/>
        <v>4</v>
      </c>
      <c r="D1003" s="1860">
        <f t="shared" si="80"/>
        <v>42462</v>
      </c>
      <c r="E1003" s="1861">
        <v>42462</v>
      </c>
      <c r="F1003" s="1862">
        <f t="shared" si="81"/>
        <v>0</v>
      </c>
      <c r="G1003" s="1862">
        <v>68261</v>
      </c>
      <c r="H1003" s="1862">
        <v>68261</v>
      </c>
      <c r="I1003" s="1862">
        <f>Tabla1[[#This Row],[Extraccion
Norte II]]+Tabla1[[#This Row],[Extraccion
ENO]]</f>
        <v>70946.936422830011</v>
      </c>
      <c r="J1003" s="1862">
        <v>70946.936422830011</v>
      </c>
      <c r="K1003" s="1862"/>
      <c r="L1003" s="1862">
        <f t="shared" si="82"/>
        <v>-2685.936422830011</v>
      </c>
      <c r="M1003" s="1862">
        <f>M1002+Tabla1[[#This Row],[Desbalance
TPL]]</f>
        <v>-704187.14195783052</v>
      </c>
    </row>
    <row r="1004" spans="2:13" x14ac:dyDescent="0.25">
      <c r="B1004" s="1859">
        <f t="shared" si="78"/>
        <v>2016</v>
      </c>
      <c r="C1004" s="1859">
        <f t="shared" si="79"/>
        <v>4</v>
      </c>
      <c r="D1004" s="1860">
        <f t="shared" si="80"/>
        <v>42463</v>
      </c>
      <c r="E1004" s="1861">
        <v>42463</v>
      </c>
      <c r="F1004" s="1862">
        <f t="shared" si="81"/>
        <v>0</v>
      </c>
      <c r="G1004" s="1862">
        <v>68261</v>
      </c>
      <c r="H1004" s="1862">
        <v>68261</v>
      </c>
      <c r="I1004" s="1862">
        <f>Tabla1[[#This Row],[Extraccion
Norte II]]+Tabla1[[#This Row],[Extraccion
ENO]]</f>
        <v>68399.83936422001</v>
      </c>
      <c r="J1004" s="1862">
        <v>68399.83936422001</v>
      </c>
      <c r="K1004" s="1862"/>
      <c r="L1004" s="1862">
        <f t="shared" si="82"/>
        <v>-138.83936422000988</v>
      </c>
      <c r="M1004" s="1862">
        <f>M1003+Tabla1[[#This Row],[Desbalance
TPL]]</f>
        <v>-704325.98132205056</v>
      </c>
    </row>
    <row r="1005" spans="2:13" x14ac:dyDescent="0.25">
      <c r="B1005" s="1859">
        <f t="shared" ref="B1005:B1041" si="83">YEAR(E1005)</f>
        <v>2016</v>
      </c>
      <c r="C1005" s="1859">
        <f t="shared" ref="C1005:C1041" si="84">MONTH(E1005)</f>
        <v>4</v>
      </c>
      <c r="D1005" s="1860">
        <f t="shared" ref="D1005:D1041" si="85">E1005</f>
        <v>42464</v>
      </c>
      <c r="E1005" s="1861">
        <v>42464</v>
      </c>
      <c r="F1005" s="1862">
        <f t="shared" si="81"/>
        <v>0</v>
      </c>
      <c r="G1005" s="1862">
        <v>68261</v>
      </c>
      <c r="H1005" s="1862">
        <v>68261</v>
      </c>
      <c r="I1005" s="1862">
        <f>Tabla1[[#This Row],[Extraccion
Norte II]]+Tabla1[[#This Row],[Extraccion
ENO]]</f>
        <v>67641.585764219999</v>
      </c>
      <c r="J1005" s="1862">
        <v>67641.585764219999</v>
      </c>
      <c r="K1005" s="1862"/>
      <c r="L1005" s="1862">
        <f t="shared" si="82"/>
        <v>619.41423578000104</v>
      </c>
      <c r="M1005" s="1862">
        <f>M1004+Tabla1[[#This Row],[Desbalance
TPL]]</f>
        <v>-703706.56708627054</v>
      </c>
    </row>
    <row r="1006" spans="2:13" x14ac:dyDescent="0.25">
      <c r="B1006" s="1859">
        <f t="shared" si="83"/>
        <v>2016</v>
      </c>
      <c r="C1006" s="1859">
        <f t="shared" si="84"/>
        <v>4</v>
      </c>
      <c r="D1006" s="1860">
        <f t="shared" si="85"/>
        <v>42465</v>
      </c>
      <c r="E1006" s="1861">
        <v>42465</v>
      </c>
      <c r="F1006" s="1862">
        <f t="shared" si="81"/>
        <v>0</v>
      </c>
      <c r="G1006" s="1862">
        <v>72161</v>
      </c>
      <c r="H1006" s="1862">
        <v>72161</v>
      </c>
      <c r="I1006" s="1862">
        <f>Tabla1[[#This Row],[Extraccion
Norte II]]+Tabla1[[#This Row],[Extraccion
ENO]]</f>
        <v>72349.752973679992</v>
      </c>
      <c r="J1006" s="1862">
        <v>72349.752973679992</v>
      </c>
      <c r="K1006" s="1862"/>
      <c r="L1006" s="1862">
        <f t="shared" si="82"/>
        <v>-188.75297367999156</v>
      </c>
      <c r="M1006" s="1862">
        <f>M1005+Tabla1[[#This Row],[Desbalance
TPL]]</f>
        <v>-703895.32005995058</v>
      </c>
    </row>
    <row r="1007" spans="2:13" x14ac:dyDescent="0.25">
      <c r="B1007" s="1859">
        <f t="shared" si="83"/>
        <v>2016</v>
      </c>
      <c r="C1007" s="1859">
        <f t="shared" si="84"/>
        <v>4</v>
      </c>
      <c r="D1007" s="1860">
        <f t="shared" si="85"/>
        <v>42466</v>
      </c>
      <c r="E1007" s="1861">
        <v>42466</v>
      </c>
      <c r="F1007" s="1862">
        <f t="shared" si="81"/>
        <v>0</v>
      </c>
      <c r="G1007" s="1862">
        <v>72161</v>
      </c>
      <c r="H1007" s="1862">
        <v>72161</v>
      </c>
      <c r="I1007" s="1862">
        <f>Tabla1[[#This Row],[Extraccion
Norte II]]+Tabla1[[#This Row],[Extraccion
ENO]]</f>
        <v>72496.22861286001</v>
      </c>
      <c r="J1007" s="1862">
        <v>72496.22861286001</v>
      </c>
      <c r="K1007" s="1862"/>
      <c r="L1007" s="1862">
        <f t="shared" si="82"/>
        <v>-335.22861286000989</v>
      </c>
      <c r="M1007" s="1862">
        <f>M1006+Tabla1[[#This Row],[Desbalance
TPL]]</f>
        <v>-704230.54867281055</v>
      </c>
    </row>
    <row r="1008" spans="2:13" x14ac:dyDescent="0.25">
      <c r="B1008" s="1859">
        <f t="shared" si="83"/>
        <v>2016</v>
      </c>
      <c r="C1008" s="1859">
        <f t="shared" si="84"/>
        <v>4</v>
      </c>
      <c r="D1008" s="1860">
        <f t="shared" si="85"/>
        <v>42467</v>
      </c>
      <c r="E1008" s="1861">
        <v>42467</v>
      </c>
      <c r="F1008" s="1862">
        <f t="shared" si="81"/>
        <v>0</v>
      </c>
      <c r="G1008" s="1862">
        <v>72161</v>
      </c>
      <c r="H1008" s="1862">
        <v>72161</v>
      </c>
      <c r="I1008" s="1862">
        <f>Tabla1[[#This Row],[Extraccion
Norte II]]+Tabla1[[#This Row],[Extraccion
ENO]]</f>
        <v>72055.882312830014</v>
      </c>
      <c r="J1008" s="1862">
        <v>72055.882312830014</v>
      </c>
      <c r="K1008" s="1862"/>
      <c r="L1008" s="1862">
        <f t="shared" si="82"/>
        <v>105.11768716998631</v>
      </c>
      <c r="M1008" s="1862">
        <f>M1007+Tabla1[[#This Row],[Desbalance
TPL]]</f>
        <v>-704125.4309856405</v>
      </c>
    </row>
    <row r="1009" spans="2:13" x14ac:dyDescent="0.25">
      <c r="B1009" s="1859">
        <f t="shared" si="83"/>
        <v>2016</v>
      </c>
      <c r="C1009" s="1859">
        <f t="shared" si="84"/>
        <v>4</v>
      </c>
      <c r="D1009" s="1860">
        <f t="shared" si="85"/>
        <v>42468</v>
      </c>
      <c r="E1009" s="1861">
        <v>42468</v>
      </c>
      <c r="F1009" s="1862">
        <f t="shared" si="81"/>
        <v>0</v>
      </c>
      <c r="G1009" s="1862">
        <v>72161</v>
      </c>
      <c r="H1009" s="1862">
        <v>72161</v>
      </c>
      <c r="I1009" s="1862">
        <f>Tabla1[[#This Row],[Extraccion
Norte II]]+Tabla1[[#This Row],[Extraccion
ENO]]</f>
        <v>71669.154020490008</v>
      </c>
      <c r="J1009" s="1862">
        <v>71669.154020490008</v>
      </c>
      <c r="K1009" s="1862"/>
      <c r="L1009" s="1862">
        <f t="shared" si="82"/>
        <v>491.84597950999159</v>
      </c>
      <c r="M1009" s="1862">
        <f>M1008+Tabla1[[#This Row],[Desbalance
TPL]]</f>
        <v>-703633.58500613051</v>
      </c>
    </row>
    <row r="1010" spans="2:13" x14ac:dyDescent="0.25">
      <c r="B1010" s="1859">
        <f t="shared" si="83"/>
        <v>2016</v>
      </c>
      <c r="C1010" s="1859">
        <f t="shared" si="84"/>
        <v>4</v>
      </c>
      <c r="D1010" s="1860">
        <f t="shared" si="85"/>
        <v>42469</v>
      </c>
      <c r="E1010" s="1861">
        <v>42469</v>
      </c>
      <c r="F1010" s="1862">
        <f t="shared" si="81"/>
        <v>0</v>
      </c>
      <c r="G1010" s="1862">
        <v>68261</v>
      </c>
      <c r="H1010" s="1862">
        <v>68261</v>
      </c>
      <c r="I1010" s="1862">
        <f>Tabla1[[#This Row],[Extraccion
Norte II]]+Tabla1[[#This Row],[Extraccion
ENO]]</f>
        <v>71017.160184360007</v>
      </c>
      <c r="J1010" s="1862">
        <v>71017.160184360007</v>
      </c>
      <c r="K1010" s="1862"/>
      <c r="L1010" s="1862">
        <f t="shared" si="82"/>
        <v>-2756.1601843600074</v>
      </c>
      <c r="M1010" s="1862">
        <f>M1009+Tabla1[[#This Row],[Desbalance
TPL]]</f>
        <v>-706389.7451904905</v>
      </c>
    </row>
    <row r="1011" spans="2:13" x14ac:dyDescent="0.25">
      <c r="B1011" s="1859">
        <f t="shared" si="83"/>
        <v>2016</v>
      </c>
      <c r="C1011" s="1859">
        <f t="shared" si="84"/>
        <v>4</v>
      </c>
      <c r="D1011" s="1860">
        <f t="shared" si="85"/>
        <v>42470</v>
      </c>
      <c r="E1011" s="1861">
        <v>42470</v>
      </c>
      <c r="F1011" s="1862">
        <f t="shared" si="81"/>
        <v>0</v>
      </c>
      <c r="G1011" s="1862">
        <v>68261</v>
      </c>
      <c r="H1011" s="1862">
        <v>68261</v>
      </c>
      <c r="I1011" s="1862">
        <f>Tabla1[[#This Row],[Extraccion
Norte II]]+Tabla1[[#This Row],[Extraccion
ENO]]</f>
        <v>72281.879798309994</v>
      </c>
      <c r="J1011" s="1862">
        <v>72281.879798309994</v>
      </c>
      <c r="K1011" s="1862"/>
      <c r="L1011" s="1862">
        <f t="shared" si="82"/>
        <v>-4020.8797983099939</v>
      </c>
      <c r="M1011" s="1862">
        <f>M1010+Tabla1[[#This Row],[Desbalance
TPL]]</f>
        <v>-710410.6249888005</v>
      </c>
    </row>
    <row r="1012" spans="2:13" x14ac:dyDescent="0.25">
      <c r="B1012" s="1859">
        <f t="shared" si="83"/>
        <v>2016</v>
      </c>
      <c r="C1012" s="1859">
        <f t="shared" si="84"/>
        <v>4</v>
      </c>
      <c r="D1012" s="1860">
        <f t="shared" si="85"/>
        <v>42471</v>
      </c>
      <c r="E1012" s="1861">
        <v>42471</v>
      </c>
      <c r="F1012" s="1862">
        <f t="shared" si="81"/>
        <v>0</v>
      </c>
      <c r="G1012" s="1862">
        <v>68261</v>
      </c>
      <c r="H1012" s="1862">
        <v>68261</v>
      </c>
      <c r="I1012" s="1862">
        <f>Tabla1[[#This Row],[Extraccion
Norte II]]+Tabla1[[#This Row],[Extraccion
ENO]]</f>
        <v>72274.183524270004</v>
      </c>
      <c r="J1012" s="1862">
        <v>72274.183524270004</v>
      </c>
      <c r="K1012" s="1862"/>
      <c r="L1012" s="1862">
        <f t="shared" si="82"/>
        <v>-4013.1835242700035</v>
      </c>
      <c r="M1012" s="1862">
        <f>M1011+Tabla1[[#This Row],[Desbalance
TPL]]</f>
        <v>-714423.80851307046</v>
      </c>
    </row>
    <row r="1013" spans="2:13" x14ac:dyDescent="0.25">
      <c r="B1013" s="1859">
        <f t="shared" si="83"/>
        <v>2016</v>
      </c>
      <c r="C1013" s="1859">
        <f t="shared" si="84"/>
        <v>4</v>
      </c>
      <c r="D1013" s="1860">
        <f t="shared" si="85"/>
        <v>42472</v>
      </c>
      <c r="E1013" s="1861">
        <v>42472</v>
      </c>
      <c r="F1013" s="1862">
        <f t="shared" si="81"/>
        <v>0</v>
      </c>
      <c r="G1013" s="1862">
        <v>72161</v>
      </c>
      <c r="H1013" s="1862">
        <v>72161</v>
      </c>
      <c r="I1013" s="1862">
        <f>Tabla1[[#This Row],[Extraccion
Norte II]]+Tabla1[[#This Row],[Extraccion
ENO]]</f>
        <v>72319.934650859999</v>
      </c>
      <c r="J1013" s="1862">
        <v>72319.934650859999</v>
      </c>
      <c r="K1013" s="1862"/>
      <c r="L1013" s="1862">
        <f t="shared" si="82"/>
        <v>-158.93465085999924</v>
      </c>
      <c r="M1013" s="1862">
        <f>M1012+Tabla1[[#This Row],[Desbalance
TPL]]</f>
        <v>-714582.74316393049</v>
      </c>
    </row>
    <row r="1014" spans="2:13" x14ac:dyDescent="0.25">
      <c r="B1014" s="1859">
        <f t="shared" si="83"/>
        <v>2016</v>
      </c>
      <c r="C1014" s="1859">
        <f t="shared" si="84"/>
        <v>4</v>
      </c>
      <c r="D1014" s="1860">
        <f t="shared" si="85"/>
        <v>42473</v>
      </c>
      <c r="E1014" s="1861">
        <v>42473</v>
      </c>
      <c r="F1014" s="1862">
        <f t="shared" si="81"/>
        <v>0</v>
      </c>
      <c r="G1014" s="1862">
        <v>72161</v>
      </c>
      <c r="H1014" s="1862">
        <v>72161</v>
      </c>
      <c r="I1014" s="1862">
        <f>Tabla1[[#This Row],[Extraccion
Norte II]]+Tabla1[[#This Row],[Extraccion
ENO]]</f>
        <v>70989.673491360008</v>
      </c>
      <c r="J1014" s="1862">
        <v>70989.673491360008</v>
      </c>
      <c r="K1014" s="1862"/>
      <c r="L1014" s="1862">
        <f t="shared" si="82"/>
        <v>1171.3265086399915</v>
      </c>
      <c r="M1014" s="1862">
        <f>M1013+Tabla1[[#This Row],[Desbalance
TPL]]</f>
        <v>-713411.41665529052</v>
      </c>
    </row>
    <row r="1015" spans="2:13" x14ac:dyDescent="0.25">
      <c r="B1015" s="1859">
        <f t="shared" si="83"/>
        <v>2016</v>
      </c>
      <c r="C1015" s="1859">
        <f t="shared" si="84"/>
        <v>4</v>
      </c>
      <c r="D1015" s="1860">
        <f t="shared" si="85"/>
        <v>42474</v>
      </c>
      <c r="E1015" s="1861">
        <v>42474</v>
      </c>
      <c r="F1015" s="1862">
        <f t="shared" si="81"/>
        <v>0</v>
      </c>
      <c r="G1015" s="1862">
        <v>72161</v>
      </c>
      <c r="H1015" s="1862">
        <v>72161</v>
      </c>
      <c r="I1015" s="1862">
        <f>Tabla1[[#This Row],[Extraccion
Norte II]]+Tabla1[[#This Row],[Extraccion
ENO]]</f>
        <v>66496.651262730011</v>
      </c>
      <c r="J1015" s="1862">
        <v>66496.651262730011</v>
      </c>
      <c r="K1015" s="1862"/>
      <c r="L1015" s="1862">
        <f t="shared" si="82"/>
        <v>5664.3487372699892</v>
      </c>
      <c r="M1015" s="1862">
        <f>M1014+Tabla1[[#This Row],[Desbalance
TPL]]</f>
        <v>-707747.06791802053</v>
      </c>
    </row>
    <row r="1016" spans="2:13" x14ac:dyDescent="0.25">
      <c r="B1016" s="1859">
        <f t="shared" si="83"/>
        <v>2016</v>
      </c>
      <c r="C1016" s="1859">
        <f t="shared" si="84"/>
        <v>4</v>
      </c>
      <c r="D1016" s="1860">
        <f t="shared" si="85"/>
        <v>42475</v>
      </c>
      <c r="E1016" s="1861">
        <v>42475</v>
      </c>
      <c r="F1016" s="1862">
        <f t="shared" si="81"/>
        <v>0</v>
      </c>
      <c r="G1016" s="1862">
        <v>72161</v>
      </c>
      <c r="H1016" s="1862">
        <v>72161</v>
      </c>
      <c r="I1016" s="1862">
        <f>Tabla1[[#This Row],[Extraccion
Norte II]]+Tabla1[[#This Row],[Extraccion
ENO]]</f>
        <v>71744.913033299992</v>
      </c>
      <c r="J1016" s="1862">
        <v>71744.913033299992</v>
      </c>
      <c r="K1016" s="1862"/>
      <c r="L1016" s="1862">
        <f t="shared" si="82"/>
        <v>416.08696670000791</v>
      </c>
      <c r="M1016" s="1862">
        <f>M1015+Tabla1[[#This Row],[Desbalance
TPL]]</f>
        <v>-707330.9809513205</v>
      </c>
    </row>
    <row r="1017" spans="2:13" x14ac:dyDescent="0.25">
      <c r="B1017" s="1859">
        <f t="shared" si="83"/>
        <v>2016</v>
      </c>
      <c r="C1017" s="1859">
        <f t="shared" si="84"/>
        <v>4</v>
      </c>
      <c r="D1017" s="1860">
        <f t="shared" si="85"/>
        <v>42476</v>
      </c>
      <c r="E1017" s="1861">
        <v>42476</v>
      </c>
      <c r="F1017" s="1862">
        <f t="shared" si="81"/>
        <v>0</v>
      </c>
      <c r="G1017" s="1862">
        <v>70211</v>
      </c>
      <c r="H1017" s="1862">
        <v>70211</v>
      </c>
      <c r="I1017" s="1862">
        <f>Tabla1[[#This Row],[Extraccion
Norte II]]+Tabla1[[#This Row],[Extraccion
ENO]]</f>
        <v>70318.059843330004</v>
      </c>
      <c r="J1017" s="1862">
        <v>70318.059843330004</v>
      </c>
      <c r="K1017" s="1862"/>
      <c r="L1017" s="1862">
        <f t="shared" si="82"/>
        <v>-107.05984333000379</v>
      </c>
      <c r="M1017" s="1862">
        <f>M1016+Tabla1[[#This Row],[Desbalance
TPL]]</f>
        <v>-707438.04079465056</v>
      </c>
    </row>
    <row r="1018" spans="2:13" x14ac:dyDescent="0.25">
      <c r="B1018" s="1859">
        <f t="shared" si="83"/>
        <v>2016</v>
      </c>
      <c r="C1018" s="1859">
        <f t="shared" si="84"/>
        <v>4</v>
      </c>
      <c r="D1018" s="1860">
        <f t="shared" si="85"/>
        <v>42477</v>
      </c>
      <c r="E1018" s="1861">
        <v>42477</v>
      </c>
      <c r="F1018" s="1862">
        <f t="shared" si="81"/>
        <v>0</v>
      </c>
      <c r="G1018" s="1862">
        <v>70211</v>
      </c>
      <c r="H1018" s="1862">
        <v>70211</v>
      </c>
      <c r="I1018" s="1862">
        <f>Tabla1[[#This Row],[Extraccion
Norte II]]+Tabla1[[#This Row],[Extraccion
ENO]]</f>
        <v>69904.328244659991</v>
      </c>
      <c r="J1018" s="1862">
        <v>69904.328244659991</v>
      </c>
      <c r="K1018" s="1862"/>
      <c r="L1018" s="1862">
        <f t="shared" si="82"/>
        <v>306.67175534000853</v>
      </c>
      <c r="M1018" s="1862">
        <f>M1017+Tabla1[[#This Row],[Desbalance
TPL]]</f>
        <v>-707131.36903931061</v>
      </c>
    </row>
    <row r="1019" spans="2:13" x14ac:dyDescent="0.25">
      <c r="B1019" s="1859">
        <f t="shared" si="83"/>
        <v>2016</v>
      </c>
      <c r="C1019" s="1859">
        <f t="shared" si="84"/>
        <v>4</v>
      </c>
      <c r="D1019" s="1860">
        <f t="shared" si="85"/>
        <v>42478</v>
      </c>
      <c r="E1019" s="1861">
        <v>42478</v>
      </c>
      <c r="F1019" s="1862">
        <f t="shared" si="81"/>
        <v>0</v>
      </c>
      <c r="G1019" s="1862">
        <v>70211</v>
      </c>
      <c r="H1019" s="1862">
        <v>70211</v>
      </c>
      <c r="I1019" s="1862">
        <f>Tabla1[[#This Row],[Extraccion
Norte II]]+Tabla1[[#This Row],[Extraccion
ENO]]</f>
        <v>70192.151833049997</v>
      </c>
      <c r="J1019" s="1862">
        <v>70192.151833049997</v>
      </c>
      <c r="K1019" s="1862"/>
      <c r="L1019" s="1862">
        <f t="shared" si="82"/>
        <v>18.84816695000336</v>
      </c>
      <c r="M1019" s="1862">
        <f>M1018+Tabla1[[#This Row],[Desbalance
TPL]]</f>
        <v>-707112.52087236056</v>
      </c>
    </row>
    <row r="1020" spans="2:13" x14ac:dyDescent="0.25">
      <c r="B1020" s="1859">
        <f t="shared" si="83"/>
        <v>2016</v>
      </c>
      <c r="C1020" s="1859">
        <f t="shared" si="84"/>
        <v>4</v>
      </c>
      <c r="D1020" s="1860">
        <f t="shared" si="85"/>
        <v>42479</v>
      </c>
      <c r="E1020" s="1861">
        <v>42479</v>
      </c>
      <c r="F1020" s="1862">
        <f t="shared" si="81"/>
        <v>0</v>
      </c>
      <c r="G1020" s="1862">
        <v>70211</v>
      </c>
      <c r="H1020" s="1862">
        <v>70211</v>
      </c>
      <c r="I1020" s="1862">
        <f>Tabla1[[#This Row],[Extraccion
Norte II]]+Tabla1[[#This Row],[Extraccion
ENO]]</f>
        <v>68171.927288399995</v>
      </c>
      <c r="J1020" s="1862">
        <v>68171.927288399995</v>
      </c>
      <c r="K1020" s="1862"/>
      <c r="L1020" s="1862">
        <f t="shared" si="82"/>
        <v>2039.0727116000053</v>
      </c>
      <c r="M1020" s="1862">
        <f>M1019+Tabla1[[#This Row],[Desbalance
TPL]]</f>
        <v>-705073.44816076057</v>
      </c>
    </row>
    <row r="1021" spans="2:13" x14ac:dyDescent="0.25">
      <c r="B1021" s="1859">
        <f t="shared" si="83"/>
        <v>2016</v>
      </c>
      <c r="C1021" s="1859">
        <f t="shared" si="84"/>
        <v>4</v>
      </c>
      <c r="D1021" s="1860">
        <f t="shared" si="85"/>
        <v>42480</v>
      </c>
      <c r="E1021" s="1861">
        <v>42480</v>
      </c>
      <c r="F1021" s="1862">
        <f t="shared" si="81"/>
        <v>0</v>
      </c>
      <c r="G1021" s="1862">
        <v>72161</v>
      </c>
      <c r="H1021" s="1862">
        <v>72161</v>
      </c>
      <c r="I1021" s="1862">
        <f>Tabla1[[#This Row],[Extraccion
Norte II]]+Tabla1[[#This Row],[Extraccion
ENO]]</f>
        <v>69814.920667049999</v>
      </c>
      <c r="J1021" s="1862">
        <v>69814.920667049999</v>
      </c>
      <c r="K1021" s="1862"/>
      <c r="L1021" s="1862">
        <f t="shared" si="82"/>
        <v>2346.0793329500011</v>
      </c>
      <c r="M1021" s="1862">
        <f>M1020+Tabla1[[#This Row],[Desbalance
TPL]]</f>
        <v>-702727.36882781051</v>
      </c>
    </row>
    <row r="1022" spans="2:13" x14ac:dyDescent="0.25">
      <c r="B1022" s="1859">
        <f t="shared" si="83"/>
        <v>2016</v>
      </c>
      <c r="C1022" s="1859">
        <f t="shared" si="84"/>
        <v>4</v>
      </c>
      <c r="D1022" s="1860">
        <f t="shared" si="85"/>
        <v>42481</v>
      </c>
      <c r="E1022" s="1861">
        <v>42481</v>
      </c>
      <c r="F1022" s="1862">
        <f t="shared" si="81"/>
        <v>0</v>
      </c>
      <c r="G1022" s="1862">
        <v>72955</v>
      </c>
      <c r="H1022" s="1862">
        <v>72955</v>
      </c>
      <c r="I1022" s="1862">
        <f>Tabla1[[#This Row],[Extraccion
Norte II]]+Tabla1[[#This Row],[Extraccion
ENO]]</f>
        <v>69511.306447440002</v>
      </c>
      <c r="J1022" s="1862">
        <v>69511.306447440002</v>
      </c>
      <c r="K1022" s="1862"/>
      <c r="L1022" s="1862">
        <f t="shared" si="82"/>
        <v>3443.6935525599984</v>
      </c>
      <c r="M1022" s="1862">
        <f>M1021+Tabla1[[#This Row],[Desbalance
TPL]]</f>
        <v>-699283.67527525057</v>
      </c>
    </row>
    <row r="1023" spans="2:13" x14ac:dyDescent="0.25">
      <c r="B1023" s="1859">
        <f t="shared" si="83"/>
        <v>2016</v>
      </c>
      <c r="C1023" s="1859">
        <f t="shared" si="84"/>
        <v>4</v>
      </c>
      <c r="D1023" s="1860">
        <f t="shared" si="85"/>
        <v>42482</v>
      </c>
      <c r="E1023" s="1861">
        <v>42482</v>
      </c>
      <c r="F1023" s="1862">
        <f t="shared" si="81"/>
        <v>0</v>
      </c>
      <c r="G1023" s="1862">
        <v>72955</v>
      </c>
      <c r="H1023" s="1862">
        <v>72955</v>
      </c>
      <c r="I1023" s="1862">
        <f>Tabla1[[#This Row],[Extraccion
Norte II]]+Tabla1[[#This Row],[Extraccion
ENO]]</f>
        <v>69486.237635607002</v>
      </c>
      <c r="J1023" s="1862">
        <v>69486.237635607002</v>
      </c>
      <c r="K1023" s="1862"/>
      <c r="L1023" s="1862">
        <f t="shared" si="82"/>
        <v>3468.7623643929983</v>
      </c>
      <c r="M1023" s="1862">
        <f>M1022+Tabla1[[#This Row],[Desbalance
TPL]]</f>
        <v>-695814.91291085759</v>
      </c>
    </row>
    <row r="1024" spans="2:13" x14ac:dyDescent="0.25">
      <c r="B1024" s="1859">
        <f t="shared" si="83"/>
        <v>2016</v>
      </c>
      <c r="C1024" s="1859">
        <f t="shared" si="84"/>
        <v>4</v>
      </c>
      <c r="D1024" s="1860">
        <f t="shared" si="85"/>
        <v>42483</v>
      </c>
      <c r="E1024" s="1861">
        <v>42483</v>
      </c>
      <c r="F1024" s="1862">
        <f t="shared" si="81"/>
        <v>0</v>
      </c>
      <c r="G1024" s="1862">
        <v>72955</v>
      </c>
      <c r="H1024" s="1862">
        <v>72955</v>
      </c>
      <c r="I1024" s="1862">
        <f>Tabla1[[#This Row],[Extraccion
Norte II]]+Tabla1[[#This Row],[Extraccion
ENO]]</f>
        <v>69391.712794014005</v>
      </c>
      <c r="J1024" s="1862">
        <v>69391.712794014005</v>
      </c>
      <c r="K1024" s="1862"/>
      <c r="L1024" s="1862">
        <f t="shared" si="82"/>
        <v>3563.2872059859947</v>
      </c>
      <c r="M1024" s="1862">
        <f>M1023+Tabla1[[#This Row],[Desbalance
TPL]]</f>
        <v>-692251.62570487161</v>
      </c>
    </row>
    <row r="1025" spans="2:13" x14ac:dyDescent="0.25">
      <c r="B1025" s="1859">
        <f t="shared" si="83"/>
        <v>2016</v>
      </c>
      <c r="C1025" s="1859">
        <f t="shared" si="84"/>
        <v>4</v>
      </c>
      <c r="D1025" s="1860">
        <f t="shared" si="85"/>
        <v>42484</v>
      </c>
      <c r="E1025" s="1861">
        <v>42484</v>
      </c>
      <c r="F1025" s="1862">
        <f t="shared" si="81"/>
        <v>0</v>
      </c>
      <c r="G1025" s="1862">
        <v>72955</v>
      </c>
      <c r="H1025" s="1862">
        <v>72955</v>
      </c>
      <c r="I1025" s="1862">
        <f>Tabla1[[#This Row],[Extraccion
Norte II]]+Tabla1[[#This Row],[Extraccion
ENO]]</f>
        <v>70635.000369960006</v>
      </c>
      <c r="J1025" s="1862">
        <v>70635.000369960006</v>
      </c>
      <c r="K1025" s="1862"/>
      <c r="L1025" s="1862">
        <f t="shared" si="82"/>
        <v>2319.9996300399944</v>
      </c>
      <c r="M1025" s="1862">
        <f>M1024+Tabla1[[#This Row],[Desbalance
TPL]]</f>
        <v>-689931.62607483158</v>
      </c>
    </row>
    <row r="1026" spans="2:13" x14ac:dyDescent="0.25">
      <c r="B1026" s="1859">
        <f t="shared" si="83"/>
        <v>2016</v>
      </c>
      <c r="C1026" s="1859">
        <f t="shared" si="84"/>
        <v>4</v>
      </c>
      <c r="D1026" s="1860">
        <f t="shared" si="85"/>
        <v>42485</v>
      </c>
      <c r="E1026" s="1861">
        <v>42485</v>
      </c>
      <c r="F1026" s="1862">
        <f t="shared" si="81"/>
        <v>0</v>
      </c>
      <c r="G1026" s="1862">
        <v>72955</v>
      </c>
      <c r="H1026" s="1862">
        <v>72955</v>
      </c>
      <c r="I1026" s="1862">
        <f>Tabla1[[#This Row],[Extraccion
Norte II]]+Tabla1[[#This Row],[Extraccion
ENO]]</f>
        <v>72429.28429815</v>
      </c>
      <c r="J1026" s="1862">
        <v>72429.28429815</v>
      </c>
      <c r="K1026" s="1862"/>
      <c r="L1026" s="1862">
        <f t="shared" si="82"/>
        <v>525.71570185000019</v>
      </c>
      <c r="M1026" s="1862">
        <f>M1025+Tabla1[[#This Row],[Desbalance
TPL]]</f>
        <v>-689405.91037298157</v>
      </c>
    </row>
    <row r="1027" spans="2:13" x14ac:dyDescent="0.25">
      <c r="B1027" s="1859">
        <f t="shared" si="83"/>
        <v>2016</v>
      </c>
      <c r="C1027" s="1859">
        <f t="shared" si="84"/>
        <v>4</v>
      </c>
      <c r="D1027" s="1860">
        <f t="shared" si="85"/>
        <v>42486</v>
      </c>
      <c r="E1027" s="1861">
        <v>42486</v>
      </c>
      <c r="F1027" s="1862">
        <f t="shared" si="81"/>
        <v>0</v>
      </c>
      <c r="G1027" s="1862">
        <v>72955</v>
      </c>
      <c r="H1027" s="1862">
        <v>72955</v>
      </c>
      <c r="I1027" s="1862">
        <f>Tabla1[[#This Row],[Extraccion
Norte II]]+Tabla1[[#This Row],[Extraccion
ENO]]</f>
        <v>72493.197494093998</v>
      </c>
      <c r="J1027" s="1862">
        <v>72493.197494093998</v>
      </c>
      <c r="K1027" s="1862"/>
      <c r="L1027" s="1862">
        <f t="shared" si="82"/>
        <v>461.8025059060019</v>
      </c>
      <c r="M1027" s="1862">
        <f>M1026+Tabla1[[#This Row],[Desbalance
TPL]]</f>
        <v>-688944.1078670756</v>
      </c>
    </row>
    <row r="1028" spans="2:13" x14ac:dyDescent="0.25">
      <c r="B1028" s="1859">
        <f t="shared" si="83"/>
        <v>2016</v>
      </c>
      <c r="C1028" s="1859">
        <f t="shared" si="84"/>
        <v>4</v>
      </c>
      <c r="D1028" s="1860">
        <f t="shared" si="85"/>
        <v>42487</v>
      </c>
      <c r="E1028" s="1861">
        <v>42487</v>
      </c>
      <c r="F1028" s="1862">
        <f t="shared" si="81"/>
        <v>0</v>
      </c>
      <c r="G1028" s="1862">
        <v>72955</v>
      </c>
      <c r="H1028" s="1862">
        <v>72955</v>
      </c>
      <c r="I1028" s="1862">
        <f>Tabla1[[#This Row],[Extraccion
Norte II]]+Tabla1[[#This Row],[Extraccion
ENO]]</f>
        <v>71958.285596340007</v>
      </c>
      <c r="J1028" s="1862">
        <v>71958.285596340007</v>
      </c>
      <c r="K1028" s="1862"/>
      <c r="L1028" s="1862">
        <f t="shared" si="82"/>
        <v>996.71440365999297</v>
      </c>
      <c r="M1028" s="1862">
        <f>M1027+Tabla1[[#This Row],[Desbalance
TPL]]</f>
        <v>-687947.39346341556</v>
      </c>
    </row>
    <row r="1029" spans="2:13" x14ac:dyDescent="0.25">
      <c r="B1029" s="1859">
        <f t="shared" si="83"/>
        <v>2016</v>
      </c>
      <c r="C1029" s="1859">
        <f t="shared" si="84"/>
        <v>4</v>
      </c>
      <c r="D1029" s="1860">
        <f t="shared" si="85"/>
        <v>42488</v>
      </c>
      <c r="E1029" s="1861">
        <v>42488</v>
      </c>
      <c r="F1029" s="1862">
        <f t="shared" si="81"/>
        <v>0</v>
      </c>
      <c r="G1029" s="1862">
        <v>72955</v>
      </c>
      <c r="H1029" s="1862">
        <v>72955</v>
      </c>
      <c r="I1029" s="1862">
        <f>Tabla1[[#This Row],[Extraccion
Norte II]]+Tabla1[[#This Row],[Extraccion
ENO]]</f>
        <v>72010.823092649996</v>
      </c>
      <c r="J1029" s="1862">
        <v>72010.823092649996</v>
      </c>
      <c r="K1029" s="1862"/>
      <c r="L1029" s="1862">
        <f t="shared" si="82"/>
        <v>944.1769073500036</v>
      </c>
      <c r="M1029" s="1862">
        <f>M1028+Tabla1[[#This Row],[Desbalance
TPL]]</f>
        <v>-687003.2165560656</v>
      </c>
    </row>
    <row r="1030" spans="2:13" x14ac:dyDescent="0.25">
      <c r="B1030" s="1859">
        <f t="shared" si="83"/>
        <v>2016</v>
      </c>
      <c r="C1030" s="1859">
        <f t="shared" si="84"/>
        <v>4</v>
      </c>
      <c r="D1030" s="1860">
        <f t="shared" si="85"/>
        <v>42489</v>
      </c>
      <c r="E1030" s="1861">
        <v>42489</v>
      </c>
      <c r="F1030" s="1862">
        <f t="shared" si="81"/>
        <v>0</v>
      </c>
      <c r="G1030" s="1862">
        <v>72955</v>
      </c>
      <c r="H1030" s="1862">
        <v>72955</v>
      </c>
      <c r="I1030" s="1862">
        <f>Tabla1[[#This Row],[Extraccion
Norte II]]+Tabla1[[#This Row],[Extraccion
ENO]]</f>
        <v>70599.334016249995</v>
      </c>
      <c r="J1030" s="1862">
        <v>70599.334016249995</v>
      </c>
      <c r="K1030" s="1862"/>
      <c r="L1030" s="1862">
        <f t="shared" si="82"/>
        <v>2355.6659837500047</v>
      </c>
      <c r="M1030" s="1862">
        <f>M1029+Tabla1[[#This Row],[Desbalance
TPL]]</f>
        <v>-684647.55057231558</v>
      </c>
    </row>
    <row r="1031" spans="2:13" x14ac:dyDescent="0.25">
      <c r="B1031" s="1859">
        <f t="shared" si="83"/>
        <v>2016</v>
      </c>
      <c r="C1031" s="1859">
        <f t="shared" si="84"/>
        <v>4</v>
      </c>
      <c r="D1031" s="1860">
        <f t="shared" si="85"/>
        <v>42490</v>
      </c>
      <c r="E1031" s="1861">
        <v>42490</v>
      </c>
      <c r="F1031" s="1862">
        <f t="shared" si="81"/>
        <v>0</v>
      </c>
      <c r="G1031" s="1862">
        <v>72955</v>
      </c>
      <c r="H1031" s="1862">
        <v>72955</v>
      </c>
      <c r="I1031" s="1862">
        <f>Tabla1[[#This Row],[Extraccion
Norte II]]+Tabla1[[#This Row],[Extraccion
ENO]]</f>
        <v>69837.111432562495</v>
      </c>
      <c r="J1031" s="1862">
        <v>69837.111432562495</v>
      </c>
      <c r="K1031" s="1862"/>
      <c r="L1031" s="1862">
        <f t="shared" si="82"/>
        <v>3117.8885674375051</v>
      </c>
      <c r="M1031" s="1862">
        <f>M1030+Tabla1[[#This Row],[Desbalance
TPL]]</f>
        <v>-681529.66200487805</v>
      </c>
    </row>
    <row r="1032" spans="2:13" x14ac:dyDescent="0.25">
      <c r="B1032" s="1859">
        <f t="shared" si="83"/>
        <v>2016</v>
      </c>
      <c r="C1032" s="1859">
        <f t="shared" si="84"/>
        <v>5</v>
      </c>
      <c r="D1032" s="1860">
        <f t="shared" si="85"/>
        <v>42491</v>
      </c>
      <c r="E1032" s="1861">
        <v>42491</v>
      </c>
      <c r="F1032" s="1862">
        <f t="shared" si="81"/>
        <v>0</v>
      </c>
      <c r="G1032" s="1862">
        <v>72955</v>
      </c>
      <c r="H1032" s="1862">
        <v>72955</v>
      </c>
      <c r="I1032" s="1862">
        <f>Tabla1[[#This Row],[Extraccion
Norte II]]+Tabla1[[#This Row],[Extraccion
ENO]]</f>
        <v>68911.286518571113</v>
      </c>
      <c r="J1032" s="1862">
        <v>68911.286518571113</v>
      </c>
      <c r="K1032" s="1862"/>
      <c r="L1032" s="1862">
        <f t="shared" si="82"/>
        <v>4043.7134814288875</v>
      </c>
      <c r="M1032" s="1862">
        <f>M1031+Tabla1[[#This Row],[Desbalance
TPL]]</f>
        <v>-677485.94852344913</v>
      </c>
    </row>
    <row r="1033" spans="2:13" x14ac:dyDescent="0.25">
      <c r="B1033" s="1859">
        <f t="shared" si="83"/>
        <v>2016</v>
      </c>
      <c r="C1033" s="1859">
        <f t="shared" si="84"/>
        <v>5</v>
      </c>
      <c r="D1033" s="1860">
        <f t="shared" si="85"/>
        <v>42492</v>
      </c>
      <c r="E1033" s="1861">
        <v>42492</v>
      </c>
      <c r="F1033" s="1862">
        <f t="shared" si="81"/>
        <v>0</v>
      </c>
      <c r="G1033" s="1862">
        <v>72955</v>
      </c>
      <c r="H1033" s="1862">
        <v>72955</v>
      </c>
      <c r="I1033" s="1862">
        <f>Tabla1[[#This Row],[Extraccion
Norte II]]+Tabla1[[#This Row],[Extraccion
ENO]]</f>
        <v>70507.469815453122</v>
      </c>
      <c r="J1033" s="1862">
        <v>70507.469815453122</v>
      </c>
      <c r="K1033" s="1862"/>
      <c r="L1033" s="1862">
        <f t="shared" si="82"/>
        <v>2447.5301845468784</v>
      </c>
      <c r="M1033" s="1862">
        <f>M1032+Tabla1[[#This Row],[Desbalance
TPL]]</f>
        <v>-675038.41833890229</v>
      </c>
    </row>
    <row r="1034" spans="2:13" x14ac:dyDescent="0.25">
      <c r="B1034" s="1859">
        <f t="shared" si="83"/>
        <v>2016</v>
      </c>
      <c r="C1034" s="1859">
        <f t="shared" si="84"/>
        <v>5</v>
      </c>
      <c r="D1034" s="1860">
        <f t="shared" si="85"/>
        <v>42493</v>
      </c>
      <c r="E1034" s="1861">
        <v>42493</v>
      </c>
      <c r="F1034" s="1862">
        <f t="shared" si="81"/>
        <v>0</v>
      </c>
      <c r="G1034" s="1862">
        <v>72955</v>
      </c>
      <c r="H1034" s="1862">
        <v>72955</v>
      </c>
      <c r="I1034" s="1862">
        <f>Tabla1[[#This Row],[Extraccion
Norte II]]+Tabla1[[#This Row],[Extraccion
ENO]]</f>
        <v>69595.359322482502</v>
      </c>
      <c r="J1034" s="1862">
        <v>69595.359322482502</v>
      </c>
      <c r="K1034" s="1862"/>
      <c r="L1034" s="1862">
        <f t="shared" si="82"/>
        <v>3359.6406775174983</v>
      </c>
      <c r="M1034" s="1862">
        <f>M1033+Tabla1[[#This Row],[Desbalance
TPL]]</f>
        <v>-671678.77766138478</v>
      </c>
    </row>
    <row r="1035" spans="2:13" x14ac:dyDescent="0.25">
      <c r="B1035" s="1859">
        <f t="shared" si="83"/>
        <v>2016</v>
      </c>
      <c r="C1035" s="1859">
        <f t="shared" si="84"/>
        <v>5</v>
      </c>
      <c r="D1035" s="1860">
        <f t="shared" si="85"/>
        <v>42494</v>
      </c>
      <c r="E1035" s="1861">
        <v>42494</v>
      </c>
      <c r="F1035" s="1862">
        <f t="shared" si="81"/>
        <v>0</v>
      </c>
      <c r="G1035" s="1862">
        <v>72955</v>
      </c>
      <c r="H1035" s="1862">
        <v>72955</v>
      </c>
      <c r="I1035" s="1862">
        <f>Tabla1[[#This Row],[Extraccion
Norte II]]+Tabla1[[#This Row],[Extraccion
ENO]]</f>
        <v>70357.477775203122</v>
      </c>
      <c r="J1035" s="1862">
        <v>70357.477775203122</v>
      </c>
      <c r="K1035" s="1862"/>
      <c r="L1035" s="1862">
        <f t="shared" si="82"/>
        <v>2597.5222247968777</v>
      </c>
      <c r="M1035" s="1862">
        <f>M1034+Tabla1[[#This Row],[Desbalance
TPL]]</f>
        <v>-669081.25543658785</v>
      </c>
    </row>
    <row r="1036" spans="2:13" x14ac:dyDescent="0.25">
      <c r="B1036" s="1859">
        <f t="shared" si="83"/>
        <v>2016</v>
      </c>
      <c r="C1036" s="1859">
        <f t="shared" si="84"/>
        <v>5</v>
      </c>
      <c r="D1036" s="1860">
        <f t="shared" si="85"/>
        <v>42495</v>
      </c>
      <c r="E1036" s="1861">
        <v>42495</v>
      </c>
      <c r="F1036" s="1862">
        <f t="shared" ref="F1036:F1099" si="86">G1036-H1036</f>
        <v>0</v>
      </c>
      <c r="G1036" s="1862">
        <v>72955</v>
      </c>
      <c r="H1036" s="1862">
        <v>72955</v>
      </c>
      <c r="I1036" s="1862">
        <f>Tabla1[[#This Row],[Extraccion
Norte II]]+Tabla1[[#This Row],[Extraccion
ENO]]</f>
        <v>70192.853810015629</v>
      </c>
      <c r="J1036" s="1862">
        <v>70192.853810015629</v>
      </c>
      <c r="K1036" s="1862"/>
      <c r="L1036" s="1862">
        <f t="shared" ref="L1036:L1099" si="87">H1036-I1036</f>
        <v>2762.1461899843707</v>
      </c>
      <c r="M1036" s="1862">
        <f>M1035+Tabla1[[#This Row],[Desbalance
TPL]]</f>
        <v>-666319.10924660345</v>
      </c>
    </row>
    <row r="1037" spans="2:13" x14ac:dyDescent="0.25">
      <c r="B1037" s="1859">
        <f t="shared" si="83"/>
        <v>2016</v>
      </c>
      <c r="C1037" s="1859">
        <f t="shared" si="84"/>
        <v>5</v>
      </c>
      <c r="D1037" s="1860">
        <f t="shared" si="85"/>
        <v>42496</v>
      </c>
      <c r="E1037" s="1861">
        <v>42496</v>
      </c>
      <c r="F1037" s="1862">
        <f t="shared" si="86"/>
        <v>0</v>
      </c>
      <c r="G1037" s="1862">
        <v>72955</v>
      </c>
      <c r="H1037" s="1862">
        <v>72955</v>
      </c>
      <c r="I1037" s="1862">
        <f>Tabla1[[#This Row],[Extraccion
Norte II]]+Tabla1[[#This Row],[Extraccion
ENO]]</f>
        <v>70202.598553546879</v>
      </c>
      <c r="J1037" s="1862">
        <v>70202.598553546879</v>
      </c>
      <c r="K1037" s="1862"/>
      <c r="L1037" s="1862">
        <f t="shared" si="87"/>
        <v>2752.401446453121</v>
      </c>
      <c r="M1037" s="1862">
        <f>M1036+Tabla1[[#This Row],[Desbalance
TPL]]</f>
        <v>-663566.70780015038</v>
      </c>
    </row>
    <row r="1038" spans="2:13" x14ac:dyDescent="0.25">
      <c r="B1038" s="1859">
        <f t="shared" si="83"/>
        <v>2016</v>
      </c>
      <c r="C1038" s="1859">
        <f t="shared" si="84"/>
        <v>5</v>
      </c>
      <c r="D1038" s="1860">
        <f t="shared" si="85"/>
        <v>42497</v>
      </c>
      <c r="E1038" s="1861">
        <v>42497</v>
      </c>
      <c r="F1038" s="1862">
        <f t="shared" si="86"/>
        <v>0</v>
      </c>
      <c r="G1038" s="1862">
        <v>72955</v>
      </c>
      <c r="H1038" s="1862">
        <v>72955</v>
      </c>
      <c r="I1038" s="1862">
        <f>Tabla1[[#This Row],[Extraccion
Norte II]]+Tabla1[[#This Row],[Extraccion
ENO]]</f>
        <v>70051.001287582214</v>
      </c>
      <c r="J1038" s="1862">
        <v>70051.001287582214</v>
      </c>
      <c r="K1038" s="1862"/>
      <c r="L1038" s="1862">
        <f t="shared" si="87"/>
        <v>2903.998712417786</v>
      </c>
      <c r="M1038" s="1862">
        <f>M1037+Tabla1[[#This Row],[Desbalance
TPL]]</f>
        <v>-660662.7090877326</v>
      </c>
    </row>
    <row r="1039" spans="2:13" x14ac:dyDescent="0.25">
      <c r="B1039" s="1859">
        <f t="shared" si="83"/>
        <v>2016</v>
      </c>
      <c r="C1039" s="1859">
        <f t="shared" si="84"/>
        <v>5</v>
      </c>
      <c r="D1039" s="1860">
        <f t="shared" si="85"/>
        <v>42498</v>
      </c>
      <c r="E1039" s="1861">
        <v>42498</v>
      </c>
      <c r="F1039" s="1862">
        <f t="shared" si="86"/>
        <v>0</v>
      </c>
      <c r="G1039" s="1862">
        <v>72955</v>
      </c>
      <c r="H1039" s="1862">
        <v>72955</v>
      </c>
      <c r="I1039" s="1862">
        <f>Tabla1[[#This Row],[Extraccion
Norte II]]+Tabla1[[#This Row],[Extraccion
ENO]]</f>
        <v>70383.790804420569</v>
      </c>
      <c r="J1039" s="1862">
        <v>70383.790804420569</v>
      </c>
      <c r="K1039" s="1862"/>
      <c r="L1039" s="1862">
        <f t="shared" si="87"/>
        <v>2571.2091955794313</v>
      </c>
      <c r="M1039" s="1862">
        <f>M1038+Tabla1[[#This Row],[Desbalance
TPL]]</f>
        <v>-658091.4998921532</v>
      </c>
    </row>
    <row r="1040" spans="2:13" x14ac:dyDescent="0.25">
      <c r="B1040" s="1859">
        <f t="shared" si="83"/>
        <v>2016</v>
      </c>
      <c r="C1040" s="1859">
        <f t="shared" si="84"/>
        <v>5</v>
      </c>
      <c r="D1040" s="1860">
        <f t="shared" si="85"/>
        <v>42499</v>
      </c>
      <c r="E1040" s="1861">
        <v>42499</v>
      </c>
      <c r="F1040" s="1862">
        <f t="shared" si="86"/>
        <v>0</v>
      </c>
      <c r="G1040" s="1862">
        <v>72955</v>
      </c>
      <c r="H1040" s="1862">
        <v>72955</v>
      </c>
      <c r="I1040" s="1862">
        <f>Tabla1[[#This Row],[Extraccion
Norte II]]+Tabla1[[#This Row],[Extraccion
ENO]]</f>
        <v>70601.795653388792</v>
      </c>
      <c r="J1040" s="1862">
        <v>70601.795653388792</v>
      </c>
      <c r="K1040" s="1862"/>
      <c r="L1040" s="1862">
        <f t="shared" si="87"/>
        <v>2353.2043466112082</v>
      </c>
      <c r="M1040" s="1862">
        <f>M1039+Tabla1[[#This Row],[Desbalance
TPL]]</f>
        <v>-655738.29554554203</v>
      </c>
    </row>
    <row r="1041" spans="2:13" x14ac:dyDescent="0.25">
      <c r="B1041" s="1859">
        <f t="shared" si="83"/>
        <v>2016</v>
      </c>
      <c r="C1041" s="1859">
        <f t="shared" si="84"/>
        <v>5</v>
      </c>
      <c r="D1041" s="1860">
        <f t="shared" si="85"/>
        <v>42500</v>
      </c>
      <c r="E1041" s="1861">
        <v>42500</v>
      </c>
      <c r="F1041" s="1862">
        <f t="shared" si="86"/>
        <v>0</v>
      </c>
      <c r="G1041" s="1862">
        <v>72955</v>
      </c>
      <c r="H1041" s="1862">
        <v>72955</v>
      </c>
      <c r="I1041" s="1862">
        <f>Tabla1[[#This Row],[Extraccion
Norte II]]+Tabla1[[#This Row],[Extraccion
ENO]]</f>
        <v>70841.07409284536</v>
      </c>
      <c r="J1041" s="1862">
        <v>70841.07409284536</v>
      </c>
      <c r="K1041" s="1862"/>
      <c r="L1041" s="1862">
        <f t="shared" si="87"/>
        <v>2113.9259071546403</v>
      </c>
      <c r="M1041" s="1862">
        <f>M1040+Tabla1[[#This Row],[Desbalance
TPL]]</f>
        <v>-653624.36963838735</v>
      </c>
    </row>
    <row r="1042" spans="2:13" x14ac:dyDescent="0.25">
      <c r="B1042" s="1859">
        <f t="shared" ref="B1042:B1074" si="88">YEAR(E1042)</f>
        <v>2016</v>
      </c>
      <c r="C1042" s="1859">
        <f t="shared" ref="C1042:C1074" si="89">MONTH(E1042)</f>
        <v>5</v>
      </c>
      <c r="D1042" s="1860">
        <f t="shared" ref="D1042:D1074" si="90">E1042</f>
        <v>42501</v>
      </c>
      <c r="E1042" s="1861">
        <v>42501</v>
      </c>
      <c r="F1042" s="1862">
        <f t="shared" si="86"/>
        <v>0</v>
      </c>
      <c r="G1042" s="1862">
        <v>72955</v>
      </c>
      <c r="H1042" s="1862">
        <v>72955</v>
      </c>
      <c r="I1042" s="1862">
        <f>Tabla1[[#This Row],[Extraccion
Norte II]]+Tabla1[[#This Row],[Extraccion
ENO]]</f>
        <v>72401.360906997594</v>
      </c>
      <c r="J1042" s="1862">
        <v>72401.360906997594</v>
      </c>
      <c r="K1042" s="1862"/>
      <c r="L1042" s="1862">
        <f t="shared" si="87"/>
        <v>553.6390930024063</v>
      </c>
      <c r="M1042" s="1862">
        <f>M1041+Tabla1[[#This Row],[Desbalance
TPL]]</f>
        <v>-653070.73054538493</v>
      </c>
    </row>
    <row r="1043" spans="2:13" x14ac:dyDescent="0.25">
      <c r="B1043" s="1859">
        <f t="shared" si="88"/>
        <v>2016</v>
      </c>
      <c r="C1043" s="1859">
        <f t="shared" si="89"/>
        <v>5</v>
      </c>
      <c r="D1043" s="1860">
        <f t="shared" si="90"/>
        <v>42502</v>
      </c>
      <c r="E1043" s="1861">
        <v>42502</v>
      </c>
      <c r="F1043" s="1862">
        <f t="shared" si="86"/>
        <v>0</v>
      </c>
      <c r="G1043" s="1862">
        <v>72955</v>
      </c>
      <c r="H1043" s="1862">
        <v>72955</v>
      </c>
      <c r="I1043" s="1862">
        <f>Tabla1[[#This Row],[Extraccion
Norte II]]+Tabla1[[#This Row],[Extraccion
ENO]]</f>
        <v>72032.522871895795</v>
      </c>
      <c r="J1043" s="1862">
        <v>72032.522871895795</v>
      </c>
      <c r="K1043" s="1862"/>
      <c r="L1043" s="1862">
        <f t="shared" si="87"/>
        <v>922.47712810420489</v>
      </c>
      <c r="M1043" s="1862">
        <f>M1042+Tabla1[[#This Row],[Desbalance
TPL]]</f>
        <v>-652148.25341728074</v>
      </c>
    </row>
    <row r="1044" spans="2:13" x14ac:dyDescent="0.25">
      <c r="B1044" s="1859">
        <f t="shared" si="88"/>
        <v>2016</v>
      </c>
      <c r="C1044" s="1859">
        <f t="shared" si="89"/>
        <v>5</v>
      </c>
      <c r="D1044" s="1860">
        <f t="shared" si="90"/>
        <v>42503</v>
      </c>
      <c r="E1044" s="1861">
        <v>42503</v>
      </c>
      <c r="F1044" s="1862">
        <f t="shared" si="86"/>
        <v>0</v>
      </c>
      <c r="G1044" s="1862">
        <v>72955</v>
      </c>
      <c r="H1044" s="1862">
        <v>72955</v>
      </c>
      <c r="I1044" s="1862">
        <f>Tabla1[[#This Row],[Extraccion
Norte II]]+Tabla1[[#This Row],[Extraccion
ENO]]</f>
        <v>70691.556610350002</v>
      </c>
      <c r="J1044" s="1862">
        <v>70691.556610350002</v>
      </c>
      <c r="K1044" s="1862"/>
      <c r="L1044" s="1862">
        <f t="shared" si="87"/>
        <v>2263.4433896499977</v>
      </c>
      <c r="M1044" s="1862">
        <f>M1043+Tabla1[[#This Row],[Desbalance
TPL]]</f>
        <v>-649884.81002763077</v>
      </c>
    </row>
    <row r="1045" spans="2:13" x14ac:dyDescent="0.25">
      <c r="B1045" s="1859">
        <f t="shared" si="88"/>
        <v>2016</v>
      </c>
      <c r="C1045" s="1859">
        <f t="shared" si="89"/>
        <v>5</v>
      </c>
      <c r="D1045" s="1860">
        <f t="shared" si="90"/>
        <v>42504</v>
      </c>
      <c r="E1045" s="1861">
        <v>42504</v>
      </c>
      <c r="F1045" s="1862">
        <f t="shared" si="86"/>
        <v>0</v>
      </c>
      <c r="G1045" s="1862">
        <v>72955</v>
      </c>
      <c r="H1045" s="1862">
        <v>72955</v>
      </c>
      <c r="I1045" s="1862">
        <f>Tabla1[[#This Row],[Extraccion
Norte II]]+Tabla1[[#This Row],[Extraccion
ENO]]</f>
        <v>65648.800521720012</v>
      </c>
      <c r="J1045" s="1862">
        <v>65648.800521720012</v>
      </c>
      <c r="K1045" s="1862"/>
      <c r="L1045" s="1862">
        <f t="shared" si="87"/>
        <v>7306.1994782799884</v>
      </c>
      <c r="M1045" s="1862">
        <f>M1044+Tabla1[[#This Row],[Desbalance
TPL]]</f>
        <v>-642578.61054935073</v>
      </c>
    </row>
    <row r="1046" spans="2:13" x14ac:dyDescent="0.25">
      <c r="B1046" s="1859">
        <f t="shared" si="88"/>
        <v>2016</v>
      </c>
      <c r="C1046" s="1859">
        <f t="shared" si="89"/>
        <v>5</v>
      </c>
      <c r="D1046" s="1860">
        <f t="shared" si="90"/>
        <v>42505</v>
      </c>
      <c r="E1046" s="1861">
        <v>42505</v>
      </c>
      <c r="F1046" s="1862">
        <f t="shared" si="86"/>
        <v>0</v>
      </c>
      <c r="G1046" s="1862">
        <v>72955</v>
      </c>
      <c r="H1046" s="1862">
        <v>72955</v>
      </c>
      <c r="I1046" s="1862">
        <f>Tabla1[[#This Row],[Extraccion
Norte II]]+Tabla1[[#This Row],[Extraccion
ENO]]</f>
        <v>69685.761644459999</v>
      </c>
      <c r="J1046" s="1862">
        <v>69685.761644459999</v>
      </c>
      <c r="K1046" s="1862"/>
      <c r="L1046" s="1862">
        <f t="shared" si="87"/>
        <v>3269.2383555400011</v>
      </c>
      <c r="M1046" s="1862">
        <f>M1045+Tabla1[[#This Row],[Desbalance
TPL]]</f>
        <v>-639309.37219381076</v>
      </c>
    </row>
    <row r="1047" spans="2:13" x14ac:dyDescent="0.25">
      <c r="B1047" s="1859">
        <f t="shared" si="88"/>
        <v>2016</v>
      </c>
      <c r="C1047" s="1859">
        <f t="shared" si="89"/>
        <v>5</v>
      </c>
      <c r="D1047" s="1860">
        <f t="shared" si="90"/>
        <v>42506</v>
      </c>
      <c r="E1047" s="1861">
        <v>42506</v>
      </c>
      <c r="F1047" s="1862">
        <f t="shared" si="86"/>
        <v>0</v>
      </c>
      <c r="G1047" s="1862">
        <v>72955</v>
      </c>
      <c r="H1047" s="1862">
        <v>72955</v>
      </c>
      <c r="I1047" s="1862">
        <f>Tabla1[[#This Row],[Extraccion
Norte II]]+Tabla1[[#This Row],[Extraccion
ENO]]</f>
        <v>70757.875365840009</v>
      </c>
      <c r="J1047" s="1862">
        <v>70757.875365840009</v>
      </c>
      <c r="K1047" s="1862"/>
      <c r="L1047" s="1862">
        <f t="shared" si="87"/>
        <v>2197.1246341599908</v>
      </c>
      <c r="M1047" s="1862">
        <f>M1046+Tabla1[[#This Row],[Desbalance
TPL]]</f>
        <v>-637112.2475596508</v>
      </c>
    </row>
    <row r="1048" spans="2:13" x14ac:dyDescent="0.25">
      <c r="B1048" s="1859">
        <f t="shared" si="88"/>
        <v>2016</v>
      </c>
      <c r="C1048" s="1859">
        <f t="shared" si="89"/>
        <v>5</v>
      </c>
      <c r="D1048" s="1860">
        <f t="shared" si="90"/>
        <v>42507</v>
      </c>
      <c r="E1048" s="1861">
        <v>42507</v>
      </c>
      <c r="F1048" s="1862">
        <f t="shared" si="86"/>
        <v>0</v>
      </c>
      <c r="G1048" s="1862">
        <v>72955</v>
      </c>
      <c r="H1048" s="1862">
        <v>72955</v>
      </c>
      <c r="I1048" s="1862">
        <f>Tabla1[[#This Row],[Extraccion
Norte II]]+Tabla1[[#This Row],[Extraccion
ENO]]</f>
        <v>72129.681240083999</v>
      </c>
      <c r="J1048" s="1862">
        <v>72129.681240083999</v>
      </c>
      <c r="K1048" s="1862"/>
      <c r="L1048" s="1862">
        <f t="shared" si="87"/>
        <v>825.318759916001</v>
      </c>
      <c r="M1048" s="1862">
        <f>M1047+Tabla1[[#This Row],[Desbalance
TPL]]</f>
        <v>-636286.9287997348</v>
      </c>
    </row>
    <row r="1049" spans="2:13" x14ac:dyDescent="0.25">
      <c r="B1049" s="1859">
        <f t="shared" si="88"/>
        <v>2016</v>
      </c>
      <c r="C1049" s="1859">
        <f t="shared" si="89"/>
        <v>5</v>
      </c>
      <c r="D1049" s="1860">
        <f t="shared" si="90"/>
        <v>42508</v>
      </c>
      <c r="E1049" s="1861">
        <v>42508</v>
      </c>
      <c r="F1049" s="1862">
        <f t="shared" si="86"/>
        <v>0</v>
      </c>
      <c r="G1049" s="1862">
        <v>72955</v>
      </c>
      <c r="H1049" s="1862">
        <v>72955</v>
      </c>
      <c r="I1049" s="1862">
        <f>Tabla1[[#This Row],[Extraccion
Norte II]]+Tabla1[[#This Row],[Extraccion
ENO]]</f>
        <v>72202.367430179991</v>
      </c>
      <c r="J1049" s="1862">
        <v>72202.367430179991</v>
      </c>
      <c r="K1049" s="1862"/>
      <c r="L1049" s="1862">
        <f t="shared" si="87"/>
        <v>752.63256982000894</v>
      </c>
      <c r="M1049" s="1862">
        <f>M1048+Tabla1[[#This Row],[Desbalance
TPL]]</f>
        <v>-635534.29622991476</v>
      </c>
    </row>
    <row r="1050" spans="2:13" x14ac:dyDescent="0.25">
      <c r="B1050" s="1859">
        <f t="shared" si="88"/>
        <v>2016</v>
      </c>
      <c r="C1050" s="1859">
        <f t="shared" si="89"/>
        <v>5</v>
      </c>
      <c r="D1050" s="1860">
        <f t="shared" si="90"/>
        <v>42509</v>
      </c>
      <c r="E1050" s="1861">
        <v>42509</v>
      </c>
      <c r="F1050" s="1862">
        <f t="shared" si="86"/>
        <v>0</v>
      </c>
      <c r="G1050" s="1862">
        <v>72955</v>
      </c>
      <c r="H1050" s="1862">
        <v>72955</v>
      </c>
      <c r="I1050" s="1862">
        <f>Tabla1[[#This Row],[Extraccion
Norte II]]+Tabla1[[#This Row],[Extraccion
ENO]]</f>
        <v>69579.89996373</v>
      </c>
      <c r="J1050" s="1862">
        <v>69579.89996373</v>
      </c>
      <c r="K1050" s="1862"/>
      <c r="L1050" s="1862">
        <f t="shared" si="87"/>
        <v>3375.1000362699997</v>
      </c>
      <c r="M1050" s="1862">
        <f>M1049+Tabla1[[#This Row],[Desbalance
TPL]]</f>
        <v>-632159.19619364478</v>
      </c>
    </row>
    <row r="1051" spans="2:13" x14ac:dyDescent="0.25">
      <c r="B1051" s="1859">
        <f t="shared" si="88"/>
        <v>2016</v>
      </c>
      <c r="C1051" s="1859">
        <f t="shared" si="89"/>
        <v>5</v>
      </c>
      <c r="D1051" s="1860">
        <f t="shared" si="90"/>
        <v>42510</v>
      </c>
      <c r="E1051" s="1861">
        <v>42510</v>
      </c>
      <c r="F1051" s="1862">
        <f t="shared" si="86"/>
        <v>0</v>
      </c>
      <c r="G1051" s="1862">
        <v>72955</v>
      </c>
      <c r="H1051" s="1862">
        <v>72955</v>
      </c>
      <c r="I1051" s="1862">
        <f>Tabla1[[#This Row],[Extraccion
Norte II]]+Tabla1[[#This Row],[Extraccion
ENO]]</f>
        <v>68540.192105580005</v>
      </c>
      <c r="J1051" s="1862">
        <v>68540.192105580005</v>
      </c>
      <c r="K1051" s="1862"/>
      <c r="L1051" s="1862">
        <f t="shared" si="87"/>
        <v>4414.8078944199951</v>
      </c>
      <c r="M1051" s="1862">
        <f>M1050+Tabla1[[#This Row],[Desbalance
TPL]]</f>
        <v>-627744.38829922478</v>
      </c>
    </row>
    <row r="1052" spans="2:13" x14ac:dyDescent="0.25">
      <c r="B1052" s="1859">
        <f t="shared" si="88"/>
        <v>2016</v>
      </c>
      <c r="C1052" s="1859">
        <f t="shared" si="89"/>
        <v>5</v>
      </c>
      <c r="D1052" s="1860">
        <f t="shared" si="90"/>
        <v>42511</v>
      </c>
      <c r="E1052" s="1861">
        <v>42511</v>
      </c>
      <c r="F1052" s="1862">
        <f t="shared" si="86"/>
        <v>0</v>
      </c>
      <c r="G1052" s="1862">
        <v>72955</v>
      </c>
      <c r="H1052" s="1862">
        <v>72955</v>
      </c>
      <c r="I1052" s="1862">
        <f>Tabla1[[#This Row],[Extraccion
Norte II]]+Tabla1[[#This Row],[Extraccion
ENO]]</f>
        <v>71770.011227460011</v>
      </c>
      <c r="J1052" s="1862">
        <v>71770.011227460011</v>
      </c>
      <c r="K1052" s="1862"/>
      <c r="L1052" s="1862">
        <f t="shared" si="87"/>
        <v>1184.9887725399894</v>
      </c>
      <c r="M1052" s="1862">
        <f>M1051+Tabla1[[#This Row],[Desbalance
TPL]]</f>
        <v>-626559.39952668478</v>
      </c>
    </row>
    <row r="1053" spans="2:13" x14ac:dyDescent="0.25">
      <c r="B1053" s="1859">
        <f t="shared" si="88"/>
        <v>2016</v>
      </c>
      <c r="C1053" s="1859">
        <f t="shared" si="89"/>
        <v>5</v>
      </c>
      <c r="D1053" s="1860">
        <f t="shared" si="90"/>
        <v>42512</v>
      </c>
      <c r="E1053" s="1861">
        <v>42512</v>
      </c>
      <c r="F1053" s="1862">
        <f t="shared" si="86"/>
        <v>0</v>
      </c>
      <c r="G1053" s="1862">
        <v>72955</v>
      </c>
      <c r="H1053" s="1862">
        <v>72955</v>
      </c>
      <c r="I1053" s="1862">
        <f>Tabla1[[#This Row],[Extraccion
Norte II]]+Tabla1[[#This Row],[Extraccion
ENO]]</f>
        <v>68182.448057100002</v>
      </c>
      <c r="J1053" s="1862">
        <v>68182.448057100002</v>
      </c>
      <c r="K1053" s="1862"/>
      <c r="L1053" s="1862">
        <f t="shared" si="87"/>
        <v>4772.5519428999978</v>
      </c>
      <c r="M1053" s="1862">
        <f>M1052+Tabla1[[#This Row],[Desbalance
TPL]]</f>
        <v>-621786.84758378472</v>
      </c>
    </row>
    <row r="1054" spans="2:13" x14ac:dyDescent="0.25">
      <c r="B1054" s="1859">
        <f t="shared" si="88"/>
        <v>2016</v>
      </c>
      <c r="C1054" s="1859">
        <f t="shared" si="89"/>
        <v>5</v>
      </c>
      <c r="D1054" s="1860">
        <f t="shared" si="90"/>
        <v>42513</v>
      </c>
      <c r="E1054" s="1861">
        <v>42513</v>
      </c>
      <c r="F1054" s="1862">
        <f t="shared" si="86"/>
        <v>0</v>
      </c>
      <c r="G1054" s="1862">
        <v>72955</v>
      </c>
      <c r="H1054" s="1862">
        <v>72955</v>
      </c>
      <c r="I1054" s="1862">
        <f>Tabla1[[#This Row],[Extraccion
Norte II]]+Tabla1[[#This Row],[Extraccion
ENO]]</f>
        <v>72295.26297435</v>
      </c>
      <c r="J1054" s="1862">
        <v>72295.26297435</v>
      </c>
      <c r="K1054" s="1862"/>
      <c r="L1054" s="1862">
        <f t="shared" si="87"/>
        <v>659.73702564999985</v>
      </c>
      <c r="M1054" s="1862">
        <f>M1053+Tabla1[[#This Row],[Desbalance
TPL]]</f>
        <v>-621127.11055813474</v>
      </c>
    </row>
    <row r="1055" spans="2:13" x14ac:dyDescent="0.25">
      <c r="B1055" s="1859">
        <f t="shared" si="88"/>
        <v>2016</v>
      </c>
      <c r="C1055" s="1859">
        <f t="shared" si="89"/>
        <v>5</v>
      </c>
      <c r="D1055" s="1860">
        <f t="shared" si="90"/>
        <v>42514</v>
      </c>
      <c r="E1055" s="1861">
        <v>42514</v>
      </c>
      <c r="F1055" s="1862">
        <f t="shared" si="86"/>
        <v>0</v>
      </c>
      <c r="G1055" s="1862">
        <v>72955</v>
      </c>
      <c r="H1055" s="1862">
        <v>72955</v>
      </c>
      <c r="I1055" s="1862">
        <f>Tabla1[[#This Row],[Extraccion
Norte II]]+Tabla1[[#This Row],[Extraccion
ENO]]</f>
        <v>72294.229853820012</v>
      </c>
      <c r="J1055" s="1862">
        <v>72294.229853820012</v>
      </c>
      <c r="K1055" s="1862"/>
      <c r="L1055" s="1862">
        <f t="shared" si="87"/>
        <v>660.77014617998793</v>
      </c>
      <c r="M1055" s="1862">
        <f>M1054+Tabla1[[#This Row],[Desbalance
TPL]]</f>
        <v>-620466.34041195479</v>
      </c>
    </row>
    <row r="1056" spans="2:13" x14ac:dyDescent="0.25">
      <c r="B1056" s="1859">
        <f t="shared" si="88"/>
        <v>2016</v>
      </c>
      <c r="C1056" s="1859">
        <f t="shared" si="89"/>
        <v>5</v>
      </c>
      <c r="D1056" s="1860">
        <f t="shared" si="90"/>
        <v>42515</v>
      </c>
      <c r="E1056" s="1861">
        <v>42515</v>
      </c>
      <c r="F1056" s="1862">
        <f t="shared" si="86"/>
        <v>0</v>
      </c>
      <c r="G1056" s="1862">
        <v>72955</v>
      </c>
      <c r="H1056" s="1862">
        <v>72955</v>
      </c>
      <c r="I1056" s="1862">
        <f>Tabla1[[#This Row],[Extraccion
Norte II]]+Tabla1[[#This Row],[Extraccion
ENO]]</f>
        <v>72361.325819250007</v>
      </c>
      <c r="J1056" s="1862">
        <v>72361.325819250007</v>
      </c>
      <c r="K1056" s="1862"/>
      <c r="L1056" s="1862">
        <f t="shared" si="87"/>
        <v>593.67418074999296</v>
      </c>
      <c r="M1056" s="1862">
        <f>M1055+Tabla1[[#This Row],[Desbalance
TPL]]</f>
        <v>-619872.66623120476</v>
      </c>
    </row>
    <row r="1057" spans="2:13" x14ac:dyDescent="0.25">
      <c r="B1057" s="1859">
        <f t="shared" si="88"/>
        <v>2016</v>
      </c>
      <c r="C1057" s="1859">
        <f t="shared" si="89"/>
        <v>5</v>
      </c>
      <c r="D1057" s="1860">
        <f t="shared" si="90"/>
        <v>42516</v>
      </c>
      <c r="E1057" s="1861">
        <v>42516</v>
      </c>
      <c r="F1057" s="1862">
        <f t="shared" si="86"/>
        <v>0</v>
      </c>
      <c r="G1057" s="1862">
        <v>72955</v>
      </c>
      <c r="H1057" s="1862">
        <v>72955</v>
      </c>
      <c r="I1057" s="1862">
        <f>Tabla1[[#This Row],[Extraccion
Norte II]]+Tabla1[[#This Row],[Extraccion
ENO]]</f>
        <v>69851.534837760002</v>
      </c>
      <c r="J1057" s="1862">
        <v>69851.534837760002</v>
      </c>
      <c r="K1057" s="1862"/>
      <c r="L1057" s="1862">
        <f t="shared" si="87"/>
        <v>3103.4651622399979</v>
      </c>
      <c r="M1057" s="1862">
        <f>M1056+Tabla1[[#This Row],[Desbalance
TPL]]</f>
        <v>-616769.20106896479</v>
      </c>
    </row>
    <row r="1058" spans="2:13" x14ac:dyDescent="0.25">
      <c r="B1058" s="1859">
        <f t="shared" si="88"/>
        <v>2016</v>
      </c>
      <c r="C1058" s="1859">
        <f t="shared" si="89"/>
        <v>5</v>
      </c>
      <c r="D1058" s="1860">
        <f t="shared" si="90"/>
        <v>42517</v>
      </c>
      <c r="E1058" s="1861">
        <v>42517</v>
      </c>
      <c r="F1058" s="1862">
        <f t="shared" si="86"/>
        <v>0</v>
      </c>
      <c r="G1058" s="1862">
        <v>72955</v>
      </c>
      <c r="H1058" s="1862">
        <v>72955</v>
      </c>
      <c r="I1058" s="1862">
        <f>Tabla1[[#This Row],[Extraccion
Norte II]]+Tabla1[[#This Row],[Extraccion
ENO]]</f>
        <v>68336.553623130007</v>
      </c>
      <c r="J1058" s="1862">
        <v>68336.553623130007</v>
      </c>
      <c r="K1058" s="1862"/>
      <c r="L1058" s="1862">
        <f t="shared" si="87"/>
        <v>4618.4463768699934</v>
      </c>
      <c r="M1058" s="1862">
        <f>M1057+Tabla1[[#This Row],[Desbalance
TPL]]</f>
        <v>-612150.75469209475</v>
      </c>
    </row>
    <row r="1059" spans="2:13" x14ac:dyDescent="0.25">
      <c r="B1059" s="1859">
        <f t="shared" si="88"/>
        <v>2016</v>
      </c>
      <c r="C1059" s="1859">
        <f t="shared" si="89"/>
        <v>5</v>
      </c>
      <c r="D1059" s="1860">
        <f t="shared" si="90"/>
        <v>42518</v>
      </c>
      <c r="E1059" s="1861">
        <v>42518</v>
      </c>
      <c r="F1059" s="1862">
        <f t="shared" si="86"/>
        <v>0</v>
      </c>
      <c r="G1059" s="1862">
        <v>72955</v>
      </c>
      <c r="H1059" s="1862">
        <v>72955</v>
      </c>
      <c r="I1059" s="1862">
        <f>Tabla1[[#This Row],[Extraccion
Norte II]]+Tabla1[[#This Row],[Extraccion
ENO]]</f>
        <v>68430.254811749997</v>
      </c>
      <c r="J1059" s="1862">
        <v>68430.254811749997</v>
      </c>
      <c r="K1059" s="1862"/>
      <c r="L1059" s="1862">
        <f t="shared" si="87"/>
        <v>4524.7451882500027</v>
      </c>
      <c r="M1059" s="1862">
        <f>M1058+Tabla1[[#This Row],[Desbalance
TPL]]</f>
        <v>-607626.00950384478</v>
      </c>
    </row>
    <row r="1060" spans="2:13" x14ac:dyDescent="0.25">
      <c r="B1060" s="1859">
        <f t="shared" si="88"/>
        <v>2016</v>
      </c>
      <c r="C1060" s="1859">
        <f t="shared" si="89"/>
        <v>5</v>
      </c>
      <c r="D1060" s="1860">
        <f t="shared" si="90"/>
        <v>42519</v>
      </c>
      <c r="E1060" s="1861">
        <v>42519</v>
      </c>
      <c r="F1060" s="1862">
        <f t="shared" si="86"/>
        <v>0</v>
      </c>
      <c r="G1060" s="1862">
        <v>72955</v>
      </c>
      <c r="H1060" s="1862">
        <v>72955</v>
      </c>
      <c r="I1060" s="1862">
        <f>Tabla1[[#This Row],[Extraccion
Norte II]]+Tabla1[[#This Row],[Extraccion
ENO]]</f>
        <v>68318.516665620002</v>
      </c>
      <c r="J1060" s="1862">
        <v>68318.516665620002</v>
      </c>
      <c r="K1060" s="1862"/>
      <c r="L1060" s="1862">
        <f t="shared" si="87"/>
        <v>4636.4833343799983</v>
      </c>
      <c r="M1060" s="1862">
        <f>M1059+Tabla1[[#This Row],[Desbalance
TPL]]</f>
        <v>-602989.52616946481</v>
      </c>
    </row>
    <row r="1061" spans="2:13" x14ac:dyDescent="0.25">
      <c r="B1061" s="1859">
        <f t="shared" si="88"/>
        <v>2016</v>
      </c>
      <c r="C1061" s="1859">
        <f t="shared" si="89"/>
        <v>5</v>
      </c>
      <c r="D1061" s="1860">
        <f t="shared" si="90"/>
        <v>42520</v>
      </c>
      <c r="E1061" s="1861">
        <v>42520</v>
      </c>
      <c r="F1061" s="1862">
        <f t="shared" si="86"/>
        <v>0</v>
      </c>
      <c r="G1061" s="1862">
        <v>72955</v>
      </c>
      <c r="H1061" s="1862">
        <v>72955</v>
      </c>
      <c r="I1061" s="1862">
        <f>Tabla1[[#This Row],[Extraccion
Norte II]]+Tabla1[[#This Row],[Extraccion
ENO]]</f>
        <v>68253.287899679999</v>
      </c>
      <c r="J1061" s="1862">
        <v>68253.287899679999</v>
      </c>
      <c r="K1061" s="1862"/>
      <c r="L1061" s="1862">
        <f t="shared" si="87"/>
        <v>4701.7121003200009</v>
      </c>
      <c r="M1061" s="1862">
        <f>M1060+Tabla1[[#This Row],[Desbalance
TPL]]</f>
        <v>-598287.81406914478</v>
      </c>
    </row>
    <row r="1062" spans="2:13" x14ac:dyDescent="0.25">
      <c r="B1062" s="1859">
        <f t="shared" si="88"/>
        <v>2016</v>
      </c>
      <c r="C1062" s="1859">
        <f t="shared" si="89"/>
        <v>5</v>
      </c>
      <c r="D1062" s="1860">
        <f t="shared" si="90"/>
        <v>42521</v>
      </c>
      <c r="E1062" s="1861">
        <v>42521</v>
      </c>
      <c r="F1062" s="1862">
        <f t="shared" si="86"/>
        <v>0</v>
      </c>
      <c r="G1062" s="1862">
        <v>72955</v>
      </c>
      <c r="H1062" s="1862">
        <v>72955</v>
      </c>
      <c r="I1062" s="1862">
        <f>Tabla1[[#This Row],[Extraccion
Norte II]]+Tabla1[[#This Row],[Extraccion
ENO]]</f>
        <v>68066.548994340003</v>
      </c>
      <c r="J1062" s="1862">
        <v>68066.548994340003</v>
      </c>
      <c r="K1062" s="1862"/>
      <c r="L1062" s="1862">
        <f t="shared" si="87"/>
        <v>4888.4510056599975</v>
      </c>
      <c r="M1062" s="1862">
        <f>M1061+Tabla1[[#This Row],[Desbalance
TPL]]</f>
        <v>-593399.36306348478</v>
      </c>
    </row>
    <row r="1063" spans="2:13" x14ac:dyDescent="0.25">
      <c r="B1063" s="1859">
        <f t="shared" si="88"/>
        <v>2016</v>
      </c>
      <c r="C1063" s="1859">
        <f t="shared" si="89"/>
        <v>6</v>
      </c>
      <c r="D1063" s="1860">
        <f t="shared" si="90"/>
        <v>42522</v>
      </c>
      <c r="E1063" s="1861">
        <v>42522</v>
      </c>
      <c r="F1063" s="1862">
        <f t="shared" si="86"/>
        <v>0</v>
      </c>
      <c r="G1063" s="1862">
        <v>72955</v>
      </c>
      <c r="H1063" s="1862">
        <v>72955</v>
      </c>
      <c r="I1063" s="1862">
        <f>Tabla1[[#This Row],[Extraccion
Norte II]]+Tabla1[[#This Row],[Extraccion
ENO]]</f>
        <v>67975.984213160249</v>
      </c>
      <c r="J1063" s="1862">
        <v>67975.984213160249</v>
      </c>
      <c r="K1063" s="1862"/>
      <c r="L1063" s="1862">
        <f t="shared" si="87"/>
        <v>4979.0157868397509</v>
      </c>
      <c r="M1063" s="1862">
        <f>M1062+Tabla1[[#This Row],[Desbalance
TPL]]</f>
        <v>-588420.34727664501</v>
      </c>
    </row>
    <row r="1064" spans="2:13" x14ac:dyDescent="0.25">
      <c r="B1064" s="1859">
        <f t="shared" si="88"/>
        <v>2016</v>
      </c>
      <c r="C1064" s="1859">
        <f t="shared" si="89"/>
        <v>6</v>
      </c>
      <c r="D1064" s="1860">
        <f t="shared" si="90"/>
        <v>42523</v>
      </c>
      <c r="E1064" s="1861">
        <v>42523</v>
      </c>
      <c r="F1064" s="1862">
        <f t="shared" si="86"/>
        <v>0</v>
      </c>
      <c r="G1064" s="1862">
        <v>72955</v>
      </c>
      <c r="H1064" s="1862">
        <v>72955</v>
      </c>
      <c r="I1064" s="1862">
        <f>Tabla1[[#This Row],[Extraccion
Norte II]]+Tabla1[[#This Row],[Extraccion
ENO]]</f>
        <v>70686.721842252926</v>
      </c>
      <c r="J1064" s="1862">
        <v>70686.721842252926</v>
      </c>
      <c r="K1064" s="1862"/>
      <c r="L1064" s="1862">
        <f t="shared" si="87"/>
        <v>2268.2781577470741</v>
      </c>
      <c r="M1064" s="1862">
        <f>M1063+Tabla1[[#This Row],[Desbalance
TPL]]</f>
        <v>-586152.0691188979</v>
      </c>
    </row>
    <row r="1065" spans="2:13" x14ac:dyDescent="0.25">
      <c r="B1065" s="1859">
        <f t="shared" si="88"/>
        <v>2016</v>
      </c>
      <c r="C1065" s="1859">
        <f t="shared" si="89"/>
        <v>6</v>
      </c>
      <c r="D1065" s="1860">
        <f t="shared" si="90"/>
        <v>42524</v>
      </c>
      <c r="E1065" s="1861">
        <v>42524</v>
      </c>
      <c r="F1065" s="1862">
        <f t="shared" si="86"/>
        <v>0</v>
      </c>
      <c r="G1065" s="1862">
        <v>72955</v>
      </c>
      <c r="H1065" s="1862">
        <v>72955</v>
      </c>
      <c r="I1065" s="1862">
        <f>Tabla1[[#This Row],[Extraccion
Norte II]]+Tabla1[[#This Row],[Extraccion
ENO]]</f>
        <v>67668.872552736531</v>
      </c>
      <c r="J1065" s="1862">
        <v>67668.872552736531</v>
      </c>
      <c r="K1065" s="1862"/>
      <c r="L1065" s="1862">
        <f t="shared" si="87"/>
        <v>5286.1274472634686</v>
      </c>
      <c r="M1065" s="1862">
        <f>M1064+Tabla1[[#This Row],[Desbalance
TPL]]</f>
        <v>-580865.94167163444</v>
      </c>
    </row>
    <row r="1066" spans="2:13" x14ac:dyDescent="0.25">
      <c r="B1066" s="1859">
        <f t="shared" si="88"/>
        <v>2016</v>
      </c>
      <c r="C1066" s="1859">
        <f t="shared" si="89"/>
        <v>6</v>
      </c>
      <c r="D1066" s="1860">
        <f t="shared" si="90"/>
        <v>42525</v>
      </c>
      <c r="E1066" s="1861">
        <v>42525</v>
      </c>
      <c r="F1066" s="1862">
        <f t="shared" si="86"/>
        <v>0</v>
      </c>
      <c r="G1066" s="1862">
        <v>72955</v>
      </c>
      <c r="H1066" s="1862">
        <v>72955</v>
      </c>
      <c r="I1066" s="1862">
        <f>Tabla1[[#This Row],[Extraccion
Norte II]]+Tabla1[[#This Row],[Extraccion
ENO]]</f>
        <v>67942.346188259195</v>
      </c>
      <c r="J1066" s="1862">
        <v>67942.346188259195</v>
      </c>
      <c r="K1066" s="1862"/>
      <c r="L1066" s="1862">
        <f t="shared" si="87"/>
        <v>5012.6538117408054</v>
      </c>
      <c r="M1066" s="1862">
        <f>M1065+Tabla1[[#This Row],[Desbalance
TPL]]</f>
        <v>-575853.28785989364</v>
      </c>
    </row>
    <row r="1067" spans="2:13" x14ac:dyDescent="0.25">
      <c r="B1067" s="1859">
        <f t="shared" si="88"/>
        <v>2016</v>
      </c>
      <c r="C1067" s="1859">
        <f t="shared" si="89"/>
        <v>6</v>
      </c>
      <c r="D1067" s="1860">
        <f t="shared" si="90"/>
        <v>42526</v>
      </c>
      <c r="E1067" s="1861">
        <v>42526</v>
      </c>
      <c r="F1067" s="1862">
        <f t="shared" si="86"/>
        <v>0</v>
      </c>
      <c r="G1067" s="1862">
        <v>72955</v>
      </c>
      <c r="H1067" s="1862">
        <v>72955</v>
      </c>
      <c r="I1067" s="1862">
        <f>Tabla1[[#This Row],[Extraccion
Norte II]]+Tabla1[[#This Row],[Extraccion
ENO]]</f>
        <v>68112.005429095705</v>
      </c>
      <c r="J1067" s="1862">
        <v>68112.005429095705</v>
      </c>
      <c r="K1067" s="1862"/>
      <c r="L1067" s="1862">
        <f t="shared" si="87"/>
        <v>4842.994570904295</v>
      </c>
      <c r="M1067" s="1862">
        <f>M1066+Tabla1[[#This Row],[Desbalance
TPL]]</f>
        <v>-571010.29328898934</v>
      </c>
    </row>
    <row r="1068" spans="2:13" x14ac:dyDescent="0.25">
      <c r="B1068" s="1859">
        <f t="shared" si="88"/>
        <v>2016</v>
      </c>
      <c r="C1068" s="1859">
        <f t="shared" si="89"/>
        <v>6</v>
      </c>
      <c r="D1068" s="1860">
        <f t="shared" si="90"/>
        <v>42527</v>
      </c>
      <c r="E1068" s="1861">
        <v>42527</v>
      </c>
      <c r="F1068" s="1862">
        <f t="shared" si="86"/>
        <v>0</v>
      </c>
      <c r="G1068" s="1862">
        <v>72955</v>
      </c>
      <c r="H1068" s="1862">
        <v>72955</v>
      </c>
      <c r="I1068" s="1862">
        <f>Tabla1[[#This Row],[Extraccion
Norte II]]+Tabla1[[#This Row],[Extraccion
ENO]]</f>
        <v>68913.58373394399</v>
      </c>
      <c r="J1068" s="1862">
        <v>68913.58373394399</v>
      </c>
      <c r="K1068" s="1862"/>
      <c r="L1068" s="1862">
        <f t="shared" si="87"/>
        <v>4041.4162660560105</v>
      </c>
      <c r="M1068" s="1862">
        <f>M1067+Tabla1[[#This Row],[Desbalance
TPL]]</f>
        <v>-566968.87702293333</v>
      </c>
    </row>
    <row r="1069" spans="2:13" x14ac:dyDescent="0.25">
      <c r="B1069" s="1859">
        <f t="shared" si="88"/>
        <v>2016</v>
      </c>
      <c r="C1069" s="1859">
        <f t="shared" si="89"/>
        <v>6</v>
      </c>
      <c r="D1069" s="1860">
        <f t="shared" si="90"/>
        <v>42528</v>
      </c>
      <c r="E1069" s="1861">
        <v>42528</v>
      </c>
      <c r="F1069" s="1862">
        <f t="shared" si="86"/>
        <v>0</v>
      </c>
      <c r="G1069" s="1862">
        <v>72955</v>
      </c>
      <c r="H1069" s="1862">
        <v>72955</v>
      </c>
      <c r="I1069" s="1862">
        <f>Tabla1[[#This Row],[Extraccion
Norte II]]+Tabla1[[#This Row],[Extraccion
ENO]]</f>
        <v>70366.520829226123</v>
      </c>
      <c r="J1069" s="1862">
        <v>70366.520829226123</v>
      </c>
      <c r="K1069" s="1862"/>
      <c r="L1069" s="1862">
        <f t="shared" si="87"/>
        <v>2588.4791707738768</v>
      </c>
      <c r="M1069" s="1862">
        <f>M1068+Tabla1[[#This Row],[Desbalance
TPL]]</f>
        <v>-564380.39785215945</v>
      </c>
    </row>
    <row r="1070" spans="2:13" x14ac:dyDescent="0.25">
      <c r="B1070" s="1859">
        <f t="shared" si="88"/>
        <v>2016</v>
      </c>
      <c r="C1070" s="1859">
        <f t="shared" si="89"/>
        <v>6</v>
      </c>
      <c r="D1070" s="1860">
        <f t="shared" si="90"/>
        <v>42529</v>
      </c>
      <c r="E1070" s="1861">
        <v>42529</v>
      </c>
      <c r="F1070" s="1862">
        <f t="shared" si="86"/>
        <v>0</v>
      </c>
      <c r="G1070" s="1862">
        <v>71000</v>
      </c>
      <c r="H1070" s="1862">
        <v>71000</v>
      </c>
      <c r="I1070" s="1862">
        <f>Tabla1[[#This Row],[Extraccion
Norte II]]+Tabla1[[#This Row],[Extraccion
ENO]]</f>
        <v>70732.387664730602</v>
      </c>
      <c r="J1070" s="1862">
        <v>70732.387664730602</v>
      </c>
      <c r="K1070" s="1862"/>
      <c r="L1070" s="1862">
        <f t="shared" si="87"/>
        <v>267.61233526939759</v>
      </c>
      <c r="M1070" s="1862">
        <f>M1069+Tabla1[[#This Row],[Desbalance
TPL]]</f>
        <v>-564112.78551689</v>
      </c>
    </row>
    <row r="1071" spans="2:13" x14ac:dyDescent="0.25">
      <c r="B1071" s="1859">
        <f t="shared" si="88"/>
        <v>2016</v>
      </c>
      <c r="C1071" s="1859">
        <f t="shared" si="89"/>
        <v>6</v>
      </c>
      <c r="D1071" s="1860">
        <f t="shared" si="90"/>
        <v>42530</v>
      </c>
      <c r="E1071" s="1861">
        <v>42530</v>
      </c>
      <c r="F1071" s="1862">
        <f t="shared" si="86"/>
        <v>0</v>
      </c>
      <c r="G1071" s="1862">
        <v>69000</v>
      </c>
      <c r="H1071" s="1862">
        <v>69000</v>
      </c>
      <c r="I1071" s="1862">
        <f>Tabla1[[#This Row],[Extraccion
Norte II]]+Tabla1[[#This Row],[Extraccion
ENO]]</f>
        <v>66134.451631003481</v>
      </c>
      <c r="J1071" s="1862">
        <v>66134.451631003481</v>
      </c>
      <c r="K1071" s="1862"/>
      <c r="L1071" s="1862">
        <f t="shared" si="87"/>
        <v>2865.5483689965185</v>
      </c>
      <c r="M1071" s="1862">
        <f>M1070+Tabla1[[#This Row],[Desbalance
TPL]]</f>
        <v>-561247.23714789352</v>
      </c>
    </row>
    <row r="1072" spans="2:13" x14ac:dyDescent="0.25">
      <c r="B1072" s="1859">
        <f t="shared" si="88"/>
        <v>2016</v>
      </c>
      <c r="C1072" s="1859">
        <f t="shared" si="89"/>
        <v>6</v>
      </c>
      <c r="D1072" s="1860">
        <f t="shared" si="90"/>
        <v>42531</v>
      </c>
      <c r="E1072" s="1861">
        <v>42531</v>
      </c>
      <c r="F1072" s="1862">
        <f t="shared" si="86"/>
        <v>0</v>
      </c>
      <c r="G1072" s="1862">
        <v>69000</v>
      </c>
      <c r="H1072" s="1862">
        <v>69000</v>
      </c>
      <c r="I1072" s="1862">
        <f>Tabla1[[#This Row],[Extraccion
Norte II]]+Tabla1[[#This Row],[Extraccion
ENO]]</f>
        <v>70854.684490681073</v>
      </c>
      <c r="J1072" s="1862">
        <v>70854.684490681073</v>
      </c>
      <c r="K1072" s="1862"/>
      <c r="L1072" s="1862">
        <f t="shared" si="87"/>
        <v>-1854.6844906810729</v>
      </c>
      <c r="M1072" s="1862">
        <f>M1071+Tabla1[[#This Row],[Desbalance
TPL]]</f>
        <v>-563101.92163857457</v>
      </c>
    </row>
    <row r="1073" spans="2:13" x14ac:dyDescent="0.25">
      <c r="B1073" s="1859">
        <f t="shared" si="88"/>
        <v>2016</v>
      </c>
      <c r="C1073" s="1859">
        <f t="shared" si="89"/>
        <v>6</v>
      </c>
      <c r="D1073" s="1860">
        <f t="shared" si="90"/>
        <v>42532</v>
      </c>
      <c r="E1073" s="1861">
        <v>42532</v>
      </c>
      <c r="F1073" s="1862">
        <f t="shared" si="86"/>
        <v>0</v>
      </c>
      <c r="G1073" s="1862">
        <v>69000</v>
      </c>
      <c r="H1073" s="1862">
        <v>69000</v>
      </c>
      <c r="I1073" s="1862">
        <f>Tabla1[[#This Row],[Extraccion
Norte II]]+Tabla1[[#This Row],[Extraccion
ENO]]</f>
        <v>70096.952199693667</v>
      </c>
      <c r="J1073" s="1862">
        <v>70096.952199693667</v>
      </c>
      <c r="K1073" s="1862"/>
      <c r="L1073" s="1862">
        <f t="shared" si="87"/>
        <v>-1096.9521996936674</v>
      </c>
      <c r="M1073" s="1862">
        <f>M1072+Tabla1[[#This Row],[Desbalance
TPL]]</f>
        <v>-564198.87383826822</v>
      </c>
    </row>
    <row r="1074" spans="2:13" x14ac:dyDescent="0.25">
      <c r="B1074" s="1859">
        <f t="shared" si="88"/>
        <v>2016</v>
      </c>
      <c r="C1074" s="1859">
        <f t="shared" si="89"/>
        <v>6</v>
      </c>
      <c r="D1074" s="1860">
        <f t="shared" si="90"/>
        <v>42533</v>
      </c>
      <c r="E1074" s="1861">
        <v>42533</v>
      </c>
      <c r="F1074" s="1862">
        <f t="shared" si="86"/>
        <v>0</v>
      </c>
      <c r="G1074" s="1862">
        <v>69000</v>
      </c>
      <c r="H1074" s="1862">
        <v>69000</v>
      </c>
      <c r="I1074" s="1862">
        <f>Tabla1[[#This Row],[Extraccion
Norte II]]+Tabla1[[#This Row],[Extraccion
ENO]]</f>
        <v>68138.146221622359</v>
      </c>
      <c r="J1074" s="1862">
        <v>68138.146221622359</v>
      </c>
      <c r="K1074" s="1862"/>
      <c r="L1074" s="1862">
        <f t="shared" si="87"/>
        <v>861.85377837764099</v>
      </c>
      <c r="M1074" s="1862">
        <f>M1073+Tabla1[[#This Row],[Desbalance
TPL]]</f>
        <v>-563337.02005989058</v>
      </c>
    </row>
    <row r="1075" spans="2:13" x14ac:dyDescent="0.25">
      <c r="B1075" s="1859">
        <f t="shared" ref="B1075:B1138" si="91">YEAR(E1075)</f>
        <v>2016</v>
      </c>
      <c r="C1075" s="1859">
        <f t="shared" ref="C1075:C1138" si="92">MONTH(E1075)</f>
        <v>6</v>
      </c>
      <c r="D1075" s="1860">
        <f t="shared" ref="D1075:D1138" si="93">E1075</f>
        <v>42534</v>
      </c>
      <c r="E1075" s="1861">
        <v>42534</v>
      </c>
      <c r="F1075" s="1862">
        <f t="shared" si="86"/>
        <v>0</v>
      </c>
      <c r="G1075" s="1862">
        <v>69000</v>
      </c>
      <c r="H1075" s="1862">
        <v>69000</v>
      </c>
      <c r="I1075" s="1862">
        <f>Tabla1[[#This Row],[Extraccion
Norte II]]+Tabla1[[#This Row],[Extraccion
ENO]]</f>
        <v>70309.253726816387</v>
      </c>
      <c r="J1075" s="1862">
        <v>70309.253726816387</v>
      </c>
      <c r="K1075" s="1862"/>
      <c r="L1075" s="1862">
        <f t="shared" si="87"/>
        <v>-1309.2537268163869</v>
      </c>
      <c r="M1075" s="1862">
        <f>M1074+Tabla1[[#This Row],[Desbalance
TPL]]</f>
        <v>-564646.27378670697</v>
      </c>
    </row>
    <row r="1076" spans="2:13" x14ac:dyDescent="0.25">
      <c r="B1076" s="1859">
        <f t="shared" si="91"/>
        <v>2016</v>
      </c>
      <c r="C1076" s="1859">
        <f t="shared" si="92"/>
        <v>6</v>
      </c>
      <c r="D1076" s="1860">
        <f t="shared" si="93"/>
        <v>42535</v>
      </c>
      <c r="E1076" s="1861">
        <v>42535</v>
      </c>
      <c r="F1076" s="1862">
        <f t="shared" si="86"/>
        <v>0</v>
      </c>
      <c r="G1076" s="1862">
        <v>72000</v>
      </c>
      <c r="H1076" s="1862">
        <v>72000</v>
      </c>
      <c r="I1076" s="1862">
        <f>Tabla1[[#This Row],[Extraccion
Norte II]]+Tabla1[[#This Row],[Extraccion
ENO]]</f>
        <v>70411.617961511045</v>
      </c>
      <c r="J1076" s="1862">
        <v>70411.617961511045</v>
      </c>
      <c r="K1076" s="1862"/>
      <c r="L1076" s="1862">
        <f t="shared" si="87"/>
        <v>1588.382038488955</v>
      </c>
      <c r="M1076" s="1862">
        <f>M1075+Tabla1[[#This Row],[Desbalance
TPL]]</f>
        <v>-563057.89174821798</v>
      </c>
    </row>
    <row r="1077" spans="2:13" x14ac:dyDescent="0.25">
      <c r="B1077" s="1859">
        <f t="shared" si="91"/>
        <v>2016</v>
      </c>
      <c r="C1077" s="1859">
        <f t="shared" si="92"/>
        <v>6</v>
      </c>
      <c r="D1077" s="1860">
        <f t="shared" si="93"/>
        <v>42536</v>
      </c>
      <c r="E1077" s="1861">
        <v>42536</v>
      </c>
      <c r="F1077" s="1862">
        <f t="shared" si="86"/>
        <v>0</v>
      </c>
      <c r="G1077" s="1862">
        <v>72000</v>
      </c>
      <c r="H1077" s="1862">
        <v>72000</v>
      </c>
      <c r="I1077" s="1862">
        <f>Tabla1[[#This Row],[Extraccion
Norte II]]+Tabla1[[#This Row],[Extraccion
ENO]]</f>
        <v>71202.28689282843</v>
      </c>
      <c r="J1077" s="1862">
        <v>71202.28689282843</v>
      </c>
      <c r="K1077" s="1862"/>
      <c r="L1077" s="1862">
        <f t="shared" si="87"/>
        <v>797.7131071715703</v>
      </c>
      <c r="M1077" s="1862">
        <f>M1076+Tabla1[[#This Row],[Desbalance
TPL]]</f>
        <v>-562260.1786410464</v>
      </c>
    </row>
    <row r="1078" spans="2:13" x14ac:dyDescent="0.25">
      <c r="B1078" s="1859">
        <f t="shared" si="91"/>
        <v>2016</v>
      </c>
      <c r="C1078" s="1859">
        <f t="shared" si="92"/>
        <v>6</v>
      </c>
      <c r="D1078" s="1860">
        <f t="shared" si="93"/>
        <v>42537</v>
      </c>
      <c r="E1078" s="1861">
        <v>42537</v>
      </c>
      <c r="F1078" s="1862">
        <f t="shared" si="86"/>
        <v>0</v>
      </c>
      <c r="G1078" s="1862">
        <v>72000</v>
      </c>
      <c r="H1078" s="1862">
        <v>72000</v>
      </c>
      <c r="I1078" s="1862">
        <f>Tabla1[[#This Row],[Extraccion
Norte II]]+Tabla1[[#This Row],[Extraccion
ENO]]</f>
        <v>71599.422210764169</v>
      </c>
      <c r="J1078" s="1862">
        <v>71599.422210764169</v>
      </c>
      <c r="K1078" s="1862"/>
      <c r="L1078" s="1862">
        <f t="shared" si="87"/>
        <v>400.57778923583101</v>
      </c>
      <c r="M1078" s="1862">
        <f>M1077+Tabla1[[#This Row],[Desbalance
TPL]]</f>
        <v>-561859.60085181054</v>
      </c>
    </row>
    <row r="1079" spans="2:13" x14ac:dyDescent="0.25">
      <c r="B1079" s="1859">
        <f t="shared" si="91"/>
        <v>2016</v>
      </c>
      <c r="C1079" s="1859">
        <f t="shared" si="92"/>
        <v>6</v>
      </c>
      <c r="D1079" s="1860">
        <f t="shared" si="93"/>
        <v>42538</v>
      </c>
      <c r="E1079" s="1861">
        <v>42538</v>
      </c>
      <c r="F1079" s="1862">
        <f t="shared" si="86"/>
        <v>0</v>
      </c>
      <c r="G1079" s="1862">
        <v>71000</v>
      </c>
      <c r="H1079" s="1862">
        <v>71000</v>
      </c>
      <c r="I1079" s="1862">
        <f>Tabla1[[#This Row],[Extraccion
Norte II]]+Tabla1[[#This Row],[Extraccion
ENO]]</f>
        <v>71157.862710604939</v>
      </c>
      <c r="J1079" s="1862">
        <v>71157.862710604939</v>
      </c>
      <c r="K1079" s="1862"/>
      <c r="L1079" s="1862">
        <f t="shared" si="87"/>
        <v>-157.86271060493891</v>
      </c>
      <c r="M1079" s="1862">
        <f>M1078+Tabla1[[#This Row],[Desbalance
TPL]]</f>
        <v>-562017.46356241545</v>
      </c>
    </row>
    <row r="1080" spans="2:13" x14ac:dyDescent="0.25">
      <c r="B1080" s="1859">
        <f t="shared" si="91"/>
        <v>2016</v>
      </c>
      <c r="C1080" s="1859">
        <f t="shared" si="92"/>
        <v>6</v>
      </c>
      <c r="D1080" s="1860">
        <f t="shared" si="93"/>
        <v>42539</v>
      </c>
      <c r="E1080" s="1861">
        <v>42539</v>
      </c>
      <c r="F1080" s="1862">
        <f t="shared" si="86"/>
        <v>0</v>
      </c>
      <c r="G1080" s="1862">
        <v>70000</v>
      </c>
      <c r="H1080" s="1862">
        <v>70000</v>
      </c>
      <c r="I1080" s="1862">
        <f>Tabla1[[#This Row],[Extraccion
Norte II]]+Tabla1[[#This Row],[Extraccion
ENO]]</f>
        <v>70892.341259610868</v>
      </c>
      <c r="J1080" s="1862">
        <v>70892.341259610868</v>
      </c>
      <c r="K1080" s="1862"/>
      <c r="L1080" s="1862">
        <f t="shared" si="87"/>
        <v>-892.34125961086829</v>
      </c>
      <c r="M1080" s="1862">
        <f>M1079+Tabla1[[#This Row],[Desbalance
TPL]]</f>
        <v>-562909.80482202629</v>
      </c>
    </row>
    <row r="1081" spans="2:13" x14ac:dyDescent="0.25">
      <c r="B1081" s="1859">
        <f t="shared" si="91"/>
        <v>2016</v>
      </c>
      <c r="C1081" s="1859">
        <f t="shared" si="92"/>
        <v>6</v>
      </c>
      <c r="D1081" s="1860">
        <f t="shared" si="93"/>
        <v>42540</v>
      </c>
      <c r="E1081" s="1861">
        <v>42540</v>
      </c>
      <c r="F1081" s="1862">
        <f t="shared" si="86"/>
        <v>0</v>
      </c>
      <c r="G1081" s="1862">
        <v>70000</v>
      </c>
      <c r="H1081" s="1862">
        <v>70000</v>
      </c>
      <c r="I1081" s="1862">
        <f>Tabla1[[#This Row],[Extraccion
Norte II]]+Tabla1[[#This Row],[Extraccion
ENO]]</f>
        <v>68772.408289228246</v>
      </c>
      <c r="J1081" s="1862">
        <v>68772.408289228246</v>
      </c>
      <c r="K1081" s="1862"/>
      <c r="L1081" s="1862">
        <f t="shared" si="87"/>
        <v>1227.5917107717542</v>
      </c>
      <c r="M1081" s="1862">
        <f>M1080+Tabla1[[#This Row],[Desbalance
TPL]]</f>
        <v>-561682.2131112545</v>
      </c>
    </row>
    <row r="1082" spans="2:13" x14ac:dyDescent="0.25">
      <c r="B1082" s="1859">
        <f t="shared" si="91"/>
        <v>2016</v>
      </c>
      <c r="C1082" s="1859">
        <f t="shared" si="92"/>
        <v>6</v>
      </c>
      <c r="D1082" s="1860">
        <f t="shared" si="93"/>
        <v>42541</v>
      </c>
      <c r="E1082" s="1861">
        <v>42541</v>
      </c>
      <c r="F1082" s="1862">
        <f t="shared" si="86"/>
        <v>0</v>
      </c>
      <c r="G1082" s="1862">
        <v>70000</v>
      </c>
      <c r="H1082" s="1862">
        <v>70000</v>
      </c>
      <c r="I1082" s="1862">
        <f>Tabla1[[#This Row],[Extraccion
Norte II]]+Tabla1[[#This Row],[Extraccion
ENO]]</f>
        <v>72005.002578062209</v>
      </c>
      <c r="J1082" s="1862">
        <v>72005.002578062209</v>
      </c>
      <c r="K1082" s="1862"/>
      <c r="L1082" s="1862">
        <f t="shared" si="87"/>
        <v>-2005.0025780622091</v>
      </c>
      <c r="M1082" s="1862">
        <f>M1081+Tabla1[[#This Row],[Desbalance
TPL]]</f>
        <v>-563687.21568931674</v>
      </c>
    </row>
    <row r="1083" spans="2:13" x14ac:dyDescent="0.25">
      <c r="B1083" s="1859">
        <f t="shared" si="91"/>
        <v>2016</v>
      </c>
      <c r="C1083" s="1859">
        <f t="shared" si="92"/>
        <v>6</v>
      </c>
      <c r="D1083" s="1860">
        <f t="shared" si="93"/>
        <v>42542</v>
      </c>
      <c r="E1083" s="1861">
        <v>42542</v>
      </c>
      <c r="F1083" s="1862">
        <f t="shared" si="86"/>
        <v>0</v>
      </c>
      <c r="G1083" s="1862">
        <v>72000</v>
      </c>
      <c r="H1083" s="1862">
        <v>72000</v>
      </c>
      <c r="I1083" s="1862">
        <f>Tabla1[[#This Row],[Extraccion
Norte II]]+Tabla1[[#This Row],[Extraccion
ENO]]</f>
        <v>71286.652082922621</v>
      </c>
      <c r="J1083" s="1862">
        <v>71286.652082922621</v>
      </c>
      <c r="K1083" s="1862"/>
      <c r="L1083" s="1862">
        <f t="shared" si="87"/>
        <v>713.34791707737895</v>
      </c>
      <c r="M1083" s="1862">
        <f>M1082+Tabla1[[#This Row],[Desbalance
TPL]]</f>
        <v>-562973.86777223938</v>
      </c>
    </row>
    <row r="1084" spans="2:13" x14ac:dyDescent="0.25">
      <c r="B1084" s="1859">
        <f t="shared" si="91"/>
        <v>2016</v>
      </c>
      <c r="C1084" s="1859">
        <f t="shared" si="92"/>
        <v>6</v>
      </c>
      <c r="D1084" s="1860">
        <f t="shared" si="93"/>
        <v>42543</v>
      </c>
      <c r="E1084" s="1861">
        <v>42543</v>
      </c>
      <c r="F1084" s="1862">
        <f t="shared" si="86"/>
        <v>0</v>
      </c>
      <c r="G1084" s="1862">
        <v>72000</v>
      </c>
      <c r="H1084" s="1862">
        <v>72000</v>
      </c>
      <c r="I1084" s="1862">
        <f>Tabla1[[#This Row],[Extraccion
Norte II]]+Tabla1[[#This Row],[Extraccion
ENO]]</f>
        <v>71507.313355878738</v>
      </c>
      <c r="J1084" s="1862">
        <v>71507.313355878738</v>
      </c>
      <c r="K1084" s="1862"/>
      <c r="L1084" s="1862">
        <f t="shared" si="87"/>
        <v>492.68664412126236</v>
      </c>
      <c r="M1084" s="1862">
        <f>M1083+Tabla1[[#This Row],[Desbalance
TPL]]</f>
        <v>-562481.18112811807</v>
      </c>
    </row>
    <row r="1085" spans="2:13" x14ac:dyDescent="0.25">
      <c r="B1085" s="1859">
        <f t="shared" si="91"/>
        <v>2016</v>
      </c>
      <c r="C1085" s="1859">
        <f t="shared" si="92"/>
        <v>6</v>
      </c>
      <c r="D1085" s="1860">
        <f t="shared" si="93"/>
        <v>42544</v>
      </c>
      <c r="E1085" s="1861">
        <v>42544</v>
      </c>
      <c r="F1085" s="1862">
        <f t="shared" si="86"/>
        <v>0</v>
      </c>
      <c r="G1085" s="1862">
        <v>72000</v>
      </c>
      <c r="H1085" s="1862">
        <v>72000</v>
      </c>
      <c r="I1085" s="1862">
        <f>Tabla1[[#This Row],[Extraccion
Norte II]]+Tabla1[[#This Row],[Extraccion
ENO]]</f>
        <v>72711.685446080577</v>
      </c>
      <c r="J1085" s="1862">
        <v>72711.685446080577</v>
      </c>
      <c r="K1085" s="1862"/>
      <c r="L1085" s="1862">
        <f t="shared" si="87"/>
        <v>-711.68544608057709</v>
      </c>
      <c r="M1085" s="1862">
        <f>M1084+Tabla1[[#This Row],[Desbalance
TPL]]</f>
        <v>-563192.86657419871</v>
      </c>
    </row>
    <row r="1086" spans="2:13" x14ac:dyDescent="0.25">
      <c r="B1086" s="1859">
        <f t="shared" si="91"/>
        <v>2016</v>
      </c>
      <c r="C1086" s="1859">
        <f t="shared" si="92"/>
        <v>6</v>
      </c>
      <c r="D1086" s="1860">
        <f t="shared" si="93"/>
        <v>42545</v>
      </c>
      <c r="E1086" s="1861">
        <v>42545</v>
      </c>
      <c r="F1086" s="1862">
        <f t="shared" si="86"/>
        <v>0</v>
      </c>
      <c r="G1086" s="1862">
        <v>72000</v>
      </c>
      <c r="H1086" s="1862">
        <v>72000</v>
      </c>
      <c r="I1086" s="1862">
        <f>Tabla1[[#This Row],[Extraccion
Norte II]]+Tabla1[[#This Row],[Extraccion
ENO]]</f>
        <v>71692.232450220661</v>
      </c>
      <c r="J1086" s="1862">
        <v>71692.232450220661</v>
      </c>
      <c r="K1086" s="1862"/>
      <c r="L1086" s="1862">
        <f t="shared" si="87"/>
        <v>307.76754977933888</v>
      </c>
      <c r="M1086" s="1862">
        <f>M1085+Tabla1[[#This Row],[Desbalance
TPL]]</f>
        <v>-562885.09902441932</v>
      </c>
    </row>
    <row r="1087" spans="2:13" x14ac:dyDescent="0.25">
      <c r="B1087" s="1859">
        <f t="shared" si="91"/>
        <v>2016</v>
      </c>
      <c r="C1087" s="1859">
        <f t="shared" si="92"/>
        <v>6</v>
      </c>
      <c r="D1087" s="1860">
        <f t="shared" si="93"/>
        <v>42546</v>
      </c>
      <c r="E1087" s="1861">
        <v>42546</v>
      </c>
      <c r="F1087" s="1862">
        <f t="shared" si="86"/>
        <v>0</v>
      </c>
      <c r="G1087" s="1862">
        <v>74001</v>
      </c>
      <c r="H1087" s="1862">
        <v>74001</v>
      </c>
      <c r="I1087" s="1862">
        <f>Tabla1[[#This Row],[Extraccion
Norte II]]+Tabla1[[#This Row],[Extraccion
ENO]]</f>
        <v>71010.81838310005</v>
      </c>
      <c r="J1087" s="1862">
        <v>71010.81838310005</v>
      </c>
      <c r="K1087" s="1862"/>
      <c r="L1087" s="1862">
        <f t="shared" si="87"/>
        <v>2990.1816168999503</v>
      </c>
      <c r="M1087" s="1862">
        <f>M1086+Tabla1[[#This Row],[Desbalance
TPL]]</f>
        <v>-559894.91740751942</v>
      </c>
    </row>
    <row r="1088" spans="2:13" x14ac:dyDescent="0.25">
      <c r="B1088" s="1859">
        <f t="shared" si="91"/>
        <v>2016</v>
      </c>
      <c r="C1088" s="1859">
        <f t="shared" si="92"/>
        <v>6</v>
      </c>
      <c r="D1088" s="1860">
        <f t="shared" si="93"/>
        <v>42547</v>
      </c>
      <c r="E1088" s="1861">
        <v>42547</v>
      </c>
      <c r="F1088" s="1862">
        <f t="shared" si="86"/>
        <v>0</v>
      </c>
      <c r="G1088" s="1862">
        <v>74001</v>
      </c>
      <c r="H1088" s="1862">
        <v>74001</v>
      </c>
      <c r="I1088" s="1862">
        <f>Tabla1[[#This Row],[Extraccion
Norte II]]+Tabla1[[#This Row],[Extraccion
ENO]]</f>
        <v>70382.851715927885</v>
      </c>
      <c r="J1088" s="1862">
        <v>70382.851715927885</v>
      </c>
      <c r="K1088" s="1862"/>
      <c r="L1088" s="1862">
        <f t="shared" si="87"/>
        <v>3618.1482840721146</v>
      </c>
      <c r="M1088" s="1862">
        <f>M1087+Tabla1[[#This Row],[Desbalance
TPL]]</f>
        <v>-556276.76912344736</v>
      </c>
    </row>
    <row r="1089" spans="2:13" x14ac:dyDescent="0.25">
      <c r="B1089" s="1859">
        <f t="shared" si="91"/>
        <v>2016</v>
      </c>
      <c r="C1089" s="1859">
        <f t="shared" si="92"/>
        <v>6</v>
      </c>
      <c r="D1089" s="1860">
        <f t="shared" si="93"/>
        <v>42548</v>
      </c>
      <c r="E1089" s="1861">
        <v>42548</v>
      </c>
      <c r="F1089" s="1862">
        <f t="shared" si="86"/>
        <v>0</v>
      </c>
      <c r="G1089" s="1862">
        <v>74001</v>
      </c>
      <c r="H1089" s="1862">
        <v>74001</v>
      </c>
      <c r="I1089" s="1862">
        <f>Tabla1[[#This Row],[Extraccion
Norte II]]+Tabla1[[#This Row],[Extraccion
ENO]]</f>
        <v>70381.429990446006</v>
      </c>
      <c r="J1089" s="1862">
        <v>70381.429990446006</v>
      </c>
      <c r="K1089" s="1862"/>
      <c r="L1089" s="1862">
        <f t="shared" si="87"/>
        <v>3619.5700095539942</v>
      </c>
      <c r="M1089" s="1862">
        <f>M1088+Tabla1[[#This Row],[Desbalance
TPL]]</f>
        <v>-552657.19911389332</v>
      </c>
    </row>
    <row r="1090" spans="2:13" x14ac:dyDescent="0.25">
      <c r="B1090" s="1859">
        <f t="shared" si="91"/>
        <v>2016</v>
      </c>
      <c r="C1090" s="1859">
        <f t="shared" si="92"/>
        <v>6</v>
      </c>
      <c r="D1090" s="1860">
        <f t="shared" si="93"/>
        <v>42549</v>
      </c>
      <c r="E1090" s="1861">
        <v>42549</v>
      </c>
      <c r="F1090" s="1862">
        <f t="shared" si="86"/>
        <v>0</v>
      </c>
      <c r="G1090" s="1862">
        <v>74001</v>
      </c>
      <c r="H1090" s="1862">
        <v>74001</v>
      </c>
      <c r="I1090" s="1862">
        <f>Tabla1[[#This Row],[Extraccion
Norte II]]+Tabla1[[#This Row],[Extraccion
ENO]]</f>
        <v>69865.030860921135</v>
      </c>
      <c r="J1090" s="1862">
        <v>69865.030860921135</v>
      </c>
      <c r="K1090" s="1862"/>
      <c r="L1090" s="1862">
        <f t="shared" si="87"/>
        <v>4135.9691390788648</v>
      </c>
      <c r="M1090" s="1862">
        <f>M1089+Tabla1[[#This Row],[Desbalance
TPL]]</f>
        <v>-548521.22997481446</v>
      </c>
    </row>
    <row r="1091" spans="2:13" x14ac:dyDescent="0.25">
      <c r="B1091" s="1859">
        <f t="shared" si="91"/>
        <v>2016</v>
      </c>
      <c r="C1091" s="1859">
        <f t="shared" si="92"/>
        <v>6</v>
      </c>
      <c r="D1091" s="1860">
        <f t="shared" si="93"/>
        <v>42550</v>
      </c>
      <c r="E1091" s="1861">
        <v>42550</v>
      </c>
      <c r="F1091" s="1862">
        <f t="shared" si="86"/>
        <v>0</v>
      </c>
      <c r="G1091" s="1862">
        <v>74001</v>
      </c>
      <c r="H1091" s="1862">
        <v>74001</v>
      </c>
      <c r="I1091" s="1862">
        <f>Tabla1[[#This Row],[Extraccion
Norte II]]+Tabla1[[#This Row],[Extraccion
ENO]]</f>
        <v>69300.169848804231</v>
      </c>
      <c r="J1091" s="1862">
        <v>69300.169848804231</v>
      </c>
      <c r="K1091" s="1862"/>
      <c r="L1091" s="1862">
        <f t="shared" si="87"/>
        <v>4700.8301511957688</v>
      </c>
      <c r="M1091" s="1862">
        <f>M1090+Tabla1[[#This Row],[Desbalance
TPL]]</f>
        <v>-543820.3998236187</v>
      </c>
    </row>
    <row r="1092" spans="2:13" x14ac:dyDescent="0.25">
      <c r="B1092" s="1859">
        <f t="shared" si="91"/>
        <v>2016</v>
      </c>
      <c r="C1092" s="1859">
        <f t="shared" si="92"/>
        <v>6</v>
      </c>
      <c r="D1092" s="1860">
        <f t="shared" si="93"/>
        <v>42551</v>
      </c>
      <c r="E1092" s="1861">
        <v>42551</v>
      </c>
      <c r="F1092" s="1862">
        <f t="shared" si="86"/>
        <v>0</v>
      </c>
      <c r="G1092" s="1862">
        <v>74001</v>
      </c>
      <c r="H1092" s="1862">
        <v>74001</v>
      </c>
      <c r="I1092" s="1862">
        <f>Tabla1[[#This Row],[Extraccion
Norte II]]+Tabla1[[#This Row],[Extraccion
ENO]]</f>
        <v>70503.328733261558</v>
      </c>
      <c r="J1092" s="1862">
        <v>70503.328733261558</v>
      </c>
      <c r="K1092" s="1862"/>
      <c r="L1092" s="1862">
        <f t="shared" si="87"/>
        <v>3497.6712667384418</v>
      </c>
      <c r="M1092" s="1862">
        <f>M1091+Tabla1[[#This Row],[Desbalance
TPL]]</f>
        <v>-540322.72855688026</v>
      </c>
    </row>
    <row r="1093" spans="2:13" x14ac:dyDescent="0.25">
      <c r="B1093" s="1859">
        <f t="shared" si="91"/>
        <v>2016</v>
      </c>
      <c r="C1093" s="1859">
        <f t="shared" si="92"/>
        <v>7</v>
      </c>
      <c r="D1093" s="1860">
        <f t="shared" si="93"/>
        <v>42552</v>
      </c>
      <c r="E1093" s="1861">
        <v>42552</v>
      </c>
      <c r="F1093" s="1862">
        <f t="shared" si="86"/>
        <v>0</v>
      </c>
      <c r="G1093" s="1862">
        <v>78000</v>
      </c>
      <c r="H1093" s="1862">
        <v>78000</v>
      </c>
      <c r="I1093" s="1862">
        <f>Tabla1[[#This Row],[Extraccion
Norte II]]+Tabla1[[#This Row],[Extraccion
ENO]]</f>
        <v>70001.451052649994</v>
      </c>
      <c r="J1093" s="1862">
        <v>70001.451052649994</v>
      </c>
      <c r="K1093" s="1862"/>
      <c r="L1093" s="1862">
        <f t="shared" si="87"/>
        <v>7998.5489473500056</v>
      </c>
      <c r="M1093" s="1862">
        <f>M1092+Tabla1[[#This Row],[Desbalance
TPL]]</f>
        <v>-532324.17960953026</v>
      </c>
    </row>
    <row r="1094" spans="2:13" x14ac:dyDescent="0.25">
      <c r="B1094" s="1859">
        <f t="shared" si="91"/>
        <v>2016</v>
      </c>
      <c r="C1094" s="1859">
        <f t="shared" si="92"/>
        <v>7</v>
      </c>
      <c r="D1094" s="1860">
        <f t="shared" si="93"/>
        <v>42553</v>
      </c>
      <c r="E1094" s="1861">
        <v>42553</v>
      </c>
      <c r="F1094" s="1862">
        <f t="shared" si="86"/>
        <v>0</v>
      </c>
      <c r="G1094" s="1862">
        <v>77000</v>
      </c>
      <c r="H1094" s="1862">
        <v>77000</v>
      </c>
      <c r="I1094" s="1862">
        <f>Tabla1[[#This Row],[Extraccion
Norte II]]+Tabla1[[#This Row],[Extraccion
ENO]]</f>
        <v>69393.502272509999</v>
      </c>
      <c r="J1094" s="1862">
        <v>69393.502272509999</v>
      </c>
      <c r="K1094" s="1862"/>
      <c r="L1094" s="1862">
        <f t="shared" si="87"/>
        <v>7606.4977274900011</v>
      </c>
      <c r="M1094" s="1862">
        <f>M1093+Tabla1[[#This Row],[Desbalance
TPL]]</f>
        <v>-524717.68188204023</v>
      </c>
    </row>
    <row r="1095" spans="2:13" x14ac:dyDescent="0.25">
      <c r="B1095" s="1859">
        <f t="shared" si="91"/>
        <v>2016</v>
      </c>
      <c r="C1095" s="1859">
        <f t="shared" si="92"/>
        <v>7</v>
      </c>
      <c r="D1095" s="1860">
        <f t="shared" si="93"/>
        <v>42554</v>
      </c>
      <c r="E1095" s="1861">
        <v>42554</v>
      </c>
      <c r="F1095" s="1862">
        <f t="shared" si="86"/>
        <v>0</v>
      </c>
      <c r="G1095" s="1862">
        <v>77000</v>
      </c>
      <c r="H1095" s="1862">
        <v>77000</v>
      </c>
      <c r="I1095" s="1862">
        <f>Tabla1[[#This Row],[Extraccion
Norte II]]+Tabla1[[#This Row],[Extraccion
ENO]]</f>
        <v>67765.816138409995</v>
      </c>
      <c r="J1095" s="1862">
        <v>67765.816138409995</v>
      </c>
      <c r="K1095" s="1862"/>
      <c r="L1095" s="1862">
        <f t="shared" si="87"/>
        <v>9234.1838615900051</v>
      </c>
      <c r="M1095" s="1862">
        <f>M1094+Tabla1[[#This Row],[Desbalance
TPL]]</f>
        <v>-515483.49802045024</v>
      </c>
    </row>
    <row r="1096" spans="2:13" x14ac:dyDescent="0.25">
      <c r="B1096" s="1859">
        <f t="shared" si="91"/>
        <v>2016</v>
      </c>
      <c r="C1096" s="1859">
        <f t="shared" si="92"/>
        <v>7</v>
      </c>
      <c r="D1096" s="1860">
        <f t="shared" si="93"/>
        <v>42555</v>
      </c>
      <c r="E1096" s="1861">
        <v>42555</v>
      </c>
      <c r="F1096" s="1862">
        <f t="shared" si="86"/>
        <v>0</v>
      </c>
      <c r="G1096" s="1862">
        <v>77000</v>
      </c>
      <c r="H1096" s="1862">
        <v>77000</v>
      </c>
      <c r="I1096" s="1862">
        <f>Tabla1[[#This Row],[Extraccion
Norte II]]+Tabla1[[#This Row],[Extraccion
ENO]]</f>
        <v>71801.482543128004</v>
      </c>
      <c r="J1096" s="1862">
        <v>71801.482543128004</v>
      </c>
      <c r="K1096" s="1862"/>
      <c r="L1096" s="1862">
        <f t="shared" si="87"/>
        <v>5198.5174568719958</v>
      </c>
      <c r="M1096" s="1862">
        <f>M1095+Tabla1[[#This Row],[Desbalance
TPL]]</f>
        <v>-510284.98056357825</v>
      </c>
    </row>
    <row r="1097" spans="2:13" x14ac:dyDescent="0.25">
      <c r="B1097" s="1859">
        <f t="shared" si="91"/>
        <v>2016</v>
      </c>
      <c r="C1097" s="1859">
        <f t="shared" si="92"/>
        <v>7</v>
      </c>
      <c r="D1097" s="1860">
        <f t="shared" si="93"/>
        <v>42556</v>
      </c>
      <c r="E1097" s="1861">
        <v>42556</v>
      </c>
      <c r="F1097" s="1862">
        <f t="shared" si="86"/>
        <v>0</v>
      </c>
      <c r="G1097" s="1862">
        <v>77000</v>
      </c>
      <c r="H1097" s="1862">
        <v>77000</v>
      </c>
      <c r="I1097" s="1862">
        <f>Tabla1[[#This Row],[Extraccion
Norte II]]+Tabla1[[#This Row],[Extraccion
ENO]]</f>
        <v>71479.922356440002</v>
      </c>
      <c r="J1097" s="1862">
        <v>71479.922356440002</v>
      </c>
      <c r="K1097" s="1862"/>
      <c r="L1097" s="1862">
        <f t="shared" si="87"/>
        <v>5520.0776435599983</v>
      </c>
      <c r="M1097" s="1862">
        <f>M1096+Tabla1[[#This Row],[Desbalance
TPL]]</f>
        <v>-504764.90292001824</v>
      </c>
    </row>
    <row r="1098" spans="2:13" x14ac:dyDescent="0.25">
      <c r="B1098" s="1859">
        <f t="shared" si="91"/>
        <v>2016</v>
      </c>
      <c r="C1098" s="1859">
        <f t="shared" si="92"/>
        <v>7</v>
      </c>
      <c r="D1098" s="1860">
        <f t="shared" si="93"/>
        <v>42557</v>
      </c>
      <c r="E1098" s="1861">
        <v>42557</v>
      </c>
      <c r="F1098" s="1862">
        <f t="shared" si="86"/>
        <v>0</v>
      </c>
      <c r="G1098" s="1862">
        <v>97515</v>
      </c>
      <c r="H1098" s="1862">
        <v>97515</v>
      </c>
      <c r="I1098" s="1862">
        <f>Tabla1[[#This Row],[Extraccion
Norte II]]+Tabla1[[#This Row],[Extraccion
ENO]]</f>
        <v>70892.872941149995</v>
      </c>
      <c r="J1098" s="1862">
        <v>70892.872941149995</v>
      </c>
      <c r="K1098" s="1862"/>
      <c r="L1098" s="1862">
        <f t="shared" si="87"/>
        <v>26622.127058850005</v>
      </c>
      <c r="M1098" s="1862">
        <f>M1097+Tabla1[[#This Row],[Desbalance
TPL]]</f>
        <v>-478142.77586116822</v>
      </c>
    </row>
    <row r="1099" spans="2:13" x14ac:dyDescent="0.25">
      <c r="B1099" s="1859">
        <f t="shared" si="91"/>
        <v>2016</v>
      </c>
      <c r="C1099" s="1859">
        <f t="shared" si="92"/>
        <v>7</v>
      </c>
      <c r="D1099" s="1860">
        <f t="shared" si="93"/>
        <v>42558</v>
      </c>
      <c r="E1099" s="1861">
        <v>42558</v>
      </c>
      <c r="F1099" s="1862">
        <f t="shared" si="86"/>
        <v>0</v>
      </c>
      <c r="G1099" s="1862">
        <v>78000</v>
      </c>
      <c r="H1099" s="1862">
        <v>78000</v>
      </c>
      <c r="I1099" s="1862">
        <f>Tabla1[[#This Row],[Extraccion
Norte II]]+Tabla1[[#This Row],[Extraccion
ENO]]</f>
        <v>70247.810490741002</v>
      </c>
      <c r="J1099" s="1862">
        <v>70247.810490741002</v>
      </c>
      <c r="K1099" s="1862"/>
      <c r="L1099" s="1862">
        <f t="shared" si="87"/>
        <v>7752.1895092589984</v>
      </c>
      <c r="M1099" s="1862">
        <f>M1098+Tabla1[[#This Row],[Desbalance
TPL]]</f>
        <v>-470390.58635190921</v>
      </c>
    </row>
    <row r="1100" spans="2:13" x14ac:dyDescent="0.25">
      <c r="B1100" s="1859">
        <f t="shared" si="91"/>
        <v>2016</v>
      </c>
      <c r="C1100" s="1859">
        <f t="shared" si="92"/>
        <v>7</v>
      </c>
      <c r="D1100" s="1860">
        <f t="shared" si="93"/>
        <v>42559</v>
      </c>
      <c r="E1100" s="1861">
        <v>42559</v>
      </c>
      <c r="F1100" s="1862">
        <f t="shared" ref="F1100:F1163" si="94">G1100-H1100</f>
        <v>0</v>
      </c>
      <c r="G1100" s="1862">
        <v>78000</v>
      </c>
      <c r="H1100" s="1862">
        <v>78000</v>
      </c>
      <c r="I1100" s="1862">
        <f>Tabla1[[#This Row],[Extraccion
Norte II]]+Tabla1[[#This Row],[Extraccion
ENO]]</f>
        <v>69392.924104139995</v>
      </c>
      <c r="J1100" s="1862">
        <v>69392.924104139995</v>
      </c>
      <c r="K1100" s="1862"/>
      <c r="L1100" s="1862">
        <f t="shared" ref="L1100:L1163" si="95">H1100-I1100</f>
        <v>8607.0758958600054</v>
      </c>
      <c r="M1100" s="1862">
        <f>M1099+Tabla1[[#This Row],[Desbalance
TPL]]</f>
        <v>-461783.51045604923</v>
      </c>
    </row>
    <row r="1101" spans="2:13" x14ac:dyDescent="0.25">
      <c r="B1101" s="1859">
        <f t="shared" si="91"/>
        <v>2016</v>
      </c>
      <c r="C1101" s="1859">
        <f t="shared" si="92"/>
        <v>7</v>
      </c>
      <c r="D1101" s="1860">
        <f t="shared" si="93"/>
        <v>42560</v>
      </c>
      <c r="E1101" s="1861">
        <v>42560</v>
      </c>
      <c r="F1101" s="1862">
        <f t="shared" si="94"/>
        <v>0</v>
      </c>
      <c r="G1101" s="1862">
        <v>77000</v>
      </c>
      <c r="H1101" s="1862">
        <v>77000</v>
      </c>
      <c r="I1101" s="1862">
        <f>Tabla1[[#This Row],[Extraccion
Norte II]]+Tabla1[[#This Row],[Extraccion
ENO]]</f>
        <v>70604.746051320006</v>
      </c>
      <c r="J1101" s="1862">
        <v>70604.746051320006</v>
      </c>
      <c r="K1101" s="1862"/>
      <c r="L1101" s="1862">
        <f t="shared" si="95"/>
        <v>6395.2539486799942</v>
      </c>
      <c r="M1101" s="1862">
        <f>M1100+Tabla1[[#This Row],[Desbalance
TPL]]</f>
        <v>-455388.25650736922</v>
      </c>
    </row>
    <row r="1102" spans="2:13" x14ac:dyDescent="0.25">
      <c r="B1102" s="1859">
        <f t="shared" si="91"/>
        <v>2016</v>
      </c>
      <c r="C1102" s="1859">
        <f t="shared" si="92"/>
        <v>7</v>
      </c>
      <c r="D1102" s="1860">
        <f t="shared" si="93"/>
        <v>42561</v>
      </c>
      <c r="E1102" s="1861">
        <v>42561</v>
      </c>
      <c r="F1102" s="1862">
        <f t="shared" si="94"/>
        <v>0</v>
      </c>
      <c r="G1102" s="1862">
        <v>77000</v>
      </c>
      <c r="H1102" s="1862">
        <v>77000</v>
      </c>
      <c r="I1102" s="1862">
        <f>Tabla1[[#This Row],[Extraccion
Norte II]]+Tabla1[[#This Row],[Extraccion
ENO]]</f>
        <v>70256.525668055998</v>
      </c>
      <c r="J1102" s="1862">
        <v>70256.525668055998</v>
      </c>
      <c r="K1102" s="1862"/>
      <c r="L1102" s="1862">
        <f t="shared" si="95"/>
        <v>6743.4743319440022</v>
      </c>
      <c r="M1102" s="1862">
        <f>M1101+Tabla1[[#This Row],[Desbalance
TPL]]</f>
        <v>-448644.78217542521</v>
      </c>
    </row>
    <row r="1103" spans="2:13" x14ac:dyDescent="0.25">
      <c r="B1103" s="1859">
        <f t="shared" si="91"/>
        <v>2016</v>
      </c>
      <c r="C1103" s="1859">
        <f t="shared" si="92"/>
        <v>7</v>
      </c>
      <c r="D1103" s="1860">
        <f t="shared" si="93"/>
        <v>42562</v>
      </c>
      <c r="E1103" s="1861">
        <v>42562</v>
      </c>
      <c r="F1103" s="1862">
        <f t="shared" si="94"/>
        <v>0</v>
      </c>
      <c r="G1103" s="1862">
        <v>77000</v>
      </c>
      <c r="H1103" s="1862">
        <v>77000</v>
      </c>
      <c r="I1103" s="1862">
        <f>Tabla1[[#This Row],[Extraccion
Norte II]]+Tabla1[[#This Row],[Extraccion
ENO]]</f>
        <v>70993.458124641009</v>
      </c>
      <c r="J1103" s="1862">
        <v>70993.458124641009</v>
      </c>
      <c r="K1103" s="1862"/>
      <c r="L1103" s="1862">
        <f t="shared" si="95"/>
        <v>6006.5418753589911</v>
      </c>
      <c r="M1103" s="1862">
        <f>M1102+Tabla1[[#This Row],[Desbalance
TPL]]</f>
        <v>-442638.24030006619</v>
      </c>
    </row>
    <row r="1104" spans="2:13" x14ac:dyDescent="0.25">
      <c r="B1104" s="1859">
        <f t="shared" si="91"/>
        <v>2016</v>
      </c>
      <c r="C1104" s="1859">
        <f t="shared" si="92"/>
        <v>7</v>
      </c>
      <c r="D1104" s="1860">
        <f t="shared" si="93"/>
        <v>42563</v>
      </c>
      <c r="E1104" s="1861">
        <v>42563</v>
      </c>
      <c r="F1104" s="1862">
        <f t="shared" si="94"/>
        <v>0</v>
      </c>
      <c r="G1104" s="1862">
        <v>77000</v>
      </c>
      <c r="H1104" s="1862">
        <v>77000</v>
      </c>
      <c r="I1104" s="1862">
        <f>Tabla1[[#This Row],[Extraccion
Norte II]]+Tabla1[[#This Row],[Extraccion
ENO]]</f>
        <v>71076.512484899999</v>
      </c>
      <c r="J1104" s="1862">
        <v>71076.512484899999</v>
      </c>
      <c r="K1104" s="1862"/>
      <c r="L1104" s="1862">
        <f t="shared" si="95"/>
        <v>5923.4875151000015</v>
      </c>
      <c r="M1104" s="1862">
        <f>M1103+Tabla1[[#This Row],[Desbalance
TPL]]</f>
        <v>-436714.7527849662</v>
      </c>
    </row>
    <row r="1105" spans="2:13" x14ac:dyDescent="0.25">
      <c r="B1105" s="1859">
        <f t="shared" si="91"/>
        <v>2016</v>
      </c>
      <c r="C1105" s="1859">
        <f t="shared" si="92"/>
        <v>7</v>
      </c>
      <c r="D1105" s="1860">
        <f t="shared" si="93"/>
        <v>42564</v>
      </c>
      <c r="E1105" s="1861">
        <v>42564</v>
      </c>
      <c r="F1105" s="1862">
        <f t="shared" si="94"/>
        <v>0</v>
      </c>
      <c r="G1105" s="1862">
        <v>77000</v>
      </c>
      <c r="H1105" s="1862">
        <v>77000</v>
      </c>
      <c r="I1105" s="1862">
        <f>Tabla1[[#This Row],[Extraccion
Norte II]]+Tabla1[[#This Row],[Extraccion
ENO]]</f>
        <v>71483.124082266004</v>
      </c>
      <c r="J1105" s="1862">
        <v>71483.124082266004</v>
      </c>
      <c r="K1105" s="1862"/>
      <c r="L1105" s="1862">
        <f t="shared" si="95"/>
        <v>5516.8759177339962</v>
      </c>
      <c r="M1105" s="1862">
        <f>M1104+Tabla1[[#This Row],[Desbalance
TPL]]</f>
        <v>-431197.8768672322</v>
      </c>
    </row>
    <row r="1106" spans="2:13" x14ac:dyDescent="0.25">
      <c r="B1106" s="1859">
        <f t="shared" si="91"/>
        <v>2016</v>
      </c>
      <c r="C1106" s="1859">
        <f t="shared" si="92"/>
        <v>7</v>
      </c>
      <c r="D1106" s="1860">
        <f t="shared" si="93"/>
        <v>42565</v>
      </c>
      <c r="E1106" s="1861">
        <v>42565</v>
      </c>
      <c r="F1106" s="1862">
        <f t="shared" si="94"/>
        <v>0</v>
      </c>
      <c r="G1106" s="1862">
        <v>75000</v>
      </c>
      <c r="H1106" s="1862">
        <v>75000</v>
      </c>
      <c r="I1106" s="1862">
        <f>Tabla1[[#This Row],[Extraccion
Norte II]]+Tabla1[[#This Row],[Extraccion
ENO]]</f>
        <v>71632.805238539993</v>
      </c>
      <c r="J1106" s="1862">
        <v>71632.805238539993</v>
      </c>
      <c r="K1106" s="1862"/>
      <c r="L1106" s="1862">
        <f t="shared" si="95"/>
        <v>3367.1947614600067</v>
      </c>
      <c r="M1106" s="1862">
        <f>M1105+Tabla1[[#This Row],[Desbalance
TPL]]</f>
        <v>-427830.6821057722</v>
      </c>
    </row>
    <row r="1107" spans="2:13" x14ac:dyDescent="0.25">
      <c r="B1107" s="1859">
        <f t="shared" si="91"/>
        <v>2016</v>
      </c>
      <c r="C1107" s="1859">
        <f t="shared" si="92"/>
        <v>7</v>
      </c>
      <c r="D1107" s="1860">
        <f t="shared" si="93"/>
        <v>42566</v>
      </c>
      <c r="E1107" s="1861">
        <v>42566</v>
      </c>
      <c r="F1107" s="1862">
        <f t="shared" si="94"/>
        <v>0</v>
      </c>
      <c r="G1107" s="1862">
        <v>75000</v>
      </c>
      <c r="H1107" s="1862">
        <v>75000</v>
      </c>
      <c r="I1107" s="1862">
        <f>Tabla1[[#This Row],[Extraccion
Norte II]]+Tabla1[[#This Row],[Extraccion
ENO]]</f>
        <v>70803.13362759001</v>
      </c>
      <c r="J1107" s="1862">
        <v>70803.13362759001</v>
      </c>
      <c r="K1107" s="1862"/>
      <c r="L1107" s="1862">
        <f t="shared" si="95"/>
        <v>4196.8663724099897</v>
      </c>
      <c r="M1107" s="1862">
        <f>M1106+Tabla1[[#This Row],[Desbalance
TPL]]</f>
        <v>-423633.81573336222</v>
      </c>
    </row>
    <row r="1108" spans="2:13" x14ac:dyDescent="0.25">
      <c r="B1108" s="1859">
        <f t="shared" si="91"/>
        <v>2016</v>
      </c>
      <c r="C1108" s="1859">
        <f t="shared" si="92"/>
        <v>7</v>
      </c>
      <c r="D1108" s="1860">
        <f t="shared" si="93"/>
        <v>42567</v>
      </c>
      <c r="E1108" s="1861">
        <v>42567</v>
      </c>
      <c r="F1108" s="1862">
        <f t="shared" si="94"/>
        <v>0</v>
      </c>
      <c r="G1108" s="1862">
        <v>77000</v>
      </c>
      <c r="H1108" s="1862">
        <v>77000</v>
      </c>
      <c r="I1108" s="1862">
        <f>Tabla1[[#This Row],[Extraccion
Norte II]]+Tabla1[[#This Row],[Extraccion
ENO]]</f>
        <v>69429.291842430001</v>
      </c>
      <c r="J1108" s="1862">
        <v>69429.291842430001</v>
      </c>
      <c r="K1108" s="1862"/>
      <c r="L1108" s="1862">
        <f t="shared" si="95"/>
        <v>7570.7081575699995</v>
      </c>
      <c r="M1108" s="1862">
        <f>M1107+Tabla1[[#This Row],[Desbalance
TPL]]</f>
        <v>-416063.10757579224</v>
      </c>
    </row>
    <row r="1109" spans="2:13" x14ac:dyDescent="0.25">
      <c r="B1109" s="1859">
        <f t="shared" si="91"/>
        <v>2016</v>
      </c>
      <c r="C1109" s="1859">
        <f t="shared" si="92"/>
        <v>7</v>
      </c>
      <c r="D1109" s="1860">
        <f t="shared" si="93"/>
        <v>42568</v>
      </c>
      <c r="E1109" s="1861">
        <v>42568</v>
      </c>
      <c r="F1109" s="1862">
        <f t="shared" si="94"/>
        <v>0</v>
      </c>
      <c r="G1109" s="1862">
        <v>77000</v>
      </c>
      <c r="H1109" s="1862">
        <v>77000</v>
      </c>
      <c r="I1109" s="1862">
        <f>Tabla1[[#This Row],[Extraccion
Norte II]]+Tabla1[[#This Row],[Extraccion
ENO]]</f>
        <v>71635.212693720008</v>
      </c>
      <c r="J1109" s="1862">
        <v>71635.212693720008</v>
      </c>
      <c r="K1109" s="1862"/>
      <c r="L1109" s="1862">
        <f t="shared" si="95"/>
        <v>5364.7873062799918</v>
      </c>
      <c r="M1109" s="1862">
        <f>M1108+Tabla1[[#This Row],[Desbalance
TPL]]</f>
        <v>-410698.32026951225</v>
      </c>
    </row>
    <row r="1110" spans="2:13" x14ac:dyDescent="0.25">
      <c r="B1110" s="1859">
        <f t="shared" si="91"/>
        <v>2016</v>
      </c>
      <c r="C1110" s="1859">
        <f t="shared" si="92"/>
        <v>7</v>
      </c>
      <c r="D1110" s="1860">
        <f t="shared" si="93"/>
        <v>42569</v>
      </c>
      <c r="E1110" s="1861">
        <v>42569</v>
      </c>
      <c r="F1110" s="1862">
        <f t="shared" si="94"/>
        <v>0</v>
      </c>
      <c r="G1110" s="1862">
        <v>77000</v>
      </c>
      <c r="H1110" s="1862">
        <v>77000</v>
      </c>
      <c r="I1110" s="1862">
        <f>Tabla1[[#This Row],[Extraccion
Norte II]]+Tabla1[[#This Row],[Extraccion
ENO]]</f>
        <v>72591.352474797008</v>
      </c>
      <c r="J1110" s="1862">
        <v>72591.352474797008</v>
      </c>
      <c r="K1110" s="1862"/>
      <c r="L1110" s="1862">
        <f t="shared" si="95"/>
        <v>4408.6475252029923</v>
      </c>
      <c r="M1110" s="1862">
        <f>M1109+Tabla1[[#This Row],[Desbalance
TPL]]</f>
        <v>-406289.67274430924</v>
      </c>
    </row>
    <row r="1111" spans="2:13" x14ac:dyDescent="0.25">
      <c r="B1111" s="1859">
        <f t="shared" si="91"/>
        <v>2016</v>
      </c>
      <c r="C1111" s="1859">
        <f t="shared" si="92"/>
        <v>7</v>
      </c>
      <c r="D1111" s="1860">
        <f t="shared" si="93"/>
        <v>42570</v>
      </c>
      <c r="E1111" s="1861">
        <v>42570</v>
      </c>
      <c r="F1111" s="1862">
        <f t="shared" si="94"/>
        <v>0</v>
      </c>
      <c r="G1111" s="1862">
        <v>75000</v>
      </c>
      <c r="H1111" s="1862">
        <v>75000</v>
      </c>
      <c r="I1111" s="1862">
        <f>Tabla1[[#This Row],[Extraccion
Norte II]]+Tabla1[[#This Row],[Extraccion
ENO]]</f>
        <v>72647.599726845001</v>
      </c>
      <c r="J1111" s="1862">
        <v>72647.599726845001</v>
      </c>
      <c r="K1111" s="1862"/>
      <c r="L1111" s="1862">
        <f t="shared" si="95"/>
        <v>2352.400273154999</v>
      </c>
      <c r="M1111" s="1862">
        <f>M1110+Tabla1[[#This Row],[Desbalance
TPL]]</f>
        <v>-403937.27247115423</v>
      </c>
    </row>
    <row r="1112" spans="2:13" x14ac:dyDescent="0.25">
      <c r="B1112" s="1859">
        <f t="shared" si="91"/>
        <v>2016</v>
      </c>
      <c r="C1112" s="1859">
        <f t="shared" si="92"/>
        <v>7</v>
      </c>
      <c r="D1112" s="1860">
        <f t="shared" si="93"/>
        <v>42571</v>
      </c>
      <c r="E1112" s="1861">
        <v>42571</v>
      </c>
      <c r="F1112" s="1862">
        <f t="shared" si="94"/>
        <v>0</v>
      </c>
      <c r="G1112" s="1862">
        <v>75000</v>
      </c>
      <c r="H1112" s="1862">
        <v>75000</v>
      </c>
      <c r="I1112" s="1862">
        <f>Tabla1[[#This Row],[Extraccion
Norte II]]+Tabla1[[#This Row],[Extraccion
ENO]]</f>
        <v>72596.204350019994</v>
      </c>
      <c r="J1112" s="1862">
        <v>72596.204350019994</v>
      </c>
      <c r="K1112" s="1862"/>
      <c r="L1112" s="1862">
        <f t="shared" si="95"/>
        <v>2403.7956499800057</v>
      </c>
      <c r="M1112" s="1862">
        <f>M1111+Tabla1[[#This Row],[Desbalance
TPL]]</f>
        <v>-401533.4768211742</v>
      </c>
    </row>
    <row r="1113" spans="2:13" x14ac:dyDescent="0.25">
      <c r="B1113" s="1859">
        <f t="shared" si="91"/>
        <v>2016</v>
      </c>
      <c r="C1113" s="1859">
        <f t="shared" si="92"/>
        <v>7</v>
      </c>
      <c r="D1113" s="1860">
        <f t="shared" si="93"/>
        <v>42572</v>
      </c>
      <c r="E1113" s="1861">
        <v>42572</v>
      </c>
      <c r="F1113" s="1862">
        <f t="shared" si="94"/>
        <v>0</v>
      </c>
      <c r="G1113" s="1862">
        <v>77000</v>
      </c>
      <c r="H1113" s="1862">
        <v>77000</v>
      </c>
      <c r="I1113" s="1862">
        <f>Tabla1[[#This Row],[Extraccion
Norte II]]+Tabla1[[#This Row],[Extraccion
ENO]]</f>
        <v>72625.795196759995</v>
      </c>
      <c r="J1113" s="1862">
        <v>72625.795196759995</v>
      </c>
      <c r="K1113" s="1862"/>
      <c r="L1113" s="1862">
        <f t="shared" si="95"/>
        <v>4374.2048032400053</v>
      </c>
      <c r="M1113" s="1862">
        <f>M1112+Tabla1[[#This Row],[Desbalance
TPL]]</f>
        <v>-397159.27201793418</v>
      </c>
    </row>
    <row r="1114" spans="2:13" x14ac:dyDescent="0.25">
      <c r="B1114" s="1859">
        <f t="shared" si="91"/>
        <v>2016</v>
      </c>
      <c r="C1114" s="1859">
        <f t="shared" si="92"/>
        <v>7</v>
      </c>
      <c r="D1114" s="1860">
        <f t="shared" si="93"/>
        <v>42573</v>
      </c>
      <c r="E1114" s="1861">
        <v>42573</v>
      </c>
      <c r="F1114" s="1862">
        <f t="shared" si="94"/>
        <v>0</v>
      </c>
      <c r="G1114" s="1862">
        <v>77000</v>
      </c>
      <c r="H1114" s="1862">
        <v>77000</v>
      </c>
      <c r="I1114" s="1862">
        <f>Tabla1[[#This Row],[Extraccion
Norte II]]+Tabla1[[#This Row],[Extraccion
ENO]]</f>
        <v>72398.736156240004</v>
      </c>
      <c r="J1114" s="1862">
        <v>72398.736156240004</v>
      </c>
      <c r="K1114" s="1862"/>
      <c r="L1114" s="1862">
        <f t="shared" si="95"/>
        <v>4601.2638437599962</v>
      </c>
      <c r="M1114" s="1862">
        <f>M1113+Tabla1[[#This Row],[Desbalance
TPL]]</f>
        <v>-392558.00817417417</v>
      </c>
    </row>
    <row r="1115" spans="2:13" x14ac:dyDescent="0.25">
      <c r="B1115" s="1859">
        <f t="shared" si="91"/>
        <v>2016</v>
      </c>
      <c r="C1115" s="1859">
        <f t="shared" si="92"/>
        <v>7</v>
      </c>
      <c r="D1115" s="1860">
        <f t="shared" si="93"/>
        <v>42574</v>
      </c>
      <c r="E1115" s="1861">
        <v>42574</v>
      </c>
      <c r="F1115" s="1862">
        <f t="shared" si="94"/>
        <v>0</v>
      </c>
      <c r="G1115" s="1862">
        <v>63000</v>
      </c>
      <c r="H1115" s="1862">
        <v>63000</v>
      </c>
      <c r="I1115" s="1862">
        <f>Tabla1[[#This Row],[Extraccion
Norte II]]+Tabla1[[#This Row],[Extraccion
ENO]]</f>
        <v>70623.133701120008</v>
      </c>
      <c r="J1115" s="1862">
        <v>70623.133701120008</v>
      </c>
      <c r="K1115" s="1862"/>
      <c r="L1115" s="1862">
        <f t="shared" si="95"/>
        <v>-7623.1337011200085</v>
      </c>
      <c r="M1115" s="1862">
        <f>M1114+Tabla1[[#This Row],[Desbalance
TPL]]</f>
        <v>-400181.14187529415</v>
      </c>
    </row>
    <row r="1116" spans="2:13" x14ac:dyDescent="0.25">
      <c r="B1116" s="1859">
        <f t="shared" si="91"/>
        <v>2016</v>
      </c>
      <c r="C1116" s="1859">
        <f t="shared" si="92"/>
        <v>7</v>
      </c>
      <c r="D1116" s="1860">
        <f t="shared" si="93"/>
        <v>42575</v>
      </c>
      <c r="E1116" s="1861">
        <v>42575</v>
      </c>
      <c r="F1116" s="1862">
        <f t="shared" si="94"/>
        <v>0</v>
      </c>
      <c r="G1116" s="1862">
        <v>63000</v>
      </c>
      <c r="H1116" s="1862">
        <v>63000</v>
      </c>
      <c r="I1116" s="1862">
        <f>Tabla1[[#This Row],[Extraccion
Norte II]]+Tabla1[[#This Row],[Extraccion
ENO]]</f>
        <v>70204.686712875002</v>
      </c>
      <c r="J1116" s="1862">
        <v>70204.686712875002</v>
      </c>
      <c r="K1116" s="1862"/>
      <c r="L1116" s="1862">
        <f t="shared" si="95"/>
        <v>-7204.6867128750018</v>
      </c>
      <c r="M1116" s="1862">
        <f>M1115+Tabla1[[#This Row],[Desbalance
TPL]]</f>
        <v>-407385.82858816918</v>
      </c>
    </row>
    <row r="1117" spans="2:13" x14ac:dyDescent="0.25">
      <c r="B1117" s="1859">
        <f t="shared" si="91"/>
        <v>2016</v>
      </c>
      <c r="C1117" s="1859">
        <f t="shared" si="92"/>
        <v>7</v>
      </c>
      <c r="D1117" s="1860">
        <f t="shared" si="93"/>
        <v>42576</v>
      </c>
      <c r="E1117" s="1861">
        <v>42576</v>
      </c>
      <c r="F1117" s="1862">
        <f t="shared" si="94"/>
        <v>0</v>
      </c>
      <c r="G1117" s="1862">
        <v>63000</v>
      </c>
      <c r="H1117" s="1862">
        <v>63000</v>
      </c>
      <c r="I1117" s="1862">
        <f>Tabla1[[#This Row],[Extraccion
Norte II]]+Tabla1[[#This Row],[Extraccion
ENO]]</f>
        <v>72345.53518803</v>
      </c>
      <c r="J1117" s="1862">
        <v>72345.53518803</v>
      </c>
      <c r="K1117" s="1862"/>
      <c r="L1117" s="1862">
        <f t="shared" si="95"/>
        <v>-9345.5351880300004</v>
      </c>
      <c r="M1117" s="1862">
        <f>M1116+Tabla1[[#This Row],[Desbalance
TPL]]</f>
        <v>-416731.36377619917</v>
      </c>
    </row>
    <row r="1118" spans="2:13" x14ac:dyDescent="0.25">
      <c r="B1118" s="1859">
        <f t="shared" si="91"/>
        <v>2016</v>
      </c>
      <c r="C1118" s="1859">
        <f t="shared" si="92"/>
        <v>7</v>
      </c>
      <c r="D1118" s="1860">
        <f t="shared" si="93"/>
        <v>42577</v>
      </c>
      <c r="E1118" s="1861">
        <v>42577</v>
      </c>
      <c r="F1118" s="1862">
        <f t="shared" si="94"/>
        <v>0</v>
      </c>
      <c r="G1118" s="1862">
        <v>67000</v>
      </c>
      <c r="H1118" s="1862">
        <v>67000</v>
      </c>
      <c r="I1118" s="1862">
        <f>Tabla1[[#This Row],[Extraccion
Norte II]]+Tabla1[[#This Row],[Extraccion
ENO]]</f>
        <v>72285.566806440009</v>
      </c>
      <c r="J1118" s="1862">
        <v>72285.566806440009</v>
      </c>
      <c r="K1118" s="1862"/>
      <c r="L1118" s="1862">
        <f t="shared" si="95"/>
        <v>-5285.5668064400088</v>
      </c>
      <c r="M1118" s="1862">
        <f>M1117+Tabla1[[#This Row],[Desbalance
TPL]]</f>
        <v>-422016.93058263918</v>
      </c>
    </row>
    <row r="1119" spans="2:13" x14ac:dyDescent="0.25">
      <c r="B1119" s="1859">
        <f t="shared" si="91"/>
        <v>2016</v>
      </c>
      <c r="C1119" s="1859">
        <f t="shared" si="92"/>
        <v>7</v>
      </c>
      <c r="D1119" s="1860">
        <f t="shared" si="93"/>
        <v>42578</v>
      </c>
      <c r="E1119" s="1861">
        <v>42578</v>
      </c>
      <c r="F1119" s="1862">
        <f t="shared" si="94"/>
        <v>0</v>
      </c>
      <c r="G1119" s="1862">
        <v>63000</v>
      </c>
      <c r="H1119" s="1862">
        <v>63000</v>
      </c>
      <c r="I1119" s="1862">
        <f>Tabla1[[#This Row],[Extraccion
Norte II]]+Tabla1[[#This Row],[Extraccion
ENO]]</f>
        <v>72140.370720210005</v>
      </c>
      <c r="J1119" s="1862">
        <v>72140.370720210005</v>
      </c>
      <c r="K1119" s="1862"/>
      <c r="L1119" s="1862">
        <f t="shared" si="95"/>
        <v>-9140.3707202100049</v>
      </c>
      <c r="M1119" s="1862">
        <f>M1118+Tabla1[[#This Row],[Desbalance
TPL]]</f>
        <v>-431157.3013028492</v>
      </c>
    </row>
    <row r="1120" spans="2:13" x14ac:dyDescent="0.25">
      <c r="B1120" s="1859">
        <f t="shared" si="91"/>
        <v>2016</v>
      </c>
      <c r="C1120" s="1859">
        <f t="shared" si="92"/>
        <v>7</v>
      </c>
      <c r="D1120" s="1860">
        <f t="shared" si="93"/>
        <v>42579</v>
      </c>
      <c r="E1120" s="1861">
        <v>42579</v>
      </c>
      <c r="F1120" s="1862">
        <f t="shared" si="94"/>
        <v>0</v>
      </c>
      <c r="G1120" s="1862">
        <v>63000</v>
      </c>
      <c r="H1120" s="1862">
        <v>63000</v>
      </c>
      <c r="I1120" s="1862">
        <f>Tabla1[[#This Row],[Extraccion
Norte II]]+Tabla1[[#This Row],[Extraccion
ENO]]</f>
        <v>72200.879357490005</v>
      </c>
      <c r="J1120" s="1862">
        <v>72200.879357490005</v>
      </c>
      <c r="K1120" s="1862"/>
      <c r="L1120" s="1862">
        <f t="shared" si="95"/>
        <v>-9200.8793574900046</v>
      </c>
      <c r="M1120" s="1862">
        <f>M1119+Tabla1[[#This Row],[Desbalance
TPL]]</f>
        <v>-440358.18066033919</v>
      </c>
    </row>
    <row r="1121" spans="2:13" x14ac:dyDescent="0.25">
      <c r="B1121" s="1859">
        <f t="shared" si="91"/>
        <v>2016</v>
      </c>
      <c r="C1121" s="1859">
        <f t="shared" si="92"/>
        <v>7</v>
      </c>
      <c r="D1121" s="1860">
        <f t="shared" si="93"/>
        <v>42580</v>
      </c>
      <c r="E1121" s="1861">
        <v>42580</v>
      </c>
      <c r="F1121" s="1862">
        <f t="shared" si="94"/>
        <v>0</v>
      </c>
      <c r="G1121" s="1862">
        <v>63663</v>
      </c>
      <c r="H1121" s="1862">
        <v>63663</v>
      </c>
      <c r="I1121" s="1862">
        <f>Tabla1[[#This Row],[Extraccion
Norte II]]+Tabla1[[#This Row],[Extraccion
ENO]]</f>
        <v>72088.070178149996</v>
      </c>
      <c r="J1121" s="1862">
        <v>72088.070178149996</v>
      </c>
      <c r="K1121" s="1862"/>
      <c r="L1121" s="1862">
        <f t="shared" si="95"/>
        <v>-8425.0701781499956</v>
      </c>
      <c r="M1121" s="1862">
        <f>M1120+Tabla1[[#This Row],[Desbalance
TPL]]</f>
        <v>-448783.25083848916</v>
      </c>
    </row>
    <row r="1122" spans="2:13" x14ac:dyDescent="0.25">
      <c r="B1122" s="1859">
        <f t="shared" si="91"/>
        <v>2016</v>
      </c>
      <c r="C1122" s="1859">
        <f t="shared" si="92"/>
        <v>7</v>
      </c>
      <c r="D1122" s="1860">
        <f t="shared" si="93"/>
        <v>42581</v>
      </c>
      <c r="E1122" s="1861">
        <v>42581</v>
      </c>
      <c r="F1122" s="1862">
        <f t="shared" si="94"/>
        <v>0</v>
      </c>
      <c r="G1122" s="1862">
        <v>63663</v>
      </c>
      <c r="H1122" s="1862">
        <v>63663</v>
      </c>
      <c r="I1122" s="1862">
        <f>Tabla1[[#This Row],[Extraccion
Norte II]]+Tabla1[[#This Row],[Extraccion
ENO]]</f>
        <v>71227.575558359997</v>
      </c>
      <c r="J1122" s="1862">
        <v>71227.575558359997</v>
      </c>
      <c r="K1122" s="1862"/>
      <c r="L1122" s="1862">
        <f t="shared" si="95"/>
        <v>-7564.5755583599966</v>
      </c>
      <c r="M1122" s="1862">
        <f>M1121+Tabla1[[#This Row],[Desbalance
TPL]]</f>
        <v>-456347.82639684912</v>
      </c>
    </row>
    <row r="1123" spans="2:13" x14ac:dyDescent="0.25">
      <c r="B1123" s="1859">
        <f t="shared" si="91"/>
        <v>2016</v>
      </c>
      <c r="C1123" s="1859">
        <f t="shared" si="92"/>
        <v>7</v>
      </c>
      <c r="D1123" s="1860">
        <f t="shared" si="93"/>
        <v>42582</v>
      </c>
      <c r="E1123" s="1861">
        <v>42582</v>
      </c>
      <c r="F1123" s="1862">
        <f t="shared" si="94"/>
        <v>0</v>
      </c>
      <c r="G1123" s="1862">
        <v>63663</v>
      </c>
      <c r="H1123" s="1862">
        <v>63663</v>
      </c>
      <c r="I1123" s="1862">
        <f>Tabla1[[#This Row],[Extraccion
Norte II]]+Tabla1[[#This Row],[Extraccion
ENO]]</f>
        <v>69473.346376590009</v>
      </c>
      <c r="J1123" s="1862">
        <v>69473.346376590009</v>
      </c>
      <c r="K1123" s="1862"/>
      <c r="L1123" s="1862">
        <f t="shared" si="95"/>
        <v>-5810.3463765900087</v>
      </c>
      <c r="M1123" s="1862">
        <f>M1122+Tabla1[[#This Row],[Desbalance
TPL]]</f>
        <v>-462158.17277343915</v>
      </c>
    </row>
    <row r="1124" spans="2:13" x14ac:dyDescent="0.25">
      <c r="B1124" s="1859">
        <f t="shared" si="91"/>
        <v>2016</v>
      </c>
      <c r="C1124" s="1859">
        <f t="shared" si="92"/>
        <v>8</v>
      </c>
      <c r="D1124" s="1860">
        <f t="shared" si="93"/>
        <v>42583</v>
      </c>
      <c r="E1124" s="1861">
        <v>42583</v>
      </c>
      <c r="F1124" s="1862">
        <f t="shared" si="94"/>
        <v>0</v>
      </c>
      <c r="G1124" s="1862">
        <v>63000</v>
      </c>
      <c r="H1124" s="1862">
        <v>63000</v>
      </c>
      <c r="I1124" s="1862">
        <f>Tabla1[[#This Row],[Extraccion
Norte II]]+Tabla1[[#This Row],[Extraccion
ENO]]</f>
        <v>72167.677327980011</v>
      </c>
      <c r="J1124" s="1862">
        <v>72167.677327980011</v>
      </c>
      <c r="K1124" s="1862"/>
      <c r="L1124" s="1862">
        <f t="shared" si="95"/>
        <v>-9167.6773279800109</v>
      </c>
      <c r="M1124" s="1862">
        <f>M1123+Tabla1[[#This Row],[Desbalance
TPL]]</f>
        <v>-471325.85010141914</v>
      </c>
    </row>
    <row r="1125" spans="2:13" x14ac:dyDescent="0.25">
      <c r="B1125" s="1859">
        <f t="shared" si="91"/>
        <v>2016</v>
      </c>
      <c r="C1125" s="1859">
        <f t="shared" si="92"/>
        <v>8</v>
      </c>
      <c r="D1125" s="1860">
        <f t="shared" si="93"/>
        <v>42584</v>
      </c>
      <c r="E1125" s="1861">
        <v>42584</v>
      </c>
      <c r="F1125" s="1862">
        <f t="shared" si="94"/>
        <v>0</v>
      </c>
      <c r="G1125" s="1862">
        <v>63000</v>
      </c>
      <c r="H1125" s="1862">
        <v>63000</v>
      </c>
      <c r="I1125" s="1862">
        <f>Tabla1[[#This Row],[Extraccion
Norte II]]+Tabla1[[#This Row],[Extraccion
ENO]]</f>
        <v>72249.407587890004</v>
      </c>
      <c r="J1125" s="1862">
        <v>72249.407587890004</v>
      </c>
      <c r="K1125" s="1862"/>
      <c r="L1125" s="1862">
        <f t="shared" si="95"/>
        <v>-9249.4075878900039</v>
      </c>
      <c r="M1125" s="1862">
        <f>M1124+Tabla1[[#This Row],[Desbalance
TPL]]</f>
        <v>-480575.25768930913</v>
      </c>
    </row>
    <row r="1126" spans="2:13" x14ac:dyDescent="0.25">
      <c r="B1126" s="1859">
        <f t="shared" si="91"/>
        <v>2016</v>
      </c>
      <c r="C1126" s="1859">
        <f t="shared" si="92"/>
        <v>8</v>
      </c>
      <c r="D1126" s="1860">
        <f t="shared" si="93"/>
        <v>42585</v>
      </c>
      <c r="E1126" s="1861">
        <v>42585</v>
      </c>
      <c r="F1126" s="1862">
        <f t="shared" si="94"/>
        <v>0</v>
      </c>
      <c r="G1126" s="1862">
        <v>63000</v>
      </c>
      <c r="H1126" s="1862">
        <v>63000</v>
      </c>
      <c r="I1126" s="1862">
        <f>Tabla1[[#This Row],[Extraccion
Norte II]]+Tabla1[[#This Row],[Extraccion
ENO]]</f>
        <v>72287.851045410003</v>
      </c>
      <c r="J1126" s="1862">
        <v>72287.851045410003</v>
      </c>
      <c r="K1126" s="1862"/>
      <c r="L1126" s="1862">
        <f t="shared" si="95"/>
        <v>-9287.8510454100033</v>
      </c>
      <c r="M1126" s="1862">
        <f>M1125+Tabla1[[#This Row],[Desbalance
TPL]]</f>
        <v>-489863.10873471911</v>
      </c>
    </row>
    <row r="1127" spans="2:13" x14ac:dyDescent="0.25">
      <c r="B1127" s="1859">
        <f t="shared" si="91"/>
        <v>2016</v>
      </c>
      <c r="C1127" s="1859">
        <f t="shared" si="92"/>
        <v>8</v>
      </c>
      <c r="D1127" s="1860">
        <f t="shared" si="93"/>
        <v>42586</v>
      </c>
      <c r="E1127" s="1861">
        <v>42586</v>
      </c>
      <c r="F1127" s="1862">
        <f t="shared" si="94"/>
        <v>0</v>
      </c>
      <c r="G1127" s="1862">
        <v>63000</v>
      </c>
      <c r="H1127" s="1862">
        <v>63000</v>
      </c>
      <c r="I1127" s="1862">
        <f>Tabla1[[#This Row],[Extraccion
Norte II]]+Tabla1[[#This Row],[Extraccion
ENO]]</f>
        <v>72050.858882729997</v>
      </c>
      <c r="J1127" s="1862">
        <v>72050.858882729997</v>
      </c>
      <c r="K1127" s="1862"/>
      <c r="L1127" s="1862">
        <f t="shared" si="95"/>
        <v>-9050.8588827299973</v>
      </c>
      <c r="M1127" s="1862">
        <f>M1126+Tabla1[[#This Row],[Desbalance
TPL]]</f>
        <v>-498913.96761744912</v>
      </c>
    </row>
    <row r="1128" spans="2:13" x14ac:dyDescent="0.25">
      <c r="B1128" s="1859">
        <f t="shared" si="91"/>
        <v>2016</v>
      </c>
      <c r="C1128" s="1859">
        <f t="shared" si="92"/>
        <v>8</v>
      </c>
      <c r="D1128" s="1860">
        <f t="shared" si="93"/>
        <v>42587</v>
      </c>
      <c r="E1128" s="1861">
        <v>42587</v>
      </c>
      <c r="F1128" s="1862">
        <f t="shared" si="94"/>
        <v>0</v>
      </c>
      <c r="G1128" s="1862">
        <v>63000</v>
      </c>
      <c r="H1128" s="1862">
        <v>63000</v>
      </c>
      <c r="I1128" s="1862">
        <f>Tabla1[[#This Row],[Extraccion
Norte II]]+Tabla1[[#This Row],[Extraccion
ENO]]</f>
        <v>72457.624026450008</v>
      </c>
      <c r="J1128" s="1862">
        <v>72457.624026450008</v>
      </c>
      <c r="K1128" s="1862"/>
      <c r="L1128" s="1862">
        <f t="shared" si="95"/>
        <v>-9457.6240264500084</v>
      </c>
      <c r="M1128" s="1862">
        <f>M1127+Tabla1[[#This Row],[Desbalance
TPL]]</f>
        <v>-508371.5916438991</v>
      </c>
    </row>
    <row r="1129" spans="2:13" x14ac:dyDescent="0.25">
      <c r="B1129" s="1859">
        <f t="shared" si="91"/>
        <v>2016</v>
      </c>
      <c r="C1129" s="1859">
        <f t="shared" si="92"/>
        <v>8</v>
      </c>
      <c r="D1129" s="1860">
        <f t="shared" si="93"/>
        <v>42588</v>
      </c>
      <c r="E1129" s="1861">
        <v>42588</v>
      </c>
      <c r="F1129" s="1862">
        <f t="shared" si="94"/>
        <v>0</v>
      </c>
      <c r="G1129" s="1862">
        <v>63000</v>
      </c>
      <c r="H1129" s="1862">
        <v>63000</v>
      </c>
      <c r="I1129" s="1862">
        <f>Tabla1[[#This Row],[Extraccion
Norte II]]+Tabla1[[#This Row],[Extraccion
ENO]]</f>
        <v>72563.22031841999</v>
      </c>
      <c r="J1129" s="1862">
        <v>72563.22031841999</v>
      </c>
      <c r="K1129" s="1862"/>
      <c r="L1129" s="1862">
        <f t="shared" si="95"/>
        <v>-9563.2203184199898</v>
      </c>
      <c r="M1129" s="1862">
        <f>M1128+Tabla1[[#This Row],[Desbalance
TPL]]</f>
        <v>-517934.81196231907</v>
      </c>
    </row>
    <row r="1130" spans="2:13" x14ac:dyDescent="0.25">
      <c r="B1130" s="1859">
        <f t="shared" si="91"/>
        <v>2016</v>
      </c>
      <c r="C1130" s="1859">
        <f t="shared" si="92"/>
        <v>8</v>
      </c>
      <c r="D1130" s="1860">
        <f t="shared" si="93"/>
        <v>42589</v>
      </c>
      <c r="E1130" s="1861">
        <v>42589</v>
      </c>
      <c r="F1130" s="1862">
        <f t="shared" si="94"/>
        <v>0</v>
      </c>
      <c r="G1130" s="1862">
        <v>63000</v>
      </c>
      <c r="H1130" s="1862">
        <v>63000</v>
      </c>
      <c r="I1130" s="1862">
        <f>Tabla1[[#This Row],[Extraccion
Norte II]]+Tabla1[[#This Row],[Extraccion
ENO]]</f>
        <v>72351.459044279996</v>
      </c>
      <c r="J1130" s="1862">
        <v>72351.459044279996</v>
      </c>
      <c r="K1130" s="1862"/>
      <c r="L1130" s="1862">
        <f t="shared" si="95"/>
        <v>-9351.4590442799963</v>
      </c>
      <c r="M1130" s="1862">
        <f>M1129+Tabla1[[#This Row],[Desbalance
TPL]]</f>
        <v>-527286.27100659907</v>
      </c>
    </row>
    <row r="1131" spans="2:13" x14ac:dyDescent="0.25">
      <c r="B1131" s="1859">
        <f t="shared" si="91"/>
        <v>2016</v>
      </c>
      <c r="C1131" s="1859">
        <f t="shared" si="92"/>
        <v>8</v>
      </c>
      <c r="D1131" s="1860">
        <f t="shared" si="93"/>
        <v>42590</v>
      </c>
      <c r="E1131" s="1861">
        <v>42590</v>
      </c>
      <c r="F1131" s="1862">
        <f t="shared" si="94"/>
        <v>0</v>
      </c>
      <c r="G1131" s="1862">
        <v>63000</v>
      </c>
      <c r="H1131" s="1862">
        <v>63000</v>
      </c>
      <c r="I1131" s="1862">
        <f>Tabla1[[#This Row],[Extraccion
Norte II]]+Tabla1[[#This Row],[Extraccion
ENO]]</f>
        <v>72414.277511588996</v>
      </c>
      <c r="J1131" s="1862">
        <v>72414.277511588996</v>
      </c>
      <c r="K1131" s="1862"/>
      <c r="L1131" s="1862">
        <f t="shared" si="95"/>
        <v>-9414.2775115889963</v>
      </c>
      <c r="M1131" s="1862">
        <f>M1130+Tabla1[[#This Row],[Desbalance
TPL]]</f>
        <v>-536700.54851818806</v>
      </c>
    </row>
    <row r="1132" spans="2:13" x14ac:dyDescent="0.25">
      <c r="B1132" s="1859">
        <f t="shared" si="91"/>
        <v>2016</v>
      </c>
      <c r="C1132" s="1859">
        <f t="shared" si="92"/>
        <v>8</v>
      </c>
      <c r="D1132" s="1860">
        <f t="shared" si="93"/>
        <v>42591</v>
      </c>
      <c r="E1132" s="1861">
        <v>42591</v>
      </c>
      <c r="F1132" s="1862">
        <f t="shared" si="94"/>
        <v>0</v>
      </c>
      <c r="G1132" s="1862">
        <v>63000</v>
      </c>
      <c r="H1132" s="1862">
        <v>63000</v>
      </c>
      <c r="I1132" s="1862">
        <f>Tabla1[[#This Row],[Extraccion
Norte II]]+Tabla1[[#This Row],[Extraccion
ENO]]</f>
        <v>72222.451672409996</v>
      </c>
      <c r="J1132" s="1862">
        <v>72222.451672409996</v>
      </c>
      <c r="K1132" s="1862"/>
      <c r="L1132" s="1862">
        <f t="shared" si="95"/>
        <v>-9222.4516724099958</v>
      </c>
      <c r="M1132" s="1862">
        <f>M1131+Tabla1[[#This Row],[Desbalance
TPL]]</f>
        <v>-545923.00019059808</v>
      </c>
    </row>
    <row r="1133" spans="2:13" x14ac:dyDescent="0.25">
      <c r="B1133" s="1859">
        <f t="shared" si="91"/>
        <v>2016</v>
      </c>
      <c r="C1133" s="1859">
        <f t="shared" si="92"/>
        <v>8</v>
      </c>
      <c r="D1133" s="1860">
        <f t="shared" si="93"/>
        <v>42592</v>
      </c>
      <c r="E1133" s="1861">
        <v>42592</v>
      </c>
      <c r="F1133" s="1862">
        <f t="shared" si="94"/>
        <v>0</v>
      </c>
      <c r="G1133" s="1862">
        <v>63000</v>
      </c>
      <c r="H1133" s="1862">
        <v>63000</v>
      </c>
      <c r="I1133" s="1862">
        <f>Tabla1[[#This Row],[Extraccion
Norte II]]+Tabla1[[#This Row],[Extraccion
ENO]]</f>
        <v>71609.905979820003</v>
      </c>
      <c r="J1133" s="1862">
        <v>71609.905979820003</v>
      </c>
      <c r="K1133" s="1862"/>
      <c r="L1133" s="1862">
        <f t="shared" si="95"/>
        <v>-8609.9059798200033</v>
      </c>
      <c r="M1133" s="1862">
        <f>M1132+Tabla1[[#This Row],[Desbalance
TPL]]</f>
        <v>-554532.90617041802</v>
      </c>
    </row>
    <row r="1134" spans="2:13" x14ac:dyDescent="0.25">
      <c r="B1134" s="1859">
        <f t="shared" si="91"/>
        <v>2016</v>
      </c>
      <c r="C1134" s="1859">
        <f t="shared" si="92"/>
        <v>8</v>
      </c>
      <c r="D1134" s="1860">
        <f t="shared" si="93"/>
        <v>42593</v>
      </c>
      <c r="E1134" s="1861">
        <v>42593</v>
      </c>
      <c r="F1134" s="1862">
        <f t="shared" si="94"/>
        <v>0</v>
      </c>
      <c r="G1134" s="1862">
        <v>63000</v>
      </c>
      <c r="H1134" s="1862">
        <v>63000</v>
      </c>
      <c r="I1134" s="1862">
        <f>Tabla1[[#This Row],[Extraccion
Norte II]]+Tabla1[[#This Row],[Extraccion
ENO]]</f>
        <v>72048.90637971001</v>
      </c>
      <c r="J1134" s="1862">
        <v>72048.90637971001</v>
      </c>
      <c r="K1134" s="1862"/>
      <c r="L1134" s="1862">
        <f t="shared" si="95"/>
        <v>-9048.9063797100098</v>
      </c>
      <c r="M1134" s="1862">
        <f>M1133+Tabla1[[#This Row],[Desbalance
TPL]]</f>
        <v>-563581.81255012797</v>
      </c>
    </row>
    <row r="1135" spans="2:13" x14ac:dyDescent="0.25">
      <c r="B1135" s="1859">
        <f t="shared" si="91"/>
        <v>2016</v>
      </c>
      <c r="C1135" s="1859">
        <f t="shared" si="92"/>
        <v>8</v>
      </c>
      <c r="D1135" s="1860">
        <f t="shared" si="93"/>
        <v>42594</v>
      </c>
      <c r="E1135" s="1861">
        <v>42594</v>
      </c>
      <c r="F1135" s="1862">
        <f t="shared" si="94"/>
        <v>0</v>
      </c>
      <c r="G1135" s="1862">
        <v>63000</v>
      </c>
      <c r="H1135" s="1862">
        <v>63000</v>
      </c>
      <c r="I1135" s="1862">
        <f>Tabla1[[#This Row],[Extraccion
Norte II]]+Tabla1[[#This Row],[Extraccion
ENO]]</f>
        <v>72025.116173009999</v>
      </c>
      <c r="J1135" s="1862">
        <v>72025.116173009999</v>
      </c>
      <c r="K1135" s="1862"/>
      <c r="L1135" s="1862">
        <f t="shared" si="95"/>
        <v>-9025.1161730099993</v>
      </c>
      <c r="M1135" s="1862">
        <f>M1134+Tabla1[[#This Row],[Desbalance
TPL]]</f>
        <v>-572606.92872313794</v>
      </c>
    </row>
    <row r="1136" spans="2:13" x14ac:dyDescent="0.25">
      <c r="B1136" s="1859">
        <f t="shared" si="91"/>
        <v>2016</v>
      </c>
      <c r="C1136" s="1859">
        <f t="shared" si="92"/>
        <v>8</v>
      </c>
      <c r="D1136" s="1860">
        <f t="shared" si="93"/>
        <v>42595</v>
      </c>
      <c r="E1136" s="1861">
        <v>42595</v>
      </c>
      <c r="F1136" s="1862">
        <f t="shared" si="94"/>
        <v>0</v>
      </c>
      <c r="G1136" s="1862">
        <v>70000</v>
      </c>
      <c r="H1136" s="1862">
        <v>70000</v>
      </c>
      <c r="I1136" s="1862">
        <f>Tabla1[[#This Row],[Extraccion
Norte II]]+Tabla1[[#This Row],[Extraccion
ENO]]</f>
        <v>69697.785650922015</v>
      </c>
      <c r="J1136" s="1862">
        <v>69697.785650922015</v>
      </c>
      <c r="K1136" s="1862"/>
      <c r="L1136" s="1862">
        <f t="shared" si="95"/>
        <v>302.21434907798539</v>
      </c>
      <c r="M1136" s="1862">
        <f>M1135+Tabla1[[#This Row],[Desbalance
TPL]]</f>
        <v>-572304.71437405993</v>
      </c>
    </row>
    <row r="1137" spans="2:13" x14ac:dyDescent="0.25">
      <c r="B1137" s="1859">
        <f t="shared" si="91"/>
        <v>2016</v>
      </c>
      <c r="C1137" s="1859">
        <f t="shared" si="92"/>
        <v>8</v>
      </c>
      <c r="D1137" s="1860">
        <f t="shared" si="93"/>
        <v>42596</v>
      </c>
      <c r="E1137" s="1861">
        <v>42596</v>
      </c>
      <c r="F1137" s="1862">
        <f t="shared" si="94"/>
        <v>0</v>
      </c>
      <c r="G1137" s="1862">
        <v>70000</v>
      </c>
      <c r="H1137" s="1862">
        <v>70000</v>
      </c>
      <c r="I1137" s="1862">
        <f>Tabla1[[#This Row],[Extraccion
Norte II]]+Tabla1[[#This Row],[Extraccion
ENO]]</f>
        <v>69548.77365345</v>
      </c>
      <c r="J1137" s="1862">
        <v>69548.77365345</v>
      </c>
      <c r="K1137" s="1862"/>
      <c r="L1137" s="1862">
        <f t="shared" si="95"/>
        <v>451.22634655000002</v>
      </c>
      <c r="M1137" s="1862">
        <f>M1136+Tabla1[[#This Row],[Desbalance
TPL]]</f>
        <v>-571853.48802750988</v>
      </c>
    </row>
    <row r="1138" spans="2:13" x14ac:dyDescent="0.25">
      <c r="B1138" s="1859">
        <f t="shared" si="91"/>
        <v>2016</v>
      </c>
      <c r="C1138" s="1859">
        <f t="shared" si="92"/>
        <v>8</v>
      </c>
      <c r="D1138" s="1860">
        <f t="shared" si="93"/>
        <v>42597</v>
      </c>
      <c r="E1138" s="1861">
        <v>42597</v>
      </c>
      <c r="F1138" s="1862">
        <f t="shared" si="94"/>
        <v>0</v>
      </c>
      <c r="G1138" s="1862">
        <v>70000</v>
      </c>
      <c r="H1138" s="1862">
        <v>70000</v>
      </c>
      <c r="I1138" s="1862">
        <f>Tabla1[[#This Row],[Extraccion
Norte II]]+Tabla1[[#This Row],[Extraccion
ENO]]</f>
        <v>71981.450243820014</v>
      </c>
      <c r="J1138" s="1862">
        <v>71981.450243820014</v>
      </c>
      <c r="K1138" s="1862"/>
      <c r="L1138" s="1862">
        <f t="shared" si="95"/>
        <v>-1981.4502438200143</v>
      </c>
      <c r="M1138" s="1862">
        <f>M1137+Tabla1[[#This Row],[Desbalance
TPL]]</f>
        <v>-573834.93827132985</v>
      </c>
    </row>
    <row r="1139" spans="2:13" x14ac:dyDescent="0.25">
      <c r="B1139" s="1859">
        <f t="shared" ref="B1139:B1202" si="96">YEAR(E1139)</f>
        <v>2016</v>
      </c>
      <c r="C1139" s="1859">
        <f t="shared" ref="C1139:C1202" si="97">MONTH(E1139)</f>
        <v>8</v>
      </c>
      <c r="D1139" s="1860">
        <f t="shared" ref="D1139:D1202" si="98">E1139</f>
        <v>42598</v>
      </c>
      <c r="E1139" s="1861">
        <v>42598</v>
      </c>
      <c r="F1139" s="1862">
        <f t="shared" si="94"/>
        <v>0</v>
      </c>
      <c r="G1139" s="1862">
        <v>70000</v>
      </c>
      <c r="H1139" s="1862">
        <v>70000</v>
      </c>
      <c r="I1139" s="1862">
        <f>Tabla1[[#This Row],[Extraccion
Norte II]]+Tabla1[[#This Row],[Extraccion
ENO]]</f>
        <v>71259.374818709999</v>
      </c>
      <c r="J1139" s="1862">
        <v>71259.374818709999</v>
      </c>
      <c r="K1139" s="1862"/>
      <c r="L1139" s="1862">
        <f t="shared" si="95"/>
        <v>-1259.3748187099991</v>
      </c>
      <c r="M1139" s="1862">
        <f>M1138+Tabla1[[#This Row],[Desbalance
TPL]]</f>
        <v>-575094.31309003988</v>
      </c>
    </row>
    <row r="1140" spans="2:13" x14ac:dyDescent="0.25">
      <c r="B1140" s="1859">
        <f t="shared" si="96"/>
        <v>2016</v>
      </c>
      <c r="C1140" s="1859">
        <f t="shared" si="97"/>
        <v>8</v>
      </c>
      <c r="D1140" s="1860">
        <f t="shared" si="98"/>
        <v>42599</v>
      </c>
      <c r="E1140" s="1861">
        <v>42599</v>
      </c>
      <c r="F1140" s="1862">
        <f t="shared" si="94"/>
        <v>0</v>
      </c>
      <c r="G1140" s="1862">
        <v>70000</v>
      </c>
      <c r="H1140" s="1862">
        <v>70000</v>
      </c>
      <c r="I1140" s="1862">
        <f>Tabla1[[#This Row],[Extraccion
Norte II]]+Tabla1[[#This Row],[Extraccion
ENO]]</f>
        <v>70767.476752050003</v>
      </c>
      <c r="J1140" s="1862">
        <v>70767.476752050003</v>
      </c>
      <c r="K1140" s="1862"/>
      <c r="L1140" s="1862">
        <f t="shared" si="95"/>
        <v>-767.47675205000269</v>
      </c>
      <c r="M1140" s="1862">
        <f>M1139+Tabla1[[#This Row],[Desbalance
TPL]]</f>
        <v>-575861.78984208987</v>
      </c>
    </row>
    <row r="1141" spans="2:13" x14ac:dyDescent="0.25">
      <c r="B1141" s="1859">
        <f t="shared" si="96"/>
        <v>2016</v>
      </c>
      <c r="C1141" s="1859">
        <f t="shared" si="97"/>
        <v>8</v>
      </c>
      <c r="D1141" s="1860">
        <f t="shared" si="98"/>
        <v>42600</v>
      </c>
      <c r="E1141" s="1861">
        <v>42600</v>
      </c>
      <c r="F1141" s="1862">
        <f t="shared" si="94"/>
        <v>0</v>
      </c>
      <c r="G1141" s="1862">
        <v>70000</v>
      </c>
      <c r="H1141" s="1862">
        <v>70000</v>
      </c>
      <c r="I1141" s="1862">
        <f>Tabla1[[#This Row],[Extraccion
Norte II]]+Tabla1[[#This Row],[Extraccion
ENO]]</f>
        <v>70385.497022879994</v>
      </c>
      <c r="J1141" s="1862">
        <v>70385.497022879994</v>
      </c>
      <c r="K1141" s="1862"/>
      <c r="L1141" s="1862">
        <f t="shared" si="95"/>
        <v>-385.49702287999389</v>
      </c>
      <c r="M1141" s="1862">
        <f>M1140+Tabla1[[#This Row],[Desbalance
TPL]]</f>
        <v>-576247.28686496988</v>
      </c>
    </row>
    <row r="1142" spans="2:13" x14ac:dyDescent="0.25">
      <c r="B1142" s="1859">
        <f t="shared" si="96"/>
        <v>2016</v>
      </c>
      <c r="C1142" s="1859">
        <f t="shared" si="97"/>
        <v>8</v>
      </c>
      <c r="D1142" s="1860">
        <f t="shared" si="98"/>
        <v>42601</v>
      </c>
      <c r="E1142" s="1861">
        <v>42601</v>
      </c>
      <c r="F1142" s="1862">
        <f t="shared" si="94"/>
        <v>0</v>
      </c>
      <c r="G1142" s="1862">
        <v>70000</v>
      </c>
      <c r="H1142" s="1862">
        <v>70000</v>
      </c>
      <c r="I1142" s="1862">
        <f>Tabla1[[#This Row],[Extraccion
Norte II]]+Tabla1[[#This Row],[Extraccion
ENO]]</f>
        <v>69105.858769350001</v>
      </c>
      <c r="J1142" s="1862">
        <v>69105.858769350001</v>
      </c>
      <c r="K1142" s="1862"/>
      <c r="L1142" s="1862">
        <f t="shared" si="95"/>
        <v>894.14123064999876</v>
      </c>
      <c r="M1142" s="1862">
        <f>M1141+Tabla1[[#This Row],[Desbalance
TPL]]</f>
        <v>-575353.14563431987</v>
      </c>
    </row>
    <row r="1143" spans="2:13" x14ac:dyDescent="0.25">
      <c r="B1143" s="1859">
        <f t="shared" si="96"/>
        <v>2016</v>
      </c>
      <c r="C1143" s="1859">
        <f t="shared" si="97"/>
        <v>8</v>
      </c>
      <c r="D1143" s="1860">
        <f t="shared" si="98"/>
        <v>42602</v>
      </c>
      <c r="E1143" s="1861">
        <v>42602</v>
      </c>
      <c r="F1143" s="1862">
        <f t="shared" si="94"/>
        <v>0</v>
      </c>
      <c r="G1143" s="1862">
        <v>70000</v>
      </c>
      <c r="H1143" s="1862">
        <v>70000</v>
      </c>
      <c r="I1143" s="1862">
        <f>Tabla1[[#This Row],[Extraccion
Norte II]]+Tabla1[[#This Row],[Extraccion
ENO]]</f>
        <v>68824.442423879998</v>
      </c>
      <c r="J1143" s="1862">
        <v>68824.442423879998</v>
      </c>
      <c r="K1143" s="1862"/>
      <c r="L1143" s="1862">
        <f t="shared" si="95"/>
        <v>1175.5575761200016</v>
      </c>
      <c r="M1143" s="1862">
        <f>M1142+Tabla1[[#This Row],[Desbalance
TPL]]</f>
        <v>-574177.58805819985</v>
      </c>
    </row>
    <row r="1144" spans="2:13" x14ac:dyDescent="0.25">
      <c r="B1144" s="1859">
        <f t="shared" si="96"/>
        <v>2016</v>
      </c>
      <c r="C1144" s="1859">
        <f t="shared" si="97"/>
        <v>8</v>
      </c>
      <c r="D1144" s="1860">
        <f t="shared" si="98"/>
        <v>42603</v>
      </c>
      <c r="E1144" s="1861">
        <v>42603</v>
      </c>
      <c r="F1144" s="1862">
        <f t="shared" si="94"/>
        <v>0</v>
      </c>
      <c r="G1144" s="1862">
        <v>70000</v>
      </c>
      <c r="H1144" s="1862">
        <v>70000</v>
      </c>
      <c r="I1144" s="1862">
        <f>Tabla1[[#This Row],[Extraccion
Norte II]]+Tabla1[[#This Row],[Extraccion
ENO]]</f>
        <v>64711.115685450008</v>
      </c>
      <c r="J1144" s="1862">
        <v>64711.115685450008</v>
      </c>
      <c r="K1144" s="1862"/>
      <c r="L1144" s="1862">
        <f t="shared" si="95"/>
        <v>5288.8843145499923</v>
      </c>
      <c r="M1144" s="1862">
        <f>M1143+Tabla1[[#This Row],[Desbalance
TPL]]</f>
        <v>-568888.70374364988</v>
      </c>
    </row>
    <row r="1145" spans="2:13" x14ac:dyDescent="0.25">
      <c r="B1145" s="1859">
        <f t="shared" si="96"/>
        <v>2016</v>
      </c>
      <c r="C1145" s="1859">
        <f t="shared" si="97"/>
        <v>8</v>
      </c>
      <c r="D1145" s="1860">
        <f t="shared" si="98"/>
        <v>42604</v>
      </c>
      <c r="E1145" s="1861">
        <v>42604</v>
      </c>
      <c r="F1145" s="1862">
        <f t="shared" si="94"/>
        <v>0</v>
      </c>
      <c r="G1145" s="1862">
        <v>70000</v>
      </c>
      <c r="H1145" s="1862">
        <v>70000</v>
      </c>
      <c r="I1145" s="1862">
        <f>Tabla1[[#This Row],[Extraccion
Norte II]]+Tabla1[[#This Row],[Extraccion
ENO]]</f>
        <v>68792.083951499997</v>
      </c>
      <c r="J1145" s="1862">
        <v>68792.083951499997</v>
      </c>
      <c r="K1145" s="1862"/>
      <c r="L1145" s="1862">
        <f t="shared" si="95"/>
        <v>1207.9160485000029</v>
      </c>
      <c r="M1145" s="1862">
        <f>M1144+Tabla1[[#This Row],[Desbalance
TPL]]</f>
        <v>-567680.78769514989</v>
      </c>
    </row>
    <row r="1146" spans="2:13" x14ac:dyDescent="0.25">
      <c r="B1146" s="1859">
        <f t="shared" si="96"/>
        <v>2016</v>
      </c>
      <c r="C1146" s="1859">
        <f t="shared" si="97"/>
        <v>8</v>
      </c>
      <c r="D1146" s="1860">
        <f t="shared" si="98"/>
        <v>42605</v>
      </c>
      <c r="E1146" s="1861">
        <v>42605</v>
      </c>
      <c r="F1146" s="1862">
        <f t="shared" si="94"/>
        <v>0</v>
      </c>
      <c r="G1146" s="1862">
        <v>70000</v>
      </c>
      <c r="H1146" s="1862">
        <v>70000</v>
      </c>
      <c r="I1146" s="1862">
        <f>Tabla1[[#This Row],[Extraccion
Norte II]]+Tabla1[[#This Row],[Extraccion
ENO]]</f>
        <v>69021.574142625002</v>
      </c>
      <c r="J1146" s="1862">
        <v>69021.574142625002</v>
      </c>
      <c r="K1146" s="1862"/>
      <c r="L1146" s="1862">
        <f t="shared" si="95"/>
        <v>978.42585737499758</v>
      </c>
      <c r="M1146" s="1862">
        <f>M1145+Tabla1[[#This Row],[Desbalance
TPL]]</f>
        <v>-566702.36183777486</v>
      </c>
    </row>
    <row r="1147" spans="2:13" x14ac:dyDescent="0.25">
      <c r="B1147" s="1859">
        <f t="shared" si="96"/>
        <v>2016</v>
      </c>
      <c r="C1147" s="1859">
        <f t="shared" si="97"/>
        <v>8</v>
      </c>
      <c r="D1147" s="1860">
        <f t="shared" si="98"/>
        <v>42606</v>
      </c>
      <c r="E1147" s="1861">
        <v>42606</v>
      </c>
      <c r="F1147" s="1862">
        <f t="shared" si="94"/>
        <v>0</v>
      </c>
      <c r="G1147" s="1862">
        <v>70000</v>
      </c>
      <c r="H1147" s="1862">
        <v>70000</v>
      </c>
      <c r="I1147" s="1862">
        <f>Tabla1[[#This Row],[Extraccion
Norte II]]+Tabla1[[#This Row],[Extraccion
ENO]]</f>
        <v>69322.935401226001</v>
      </c>
      <c r="J1147" s="1862">
        <v>69322.935401226001</v>
      </c>
      <c r="K1147" s="1862"/>
      <c r="L1147" s="1862">
        <f t="shared" si="95"/>
        <v>677.06459877399902</v>
      </c>
      <c r="M1147" s="1862">
        <f>M1146+Tabla1[[#This Row],[Desbalance
TPL]]</f>
        <v>-566025.29723900091</v>
      </c>
    </row>
    <row r="1148" spans="2:13" x14ac:dyDescent="0.25">
      <c r="B1148" s="1859">
        <f t="shared" si="96"/>
        <v>2016</v>
      </c>
      <c r="C1148" s="1859">
        <f t="shared" si="97"/>
        <v>8</v>
      </c>
      <c r="D1148" s="1860">
        <f t="shared" si="98"/>
        <v>42607</v>
      </c>
      <c r="E1148" s="1861">
        <v>42607</v>
      </c>
      <c r="F1148" s="1862">
        <f t="shared" si="94"/>
        <v>0</v>
      </c>
      <c r="G1148" s="1862">
        <v>70000</v>
      </c>
      <c r="H1148" s="1862">
        <v>70000</v>
      </c>
      <c r="I1148" s="1862">
        <f>Tabla1[[#This Row],[Extraccion
Norte II]]+Tabla1[[#This Row],[Extraccion
ENO]]</f>
        <v>69035.850636187504</v>
      </c>
      <c r="J1148" s="1862">
        <v>69035.850636187504</v>
      </c>
      <c r="K1148" s="1862"/>
      <c r="L1148" s="1862">
        <f t="shared" si="95"/>
        <v>964.14936381249572</v>
      </c>
      <c r="M1148" s="1862">
        <f>M1147+Tabla1[[#This Row],[Desbalance
TPL]]</f>
        <v>-565061.14787518838</v>
      </c>
    </row>
    <row r="1149" spans="2:13" x14ac:dyDescent="0.25">
      <c r="B1149" s="1859">
        <f t="shared" si="96"/>
        <v>2016</v>
      </c>
      <c r="C1149" s="1859">
        <f t="shared" si="97"/>
        <v>8</v>
      </c>
      <c r="D1149" s="1860">
        <f t="shared" si="98"/>
        <v>42608</v>
      </c>
      <c r="E1149" s="1861">
        <v>42608</v>
      </c>
      <c r="F1149" s="1862">
        <f t="shared" si="94"/>
        <v>0</v>
      </c>
      <c r="G1149" s="1862">
        <v>70000</v>
      </c>
      <c r="H1149" s="1862">
        <v>70000</v>
      </c>
      <c r="I1149" s="1862">
        <f>Tabla1[[#This Row],[Extraccion
Norte II]]+Tabla1[[#This Row],[Extraccion
ENO]]</f>
        <v>72014.400154008006</v>
      </c>
      <c r="J1149" s="1862">
        <v>72014.400154008006</v>
      </c>
      <c r="K1149" s="1862"/>
      <c r="L1149" s="1862">
        <f t="shared" si="95"/>
        <v>-2014.4001540080062</v>
      </c>
      <c r="M1149" s="1862">
        <f>M1148+Tabla1[[#This Row],[Desbalance
TPL]]</f>
        <v>-567075.54802919645</v>
      </c>
    </row>
    <row r="1150" spans="2:13" x14ac:dyDescent="0.25">
      <c r="B1150" s="1859">
        <f t="shared" si="96"/>
        <v>2016</v>
      </c>
      <c r="C1150" s="1859">
        <f t="shared" si="97"/>
        <v>8</v>
      </c>
      <c r="D1150" s="1860">
        <f t="shared" si="98"/>
        <v>42609</v>
      </c>
      <c r="E1150" s="1861">
        <v>42609</v>
      </c>
      <c r="F1150" s="1862">
        <f t="shared" si="94"/>
        <v>0</v>
      </c>
      <c r="G1150" s="1862">
        <v>70000</v>
      </c>
      <c r="H1150" s="1862">
        <v>70000</v>
      </c>
      <c r="I1150" s="1862">
        <f>Tabla1[[#This Row],[Extraccion
Norte II]]+Tabla1[[#This Row],[Extraccion
ENO]]</f>
        <v>70804.688047470001</v>
      </c>
      <c r="J1150" s="1862">
        <v>70804.688047470001</v>
      </c>
      <c r="K1150" s="1862"/>
      <c r="L1150" s="1862">
        <f t="shared" si="95"/>
        <v>-804.68804747000104</v>
      </c>
      <c r="M1150" s="1862">
        <f>M1149+Tabla1[[#This Row],[Desbalance
TPL]]</f>
        <v>-567880.23607666651</v>
      </c>
    </row>
    <row r="1151" spans="2:13" x14ac:dyDescent="0.25">
      <c r="B1151" s="1859">
        <f t="shared" si="96"/>
        <v>2016</v>
      </c>
      <c r="C1151" s="1859">
        <f t="shared" si="97"/>
        <v>8</v>
      </c>
      <c r="D1151" s="1860">
        <f t="shared" si="98"/>
        <v>42610</v>
      </c>
      <c r="E1151" s="1861">
        <v>42610</v>
      </c>
      <c r="F1151" s="1862">
        <f t="shared" si="94"/>
        <v>0</v>
      </c>
      <c r="G1151" s="1862">
        <v>70000</v>
      </c>
      <c r="H1151" s="1862">
        <v>70000</v>
      </c>
      <c r="I1151" s="1862">
        <f>Tabla1[[#This Row],[Extraccion
Norte II]]+Tabla1[[#This Row],[Extraccion
ENO]]</f>
        <v>68084.178390539993</v>
      </c>
      <c r="J1151" s="1862">
        <v>68084.178390539993</v>
      </c>
      <c r="K1151" s="1862"/>
      <c r="L1151" s="1862">
        <f t="shared" si="95"/>
        <v>1915.8216094600066</v>
      </c>
      <c r="M1151" s="1862">
        <f>M1150+Tabla1[[#This Row],[Desbalance
TPL]]</f>
        <v>-565964.41446720646</v>
      </c>
    </row>
    <row r="1152" spans="2:13" x14ac:dyDescent="0.25">
      <c r="B1152" s="1859">
        <f t="shared" si="96"/>
        <v>2016</v>
      </c>
      <c r="C1152" s="1859">
        <f t="shared" si="97"/>
        <v>8</v>
      </c>
      <c r="D1152" s="1860">
        <f t="shared" si="98"/>
        <v>42611</v>
      </c>
      <c r="E1152" s="1861">
        <v>42611</v>
      </c>
      <c r="F1152" s="1862">
        <f t="shared" si="94"/>
        <v>0</v>
      </c>
      <c r="G1152" s="1862">
        <v>70000</v>
      </c>
      <c r="H1152" s="1862">
        <v>70000</v>
      </c>
      <c r="I1152" s="1862">
        <f>Tabla1[[#This Row],[Extraccion
Norte II]]+Tabla1[[#This Row],[Extraccion
ENO]]</f>
        <v>68357.471944320001</v>
      </c>
      <c r="J1152" s="1862">
        <v>68357.471944320001</v>
      </c>
      <c r="K1152" s="1862"/>
      <c r="L1152" s="1862">
        <f t="shared" si="95"/>
        <v>1642.5280556799989</v>
      </c>
      <c r="M1152" s="1862">
        <f>M1151+Tabla1[[#This Row],[Desbalance
TPL]]</f>
        <v>-564321.88641152647</v>
      </c>
    </row>
    <row r="1153" spans="2:13" x14ac:dyDescent="0.25">
      <c r="B1153" s="1859">
        <f t="shared" si="96"/>
        <v>2016</v>
      </c>
      <c r="C1153" s="1859">
        <f t="shared" si="97"/>
        <v>8</v>
      </c>
      <c r="D1153" s="1860">
        <f t="shared" si="98"/>
        <v>42612</v>
      </c>
      <c r="E1153" s="1861">
        <v>42612</v>
      </c>
      <c r="F1153" s="1862">
        <f t="shared" si="94"/>
        <v>0</v>
      </c>
      <c r="G1153" s="1862">
        <v>70000</v>
      </c>
      <c r="H1153" s="1862">
        <v>70000</v>
      </c>
      <c r="I1153" s="1862">
        <f>Tabla1[[#This Row],[Extraccion
Norte II]]+Tabla1[[#This Row],[Extraccion
ENO]]</f>
        <v>68189.063819760006</v>
      </c>
      <c r="J1153" s="1862">
        <v>68189.063819760006</v>
      </c>
      <c r="K1153" s="1862"/>
      <c r="L1153" s="1862">
        <f t="shared" si="95"/>
        <v>1810.9361802399944</v>
      </c>
      <c r="M1153" s="1862">
        <f>M1152+Tabla1[[#This Row],[Desbalance
TPL]]</f>
        <v>-562510.95023128646</v>
      </c>
    </row>
    <row r="1154" spans="2:13" x14ac:dyDescent="0.25">
      <c r="B1154" s="1859">
        <f t="shared" si="96"/>
        <v>2016</v>
      </c>
      <c r="C1154" s="1859">
        <f t="shared" si="97"/>
        <v>8</v>
      </c>
      <c r="D1154" s="1860">
        <f t="shared" si="98"/>
        <v>42613</v>
      </c>
      <c r="E1154" s="1861">
        <v>42613</v>
      </c>
      <c r="F1154" s="1862">
        <f t="shared" si="94"/>
        <v>0</v>
      </c>
      <c r="G1154" s="1862">
        <v>70000</v>
      </c>
      <c r="H1154" s="1862">
        <v>70000</v>
      </c>
      <c r="I1154" s="1862">
        <f>Tabla1[[#This Row],[Extraccion
Norte II]]+Tabla1[[#This Row],[Extraccion
ENO]]</f>
        <v>67900.339805220006</v>
      </c>
      <c r="J1154" s="1862">
        <v>67900.339805220006</v>
      </c>
      <c r="K1154" s="1862"/>
      <c r="L1154" s="1862">
        <f t="shared" si="95"/>
        <v>2099.6601947799936</v>
      </c>
      <c r="M1154" s="1862">
        <f>M1153+Tabla1[[#This Row],[Desbalance
TPL]]</f>
        <v>-560411.29003650649</v>
      </c>
    </row>
    <row r="1155" spans="2:13" x14ac:dyDescent="0.25">
      <c r="B1155" s="1859">
        <f t="shared" si="96"/>
        <v>2016</v>
      </c>
      <c r="C1155" s="1859">
        <f t="shared" si="97"/>
        <v>9</v>
      </c>
      <c r="D1155" s="1860">
        <f t="shared" si="98"/>
        <v>42614</v>
      </c>
      <c r="E1155" s="1861">
        <v>42614</v>
      </c>
      <c r="F1155" s="1862">
        <f t="shared" si="94"/>
        <v>0</v>
      </c>
      <c r="G1155" s="1862">
        <v>70000</v>
      </c>
      <c r="H1155" s="1862">
        <v>70000</v>
      </c>
      <c r="I1155" s="1862">
        <f>Tabla1[[#This Row],[Extraccion
Norte II]]+Tabla1[[#This Row],[Extraccion
ENO]]</f>
        <v>67953.995725590008</v>
      </c>
      <c r="J1155" s="1862">
        <v>67953.995725590008</v>
      </c>
      <c r="K1155" s="1862"/>
      <c r="L1155" s="1862">
        <f t="shared" si="95"/>
        <v>2046.0042744099919</v>
      </c>
      <c r="M1155" s="1862">
        <f>M1154+Tabla1[[#This Row],[Desbalance
TPL]]</f>
        <v>-558365.28576209652</v>
      </c>
    </row>
    <row r="1156" spans="2:13" x14ac:dyDescent="0.25">
      <c r="B1156" s="1859">
        <f t="shared" si="96"/>
        <v>2016</v>
      </c>
      <c r="C1156" s="1859">
        <f t="shared" si="97"/>
        <v>9</v>
      </c>
      <c r="D1156" s="1860">
        <f t="shared" si="98"/>
        <v>42615</v>
      </c>
      <c r="E1156" s="1861">
        <v>42615</v>
      </c>
      <c r="F1156" s="1862">
        <f t="shared" si="94"/>
        <v>0</v>
      </c>
      <c r="G1156" s="1862">
        <v>70000</v>
      </c>
      <c r="H1156" s="1862">
        <v>70000</v>
      </c>
      <c r="I1156" s="1862">
        <f>Tabla1[[#This Row],[Extraccion
Norte II]]+Tabla1[[#This Row],[Extraccion
ENO]]</f>
        <v>68274.101961000008</v>
      </c>
      <c r="J1156" s="1862">
        <v>68274.101961000008</v>
      </c>
      <c r="K1156" s="1862"/>
      <c r="L1156" s="1862">
        <f t="shared" si="95"/>
        <v>1725.8980389999924</v>
      </c>
      <c r="M1156" s="1862">
        <f>M1155+Tabla1[[#This Row],[Desbalance
TPL]]</f>
        <v>-556639.38772309653</v>
      </c>
    </row>
    <row r="1157" spans="2:13" x14ac:dyDescent="0.25">
      <c r="B1157" s="1859">
        <f t="shared" si="96"/>
        <v>2016</v>
      </c>
      <c r="C1157" s="1859">
        <f t="shared" si="97"/>
        <v>9</v>
      </c>
      <c r="D1157" s="1860">
        <f t="shared" si="98"/>
        <v>42616</v>
      </c>
      <c r="E1157" s="1861">
        <v>42616</v>
      </c>
      <c r="F1157" s="1862">
        <f t="shared" si="94"/>
        <v>0</v>
      </c>
      <c r="G1157" s="1862">
        <v>72000</v>
      </c>
      <c r="H1157" s="1862">
        <v>72000</v>
      </c>
      <c r="I1157" s="1862">
        <f>Tabla1[[#This Row],[Extraccion
Norte II]]+Tabla1[[#This Row],[Extraccion
ENO]]</f>
        <v>68301.400986234003</v>
      </c>
      <c r="J1157" s="1862">
        <v>68301.400986234003</v>
      </c>
      <c r="K1157" s="1862"/>
      <c r="L1157" s="1862">
        <f t="shared" si="95"/>
        <v>3698.5990137659974</v>
      </c>
      <c r="M1157" s="1862">
        <f>M1156+Tabla1[[#This Row],[Desbalance
TPL]]</f>
        <v>-552940.78870933049</v>
      </c>
    </row>
    <row r="1158" spans="2:13" x14ac:dyDescent="0.25">
      <c r="B1158" s="1859">
        <f t="shared" si="96"/>
        <v>2016</v>
      </c>
      <c r="C1158" s="1859">
        <f t="shared" si="97"/>
        <v>9</v>
      </c>
      <c r="D1158" s="1860">
        <f t="shared" si="98"/>
        <v>42617</v>
      </c>
      <c r="E1158" s="1861">
        <v>42617</v>
      </c>
      <c r="F1158" s="1862">
        <f t="shared" si="94"/>
        <v>0</v>
      </c>
      <c r="G1158" s="1862">
        <v>72000</v>
      </c>
      <c r="H1158" s="1862">
        <v>72000</v>
      </c>
      <c r="I1158" s="1862">
        <f>Tabla1[[#This Row],[Extraccion
Norte II]]+Tabla1[[#This Row],[Extraccion
ENO]]</f>
        <v>70144.713592200002</v>
      </c>
      <c r="J1158" s="1862">
        <v>70144.713592200002</v>
      </c>
      <c r="K1158" s="1862"/>
      <c r="L1158" s="1862">
        <f t="shared" si="95"/>
        <v>1855.2864077999984</v>
      </c>
      <c r="M1158" s="1862">
        <f>M1157+Tabla1[[#This Row],[Desbalance
TPL]]</f>
        <v>-551085.50230153045</v>
      </c>
    </row>
    <row r="1159" spans="2:13" x14ac:dyDescent="0.25">
      <c r="B1159" s="1859">
        <f t="shared" si="96"/>
        <v>2016</v>
      </c>
      <c r="C1159" s="1859">
        <f t="shared" si="97"/>
        <v>9</v>
      </c>
      <c r="D1159" s="1860">
        <f t="shared" si="98"/>
        <v>42618</v>
      </c>
      <c r="E1159" s="1861">
        <v>42618</v>
      </c>
      <c r="F1159" s="1862">
        <f t="shared" si="94"/>
        <v>0</v>
      </c>
      <c r="G1159" s="1862">
        <v>72000</v>
      </c>
      <c r="H1159" s="1862">
        <v>72000</v>
      </c>
      <c r="I1159" s="1862">
        <f>Tabla1[[#This Row],[Extraccion
Norte II]]+Tabla1[[#This Row],[Extraccion
ENO]]</f>
        <v>70499.699493210006</v>
      </c>
      <c r="J1159" s="1862">
        <v>70499.699493210006</v>
      </c>
      <c r="K1159" s="1862"/>
      <c r="L1159" s="1862">
        <f t="shared" si="95"/>
        <v>1500.300506789994</v>
      </c>
      <c r="M1159" s="1862">
        <f>M1158+Tabla1[[#This Row],[Desbalance
TPL]]</f>
        <v>-549585.20179474051</v>
      </c>
    </row>
    <row r="1160" spans="2:13" x14ac:dyDescent="0.25">
      <c r="B1160" s="1859">
        <f t="shared" si="96"/>
        <v>2016</v>
      </c>
      <c r="C1160" s="1859">
        <f t="shared" si="97"/>
        <v>9</v>
      </c>
      <c r="D1160" s="1860">
        <f t="shared" si="98"/>
        <v>42619</v>
      </c>
      <c r="E1160" s="1861">
        <v>42619</v>
      </c>
      <c r="F1160" s="1862">
        <f t="shared" si="94"/>
        <v>0</v>
      </c>
      <c r="G1160" s="1862">
        <v>72000</v>
      </c>
      <c r="H1160" s="1862">
        <v>72000</v>
      </c>
      <c r="I1160" s="1862">
        <f>Tabla1[[#This Row],[Extraccion
Norte II]]+Tabla1[[#This Row],[Extraccion
ENO]]</f>
        <v>68081.903629740002</v>
      </c>
      <c r="J1160" s="1862">
        <v>68081.903629740002</v>
      </c>
      <c r="K1160" s="1862"/>
      <c r="L1160" s="1862">
        <f t="shared" si="95"/>
        <v>3918.0963702599984</v>
      </c>
      <c r="M1160" s="1862">
        <f>M1159+Tabla1[[#This Row],[Desbalance
TPL]]</f>
        <v>-545667.10542448051</v>
      </c>
    </row>
    <row r="1161" spans="2:13" x14ac:dyDescent="0.25">
      <c r="B1161" s="1859">
        <f t="shared" si="96"/>
        <v>2016</v>
      </c>
      <c r="C1161" s="1859">
        <f t="shared" si="97"/>
        <v>9</v>
      </c>
      <c r="D1161" s="1860">
        <f t="shared" si="98"/>
        <v>42620</v>
      </c>
      <c r="E1161" s="1861">
        <v>42620</v>
      </c>
      <c r="F1161" s="1862">
        <f t="shared" si="94"/>
        <v>0</v>
      </c>
      <c r="G1161" s="1862">
        <v>72000</v>
      </c>
      <c r="H1161" s="1862">
        <v>72000</v>
      </c>
      <c r="I1161" s="1862">
        <f>Tabla1[[#This Row],[Extraccion
Norte II]]+Tabla1[[#This Row],[Extraccion
ENO]]</f>
        <v>68070.406609529993</v>
      </c>
      <c r="J1161" s="1862">
        <v>68070.406609529993</v>
      </c>
      <c r="K1161" s="1862"/>
      <c r="L1161" s="1862">
        <f t="shared" si="95"/>
        <v>3929.5933904700069</v>
      </c>
      <c r="M1161" s="1862">
        <f>M1160+Tabla1[[#This Row],[Desbalance
TPL]]</f>
        <v>-541737.51203401049</v>
      </c>
    </row>
    <row r="1162" spans="2:13" x14ac:dyDescent="0.25">
      <c r="B1162" s="1859">
        <f t="shared" si="96"/>
        <v>2016</v>
      </c>
      <c r="C1162" s="1859">
        <f t="shared" si="97"/>
        <v>9</v>
      </c>
      <c r="D1162" s="1860">
        <f t="shared" si="98"/>
        <v>42621</v>
      </c>
      <c r="E1162" s="1861">
        <v>42621</v>
      </c>
      <c r="F1162" s="1862">
        <f t="shared" si="94"/>
        <v>0</v>
      </c>
      <c r="G1162" s="1862">
        <v>72000</v>
      </c>
      <c r="H1162" s="1862">
        <v>72000</v>
      </c>
      <c r="I1162" s="1862">
        <f>Tabla1[[#This Row],[Extraccion
Norte II]]+Tabla1[[#This Row],[Extraccion
ENO]]</f>
        <v>68179.642518780005</v>
      </c>
      <c r="J1162" s="1862">
        <v>68179.642518780005</v>
      </c>
      <c r="K1162" s="1862"/>
      <c r="L1162" s="1862">
        <f t="shared" si="95"/>
        <v>3820.357481219995</v>
      </c>
      <c r="M1162" s="1862">
        <f>M1161+Tabla1[[#This Row],[Desbalance
TPL]]</f>
        <v>-537917.15455279045</v>
      </c>
    </row>
    <row r="1163" spans="2:13" x14ac:dyDescent="0.25">
      <c r="B1163" s="1859">
        <f t="shared" si="96"/>
        <v>2016</v>
      </c>
      <c r="C1163" s="1859">
        <f t="shared" si="97"/>
        <v>9</v>
      </c>
      <c r="D1163" s="1860">
        <f t="shared" si="98"/>
        <v>42622</v>
      </c>
      <c r="E1163" s="1861">
        <v>42622</v>
      </c>
      <c r="F1163" s="1862">
        <f t="shared" si="94"/>
        <v>0</v>
      </c>
      <c r="G1163" s="1862">
        <v>72000</v>
      </c>
      <c r="H1163" s="1862">
        <v>72000</v>
      </c>
      <c r="I1163" s="1862">
        <f>Tabla1[[#This Row],[Extraccion
Norte II]]+Tabla1[[#This Row],[Extraccion
ENO]]</f>
        <v>69620.049491850004</v>
      </c>
      <c r="J1163" s="1862">
        <v>69620.049491850004</v>
      </c>
      <c r="K1163" s="1862"/>
      <c r="L1163" s="1862">
        <f t="shared" si="95"/>
        <v>2379.9505081499956</v>
      </c>
      <c r="M1163" s="1862">
        <f>M1162+Tabla1[[#This Row],[Desbalance
TPL]]</f>
        <v>-535537.20404464041</v>
      </c>
    </row>
    <row r="1164" spans="2:13" x14ac:dyDescent="0.25">
      <c r="B1164" s="1859">
        <f t="shared" si="96"/>
        <v>2016</v>
      </c>
      <c r="C1164" s="1859">
        <f t="shared" si="97"/>
        <v>9</v>
      </c>
      <c r="D1164" s="1860">
        <f t="shared" si="98"/>
        <v>42623</v>
      </c>
      <c r="E1164" s="1861">
        <v>42623</v>
      </c>
      <c r="F1164" s="1862">
        <f t="shared" ref="F1164:F1227" si="99">G1164-H1164</f>
        <v>0</v>
      </c>
      <c r="G1164" s="1862">
        <v>72000</v>
      </c>
      <c r="H1164" s="1862">
        <v>72000</v>
      </c>
      <c r="I1164" s="1862">
        <f>Tabla1[[#This Row],[Extraccion
Norte II]]+Tabla1[[#This Row],[Extraccion
ENO]]</f>
        <v>67356.093805650002</v>
      </c>
      <c r="J1164" s="1862">
        <v>67356.093805650002</v>
      </c>
      <c r="K1164" s="1862"/>
      <c r="L1164" s="1862">
        <f t="shared" ref="L1164:L1227" si="100">H1164-I1164</f>
        <v>4643.9061943499983</v>
      </c>
      <c r="M1164" s="1862">
        <f>M1163+Tabla1[[#This Row],[Desbalance
TPL]]</f>
        <v>-530893.29785029043</v>
      </c>
    </row>
    <row r="1165" spans="2:13" x14ac:dyDescent="0.25">
      <c r="B1165" s="1859">
        <f t="shared" si="96"/>
        <v>2016</v>
      </c>
      <c r="C1165" s="1859">
        <f t="shared" si="97"/>
        <v>9</v>
      </c>
      <c r="D1165" s="1860">
        <f t="shared" si="98"/>
        <v>42624</v>
      </c>
      <c r="E1165" s="1861">
        <v>42624</v>
      </c>
      <c r="F1165" s="1862">
        <f t="shared" si="99"/>
        <v>0</v>
      </c>
      <c r="G1165" s="1862">
        <v>72000</v>
      </c>
      <c r="H1165" s="1862">
        <v>72000</v>
      </c>
      <c r="I1165" s="1862">
        <f>Tabla1[[#This Row],[Extraccion
Norte II]]+Tabla1[[#This Row],[Extraccion
ENO]]</f>
        <v>68542.883905859999</v>
      </c>
      <c r="J1165" s="1862">
        <v>68542.883905859999</v>
      </c>
      <c r="K1165" s="1862"/>
      <c r="L1165" s="1862">
        <f t="shared" si="100"/>
        <v>3457.1160941400012</v>
      </c>
      <c r="M1165" s="1862">
        <f>M1164+Tabla1[[#This Row],[Desbalance
TPL]]</f>
        <v>-527436.18175615044</v>
      </c>
    </row>
    <row r="1166" spans="2:13" x14ac:dyDescent="0.25">
      <c r="B1166" s="1859">
        <f t="shared" si="96"/>
        <v>2016</v>
      </c>
      <c r="C1166" s="1859">
        <f t="shared" si="97"/>
        <v>9</v>
      </c>
      <c r="D1166" s="1860">
        <f t="shared" si="98"/>
        <v>42625</v>
      </c>
      <c r="E1166" s="1861">
        <v>42625</v>
      </c>
      <c r="F1166" s="1862">
        <f t="shared" si="99"/>
        <v>0</v>
      </c>
      <c r="G1166" s="1862">
        <v>72000</v>
      </c>
      <c r="H1166" s="1862">
        <v>72000</v>
      </c>
      <c r="I1166" s="1862">
        <f>Tabla1[[#This Row],[Extraccion
Norte II]]+Tabla1[[#This Row],[Extraccion
ENO]]</f>
        <v>70363.40340861</v>
      </c>
      <c r="J1166" s="1862">
        <v>70363.40340861</v>
      </c>
      <c r="K1166" s="1862"/>
      <c r="L1166" s="1862">
        <f t="shared" si="100"/>
        <v>1636.59659139</v>
      </c>
      <c r="M1166" s="1862">
        <f>M1165+Tabla1[[#This Row],[Desbalance
TPL]]</f>
        <v>-525799.58516476047</v>
      </c>
    </row>
    <row r="1167" spans="2:13" x14ac:dyDescent="0.25">
      <c r="B1167" s="1859">
        <f t="shared" si="96"/>
        <v>2016</v>
      </c>
      <c r="C1167" s="1859">
        <f t="shared" si="97"/>
        <v>9</v>
      </c>
      <c r="D1167" s="1860">
        <f t="shared" si="98"/>
        <v>42626</v>
      </c>
      <c r="E1167" s="1861">
        <v>42626</v>
      </c>
      <c r="F1167" s="1862">
        <f t="shared" si="99"/>
        <v>0</v>
      </c>
      <c r="G1167" s="1862">
        <v>75000</v>
      </c>
      <c r="H1167" s="1862">
        <v>75000</v>
      </c>
      <c r="I1167" s="1862">
        <f>Tabla1[[#This Row],[Extraccion
Norte II]]+Tabla1[[#This Row],[Extraccion
ENO]]</f>
        <v>70216.832987729998</v>
      </c>
      <c r="J1167" s="1862">
        <v>70216.832987729998</v>
      </c>
      <c r="K1167" s="1862"/>
      <c r="L1167" s="1862">
        <f t="shared" si="100"/>
        <v>4783.1670122700016</v>
      </c>
      <c r="M1167" s="1862">
        <f>M1166+Tabla1[[#This Row],[Desbalance
TPL]]</f>
        <v>-521016.41815249046</v>
      </c>
    </row>
    <row r="1168" spans="2:13" x14ac:dyDescent="0.25">
      <c r="B1168" s="1859">
        <f t="shared" si="96"/>
        <v>2016</v>
      </c>
      <c r="C1168" s="1859">
        <f t="shared" si="97"/>
        <v>9</v>
      </c>
      <c r="D1168" s="1860">
        <f t="shared" si="98"/>
        <v>42627</v>
      </c>
      <c r="E1168" s="1861">
        <v>42627</v>
      </c>
      <c r="F1168" s="1862">
        <f t="shared" si="99"/>
        <v>0</v>
      </c>
      <c r="G1168" s="1862">
        <v>74999</v>
      </c>
      <c r="H1168" s="1862">
        <v>74999</v>
      </c>
      <c r="I1168" s="1862">
        <f>Tabla1[[#This Row],[Extraccion
Norte II]]+Tabla1[[#This Row],[Extraccion
ENO]]</f>
        <v>70266.80189997</v>
      </c>
      <c r="J1168" s="1862">
        <v>70266.80189997</v>
      </c>
      <c r="K1168" s="1862"/>
      <c r="L1168" s="1862">
        <f t="shared" si="100"/>
        <v>4732.1981000300002</v>
      </c>
      <c r="M1168" s="1862">
        <f>M1167+Tabla1[[#This Row],[Desbalance
TPL]]</f>
        <v>-516284.22005246044</v>
      </c>
    </row>
    <row r="1169" spans="2:13" x14ac:dyDescent="0.25">
      <c r="B1169" s="1859">
        <f t="shared" si="96"/>
        <v>2016</v>
      </c>
      <c r="C1169" s="1859">
        <f t="shared" si="97"/>
        <v>9</v>
      </c>
      <c r="D1169" s="1860">
        <f t="shared" si="98"/>
        <v>42628</v>
      </c>
      <c r="E1169" s="1861">
        <v>42628</v>
      </c>
      <c r="F1169" s="1862">
        <f t="shared" si="99"/>
        <v>0</v>
      </c>
      <c r="G1169" s="1862">
        <v>74999</v>
      </c>
      <c r="H1169" s="1862">
        <v>74999</v>
      </c>
      <c r="I1169" s="1862">
        <f>Tabla1[[#This Row],[Extraccion
Norte II]]+Tabla1[[#This Row],[Extraccion
ENO]]</f>
        <v>68893.452979649999</v>
      </c>
      <c r="J1169" s="1862">
        <v>68893.452979649999</v>
      </c>
      <c r="K1169" s="1862"/>
      <c r="L1169" s="1862">
        <f t="shared" si="100"/>
        <v>6105.5470203500008</v>
      </c>
      <c r="M1169" s="1862">
        <f>M1168+Tabla1[[#This Row],[Desbalance
TPL]]</f>
        <v>-510178.67303211044</v>
      </c>
    </row>
    <row r="1170" spans="2:13" x14ac:dyDescent="0.25">
      <c r="B1170" s="1859">
        <f t="shared" si="96"/>
        <v>2016</v>
      </c>
      <c r="C1170" s="1859">
        <f t="shared" si="97"/>
        <v>9</v>
      </c>
      <c r="D1170" s="1860">
        <f t="shared" si="98"/>
        <v>42629</v>
      </c>
      <c r="E1170" s="1861">
        <v>42629</v>
      </c>
      <c r="F1170" s="1862">
        <f t="shared" si="99"/>
        <v>0</v>
      </c>
      <c r="G1170" s="1862">
        <v>72000</v>
      </c>
      <c r="H1170" s="1862">
        <v>72000</v>
      </c>
      <c r="I1170" s="1862">
        <f>Tabla1[[#This Row],[Extraccion
Norte II]]+Tabla1[[#This Row],[Extraccion
ENO]]</f>
        <v>69391.704263660999</v>
      </c>
      <c r="J1170" s="1862">
        <v>69391.704263660999</v>
      </c>
      <c r="K1170" s="1862"/>
      <c r="L1170" s="1862">
        <f t="shared" si="100"/>
        <v>2608.2957363390015</v>
      </c>
      <c r="M1170" s="1862">
        <f>M1169+Tabla1[[#This Row],[Desbalance
TPL]]</f>
        <v>-507570.37729577144</v>
      </c>
    </row>
    <row r="1171" spans="2:13" x14ac:dyDescent="0.25">
      <c r="B1171" s="1859">
        <f t="shared" si="96"/>
        <v>2016</v>
      </c>
      <c r="C1171" s="1859">
        <f t="shared" si="97"/>
        <v>9</v>
      </c>
      <c r="D1171" s="1860">
        <f t="shared" si="98"/>
        <v>42630</v>
      </c>
      <c r="E1171" s="1861">
        <v>42630</v>
      </c>
      <c r="F1171" s="1862">
        <f t="shared" si="99"/>
        <v>0</v>
      </c>
      <c r="G1171" s="1862">
        <v>72000</v>
      </c>
      <c r="H1171" s="1862">
        <v>72000</v>
      </c>
      <c r="I1171" s="1862">
        <f>Tabla1[[#This Row],[Extraccion
Norte II]]+Tabla1[[#This Row],[Extraccion
ENO]]</f>
        <v>68500.251097200002</v>
      </c>
      <c r="J1171" s="1862">
        <v>68500.251097200002</v>
      </c>
      <c r="K1171" s="1862"/>
      <c r="L1171" s="1862">
        <f t="shared" si="100"/>
        <v>3499.7489027999982</v>
      </c>
      <c r="M1171" s="1862">
        <f>M1170+Tabla1[[#This Row],[Desbalance
TPL]]</f>
        <v>-504070.62839297147</v>
      </c>
    </row>
    <row r="1172" spans="2:13" x14ac:dyDescent="0.25">
      <c r="B1172" s="1859">
        <f t="shared" si="96"/>
        <v>2016</v>
      </c>
      <c r="C1172" s="1859">
        <f t="shared" si="97"/>
        <v>9</v>
      </c>
      <c r="D1172" s="1860">
        <f t="shared" si="98"/>
        <v>42631</v>
      </c>
      <c r="E1172" s="1861">
        <v>42631</v>
      </c>
      <c r="F1172" s="1862">
        <f t="shared" si="99"/>
        <v>0</v>
      </c>
      <c r="G1172" s="1862">
        <v>72000</v>
      </c>
      <c r="H1172" s="1862">
        <v>72000</v>
      </c>
      <c r="I1172" s="1862">
        <f>Tabla1[[#This Row],[Extraccion
Norte II]]+Tabla1[[#This Row],[Extraccion
ENO]]</f>
        <v>67681.422512730001</v>
      </c>
      <c r="J1172" s="1862">
        <v>67681.422512730001</v>
      </c>
      <c r="K1172" s="1862"/>
      <c r="L1172" s="1862">
        <f t="shared" si="100"/>
        <v>4318.5774872699985</v>
      </c>
      <c r="M1172" s="1862">
        <f>M1171+Tabla1[[#This Row],[Desbalance
TPL]]</f>
        <v>-499752.05090570147</v>
      </c>
    </row>
    <row r="1173" spans="2:13" x14ac:dyDescent="0.25">
      <c r="B1173" s="1859">
        <f t="shared" si="96"/>
        <v>2016</v>
      </c>
      <c r="C1173" s="1859">
        <f t="shared" si="97"/>
        <v>9</v>
      </c>
      <c r="D1173" s="1860">
        <f t="shared" si="98"/>
        <v>42632</v>
      </c>
      <c r="E1173" s="1861">
        <v>42632</v>
      </c>
      <c r="F1173" s="1862">
        <f t="shared" si="99"/>
        <v>0</v>
      </c>
      <c r="G1173" s="1862">
        <v>72000</v>
      </c>
      <c r="H1173" s="1862">
        <v>72000</v>
      </c>
      <c r="I1173" s="1862">
        <f>Tabla1[[#This Row],[Extraccion
Norte II]]+Tabla1[[#This Row],[Extraccion
ENO]]</f>
        <v>69658.559296559994</v>
      </c>
      <c r="J1173" s="1862">
        <v>69658.559296559994</v>
      </c>
      <c r="K1173" s="1862"/>
      <c r="L1173" s="1862">
        <f t="shared" si="100"/>
        <v>2341.4407034400065</v>
      </c>
      <c r="M1173" s="1862">
        <f>M1172+Tabla1[[#This Row],[Desbalance
TPL]]</f>
        <v>-497410.61020226148</v>
      </c>
    </row>
    <row r="1174" spans="2:13" x14ac:dyDescent="0.25">
      <c r="B1174" s="1859">
        <f t="shared" si="96"/>
        <v>2016</v>
      </c>
      <c r="C1174" s="1859">
        <f t="shared" si="97"/>
        <v>9</v>
      </c>
      <c r="D1174" s="1860">
        <f t="shared" si="98"/>
        <v>42633</v>
      </c>
      <c r="E1174" s="1861">
        <v>42633</v>
      </c>
      <c r="F1174" s="1862">
        <f t="shared" si="99"/>
        <v>0</v>
      </c>
      <c r="G1174" s="1862">
        <v>72000</v>
      </c>
      <c r="H1174" s="1862">
        <v>72000</v>
      </c>
      <c r="I1174" s="1862">
        <f>Tabla1[[#This Row],[Extraccion
Norte II]]+Tabla1[[#This Row],[Extraccion
ENO]]</f>
        <v>70340.103223299011</v>
      </c>
      <c r="J1174" s="1862">
        <v>70340.103223299011</v>
      </c>
      <c r="K1174" s="1862"/>
      <c r="L1174" s="1862">
        <f t="shared" si="100"/>
        <v>1659.896776700989</v>
      </c>
      <c r="M1174" s="1862">
        <f>M1173+Tabla1[[#This Row],[Desbalance
TPL]]</f>
        <v>-495750.71342556051</v>
      </c>
    </row>
    <row r="1175" spans="2:13" x14ac:dyDescent="0.25">
      <c r="B1175" s="1859">
        <f t="shared" si="96"/>
        <v>2016</v>
      </c>
      <c r="C1175" s="1859">
        <f t="shared" si="97"/>
        <v>9</v>
      </c>
      <c r="D1175" s="1860">
        <f t="shared" si="98"/>
        <v>42634</v>
      </c>
      <c r="E1175" s="1861">
        <v>42634</v>
      </c>
      <c r="F1175" s="1862">
        <f t="shared" si="99"/>
        <v>0</v>
      </c>
      <c r="G1175" s="1862">
        <v>71000</v>
      </c>
      <c r="H1175" s="1862">
        <v>71000</v>
      </c>
      <c r="I1175" s="1862">
        <f>Tabla1[[#This Row],[Extraccion
Norte II]]+Tabla1[[#This Row],[Extraccion
ENO]]</f>
        <v>70199.374198590012</v>
      </c>
      <c r="J1175" s="1862">
        <v>70199.374198590012</v>
      </c>
      <c r="K1175" s="1862"/>
      <c r="L1175" s="1862">
        <f t="shared" si="100"/>
        <v>800.62580140998762</v>
      </c>
      <c r="M1175" s="1862">
        <f>M1174+Tabla1[[#This Row],[Desbalance
TPL]]</f>
        <v>-494950.0876241505</v>
      </c>
    </row>
    <row r="1176" spans="2:13" x14ac:dyDescent="0.25">
      <c r="B1176" s="1859">
        <f t="shared" si="96"/>
        <v>2016</v>
      </c>
      <c r="C1176" s="1859">
        <f t="shared" si="97"/>
        <v>9</v>
      </c>
      <c r="D1176" s="1860">
        <f t="shared" si="98"/>
        <v>42635</v>
      </c>
      <c r="E1176" s="1861">
        <v>42635</v>
      </c>
      <c r="F1176" s="1862">
        <f t="shared" si="99"/>
        <v>0</v>
      </c>
      <c r="G1176" s="1862">
        <v>71000</v>
      </c>
      <c r="H1176" s="1862">
        <v>71000</v>
      </c>
      <c r="I1176" s="1862">
        <f>Tabla1[[#This Row],[Extraccion
Norte II]]+Tabla1[[#This Row],[Extraccion
ENO]]</f>
        <v>70544.720800710013</v>
      </c>
      <c r="J1176" s="1862">
        <v>70544.720800710013</v>
      </c>
      <c r="K1176" s="1862"/>
      <c r="L1176" s="1862">
        <f t="shared" si="100"/>
        <v>455.27919928998745</v>
      </c>
      <c r="M1176" s="1862">
        <f>M1175+Tabla1[[#This Row],[Desbalance
TPL]]</f>
        <v>-494494.80842486053</v>
      </c>
    </row>
    <row r="1177" spans="2:13" x14ac:dyDescent="0.25">
      <c r="B1177" s="1859">
        <f t="shared" si="96"/>
        <v>2016</v>
      </c>
      <c r="C1177" s="1859">
        <f t="shared" si="97"/>
        <v>9</v>
      </c>
      <c r="D1177" s="1860">
        <f t="shared" si="98"/>
        <v>42636</v>
      </c>
      <c r="E1177" s="1861">
        <v>42636</v>
      </c>
      <c r="F1177" s="1862">
        <f t="shared" si="99"/>
        <v>0</v>
      </c>
      <c r="G1177" s="1862">
        <v>71000</v>
      </c>
      <c r="H1177" s="1862">
        <v>71000</v>
      </c>
      <c r="I1177" s="1862">
        <f>Tabla1[[#This Row],[Extraccion
Norte II]]+Tabla1[[#This Row],[Extraccion
ENO]]</f>
        <v>69610.334367600008</v>
      </c>
      <c r="J1177" s="1862">
        <v>69610.334367600008</v>
      </c>
      <c r="K1177" s="1862"/>
      <c r="L1177" s="1862">
        <f t="shared" si="100"/>
        <v>1389.6656323999923</v>
      </c>
      <c r="M1177" s="1862">
        <f>M1176+Tabla1[[#This Row],[Desbalance
TPL]]</f>
        <v>-493105.14279246051</v>
      </c>
    </row>
    <row r="1178" spans="2:13" x14ac:dyDescent="0.25">
      <c r="B1178" s="1859">
        <f t="shared" si="96"/>
        <v>2016</v>
      </c>
      <c r="C1178" s="1859">
        <f t="shared" si="97"/>
        <v>9</v>
      </c>
      <c r="D1178" s="1860">
        <f t="shared" si="98"/>
        <v>42637</v>
      </c>
      <c r="E1178" s="1861">
        <v>42637</v>
      </c>
      <c r="F1178" s="1862">
        <f t="shared" si="99"/>
        <v>0</v>
      </c>
      <c r="G1178" s="1862">
        <v>71000</v>
      </c>
      <c r="H1178" s="1862">
        <v>71000</v>
      </c>
      <c r="I1178" s="1862">
        <f>Tabla1[[#This Row],[Extraccion
Norte II]]+Tabla1[[#This Row],[Extraccion
ENO]]</f>
        <v>70545.280012739997</v>
      </c>
      <c r="J1178" s="1862">
        <v>70545.280012739997</v>
      </c>
      <c r="K1178" s="1862"/>
      <c r="L1178" s="1862">
        <f t="shared" si="100"/>
        <v>454.71998726000311</v>
      </c>
      <c r="M1178" s="1862">
        <f>M1177+Tabla1[[#This Row],[Desbalance
TPL]]</f>
        <v>-492650.42280520051</v>
      </c>
    </row>
    <row r="1179" spans="2:13" x14ac:dyDescent="0.25">
      <c r="B1179" s="1859">
        <f t="shared" si="96"/>
        <v>2016</v>
      </c>
      <c r="C1179" s="1859">
        <f t="shared" si="97"/>
        <v>9</v>
      </c>
      <c r="D1179" s="1860">
        <f t="shared" si="98"/>
        <v>42638</v>
      </c>
      <c r="E1179" s="1861">
        <v>42638</v>
      </c>
      <c r="F1179" s="1862">
        <f t="shared" si="99"/>
        <v>0</v>
      </c>
      <c r="G1179" s="1862">
        <v>71000</v>
      </c>
      <c r="H1179" s="1862">
        <v>71000</v>
      </c>
      <c r="I1179" s="1862">
        <f>Tabla1[[#This Row],[Extraccion
Norte II]]+Tabla1[[#This Row],[Extraccion
ENO]]</f>
        <v>66106.103267879997</v>
      </c>
      <c r="J1179" s="1862">
        <v>66106.103267879997</v>
      </c>
      <c r="K1179" s="1862"/>
      <c r="L1179" s="1862">
        <f t="shared" si="100"/>
        <v>4893.8967321200034</v>
      </c>
      <c r="M1179" s="1862">
        <f>M1178+Tabla1[[#This Row],[Desbalance
TPL]]</f>
        <v>-487756.52607308049</v>
      </c>
    </row>
    <row r="1180" spans="2:13" x14ac:dyDescent="0.25">
      <c r="B1180" s="1859">
        <f t="shared" si="96"/>
        <v>2016</v>
      </c>
      <c r="C1180" s="1859">
        <f t="shared" si="97"/>
        <v>9</v>
      </c>
      <c r="D1180" s="1860">
        <f t="shared" si="98"/>
        <v>42639</v>
      </c>
      <c r="E1180" s="1861">
        <v>42639</v>
      </c>
      <c r="F1180" s="1862">
        <f t="shared" si="99"/>
        <v>0</v>
      </c>
      <c r="G1180" s="1862">
        <v>71000</v>
      </c>
      <c r="H1180" s="1862">
        <v>71000</v>
      </c>
      <c r="I1180" s="1862">
        <f>Tabla1[[#This Row],[Extraccion
Norte II]]+Tabla1[[#This Row],[Extraccion
ENO]]</f>
        <v>60017.563814130001</v>
      </c>
      <c r="J1180" s="1862">
        <v>60017.563814130001</v>
      </c>
      <c r="K1180" s="1862"/>
      <c r="L1180" s="1862">
        <f t="shared" si="100"/>
        <v>10982.436185869999</v>
      </c>
      <c r="M1180" s="1862">
        <f>M1179+Tabla1[[#This Row],[Desbalance
TPL]]</f>
        <v>-476774.08988721052</v>
      </c>
    </row>
    <row r="1181" spans="2:13" x14ac:dyDescent="0.25">
      <c r="B1181" s="1859">
        <f t="shared" si="96"/>
        <v>2016</v>
      </c>
      <c r="C1181" s="1859">
        <f t="shared" si="97"/>
        <v>9</v>
      </c>
      <c r="D1181" s="1860">
        <f t="shared" si="98"/>
        <v>42640</v>
      </c>
      <c r="E1181" s="1861">
        <v>42640</v>
      </c>
      <c r="F1181" s="1862">
        <f t="shared" si="99"/>
        <v>0</v>
      </c>
      <c r="G1181" s="1862">
        <v>71000</v>
      </c>
      <c r="H1181" s="1862">
        <v>71000</v>
      </c>
      <c r="I1181" s="1862">
        <f>Tabla1[[#This Row],[Extraccion
Norte II]]+Tabla1[[#This Row],[Extraccion
ENO]]</f>
        <v>59454.723899876648</v>
      </c>
      <c r="J1181" s="1862">
        <v>59454.723899876648</v>
      </c>
      <c r="K1181" s="1862"/>
      <c r="L1181" s="1862">
        <f t="shared" si="100"/>
        <v>11545.276100123352</v>
      </c>
      <c r="M1181" s="1862">
        <f>M1180+Tabla1[[#This Row],[Desbalance
TPL]]</f>
        <v>-465228.81378708716</v>
      </c>
    </row>
    <row r="1182" spans="2:13" x14ac:dyDescent="0.25">
      <c r="B1182" s="1859">
        <f t="shared" si="96"/>
        <v>2016</v>
      </c>
      <c r="C1182" s="1859">
        <f t="shared" si="97"/>
        <v>9</v>
      </c>
      <c r="D1182" s="1860">
        <f t="shared" si="98"/>
        <v>42641</v>
      </c>
      <c r="E1182" s="1861">
        <v>42641</v>
      </c>
      <c r="F1182" s="1862">
        <f t="shared" si="99"/>
        <v>0</v>
      </c>
      <c r="G1182" s="1862">
        <v>71000</v>
      </c>
      <c r="H1182" s="1862">
        <v>71000</v>
      </c>
      <c r="I1182" s="1862">
        <f>Tabla1[[#This Row],[Extraccion
Norte II]]+Tabla1[[#This Row],[Extraccion
ENO]]</f>
        <v>70327.777041403606</v>
      </c>
      <c r="J1182" s="1862">
        <v>70327.777041403606</v>
      </c>
      <c r="K1182" s="1862"/>
      <c r="L1182" s="1862">
        <f t="shared" si="100"/>
        <v>672.22295859639416</v>
      </c>
      <c r="M1182" s="1862">
        <f>M1181+Tabla1[[#This Row],[Desbalance
TPL]]</f>
        <v>-464556.59082849079</v>
      </c>
    </row>
    <row r="1183" spans="2:13" x14ac:dyDescent="0.25">
      <c r="B1183" s="1859">
        <f t="shared" si="96"/>
        <v>2016</v>
      </c>
      <c r="C1183" s="1859">
        <f t="shared" si="97"/>
        <v>9</v>
      </c>
      <c r="D1183" s="1860">
        <f t="shared" si="98"/>
        <v>42642</v>
      </c>
      <c r="E1183" s="1861">
        <v>42642</v>
      </c>
      <c r="F1183" s="1862">
        <f t="shared" si="99"/>
        <v>0</v>
      </c>
      <c r="G1183" s="1862">
        <v>69000</v>
      </c>
      <c r="H1183" s="1862">
        <v>69000</v>
      </c>
      <c r="I1183" s="1862">
        <f>Tabla1[[#This Row],[Extraccion
Norte II]]+Tabla1[[#This Row],[Extraccion
ENO]]</f>
        <v>67836.654796218747</v>
      </c>
      <c r="J1183" s="1862">
        <v>67836.654796218747</v>
      </c>
      <c r="K1183" s="1862"/>
      <c r="L1183" s="1862">
        <f t="shared" si="100"/>
        <v>1163.3452037812531</v>
      </c>
      <c r="M1183" s="1862">
        <f>M1182+Tabla1[[#This Row],[Desbalance
TPL]]</f>
        <v>-463393.24562470953</v>
      </c>
    </row>
    <row r="1184" spans="2:13" x14ac:dyDescent="0.25">
      <c r="B1184" s="1859">
        <f t="shared" si="96"/>
        <v>2016</v>
      </c>
      <c r="C1184" s="1859">
        <f t="shared" si="97"/>
        <v>9</v>
      </c>
      <c r="D1184" s="1860">
        <f t="shared" si="98"/>
        <v>42643</v>
      </c>
      <c r="E1184" s="1861">
        <v>42643</v>
      </c>
      <c r="F1184" s="1862">
        <f t="shared" si="99"/>
        <v>0</v>
      </c>
      <c r="G1184" s="1862">
        <v>69000</v>
      </c>
      <c r="H1184" s="1862">
        <v>69000</v>
      </c>
      <c r="I1184" s="1862">
        <f>Tabla1[[#This Row],[Extraccion
Norte II]]+Tabla1[[#This Row],[Extraccion
ENO]]</f>
        <v>68674.302879609371</v>
      </c>
      <c r="J1184" s="1862">
        <v>68674.302879609371</v>
      </c>
      <c r="K1184" s="1862"/>
      <c r="L1184" s="1862">
        <f t="shared" si="100"/>
        <v>325.6971203906287</v>
      </c>
      <c r="M1184" s="1862">
        <f>M1183+Tabla1[[#This Row],[Desbalance
TPL]]</f>
        <v>-463067.54850431893</v>
      </c>
    </row>
    <row r="1185" spans="2:13" x14ac:dyDescent="0.25">
      <c r="B1185" s="1859">
        <f t="shared" si="96"/>
        <v>2016</v>
      </c>
      <c r="C1185" s="1859">
        <f t="shared" si="97"/>
        <v>10</v>
      </c>
      <c r="D1185" s="1860">
        <f t="shared" si="98"/>
        <v>42644</v>
      </c>
      <c r="E1185" s="1861">
        <v>42644</v>
      </c>
      <c r="F1185" s="1862">
        <f t="shared" si="99"/>
        <v>0</v>
      </c>
      <c r="G1185" s="1862">
        <v>70000</v>
      </c>
      <c r="H1185" s="1862">
        <v>70000</v>
      </c>
      <c r="I1185" s="1862">
        <f>Tabla1[[#This Row],[Extraccion
Norte II]]+Tabla1[[#This Row],[Extraccion
ENO]]</f>
        <v>63959.582107980001</v>
      </c>
      <c r="J1185" s="1862">
        <v>63959.582107980001</v>
      </c>
      <c r="K1185" s="1862"/>
      <c r="L1185" s="1862">
        <f t="shared" si="100"/>
        <v>6040.4178920199993</v>
      </c>
      <c r="M1185" s="1862">
        <f>M1184+Tabla1[[#This Row],[Desbalance
TPL]]</f>
        <v>-457027.1306122989</v>
      </c>
    </row>
    <row r="1186" spans="2:13" x14ac:dyDescent="0.25">
      <c r="B1186" s="1859">
        <f t="shared" si="96"/>
        <v>2016</v>
      </c>
      <c r="C1186" s="1859">
        <f t="shared" si="97"/>
        <v>10</v>
      </c>
      <c r="D1186" s="1860">
        <f t="shared" si="98"/>
        <v>42645</v>
      </c>
      <c r="E1186" s="1861">
        <v>42645</v>
      </c>
      <c r="F1186" s="1862">
        <f t="shared" si="99"/>
        <v>0</v>
      </c>
      <c r="G1186" s="1862">
        <v>70000</v>
      </c>
      <c r="H1186" s="1862">
        <v>70000</v>
      </c>
      <c r="I1186" s="1862">
        <f>Tabla1[[#This Row],[Extraccion
Norte II]]+Tabla1[[#This Row],[Extraccion
ENO]]</f>
        <v>62550.216141659999</v>
      </c>
      <c r="J1186" s="1862">
        <v>62550.216141659999</v>
      </c>
      <c r="K1186" s="1862"/>
      <c r="L1186" s="1862">
        <f t="shared" si="100"/>
        <v>7449.7838583400007</v>
      </c>
      <c r="M1186" s="1862">
        <f>M1185+Tabla1[[#This Row],[Desbalance
TPL]]</f>
        <v>-449577.3467539589</v>
      </c>
    </row>
    <row r="1187" spans="2:13" x14ac:dyDescent="0.25">
      <c r="B1187" s="1859">
        <f t="shared" si="96"/>
        <v>2016</v>
      </c>
      <c r="C1187" s="1859">
        <f t="shared" si="97"/>
        <v>10</v>
      </c>
      <c r="D1187" s="1860">
        <f t="shared" si="98"/>
        <v>42646</v>
      </c>
      <c r="E1187" s="1861">
        <v>42646</v>
      </c>
      <c r="F1187" s="1862">
        <f t="shared" si="99"/>
        <v>0</v>
      </c>
      <c r="G1187" s="1862">
        <v>70000</v>
      </c>
      <c r="H1187" s="1862">
        <v>70000</v>
      </c>
      <c r="I1187" s="1862">
        <f>Tabla1[[#This Row],[Extraccion
Norte II]]+Tabla1[[#This Row],[Extraccion
ENO]]</f>
        <v>69749.682422940008</v>
      </c>
      <c r="J1187" s="1862">
        <v>69749.682422940008</v>
      </c>
      <c r="K1187" s="1862"/>
      <c r="L1187" s="1862">
        <f t="shared" si="100"/>
        <v>250.31757705999189</v>
      </c>
      <c r="M1187" s="1862">
        <f>M1186+Tabla1[[#This Row],[Desbalance
TPL]]</f>
        <v>-449327.02917689888</v>
      </c>
    </row>
    <row r="1188" spans="2:13" x14ac:dyDescent="0.25">
      <c r="B1188" s="1859">
        <f t="shared" si="96"/>
        <v>2016</v>
      </c>
      <c r="C1188" s="1859">
        <f t="shared" si="97"/>
        <v>10</v>
      </c>
      <c r="D1188" s="1860">
        <f t="shared" si="98"/>
        <v>42647</v>
      </c>
      <c r="E1188" s="1861">
        <v>42647</v>
      </c>
      <c r="F1188" s="1862">
        <f t="shared" si="99"/>
        <v>0</v>
      </c>
      <c r="G1188" s="1862">
        <v>71000</v>
      </c>
      <c r="H1188" s="1862">
        <v>71000</v>
      </c>
      <c r="I1188" s="1862">
        <f>Tabla1[[#This Row],[Extraccion
Norte II]]+Tabla1[[#This Row],[Extraccion
ENO]]</f>
        <v>67735.182692970004</v>
      </c>
      <c r="J1188" s="1862">
        <v>67735.182692970004</v>
      </c>
      <c r="K1188" s="1862"/>
      <c r="L1188" s="1862">
        <f t="shared" si="100"/>
        <v>3264.8173070299963</v>
      </c>
      <c r="M1188" s="1862">
        <f>M1187+Tabla1[[#This Row],[Desbalance
TPL]]</f>
        <v>-446062.21186986892</v>
      </c>
    </row>
    <row r="1189" spans="2:13" x14ac:dyDescent="0.25">
      <c r="B1189" s="1859">
        <f t="shared" si="96"/>
        <v>2016</v>
      </c>
      <c r="C1189" s="1859">
        <f t="shared" si="97"/>
        <v>10</v>
      </c>
      <c r="D1189" s="1860">
        <f t="shared" si="98"/>
        <v>42648</v>
      </c>
      <c r="E1189" s="1861">
        <v>42648</v>
      </c>
      <c r="F1189" s="1862">
        <f t="shared" si="99"/>
        <v>0</v>
      </c>
      <c r="G1189" s="1862">
        <v>70000</v>
      </c>
      <c r="H1189" s="1862">
        <v>70000</v>
      </c>
      <c r="I1189" s="1862">
        <f>Tabla1[[#This Row],[Extraccion
Norte II]]+Tabla1[[#This Row],[Extraccion
ENO]]</f>
        <v>70959.855168540002</v>
      </c>
      <c r="J1189" s="1862">
        <v>70959.855168540002</v>
      </c>
      <c r="K1189" s="1862"/>
      <c r="L1189" s="1862">
        <f t="shared" si="100"/>
        <v>-959.85516854000161</v>
      </c>
      <c r="M1189" s="1862">
        <f>M1188+Tabla1[[#This Row],[Desbalance
TPL]]</f>
        <v>-447022.06703840895</v>
      </c>
    </row>
    <row r="1190" spans="2:13" x14ac:dyDescent="0.25">
      <c r="B1190" s="1859">
        <f t="shared" si="96"/>
        <v>2016</v>
      </c>
      <c r="C1190" s="1859">
        <f t="shared" si="97"/>
        <v>10</v>
      </c>
      <c r="D1190" s="1860">
        <f t="shared" si="98"/>
        <v>42649</v>
      </c>
      <c r="E1190" s="1861">
        <v>42649</v>
      </c>
      <c r="F1190" s="1862">
        <f t="shared" si="99"/>
        <v>0</v>
      </c>
      <c r="G1190" s="1862">
        <v>60000</v>
      </c>
      <c r="H1190" s="1862">
        <v>60000</v>
      </c>
      <c r="I1190" s="1862">
        <f>Tabla1[[#This Row],[Extraccion
Norte II]]+Tabla1[[#This Row],[Extraccion
ENO]]</f>
        <v>69676.245561780001</v>
      </c>
      <c r="J1190" s="1862">
        <v>69676.245561780001</v>
      </c>
      <c r="K1190" s="1862"/>
      <c r="L1190" s="1862">
        <f t="shared" si="100"/>
        <v>-9676.2455617800006</v>
      </c>
      <c r="M1190" s="1862">
        <f>M1189+Tabla1[[#This Row],[Desbalance
TPL]]</f>
        <v>-456698.31260018895</v>
      </c>
    </row>
    <row r="1191" spans="2:13" x14ac:dyDescent="0.25">
      <c r="B1191" s="1859">
        <f t="shared" si="96"/>
        <v>2016</v>
      </c>
      <c r="C1191" s="1859">
        <f t="shared" si="97"/>
        <v>10</v>
      </c>
      <c r="D1191" s="1860">
        <f t="shared" si="98"/>
        <v>42650</v>
      </c>
      <c r="E1191" s="1861">
        <v>42650</v>
      </c>
      <c r="F1191" s="1862">
        <f t="shared" si="99"/>
        <v>0</v>
      </c>
      <c r="G1191" s="1862">
        <v>60000</v>
      </c>
      <c r="H1191" s="1862">
        <v>60000</v>
      </c>
      <c r="I1191" s="1862">
        <f>Tabla1[[#This Row],[Extraccion
Norte II]]+Tabla1[[#This Row],[Extraccion
ENO]]</f>
        <v>67788.084151008006</v>
      </c>
      <c r="J1191" s="1862">
        <v>67788.084151008006</v>
      </c>
      <c r="K1191" s="1862"/>
      <c r="L1191" s="1862">
        <f t="shared" si="100"/>
        <v>-7788.0841510080063</v>
      </c>
      <c r="M1191" s="1862">
        <f>M1190+Tabla1[[#This Row],[Desbalance
TPL]]</f>
        <v>-464486.39675119694</v>
      </c>
    </row>
    <row r="1192" spans="2:13" x14ac:dyDescent="0.25">
      <c r="B1192" s="1859">
        <f t="shared" si="96"/>
        <v>2016</v>
      </c>
      <c r="C1192" s="1859">
        <f t="shared" si="97"/>
        <v>10</v>
      </c>
      <c r="D1192" s="1860">
        <f t="shared" si="98"/>
        <v>42651</v>
      </c>
      <c r="E1192" s="1861">
        <v>42651</v>
      </c>
      <c r="F1192" s="1862">
        <f t="shared" si="99"/>
        <v>0</v>
      </c>
      <c r="G1192" s="1862">
        <v>70000</v>
      </c>
      <c r="H1192" s="1862">
        <v>70000</v>
      </c>
      <c r="I1192" s="1862">
        <f>Tabla1[[#This Row],[Extraccion
Norte II]]+Tabla1[[#This Row],[Extraccion
ENO]]</f>
        <v>57696.208330410002</v>
      </c>
      <c r="J1192" s="1862">
        <v>57696.208330410002</v>
      </c>
      <c r="K1192" s="1862"/>
      <c r="L1192" s="1862">
        <f t="shared" si="100"/>
        <v>12303.791669589998</v>
      </c>
      <c r="M1192" s="1862">
        <f>M1191+Tabla1[[#This Row],[Desbalance
TPL]]</f>
        <v>-452182.60508160695</v>
      </c>
    </row>
    <row r="1193" spans="2:13" x14ac:dyDescent="0.25">
      <c r="B1193" s="1859">
        <f t="shared" si="96"/>
        <v>2016</v>
      </c>
      <c r="C1193" s="1859">
        <f t="shared" si="97"/>
        <v>10</v>
      </c>
      <c r="D1193" s="1860">
        <f t="shared" si="98"/>
        <v>42652</v>
      </c>
      <c r="E1193" s="1861">
        <v>42652</v>
      </c>
      <c r="F1193" s="1862">
        <f t="shared" si="99"/>
        <v>0</v>
      </c>
      <c r="G1193" s="1862">
        <v>70000</v>
      </c>
      <c r="H1193" s="1862">
        <v>70000</v>
      </c>
      <c r="I1193" s="1862">
        <f>Tabla1[[#This Row],[Extraccion
Norte II]]+Tabla1[[#This Row],[Extraccion
ENO]]</f>
        <v>60868.22957163</v>
      </c>
      <c r="J1193" s="1862">
        <v>60868.22957163</v>
      </c>
      <c r="K1193" s="1862"/>
      <c r="L1193" s="1862">
        <f t="shared" si="100"/>
        <v>9131.7704283700004</v>
      </c>
      <c r="M1193" s="1862">
        <f>M1192+Tabla1[[#This Row],[Desbalance
TPL]]</f>
        <v>-443050.83465323696</v>
      </c>
    </row>
    <row r="1194" spans="2:13" x14ac:dyDescent="0.25">
      <c r="B1194" s="1859">
        <f t="shared" si="96"/>
        <v>2016</v>
      </c>
      <c r="C1194" s="1859">
        <f t="shared" si="97"/>
        <v>10</v>
      </c>
      <c r="D1194" s="1860">
        <f t="shared" si="98"/>
        <v>42653</v>
      </c>
      <c r="E1194" s="1861">
        <v>42653</v>
      </c>
      <c r="F1194" s="1862">
        <f t="shared" si="99"/>
        <v>0</v>
      </c>
      <c r="G1194" s="1862">
        <v>70000</v>
      </c>
      <c r="H1194" s="1862">
        <v>70000</v>
      </c>
      <c r="I1194" s="1862">
        <f>Tabla1[[#This Row],[Extraccion
Norte II]]+Tabla1[[#This Row],[Extraccion
ENO]]</f>
        <v>67841.362840212008</v>
      </c>
      <c r="J1194" s="1862">
        <v>67841.362840212008</v>
      </c>
      <c r="K1194" s="1862"/>
      <c r="L1194" s="1862">
        <f t="shared" si="100"/>
        <v>2158.6371597879915</v>
      </c>
      <c r="M1194" s="1862">
        <f>M1193+Tabla1[[#This Row],[Desbalance
TPL]]</f>
        <v>-440892.19749344897</v>
      </c>
    </row>
    <row r="1195" spans="2:13" x14ac:dyDescent="0.25">
      <c r="B1195" s="1859">
        <f t="shared" si="96"/>
        <v>2016</v>
      </c>
      <c r="C1195" s="1859">
        <f t="shared" si="97"/>
        <v>10</v>
      </c>
      <c r="D1195" s="1860">
        <f t="shared" si="98"/>
        <v>42654</v>
      </c>
      <c r="E1195" s="1861">
        <v>42654</v>
      </c>
      <c r="F1195" s="1862">
        <f t="shared" si="99"/>
        <v>0</v>
      </c>
      <c r="G1195" s="1862">
        <v>60000</v>
      </c>
      <c r="H1195" s="1862">
        <v>60000</v>
      </c>
      <c r="I1195" s="1862">
        <f>Tabla1[[#This Row],[Extraccion
Norte II]]+Tabla1[[#This Row],[Extraccion
ENO]]</f>
        <v>67914.945665190011</v>
      </c>
      <c r="J1195" s="1862">
        <v>67914.945665190011</v>
      </c>
      <c r="K1195" s="1862"/>
      <c r="L1195" s="1862">
        <f t="shared" si="100"/>
        <v>-7914.9456651900109</v>
      </c>
      <c r="M1195" s="1862">
        <f>M1194+Tabla1[[#This Row],[Desbalance
TPL]]</f>
        <v>-448807.14315863897</v>
      </c>
    </row>
    <row r="1196" spans="2:13" x14ac:dyDescent="0.25">
      <c r="B1196" s="1859">
        <f t="shared" si="96"/>
        <v>2016</v>
      </c>
      <c r="C1196" s="1859">
        <f t="shared" si="97"/>
        <v>10</v>
      </c>
      <c r="D1196" s="1860">
        <f t="shared" si="98"/>
        <v>42655</v>
      </c>
      <c r="E1196" s="1861">
        <v>42655</v>
      </c>
      <c r="F1196" s="1862">
        <f t="shared" si="99"/>
        <v>0</v>
      </c>
      <c r="G1196" s="1862">
        <v>60000</v>
      </c>
      <c r="H1196" s="1862">
        <v>60000</v>
      </c>
      <c r="I1196" s="1862">
        <f>Tabla1[[#This Row],[Extraccion
Norte II]]+Tabla1[[#This Row],[Extraccion
ENO]]</f>
        <v>70692.779294280001</v>
      </c>
      <c r="J1196" s="1862">
        <v>70692.779294280001</v>
      </c>
      <c r="K1196" s="1862"/>
      <c r="L1196" s="1862">
        <f t="shared" si="100"/>
        <v>-10692.779294280001</v>
      </c>
      <c r="M1196" s="1862">
        <f>M1195+Tabla1[[#This Row],[Desbalance
TPL]]</f>
        <v>-459499.92245291895</v>
      </c>
    </row>
    <row r="1197" spans="2:13" x14ac:dyDescent="0.25">
      <c r="B1197" s="1859">
        <f t="shared" si="96"/>
        <v>2016</v>
      </c>
      <c r="C1197" s="1859">
        <f t="shared" si="97"/>
        <v>10</v>
      </c>
      <c r="D1197" s="1860">
        <f t="shared" si="98"/>
        <v>42656</v>
      </c>
      <c r="E1197" s="1861">
        <v>42656</v>
      </c>
      <c r="F1197" s="1862">
        <f t="shared" si="99"/>
        <v>0</v>
      </c>
      <c r="G1197" s="1862">
        <v>64999</v>
      </c>
      <c r="H1197" s="1862">
        <v>64999</v>
      </c>
      <c r="I1197" s="1862">
        <f>Tabla1[[#This Row],[Extraccion
Norte II]]+Tabla1[[#This Row],[Extraccion
ENO]]</f>
        <v>70499.087203428004</v>
      </c>
      <c r="J1197" s="1862">
        <v>70499.087203428004</v>
      </c>
      <c r="K1197" s="1862"/>
      <c r="L1197" s="1862">
        <f t="shared" si="100"/>
        <v>-5500.0872034280037</v>
      </c>
      <c r="M1197" s="1862">
        <f>M1196+Tabla1[[#This Row],[Desbalance
TPL]]</f>
        <v>-465000.00965634699</v>
      </c>
    </row>
    <row r="1198" spans="2:13" x14ac:dyDescent="0.25">
      <c r="B1198" s="1859">
        <f t="shared" si="96"/>
        <v>2016</v>
      </c>
      <c r="C1198" s="1859">
        <f t="shared" si="97"/>
        <v>10</v>
      </c>
      <c r="D1198" s="1860">
        <f t="shared" si="98"/>
        <v>42657</v>
      </c>
      <c r="E1198" s="1861">
        <v>42657</v>
      </c>
      <c r="F1198" s="1862">
        <f t="shared" si="99"/>
        <v>0</v>
      </c>
      <c r="G1198" s="1862">
        <v>64999</v>
      </c>
      <c r="H1198" s="1862">
        <v>64999</v>
      </c>
      <c r="I1198" s="1862">
        <f>Tabla1[[#This Row],[Extraccion
Norte II]]+Tabla1[[#This Row],[Extraccion
ENO]]</f>
        <v>70180.048209960005</v>
      </c>
      <c r="J1198" s="1862">
        <v>70180.048209960005</v>
      </c>
      <c r="K1198" s="1862"/>
      <c r="L1198" s="1862">
        <f t="shared" si="100"/>
        <v>-5181.0482099600049</v>
      </c>
      <c r="M1198" s="1862">
        <f>M1197+Tabla1[[#This Row],[Desbalance
TPL]]</f>
        <v>-470181.05786630698</v>
      </c>
    </row>
    <row r="1199" spans="2:13" x14ac:dyDescent="0.25">
      <c r="B1199" s="1859">
        <f t="shared" si="96"/>
        <v>2016</v>
      </c>
      <c r="C1199" s="1859">
        <f t="shared" si="97"/>
        <v>10</v>
      </c>
      <c r="D1199" s="1860">
        <f t="shared" si="98"/>
        <v>42658</v>
      </c>
      <c r="E1199" s="1861">
        <v>42658</v>
      </c>
      <c r="F1199" s="1862">
        <f t="shared" si="99"/>
        <v>0</v>
      </c>
      <c r="G1199" s="1862">
        <v>69000</v>
      </c>
      <c r="H1199" s="1862">
        <v>69000</v>
      </c>
      <c r="I1199" s="1862">
        <f>Tabla1[[#This Row],[Extraccion
Norte II]]+Tabla1[[#This Row],[Extraccion
ENO]]</f>
        <v>65330.021230110004</v>
      </c>
      <c r="J1199" s="1862">
        <v>65330.021230110004</v>
      </c>
      <c r="K1199" s="1862"/>
      <c r="L1199" s="1862">
        <f t="shared" si="100"/>
        <v>3669.9787698899963</v>
      </c>
      <c r="M1199" s="1862">
        <f>M1198+Tabla1[[#This Row],[Desbalance
TPL]]</f>
        <v>-466511.079096417</v>
      </c>
    </row>
    <row r="1200" spans="2:13" x14ac:dyDescent="0.25">
      <c r="B1200" s="1859">
        <f t="shared" si="96"/>
        <v>2016</v>
      </c>
      <c r="C1200" s="1859">
        <f t="shared" si="97"/>
        <v>10</v>
      </c>
      <c r="D1200" s="1860">
        <f t="shared" si="98"/>
        <v>42659</v>
      </c>
      <c r="E1200" s="1861">
        <v>42659</v>
      </c>
      <c r="F1200" s="1862">
        <f t="shared" si="99"/>
        <v>0</v>
      </c>
      <c r="G1200" s="1862">
        <v>69000</v>
      </c>
      <c r="H1200" s="1862">
        <v>69000</v>
      </c>
      <c r="I1200" s="1862">
        <f>Tabla1[[#This Row],[Extraccion
Norte II]]+Tabla1[[#This Row],[Extraccion
ENO]]</f>
        <v>63116.129237850007</v>
      </c>
      <c r="J1200" s="1862">
        <v>63116.129237850007</v>
      </c>
      <c r="K1200" s="1862"/>
      <c r="L1200" s="1862">
        <f t="shared" si="100"/>
        <v>5883.8707621499925</v>
      </c>
      <c r="M1200" s="1862">
        <f>M1199+Tabla1[[#This Row],[Desbalance
TPL]]</f>
        <v>-460627.20833426702</v>
      </c>
    </row>
    <row r="1201" spans="2:13" x14ac:dyDescent="0.25">
      <c r="B1201" s="1859">
        <f t="shared" si="96"/>
        <v>2016</v>
      </c>
      <c r="C1201" s="1859">
        <f t="shared" si="97"/>
        <v>10</v>
      </c>
      <c r="D1201" s="1860">
        <f t="shared" si="98"/>
        <v>42660</v>
      </c>
      <c r="E1201" s="1861">
        <v>42660</v>
      </c>
      <c r="F1201" s="1862">
        <f t="shared" si="99"/>
        <v>0</v>
      </c>
      <c r="G1201" s="1862">
        <v>69000</v>
      </c>
      <c r="H1201" s="1862">
        <v>69000</v>
      </c>
      <c r="I1201" s="1862">
        <f>Tabla1[[#This Row],[Extraccion
Norte II]]+Tabla1[[#This Row],[Extraccion
ENO]]</f>
        <v>64153.050514019997</v>
      </c>
      <c r="J1201" s="1862">
        <v>64153.050514019997</v>
      </c>
      <c r="K1201" s="1862"/>
      <c r="L1201" s="1862">
        <f t="shared" si="100"/>
        <v>4846.9494859800034</v>
      </c>
      <c r="M1201" s="1862">
        <f>M1200+Tabla1[[#This Row],[Desbalance
TPL]]</f>
        <v>-455780.25884828705</v>
      </c>
    </row>
    <row r="1202" spans="2:13" x14ac:dyDescent="0.25">
      <c r="B1202" s="1859">
        <f t="shared" si="96"/>
        <v>2016</v>
      </c>
      <c r="C1202" s="1859">
        <f t="shared" si="97"/>
        <v>10</v>
      </c>
      <c r="D1202" s="1860">
        <f t="shared" si="98"/>
        <v>42661</v>
      </c>
      <c r="E1202" s="1861">
        <v>42661</v>
      </c>
      <c r="F1202" s="1862">
        <f t="shared" si="99"/>
        <v>0</v>
      </c>
      <c r="G1202" s="1862">
        <v>70000</v>
      </c>
      <c r="H1202" s="1862">
        <v>70000</v>
      </c>
      <c r="I1202" s="1862">
        <f>Tabla1[[#This Row],[Extraccion
Norte II]]+Tabla1[[#This Row],[Extraccion
ENO]]</f>
        <v>70193.611471230004</v>
      </c>
      <c r="J1202" s="1862">
        <v>70193.611471230004</v>
      </c>
      <c r="K1202" s="1862"/>
      <c r="L1202" s="1862">
        <f t="shared" si="100"/>
        <v>-193.6114712300041</v>
      </c>
      <c r="M1202" s="1862">
        <f>M1201+Tabla1[[#This Row],[Desbalance
TPL]]</f>
        <v>-455973.87031951704</v>
      </c>
    </row>
    <row r="1203" spans="2:13" x14ac:dyDescent="0.25">
      <c r="B1203" s="1859">
        <f t="shared" ref="B1203:B1266" si="101">YEAR(E1203)</f>
        <v>2016</v>
      </c>
      <c r="C1203" s="1859">
        <f t="shared" ref="C1203:C1266" si="102">MONTH(E1203)</f>
        <v>10</v>
      </c>
      <c r="D1203" s="1860">
        <f t="shared" ref="D1203:D1266" si="103">E1203</f>
        <v>42662</v>
      </c>
      <c r="E1203" s="1861">
        <v>42662</v>
      </c>
      <c r="F1203" s="1862">
        <f t="shared" si="99"/>
        <v>0</v>
      </c>
      <c r="G1203" s="1862">
        <v>64999</v>
      </c>
      <c r="H1203" s="1862">
        <v>64999</v>
      </c>
      <c r="I1203" s="1862">
        <f>Tabla1[[#This Row],[Extraccion
Norte II]]+Tabla1[[#This Row],[Extraccion
ENO]]</f>
        <v>67797.11305575</v>
      </c>
      <c r="J1203" s="1862">
        <v>67797.11305575</v>
      </c>
      <c r="K1203" s="1862"/>
      <c r="L1203" s="1862">
        <f t="shared" si="100"/>
        <v>-2798.1130557500001</v>
      </c>
      <c r="M1203" s="1862">
        <f>M1202+Tabla1[[#This Row],[Desbalance
TPL]]</f>
        <v>-458771.98337526701</v>
      </c>
    </row>
    <row r="1204" spans="2:13" x14ac:dyDescent="0.25">
      <c r="B1204" s="1859">
        <f t="shared" si="101"/>
        <v>2016</v>
      </c>
      <c r="C1204" s="1859">
        <f t="shared" si="102"/>
        <v>10</v>
      </c>
      <c r="D1204" s="1860">
        <f t="shared" si="103"/>
        <v>42663</v>
      </c>
      <c r="E1204" s="1861">
        <v>42663</v>
      </c>
      <c r="F1204" s="1862">
        <f t="shared" si="99"/>
        <v>0</v>
      </c>
      <c r="G1204" s="1862">
        <v>60000</v>
      </c>
      <c r="H1204" s="1862">
        <v>60000</v>
      </c>
      <c r="I1204" s="1862">
        <f>Tabla1[[#This Row],[Extraccion
Norte II]]+Tabla1[[#This Row],[Extraccion
ENO]]</f>
        <v>65372.170652100001</v>
      </c>
      <c r="J1204" s="1862">
        <v>65372.170652100001</v>
      </c>
      <c r="K1204" s="1862"/>
      <c r="L1204" s="1862">
        <f t="shared" si="100"/>
        <v>-5372.1706521000015</v>
      </c>
      <c r="M1204" s="1862">
        <f>M1203+Tabla1[[#This Row],[Desbalance
TPL]]</f>
        <v>-464144.15402736701</v>
      </c>
    </row>
    <row r="1205" spans="2:13" x14ac:dyDescent="0.25">
      <c r="B1205" s="1859">
        <f t="shared" si="101"/>
        <v>2016</v>
      </c>
      <c r="C1205" s="1859">
        <f t="shared" si="102"/>
        <v>10</v>
      </c>
      <c r="D1205" s="1860">
        <f t="shared" si="103"/>
        <v>42664</v>
      </c>
      <c r="E1205" s="1861">
        <v>42664</v>
      </c>
      <c r="F1205" s="1862">
        <f t="shared" si="99"/>
        <v>0</v>
      </c>
      <c r="G1205" s="1862">
        <v>55000</v>
      </c>
      <c r="H1205" s="1862">
        <v>55000</v>
      </c>
      <c r="I1205" s="1862">
        <f>Tabla1[[#This Row],[Extraccion
Norte II]]+Tabla1[[#This Row],[Extraccion
ENO]]</f>
        <v>64551.465389970006</v>
      </c>
      <c r="J1205" s="1862">
        <v>64551.465389970006</v>
      </c>
      <c r="K1205" s="1862"/>
      <c r="L1205" s="1862">
        <f t="shared" si="100"/>
        <v>-9551.4653899700061</v>
      </c>
      <c r="M1205" s="1862">
        <f>M1204+Tabla1[[#This Row],[Desbalance
TPL]]</f>
        <v>-473695.619417337</v>
      </c>
    </row>
    <row r="1206" spans="2:13" x14ac:dyDescent="0.25">
      <c r="B1206" s="1859">
        <f t="shared" si="101"/>
        <v>2016</v>
      </c>
      <c r="C1206" s="1859">
        <f t="shared" si="102"/>
        <v>10</v>
      </c>
      <c r="D1206" s="1860">
        <f t="shared" si="103"/>
        <v>42665</v>
      </c>
      <c r="E1206" s="1861">
        <v>42665</v>
      </c>
      <c r="F1206" s="1862">
        <f t="shared" si="99"/>
        <v>0</v>
      </c>
      <c r="G1206" s="1862">
        <v>62000</v>
      </c>
      <c r="H1206" s="1862">
        <v>62000</v>
      </c>
      <c r="I1206" s="1862">
        <f>Tabla1[[#This Row],[Extraccion
Norte II]]+Tabla1[[#This Row],[Extraccion
ENO]]</f>
        <v>65804.230188098998</v>
      </c>
      <c r="J1206" s="1862">
        <v>65804.230188098998</v>
      </c>
      <c r="K1206" s="1862"/>
      <c r="L1206" s="1862">
        <f t="shared" si="100"/>
        <v>-3804.230188098998</v>
      </c>
      <c r="M1206" s="1862">
        <f>M1205+Tabla1[[#This Row],[Desbalance
TPL]]</f>
        <v>-477499.84960543597</v>
      </c>
    </row>
    <row r="1207" spans="2:13" x14ac:dyDescent="0.25">
      <c r="B1207" s="1859">
        <f t="shared" si="101"/>
        <v>2016</v>
      </c>
      <c r="C1207" s="1859">
        <f t="shared" si="102"/>
        <v>10</v>
      </c>
      <c r="D1207" s="1860">
        <f t="shared" si="103"/>
        <v>42666</v>
      </c>
      <c r="E1207" s="1861">
        <v>42666</v>
      </c>
      <c r="F1207" s="1862">
        <f t="shared" si="99"/>
        <v>0</v>
      </c>
      <c r="G1207" s="1862">
        <v>62000</v>
      </c>
      <c r="H1207" s="1862">
        <v>62000</v>
      </c>
      <c r="I1207" s="1862">
        <f>Tabla1[[#This Row],[Extraccion
Norte II]]+Tabla1[[#This Row],[Extraccion
ENO]]</f>
        <v>63342.29733039</v>
      </c>
      <c r="J1207" s="1862">
        <v>63342.29733039</v>
      </c>
      <c r="K1207" s="1862"/>
      <c r="L1207" s="1862">
        <f t="shared" si="100"/>
        <v>-1342.2973303899998</v>
      </c>
      <c r="M1207" s="1862">
        <f>M1206+Tabla1[[#This Row],[Desbalance
TPL]]</f>
        <v>-478842.14693582599</v>
      </c>
    </row>
    <row r="1208" spans="2:13" x14ac:dyDescent="0.25">
      <c r="B1208" s="1859">
        <f t="shared" si="101"/>
        <v>2016</v>
      </c>
      <c r="C1208" s="1859">
        <f t="shared" si="102"/>
        <v>10</v>
      </c>
      <c r="D1208" s="1860">
        <f t="shared" si="103"/>
        <v>42667</v>
      </c>
      <c r="E1208" s="1861">
        <v>42667</v>
      </c>
      <c r="F1208" s="1862">
        <f t="shared" si="99"/>
        <v>0</v>
      </c>
      <c r="G1208" s="1862">
        <v>62000</v>
      </c>
      <c r="H1208" s="1862">
        <v>62000</v>
      </c>
      <c r="I1208" s="1862">
        <f>Tabla1[[#This Row],[Extraccion
Norte II]]+Tabla1[[#This Row],[Extraccion
ENO]]</f>
        <v>67871.772600840006</v>
      </c>
      <c r="J1208" s="1862">
        <v>67871.772600840006</v>
      </c>
      <c r="K1208" s="1862"/>
      <c r="L1208" s="1862">
        <f t="shared" si="100"/>
        <v>-5871.7726008400059</v>
      </c>
      <c r="M1208" s="1862">
        <f>M1207+Tabla1[[#This Row],[Desbalance
TPL]]</f>
        <v>-484713.91953666601</v>
      </c>
    </row>
    <row r="1209" spans="2:13" x14ac:dyDescent="0.25">
      <c r="B1209" s="1859">
        <f t="shared" si="101"/>
        <v>2016</v>
      </c>
      <c r="C1209" s="1859">
        <f t="shared" si="102"/>
        <v>10</v>
      </c>
      <c r="D1209" s="1860">
        <f t="shared" si="103"/>
        <v>42668</v>
      </c>
      <c r="E1209" s="1861">
        <v>42668</v>
      </c>
      <c r="F1209" s="1862">
        <f t="shared" si="99"/>
        <v>0</v>
      </c>
      <c r="G1209" s="1862">
        <v>64999</v>
      </c>
      <c r="H1209" s="1862">
        <v>64999</v>
      </c>
      <c r="I1209" s="1862">
        <f>Tabla1[[#This Row],[Extraccion
Norte II]]+Tabla1[[#This Row],[Extraccion
ENO]]</f>
        <v>67828.029898473003</v>
      </c>
      <c r="J1209" s="1862">
        <v>67828.029898473003</v>
      </c>
      <c r="K1209" s="1862"/>
      <c r="L1209" s="1862">
        <f t="shared" si="100"/>
        <v>-2829.0298984730034</v>
      </c>
      <c r="M1209" s="1862">
        <f>M1208+Tabla1[[#This Row],[Desbalance
TPL]]</f>
        <v>-487542.94943513902</v>
      </c>
    </row>
    <row r="1210" spans="2:13" x14ac:dyDescent="0.25">
      <c r="B1210" s="1859">
        <f t="shared" si="101"/>
        <v>2016</v>
      </c>
      <c r="C1210" s="1859">
        <f t="shared" si="102"/>
        <v>10</v>
      </c>
      <c r="D1210" s="1860">
        <f t="shared" si="103"/>
        <v>42669</v>
      </c>
      <c r="E1210" s="1861">
        <v>42669</v>
      </c>
      <c r="F1210" s="1862">
        <f t="shared" si="99"/>
        <v>0</v>
      </c>
      <c r="G1210" s="1862">
        <v>64999</v>
      </c>
      <c r="H1210" s="1862">
        <v>64999</v>
      </c>
      <c r="I1210" s="1862">
        <f>Tabla1[[#This Row],[Extraccion
Norte II]]+Tabla1[[#This Row],[Extraccion
ENO]]</f>
        <v>57315.166940069998</v>
      </c>
      <c r="J1210" s="1862">
        <v>57315.166940069998</v>
      </c>
      <c r="K1210" s="1862"/>
      <c r="L1210" s="1862">
        <f t="shared" si="100"/>
        <v>7683.8330599300025</v>
      </c>
      <c r="M1210" s="1862">
        <f>M1209+Tabla1[[#This Row],[Desbalance
TPL]]</f>
        <v>-479859.11637520901</v>
      </c>
    </row>
    <row r="1211" spans="2:13" x14ac:dyDescent="0.25">
      <c r="B1211" s="1859">
        <f t="shared" si="101"/>
        <v>2016</v>
      </c>
      <c r="C1211" s="1859">
        <f t="shared" si="102"/>
        <v>10</v>
      </c>
      <c r="D1211" s="1860">
        <f t="shared" si="103"/>
        <v>42670</v>
      </c>
      <c r="E1211" s="1861">
        <v>42670</v>
      </c>
      <c r="F1211" s="1862">
        <f t="shared" si="99"/>
        <v>0</v>
      </c>
      <c r="G1211" s="1862">
        <v>64999</v>
      </c>
      <c r="H1211" s="1862">
        <v>64999</v>
      </c>
      <c r="I1211" s="1862">
        <f>Tabla1[[#This Row],[Extraccion
Norte II]]+Tabla1[[#This Row],[Extraccion
ENO]]</f>
        <v>67862.923781327991</v>
      </c>
      <c r="J1211" s="1862">
        <v>67862.923781327991</v>
      </c>
      <c r="K1211" s="1862"/>
      <c r="L1211" s="1862">
        <f t="shared" si="100"/>
        <v>-2863.9237813279906</v>
      </c>
      <c r="M1211" s="1862">
        <f>M1210+Tabla1[[#This Row],[Desbalance
TPL]]</f>
        <v>-482723.04015653697</v>
      </c>
    </row>
    <row r="1212" spans="2:13" x14ac:dyDescent="0.25">
      <c r="B1212" s="1859">
        <f t="shared" si="101"/>
        <v>2016</v>
      </c>
      <c r="C1212" s="1859">
        <f t="shared" si="102"/>
        <v>10</v>
      </c>
      <c r="D1212" s="1860">
        <f t="shared" si="103"/>
        <v>42671</v>
      </c>
      <c r="E1212" s="1861">
        <v>42671</v>
      </c>
      <c r="F1212" s="1862">
        <f t="shared" si="99"/>
        <v>0</v>
      </c>
      <c r="G1212" s="1862">
        <v>64999</v>
      </c>
      <c r="H1212" s="1862">
        <v>64999</v>
      </c>
      <c r="I1212" s="1862">
        <f>Tabla1[[#This Row],[Extraccion
Norte II]]+Tabla1[[#This Row],[Extraccion
ENO]]</f>
        <v>67606.46114763798</v>
      </c>
      <c r="J1212" s="1862">
        <v>67606.46114763798</v>
      </c>
      <c r="K1212" s="1862"/>
      <c r="L1212" s="1862">
        <f t="shared" si="100"/>
        <v>-2607.4611476379796</v>
      </c>
      <c r="M1212" s="1862">
        <f>M1211+Tabla1[[#This Row],[Desbalance
TPL]]</f>
        <v>-485330.50130417495</v>
      </c>
    </row>
    <row r="1213" spans="2:13" x14ac:dyDescent="0.25">
      <c r="B1213" s="1859">
        <f t="shared" si="101"/>
        <v>2016</v>
      </c>
      <c r="C1213" s="1859">
        <f t="shared" si="102"/>
        <v>10</v>
      </c>
      <c r="D1213" s="1860">
        <f t="shared" si="103"/>
        <v>42672</v>
      </c>
      <c r="E1213" s="1861">
        <v>42672</v>
      </c>
      <c r="F1213" s="1862">
        <f t="shared" si="99"/>
        <v>0</v>
      </c>
      <c r="G1213" s="1862">
        <v>60000</v>
      </c>
      <c r="H1213" s="1862">
        <v>60000</v>
      </c>
      <c r="I1213" s="1862">
        <f>Tabla1[[#This Row],[Extraccion
Norte II]]+Tabla1[[#This Row],[Extraccion
ENO]]</f>
        <v>62931.146460169228</v>
      </c>
      <c r="J1213" s="1862">
        <v>62931.146460169228</v>
      </c>
      <c r="K1213" s="1862"/>
      <c r="L1213" s="1862">
        <f t="shared" si="100"/>
        <v>-2931.1464601692278</v>
      </c>
      <c r="M1213" s="1862">
        <f>M1212+Tabla1[[#This Row],[Desbalance
TPL]]</f>
        <v>-488261.64776434418</v>
      </c>
    </row>
    <row r="1214" spans="2:13" x14ac:dyDescent="0.25">
      <c r="B1214" s="1859">
        <f t="shared" si="101"/>
        <v>2016</v>
      </c>
      <c r="C1214" s="1859">
        <f t="shared" si="102"/>
        <v>10</v>
      </c>
      <c r="D1214" s="1860">
        <f t="shared" si="103"/>
        <v>42673</v>
      </c>
      <c r="E1214" s="1861">
        <v>42673</v>
      </c>
      <c r="F1214" s="1862">
        <f t="shared" si="99"/>
        <v>0</v>
      </c>
      <c r="G1214" s="1862">
        <v>60000</v>
      </c>
      <c r="H1214" s="1862">
        <v>60000</v>
      </c>
      <c r="I1214" s="1862">
        <f>Tabla1[[#This Row],[Extraccion
Norte II]]+Tabla1[[#This Row],[Extraccion
ENO]]</f>
        <v>62739.061719089761</v>
      </c>
      <c r="J1214" s="1862">
        <v>62739.061719089761</v>
      </c>
      <c r="K1214" s="1862"/>
      <c r="L1214" s="1862">
        <f t="shared" si="100"/>
        <v>-2739.061719089761</v>
      </c>
      <c r="M1214" s="1862">
        <f>M1213+Tabla1[[#This Row],[Desbalance
TPL]]</f>
        <v>-491000.70948343392</v>
      </c>
    </row>
    <row r="1215" spans="2:13" x14ac:dyDescent="0.25">
      <c r="B1215" s="1859">
        <f t="shared" si="101"/>
        <v>2016</v>
      </c>
      <c r="C1215" s="1859">
        <f t="shared" si="102"/>
        <v>10</v>
      </c>
      <c r="D1215" s="1860">
        <f t="shared" si="103"/>
        <v>42674</v>
      </c>
      <c r="E1215" s="1861">
        <v>42674</v>
      </c>
      <c r="F1215" s="1862">
        <f t="shared" si="99"/>
        <v>0</v>
      </c>
      <c r="G1215" s="1862">
        <v>60000</v>
      </c>
      <c r="H1215" s="1862">
        <v>60000</v>
      </c>
      <c r="I1215" s="1862">
        <f>Tabla1[[#This Row],[Extraccion
Norte II]]+Tabla1[[#This Row],[Extraccion
ENO]]</f>
        <v>70638.512920997353</v>
      </c>
      <c r="J1215" s="1862">
        <v>70638.512920997353</v>
      </c>
      <c r="K1215" s="1862"/>
      <c r="L1215" s="1862">
        <f t="shared" si="100"/>
        <v>-10638.512920997353</v>
      </c>
      <c r="M1215" s="1862">
        <f>M1214+Tabla1[[#This Row],[Desbalance
TPL]]</f>
        <v>-501639.22240443126</v>
      </c>
    </row>
    <row r="1216" spans="2:13" x14ac:dyDescent="0.25">
      <c r="B1216" s="1859">
        <f t="shared" si="101"/>
        <v>2016</v>
      </c>
      <c r="C1216" s="1859">
        <f t="shared" si="102"/>
        <v>11</v>
      </c>
      <c r="D1216" s="1860">
        <f t="shared" si="103"/>
        <v>42675</v>
      </c>
      <c r="E1216" s="1861">
        <v>42675</v>
      </c>
      <c r="F1216" s="1862">
        <f t="shared" si="99"/>
        <v>0</v>
      </c>
      <c r="G1216" s="1862">
        <v>65000</v>
      </c>
      <c r="H1216" s="1862">
        <v>65000</v>
      </c>
      <c r="I1216" s="1862">
        <f>Tabla1[[#This Row],[Extraccion
Norte II]]+Tabla1[[#This Row],[Extraccion
ENO]]</f>
        <v>67178.43344618674</v>
      </c>
      <c r="J1216" s="1862">
        <v>67178.43344618674</v>
      </c>
      <c r="K1216" s="1862"/>
      <c r="L1216" s="1862">
        <f t="shared" si="100"/>
        <v>-2178.4334461867402</v>
      </c>
      <c r="M1216" s="1862">
        <f>M1215+Tabla1[[#This Row],[Desbalance
TPL]]</f>
        <v>-503817.65585061803</v>
      </c>
    </row>
    <row r="1217" spans="2:13" x14ac:dyDescent="0.25">
      <c r="B1217" s="1859">
        <f t="shared" si="101"/>
        <v>2016</v>
      </c>
      <c r="C1217" s="1859">
        <f t="shared" si="102"/>
        <v>11</v>
      </c>
      <c r="D1217" s="1860">
        <f t="shared" si="103"/>
        <v>42676</v>
      </c>
      <c r="E1217" s="1861">
        <v>42676</v>
      </c>
      <c r="F1217" s="1862">
        <f t="shared" si="99"/>
        <v>0</v>
      </c>
      <c r="G1217" s="1862">
        <v>64999</v>
      </c>
      <c r="H1217" s="1862">
        <v>64999</v>
      </c>
      <c r="I1217" s="1862">
        <f>Tabla1[[#This Row],[Extraccion
Norte II]]+Tabla1[[#This Row],[Extraccion
ENO]]</f>
        <v>67904.326583612623</v>
      </c>
      <c r="J1217" s="1862">
        <v>67904.326583612623</v>
      </c>
      <c r="K1217" s="1862"/>
      <c r="L1217" s="1862">
        <f t="shared" si="100"/>
        <v>-2905.3265836126229</v>
      </c>
      <c r="M1217" s="1862">
        <f>M1216+Tabla1[[#This Row],[Desbalance
TPL]]</f>
        <v>-506722.98243423062</v>
      </c>
    </row>
    <row r="1218" spans="2:13" x14ac:dyDescent="0.25">
      <c r="B1218" s="1859">
        <f t="shared" si="101"/>
        <v>2016</v>
      </c>
      <c r="C1218" s="1859">
        <f t="shared" si="102"/>
        <v>11</v>
      </c>
      <c r="D1218" s="1860">
        <f t="shared" si="103"/>
        <v>42677</v>
      </c>
      <c r="E1218" s="1861">
        <v>42677</v>
      </c>
      <c r="F1218" s="1862">
        <f t="shared" si="99"/>
        <v>0</v>
      </c>
      <c r="G1218" s="1862">
        <v>74999</v>
      </c>
      <c r="H1218" s="1862">
        <v>74999</v>
      </c>
      <c r="I1218" s="1862">
        <f>Tabla1[[#This Row],[Extraccion
Norte II]]+Tabla1[[#This Row],[Extraccion
ENO]]</f>
        <v>71795.452700141032</v>
      </c>
      <c r="J1218" s="1862">
        <v>71795.452700141032</v>
      </c>
      <c r="K1218" s="1862"/>
      <c r="L1218" s="1862">
        <f t="shared" si="100"/>
        <v>3203.5472998589685</v>
      </c>
      <c r="M1218" s="1862">
        <f>M1217+Tabla1[[#This Row],[Desbalance
TPL]]</f>
        <v>-503519.43513437163</v>
      </c>
    </row>
    <row r="1219" spans="2:13" x14ac:dyDescent="0.25">
      <c r="B1219" s="1859">
        <f t="shared" si="101"/>
        <v>2016</v>
      </c>
      <c r="C1219" s="1859">
        <f t="shared" si="102"/>
        <v>11</v>
      </c>
      <c r="D1219" s="1860">
        <f t="shared" si="103"/>
        <v>42678</v>
      </c>
      <c r="E1219" s="1861">
        <v>42678</v>
      </c>
      <c r="F1219" s="1862">
        <f t="shared" si="99"/>
        <v>0</v>
      </c>
      <c r="G1219" s="1862">
        <v>62000</v>
      </c>
      <c r="H1219" s="1862">
        <v>62000</v>
      </c>
      <c r="I1219" s="1862">
        <f>Tabla1[[#This Row],[Extraccion
Norte II]]+Tabla1[[#This Row],[Extraccion
ENO]]</f>
        <v>70413.381882099144</v>
      </c>
      <c r="J1219" s="1862">
        <v>70413.381882099144</v>
      </c>
      <c r="K1219" s="1862"/>
      <c r="L1219" s="1862">
        <f t="shared" si="100"/>
        <v>-8413.3818820991437</v>
      </c>
      <c r="M1219" s="1862">
        <f>M1218+Tabla1[[#This Row],[Desbalance
TPL]]</f>
        <v>-511932.81701647077</v>
      </c>
    </row>
    <row r="1220" spans="2:13" x14ac:dyDescent="0.25">
      <c r="B1220" s="1859">
        <f t="shared" si="101"/>
        <v>2016</v>
      </c>
      <c r="C1220" s="1859">
        <f t="shared" si="102"/>
        <v>11</v>
      </c>
      <c r="D1220" s="1860">
        <f t="shared" si="103"/>
        <v>42679</v>
      </c>
      <c r="E1220" s="1861">
        <v>42679</v>
      </c>
      <c r="F1220" s="1862">
        <f t="shared" si="99"/>
        <v>0</v>
      </c>
      <c r="G1220" s="1862">
        <v>64999</v>
      </c>
      <c r="H1220" s="1862">
        <v>64999</v>
      </c>
      <c r="I1220" s="1862">
        <f>Tabla1[[#This Row],[Extraccion
Norte II]]+Tabla1[[#This Row],[Extraccion
ENO]]</f>
        <v>65241.950315433518</v>
      </c>
      <c r="J1220" s="1862">
        <v>65241.950315433518</v>
      </c>
      <c r="K1220" s="1862"/>
      <c r="L1220" s="1862">
        <f t="shared" si="100"/>
        <v>-242.95031543351797</v>
      </c>
      <c r="M1220" s="1862">
        <f>M1219+Tabla1[[#This Row],[Desbalance
TPL]]</f>
        <v>-512175.76733190427</v>
      </c>
    </row>
    <row r="1221" spans="2:13" x14ac:dyDescent="0.25">
      <c r="B1221" s="1859">
        <f t="shared" si="101"/>
        <v>2016</v>
      </c>
      <c r="C1221" s="1859">
        <f t="shared" si="102"/>
        <v>11</v>
      </c>
      <c r="D1221" s="1860">
        <f t="shared" si="103"/>
        <v>42680</v>
      </c>
      <c r="E1221" s="1861">
        <v>42680</v>
      </c>
      <c r="F1221" s="1862">
        <f t="shared" si="99"/>
        <v>0</v>
      </c>
      <c r="G1221" s="1862">
        <v>64999</v>
      </c>
      <c r="H1221" s="1862">
        <v>64999</v>
      </c>
      <c r="I1221" s="1862">
        <f>Tabla1[[#This Row],[Extraccion
Norte II]]+Tabla1[[#This Row],[Extraccion
ENO]]</f>
        <v>61227.470538056747</v>
      </c>
      <c r="J1221" s="1862">
        <v>61227.470538056747</v>
      </c>
      <c r="K1221" s="1862"/>
      <c r="L1221" s="1862">
        <f t="shared" si="100"/>
        <v>3771.5294619432534</v>
      </c>
      <c r="M1221" s="1862">
        <f>M1220+Tabla1[[#This Row],[Desbalance
TPL]]</f>
        <v>-508404.23786996101</v>
      </c>
    </row>
    <row r="1222" spans="2:13" x14ac:dyDescent="0.25">
      <c r="B1222" s="1859">
        <f t="shared" si="101"/>
        <v>2016</v>
      </c>
      <c r="C1222" s="1859">
        <f t="shared" si="102"/>
        <v>11</v>
      </c>
      <c r="D1222" s="1860">
        <f t="shared" si="103"/>
        <v>42681</v>
      </c>
      <c r="E1222" s="1861">
        <v>42681</v>
      </c>
      <c r="F1222" s="1862">
        <f t="shared" si="99"/>
        <v>0</v>
      </c>
      <c r="G1222" s="1862">
        <v>64999</v>
      </c>
      <c r="H1222" s="1862">
        <v>64999</v>
      </c>
      <c r="I1222" s="1862">
        <f>Tabla1[[#This Row],[Extraccion
Norte II]]+Tabla1[[#This Row],[Extraccion
ENO]]</f>
        <v>67863.370059030043</v>
      </c>
      <c r="J1222" s="1862">
        <v>67863.370059030043</v>
      </c>
      <c r="K1222" s="1862"/>
      <c r="L1222" s="1862">
        <f t="shared" si="100"/>
        <v>-2864.3700590300432</v>
      </c>
      <c r="M1222" s="1862">
        <f>M1221+Tabla1[[#This Row],[Desbalance
TPL]]</f>
        <v>-511268.60792899108</v>
      </c>
    </row>
    <row r="1223" spans="2:13" x14ac:dyDescent="0.25">
      <c r="B1223" s="1859">
        <f t="shared" si="101"/>
        <v>2016</v>
      </c>
      <c r="C1223" s="1859">
        <f t="shared" si="102"/>
        <v>11</v>
      </c>
      <c r="D1223" s="1860">
        <f t="shared" si="103"/>
        <v>42682</v>
      </c>
      <c r="E1223" s="1861">
        <v>42682</v>
      </c>
      <c r="F1223" s="1862">
        <f t="shared" si="99"/>
        <v>0</v>
      </c>
      <c r="G1223" s="1862">
        <v>66999</v>
      </c>
      <c r="H1223" s="1862">
        <v>66999</v>
      </c>
      <c r="I1223" s="1862">
        <f>Tabla1[[#This Row],[Extraccion
Norte II]]+Tabla1[[#This Row],[Extraccion
ENO]]</f>
        <v>64560.48008352163</v>
      </c>
      <c r="J1223" s="1862">
        <v>64560.48008352163</v>
      </c>
      <c r="K1223" s="1862"/>
      <c r="L1223" s="1862">
        <f t="shared" si="100"/>
        <v>2438.5199164783699</v>
      </c>
      <c r="M1223" s="1862">
        <f>M1222+Tabla1[[#This Row],[Desbalance
TPL]]</f>
        <v>-508830.08801251272</v>
      </c>
    </row>
    <row r="1224" spans="2:13" x14ac:dyDescent="0.25">
      <c r="B1224" s="1859">
        <f t="shared" si="101"/>
        <v>2016</v>
      </c>
      <c r="C1224" s="1859">
        <f t="shared" si="102"/>
        <v>11</v>
      </c>
      <c r="D1224" s="1860">
        <f t="shared" si="103"/>
        <v>42683</v>
      </c>
      <c r="E1224" s="1861">
        <v>42683</v>
      </c>
      <c r="F1224" s="1862">
        <f t="shared" si="99"/>
        <v>0</v>
      </c>
      <c r="G1224" s="1862">
        <v>62000</v>
      </c>
      <c r="H1224" s="1862">
        <v>62000</v>
      </c>
      <c r="I1224" s="1862">
        <f>Tabla1[[#This Row],[Extraccion
Norte II]]+Tabla1[[#This Row],[Extraccion
ENO]]</f>
        <v>64897.436428018991</v>
      </c>
      <c r="J1224" s="1862">
        <v>64897.436428018991</v>
      </c>
      <c r="K1224" s="1862"/>
      <c r="L1224" s="1862">
        <f t="shared" si="100"/>
        <v>-2897.4364280189911</v>
      </c>
      <c r="M1224" s="1862">
        <f>M1223+Tabla1[[#This Row],[Desbalance
TPL]]</f>
        <v>-511727.52444053174</v>
      </c>
    </row>
    <row r="1225" spans="2:13" x14ac:dyDescent="0.25">
      <c r="B1225" s="1859">
        <f t="shared" si="101"/>
        <v>2016</v>
      </c>
      <c r="C1225" s="1859">
        <f t="shared" si="102"/>
        <v>11</v>
      </c>
      <c r="D1225" s="1860">
        <f t="shared" si="103"/>
        <v>42684</v>
      </c>
      <c r="E1225" s="1861">
        <v>42684</v>
      </c>
      <c r="F1225" s="1862">
        <f t="shared" si="99"/>
        <v>0</v>
      </c>
      <c r="G1225" s="1862">
        <v>64999</v>
      </c>
      <c r="H1225" s="1862">
        <v>64999</v>
      </c>
      <c r="I1225" s="1862">
        <f>Tabla1[[#This Row],[Extraccion
Norte II]]+Tabla1[[#This Row],[Extraccion
ENO]]</f>
        <v>67150.315954792924</v>
      </c>
      <c r="J1225" s="1862">
        <v>67150.315954792924</v>
      </c>
      <c r="K1225" s="1862"/>
      <c r="L1225" s="1862">
        <f t="shared" si="100"/>
        <v>-2151.3159547929245</v>
      </c>
      <c r="M1225" s="1862">
        <f>M1224+Tabla1[[#This Row],[Desbalance
TPL]]</f>
        <v>-513878.84039532463</v>
      </c>
    </row>
    <row r="1226" spans="2:13" x14ac:dyDescent="0.25">
      <c r="B1226" s="1859">
        <f t="shared" si="101"/>
        <v>2016</v>
      </c>
      <c r="C1226" s="1859">
        <f t="shared" si="102"/>
        <v>11</v>
      </c>
      <c r="D1226" s="1860">
        <f t="shared" si="103"/>
        <v>42685</v>
      </c>
      <c r="E1226" s="1861">
        <v>42685</v>
      </c>
      <c r="F1226" s="1862">
        <f t="shared" si="99"/>
        <v>0</v>
      </c>
      <c r="G1226" s="1862">
        <v>64999</v>
      </c>
      <c r="H1226" s="1862">
        <v>64999</v>
      </c>
      <c r="I1226" s="1862">
        <f>Tabla1[[#This Row],[Extraccion
Norte II]]+Tabla1[[#This Row],[Extraccion
ENO]]</f>
        <v>68117.555786612284</v>
      </c>
      <c r="J1226" s="1862">
        <v>68117.555786612284</v>
      </c>
      <c r="K1226" s="1862"/>
      <c r="L1226" s="1862">
        <f t="shared" si="100"/>
        <v>-3118.5557866122836</v>
      </c>
      <c r="M1226" s="1862">
        <f>M1225+Tabla1[[#This Row],[Desbalance
TPL]]</f>
        <v>-516997.3961819369</v>
      </c>
    </row>
    <row r="1227" spans="2:13" x14ac:dyDescent="0.25">
      <c r="B1227" s="1859">
        <f t="shared" si="101"/>
        <v>2016</v>
      </c>
      <c r="C1227" s="1859">
        <f t="shared" si="102"/>
        <v>11</v>
      </c>
      <c r="D1227" s="1860">
        <f t="shared" si="103"/>
        <v>42686</v>
      </c>
      <c r="E1227" s="1861">
        <v>42686</v>
      </c>
      <c r="F1227" s="1862">
        <f t="shared" si="99"/>
        <v>0</v>
      </c>
      <c r="G1227" s="1862">
        <v>64001</v>
      </c>
      <c r="H1227" s="1862">
        <v>64001</v>
      </c>
      <c r="I1227" s="1862">
        <f>Tabla1[[#This Row],[Extraccion
Norte II]]+Tabla1[[#This Row],[Extraccion
ENO]]</f>
        <v>63626.695230395359</v>
      </c>
      <c r="J1227" s="1862">
        <v>63626.695230395359</v>
      </c>
      <c r="K1227" s="1862"/>
      <c r="L1227" s="1862">
        <f t="shared" si="100"/>
        <v>374.30476960464148</v>
      </c>
      <c r="M1227" s="1862">
        <f>M1226+Tabla1[[#This Row],[Desbalance
TPL]]</f>
        <v>-516623.09141233226</v>
      </c>
    </row>
    <row r="1228" spans="2:13" x14ac:dyDescent="0.25">
      <c r="B1228" s="1859">
        <f t="shared" si="101"/>
        <v>2016</v>
      </c>
      <c r="C1228" s="1859">
        <f t="shared" si="102"/>
        <v>11</v>
      </c>
      <c r="D1228" s="1860">
        <f t="shared" si="103"/>
        <v>42687</v>
      </c>
      <c r="E1228" s="1861">
        <v>42687</v>
      </c>
      <c r="F1228" s="1862">
        <f t="shared" ref="F1228:F1275" si="104">G1228-H1228</f>
        <v>0</v>
      </c>
      <c r="G1228" s="1862">
        <v>64001</v>
      </c>
      <c r="H1228" s="1862">
        <v>64001</v>
      </c>
      <c r="I1228" s="1862">
        <f>Tabla1[[#This Row],[Extraccion
Norte II]]+Tabla1[[#This Row],[Extraccion
ENO]]</f>
        <v>57601.785473946409</v>
      </c>
      <c r="J1228" s="1862">
        <v>57601.785473946409</v>
      </c>
      <c r="K1228" s="1862"/>
      <c r="L1228" s="1862">
        <f t="shared" ref="L1228:L1291" si="105">H1228-I1228</f>
        <v>6399.2145260535908</v>
      </c>
      <c r="M1228" s="1862">
        <f>M1227+Tabla1[[#This Row],[Desbalance
TPL]]</f>
        <v>-510223.87688627868</v>
      </c>
    </row>
    <row r="1229" spans="2:13" x14ac:dyDescent="0.25">
      <c r="B1229" s="1859">
        <f t="shared" si="101"/>
        <v>2016</v>
      </c>
      <c r="C1229" s="1859">
        <f t="shared" si="102"/>
        <v>11</v>
      </c>
      <c r="D1229" s="1860">
        <f t="shared" si="103"/>
        <v>42688</v>
      </c>
      <c r="E1229" s="1861">
        <v>42688</v>
      </c>
      <c r="F1229" s="1862">
        <f t="shared" si="104"/>
        <v>0</v>
      </c>
      <c r="G1229" s="1862">
        <v>64001</v>
      </c>
      <c r="H1229" s="1862">
        <v>64001</v>
      </c>
      <c r="I1229" s="1862">
        <f>Tabla1[[#This Row],[Extraccion
Norte II]]+Tabla1[[#This Row],[Extraccion
ENO]]</f>
        <v>68135.342164776099</v>
      </c>
      <c r="J1229" s="1862">
        <v>68135.342164776099</v>
      </c>
      <c r="K1229" s="1862"/>
      <c r="L1229" s="1862">
        <f t="shared" si="105"/>
        <v>-4134.3421647760988</v>
      </c>
      <c r="M1229" s="1862">
        <f>M1228+Tabla1[[#This Row],[Desbalance
TPL]]</f>
        <v>-514358.2190510548</v>
      </c>
    </row>
    <row r="1230" spans="2:13" x14ac:dyDescent="0.25">
      <c r="B1230" s="1859">
        <f t="shared" si="101"/>
        <v>2016</v>
      </c>
      <c r="C1230" s="1859">
        <f t="shared" si="102"/>
        <v>11</v>
      </c>
      <c r="D1230" s="1860">
        <f t="shared" si="103"/>
        <v>42689</v>
      </c>
      <c r="E1230" s="1861">
        <v>42689</v>
      </c>
      <c r="F1230" s="1862">
        <f t="shared" si="104"/>
        <v>0</v>
      </c>
      <c r="G1230" s="1862">
        <v>64001</v>
      </c>
      <c r="H1230" s="1862">
        <v>64001</v>
      </c>
      <c r="I1230" s="1862">
        <f>Tabla1[[#This Row],[Extraccion
Norte II]]+Tabla1[[#This Row],[Extraccion
ENO]]</f>
        <v>64430.696726050555</v>
      </c>
      <c r="J1230" s="1862">
        <v>64430.696726050555</v>
      </c>
      <c r="K1230" s="1862"/>
      <c r="L1230" s="1862">
        <f t="shared" si="105"/>
        <v>-429.6967260505553</v>
      </c>
      <c r="M1230" s="1862">
        <f>M1229+Tabla1[[#This Row],[Desbalance
TPL]]</f>
        <v>-514787.91577710537</v>
      </c>
    </row>
    <row r="1231" spans="2:13" x14ac:dyDescent="0.25">
      <c r="B1231" s="1859">
        <f t="shared" si="101"/>
        <v>2016</v>
      </c>
      <c r="C1231" s="1859">
        <f t="shared" si="102"/>
        <v>11</v>
      </c>
      <c r="D1231" s="1860">
        <f t="shared" si="103"/>
        <v>42690</v>
      </c>
      <c r="E1231" s="1861">
        <v>42690</v>
      </c>
      <c r="F1231" s="1862">
        <f t="shared" si="104"/>
        <v>0</v>
      </c>
      <c r="G1231" s="1862">
        <v>66000</v>
      </c>
      <c r="H1231" s="1862">
        <v>66000</v>
      </c>
      <c r="I1231" s="1862">
        <f>Tabla1[[#This Row],[Extraccion
Norte II]]+Tabla1[[#This Row],[Extraccion
ENO]]</f>
        <v>65691.914398856563</v>
      </c>
      <c r="J1231" s="1862">
        <v>65691.914398856563</v>
      </c>
      <c r="K1231" s="1862"/>
      <c r="L1231" s="1862">
        <f t="shared" si="105"/>
        <v>308.08560114343709</v>
      </c>
      <c r="M1231" s="1862">
        <f>M1230+Tabla1[[#This Row],[Desbalance
TPL]]</f>
        <v>-514479.83017596195</v>
      </c>
    </row>
    <row r="1232" spans="2:13" x14ac:dyDescent="0.25">
      <c r="B1232" s="1859">
        <f t="shared" si="101"/>
        <v>2016</v>
      </c>
      <c r="C1232" s="1859">
        <f t="shared" si="102"/>
        <v>11</v>
      </c>
      <c r="D1232" s="1860">
        <f t="shared" si="103"/>
        <v>42691</v>
      </c>
      <c r="E1232" s="1861">
        <v>42691</v>
      </c>
      <c r="F1232" s="1862">
        <f t="shared" si="104"/>
        <v>0</v>
      </c>
      <c r="G1232" s="1862">
        <v>66000</v>
      </c>
      <c r="H1232" s="1862">
        <v>66000</v>
      </c>
      <c r="I1232" s="1862">
        <f>Tabla1[[#This Row],[Extraccion
Norte II]]+Tabla1[[#This Row],[Extraccion
ENO]]</f>
        <v>67936.330216595146</v>
      </c>
      <c r="J1232" s="1862">
        <v>67936.330216595146</v>
      </c>
      <c r="K1232" s="1862"/>
      <c r="L1232" s="1862">
        <f t="shared" si="105"/>
        <v>-1936.3302165951463</v>
      </c>
      <c r="M1232" s="1862">
        <f>M1231+Tabla1[[#This Row],[Desbalance
TPL]]</f>
        <v>-516416.1603925571</v>
      </c>
    </row>
    <row r="1233" spans="2:13" x14ac:dyDescent="0.25">
      <c r="B1233" s="1859">
        <f t="shared" si="101"/>
        <v>2016</v>
      </c>
      <c r="C1233" s="1859">
        <f t="shared" si="102"/>
        <v>11</v>
      </c>
      <c r="D1233" s="1860">
        <f t="shared" si="103"/>
        <v>42692</v>
      </c>
      <c r="E1233" s="1861">
        <v>42692</v>
      </c>
      <c r="F1233" s="1862">
        <f t="shared" si="104"/>
        <v>0</v>
      </c>
      <c r="G1233" s="1862">
        <v>66000</v>
      </c>
      <c r="H1233" s="1862">
        <v>66000</v>
      </c>
      <c r="I1233" s="1862">
        <f>Tabla1[[#This Row],[Extraccion
Norte II]]+Tabla1[[#This Row],[Extraccion
ENO]]</f>
        <v>67233.931184695408</v>
      </c>
      <c r="J1233" s="1862">
        <v>67233.931184695408</v>
      </c>
      <c r="K1233" s="1862"/>
      <c r="L1233" s="1862">
        <f t="shared" si="105"/>
        <v>-1233.9311846954079</v>
      </c>
      <c r="M1233" s="1862">
        <f>M1232+Tabla1[[#This Row],[Desbalance
TPL]]</f>
        <v>-517650.09157725249</v>
      </c>
    </row>
    <row r="1234" spans="2:13" x14ac:dyDescent="0.25">
      <c r="B1234" s="1859">
        <f t="shared" si="101"/>
        <v>2016</v>
      </c>
      <c r="C1234" s="1859">
        <f t="shared" si="102"/>
        <v>11</v>
      </c>
      <c r="D1234" s="1860">
        <f t="shared" si="103"/>
        <v>42693</v>
      </c>
      <c r="E1234" s="1861">
        <v>42693</v>
      </c>
      <c r="F1234" s="1862">
        <f t="shared" si="104"/>
        <v>0</v>
      </c>
      <c r="G1234" s="1862">
        <v>64999</v>
      </c>
      <c r="H1234" s="1862">
        <v>64999</v>
      </c>
      <c r="I1234" s="1862">
        <f>Tabla1[[#This Row],[Extraccion
Norte II]]+Tabla1[[#This Row],[Extraccion
ENO]]</f>
        <v>59806.800243778525</v>
      </c>
      <c r="J1234" s="1862">
        <v>59806.800243778525</v>
      </c>
      <c r="K1234" s="1862"/>
      <c r="L1234" s="1862">
        <f t="shared" si="105"/>
        <v>5192.1997562214747</v>
      </c>
      <c r="M1234" s="1862">
        <f>M1233+Tabla1[[#This Row],[Desbalance
TPL]]</f>
        <v>-512457.89182103099</v>
      </c>
    </row>
    <row r="1235" spans="2:13" x14ac:dyDescent="0.25">
      <c r="B1235" s="1859">
        <f t="shared" si="101"/>
        <v>2016</v>
      </c>
      <c r="C1235" s="1859">
        <f t="shared" si="102"/>
        <v>11</v>
      </c>
      <c r="D1235" s="1860">
        <f t="shared" si="103"/>
        <v>42694</v>
      </c>
      <c r="E1235" s="1861">
        <v>42694</v>
      </c>
      <c r="F1235" s="1862">
        <f t="shared" si="104"/>
        <v>0</v>
      </c>
      <c r="G1235" s="1862">
        <v>64999</v>
      </c>
      <c r="H1235" s="1862">
        <v>64999</v>
      </c>
      <c r="I1235" s="1862">
        <f>Tabla1[[#This Row],[Extraccion
Norte II]]+Tabla1[[#This Row],[Extraccion
ENO]]</f>
        <v>58764.283009622239</v>
      </c>
      <c r="J1235" s="1862">
        <v>58764.283009622239</v>
      </c>
      <c r="K1235" s="1862"/>
      <c r="L1235" s="1862">
        <f t="shared" si="105"/>
        <v>6234.7169903777612</v>
      </c>
      <c r="M1235" s="1862">
        <f>M1234+Tabla1[[#This Row],[Desbalance
TPL]]</f>
        <v>-506223.17483065324</v>
      </c>
    </row>
    <row r="1236" spans="2:13" x14ac:dyDescent="0.25">
      <c r="B1236" s="1859">
        <f t="shared" si="101"/>
        <v>2016</v>
      </c>
      <c r="C1236" s="1859">
        <f t="shared" si="102"/>
        <v>11</v>
      </c>
      <c r="D1236" s="1860">
        <f t="shared" si="103"/>
        <v>42695</v>
      </c>
      <c r="E1236" s="1861">
        <v>42695</v>
      </c>
      <c r="F1236" s="1862">
        <f t="shared" si="104"/>
        <v>0</v>
      </c>
      <c r="G1236" s="1862">
        <v>64999</v>
      </c>
      <c r="H1236" s="1862">
        <v>64999</v>
      </c>
      <c r="I1236" s="1862">
        <f>Tabla1[[#This Row],[Extraccion
Norte II]]+Tabla1[[#This Row],[Extraccion
ENO]]</f>
        <v>63186.823918351241</v>
      </c>
      <c r="J1236" s="1862">
        <v>63186.823918351241</v>
      </c>
      <c r="K1236" s="1862"/>
      <c r="L1236" s="1862">
        <f t="shared" si="105"/>
        <v>1812.1760816487586</v>
      </c>
      <c r="M1236" s="1862">
        <f>M1235+Tabla1[[#This Row],[Desbalance
TPL]]</f>
        <v>-504410.9987490045</v>
      </c>
    </row>
    <row r="1237" spans="2:13" x14ac:dyDescent="0.25">
      <c r="B1237" s="1859">
        <f t="shared" si="101"/>
        <v>2016</v>
      </c>
      <c r="C1237" s="1859">
        <f t="shared" si="102"/>
        <v>11</v>
      </c>
      <c r="D1237" s="1860">
        <f t="shared" si="103"/>
        <v>42696</v>
      </c>
      <c r="E1237" s="1861">
        <v>42696</v>
      </c>
      <c r="F1237" s="1862">
        <f t="shared" si="104"/>
        <v>0</v>
      </c>
      <c r="G1237" s="1862">
        <v>64999</v>
      </c>
      <c r="H1237" s="1862">
        <v>64999</v>
      </c>
      <c r="I1237" s="1862">
        <f>Tabla1[[#This Row],[Extraccion
Norte II]]+Tabla1[[#This Row],[Extraccion
ENO]]</f>
        <v>67985.861058559924</v>
      </c>
      <c r="J1237" s="1862">
        <v>67985.861058559924</v>
      </c>
      <c r="K1237" s="1862"/>
      <c r="L1237" s="1862">
        <f t="shared" si="105"/>
        <v>-2986.8610585599235</v>
      </c>
      <c r="M1237" s="1862">
        <f>M1236+Tabla1[[#This Row],[Desbalance
TPL]]</f>
        <v>-507397.85980756441</v>
      </c>
    </row>
    <row r="1238" spans="2:13" x14ac:dyDescent="0.25">
      <c r="B1238" s="1859">
        <f t="shared" si="101"/>
        <v>2016</v>
      </c>
      <c r="C1238" s="1859">
        <f t="shared" si="102"/>
        <v>11</v>
      </c>
      <c r="D1238" s="1860">
        <f t="shared" si="103"/>
        <v>42697</v>
      </c>
      <c r="E1238" s="1861">
        <v>42697</v>
      </c>
      <c r="F1238" s="1862">
        <f t="shared" si="104"/>
        <v>0</v>
      </c>
      <c r="G1238" s="1862">
        <v>64999</v>
      </c>
      <c r="H1238" s="1862">
        <v>64999</v>
      </c>
      <c r="I1238" s="1862">
        <f>Tabla1[[#This Row],[Extraccion
Norte II]]+Tabla1[[#This Row],[Extraccion
ENO]]</f>
        <v>67926.6002828286</v>
      </c>
      <c r="J1238" s="1862">
        <v>67926.6002828286</v>
      </c>
      <c r="K1238" s="1862"/>
      <c r="L1238" s="1862">
        <f t="shared" si="105"/>
        <v>-2927.6002828286</v>
      </c>
      <c r="M1238" s="1862">
        <f>M1237+Tabla1[[#This Row],[Desbalance
TPL]]</f>
        <v>-510325.46009039303</v>
      </c>
    </row>
    <row r="1239" spans="2:13" x14ac:dyDescent="0.25">
      <c r="B1239" s="1859">
        <f t="shared" si="101"/>
        <v>2016</v>
      </c>
      <c r="C1239" s="1859">
        <f t="shared" si="102"/>
        <v>11</v>
      </c>
      <c r="D1239" s="1860">
        <f t="shared" si="103"/>
        <v>42698</v>
      </c>
      <c r="E1239" s="1861">
        <v>42698</v>
      </c>
      <c r="F1239" s="1862">
        <f t="shared" si="104"/>
        <v>0</v>
      </c>
      <c r="G1239" s="1862">
        <v>64001</v>
      </c>
      <c r="H1239" s="1862">
        <v>64001</v>
      </c>
      <c r="I1239" s="1862">
        <f>Tabla1[[#This Row],[Extraccion
Norte II]]+Tabla1[[#This Row],[Extraccion
ENO]]</f>
        <v>67985.799805887087</v>
      </c>
      <c r="J1239" s="1862">
        <v>67985.799805887087</v>
      </c>
      <c r="K1239" s="1862"/>
      <c r="L1239" s="1862">
        <f t="shared" si="105"/>
        <v>-3984.7998058870871</v>
      </c>
      <c r="M1239" s="1862">
        <f>M1238+Tabla1[[#This Row],[Desbalance
TPL]]</f>
        <v>-514310.25989628013</v>
      </c>
    </row>
    <row r="1240" spans="2:13" x14ac:dyDescent="0.25">
      <c r="B1240" s="1859">
        <f t="shared" si="101"/>
        <v>2016</v>
      </c>
      <c r="C1240" s="1859">
        <f t="shared" si="102"/>
        <v>11</v>
      </c>
      <c r="D1240" s="1860">
        <f t="shared" si="103"/>
        <v>42699</v>
      </c>
      <c r="E1240" s="1861">
        <v>42699</v>
      </c>
      <c r="F1240" s="1862">
        <f t="shared" si="104"/>
        <v>0</v>
      </c>
      <c r="G1240" s="1862">
        <v>64001</v>
      </c>
      <c r="H1240" s="1862">
        <v>64001</v>
      </c>
      <c r="I1240" s="1862">
        <f>Tabla1[[#This Row],[Extraccion
Norte II]]+Tabla1[[#This Row],[Extraccion
ENO]]</f>
        <v>67981.721764531932</v>
      </c>
      <c r="J1240" s="1862">
        <v>67981.721764531932</v>
      </c>
      <c r="K1240" s="1862"/>
      <c r="L1240" s="1862">
        <f t="shared" si="105"/>
        <v>-3980.7217645319324</v>
      </c>
      <c r="M1240" s="1862">
        <f>M1239+Tabla1[[#This Row],[Desbalance
TPL]]</f>
        <v>-518290.98166081205</v>
      </c>
    </row>
    <row r="1241" spans="2:13" x14ac:dyDescent="0.25">
      <c r="B1241" s="1859">
        <f t="shared" si="101"/>
        <v>2016</v>
      </c>
      <c r="C1241" s="1859">
        <f t="shared" si="102"/>
        <v>11</v>
      </c>
      <c r="D1241" s="1860">
        <f t="shared" si="103"/>
        <v>42700</v>
      </c>
      <c r="E1241" s="1861">
        <v>42700</v>
      </c>
      <c r="F1241" s="1862">
        <f t="shared" si="104"/>
        <v>0</v>
      </c>
      <c r="G1241" s="1862">
        <v>64001</v>
      </c>
      <c r="H1241" s="1862">
        <v>64001</v>
      </c>
      <c r="I1241" s="1862">
        <f>Tabla1[[#This Row],[Extraccion
Norte II]]+Tabla1[[#This Row],[Extraccion
ENO]]</f>
        <v>65868.23728313949</v>
      </c>
      <c r="J1241" s="1862">
        <v>65868.23728313949</v>
      </c>
      <c r="K1241" s="1862"/>
      <c r="L1241" s="1862">
        <f t="shared" si="105"/>
        <v>-1867.2372831394896</v>
      </c>
      <c r="M1241" s="1862">
        <f>M1240+Tabla1[[#This Row],[Desbalance
TPL]]</f>
        <v>-520158.21894395154</v>
      </c>
    </row>
    <row r="1242" spans="2:13" x14ac:dyDescent="0.25">
      <c r="B1242" s="1859">
        <f t="shared" si="101"/>
        <v>2016</v>
      </c>
      <c r="C1242" s="1859">
        <f t="shared" si="102"/>
        <v>11</v>
      </c>
      <c r="D1242" s="1860">
        <f t="shared" si="103"/>
        <v>42701</v>
      </c>
      <c r="E1242" s="1861">
        <v>42701</v>
      </c>
      <c r="F1242" s="1862">
        <f t="shared" si="104"/>
        <v>0</v>
      </c>
      <c r="G1242" s="1862">
        <v>64001</v>
      </c>
      <c r="H1242" s="1862">
        <v>64001</v>
      </c>
      <c r="I1242" s="1862">
        <f>Tabla1[[#This Row],[Extraccion
Norte II]]+Tabla1[[#This Row],[Extraccion
ENO]]</f>
        <v>64860.397517288184</v>
      </c>
      <c r="J1242" s="1862">
        <v>64860.397517288184</v>
      </c>
      <c r="K1242" s="1862"/>
      <c r="L1242" s="1862">
        <f t="shared" si="105"/>
        <v>-859.39751728818374</v>
      </c>
      <c r="M1242" s="1862">
        <f>M1241+Tabla1[[#This Row],[Desbalance
TPL]]</f>
        <v>-521017.6164612397</v>
      </c>
    </row>
    <row r="1243" spans="2:13" x14ac:dyDescent="0.25">
      <c r="B1243" s="1859">
        <f t="shared" si="101"/>
        <v>2016</v>
      </c>
      <c r="C1243" s="1859">
        <f t="shared" si="102"/>
        <v>11</v>
      </c>
      <c r="D1243" s="1860">
        <f t="shared" si="103"/>
        <v>42702</v>
      </c>
      <c r="E1243" s="1861">
        <v>42702</v>
      </c>
      <c r="F1243" s="1862">
        <f t="shared" si="104"/>
        <v>0</v>
      </c>
      <c r="G1243" s="1862">
        <v>64001</v>
      </c>
      <c r="H1243" s="1862">
        <v>64001</v>
      </c>
      <c r="I1243" s="1862">
        <f>Tabla1[[#This Row],[Extraccion
Norte II]]+Tabla1[[#This Row],[Extraccion
ENO]]</f>
        <v>68066.729100635421</v>
      </c>
      <c r="J1243" s="1862">
        <v>68066.729100635421</v>
      </c>
      <c r="K1243" s="1862"/>
      <c r="L1243" s="1862">
        <f t="shared" si="105"/>
        <v>-4065.7291006354208</v>
      </c>
      <c r="M1243" s="1862">
        <f>M1242+Tabla1[[#This Row],[Desbalance
TPL]]</f>
        <v>-525083.34556187515</v>
      </c>
    </row>
    <row r="1244" spans="2:13" x14ac:dyDescent="0.25">
      <c r="B1244" s="1859">
        <f t="shared" si="101"/>
        <v>2016</v>
      </c>
      <c r="C1244" s="1859">
        <f t="shared" si="102"/>
        <v>11</v>
      </c>
      <c r="D1244" s="1860">
        <f t="shared" si="103"/>
        <v>42703</v>
      </c>
      <c r="E1244" s="1861">
        <v>42703</v>
      </c>
      <c r="F1244" s="1862">
        <f t="shared" si="104"/>
        <v>0</v>
      </c>
      <c r="G1244" s="1862">
        <v>64999</v>
      </c>
      <c r="H1244" s="1862">
        <v>64999</v>
      </c>
      <c r="I1244" s="1862">
        <f>Tabla1[[#This Row],[Extraccion
Norte II]]+Tabla1[[#This Row],[Extraccion
ENO]]</f>
        <v>68131.010344474606</v>
      </c>
      <c r="J1244" s="1862">
        <v>68131.010344474606</v>
      </c>
      <c r="K1244" s="1862"/>
      <c r="L1244" s="1862">
        <f t="shared" si="105"/>
        <v>-3132.0103444746055</v>
      </c>
      <c r="M1244" s="1862">
        <f>M1243+Tabla1[[#This Row],[Desbalance
TPL]]</f>
        <v>-528215.35590634972</v>
      </c>
    </row>
    <row r="1245" spans="2:13" x14ac:dyDescent="0.25">
      <c r="B1245" s="1859">
        <f t="shared" si="101"/>
        <v>2016</v>
      </c>
      <c r="C1245" s="1859">
        <f t="shared" si="102"/>
        <v>11</v>
      </c>
      <c r="D1245" s="1860">
        <f t="shared" si="103"/>
        <v>42704</v>
      </c>
      <c r="E1245" s="1861">
        <v>42704</v>
      </c>
      <c r="F1245" s="1862">
        <f t="shared" si="104"/>
        <v>0</v>
      </c>
      <c r="G1245" s="1862">
        <v>64999</v>
      </c>
      <c r="H1245" s="1862">
        <v>64999</v>
      </c>
      <c r="I1245" s="1862">
        <f>Tabla1[[#This Row],[Extraccion
Norte II]]+Tabla1[[#This Row],[Extraccion
ENO]]</f>
        <v>62028.85350445853</v>
      </c>
      <c r="J1245" s="1862">
        <v>62028.85350445853</v>
      </c>
      <c r="K1245" s="1862"/>
      <c r="L1245" s="1862">
        <f t="shared" si="105"/>
        <v>2970.1464955414704</v>
      </c>
      <c r="M1245" s="1862">
        <f>M1244+Tabla1[[#This Row],[Desbalance
TPL]]</f>
        <v>-525245.20941080828</v>
      </c>
    </row>
    <row r="1246" spans="2:13" x14ac:dyDescent="0.25">
      <c r="B1246" s="1859">
        <f t="shared" si="101"/>
        <v>2016</v>
      </c>
      <c r="C1246" s="1859">
        <f t="shared" si="102"/>
        <v>12</v>
      </c>
      <c r="D1246" s="1860">
        <f t="shared" si="103"/>
        <v>42705</v>
      </c>
      <c r="E1246" s="1861">
        <v>42705</v>
      </c>
      <c r="F1246" s="1862">
        <f t="shared" si="104"/>
        <v>0</v>
      </c>
      <c r="G1246" s="1862">
        <v>66000</v>
      </c>
      <c r="H1246" s="1862">
        <v>66000</v>
      </c>
      <c r="I1246" s="1862">
        <f>Tabla1[[#This Row],[Extraccion
Norte II]]+Tabla1[[#This Row],[Extraccion
ENO]]</f>
        <v>67932.868018380061</v>
      </c>
      <c r="J1246" s="1862">
        <v>67932.868018380061</v>
      </c>
      <c r="K1246" s="1862"/>
      <c r="L1246" s="1862">
        <f t="shared" si="105"/>
        <v>-1932.8680183800607</v>
      </c>
      <c r="M1246" s="1862">
        <f>M1245+Tabla1[[#This Row],[Desbalance
TPL]]</f>
        <v>-527178.0774291883</v>
      </c>
    </row>
    <row r="1247" spans="2:13" x14ac:dyDescent="0.25">
      <c r="B1247" s="1859">
        <f t="shared" si="101"/>
        <v>2016</v>
      </c>
      <c r="C1247" s="1859">
        <f t="shared" si="102"/>
        <v>12</v>
      </c>
      <c r="D1247" s="1860">
        <f t="shared" si="103"/>
        <v>42706</v>
      </c>
      <c r="E1247" s="1861">
        <v>42706</v>
      </c>
      <c r="F1247" s="1862">
        <f t="shared" si="104"/>
        <v>0</v>
      </c>
      <c r="G1247" s="1862">
        <v>66000</v>
      </c>
      <c r="H1247" s="1862">
        <v>66000</v>
      </c>
      <c r="I1247" s="1862">
        <f>Tabla1[[#This Row],[Extraccion
Norte II]]+Tabla1[[#This Row],[Extraccion
ENO]]</f>
        <v>67945.22755190247</v>
      </c>
      <c r="J1247" s="1862">
        <v>67945.22755190247</v>
      </c>
      <c r="K1247" s="1862"/>
      <c r="L1247" s="1862">
        <f t="shared" si="105"/>
        <v>-1945.2275519024697</v>
      </c>
      <c r="M1247" s="1862">
        <f>M1246+Tabla1[[#This Row],[Desbalance
TPL]]</f>
        <v>-529123.30498109083</v>
      </c>
    </row>
    <row r="1248" spans="2:13" x14ac:dyDescent="0.25">
      <c r="B1248" s="1859">
        <f t="shared" si="101"/>
        <v>2016</v>
      </c>
      <c r="C1248" s="1859">
        <f t="shared" si="102"/>
        <v>12</v>
      </c>
      <c r="D1248" s="1860">
        <f t="shared" si="103"/>
        <v>42707</v>
      </c>
      <c r="E1248" s="1861">
        <v>42707</v>
      </c>
      <c r="F1248" s="1862">
        <f t="shared" si="104"/>
        <v>0</v>
      </c>
      <c r="G1248" s="1862">
        <v>66000</v>
      </c>
      <c r="H1248" s="1862">
        <v>66000</v>
      </c>
      <c r="I1248" s="1862">
        <f>Tabla1[[#This Row],[Extraccion
Norte II]]+Tabla1[[#This Row],[Extraccion
ENO]]</f>
        <v>63732.017068288311</v>
      </c>
      <c r="J1248" s="1862">
        <v>63732.017068288311</v>
      </c>
      <c r="K1248" s="1862"/>
      <c r="L1248" s="1862">
        <f t="shared" si="105"/>
        <v>2267.9829317116892</v>
      </c>
      <c r="M1248" s="1862">
        <f>M1247+Tabla1[[#This Row],[Desbalance
TPL]]</f>
        <v>-526855.32204937912</v>
      </c>
    </row>
    <row r="1249" spans="2:13" x14ac:dyDescent="0.25">
      <c r="B1249" s="1859">
        <f t="shared" si="101"/>
        <v>2016</v>
      </c>
      <c r="C1249" s="1859">
        <f t="shared" si="102"/>
        <v>12</v>
      </c>
      <c r="D1249" s="1860">
        <f t="shared" si="103"/>
        <v>42708</v>
      </c>
      <c r="E1249" s="1861">
        <v>42708</v>
      </c>
      <c r="F1249" s="1862">
        <f t="shared" si="104"/>
        <v>0</v>
      </c>
      <c r="G1249" s="1862">
        <v>66000</v>
      </c>
      <c r="H1249" s="1862">
        <v>66000</v>
      </c>
      <c r="I1249" s="1862">
        <f>Tabla1[[#This Row],[Extraccion
Norte II]]+Tabla1[[#This Row],[Extraccion
ENO]]</f>
        <v>63236.510668628012</v>
      </c>
      <c r="J1249" s="1862">
        <v>63236.510668628012</v>
      </c>
      <c r="K1249" s="1862"/>
      <c r="L1249" s="1862">
        <f t="shared" si="105"/>
        <v>2763.4893313719876</v>
      </c>
      <c r="M1249" s="1862">
        <f>M1248+Tabla1[[#This Row],[Desbalance
TPL]]</f>
        <v>-524091.83271800715</v>
      </c>
    </row>
    <row r="1250" spans="2:13" x14ac:dyDescent="0.25">
      <c r="B1250" s="1859">
        <f t="shared" si="101"/>
        <v>2016</v>
      </c>
      <c r="C1250" s="1859">
        <f t="shared" si="102"/>
        <v>12</v>
      </c>
      <c r="D1250" s="1860">
        <f t="shared" si="103"/>
        <v>42709</v>
      </c>
      <c r="E1250" s="1861">
        <v>42709</v>
      </c>
      <c r="F1250" s="1862">
        <f t="shared" si="104"/>
        <v>0</v>
      </c>
      <c r="G1250" s="1862">
        <v>66000</v>
      </c>
      <c r="H1250" s="1862">
        <v>66000</v>
      </c>
      <c r="I1250" s="1862">
        <f>Tabla1[[#This Row],[Extraccion
Norte II]]+Tabla1[[#This Row],[Extraccion
ENO]]</f>
        <v>68243.571905187971</v>
      </c>
      <c r="J1250" s="1862">
        <v>68243.571905187971</v>
      </c>
      <c r="K1250" s="1862"/>
      <c r="L1250" s="1862">
        <f t="shared" si="105"/>
        <v>-2243.5719051879714</v>
      </c>
      <c r="M1250" s="1862">
        <f>M1249+Tabla1[[#This Row],[Desbalance
TPL]]</f>
        <v>-526335.40462319506</v>
      </c>
    </row>
    <row r="1251" spans="2:13" x14ac:dyDescent="0.25">
      <c r="B1251" s="1859">
        <f t="shared" si="101"/>
        <v>2016</v>
      </c>
      <c r="C1251" s="1859">
        <f t="shared" si="102"/>
        <v>12</v>
      </c>
      <c r="D1251" s="1860">
        <f t="shared" si="103"/>
        <v>42710</v>
      </c>
      <c r="E1251" s="1861">
        <v>42710</v>
      </c>
      <c r="F1251" s="1862">
        <f t="shared" si="104"/>
        <v>0</v>
      </c>
      <c r="G1251" s="1862">
        <v>68000</v>
      </c>
      <c r="H1251" s="1862">
        <v>68000</v>
      </c>
      <c r="I1251" s="1862">
        <f>Tabla1[[#This Row],[Extraccion
Norte II]]+Tabla1[[#This Row],[Extraccion
ENO]]</f>
        <v>67933.218710665606</v>
      </c>
      <c r="J1251" s="1862">
        <v>67933.218710665606</v>
      </c>
      <c r="K1251" s="1862"/>
      <c r="L1251" s="1862">
        <f t="shared" si="105"/>
        <v>66.781289334394387</v>
      </c>
      <c r="M1251" s="1862">
        <f>M1250+Tabla1[[#This Row],[Desbalance
TPL]]</f>
        <v>-526268.62333386065</v>
      </c>
    </row>
    <row r="1252" spans="2:13" x14ac:dyDescent="0.25">
      <c r="B1252" s="1859">
        <f t="shared" si="101"/>
        <v>2016</v>
      </c>
      <c r="C1252" s="1859">
        <f t="shared" si="102"/>
        <v>12</v>
      </c>
      <c r="D1252" s="1860">
        <f t="shared" si="103"/>
        <v>42711</v>
      </c>
      <c r="E1252" s="1861">
        <v>42711</v>
      </c>
      <c r="F1252" s="1862">
        <f t="shared" si="104"/>
        <v>0</v>
      </c>
      <c r="G1252" s="1862">
        <v>68000</v>
      </c>
      <c r="H1252" s="1862">
        <v>68000</v>
      </c>
      <c r="I1252" s="1862">
        <f>Tabla1[[#This Row],[Extraccion
Norte II]]+Tabla1[[#This Row],[Extraccion
ENO]]</f>
        <v>68053.458773752296</v>
      </c>
      <c r="J1252" s="1862">
        <v>68053.458773752296</v>
      </c>
      <c r="K1252" s="1862"/>
      <c r="L1252" s="1862">
        <f t="shared" si="105"/>
        <v>-53.458773752296111</v>
      </c>
      <c r="M1252" s="1862">
        <f>M1251+Tabla1[[#This Row],[Desbalance
TPL]]</f>
        <v>-526322.08210761298</v>
      </c>
    </row>
    <row r="1253" spans="2:13" x14ac:dyDescent="0.25">
      <c r="B1253" s="1859">
        <f t="shared" si="101"/>
        <v>2016</v>
      </c>
      <c r="C1253" s="1859">
        <f t="shared" si="102"/>
        <v>12</v>
      </c>
      <c r="D1253" s="1860">
        <f t="shared" si="103"/>
        <v>42712</v>
      </c>
      <c r="E1253" s="1861">
        <v>42712</v>
      </c>
      <c r="F1253" s="1862">
        <f t="shared" si="104"/>
        <v>0</v>
      </c>
      <c r="G1253" s="1862">
        <v>68000</v>
      </c>
      <c r="H1253" s="1862">
        <v>68000</v>
      </c>
      <c r="I1253" s="1862">
        <f>Tabla1[[#This Row],[Extraccion
Norte II]]+Tabla1[[#This Row],[Extraccion
ENO]]</f>
        <v>64966.780910207613</v>
      </c>
      <c r="J1253" s="1862">
        <v>64966.780910207613</v>
      </c>
      <c r="K1253" s="1862"/>
      <c r="L1253" s="1862">
        <f t="shared" si="105"/>
        <v>3033.2190897923865</v>
      </c>
      <c r="M1253" s="1862">
        <f>M1252+Tabla1[[#This Row],[Desbalance
TPL]]</f>
        <v>-523288.86301782058</v>
      </c>
    </row>
    <row r="1254" spans="2:13" x14ac:dyDescent="0.25">
      <c r="B1254" s="1859">
        <f t="shared" si="101"/>
        <v>2016</v>
      </c>
      <c r="C1254" s="1859">
        <f t="shared" si="102"/>
        <v>12</v>
      </c>
      <c r="D1254" s="1860">
        <f t="shared" si="103"/>
        <v>42713</v>
      </c>
      <c r="E1254" s="1861">
        <v>42713</v>
      </c>
      <c r="F1254" s="1862">
        <f t="shared" si="104"/>
        <v>0</v>
      </c>
      <c r="G1254" s="1862">
        <v>68000</v>
      </c>
      <c r="H1254" s="1862">
        <v>68000</v>
      </c>
      <c r="I1254" s="1862">
        <f>Tabla1[[#This Row],[Extraccion
Norte II]]+Tabla1[[#This Row],[Extraccion
ENO]]</f>
        <v>64550.2039702158</v>
      </c>
      <c r="J1254" s="1862">
        <v>64550.2039702158</v>
      </c>
      <c r="K1254" s="1862"/>
      <c r="L1254" s="1862">
        <f t="shared" si="105"/>
        <v>3449.7960297842001</v>
      </c>
      <c r="M1254" s="1862">
        <f>M1253+Tabla1[[#This Row],[Desbalance
TPL]]</f>
        <v>-519839.06698803639</v>
      </c>
    </row>
    <row r="1255" spans="2:13" x14ac:dyDescent="0.25">
      <c r="B1255" s="1859">
        <f t="shared" si="101"/>
        <v>2016</v>
      </c>
      <c r="C1255" s="1859">
        <f t="shared" si="102"/>
        <v>12</v>
      </c>
      <c r="D1255" s="1860">
        <f t="shared" si="103"/>
        <v>42714</v>
      </c>
      <c r="E1255" s="1861">
        <v>42714</v>
      </c>
      <c r="F1255" s="1862">
        <f t="shared" si="104"/>
        <v>0</v>
      </c>
      <c r="G1255" s="1862">
        <v>66000</v>
      </c>
      <c r="H1255" s="1862">
        <v>66000</v>
      </c>
      <c r="I1255" s="1862">
        <f>Tabla1[[#This Row],[Extraccion
Norte II]]+Tabla1[[#This Row],[Extraccion
ENO]]</f>
        <v>64309.862225322635</v>
      </c>
      <c r="J1255" s="1862">
        <v>64309.862225322635</v>
      </c>
      <c r="K1255" s="1862"/>
      <c r="L1255" s="1862">
        <f t="shared" si="105"/>
        <v>1690.1377746773651</v>
      </c>
      <c r="M1255" s="1862">
        <f>M1254+Tabla1[[#This Row],[Desbalance
TPL]]</f>
        <v>-518148.92921335902</v>
      </c>
    </row>
    <row r="1256" spans="2:13" x14ac:dyDescent="0.25">
      <c r="B1256" s="1859">
        <f t="shared" si="101"/>
        <v>2016</v>
      </c>
      <c r="C1256" s="1859">
        <f t="shared" si="102"/>
        <v>12</v>
      </c>
      <c r="D1256" s="1860">
        <f t="shared" si="103"/>
        <v>42715</v>
      </c>
      <c r="E1256" s="1861">
        <v>42715</v>
      </c>
      <c r="F1256" s="1862">
        <f t="shared" si="104"/>
        <v>0</v>
      </c>
      <c r="G1256" s="1862">
        <v>66000</v>
      </c>
      <c r="H1256" s="1862">
        <v>66000</v>
      </c>
      <c r="I1256" s="1862">
        <f>Tabla1[[#This Row],[Extraccion
Norte II]]+Tabla1[[#This Row],[Extraccion
ENO]]</f>
        <v>58326.970321954475</v>
      </c>
      <c r="J1256" s="1862">
        <v>58326.970321954475</v>
      </c>
      <c r="K1256" s="1862"/>
      <c r="L1256" s="1862">
        <f t="shared" si="105"/>
        <v>7673.0296780455246</v>
      </c>
      <c r="M1256" s="1862">
        <f>M1255+Tabla1[[#This Row],[Desbalance
TPL]]</f>
        <v>-510475.89953531348</v>
      </c>
    </row>
    <row r="1257" spans="2:13" x14ac:dyDescent="0.25">
      <c r="B1257" s="1859">
        <f t="shared" si="101"/>
        <v>2016</v>
      </c>
      <c r="C1257" s="1859">
        <f t="shared" si="102"/>
        <v>12</v>
      </c>
      <c r="D1257" s="1860">
        <f t="shared" si="103"/>
        <v>42716</v>
      </c>
      <c r="E1257" s="1861">
        <v>42716</v>
      </c>
      <c r="F1257" s="1862">
        <f t="shared" si="104"/>
        <v>0</v>
      </c>
      <c r="G1257" s="1862">
        <v>66000</v>
      </c>
      <c r="H1257" s="1862">
        <v>66000</v>
      </c>
      <c r="I1257" s="1862">
        <f>Tabla1[[#This Row],[Extraccion
Norte II]]+Tabla1[[#This Row],[Extraccion
ENO]]</f>
        <v>64750.572481460695</v>
      </c>
      <c r="J1257" s="1862">
        <v>64750.572481460695</v>
      </c>
      <c r="K1257" s="1862"/>
      <c r="L1257" s="1862">
        <f t="shared" si="105"/>
        <v>1249.4275185393053</v>
      </c>
      <c r="M1257" s="1862">
        <f>M1256+Tabla1[[#This Row],[Desbalance
TPL]]</f>
        <v>-509226.47201677418</v>
      </c>
    </row>
    <row r="1258" spans="2:13" x14ac:dyDescent="0.25">
      <c r="B1258" s="1859">
        <f t="shared" si="101"/>
        <v>2016</v>
      </c>
      <c r="C1258" s="1859">
        <f t="shared" si="102"/>
        <v>12</v>
      </c>
      <c r="D1258" s="1860">
        <f t="shared" si="103"/>
        <v>42717</v>
      </c>
      <c r="E1258" s="1861">
        <v>42717</v>
      </c>
      <c r="F1258" s="1862">
        <f t="shared" si="104"/>
        <v>0</v>
      </c>
      <c r="G1258" s="1862">
        <v>68000</v>
      </c>
      <c r="H1258" s="1862">
        <v>68000</v>
      </c>
      <c r="I1258" s="1862">
        <f>Tabla1[[#This Row],[Extraccion
Norte II]]+Tabla1[[#This Row],[Extraccion
ENO]]</f>
        <v>67668.083021185608</v>
      </c>
      <c r="J1258" s="1862">
        <v>67668.083021185608</v>
      </c>
      <c r="K1258" s="1862"/>
      <c r="L1258" s="1862">
        <f t="shared" si="105"/>
        <v>331.91697881439177</v>
      </c>
      <c r="M1258" s="1862">
        <f>M1257+Tabla1[[#This Row],[Desbalance
TPL]]</f>
        <v>-508894.55503795977</v>
      </c>
    </row>
    <row r="1259" spans="2:13" x14ac:dyDescent="0.25">
      <c r="B1259" s="1859">
        <f t="shared" si="101"/>
        <v>2016</v>
      </c>
      <c r="C1259" s="1859">
        <f t="shared" si="102"/>
        <v>12</v>
      </c>
      <c r="D1259" s="1860">
        <f t="shared" si="103"/>
        <v>42718</v>
      </c>
      <c r="E1259" s="1861">
        <v>42718</v>
      </c>
      <c r="F1259" s="1862">
        <f t="shared" si="104"/>
        <v>0</v>
      </c>
      <c r="G1259" s="1862">
        <v>64999</v>
      </c>
      <c r="H1259" s="1862">
        <v>64999</v>
      </c>
      <c r="I1259" s="1862">
        <f>Tabla1[[#This Row],[Extraccion
Norte II]]+Tabla1[[#This Row],[Extraccion
ENO]]</f>
        <v>65447.758223260193</v>
      </c>
      <c r="J1259" s="1862">
        <v>65447.758223260193</v>
      </c>
      <c r="K1259" s="1862"/>
      <c r="L1259" s="1862">
        <f t="shared" si="105"/>
        <v>-448.75822326019261</v>
      </c>
      <c r="M1259" s="1862">
        <f>M1258+Tabla1[[#This Row],[Desbalance
TPL]]</f>
        <v>-509343.31326121994</v>
      </c>
    </row>
    <row r="1260" spans="2:13" x14ac:dyDescent="0.25">
      <c r="B1260" s="1859">
        <f t="shared" si="101"/>
        <v>2016</v>
      </c>
      <c r="C1260" s="1859">
        <f t="shared" si="102"/>
        <v>12</v>
      </c>
      <c r="D1260" s="1860">
        <f t="shared" si="103"/>
        <v>42719</v>
      </c>
      <c r="E1260" s="1861">
        <v>42719</v>
      </c>
      <c r="F1260" s="1862">
        <f t="shared" si="104"/>
        <v>0</v>
      </c>
      <c r="G1260" s="1862">
        <v>62000</v>
      </c>
      <c r="H1260" s="1862">
        <v>62000</v>
      </c>
      <c r="I1260" s="1862">
        <f>Tabla1[[#This Row],[Extraccion
Norte II]]+Tabla1[[#This Row],[Extraccion
ENO]]</f>
        <v>66345.985426365994</v>
      </c>
      <c r="J1260" s="1862">
        <v>66345.985426365994</v>
      </c>
      <c r="K1260" s="1862"/>
      <c r="L1260" s="1862">
        <f t="shared" si="105"/>
        <v>-4345.9854263659945</v>
      </c>
      <c r="M1260" s="1862">
        <f>M1259+Tabla1[[#This Row],[Desbalance
TPL]]</f>
        <v>-513689.29868758592</v>
      </c>
    </row>
    <row r="1261" spans="2:13" x14ac:dyDescent="0.25">
      <c r="B1261" s="1859">
        <f t="shared" si="101"/>
        <v>2016</v>
      </c>
      <c r="C1261" s="1859">
        <f t="shared" si="102"/>
        <v>12</v>
      </c>
      <c r="D1261" s="1860">
        <f t="shared" si="103"/>
        <v>42720</v>
      </c>
      <c r="E1261" s="1861">
        <v>42720</v>
      </c>
      <c r="F1261" s="1862">
        <f t="shared" si="104"/>
        <v>0</v>
      </c>
      <c r="G1261" s="1862">
        <v>62000</v>
      </c>
      <c r="H1261" s="1862">
        <v>62000</v>
      </c>
      <c r="I1261" s="1862">
        <f>Tabla1[[#This Row],[Extraccion
Norte II]]+Tabla1[[#This Row],[Extraccion
ENO]]</f>
        <v>64993.507453632788</v>
      </c>
      <c r="J1261" s="1862">
        <v>64993.507453632788</v>
      </c>
      <c r="K1261" s="1862"/>
      <c r="L1261" s="1862">
        <f t="shared" si="105"/>
        <v>-2993.5074536327884</v>
      </c>
      <c r="M1261" s="1862">
        <f>M1260+Tabla1[[#This Row],[Desbalance
TPL]]</f>
        <v>-516682.80614121869</v>
      </c>
    </row>
    <row r="1262" spans="2:13" x14ac:dyDescent="0.25">
      <c r="B1262" s="1859">
        <f t="shared" si="101"/>
        <v>2016</v>
      </c>
      <c r="C1262" s="1859">
        <f t="shared" si="102"/>
        <v>12</v>
      </c>
      <c r="D1262" s="1860">
        <f t="shared" si="103"/>
        <v>42721</v>
      </c>
      <c r="E1262" s="1861">
        <v>42721</v>
      </c>
      <c r="F1262" s="1862">
        <f t="shared" si="104"/>
        <v>0</v>
      </c>
      <c r="G1262" s="1862">
        <v>64999</v>
      </c>
      <c r="H1262" s="1862">
        <v>64999</v>
      </c>
      <c r="I1262" s="1862">
        <f>Tabla1[[#This Row],[Extraccion
Norte II]]+Tabla1[[#This Row],[Extraccion
ENO]]</f>
        <v>68440.604100635421</v>
      </c>
      <c r="J1262" s="1862">
        <v>68440.604100635421</v>
      </c>
      <c r="K1262" s="1862"/>
      <c r="L1262" s="1862">
        <f t="shared" si="105"/>
        <v>-3441.6041006354208</v>
      </c>
      <c r="M1262" s="1862">
        <f>M1261+Tabla1[[#This Row],[Desbalance
TPL]]</f>
        <v>-520124.41024185414</v>
      </c>
    </row>
    <row r="1263" spans="2:13" x14ac:dyDescent="0.25">
      <c r="B1263" s="1859">
        <f t="shared" si="101"/>
        <v>2016</v>
      </c>
      <c r="C1263" s="1859">
        <f t="shared" si="102"/>
        <v>12</v>
      </c>
      <c r="D1263" s="1860">
        <f t="shared" si="103"/>
        <v>42722</v>
      </c>
      <c r="E1263" s="1861">
        <v>42722</v>
      </c>
      <c r="F1263" s="1862">
        <f t="shared" si="104"/>
        <v>0</v>
      </c>
      <c r="G1263" s="1862">
        <v>64999</v>
      </c>
      <c r="H1263" s="1862">
        <v>64999</v>
      </c>
      <c r="I1263" s="1862">
        <f>Tabla1[[#This Row],[Extraccion
Norte II]]+Tabla1[[#This Row],[Extraccion
ENO]]</f>
        <v>60792.706737841407</v>
      </c>
      <c r="J1263" s="1862">
        <v>60792.706737841407</v>
      </c>
      <c r="K1263" s="1862"/>
      <c r="L1263" s="1862">
        <f t="shared" si="105"/>
        <v>4206.2932621585933</v>
      </c>
      <c r="M1263" s="1862">
        <f>M1262+Tabla1[[#This Row],[Desbalance
TPL]]</f>
        <v>-515918.11697969557</v>
      </c>
    </row>
    <row r="1264" spans="2:13" x14ac:dyDescent="0.25">
      <c r="B1264" s="1859">
        <f t="shared" si="101"/>
        <v>2016</v>
      </c>
      <c r="C1264" s="1859">
        <f t="shared" si="102"/>
        <v>12</v>
      </c>
      <c r="D1264" s="1860">
        <f t="shared" si="103"/>
        <v>42723</v>
      </c>
      <c r="E1264" s="1861">
        <v>42723</v>
      </c>
      <c r="F1264" s="1862">
        <f t="shared" si="104"/>
        <v>0</v>
      </c>
      <c r="G1264" s="1862">
        <v>64999</v>
      </c>
      <c r="H1264" s="1862">
        <v>64999</v>
      </c>
      <c r="I1264" s="1862">
        <f>Tabla1[[#This Row],[Extraccion
Norte II]]+Tabla1[[#This Row],[Extraccion
ENO]]</f>
        <v>69464.142187713252</v>
      </c>
      <c r="J1264" s="1862">
        <v>69464.142187713252</v>
      </c>
      <c r="K1264" s="1862"/>
      <c r="L1264" s="1862">
        <f t="shared" si="105"/>
        <v>-4465.1421877132525</v>
      </c>
      <c r="M1264" s="1862">
        <f>M1263+Tabla1[[#This Row],[Desbalance
TPL]]</f>
        <v>-520383.2591674088</v>
      </c>
    </row>
    <row r="1265" spans="2:13" x14ac:dyDescent="0.25">
      <c r="B1265" s="1859">
        <f t="shared" si="101"/>
        <v>2016</v>
      </c>
      <c r="C1265" s="1859">
        <f t="shared" si="102"/>
        <v>12</v>
      </c>
      <c r="D1265" s="1860">
        <f t="shared" si="103"/>
        <v>42724</v>
      </c>
      <c r="E1265" s="1861">
        <v>42724</v>
      </c>
      <c r="F1265" s="1862">
        <f t="shared" si="104"/>
        <v>0</v>
      </c>
      <c r="G1265" s="1862">
        <v>64999</v>
      </c>
      <c r="H1265" s="1862">
        <v>64999</v>
      </c>
      <c r="I1265" s="1862">
        <f>Tabla1[[#This Row],[Extraccion
Norte II]]+Tabla1[[#This Row],[Extraccion
ENO]]</f>
        <v>67957.463869216415</v>
      </c>
      <c r="J1265" s="1862">
        <v>67957.463869216415</v>
      </c>
      <c r="K1265" s="1862"/>
      <c r="L1265" s="1862">
        <f t="shared" si="105"/>
        <v>-2958.4638692164153</v>
      </c>
      <c r="M1265" s="1862">
        <f>M1264+Tabla1[[#This Row],[Desbalance
TPL]]</f>
        <v>-523341.72303662519</v>
      </c>
    </row>
    <row r="1266" spans="2:13" x14ac:dyDescent="0.25">
      <c r="B1266" s="1859">
        <f t="shared" si="101"/>
        <v>2016</v>
      </c>
      <c r="C1266" s="1859">
        <f t="shared" si="102"/>
        <v>12</v>
      </c>
      <c r="D1266" s="1860">
        <f t="shared" si="103"/>
        <v>42725</v>
      </c>
      <c r="E1266" s="1861">
        <v>42725</v>
      </c>
      <c r="F1266" s="1862">
        <f t="shared" si="104"/>
        <v>0</v>
      </c>
      <c r="G1266" s="1862">
        <v>62000</v>
      </c>
      <c r="H1266" s="1862">
        <v>62000</v>
      </c>
      <c r="I1266" s="1862">
        <f>Tabla1[[#This Row],[Extraccion
Norte II]]+Tabla1[[#This Row],[Extraccion
ENO]]</f>
        <v>65169.943585932881</v>
      </c>
      <c r="J1266" s="1862">
        <v>65169.943585932881</v>
      </c>
      <c r="K1266" s="1862"/>
      <c r="L1266" s="1862">
        <f t="shared" si="105"/>
        <v>-3169.9435859328805</v>
      </c>
      <c r="M1266" s="1862">
        <f>M1265+Tabla1[[#This Row],[Desbalance
TPL]]</f>
        <v>-526511.66662255803</v>
      </c>
    </row>
    <row r="1267" spans="2:13" x14ac:dyDescent="0.25">
      <c r="B1267" s="1859">
        <f t="shared" ref="B1267:B1330" si="106">YEAR(E1267)</f>
        <v>2016</v>
      </c>
      <c r="C1267" s="1859">
        <f t="shared" ref="C1267:C1330" si="107">MONTH(E1267)</f>
        <v>12</v>
      </c>
      <c r="D1267" s="1860">
        <f t="shared" ref="D1267:D1330" si="108">E1267</f>
        <v>42726</v>
      </c>
      <c r="E1267" s="1861">
        <v>42726</v>
      </c>
      <c r="F1267" s="1862">
        <f t="shared" si="104"/>
        <v>0</v>
      </c>
      <c r="G1267" s="1862">
        <v>62000</v>
      </c>
      <c r="H1267" s="1862">
        <v>62000</v>
      </c>
      <c r="I1267" s="1862">
        <f>Tabla1[[#This Row],[Extraccion
Norte II]]+Tabla1[[#This Row],[Extraccion
ENO]]</f>
        <v>65771.987458485615</v>
      </c>
      <c r="J1267" s="1862">
        <v>65771.987458485615</v>
      </c>
      <c r="K1267" s="1862"/>
      <c r="L1267" s="1862">
        <f t="shared" si="105"/>
        <v>-3771.9874584856152</v>
      </c>
      <c r="M1267" s="1862">
        <f>M1266+Tabla1[[#This Row],[Desbalance
TPL]]</f>
        <v>-530283.65408104367</v>
      </c>
    </row>
    <row r="1268" spans="2:13" x14ac:dyDescent="0.25">
      <c r="B1268" s="1859">
        <f t="shared" si="106"/>
        <v>2016</v>
      </c>
      <c r="C1268" s="1859">
        <f t="shared" si="107"/>
        <v>12</v>
      </c>
      <c r="D1268" s="1860">
        <f t="shared" si="108"/>
        <v>42727</v>
      </c>
      <c r="E1268" s="1861">
        <v>42727</v>
      </c>
      <c r="F1268" s="1862">
        <f t="shared" si="104"/>
        <v>0</v>
      </c>
      <c r="G1268" s="1862">
        <v>64999</v>
      </c>
      <c r="H1268" s="1862">
        <v>64999</v>
      </c>
      <c r="I1268" s="1862">
        <f>Tabla1[[#This Row],[Extraccion
Norte II]]+Tabla1[[#This Row],[Extraccion
ENO]]</f>
        <v>67359.941083696031</v>
      </c>
      <c r="J1268" s="1862">
        <v>67359.941083696031</v>
      </c>
      <c r="K1268" s="1862"/>
      <c r="L1268" s="1862">
        <f t="shared" si="105"/>
        <v>-2360.9410836960305</v>
      </c>
      <c r="M1268" s="1862">
        <f>M1267+Tabla1[[#This Row],[Desbalance
TPL]]</f>
        <v>-532644.59516473976</v>
      </c>
    </row>
    <row r="1269" spans="2:13" x14ac:dyDescent="0.25">
      <c r="B1269" s="1859">
        <f t="shared" si="106"/>
        <v>2016</v>
      </c>
      <c r="C1269" s="1859">
        <f t="shared" si="107"/>
        <v>12</v>
      </c>
      <c r="D1269" s="1860">
        <f t="shared" si="108"/>
        <v>42728</v>
      </c>
      <c r="E1269" s="1861">
        <v>42728</v>
      </c>
      <c r="F1269" s="1862">
        <f t="shared" si="104"/>
        <v>0</v>
      </c>
      <c r="G1269" s="1862">
        <v>66999</v>
      </c>
      <c r="H1269" s="1862">
        <v>66999</v>
      </c>
      <c r="I1269" s="1862">
        <f>Tabla1[[#This Row],[Extraccion
Norte II]]+Tabla1[[#This Row],[Extraccion
ENO]]</f>
        <v>62363.030967076636</v>
      </c>
      <c r="J1269" s="1862">
        <v>62363.030967076636</v>
      </c>
      <c r="K1269" s="1862"/>
      <c r="L1269" s="1862">
        <f t="shared" si="105"/>
        <v>4635.9690329233636</v>
      </c>
      <c r="M1269" s="1862">
        <f>M1268+Tabla1[[#This Row],[Desbalance
TPL]]</f>
        <v>-528008.62613181642</v>
      </c>
    </row>
    <row r="1270" spans="2:13" x14ac:dyDescent="0.25">
      <c r="B1270" s="1859">
        <f t="shared" si="106"/>
        <v>2016</v>
      </c>
      <c r="C1270" s="1859">
        <f t="shared" si="107"/>
        <v>12</v>
      </c>
      <c r="D1270" s="1860">
        <f t="shared" si="108"/>
        <v>42729</v>
      </c>
      <c r="E1270" s="1861">
        <v>42729</v>
      </c>
      <c r="F1270" s="1862">
        <f t="shared" si="104"/>
        <v>0</v>
      </c>
      <c r="G1270" s="1862">
        <v>66999</v>
      </c>
      <c r="H1270" s="1862">
        <v>66999</v>
      </c>
      <c r="I1270" s="1862">
        <f>Tabla1[[#This Row],[Extraccion
Norte II]]+Tabla1[[#This Row],[Extraccion
ENO]]</f>
        <v>60196.122291139051</v>
      </c>
      <c r="J1270" s="1862">
        <v>60196.122291139051</v>
      </c>
      <c r="K1270" s="1862"/>
      <c r="L1270" s="1862">
        <f t="shared" si="105"/>
        <v>6802.8777088609495</v>
      </c>
      <c r="M1270" s="1862">
        <f>M1269+Tabla1[[#This Row],[Desbalance
TPL]]</f>
        <v>-521205.74842295545</v>
      </c>
    </row>
    <row r="1271" spans="2:13" x14ac:dyDescent="0.25">
      <c r="B1271" s="1859">
        <f t="shared" si="106"/>
        <v>2016</v>
      </c>
      <c r="C1271" s="1859">
        <f t="shared" si="107"/>
        <v>12</v>
      </c>
      <c r="D1271" s="1860">
        <f t="shared" si="108"/>
        <v>42730</v>
      </c>
      <c r="E1271" s="1861">
        <v>42730</v>
      </c>
      <c r="F1271" s="1862">
        <f t="shared" si="104"/>
        <v>0</v>
      </c>
      <c r="G1271" s="1862">
        <v>66999</v>
      </c>
      <c r="H1271" s="1862">
        <v>66999</v>
      </c>
      <c r="I1271" s="1862">
        <f>Tabla1[[#This Row],[Extraccion
Norte II]]+Tabla1[[#This Row],[Extraccion
ENO]]</f>
        <v>65309.867912224567</v>
      </c>
      <c r="J1271" s="1862">
        <v>65309.867912224567</v>
      </c>
      <c r="K1271" s="1862"/>
      <c r="L1271" s="1862">
        <f t="shared" si="105"/>
        <v>1689.1320877754333</v>
      </c>
      <c r="M1271" s="1862">
        <f>M1270+Tabla1[[#This Row],[Desbalance
TPL]]</f>
        <v>-519516.61633518001</v>
      </c>
    </row>
    <row r="1272" spans="2:13" x14ac:dyDescent="0.25">
      <c r="B1272" s="1859">
        <f t="shared" si="106"/>
        <v>2016</v>
      </c>
      <c r="C1272" s="1859">
        <f t="shared" si="107"/>
        <v>12</v>
      </c>
      <c r="D1272" s="1860">
        <f t="shared" si="108"/>
        <v>42731</v>
      </c>
      <c r="E1272" s="1861">
        <v>42731</v>
      </c>
      <c r="F1272" s="1862">
        <f t="shared" si="104"/>
        <v>0</v>
      </c>
      <c r="G1272" s="1862">
        <v>66999</v>
      </c>
      <c r="H1272" s="1862">
        <v>66999</v>
      </c>
      <c r="I1272" s="1862">
        <f>Tabla1[[#This Row],[Extraccion
Norte II]]+Tabla1[[#This Row],[Extraccion
ENO]]</f>
        <v>68118.971883956867</v>
      </c>
      <c r="J1272" s="1862">
        <v>68118.971883956867</v>
      </c>
      <c r="K1272" s="1862"/>
      <c r="L1272" s="1862">
        <f t="shared" si="105"/>
        <v>-1119.9718839568668</v>
      </c>
      <c r="M1272" s="1862">
        <f>M1271+Tabla1[[#This Row],[Desbalance
TPL]]</f>
        <v>-520636.58821913687</v>
      </c>
    </row>
    <row r="1273" spans="2:13" x14ac:dyDescent="0.25">
      <c r="B1273" s="1859">
        <f t="shared" si="106"/>
        <v>2016</v>
      </c>
      <c r="C1273" s="1859">
        <f t="shared" si="107"/>
        <v>12</v>
      </c>
      <c r="D1273" s="1860">
        <f t="shared" si="108"/>
        <v>42732</v>
      </c>
      <c r="E1273" s="1861">
        <v>42732</v>
      </c>
      <c r="F1273" s="1862">
        <f t="shared" si="104"/>
        <v>0</v>
      </c>
      <c r="G1273" s="1862">
        <v>66999</v>
      </c>
      <c r="H1273" s="1862">
        <v>66999</v>
      </c>
      <c r="I1273" s="1862">
        <f>Tabla1[[#This Row],[Extraccion
Norte II]]+Tabla1[[#This Row],[Extraccion
ENO]]</f>
        <v>65423.427761180457</v>
      </c>
      <c r="J1273" s="1862">
        <v>65423.427761180457</v>
      </c>
      <c r="K1273" s="1862"/>
      <c r="L1273" s="1862">
        <f t="shared" si="105"/>
        <v>1575.5722388195427</v>
      </c>
      <c r="M1273" s="1862">
        <f>M1272+Tabla1[[#This Row],[Desbalance
TPL]]</f>
        <v>-519061.01598031732</v>
      </c>
    </row>
    <row r="1274" spans="2:13" x14ac:dyDescent="0.25">
      <c r="B1274" s="1859">
        <f t="shared" si="106"/>
        <v>2016</v>
      </c>
      <c r="C1274" s="1859">
        <f t="shared" si="107"/>
        <v>12</v>
      </c>
      <c r="D1274" s="1860">
        <f t="shared" si="108"/>
        <v>42733</v>
      </c>
      <c r="E1274" s="1861">
        <v>42733</v>
      </c>
      <c r="F1274" s="1862">
        <f t="shared" si="104"/>
        <v>0</v>
      </c>
      <c r="G1274" s="1862">
        <v>66999</v>
      </c>
      <c r="H1274" s="1862">
        <v>66999</v>
      </c>
      <c r="I1274" s="1862">
        <f>Tabla1[[#This Row],[Extraccion
Norte II]]+Tabla1[[#This Row],[Extraccion
ENO]]</f>
        <v>65705.441227764211</v>
      </c>
      <c r="J1274" s="1862">
        <v>65705.441227764211</v>
      </c>
      <c r="K1274" s="1862"/>
      <c r="L1274" s="1862">
        <f t="shared" si="105"/>
        <v>1293.5587722357886</v>
      </c>
      <c r="M1274" s="1862">
        <f>M1273+Tabla1[[#This Row],[Desbalance
TPL]]</f>
        <v>-517767.4572080815</v>
      </c>
    </row>
    <row r="1275" spans="2:13" x14ac:dyDescent="0.25">
      <c r="B1275" s="1859">
        <f t="shared" si="106"/>
        <v>2016</v>
      </c>
      <c r="C1275" s="1859">
        <f t="shared" si="107"/>
        <v>12</v>
      </c>
      <c r="D1275" s="1860">
        <f t="shared" si="108"/>
        <v>42734</v>
      </c>
      <c r="E1275" s="1861">
        <v>42734</v>
      </c>
      <c r="F1275" s="1862">
        <f t="shared" si="104"/>
        <v>0</v>
      </c>
      <c r="G1275" s="1862">
        <v>66999</v>
      </c>
      <c r="H1275" s="1862">
        <v>66999</v>
      </c>
      <c r="I1275" s="1862">
        <f>Tabla1[[#This Row],[Extraccion
Norte II]]+Tabla1[[#This Row],[Extraccion
ENO]]</f>
        <v>64274.228097845044</v>
      </c>
      <c r="J1275" s="1862">
        <v>64274.228097845044</v>
      </c>
      <c r="K1275" s="1862"/>
      <c r="L1275" s="1862">
        <f t="shared" si="105"/>
        <v>2724.7719021549565</v>
      </c>
      <c r="M1275" s="1862">
        <f>M1274+Tabla1[[#This Row],[Desbalance
TPL]]</f>
        <v>-515042.68530592654</v>
      </c>
    </row>
    <row r="1276" spans="2:13" x14ac:dyDescent="0.25">
      <c r="B1276" s="1859">
        <f t="shared" si="106"/>
        <v>2016</v>
      </c>
      <c r="C1276" s="1859">
        <f t="shared" si="107"/>
        <v>12</v>
      </c>
      <c r="D1276" s="1860">
        <f t="shared" si="108"/>
        <v>42735</v>
      </c>
      <c r="E1276" s="1861">
        <v>42735</v>
      </c>
      <c r="F1276" s="1862"/>
      <c r="G1276" s="1862">
        <v>66999</v>
      </c>
      <c r="H1276" s="1862">
        <v>66999</v>
      </c>
      <c r="I1276" s="1862">
        <f>Tabla1[[#This Row],[Extraccion
Norte II]]+Tabla1[[#This Row],[Extraccion
ENO]]</f>
        <v>66039.072807509743</v>
      </c>
      <c r="J1276" s="1862">
        <v>66039.072807509743</v>
      </c>
      <c r="K1276" s="1862"/>
      <c r="L1276" s="1862">
        <f t="shared" si="105"/>
        <v>959.92719249025686</v>
      </c>
      <c r="M1276" s="1862">
        <f>M1275+Tabla1[[#This Row],[Desbalance
TPL]]</f>
        <v>-514082.75811343628</v>
      </c>
    </row>
    <row r="1277" spans="2:13" x14ac:dyDescent="0.25">
      <c r="B1277" s="1859">
        <f t="shared" si="106"/>
        <v>2017</v>
      </c>
      <c r="C1277" s="1859">
        <f t="shared" si="107"/>
        <v>1</v>
      </c>
      <c r="D1277" s="1860">
        <f t="shared" si="108"/>
        <v>42736</v>
      </c>
      <c r="E1277" s="1861">
        <v>42736</v>
      </c>
      <c r="F1277" s="1862"/>
      <c r="G1277" s="1862">
        <v>66999</v>
      </c>
      <c r="H1277" s="1862">
        <v>66999</v>
      </c>
      <c r="I1277" s="1862">
        <f>Tabla1[[#This Row],[Extraccion
Norte II]]+Tabla1[[#This Row],[Extraccion
ENO]]</f>
        <v>53896.932461531251</v>
      </c>
      <c r="J1277" s="1862">
        <v>53896.932461531251</v>
      </c>
      <c r="K1277" s="1862"/>
      <c r="L1277" s="1862">
        <f t="shared" si="105"/>
        <v>13102.067538468749</v>
      </c>
      <c r="M1277" s="1862">
        <f>M1276+Tabla1[[#This Row],[Desbalance
TPL]]</f>
        <v>-500980.69057496754</v>
      </c>
    </row>
    <row r="1278" spans="2:13" x14ac:dyDescent="0.25">
      <c r="B1278" s="1859">
        <f t="shared" si="106"/>
        <v>2017</v>
      </c>
      <c r="C1278" s="1859">
        <f t="shared" si="107"/>
        <v>1</v>
      </c>
      <c r="D1278" s="1860">
        <f t="shared" si="108"/>
        <v>42737</v>
      </c>
      <c r="E1278" s="1861">
        <v>42737</v>
      </c>
      <c r="F1278" s="1862"/>
      <c r="G1278" s="1862">
        <v>66999</v>
      </c>
      <c r="H1278" s="1862">
        <v>66999</v>
      </c>
      <c r="I1278" s="1862">
        <f>Tabla1[[#This Row],[Extraccion
Norte II]]+Tabla1[[#This Row],[Extraccion
ENO]]</f>
        <v>65463.417291356724</v>
      </c>
      <c r="J1278" s="1862">
        <v>65463.417291356724</v>
      </c>
      <c r="K1278" s="1862"/>
      <c r="L1278" s="1862">
        <f t="shared" si="105"/>
        <v>1535.5827086432764</v>
      </c>
      <c r="M1278" s="1862">
        <f>M1277+Tabla1[[#This Row],[Desbalance
TPL]]</f>
        <v>-499445.10786632425</v>
      </c>
    </row>
    <row r="1279" spans="2:13" x14ac:dyDescent="0.25">
      <c r="B1279" s="1859">
        <f t="shared" si="106"/>
        <v>2017</v>
      </c>
      <c r="C1279" s="1859">
        <f t="shared" si="107"/>
        <v>1</v>
      </c>
      <c r="D1279" s="1860">
        <f t="shared" si="108"/>
        <v>42738</v>
      </c>
      <c r="E1279" s="1861">
        <v>42738</v>
      </c>
      <c r="F1279" s="1862"/>
      <c r="G1279" s="1862">
        <v>66999</v>
      </c>
      <c r="H1279" s="1862">
        <v>66999</v>
      </c>
      <c r="I1279" s="1862">
        <f>Tabla1[[#This Row],[Extraccion
Norte II]]+Tabla1[[#This Row],[Extraccion
ENO]]</f>
        <v>67782.451511531253</v>
      </c>
      <c r="J1279" s="1862">
        <v>67782.451511531253</v>
      </c>
      <c r="K1279" s="1862"/>
      <c r="L1279" s="1862">
        <f t="shared" si="105"/>
        <v>-783.45151153125335</v>
      </c>
      <c r="M1279" s="1862">
        <f>M1278+Tabla1[[#This Row],[Desbalance
TPL]]</f>
        <v>-500228.5593778555</v>
      </c>
    </row>
    <row r="1280" spans="2:13" x14ac:dyDescent="0.25">
      <c r="B1280" s="1859">
        <f t="shared" si="106"/>
        <v>2017</v>
      </c>
      <c r="C1280" s="1859">
        <f t="shared" si="107"/>
        <v>1</v>
      </c>
      <c r="D1280" s="1860">
        <f t="shared" si="108"/>
        <v>42739</v>
      </c>
      <c r="E1280" s="1861">
        <v>42739</v>
      </c>
      <c r="F1280" s="1862"/>
      <c r="G1280" s="1862">
        <v>64999</v>
      </c>
      <c r="H1280" s="1862">
        <v>64999</v>
      </c>
      <c r="I1280" s="1862">
        <f>Tabla1[[#This Row],[Extraccion
Norte II]]+Tabla1[[#This Row],[Extraccion
ENO]]</f>
        <v>67517.31451542188</v>
      </c>
      <c r="J1280" s="1862">
        <v>67517.31451542188</v>
      </c>
      <c r="K1280" s="1862"/>
      <c r="L1280" s="1862">
        <f t="shared" si="105"/>
        <v>-2518.3145154218801</v>
      </c>
      <c r="M1280" s="1862">
        <f>M1279+Tabla1[[#This Row],[Desbalance
TPL]]</f>
        <v>-502746.87389327737</v>
      </c>
    </row>
    <row r="1281" spans="2:13" x14ac:dyDescent="0.25">
      <c r="B1281" s="1859">
        <f t="shared" si="106"/>
        <v>2017</v>
      </c>
      <c r="C1281" s="1859">
        <f t="shared" si="107"/>
        <v>1</v>
      </c>
      <c r="D1281" s="1860">
        <f t="shared" si="108"/>
        <v>42740</v>
      </c>
      <c r="E1281" s="1861">
        <v>42740</v>
      </c>
      <c r="F1281" s="1862"/>
      <c r="G1281" s="1862">
        <v>55000</v>
      </c>
      <c r="H1281" s="1862">
        <v>55000</v>
      </c>
      <c r="I1281" s="1862">
        <f>Tabla1[[#This Row],[Extraccion
Norte II]]+Tabla1[[#This Row],[Extraccion
ENO]]</f>
        <v>67637.761322624996</v>
      </c>
      <c r="J1281" s="1862">
        <v>67637.761322624996</v>
      </c>
      <c r="K1281" s="1862"/>
      <c r="L1281" s="1862">
        <f t="shared" si="105"/>
        <v>-12637.761322624996</v>
      </c>
      <c r="M1281" s="1862">
        <f>M1280+Tabla1[[#This Row],[Desbalance
TPL]]</f>
        <v>-515384.63521590235</v>
      </c>
    </row>
    <row r="1282" spans="2:13" x14ac:dyDescent="0.25">
      <c r="B1282" s="1859">
        <f t="shared" si="106"/>
        <v>2017</v>
      </c>
      <c r="C1282" s="1859">
        <f t="shared" si="107"/>
        <v>1</v>
      </c>
      <c r="D1282" s="1860">
        <f t="shared" si="108"/>
        <v>42741</v>
      </c>
      <c r="E1282" s="1861">
        <v>42741</v>
      </c>
      <c r="F1282" s="1862"/>
      <c r="G1282" s="1862">
        <v>55000</v>
      </c>
      <c r="H1282" s="1862">
        <v>55000</v>
      </c>
      <c r="I1282" s="1862">
        <f>Tabla1[[#This Row],[Extraccion
Norte II]]+Tabla1[[#This Row],[Extraccion
ENO]]</f>
        <v>68019.198426562507</v>
      </c>
      <c r="J1282" s="1862">
        <v>68019.198426562507</v>
      </c>
      <c r="K1282" s="1862"/>
      <c r="L1282" s="1862">
        <f t="shared" si="105"/>
        <v>-13019.198426562507</v>
      </c>
      <c r="M1282" s="1862">
        <f>M1281+Tabla1[[#This Row],[Desbalance
TPL]]</f>
        <v>-528403.83364246483</v>
      </c>
    </row>
    <row r="1283" spans="2:13" x14ac:dyDescent="0.25">
      <c r="B1283" s="1859">
        <f t="shared" si="106"/>
        <v>2017</v>
      </c>
      <c r="C1283" s="1859">
        <f t="shared" si="107"/>
        <v>1</v>
      </c>
      <c r="D1283" s="1860">
        <f t="shared" si="108"/>
        <v>42742</v>
      </c>
      <c r="E1283" s="1861">
        <v>42742</v>
      </c>
      <c r="F1283" s="1862"/>
      <c r="G1283" s="1862">
        <v>55000</v>
      </c>
      <c r="H1283" s="1862">
        <v>55000</v>
      </c>
      <c r="I1283" s="1862">
        <f>Tabla1[[#This Row],[Extraccion
Norte II]]+Tabla1[[#This Row],[Extraccion
ENO]]</f>
        <v>64957.046059106724</v>
      </c>
      <c r="J1283" s="1862">
        <v>64957.046059106724</v>
      </c>
      <c r="K1283" s="1862"/>
      <c r="L1283" s="1862">
        <f t="shared" si="105"/>
        <v>-9957.046059106724</v>
      </c>
      <c r="M1283" s="1862">
        <f>M1282+Tabla1[[#This Row],[Desbalance
TPL]]</f>
        <v>-538360.87970157154</v>
      </c>
    </row>
    <row r="1284" spans="2:13" x14ac:dyDescent="0.25">
      <c r="B1284" s="1859">
        <f t="shared" si="106"/>
        <v>2017</v>
      </c>
      <c r="C1284" s="1859">
        <f t="shared" si="107"/>
        <v>1</v>
      </c>
      <c r="D1284" s="1860">
        <f t="shared" si="108"/>
        <v>42743</v>
      </c>
      <c r="E1284" s="1861">
        <v>42743</v>
      </c>
      <c r="F1284" s="1862"/>
      <c r="G1284" s="1862">
        <v>55000</v>
      </c>
      <c r="H1284" s="1862">
        <v>55000</v>
      </c>
      <c r="I1284" s="1862">
        <f>Tabla1[[#This Row],[Extraccion
Norte II]]+Tabla1[[#This Row],[Extraccion
ENO]]</f>
        <v>59582.501593875</v>
      </c>
      <c r="J1284" s="1862">
        <v>59582.501593875</v>
      </c>
      <c r="K1284" s="1862"/>
      <c r="L1284" s="1862">
        <f t="shared" si="105"/>
        <v>-4582.5015938750003</v>
      </c>
      <c r="M1284" s="1862">
        <f>M1283+Tabla1[[#This Row],[Desbalance
TPL]]</f>
        <v>-542943.38129544654</v>
      </c>
    </row>
    <row r="1285" spans="2:13" x14ac:dyDescent="0.25">
      <c r="B1285" s="1859">
        <f t="shared" si="106"/>
        <v>2017</v>
      </c>
      <c r="C1285" s="1859">
        <f t="shared" si="107"/>
        <v>1</v>
      </c>
      <c r="D1285" s="1860">
        <f t="shared" si="108"/>
        <v>42744</v>
      </c>
      <c r="E1285" s="1861">
        <v>42744</v>
      </c>
      <c r="F1285" s="1862"/>
      <c r="G1285" s="1862">
        <v>55000</v>
      </c>
      <c r="H1285" s="1862">
        <v>55000</v>
      </c>
      <c r="I1285" s="1862">
        <f>Tabla1[[#This Row],[Extraccion
Norte II]]+Tabla1[[#This Row],[Extraccion
ENO]]</f>
        <v>67772.099572734383</v>
      </c>
      <c r="J1285" s="1862">
        <v>67772.099572734383</v>
      </c>
      <c r="K1285" s="1862"/>
      <c r="L1285" s="1862">
        <f t="shared" si="105"/>
        <v>-12772.099572734383</v>
      </c>
      <c r="M1285" s="1862">
        <f>M1284+Tabla1[[#This Row],[Desbalance
TPL]]</f>
        <v>-555715.48086818098</v>
      </c>
    </row>
    <row r="1286" spans="2:13" x14ac:dyDescent="0.25">
      <c r="B1286" s="1859">
        <f t="shared" si="106"/>
        <v>2017</v>
      </c>
      <c r="C1286" s="1859">
        <f t="shared" si="107"/>
        <v>1</v>
      </c>
      <c r="D1286" s="1860">
        <f t="shared" si="108"/>
        <v>42745</v>
      </c>
      <c r="E1286" s="1861">
        <v>42745</v>
      </c>
      <c r="F1286" s="1862"/>
      <c r="G1286" s="1862">
        <v>55000</v>
      </c>
      <c r="H1286" s="1862">
        <v>55000</v>
      </c>
      <c r="I1286" s="1862">
        <f>Tabla1[[#This Row],[Extraccion
Norte II]]+Tabla1[[#This Row],[Extraccion
ENO]]</f>
        <v>63748.923477694771</v>
      </c>
      <c r="J1286" s="1862">
        <v>63748.923477694771</v>
      </c>
      <c r="K1286" s="1862"/>
      <c r="L1286" s="1862">
        <f t="shared" si="105"/>
        <v>-8748.9234776947706</v>
      </c>
      <c r="M1286" s="1862">
        <f>M1285+Tabla1[[#This Row],[Desbalance
TPL]]</f>
        <v>-564464.40434587572</v>
      </c>
    </row>
    <row r="1287" spans="2:13" x14ac:dyDescent="0.25">
      <c r="B1287" s="1859">
        <f t="shared" si="106"/>
        <v>2017</v>
      </c>
      <c r="C1287" s="1859">
        <f t="shared" si="107"/>
        <v>1</v>
      </c>
      <c r="D1287" s="1860">
        <f t="shared" si="108"/>
        <v>42746</v>
      </c>
      <c r="E1287" s="1861">
        <v>42746</v>
      </c>
      <c r="F1287" s="1862"/>
      <c r="G1287" s="1862">
        <v>55000</v>
      </c>
      <c r="H1287" s="1862">
        <v>55000</v>
      </c>
      <c r="I1287" s="1862">
        <f>Tabla1[[#This Row],[Extraccion
Norte II]]+Tabla1[[#This Row],[Extraccion
ENO]]</f>
        <v>56866.613433872342</v>
      </c>
      <c r="J1287" s="1862">
        <v>56866.613433872342</v>
      </c>
      <c r="K1287" s="1862"/>
      <c r="L1287" s="1862">
        <f t="shared" si="105"/>
        <v>-1866.6134338723423</v>
      </c>
      <c r="M1287" s="1862">
        <f>M1286+Tabla1[[#This Row],[Desbalance
TPL]]</f>
        <v>-566331.01777974807</v>
      </c>
    </row>
    <row r="1288" spans="2:13" x14ac:dyDescent="0.25">
      <c r="B1288" s="1859">
        <f t="shared" si="106"/>
        <v>2017</v>
      </c>
      <c r="C1288" s="1859">
        <f t="shared" si="107"/>
        <v>1</v>
      </c>
      <c r="D1288" s="1860">
        <f t="shared" si="108"/>
        <v>42747</v>
      </c>
      <c r="E1288" s="1861">
        <v>42747</v>
      </c>
      <c r="F1288" s="1862"/>
      <c r="G1288" s="1862">
        <v>55000</v>
      </c>
      <c r="H1288" s="1862">
        <v>55000</v>
      </c>
      <c r="I1288" s="1862">
        <f>Tabla1[[#This Row],[Extraccion
Norte II]]+Tabla1[[#This Row],[Extraccion
ENO]]</f>
        <v>67658.805821953123</v>
      </c>
      <c r="J1288" s="1862">
        <v>67658.805821953123</v>
      </c>
      <c r="K1288" s="1862"/>
      <c r="L1288" s="1862">
        <f t="shared" si="105"/>
        <v>-12658.805821953123</v>
      </c>
      <c r="M1288" s="1862">
        <f>M1287+Tabla1[[#This Row],[Desbalance
TPL]]</f>
        <v>-578989.82360170118</v>
      </c>
    </row>
    <row r="1289" spans="2:13" x14ac:dyDescent="0.25">
      <c r="B1289" s="1859">
        <f t="shared" si="106"/>
        <v>2017</v>
      </c>
      <c r="C1289" s="1859">
        <f t="shared" si="107"/>
        <v>1</v>
      </c>
      <c r="D1289" s="1860">
        <f t="shared" si="108"/>
        <v>42748</v>
      </c>
      <c r="E1289" s="1861">
        <v>42748</v>
      </c>
      <c r="F1289" s="1862"/>
      <c r="G1289" s="1862">
        <v>62000</v>
      </c>
      <c r="H1289" s="1862">
        <v>62000</v>
      </c>
      <c r="I1289" s="1862">
        <f>Tabla1[[#This Row],[Extraccion
Norte II]]+Tabla1[[#This Row],[Extraccion
ENO]]</f>
        <v>65243.790320887972</v>
      </c>
      <c r="J1289" s="1862">
        <v>65243.790320887972</v>
      </c>
      <c r="K1289" s="1862"/>
      <c r="L1289" s="1862">
        <f t="shared" si="105"/>
        <v>-3243.7903208879725</v>
      </c>
      <c r="M1289" s="1862">
        <f>M1288+Tabla1[[#This Row],[Desbalance
TPL]]</f>
        <v>-582233.61392258911</v>
      </c>
    </row>
    <row r="1290" spans="2:13" x14ac:dyDescent="0.25">
      <c r="B1290" s="1859">
        <f t="shared" si="106"/>
        <v>2017</v>
      </c>
      <c r="C1290" s="1859">
        <f t="shared" si="107"/>
        <v>1</v>
      </c>
      <c r="D1290" s="1860">
        <f t="shared" si="108"/>
        <v>42749</v>
      </c>
      <c r="E1290" s="1861">
        <v>42749</v>
      </c>
      <c r="F1290" s="1862"/>
      <c r="G1290" s="1862">
        <v>62000</v>
      </c>
      <c r="H1290" s="1862">
        <v>62000</v>
      </c>
      <c r="I1290" s="1862">
        <f>Tabla1[[#This Row],[Extraccion
Norte II]]+Tabla1[[#This Row],[Extraccion
ENO]]</f>
        <v>62806.58257287235</v>
      </c>
      <c r="J1290" s="1862">
        <v>62806.58257287235</v>
      </c>
      <c r="K1290" s="1862"/>
      <c r="L1290" s="1862">
        <f t="shared" si="105"/>
        <v>-806.58257287235028</v>
      </c>
      <c r="M1290" s="1862">
        <f>M1289+Tabla1[[#This Row],[Desbalance
TPL]]</f>
        <v>-583040.19649546151</v>
      </c>
    </row>
    <row r="1291" spans="2:13" x14ac:dyDescent="0.25">
      <c r="B1291" s="1859">
        <f t="shared" si="106"/>
        <v>2017</v>
      </c>
      <c r="C1291" s="1859">
        <f t="shared" si="107"/>
        <v>1</v>
      </c>
      <c r="D1291" s="1860">
        <f t="shared" si="108"/>
        <v>42750</v>
      </c>
      <c r="E1291" s="1861">
        <v>42750</v>
      </c>
      <c r="F1291" s="1862"/>
      <c r="G1291" s="1862">
        <v>62000</v>
      </c>
      <c r="H1291" s="1862">
        <v>62000</v>
      </c>
      <c r="I1291" s="1862">
        <f>Tabla1[[#This Row],[Extraccion
Norte II]]+Tabla1[[#This Row],[Extraccion
ENO]]</f>
        <v>63519.933342497352</v>
      </c>
      <c r="J1291" s="1862">
        <v>63519.933342497352</v>
      </c>
      <c r="K1291" s="1862"/>
      <c r="L1291" s="1862">
        <f t="shared" si="105"/>
        <v>-1519.933342497352</v>
      </c>
      <c r="M1291" s="1862">
        <f>M1290+Tabla1[[#This Row],[Desbalance
TPL]]</f>
        <v>-584560.12983795884</v>
      </c>
    </row>
    <row r="1292" spans="2:13" x14ac:dyDescent="0.25">
      <c r="B1292" s="1859">
        <f t="shared" si="106"/>
        <v>2017</v>
      </c>
      <c r="C1292" s="1859">
        <f t="shared" si="107"/>
        <v>1</v>
      </c>
      <c r="D1292" s="1860">
        <f t="shared" si="108"/>
        <v>42751</v>
      </c>
      <c r="E1292" s="1861">
        <v>42751</v>
      </c>
      <c r="F1292" s="1862"/>
      <c r="G1292" s="1862">
        <v>62000</v>
      </c>
      <c r="H1292" s="1862">
        <v>62000</v>
      </c>
      <c r="I1292" s="1862">
        <f>Tabla1[[#This Row],[Extraccion
Norte II]]+Tabla1[[#This Row],[Extraccion
ENO]]</f>
        <v>67889.206573287476</v>
      </c>
      <c r="J1292" s="1862">
        <v>67889.206573287476</v>
      </c>
      <c r="K1292" s="1862"/>
      <c r="L1292" s="1862">
        <f t="shared" ref="L1292:L1355" si="109">H1292-I1292</f>
        <v>-5889.2065732874762</v>
      </c>
      <c r="M1292" s="1862">
        <f>M1291+Tabla1[[#This Row],[Desbalance
TPL]]</f>
        <v>-590449.33641124633</v>
      </c>
    </row>
    <row r="1293" spans="2:13" x14ac:dyDescent="0.25">
      <c r="B1293" s="1859">
        <f t="shared" si="106"/>
        <v>2017</v>
      </c>
      <c r="C1293" s="1859">
        <f t="shared" si="107"/>
        <v>1</v>
      </c>
      <c r="D1293" s="1860">
        <f t="shared" si="108"/>
        <v>42752</v>
      </c>
      <c r="E1293" s="1861">
        <v>42752</v>
      </c>
      <c r="F1293" s="1862"/>
      <c r="G1293" s="1862">
        <v>62000</v>
      </c>
      <c r="H1293" s="1862">
        <v>62000</v>
      </c>
      <c r="I1293" s="1862">
        <f>Tabla1[[#This Row],[Extraccion
Norte II]]+Tabla1[[#This Row],[Extraccion
ENO]]</f>
        <v>68088.44391014977</v>
      </c>
      <c r="J1293" s="1862">
        <v>68088.44391014977</v>
      </c>
      <c r="K1293" s="1862"/>
      <c r="L1293" s="1862">
        <f t="shared" si="109"/>
        <v>-6088.4439101497701</v>
      </c>
      <c r="M1293" s="1862">
        <f>M1292+Tabla1[[#This Row],[Desbalance
TPL]]</f>
        <v>-596537.78032139607</v>
      </c>
    </row>
    <row r="1294" spans="2:13" x14ac:dyDescent="0.25">
      <c r="B1294" s="1859">
        <f t="shared" si="106"/>
        <v>2017</v>
      </c>
      <c r="C1294" s="1859">
        <f t="shared" si="107"/>
        <v>1</v>
      </c>
      <c r="D1294" s="1860">
        <f t="shared" si="108"/>
        <v>42753</v>
      </c>
      <c r="E1294" s="1861">
        <v>42753</v>
      </c>
      <c r="F1294" s="1862"/>
      <c r="G1294" s="1862">
        <v>62000</v>
      </c>
      <c r="H1294" s="1862">
        <v>62000</v>
      </c>
      <c r="I1294" s="1862">
        <f>Tabla1[[#This Row],[Extraccion
Norte II]]+Tabla1[[#This Row],[Extraccion
ENO]]</f>
        <v>68187.161966184853</v>
      </c>
      <c r="J1294" s="1862">
        <v>68187.161966184853</v>
      </c>
      <c r="K1294" s="1862"/>
      <c r="L1294" s="1862">
        <f t="shared" si="109"/>
        <v>-6187.1619661848526</v>
      </c>
      <c r="M1294" s="1862">
        <f>M1293+Tabla1[[#This Row],[Desbalance
TPL]]</f>
        <v>-602724.94228758093</v>
      </c>
    </row>
    <row r="1295" spans="2:13" x14ac:dyDescent="0.25">
      <c r="B1295" s="1859">
        <f t="shared" si="106"/>
        <v>2017</v>
      </c>
      <c r="C1295" s="1859">
        <f t="shared" si="107"/>
        <v>1</v>
      </c>
      <c r="D1295" s="1860">
        <f t="shared" si="108"/>
        <v>42754</v>
      </c>
      <c r="E1295" s="1861">
        <v>42754</v>
      </c>
      <c r="F1295" s="1862"/>
      <c r="G1295" s="1862">
        <v>64000</v>
      </c>
      <c r="H1295" s="1862">
        <v>64000</v>
      </c>
      <c r="I1295" s="1862">
        <f>Tabla1[[#This Row],[Extraccion
Norte II]]+Tabla1[[#This Row],[Extraccion
ENO]]</f>
        <v>55944.615766066439</v>
      </c>
      <c r="J1295" s="1862">
        <v>55944.615766066439</v>
      </c>
      <c r="K1295" s="1862"/>
      <c r="L1295" s="1862">
        <f t="shared" si="109"/>
        <v>8055.3842339335606</v>
      </c>
      <c r="M1295" s="1862">
        <f>M1294+Tabla1[[#This Row],[Desbalance
TPL]]</f>
        <v>-594669.5580536474</v>
      </c>
    </row>
    <row r="1296" spans="2:13" x14ac:dyDescent="0.25">
      <c r="B1296" s="1859">
        <f t="shared" si="106"/>
        <v>2017</v>
      </c>
      <c r="C1296" s="1859">
        <f t="shared" si="107"/>
        <v>1</v>
      </c>
      <c r="D1296" s="1860">
        <f t="shared" si="108"/>
        <v>42755</v>
      </c>
      <c r="E1296" s="1861">
        <v>42755</v>
      </c>
      <c r="F1296" s="1862"/>
      <c r="G1296" s="1862">
        <v>45000</v>
      </c>
      <c r="H1296" s="1862">
        <v>45000</v>
      </c>
      <c r="I1296" s="1862">
        <f>Tabla1[[#This Row],[Extraccion
Norte II]]+Tabla1[[#This Row],[Extraccion
ENO]]</f>
        <v>15675.101213484375</v>
      </c>
      <c r="J1296" s="1862">
        <v>15675.101213484375</v>
      </c>
      <c r="K1296" s="1862"/>
      <c r="L1296" s="1862">
        <f t="shared" si="109"/>
        <v>29324.898786515623</v>
      </c>
      <c r="M1296" s="1862">
        <f>M1295+Tabla1[[#This Row],[Desbalance
TPL]]</f>
        <v>-565344.65926713182</v>
      </c>
    </row>
    <row r="1297" spans="2:13" x14ac:dyDescent="0.25">
      <c r="B1297" s="1859">
        <f t="shared" si="106"/>
        <v>2017</v>
      </c>
      <c r="C1297" s="1859">
        <f t="shared" si="107"/>
        <v>1</v>
      </c>
      <c r="D1297" s="1860">
        <f t="shared" si="108"/>
        <v>42756</v>
      </c>
      <c r="E1297" s="1861">
        <v>42756</v>
      </c>
      <c r="F1297" s="1862"/>
      <c r="G1297" s="1862">
        <v>55000</v>
      </c>
      <c r="H1297" s="1862">
        <v>55000</v>
      </c>
      <c r="I1297" s="1862">
        <f>Tabla1[[#This Row],[Extraccion
Norte II]]+Tabla1[[#This Row],[Extraccion
ENO]]</f>
        <v>37202.435552733048</v>
      </c>
      <c r="J1297" s="1862">
        <v>37202.435552733048</v>
      </c>
      <c r="K1297" s="1862"/>
      <c r="L1297" s="1862">
        <f t="shared" si="109"/>
        <v>17797.564447266952</v>
      </c>
      <c r="M1297" s="1862">
        <f>M1296+Tabla1[[#This Row],[Desbalance
TPL]]</f>
        <v>-547547.09481986484</v>
      </c>
    </row>
    <row r="1298" spans="2:13" x14ac:dyDescent="0.25">
      <c r="B1298" s="1859">
        <f t="shared" si="106"/>
        <v>2017</v>
      </c>
      <c r="C1298" s="1859">
        <f t="shared" si="107"/>
        <v>1</v>
      </c>
      <c r="D1298" s="1860">
        <f t="shared" si="108"/>
        <v>42757</v>
      </c>
      <c r="E1298" s="1861">
        <v>42757</v>
      </c>
      <c r="F1298" s="1862"/>
      <c r="G1298" s="1862">
        <v>55000</v>
      </c>
      <c r="H1298" s="1862">
        <v>55000</v>
      </c>
      <c r="I1298" s="1862">
        <f>Tabla1[[#This Row],[Extraccion
Norte II]]+Tabla1[[#This Row],[Extraccion
ENO]]</f>
        <v>37065.887196212512</v>
      </c>
      <c r="J1298" s="1862">
        <v>37065.887196212512</v>
      </c>
      <c r="K1298" s="1862"/>
      <c r="L1298" s="1862">
        <f t="shared" si="109"/>
        <v>17934.112803787488</v>
      </c>
      <c r="M1298" s="1862">
        <f>M1297+Tabla1[[#This Row],[Desbalance
TPL]]</f>
        <v>-529612.98201607738</v>
      </c>
    </row>
    <row r="1299" spans="2:13" x14ac:dyDescent="0.25">
      <c r="B1299" s="1859">
        <f t="shared" si="106"/>
        <v>2017</v>
      </c>
      <c r="C1299" s="1859">
        <f t="shared" si="107"/>
        <v>1</v>
      </c>
      <c r="D1299" s="1860">
        <f t="shared" si="108"/>
        <v>42758</v>
      </c>
      <c r="E1299" s="1861">
        <v>42758</v>
      </c>
      <c r="F1299" s="1862"/>
      <c r="G1299" s="1862">
        <v>20870</v>
      </c>
      <c r="H1299" s="1862">
        <v>20870</v>
      </c>
      <c r="I1299" s="1862">
        <f>Tabla1[[#This Row],[Extraccion
Norte II]]+Tabla1[[#This Row],[Extraccion
ENO]]</f>
        <v>41046.736875811177</v>
      </c>
      <c r="J1299" s="1862">
        <v>41046.736875811177</v>
      </c>
      <c r="K1299" s="1862"/>
      <c r="L1299" s="1862">
        <f t="shared" si="109"/>
        <v>-20176.736875811177</v>
      </c>
      <c r="M1299" s="1862">
        <f>M1298+Tabla1[[#This Row],[Desbalance
TPL]]</f>
        <v>-549789.71889188851</v>
      </c>
    </row>
    <row r="1300" spans="2:13" x14ac:dyDescent="0.25">
      <c r="B1300" s="1859">
        <f t="shared" si="106"/>
        <v>2017</v>
      </c>
      <c r="C1300" s="1859">
        <f t="shared" si="107"/>
        <v>1</v>
      </c>
      <c r="D1300" s="1860">
        <f t="shared" si="108"/>
        <v>42759</v>
      </c>
      <c r="E1300" s="1861">
        <v>42759</v>
      </c>
      <c r="F1300" s="1862"/>
      <c r="G1300" s="1862">
        <v>69000</v>
      </c>
      <c r="H1300" s="1862">
        <v>69000</v>
      </c>
      <c r="I1300" s="1862">
        <f>Tabla1[[#This Row],[Extraccion
Norte II]]+Tabla1[[#This Row],[Extraccion
ENO]]</f>
        <v>61649.427949261437</v>
      </c>
      <c r="J1300" s="1862">
        <v>61649.427949261437</v>
      </c>
      <c r="K1300" s="1862"/>
      <c r="L1300" s="1862">
        <f t="shared" si="109"/>
        <v>7350.5720507385631</v>
      </c>
      <c r="M1300" s="1862">
        <f>M1299+Tabla1[[#This Row],[Desbalance
TPL]]</f>
        <v>-542439.14684114989</v>
      </c>
    </row>
    <row r="1301" spans="2:13" x14ac:dyDescent="0.25">
      <c r="B1301" s="1859">
        <f t="shared" si="106"/>
        <v>2017</v>
      </c>
      <c r="C1301" s="1859">
        <f t="shared" si="107"/>
        <v>1</v>
      </c>
      <c r="D1301" s="1860">
        <f t="shared" si="108"/>
        <v>42760</v>
      </c>
      <c r="E1301" s="1861">
        <v>42760</v>
      </c>
      <c r="F1301" s="1862"/>
      <c r="G1301" s="1862">
        <v>30000</v>
      </c>
      <c r="H1301" s="1862">
        <v>30000</v>
      </c>
      <c r="I1301" s="1862">
        <f>Tabla1[[#This Row],[Extraccion
Norte II]]+Tabla1[[#This Row],[Extraccion
ENO]]</f>
        <v>72224.966053669224</v>
      </c>
      <c r="J1301" s="1862">
        <v>72224.966053669224</v>
      </c>
      <c r="K1301" s="1862"/>
      <c r="L1301" s="1862">
        <f t="shared" si="109"/>
        <v>-42224.966053669224</v>
      </c>
      <c r="M1301" s="1862">
        <f>M1300+Tabla1[[#This Row],[Desbalance
TPL]]</f>
        <v>-584664.11289481912</v>
      </c>
    </row>
    <row r="1302" spans="2:13" x14ac:dyDescent="0.25">
      <c r="B1302" s="1859">
        <f t="shared" si="106"/>
        <v>2017</v>
      </c>
      <c r="C1302" s="1859">
        <f t="shared" si="107"/>
        <v>1</v>
      </c>
      <c r="D1302" s="1860">
        <f t="shared" si="108"/>
        <v>42761</v>
      </c>
      <c r="E1302" s="1861">
        <v>42761</v>
      </c>
      <c r="F1302" s="1862"/>
      <c r="G1302" s="1862">
        <v>60000</v>
      </c>
      <c r="H1302" s="1862">
        <v>60000</v>
      </c>
      <c r="I1302" s="1862">
        <f>Tabla1[[#This Row],[Extraccion
Norte II]]+Tabla1[[#This Row],[Extraccion
ENO]]</f>
        <v>72403.577723953131</v>
      </c>
      <c r="J1302" s="1862">
        <v>72403.577723953131</v>
      </c>
      <c r="K1302" s="1862"/>
      <c r="L1302" s="1862">
        <f t="shared" si="109"/>
        <v>-12403.577723953131</v>
      </c>
      <c r="M1302" s="1862">
        <f>M1301+Tabla1[[#This Row],[Desbalance
TPL]]</f>
        <v>-597067.69061877229</v>
      </c>
    </row>
    <row r="1303" spans="2:13" x14ac:dyDescent="0.25">
      <c r="B1303" s="1859">
        <f t="shared" si="106"/>
        <v>2017</v>
      </c>
      <c r="C1303" s="1859">
        <f t="shared" si="107"/>
        <v>1</v>
      </c>
      <c r="D1303" s="1860">
        <f t="shared" si="108"/>
        <v>42762</v>
      </c>
      <c r="E1303" s="1861">
        <v>42762</v>
      </c>
      <c r="F1303" s="1862"/>
      <c r="G1303" s="1862">
        <v>63000</v>
      </c>
      <c r="H1303" s="1862">
        <v>63000</v>
      </c>
      <c r="I1303" s="1862">
        <f>Tabla1[[#This Row],[Extraccion
Norte II]]+Tabla1[[#This Row],[Extraccion
ENO]]</f>
        <v>72533.729244584349</v>
      </c>
      <c r="J1303" s="1862">
        <v>72533.729244584349</v>
      </c>
      <c r="K1303" s="1862"/>
      <c r="L1303" s="1862">
        <f t="shared" si="109"/>
        <v>-9533.7292445843486</v>
      </c>
      <c r="M1303" s="1862">
        <f>M1302+Tabla1[[#This Row],[Desbalance
TPL]]</f>
        <v>-606601.41986335663</v>
      </c>
    </row>
    <row r="1304" spans="2:13" x14ac:dyDescent="0.25">
      <c r="B1304" s="1859">
        <f t="shared" si="106"/>
        <v>2017</v>
      </c>
      <c r="C1304" s="1859">
        <f t="shared" si="107"/>
        <v>1</v>
      </c>
      <c r="D1304" s="1860">
        <f t="shared" si="108"/>
        <v>42763</v>
      </c>
      <c r="E1304" s="1861">
        <v>42763</v>
      </c>
      <c r="F1304" s="1862"/>
      <c r="G1304" s="1862">
        <v>72000</v>
      </c>
      <c r="H1304" s="1862">
        <v>72000</v>
      </c>
      <c r="I1304" s="1862">
        <f>Tabla1[[#This Row],[Extraccion
Norte II]]+Tabla1[[#This Row],[Extraccion
ENO]]</f>
        <v>72471.006017718755</v>
      </c>
      <c r="J1304" s="1862">
        <v>72471.006017718755</v>
      </c>
      <c r="K1304" s="1862"/>
      <c r="L1304" s="1862">
        <f t="shared" si="109"/>
        <v>-471.00601771875517</v>
      </c>
      <c r="M1304" s="1862">
        <f>M1303+Tabla1[[#This Row],[Desbalance
TPL]]</f>
        <v>-607072.42588107544</v>
      </c>
    </row>
    <row r="1305" spans="2:13" x14ac:dyDescent="0.25">
      <c r="B1305" s="1859">
        <f t="shared" si="106"/>
        <v>2017</v>
      </c>
      <c r="C1305" s="1859">
        <f t="shared" si="107"/>
        <v>1</v>
      </c>
      <c r="D1305" s="1860">
        <f t="shared" si="108"/>
        <v>42764</v>
      </c>
      <c r="E1305" s="1861">
        <v>42764</v>
      </c>
      <c r="F1305" s="1862"/>
      <c r="G1305" s="1862">
        <v>72000</v>
      </c>
      <c r="H1305" s="1862">
        <v>72000</v>
      </c>
      <c r="I1305" s="1862">
        <f>Tabla1[[#This Row],[Extraccion
Norte II]]+Tabla1[[#This Row],[Extraccion
ENO]]</f>
        <v>70625.450817966106</v>
      </c>
      <c r="J1305" s="1862">
        <v>70625.450817966106</v>
      </c>
      <c r="K1305" s="1862"/>
      <c r="L1305" s="1862">
        <f t="shared" si="109"/>
        <v>1374.5491820338939</v>
      </c>
      <c r="M1305" s="1862">
        <f>M1304+Tabla1[[#This Row],[Desbalance
TPL]]</f>
        <v>-605697.87669904158</v>
      </c>
    </row>
    <row r="1306" spans="2:13" x14ac:dyDescent="0.25">
      <c r="B1306" s="1859">
        <f t="shared" si="106"/>
        <v>2017</v>
      </c>
      <c r="C1306" s="1859">
        <f t="shared" si="107"/>
        <v>1</v>
      </c>
      <c r="D1306" s="1860">
        <f t="shared" si="108"/>
        <v>42765</v>
      </c>
      <c r="E1306" s="1861">
        <v>42765</v>
      </c>
      <c r="F1306" s="1862"/>
      <c r="G1306" s="1862">
        <v>72000</v>
      </c>
      <c r="H1306" s="1862">
        <v>72000</v>
      </c>
      <c r="I1306" s="1862">
        <f>Tabla1[[#This Row],[Extraccion
Norte II]]+Tabla1[[#This Row],[Extraccion
ENO]]</f>
        <v>72252.69710526563</v>
      </c>
      <c r="J1306" s="1862">
        <v>72252.69710526563</v>
      </c>
      <c r="K1306" s="1862"/>
      <c r="L1306" s="1862">
        <f t="shared" si="109"/>
        <v>-252.69710526562994</v>
      </c>
      <c r="M1306" s="1862">
        <f>M1305+Tabla1[[#This Row],[Desbalance
TPL]]</f>
        <v>-605950.57380430726</v>
      </c>
    </row>
    <row r="1307" spans="2:13" x14ac:dyDescent="0.25">
      <c r="B1307" s="1859">
        <f t="shared" si="106"/>
        <v>2017</v>
      </c>
      <c r="C1307" s="1859">
        <f t="shared" si="107"/>
        <v>1</v>
      </c>
      <c r="D1307" s="1860">
        <f t="shared" si="108"/>
        <v>42766</v>
      </c>
      <c r="E1307" s="1861">
        <v>42766</v>
      </c>
      <c r="F1307" s="1862"/>
      <c r="G1307" s="1862">
        <v>70000</v>
      </c>
      <c r="H1307" s="1862">
        <v>70000</v>
      </c>
      <c r="I1307" s="1862">
        <f>Tabla1[[#This Row],[Extraccion
Norte II]]+Tabla1[[#This Row],[Extraccion
ENO]]</f>
        <v>72031.98162668485</v>
      </c>
      <c r="J1307" s="1862">
        <v>72031.98162668485</v>
      </c>
      <c r="K1307" s="1862"/>
      <c r="L1307" s="1862">
        <f t="shared" si="109"/>
        <v>-2031.9816266848502</v>
      </c>
      <c r="M1307" s="1862">
        <f>M1306+Tabla1[[#This Row],[Desbalance
TPL]]</f>
        <v>-607982.55543099216</v>
      </c>
    </row>
    <row r="1308" spans="2:13" x14ac:dyDescent="0.25">
      <c r="B1308" s="1859">
        <f t="shared" si="106"/>
        <v>2017</v>
      </c>
      <c r="C1308" s="1859">
        <f t="shared" si="107"/>
        <v>2</v>
      </c>
      <c r="D1308" s="1860">
        <f t="shared" si="108"/>
        <v>42767</v>
      </c>
      <c r="E1308" s="1861">
        <v>42767</v>
      </c>
      <c r="F1308" s="1862"/>
      <c r="G1308" s="1862">
        <v>72000</v>
      </c>
      <c r="H1308" s="1862">
        <v>72000</v>
      </c>
      <c r="I1308" s="1862">
        <f>Tabla1[[#This Row],[Extraccion
Norte II]]+Tabla1[[#This Row],[Extraccion
ENO]]</f>
        <v>72088.48781001562</v>
      </c>
      <c r="J1308" s="1862">
        <v>72088.48781001562</v>
      </c>
      <c r="K1308" s="1862"/>
      <c r="L1308" s="1862">
        <f t="shared" si="109"/>
        <v>-88.487810015620198</v>
      </c>
      <c r="M1308" s="1862">
        <f>M1307+Tabla1[[#This Row],[Desbalance
TPL]]</f>
        <v>-608071.04324100772</v>
      </c>
    </row>
    <row r="1309" spans="2:13" x14ac:dyDescent="0.25">
      <c r="B1309" s="1859">
        <f t="shared" si="106"/>
        <v>2017</v>
      </c>
      <c r="C1309" s="1859">
        <f t="shared" si="107"/>
        <v>2</v>
      </c>
      <c r="D1309" s="1860">
        <f t="shared" si="108"/>
        <v>42768</v>
      </c>
      <c r="E1309" s="1861">
        <v>42768</v>
      </c>
      <c r="F1309" s="1862"/>
      <c r="G1309" s="1862">
        <v>66999</v>
      </c>
      <c r="H1309" s="1862">
        <v>66999</v>
      </c>
      <c r="I1309" s="1862">
        <f>Tabla1[[#This Row],[Extraccion
Norte II]]+Tabla1[[#This Row],[Extraccion
ENO]]</f>
        <v>58291.748853389297</v>
      </c>
      <c r="J1309" s="1862">
        <v>58291.748853389297</v>
      </c>
      <c r="K1309" s="1862"/>
      <c r="L1309" s="1862">
        <f t="shared" si="109"/>
        <v>8707.2511466107026</v>
      </c>
      <c r="M1309" s="1862">
        <f>M1308+Tabla1[[#This Row],[Desbalance
TPL]]</f>
        <v>-599363.79209439701</v>
      </c>
    </row>
    <row r="1310" spans="2:13" x14ac:dyDescent="0.25">
      <c r="B1310" s="1859">
        <f t="shared" si="106"/>
        <v>2017</v>
      </c>
      <c r="C1310" s="1859">
        <f t="shared" si="107"/>
        <v>2</v>
      </c>
      <c r="D1310" s="1860">
        <f t="shared" si="108"/>
        <v>42769</v>
      </c>
      <c r="E1310" s="1861">
        <v>42769</v>
      </c>
      <c r="F1310" s="1862"/>
      <c r="G1310" s="1862">
        <v>47000</v>
      </c>
      <c r="H1310" s="1862">
        <v>47000</v>
      </c>
      <c r="I1310" s="1862">
        <f>Tabla1[[#This Row],[Extraccion
Norte II]]+Tabla1[[#This Row],[Extraccion
ENO]]</f>
        <v>35873.840329470004</v>
      </c>
      <c r="J1310" s="1862">
        <v>35873.840329470004</v>
      </c>
      <c r="K1310" s="1862"/>
      <c r="L1310" s="1862">
        <f t="shared" si="109"/>
        <v>11126.159670529996</v>
      </c>
      <c r="M1310" s="1862">
        <f>M1309+Tabla1[[#This Row],[Desbalance
TPL]]</f>
        <v>-588237.63242386701</v>
      </c>
    </row>
    <row r="1311" spans="2:13" x14ac:dyDescent="0.25">
      <c r="B1311" s="1859">
        <f t="shared" si="106"/>
        <v>2017</v>
      </c>
      <c r="C1311" s="1859">
        <f t="shared" si="107"/>
        <v>2</v>
      </c>
      <c r="D1311" s="1860">
        <f t="shared" si="108"/>
        <v>42770</v>
      </c>
      <c r="E1311" s="1861">
        <v>42770</v>
      </c>
      <c r="F1311" s="1862"/>
      <c r="G1311" s="1862">
        <v>55000</v>
      </c>
      <c r="H1311" s="1862">
        <v>55000</v>
      </c>
      <c r="I1311" s="1862">
        <f>Tabla1[[#This Row],[Extraccion
Norte II]]+Tabla1[[#This Row],[Extraccion
ENO]]</f>
        <v>36818.908660170004</v>
      </c>
      <c r="J1311" s="1862">
        <v>36818.908660170004</v>
      </c>
      <c r="K1311" s="1862"/>
      <c r="L1311" s="1862">
        <f t="shared" si="109"/>
        <v>18181.091339829996</v>
      </c>
      <c r="M1311" s="1862">
        <f>M1310+Tabla1[[#This Row],[Desbalance
TPL]]</f>
        <v>-570056.54108403705</v>
      </c>
    </row>
    <row r="1312" spans="2:13" x14ac:dyDescent="0.25">
      <c r="B1312" s="1859">
        <f t="shared" si="106"/>
        <v>2017</v>
      </c>
      <c r="C1312" s="1859">
        <f t="shared" si="107"/>
        <v>2</v>
      </c>
      <c r="D1312" s="1860">
        <f t="shared" si="108"/>
        <v>42771</v>
      </c>
      <c r="E1312" s="1861">
        <v>42771</v>
      </c>
      <c r="F1312" s="1862"/>
      <c r="G1312" s="1862">
        <v>55000</v>
      </c>
      <c r="H1312" s="1862">
        <v>55000</v>
      </c>
      <c r="I1312" s="1862">
        <f>Tabla1[[#This Row],[Extraccion
Norte II]]+Tabla1[[#This Row],[Extraccion
ENO]]</f>
        <v>36911.481946560001</v>
      </c>
      <c r="J1312" s="1862">
        <v>36911.481946560001</v>
      </c>
      <c r="K1312" s="1862"/>
      <c r="L1312" s="1862">
        <f t="shared" si="109"/>
        <v>18088.518053439999</v>
      </c>
      <c r="M1312" s="1862">
        <f>M1311+Tabla1[[#This Row],[Desbalance
TPL]]</f>
        <v>-551968.02303059702</v>
      </c>
    </row>
    <row r="1313" spans="2:13" x14ac:dyDescent="0.25">
      <c r="B1313" s="1859">
        <f t="shared" si="106"/>
        <v>2017</v>
      </c>
      <c r="C1313" s="1859">
        <f t="shared" si="107"/>
        <v>2</v>
      </c>
      <c r="D1313" s="1860">
        <f t="shared" si="108"/>
        <v>42772</v>
      </c>
      <c r="E1313" s="1861">
        <v>42772</v>
      </c>
      <c r="F1313" s="1862"/>
      <c r="G1313" s="1862">
        <v>55000</v>
      </c>
      <c r="H1313" s="1862">
        <v>55000</v>
      </c>
      <c r="I1313" s="1862">
        <f>Tabla1[[#This Row],[Extraccion
Norte II]]+Tabla1[[#This Row],[Extraccion
ENO]]</f>
        <v>36853.665109560003</v>
      </c>
      <c r="J1313" s="1862">
        <v>36853.665109560003</v>
      </c>
      <c r="K1313" s="1862"/>
      <c r="L1313" s="1862">
        <f t="shared" si="109"/>
        <v>18146.334890439997</v>
      </c>
      <c r="M1313" s="1862">
        <f>M1312+Tabla1[[#This Row],[Desbalance
TPL]]</f>
        <v>-533821.68814015703</v>
      </c>
    </row>
    <row r="1314" spans="2:13" x14ac:dyDescent="0.25">
      <c r="B1314" s="1859">
        <f t="shared" si="106"/>
        <v>2017</v>
      </c>
      <c r="C1314" s="1859">
        <f t="shared" si="107"/>
        <v>2</v>
      </c>
      <c r="D1314" s="1860">
        <f t="shared" si="108"/>
        <v>42773</v>
      </c>
      <c r="E1314" s="1861">
        <v>42773</v>
      </c>
      <c r="F1314" s="1862"/>
      <c r="G1314" s="1862">
        <v>55000</v>
      </c>
      <c r="H1314" s="1862">
        <v>55000</v>
      </c>
      <c r="I1314" s="1862">
        <f>Tabla1[[#This Row],[Extraccion
Norte II]]+Tabla1[[#This Row],[Extraccion
ENO]]</f>
        <v>59283.925021620002</v>
      </c>
      <c r="J1314" s="1862">
        <v>59283.925021620002</v>
      </c>
      <c r="K1314" s="1862"/>
      <c r="L1314" s="1862">
        <f t="shared" si="109"/>
        <v>-4283.9250216200016</v>
      </c>
      <c r="M1314" s="1862">
        <f>M1313+Tabla1[[#This Row],[Desbalance
TPL]]</f>
        <v>-538105.61316177703</v>
      </c>
    </row>
    <row r="1315" spans="2:13" x14ac:dyDescent="0.25">
      <c r="B1315" s="1859">
        <f t="shared" si="106"/>
        <v>2017</v>
      </c>
      <c r="C1315" s="1859">
        <f t="shared" si="107"/>
        <v>2</v>
      </c>
      <c r="D1315" s="1860">
        <f t="shared" si="108"/>
        <v>42774</v>
      </c>
      <c r="E1315" s="1861">
        <v>42774</v>
      </c>
      <c r="F1315" s="1862"/>
      <c r="G1315" s="1862">
        <v>72000</v>
      </c>
      <c r="H1315" s="1862">
        <v>72000</v>
      </c>
      <c r="I1315" s="1862">
        <f>Tabla1[[#This Row],[Extraccion
Norte II]]+Tabla1[[#This Row],[Extraccion
ENO]]</f>
        <v>67702.321877580005</v>
      </c>
      <c r="J1315" s="1862">
        <v>67702.321877580005</v>
      </c>
      <c r="K1315" s="1862"/>
      <c r="L1315" s="1862">
        <f t="shared" si="109"/>
        <v>4297.6781224199949</v>
      </c>
      <c r="M1315" s="1862">
        <f>M1314+Tabla1[[#This Row],[Desbalance
TPL]]</f>
        <v>-533807.93503935705</v>
      </c>
    </row>
    <row r="1316" spans="2:13" x14ac:dyDescent="0.25">
      <c r="B1316" s="1859">
        <f t="shared" si="106"/>
        <v>2017</v>
      </c>
      <c r="C1316" s="1859">
        <f t="shared" si="107"/>
        <v>2</v>
      </c>
      <c r="D1316" s="1860">
        <f t="shared" si="108"/>
        <v>42775</v>
      </c>
      <c r="E1316" s="1861">
        <v>42775</v>
      </c>
      <c r="F1316" s="1862"/>
      <c r="G1316" s="1862">
        <v>69000</v>
      </c>
      <c r="H1316" s="1862">
        <v>69000</v>
      </c>
      <c r="I1316" s="1862">
        <f>Tabla1[[#This Row],[Extraccion
Norte II]]+Tabla1[[#This Row],[Extraccion
ENO]]</f>
        <v>67745.144249639998</v>
      </c>
      <c r="J1316" s="1862">
        <v>67745.144249639998</v>
      </c>
      <c r="K1316" s="1862"/>
      <c r="L1316" s="1862">
        <f t="shared" si="109"/>
        <v>1254.8557503600023</v>
      </c>
      <c r="M1316" s="1862">
        <f>M1315+Tabla1[[#This Row],[Desbalance
TPL]]</f>
        <v>-532553.07928899699</v>
      </c>
    </row>
    <row r="1317" spans="2:13" x14ac:dyDescent="0.25">
      <c r="B1317" s="1859">
        <f t="shared" si="106"/>
        <v>2017</v>
      </c>
      <c r="C1317" s="1859">
        <f t="shared" si="107"/>
        <v>2</v>
      </c>
      <c r="D1317" s="1860">
        <f t="shared" si="108"/>
        <v>42776</v>
      </c>
      <c r="E1317" s="1861">
        <v>42776</v>
      </c>
      <c r="F1317" s="1862"/>
      <c r="G1317" s="1862">
        <v>71000</v>
      </c>
      <c r="H1317" s="1862">
        <v>71000</v>
      </c>
      <c r="I1317" s="1862">
        <f>Tabla1[[#This Row],[Extraccion
Norte II]]+Tabla1[[#This Row],[Extraccion
ENO]]</f>
        <v>67999.225552830001</v>
      </c>
      <c r="J1317" s="1862">
        <v>67999.225552830001</v>
      </c>
      <c r="K1317" s="1862"/>
      <c r="L1317" s="1862">
        <f t="shared" si="109"/>
        <v>3000.7744471699989</v>
      </c>
      <c r="M1317" s="1862">
        <f>M1316+Tabla1[[#This Row],[Desbalance
TPL]]</f>
        <v>-529552.30484182702</v>
      </c>
    </row>
    <row r="1318" spans="2:13" x14ac:dyDescent="0.25">
      <c r="B1318" s="1859">
        <f t="shared" si="106"/>
        <v>2017</v>
      </c>
      <c r="C1318" s="1859">
        <f t="shared" si="107"/>
        <v>2</v>
      </c>
      <c r="D1318" s="1860">
        <f t="shared" si="108"/>
        <v>42777</v>
      </c>
      <c r="E1318" s="1861">
        <v>42777</v>
      </c>
      <c r="F1318" s="1862"/>
      <c r="G1318" s="1862">
        <v>61000</v>
      </c>
      <c r="H1318" s="1862">
        <v>61000</v>
      </c>
      <c r="I1318" s="1862">
        <f>Tabla1[[#This Row],[Extraccion
Norte II]]+Tabla1[[#This Row],[Extraccion
ENO]]</f>
        <v>66741.783277805996</v>
      </c>
      <c r="J1318" s="1862">
        <v>66741.783277805996</v>
      </c>
      <c r="K1318" s="1862"/>
      <c r="L1318" s="1862">
        <f t="shared" si="109"/>
        <v>-5741.7832778059965</v>
      </c>
      <c r="M1318" s="1862">
        <f>M1317+Tabla1[[#This Row],[Desbalance
TPL]]</f>
        <v>-535294.08811963303</v>
      </c>
    </row>
    <row r="1319" spans="2:13" x14ac:dyDescent="0.25">
      <c r="B1319" s="1859">
        <f t="shared" si="106"/>
        <v>2017</v>
      </c>
      <c r="C1319" s="1859">
        <f t="shared" si="107"/>
        <v>2</v>
      </c>
      <c r="D1319" s="1860">
        <f t="shared" si="108"/>
        <v>42778</v>
      </c>
      <c r="E1319" s="1861">
        <v>42778</v>
      </c>
      <c r="F1319" s="1862"/>
      <c r="G1319" s="1862">
        <v>61000</v>
      </c>
      <c r="H1319" s="1862">
        <v>61000</v>
      </c>
      <c r="I1319" s="1862">
        <f>Tabla1[[#This Row],[Extraccion
Norte II]]+Tabla1[[#This Row],[Extraccion
ENO]]</f>
        <v>67864.493366280003</v>
      </c>
      <c r="J1319" s="1862">
        <v>67864.493366280003</v>
      </c>
      <c r="K1319" s="1862"/>
      <c r="L1319" s="1862">
        <f t="shared" si="109"/>
        <v>-6864.4933662800031</v>
      </c>
      <c r="M1319" s="1862">
        <f>M1318+Tabla1[[#This Row],[Desbalance
TPL]]</f>
        <v>-542158.58148591302</v>
      </c>
    </row>
    <row r="1320" spans="2:13" x14ac:dyDescent="0.25">
      <c r="B1320" s="1859">
        <f t="shared" si="106"/>
        <v>2017</v>
      </c>
      <c r="C1320" s="1859">
        <f t="shared" si="107"/>
        <v>2</v>
      </c>
      <c r="D1320" s="1860">
        <f t="shared" si="108"/>
        <v>42779</v>
      </c>
      <c r="E1320" s="1861">
        <v>42779</v>
      </c>
      <c r="F1320" s="1862"/>
      <c r="G1320" s="1862">
        <v>61000</v>
      </c>
      <c r="H1320" s="1862">
        <v>61000</v>
      </c>
      <c r="I1320" s="1862">
        <f>Tabla1[[#This Row],[Extraccion
Norte II]]+Tabla1[[#This Row],[Extraccion
ENO]]</f>
        <v>68255.820466703997</v>
      </c>
      <c r="J1320" s="1862">
        <v>68255.820466703997</v>
      </c>
      <c r="K1320" s="1862"/>
      <c r="L1320" s="1862">
        <f t="shared" si="109"/>
        <v>-7255.8204667039972</v>
      </c>
      <c r="M1320" s="1862">
        <f>M1319+Tabla1[[#This Row],[Desbalance
TPL]]</f>
        <v>-549414.40195261699</v>
      </c>
    </row>
    <row r="1321" spans="2:13" x14ac:dyDescent="0.25">
      <c r="B1321" s="1859">
        <f t="shared" si="106"/>
        <v>2017</v>
      </c>
      <c r="C1321" s="1859">
        <f t="shared" si="107"/>
        <v>2</v>
      </c>
      <c r="D1321" s="1860">
        <f t="shared" si="108"/>
        <v>42780</v>
      </c>
      <c r="E1321" s="1861">
        <v>42780</v>
      </c>
      <c r="F1321" s="1862"/>
      <c r="G1321" s="1862">
        <v>61000</v>
      </c>
      <c r="H1321" s="1862">
        <v>61000</v>
      </c>
      <c r="I1321" s="1862">
        <f>Tabla1[[#This Row],[Extraccion
Norte II]]+Tabla1[[#This Row],[Extraccion
ENO]]</f>
        <v>68010.068579309998</v>
      </c>
      <c r="J1321" s="1862">
        <v>68010.068579309998</v>
      </c>
      <c r="K1321" s="1862"/>
      <c r="L1321" s="1862">
        <f t="shared" si="109"/>
        <v>-7010.0685793099983</v>
      </c>
      <c r="M1321" s="1862">
        <f>M1320+Tabla1[[#This Row],[Desbalance
TPL]]</f>
        <v>-556424.47053192696</v>
      </c>
    </row>
    <row r="1322" spans="2:13" x14ac:dyDescent="0.25">
      <c r="B1322" s="1859">
        <f t="shared" si="106"/>
        <v>2017</v>
      </c>
      <c r="C1322" s="1859">
        <f t="shared" si="107"/>
        <v>2</v>
      </c>
      <c r="D1322" s="1860">
        <f t="shared" si="108"/>
        <v>42781</v>
      </c>
      <c r="E1322" s="1861">
        <v>42781</v>
      </c>
      <c r="F1322" s="1862"/>
      <c r="G1322" s="1862">
        <v>64999</v>
      </c>
      <c r="H1322" s="1862">
        <v>64999</v>
      </c>
      <c r="I1322" s="1862">
        <f>Tabla1[[#This Row],[Extraccion
Norte II]]+Tabla1[[#This Row],[Extraccion
ENO]]</f>
        <v>68044.919810399995</v>
      </c>
      <c r="J1322" s="1862">
        <v>68044.919810399995</v>
      </c>
      <c r="K1322" s="1862"/>
      <c r="L1322" s="1862">
        <f t="shared" si="109"/>
        <v>-3045.9198103999952</v>
      </c>
      <c r="M1322" s="1862">
        <f>M1321+Tabla1[[#This Row],[Desbalance
TPL]]</f>
        <v>-559470.39034232695</v>
      </c>
    </row>
    <row r="1323" spans="2:13" x14ac:dyDescent="0.25">
      <c r="B1323" s="1859">
        <f t="shared" si="106"/>
        <v>2017</v>
      </c>
      <c r="C1323" s="1859">
        <f t="shared" si="107"/>
        <v>2</v>
      </c>
      <c r="D1323" s="1860">
        <f t="shared" si="108"/>
        <v>42782</v>
      </c>
      <c r="E1323" s="1861">
        <v>42782</v>
      </c>
      <c r="F1323" s="1862"/>
      <c r="G1323" s="1862">
        <v>61000</v>
      </c>
      <c r="H1323" s="1862">
        <v>61000</v>
      </c>
      <c r="I1323" s="1862">
        <f>Tabla1[[#This Row],[Extraccion
Norte II]]+Tabla1[[#This Row],[Extraccion
ENO]]</f>
        <v>67954.299027029992</v>
      </c>
      <c r="J1323" s="1862">
        <v>67954.299027029992</v>
      </c>
      <c r="K1323" s="1862"/>
      <c r="L1323" s="1862">
        <f t="shared" si="109"/>
        <v>-6954.2990270299924</v>
      </c>
      <c r="M1323" s="1862">
        <f>M1322+Tabla1[[#This Row],[Desbalance
TPL]]</f>
        <v>-566424.68936935696</v>
      </c>
    </row>
    <row r="1324" spans="2:13" x14ac:dyDescent="0.25">
      <c r="B1324" s="1859">
        <f t="shared" si="106"/>
        <v>2017</v>
      </c>
      <c r="C1324" s="1859">
        <f t="shared" si="107"/>
        <v>2</v>
      </c>
      <c r="D1324" s="1860">
        <f t="shared" si="108"/>
        <v>42783</v>
      </c>
      <c r="E1324" s="1861">
        <v>42783</v>
      </c>
      <c r="F1324" s="1862"/>
      <c r="G1324" s="1862">
        <v>64999</v>
      </c>
      <c r="H1324" s="1862">
        <v>64999</v>
      </c>
      <c r="I1324" s="1862">
        <f>Tabla1[[#This Row],[Extraccion
Norte II]]+Tabla1[[#This Row],[Extraccion
ENO]]</f>
        <v>67558.500125999999</v>
      </c>
      <c r="J1324" s="1862">
        <v>67558.500125999999</v>
      </c>
      <c r="K1324" s="1862"/>
      <c r="L1324" s="1862">
        <f t="shared" si="109"/>
        <v>-2559.500125999999</v>
      </c>
      <c r="M1324" s="1862">
        <f>M1323+Tabla1[[#This Row],[Desbalance
TPL]]</f>
        <v>-568984.18949535699</v>
      </c>
    </row>
    <row r="1325" spans="2:13" x14ac:dyDescent="0.25">
      <c r="B1325" s="1859">
        <f t="shared" si="106"/>
        <v>2017</v>
      </c>
      <c r="C1325" s="1859">
        <f t="shared" si="107"/>
        <v>2</v>
      </c>
      <c r="D1325" s="1860">
        <f t="shared" si="108"/>
        <v>42784</v>
      </c>
      <c r="E1325" s="1861">
        <v>42784</v>
      </c>
      <c r="F1325" s="1862"/>
      <c r="G1325" s="1862">
        <v>60000</v>
      </c>
      <c r="H1325" s="1862">
        <v>60000</v>
      </c>
      <c r="I1325" s="1862">
        <f>Tabla1[[#This Row],[Extraccion
Norte II]]+Tabla1[[#This Row],[Extraccion
ENO]]</f>
        <v>67801.335580485</v>
      </c>
      <c r="J1325" s="1862">
        <v>67801.335580485</v>
      </c>
      <c r="K1325" s="1862"/>
      <c r="L1325" s="1862">
        <f t="shared" si="109"/>
        <v>-7801.3355804849998</v>
      </c>
      <c r="M1325" s="1862">
        <f>M1324+Tabla1[[#This Row],[Desbalance
TPL]]</f>
        <v>-576785.52507584193</v>
      </c>
    </row>
    <row r="1326" spans="2:13" x14ac:dyDescent="0.25">
      <c r="B1326" s="1859">
        <f t="shared" si="106"/>
        <v>2017</v>
      </c>
      <c r="C1326" s="1859">
        <f t="shared" si="107"/>
        <v>2</v>
      </c>
      <c r="D1326" s="1860">
        <f t="shared" si="108"/>
        <v>42785</v>
      </c>
      <c r="E1326" s="1861">
        <v>42785</v>
      </c>
      <c r="F1326" s="1862"/>
      <c r="G1326" s="1862">
        <v>60000</v>
      </c>
      <c r="H1326" s="1862">
        <v>60000</v>
      </c>
      <c r="I1326" s="1862">
        <f>Tabla1[[#This Row],[Extraccion
Norte II]]+Tabla1[[#This Row],[Extraccion
ENO]]</f>
        <v>67344.084964259993</v>
      </c>
      <c r="J1326" s="1862">
        <v>67344.084964259993</v>
      </c>
      <c r="K1326" s="1862"/>
      <c r="L1326" s="1862">
        <f t="shared" si="109"/>
        <v>-7344.0849642599933</v>
      </c>
      <c r="M1326" s="1862">
        <f>M1325+Tabla1[[#This Row],[Desbalance
TPL]]</f>
        <v>-584129.61004010192</v>
      </c>
    </row>
    <row r="1327" spans="2:13" x14ac:dyDescent="0.25">
      <c r="B1327" s="1859">
        <f t="shared" si="106"/>
        <v>2017</v>
      </c>
      <c r="C1327" s="1859">
        <f t="shared" si="107"/>
        <v>2</v>
      </c>
      <c r="D1327" s="1860">
        <f t="shared" si="108"/>
        <v>42786</v>
      </c>
      <c r="E1327" s="1861">
        <v>42786</v>
      </c>
      <c r="F1327" s="1862"/>
      <c r="G1327" s="1862">
        <v>60000</v>
      </c>
      <c r="H1327" s="1862">
        <v>60000</v>
      </c>
      <c r="I1327" s="1862">
        <f>Tabla1[[#This Row],[Extraccion
Norte II]]+Tabla1[[#This Row],[Extraccion
ENO]]</f>
        <v>67839.764820750002</v>
      </c>
      <c r="J1327" s="1862">
        <v>67839.764820750002</v>
      </c>
      <c r="K1327" s="1862"/>
      <c r="L1327" s="1862">
        <f t="shared" si="109"/>
        <v>-7839.7648207500024</v>
      </c>
      <c r="M1327" s="1862">
        <f>M1326+Tabla1[[#This Row],[Desbalance
TPL]]</f>
        <v>-591969.37486085191</v>
      </c>
    </row>
    <row r="1328" spans="2:13" x14ac:dyDescent="0.25">
      <c r="B1328" s="1859">
        <f t="shared" si="106"/>
        <v>2017</v>
      </c>
      <c r="C1328" s="1859">
        <f t="shared" si="107"/>
        <v>2</v>
      </c>
      <c r="D1328" s="1860">
        <f t="shared" si="108"/>
        <v>42787</v>
      </c>
      <c r="E1328" s="1861">
        <v>42787</v>
      </c>
      <c r="F1328" s="1862"/>
      <c r="G1328" s="1862">
        <v>60000</v>
      </c>
      <c r="H1328" s="1862">
        <v>60000</v>
      </c>
      <c r="I1328" s="1862">
        <f>Tabla1[[#This Row],[Extraccion
Norte II]]+Tabla1[[#This Row],[Extraccion
ENO]]</f>
        <v>67848.570040680002</v>
      </c>
      <c r="J1328" s="1862">
        <v>67848.570040680002</v>
      </c>
      <c r="K1328" s="1862"/>
      <c r="L1328" s="1862">
        <f t="shared" si="109"/>
        <v>-7848.5700406800024</v>
      </c>
      <c r="M1328" s="1862">
        <f>M1327+Tabla1[[#This Row],[Desbalance
TPL]]</f>
        <v>-599817.94490153191</v>
      </c>
    </row>
    <row r="1329" spans="2:13" x14ac:dyDescent="0.25">
      <c r="B1329" s="1859">
        <f t="shared" si="106"/>
        <v>2017</v>
      </c>
      <c r="C1329" s="1859">
        <f t="shared" si="107"/>
        <v>2</v>
      </c>
      <c r="D1329" s="1860">
        <f t="shared" si="108"/>
        <v>42788</v>
      </c>
      <c r="E1329" s="1861">
        <v>42788</v>
      </c>
      <c r="F1329" s="1862"/>
      <c r="G1329" s="1862">
        <v>61000</v>
      </c>
      <c r="H1329" s="1862">
        <v>61000</v>
      </c>
      <c r="I1329" s="1862">
        <f>Tabla1[[#This Row],[Extraccion
Norte II]]+Tabla1[[#This Row],[Extraccion
ENO]]</f>
        <v>67769.332539480005</v>
      </c>
      <c r="J1329" s="1862">
        <v>67769.332539480005</v>
      </c>
      <c r="K1329" s="1862"/>
      <c r="L1329" s="1862">
        <f t="shared" si="109"/>
        <v>-6769.3325394800049</v>
      </c>
      <c r="M1329" s="1862">
        <f>M1328+Tabla1[[#This Row],[Desbalance
TPL]]</f>
        <v>-606587.27744101197</v>
      </c>
    </row>
    <row r="1330" spans="2:13" x14ac:dyDescent="0.25">
      <c r="B1330" s="1859">
        <f t="shared" si="106"/>
        <v>2017</v>
      </c>
      <c r="C1330" s="1859">
        <f t="shared" si="107"/>
        <v>2</v>
      </c>
      <c r="D1330" s="1860">
        <f t="shared" si="108"/>
        <v>42789</v>
      </c>
      <c r="E1330" s="1861">
        <v>42789</v>
      </c>
      <c r="F1330" s="1862"/>
      <c r="G1330" s="1862">
        <v>61000</v>
      </c>
      <c r="H1330" s="1862">
        <v>61000</v>
      </c>
      <c r="I1330" s="1862">
        <f>Tabla1[[#This Row],[Extraccion
Norte II]]+Tabla1[[#This Row],[Extraccion
ENO]]</f>
        <v>67794.051606840003</v>
      </c>
      <c r="J1330" s="1862">
        <v>67794.051606840003</v>
      </c>
      <c r="K1330" s="1862"/>
      <c r="L1330" s="1862">
        <f t="shared" si="109"/>
        <v>-6794.0516068400029</v>
      </c>
      <c r="M1330" s="1862">
        <f>M1329+Tabla1[[#This Row],[Desbalance
TPL]]</f>
        <v>-613381.32904785196</v>
      </c>
    </row>
    <row r="1331" spans="2:13" x14ac:dyDescent="0.25">
      <c r="B1331" s="1859">
        <f t="shared" ref="B1331:B1394" si="110">YEAR(E1331)</f>
        <v>2017</v>
      </c>
      <c r="C1331" s="1859">
        <f t="shared" ref="C1331:C1394" si="111">MONTH(E1331)</f>
        <v>2</v>
      </c>
      <c r="D1331" s="1860">
        <f t="shared" ref="D1331:D1394" si="112">E1331</f>
        <v>42790</v>
      </c>
      <c r="E1331" s="1861">
        <v>42790</v>
      </c>
      <c r="F1331" s="1862"/>
      <c r="G1331" s="1862">
        <v>62000</v>
      </c>
      <c r="H1331" s="1862">
        <v>62000</v>
      </c>
      <c r="I1331" s="1862">
        <f>Tabla1[[#This Row],[Extraccion
Norte II]]+Tabla1[[#This Row],[Extraccion
ENO]]</f>
        <v>67923.637147080008</v>
      </c>
      <c r="J1331" s="1862">
        <v>67923.637147080008</v>
      </c>
      <c r="K1331" s="1862"/>
      <c r="L1331" s="1862">
        <f t="shared" si="109"/>
        <v>-5923.6371470800077</v>
      </c>
      <c r="M1331" s="1862">
        <f>M1330+Tabla1[[#This Row],[Desbalance
TPL]]</f>
        <v>-619304.966194932</v>
      </c>
    </row>
    <row r="1332" spans="2:13" x14ac:dyDescent="0.25">
      <c r="B1332" s="1859">
        <f t="shared" si="110"/>
        <v>2017</v>
      </c>
      <c r="C1332" s="1859">
        <f t="shared" si="111"/>
        <v>2</v>
      </c>
      <c r="D1332" s="1860">
        <f t="shared" si="112"/>
        <v>42791</v>
      </c>
      <c r="E1332" s="1861">
        <v>42791</v>
      </c>
      <c r="F1332" s="1862"/>
      <c r="G1332" s="1862">
        <v>60000</v>
      </c>
      <c r="H1332" s="1862">
        <v>60000</v>
      </c>
      <c r="I1332" s="1862">
        <f>Tabla1[[#This Row],[Extraccion
Norte II]]+Tabla1[[#This Row],[Extraccion
ENO]]</f>
        <v>67847.647814739001</v>
      </c>
      <c r="J1332" s="1862">
        <v>67847.647814739001</v>
      </c>
      <c r="K1332" s="1862"/>
      <c r="L1332" s="1862">
        <f t="shared" si="109"/>
        <v>-7847.6478147390008</v>
      </c>
      <c r="M1332" s="1862">
        <f>M1331+Tabla1[[#This Row],[Desbalance
TPL]]</f>
        <v>-627152.61400967103</v>
      </c>
    </row>
    <row r="1333" spans="2:13" x14ac:dyDescent="0.25">
      <c r="B1333" s="1859">
        <f t="shared" si="110"/>
        <v>2017</v>
      </c>
      <c r="C1333" s="1859">
        <f t="shared" si="111"/>
        <v>2</v>
      </c>
      <c r="D1333" s="1860">
        <f t="shared" si="112"/>
        <v>42792</v>
      </c>
      <c r="E1333" s="1861">
        <v>42792</v>
      </c>
      <c r="F1333" s="1862"/>
      <c r="G1333" s="1862">
        <v>60000</v>
      </c>
      <c r="H1333" s="1862">
        <v>60000</v>
      </c>
      <c r="I1333" s="1862">
        <f>Tabla1[[#This Row],[Extraccion
Norte II]]+Tabla1[[#This Row],[Extraccion
ENO]]</f>
        <v>67779.730091970006</v>
      </c>
      <c r="J1333" s="1862">
        <v>67779.730091970006</v>
      </c>
      <c r="K1333" s="1862"/>
      <c r="L1333" s="1862">
        <f t="shared" si="109"/>
        <v>-7779.7300919700065</v>
      </c>
      <c r="M1333" s="1862">
        <f>M1332+Tabla1[[#This Row],[Desbalance
TPL]]</f>
        <v>-634932.34410164109</v>
      </c>
    </row>
    <row r="1334" spans="2:13" x14ac:dyDescent="0.25">
      <c r="B1334" s="1859">
        <f t="shared" si="110"/>
        <v>2017</v>
      </c>
      <c r="C1334" s="1859">
        <f t="shared" si="111"/>
        <v>2</v>
      </c>
      <c r="D1334" s="1860">
        <f t="shared" si="112"/>
        <v>42793</v>
      </c>
      <c r="E1334" s="1861">
        <v>42793</v>
      </c>
      <c r="F1334" s="1862"/>
      <c r="G1334" s="1862">
        <v>60000</v>
      </c>
      <c r="H1334" s="1862">
        <v>60000</v>
      </c>
      <c r="I1334" s="1862">
        <f>Tabla1[[#This Row],[Extraccion
Norte II]]+Tabla1[[#This Row],[Extraccion
ENO]]</f>
        <v>67865.450661450013</v>
      </c>
      <c r="J1334" s="1862">
        <v>67865.450661450013</v>
      </c>
      <c r="K1334" s="1862"/>
      <c r="L1334" s="1862">
        <f t="shared" si="109"/>
        <v>-7865.4506614500133</v>
      </c>
      <c r="M1334" s="1862">
        <f>M1333+Tabla1[[#This Row],[Desbalance
TPL]]</f>
        <v>-642797.79476309114</v>
      </c>
    </row>
    <row r="1335" spans="2:13" x14ac:dyDescent="0.25">
      <c r="B1335" s="1859">
        <f t="shared" si="110"/>
        <v>2017</v>
      </c>
      <c r="C1335" s="1859">
        <f t="shared" si="111"/>
        <v>2</v>
      </c>
      <c r="D1335" s="1860">
        <f t="shared" si="112"/>
        <v>42794</v>
      </c>
      <c r="E1335" s="1861">
        <v>42794</v>
      </c>
      <c r="F1335" s="1862"/>
      <c r="G1335" s="1862">
        <v>62000</v>
      </c>
      <c r="H1335" s="1862">
        <v>62000</v>
      </c>
      <c r="I1335" s="1862">
        <f>Tabla1[[#This Row],[Extraccion
Norte II]]+Tabla1[[#This Row],[Extraccion
ENO]]</f>
        <v>67782.279719700004</v>
      </c>
      <c r="J1335" s="1862">
        <v>67782.279719700004</v>
      </c>
      <c r="K1335" s="1862"/>
      <c r="L1335" s="1862">
        <f t="shared" si="109"/>
        <v>-5782.2797197000036</v>
      </c>
      <c r="M1335" s="1862">
        <f>M1334+Tabla1[[#This Row],[Desbalance
TPL]]</f>
        <v>-648580.07448279113</v>
      </c>
    </row>
    <row r="1336" spans="2:13" x14ac:dyDescent="0.25">
      <c r="B1336" s="1859">
        <f t="shared" si="110"/>
        <v>2017</v>
      </c>
      <c r="C1336" s="1859">
        <f t="shared" si="111"/>
        <v>3</v>
      </c>
      <c r="D1336" s="1860">
        <f t="shared" si="112"/>
        <v>42795</v>
      </c>
      <c r="E1336" s="1861">
        <v>42795</v>
      </c>
      <c r="F1336" s="1862"/>
      <c r="G1336" s="1862">
        <v>62000</v>
      </c>
      <c r="H1336" s="1862">
        <v>62000</v>
      </c>
      <c r="I1336" s="1862">
        <f>Tabla1[[#This Row],[Extraccion
Norte II]]+Tabla1[[#This Row],[Extraccion
ENO]]</f>
        <v>67955.516024058001</v>
      </c>
      <c r="J1336" s="1862">
        <v>67955.516024058001</v>
      </c>
      <c r="K1336" s="1862"/>
      <c r="L1336" s="1862">
        <f t="shared" si="109"/>
        <v>-5955.5160240580008</v>
      </c>
      <c r="M1336" s="1862">
        <f>M1335+Tabla1[[#This Row],[Desbalance
TPL]]</f>
        <v>-654535.59050684911</v>
      </c>
    </row>
    <row r="1337" spans="2:13" x14ac:dyDescent="0.25">
      <c r="B1337" s="1859">
        <f t="shared" si="110"/>
        <v>2017</v>
      </c>
      <c r="C1337" s="1859">
        <f t="shared" si="111"/>
        <v>3</v>
      </c>
      <c r="D1337" s="1860">
        <f t="shared" si="112"/>
        <v>42796</v>
      </c>
      <c r="E1337" s="1861">
        <v>42796</v>
      </c>
      <c r="F1337" s="1862"/>
      <c r="G1337" s="1862">
        <v>62000</v>
      </c>
      <c r="H1337" s="1862">
        <v>62000</v>
      </c>
      <c r="I1337" s="1862">
        <f>Tabla1[[#This Row],[Extraccion
Norte II]]+Tabla1[[#This Row],[Extraccion
ENO]]</f>
        <v>67716.264265649996</v>
      </c>
      <c r="J1337" s="1862">
        <v>67716.264265649996</v>
      </c>
      <c r="K1337" s="1862"/>
      <c r="L1337" s="1862">
        <f t="shared" si="109"/>
        <v>-5716.2642656499957</v>
      </c>
      <c r="M1337" s="1862">
        <f>M1336+Tabla1[[#This Row],[Desbalance
TPL]]</f>
        <v>-660251.85477249906</v>
      </c>
    </row>
    <row r="1338" spans="2:13" x14ac:dyDescent="0.25">
      <c r="B1338" s="1859">
        <f t="shared" si="110"/>
        <v>2017</v>
      </c>
      <c r="C1338" s="1859">
        <f t="shared" si="111"/>
        <v>3</v>
      </c>
      <c r="D1338" s="1860">
        <f t="shared" si="112"/>
        <v>42797</v>
      </c>
      <c r="E1338" s="1861">
        <v>42797</v>
      </c>
      <c r="F1338" s="1862"/>
      <c r="G1338" s="1862">
        <v>62000</v>
      </c>
      <c r="H1338" s="1862">
        <v>62000</v>
      </c>
      <c r="I1338" s="1862">
        <f>Tabla1[[#This Row],[Extraccion
Norte II]]+Tabla1[[#This Row],[Extraccion
ENO]]</f>
        <v>67687.247737247351</v>
      </c>
      <c r="J1338" s="1862">
        <v>67687.247737247351</v>
      </c>
      <c r="K1338" s="1862"/>
      <c r="L1338" s="1862">
        <f t="shared" si="109"/>
        <v>-5687.2477372473513</v>
      </c>
      <c r="M1338" s="1862">
        <f>M1337+Tabla1[[#This Row],[Desbalance
TPL]]</f>
        <v>-665939.10250974644</v>
      </c>
    </row>
    <row r="1339" spans="2:13" x14ac:dyDescent="0.25">
      <c r="B1339" s="1859">
        <f t="shared" si="110"/>
        <v>2017</v>
      </c>
      <c r="C1339" s="1859">
        <f t="shared" si="111"/>
        <v>3</v>
      </c>
      <c r="D1339" s="1860">
        <f t="shared" si="112"/>
        <v>42798</v>
      </c>
      <c r="E1339" s="1861">
        <v>42798</v>
      </c>
      <c r="F1339" s="1862"/>
      <c r="G1339" s="1862">
        <v>60000</v>
      </c>
      <c r="H1339" s="1862">
        <v>60000</v>
      </c>
      <c r="I1339" s="1862">
        <f>Tabla1[[#This Row],[Extraccion
Norte II]]+Tabla1[[#This Row],[Extraccion
ENO]]</f>
        <v>66765.5919669375</v>
      </c>
      <c r="J1339" s="1862">
        <v>66765.5919669375</v>
      </c>
      <c r="K1339" s="1862"/>
      <c r="L1339" s="1862">
        <f t="shared" si="109"/>
        <v>-6765.5919669374998</v>
      </c>
      <c r="M1339" s="1862">
        <f>M1338+Tabla1[[#This Row],[Desbalance
TPL]]</f>
        <v>-672704.69447668397</v>
      </c>
    </row>
    <row r="1340" spans="2:13" x14ac:dyDescent="0.25">
      <c r="B1340" s="1859">
        <f t="shared" si="110"/>
        <v>2017</v>
      </c>
      <c r="C1340" s="1859">
        <f t="shared" si="111"/>
        <v>3</v>
      </c>
      <c r="D1340" s="1860">
        <f t="shared" si="112"/>
        <v>42799</v>
      </c>
      <c r="E1340" s="1861">
        <v>42799</v>
      </c>
      <c r="F1340" s="1862"/>
      <c r="G1340" s="1862">
        <v>60000</v>
      </c>
      <c r="H1340" s="1862">
        <v>60000</v>
      </c>
      <c r="I1340" s="1862">
        <f>Tabla1[[#This Row],[Extraccion
Norte II]]+Tabla1[[#This Row],[Extraccion
ENO]]</f>
        <v>67670.690559028604</v>
      </c>
      <c r="J1340" s="1862">
        <v>67670.690559028604</v>
      </c>
      <c r="K1340" s="1862"/>
      <c r="L1340" s="1862">
        <f t="shared" si="109"/>
        <v>-7670.6905590286042</v>
      </c>
      <c r="M1340" s="1862">
        <f>M1339+Tabla1[[#This Row],[Desbalance
TPL]]</f>
        <v>-680375.38503571262</v>
      </c>
    </row>
    <row r="1341" spans="2:13" x14ac:dyDescent="0.25">
      <c r="B1341" s="1859">
        <f t="shared" si="110"/>
        <v>2017</v>
      </c>
      <c r="C1341" s="1859">
        <f t="shared" si="111"/>
        <v>3</v>
      </c>
      <c r="D1341" s="1860">
        <f t="shared" si="112"/>
        <v>42800</v>
      </c>
      <c r="E1341" s="1861">
        <v>42800</v>
      </c>
      <c r="F1341" s="1862"/>
      <c r="G1341" s="1862">
        <v>60000</v>
      </c>
      <c r="H1341" s="1862">
        <v>60000</v>
      </c>
      <c r="I1341" s="1862">
        <f>Tabla1[[#This Row],[Extraccion
Norte II]]+Tabla1[[#This Row],[Extraccion
ENO]]</f>
        <v>67971.133738387973</v>
      </c>
      <c r="J1341" s="1862">
        <v>67971.133738387973</v>
      </c>
      <c r="K1341" s="1862"/>
      <c r="L1341" s="1862">
        <f t="shared" si="109"/>
        <v>-7971.1337383879727</v>
      </c>
      <c r="M1341" s="1862">
        <f>M1340+Tabla1[[#This Row],[Desbalance
TPL]]</f>
        <v>-688346.51877410058</v>
      </c>
    </row>
    <row r="1342" spans="2:13" x14ac:dyDescent="0.25">
      <c r="B1342" s="1859">
        <f t="shared" si="110"/>
        <v>2017</v>
      </c>
      <c r="C1342" s="1859">
        <f t="shared" si="111"/>
        <v>3</v>
      </c>
      <c r="D1342" s="1860">
        <f t="shared" si="112"/>
        <v>42801</v>
      </c>
      <c r="E1342" s="1861">
        <v>42801</v>
      </c>
      <c r="F1342" s="1862"/>
      <c r="G1342" s="1862">
        <v>62000</v>
      </c>
      <c r="H1342" s="1862">
        <v>62000</v>
      </c>
      <c r="I1342" s="1862">
        <f>Tabla1[[#This Row],[Extraccion
Norte II]]+Tabla1[[#This Row],[Extraccion
ENO]]</f>
        <v>68248.362805593744</v>
      </c>
      <c r="J1342" s="1862">
        <v>68248.362805593744</v>
      </c>
      <c r="K1342" s="1862"/>
      <c r="L1342" s="1862">
        <f t="shared" si="109"/>
        <v>-6248.3628055937443</v>
      </c>
      <c r="M1342" s="1862">
        <f>M1341+Tabla1[[#This Row],[Desbalance
TPL]]</f>
        <v>-694594.88157969434</v>
      </c>
    </row>
    <row r="1343" spans="2:13" x14ac:dyDescent="0.25">
      <c r="B1343" s="1859">
        <f t="shared" si="110"/>
        <v>2017</v>
      </c>
      <c r="C1343" s="1859">
        <f t="shared" si="111"/>
        <v>3</v>
      </c>
      <c r="D1343" s="1860">
        <f t="shared" si="112"/>
        <v>42802</v>
      </c>
      <c r="E1343" s="1861">
        <v>42802</v>
      </c>
      <c r="F1343" s="1862"/>
      <c r="G1343" s="1862">
        <v>62000</v>
      </c>
      <c r="H1343" s="1862">
        <v>62000</v>
      </c>
      <c r="I1343" s="1862">
        <f>Tabla1[[#This Row],[Extraccion
Norte II]]+Tabla1[[#This Row],[Extraccion
ENO]]</f>
        <v>68123.465701856723</v>
      </c>
      <c r="J1343" s="1862">
        <v>68123.465701856723</v>
      </c>
      <c r="K1343" s="1862"/>
      <c r="L1343" s="1862">
        <f t="shared" si="109"/>
        <v>-6123.4657018567232</v>
      </c>
      <c r="M1343" s="1862">
        <f>M1342+Tabla1[[#This Row],[Desbalance
TPL]]</f>
        <v>-700718.3472815511</v>
      </c>
    </row>
    <row r="1344" spans="2:13" x14ac:dyDescent="0.25">
      <c r="B1344" s="1859">
        <f t="shared" si="110"/>
        <v>2017</v>
      </c>
      <c r="C1344" s="1859">
        <f t="shared" si="111"/>
        <v>3</v>
      </c>
      <c r="D1344" s="1860">
        <f t="shared" si="112"/>
        <v>42803</v>
      </c>
      <c r="E1344" s="1861">
        <v>42803</v>
      </c>
      <c r="F1344" s="1862"/>
      <c r="G1344" s="1862">
        <v>62000</v>
      </c>
      <c r="H1344" s="1862">
        <v>62000</v>
      </c>
      <c r="I1344" s="1862">
        <f>Tabla1[[#This Row],[Extraccion
Norte II]]+Tabla1[[#This Row],[Extraccion
ENO]]</f>
        <v>68306.853481716098</v>
      </c>
      <c r="J1344" s="1862">
        <v>68306.853481716098</v>
      </c>
      <c r="K1344" s="1862"/>
      <c r="L1344" s="1862">
        <f t="shared" si="109"/>
        <v>-6306.853481716098</v>
      </c>
      <c r="M1344" s="1862">
        <f>M1343+Tabla1[[#This Row],[Desbalance
TPL]]</f>
        <v>-707025.20076326723</v>
      </c>
    </row>
    <row r="1345" spans="2:13" x14ac:dyDescent="0.25">
      <c r="B1345" s="1859">
        <f t="shared" si="110"/>
        <v>2017</v>
      </c>
      <c r="C1345" s="1859">
        <f t="shared" si="111"/>
        <v>3</v>
      </c>
      <c r="D1345" s="1860">
        <f t="shared" si="112"/>
        <v>42804</v>
      </c>
      <c r="E1345" s="1861">
        <v>42804</v>
      </c>
      <c r="F1345" s="1862"/>
      <c r="G1345" s="1862">
        <v>62000</v>
      </c>
      <c r="H1345" s="1862">
        <v>62000</v>
      </c>
      <c r="I1345" s="1862">
        <f>Tabla1[[#This Row],[Extraccion
Norte II]]+Tabla1[[#This Row],[Extraccion
ENO]]</f>
        <v>68096.141914903608</v>
      </c>
      <c r="J1345" s="1862">
        <v>68096.141914903608</v>
      </c>
      <c r="K1345" s="1862"/>
      <c r="L1345" s="1862">
        <f t="shared" si="109"/>
        <v>-6096.1419149036083</v>
      </c>
      <c r="M1345" s="1862">
        <f>M1344+Tabla1[[#This Row],[Desbalance
TPL]]</f>
        <v>-713121.34267817088</v>
      </c>
    </row>
    <row r="1346" spans="2:13" x14ac:dyDescent="0.25">
      <c r="B1346" s="1859">
        <f t="shared" si="110"/>
        <v>2017</v>
      </c>
      <c r="C1346" s="1859">
        <f t="shared" si="111"/>
        <v>3</v>
      </c>
      <c r="D1346" s="1860">
        <f t="shared" si="112"/>
        <v>42805</v>
      </c>
      <c r="E1346" s="1861">
        <v>42805</v>
      </c>
      <c r="F1346" s="1862"/>
      <c r="G1346" s="1862">
        <v>62000</v>
      </c>
      <c r="H1346" s="1862">
        <v>62000</v>
      </c>
      <c r="I1346" s="1862">
        <f>Tabla1[[#This Row],[Extraccion
Norte II]]+Tabla1[[#This Row],[Extraccion
ENO]]</f>
        <v>68070.839643421874</v>
      </c>
      <c r="J1346" s="1862">
        <v>68070.839643421874</v>
      </c>
      <c r="K1346" s="1862"/>
      <c r="L1346" s="1862">
        <f t="shared" si="109"/>
        <v>-6070.8396434218739</v>
      </c>
      <c r="M1346" s="1862">
        <f>M1345+Tabla1[[#This Row],[Desbalance
TPL]]</f>
        <v>-719192.1823215927</v>
      </c>
    </row>
    <row r="1347" spans="2:13" x14ac:dyDescent="0.25">
      <c r="B1347" s="1859">
        <f t="shared" si="110"/>
        <v>2017</v>
      </c>
      <c r="C1347" s="1859">
        <f t="shared" si="111"/>
        <v>3</v>
      </c>
      <c r="D1347" s="1860">
        <f t="shared" si="112"/>
        <v>42806</v>
      </c>
      <c r="E1347" s="1861">
        <v>42806</v>
      </c>
      <c r="F1347" s="1862"/>
      <c r="G1347" s="1862">
        <v>62000</v>
      </c>
      <c r="H1347" s="1862">
        <v>62000</v>
      </c>
      <c r="I1347" s="1862">
        <f>Tabla1[[#This Row],[Extraccion
Norte II]]+Tabla1[[#This Row],[Extraccion
ENO]]</f>
        <v>64911.891464841101</v>
      </c>
      <c r="J1347" s="1862">
        <v>64911.891464841101</v>
      </c>
      <c r="K1347" s="1862"/>
      <c r="L1347" s="1862">
        <f t="shared" si="109"/>
        <v>-2911.891464841101</v>
      </c>
      <c r="M1347" s="1862">
        <f>M1346+Tabla1[[#This Row],[Desbalance
TPL]]</f>
        <v>-722104.07378643379</v>
      </c>
    </row>
    <row r="1348" spans="2:13" x14ac:dyDescent="0.25">
      <c r="B1348" s="1859">
        <f t="shared" si="110"/>
        <v>2017</v>
      </c>
      <c r="C1348" s="1859">
        <f t="shared" si="111"/>
        <v>3</v>
      </c>
      <c r="D1348" s="1860">
        <f t="shared" si="112"/>
        <v>42807</v>
      </c>
      <c r="E1348" s="1861">
        <v>42807</v>
      </c>
      <c r="F1348" s="1862"/>
      <c r="G1348" s="1862">
        <v>62000</v>
      </c>
      <c r="H1348" s="1862">
        <v>62000</v>
      </c>
      <c r="I1348" s="1862">
        <f>Tabla1[[#This Row],[Extraccion
Norte II]]+Tabla1[[#This Row],[Extraccion
ENO]]</f>
        <v>68333.197518766669</v>
      </c>
      <c r="J1348" s="1862">
        <v>68333.197518766669</v>
      </c>
      <c r="K1348" s="1862"/>
      <c r="L1348" s="1862">
        <f t="shared" si="109"/>
        <v>-6333.1975187666685</v>
      </c>
      <c r="M1348" s="1862">
        <f>M1347+Tabla1[[#This Row],[Desbalance
TPL]]</f>
        <v>-728437.27130520041</v>
      </c>
    </row>
    <row r="1349" spans="2:13" x14ac:dyDescent="0.25">
      <c r="B1349" s="1859">
        <f t="shared" si="110"/>
        <v>2017</v>
      </c>
      <c r="C1349" s="1859">
        <f t="shared" si="111"/>
        <v>3</v>
      </c>
      <c r="D1349" s="1860">
        <f t="shared" si="112"/>
        <v>42808</v>
      </c>
      <c r="E1349" s="1861">
        <v>42808</v>
      </c>
      <c r="F1349" s="1862"/>
      <c r="G1349" s="1862">
        <v>62000</v>
      </c>
      <c r="H1349" s="1862">
        <v>62000</v>
      </c>
      <c r="I1349" s="1862">
        <f>Tabla1[[#This Row],[Extraccion
Norte II]]+Tabla1[[#This Row],[Extraccion
ENO]]</f>
        <v>68102.451748774853</v>
      </c>
      <c r="J1349" s="1862">
        <v>68102.451748774853</v>
      </c>
      <c r="K1349" s="1862"/>
      <c r="L1349" s="1862">
        <f t="shared" si="109"/>
        <v>-6102.4517487748526</v>
      </c>
      <c r="M1349" s="1862">
        <f>M1348+Tabla1[[#This Row],[Desbalance
TPL]]</f>
        <v>-734539.72305397526</v>
      </c>
    </row>
    <row r="1350" spans="2:13" x14ac:dyDescent="0.25">
      <c r="B1350" s="1859">
        <f t="shared" si="110"/>
        <v>2017</v>
      </c>
      <c r="C1350" s="1859">
        <f t="shared" si="111"/>
        <v>3</v>
      </c>
      <c r="D1350" s="1860">
        <f t="shared" si="112"/>
        <v>42809</v>
      </c>
      <c r="E1350" s="1861">
        <v>42809</v>
      </c>
      <c r="F1350" s="1862"/>
      <c r="G1350" s="1862">
        <v>68000</v>
      </c>
      <c r="H1350" s="1862">
        <v>68000</v>
      </c>
      <c r="I1350" s="1862">
        <f>Tabla1[[#This Row],[Extraccion
Norte II]]+Tabla1[[#This Row],[Extraccion
ENO]]</f>
        <v>68950.302747591108</v>
      </c>
      <c r="J1350" s="1862">
        <v>68950.302747591108</v>
      </c>
      <c r="K1350" s="1862"/>
      <c r="L1350" s="1862">
        <f t="shared" si="109"/>
        <v>-950.30274759110762</v>
      </c>
      <c r="M1350" s="1862">
        <f>M1349+Tabla1[[#This Row],[Desbalance
TPL]]</f>
        <v>-735490.02580156643</v>
      </c>
    </row>
    <row r="1351" spans="2:13" x14ac:dyDescent="0.25">
      <c r="B1351" s="1859">
        <f t="shared" si="110"/>
        <v>2017</v>
      </c>
      <c r="C1351" s="1859">
        <f t="shared" si="111"/>
        <v>3</v>
      </c>
      <c r="D1351" s="1860">
        <f t="shared" si="112"/>
        <v>42810</v>
      </c>
      <c r="E1351" s="1861">
        <v>42810</v>
      </c>
      <c r="F1351" s="1862"/>
      <c r="G1351" s="1862">
        <v>68000</v>
      </c>
      <c r="H1351" s="1862">
        <v>68000</v>
      </c>
      <c r="I1351" s="1862">
        <f>Tabla1[[#This Row],[Extraccion
Norte II]]+Tabla1[[#This Row],[Extraccion
ENO]]</f>
        <v>68774.134667062506</v>
      </c>
      <c r="J1351" s="1862">
        <v>68774.134667062506</v>
      </c>
      <c r="K1351" s="1862"/>
      <c r="L1351" s="1862">
        <f t="shared" si="109"/>
        <v>-774.1346670625062</v>
      </c>
      <c r="M1351" s="1862">
        <f>M1350+Tabla1[[#This Row],[Desbalance
TPL]]</f>
        <v>-736264.16046862898</v>
      </c>
    </row>
    <row r="1352" spans="2:13" x14ac:dyDescent="0.25">
      <c r="B1352" s="1859">
        <f t="shared" si="110"/>
        <v>2017</v>
      </c>
      <c r="C1352" s="1859">
        <f t="shared" si="111"/>
        <v>3</v>
      </c>
      <c r="D1352" s="1860">
        <f t="shared" si="112"/>
        <v>42811</v>
      </c>
      <c r="E1352" s="1861">
        <v>42811</v>
      </c>
      <c r="F1352" s="1862"/>
      <c r="G1352" s="1862">
        <v>68000</v>
      </c>
      <c r="H1352" s="1862">
        <v>68000</v>
      </c>
      <c r="I1352" s="1862">
        <f>Tabla1[[#This Row],[Extraccion
Norte II]]+Tabla1[[#This Row],[Extraccion
ENO]]</f>
        <v>68782.524328950472</v>
      </c>
      <c r="J1352" s="1862">
        <v>68782.524328950472</v>
      </c>
      <c r="K1352" s="1862"/>
      <c r="L1352" s="1862">
        <f t="shared" si="109"/>
        <v>-782.52432895047241</v>
      </c>
      <c r="M1352" s="1862">
        <f>M1351+Tabla1[[#This Row],[Desbalance
TPL]]</f>
        <v>-737046.68479757942</v>
      </c>
    </row>
    <row r="1353" spans="2:13" x14ac:dyDescent="0.25">
      <c r="B1353" s="1859">
        <f t="shared" si="110"/>
        <v>2017</v>
      </c>
      <c r="C1353" s="1859">
        <f t="shared" si="111"/>
        <v>3</v>
      </c>
      <c r="D1353" s="1860">
        <f t="shared" si="112"/>
        <v>42812</v>
      </c>
      <c r="E1353" s="1861">
        <v>42812</v>
      </c>
      <c r="F1353" s="1862"/>
      <c r="G1353" s="1862">
        <v>64999</v>
      </c>
      <c r="H1353" s="1862">
        <v>64999</v>
      </c>
      <c r="I1353" s="1862">
        <f>Tabla1[[#This Row],[Extraccion
Norte II]]+Tabla1[[#This Row],[Extraccion
ENO]]</f>
        <v>67323.945037781246</v>
      </c>
      <c r="J1353" s="1862">
        <v>67323.945037781246</v>
      </c>
      <c r="K1353" s="1862"/>
      <c r="L1353" s="1862">
        <f t="shared" si="109"/>
        <v>-2324.9450377812464</v>
      </c>
      <c r="M1353" s="1862">
        <f>M1352+Tabla1[[#This Row],[Desbalance
TPL]]</f>
        <v>-739371.62983536068</v>
      </c>
    </row>
    <row r="1354" spans="2:13" x14ac:dyDescent="0.25">
      <c r="B1354" s="1859">
        <f t="shared" si="110"/>
        <v>2017</v>
      </c>
      <c r="C1354" s="1859">
        <f t="shared" si="111"/>
        <v>3</v>
      </c>
      <c r="D1354" s="1860">
        <f t="shared" si="112"/>
        <v>42813</v>
      </c>
      <c r="E1354" s="1861">
        <v>42813</v>
      </c>
      <c r="F1354" s="1862"/>
      <c r="G1354" s="1862">
        <v>64999</v>
      </c>
      <c r="H1354" s="1862">
        <v>64999</v>
      </c>
      <c r="I1354" s="1862">
        <f>Tabla1[[#This Row],[Extraccion
Norte II]]+Tabla1[[#This Row],[Extraccion
ENO]]</f>
        <v>64120.9974169036</v>
      </c>
      <c r="J1354" s="1862">
        <v>64120.9974169036</v>
      </c>
      <c r="K1354" s="1862"/>
      <c r="L1354" s="1862">
        <f t="shared" si="109"/>
        <v>878.00258309640049</v>
      </c>
      <c r="M1354" s="1862">
        <f>M1353+Tabla1[[#This Row],[Desbalance
TPL]]</f>
        <v>-738493.6272522643</v>
      </c>
    </row>
    <row r="1355" spans="2:13" x14ac:dyDescent="0.25">
      <c r="B1355" s="1859">
        <f t="shared" si="110"/>
        <v>2017</v>
      </c>
      <c r="C1355" s="1859">
        <f t="shared" si="111"/>
        <v>3</v>
      </c>
      <c r="D1355" s="1860">
        <f t="shared" si="112"/>
        <v>42814</v>
      </c>
      <c r="E1355" s="1861">
        <v>42814</v>
      </c>
      <c r="F1355" s="1862"/>
      <c r="G1355" s="1862">
        <v>64999</v>
      </c>
      <c r="H1355" s="1862">
        <v>64999</v>
      </c>
      <c r="I1355" s="1862">
        <f>Tabla1[[#This Row],[Extraccion
Norte II]]+Tabla1[[#This Row],[Extraccion
ENO]]</f>
        <v>67946.416216917525</v>
      </c>
      <c r="J1355" s="1862">
        <v>67946.416216917525</v>
      </c>
      <c r="K1355" s="1862"/>
      <c r="L1355" s="1862">
        <f t="shared" si="109"/>
        <v>-2947.4162169175252</v>
      </c>
      <c r="M1355" s="1862">
        <f>M1354+Tabla1[[#This Row],[Desbalance
TPL]]</f>
        <v>-741441.04346918187</v>
      </c>
    </row>
    <row r="1356" spans="2:13" x14ac:dyDescent="0.25">
      <c r="B1356" s="1859">
        <f t="shared" si="110"/>
        <v>2017</v>
      </c>
      <c r="C1356" s="1859">
        <f t="shared" si="111"/>
        <v>3</v>
      </c>
      <c r="D1356" s="1860">
        <f t="shared" si="112"/>
        <v>42815</v>
      </c>
      <c r="E1356" s="1861">
        <v>42815</v>
      </c>
      <c r="F1356" s="1862"/>
      <c r="G1356" s="1862">
        <v>64999</v>
      </c>
      <c r="H1356" s="1862">
        <v>64999</v>
      </c>
      <c r="I1356" s="1862">
        <f>Tabla1[[#This Row],[Extraccion
Norte II]]+Tabla1[[#This Row],[Extraccion
ENO]]</f>
        <v>68933.551425172787</v>
      </c>
      <c r="J1356" s="1862">
        <v>68933.551425172787</v>
      </c>
      <c r="K1356" s="1862"/>
      <c r="L1356" s="1862">
        <f t="shared" ref="L1356:L1419" si="113">H1356-I1356</f>
        <v>-3934.5514251727873</v>
      </c>
      <c r="M1356" s="1862">
        <f>M1355+Tabla1[[#This Row],[Desbalance
TPL]]</f>
        <v>-745375.5948943547</v>
      </c>
    </row>
    <row r="1357" spans="2:13" x14ac:dyDescent="0.25">
      <c r="B1357" s="1859">
        <f t="shared" si="110"/>
        <v>2017</v>
      </c>
      <c r="C1357" s="1859">
        <f t="shared" si="111"/>
        <v>3</v>
      </c>
      <c r="D1357" s="1860">
        <f t="shared" si="112"/>
        <v>42816</v>
      </c>
      <c r="E1357" s="1861">
        <v>42816</v>
      </c>
      <c r="F1357" s="1862"/>
      <c r="G1357" s="1862">
        <v>68000</v>
      </c>
      <c r="H1357" s="1862">
        <v>68000</v>
      </c>
      <c r="I1357" s="1862">
        <f>Tabla1[[#This Row],[Extraccion
Norte II]]+Tabla1[[#This Row],[Extraccion
ENO]]</f>
        <v>68548.468371589901</v>
      </c>
      <c r="J1357" s="1862">
        <v>68548.468371589901</v>
      </c>
      <c r="K1357" s="1862"/>
      <c r="L1357" s="1862">
        <f t="shared" si="113"/>
        <v>-548.46837158990093</v>
      </c>
      <c r="M1357" s="1862">
        <f>M1356+Tabla1[[#This Row],[Desbalance
TPL]]</f>
        <v>-745924.0632659446</v>
      </c>
    </row>
    <row r="1358" spans="2:13" x14ac:dyDescent="0.25">
      <c r="B1358" s="1859">
        <f t="shared" si="110"/>
        <v>2017</v>
      </c>
      <c r="C1358" s="1859">
        <f t="shared" si="111"/>
        <v>3</v>
      </c>
      <c r="D1358" s="1860">
        <f t="shared" si="112"/>
        <v>42817</v>
      </c>
      <c r="E1358" s="1861">
        <v>42817</v>
      </c>
      <c r="F1358" s="1862"/>
      <c r="G1358" s="1862">
        <v>68000</v>
      </c>
      <c r="H1358" s="1862">
        <v>68000</v>
      </c>
      <c r="I1358" s="1862">
        <f>Tabla1[[#This Row],[Extraccion
Norte II]]+Tabla1[[#This Row],[Extraccion
ENO]]</f>
        <v>68622.31363666922</v>
      </c>
      <c r="J1358" s="1862">
        <v>68622.31363666922</v>
      </c>
      <c r="K1358" s="1862"/>
      <c r="L1358" s="1862">
        <f t="shared" si="113"/>
        <v>-622.3136366692197</v>
      </c>
      <c r="M1358" s="1862">
        <f>M1357+Tabla1[[#This Row],[Desbalance
TPL]]</f>
        <v>-746546.37690261379</v>
      </c>
    </row>
    <row r="1359" spans="2:13" x14ac:dyDescent="0.25">
      <c r="B1359" s="1859">
        <f t="shared" si="110"/>
        <v>2017</v>
      </c>
      <c r="C1359" s="1859">
        <f t="shared" si="111"/>
        <v>3</v>
      </c>
      <c r="D1359" s="1860">
        <f t="shared" si="112"/>
        <v>42818</v>
      </c>
      <c r="E1359" s="1861">
        <v>42818</v>
      </c>
      <c r="F1359" s="1862"/>
      <c r="G1359" s="1862">
        <v>68000</v>
      </c>
      <c r="H1359" s="1862">
        <v>68000</v>
      </c>
      <c r="I1359" s="1862">
        <f>Tabla1[[#This Row],[Extraccion
Norte II]]+Tabla1[[#This Row],[Extraccion
ENO]]</f>
        <v>68248.540521281247</v>
      </c>
      <c r="J1359" s="1862">
        <v>68248.540521281247</v>
      </c>
      <c r="K1359" s="1862"/>
      <c r="L1359" s="1862">
        <f t="shared" si="113"/>
        <v>-248.54052128124749</v>
      </c>
      <c r="M1359" s="1862">
        <f>M1358+Tabla1[[#This Row],[Desbalance
TPL]]</f>
        <v>-746794.91742389509</v>
      </c>
    </row>
    <row r="1360" spans="2:13" x14ac:dyDescent="0.25">
      <c r="B1360" s="1859">
        <f t="shared" si="110"/>
        <v>2017</v>
      </c>
      <c r="C1360" s="1859">
        <f t="shared" si="111"/>
        <v>3</v>
      </c>
      <c r="D1360" s="1860">
        <f t="shared" si="112"/>
        <v>42819</v>
      </c>
      <c r="E1360" s="1861">
        <v>42819</v>
      </c>
      <c r="F1360" s="1862"/>
      <c r="G1360" s="1862">
        <v>66999</v>
      </c>
      <c r="H1360" s="1862">
        <v>66999</v>
      </c>
      <c r="I1360" s="1862">
        <f>Tabla1[[#This Row],[Extraccion
Norte II]]+Tabla1[[#This Row],[Extraccion
ENO]]</f>
        <v>68001.219522843749</v>
      </c>
      <c r="J1360" s="1862">
        <v>68001.219522843749</v>
      </c>
      <c r="K1360" s="1862"/>
      <c r="L1360" s="1862">
        <f t="shared" si="113"/>
        <v>-1002.2195228437486</v>
      </c>
      <c r="M1360" s="1862">
        <f>M1359+Tabla1[[#This Row],[Desbalance
TPL]]</f>
        <v>-747797.13694673881</v>
      </c>
    </row>
    <row r="1361" spans="2:13" x14ac:dyDescent="0.25">
      <c r="B1361" s="1859">
        <f t="shared" si="110"/>
        <v>2017</v>
      </c>
      <c r="C1361" s="1859">
        <f t="shared" si="111"/>
        <v>3</v>
      </c>
      <c r="D1361" s="1860">
        <f t="shared" si="112"/>
        <v>42820</v>
      </c>
      <c r="E1361" s="1861">
        <v>42820</v>
      </c>
      <c r="F1361" s="1862"/>
      <c r="G1361" s="1862">
        <v>66999</v>
      </c>
      <c r="H1361" s="1862">
        <v>66999</v>
      </c>
      <c r="I1361" s="1862">
        <f>Tabla1[[#This Row],[Extraccion
Norte II]]+Tabla1[[#This Row],[Extraccion
ENO]]</f>
        <v>68103.825108121178</v>
      </c>
      <c r="J1361" s="1862">
        <v>68103.825108121178</v>
      </c>
      <c r="K1361" s="1862"/>
      <c r="L1361" s="1862">
        <f t="shared" si="113"/>
        <v>-1104.8251081211783</v>
      </c>
      <c r="M1361" s="1862">
        <f>M1360+Tabla1[[#This Row],[Desbalance
TPL]]</f>
        <v>-748901.96205485996</v>
      </c>
    </row>
    <row r="1362" spans="2:13" x14ac:dyDescent="0.25">
      <c r="B1362" s="1859">
        <f t="shared" si="110"/>
        <v>2017</v>
      </c>
      <c r="C1362" s="1859">
        <f t="shared" si="111"/>
        <v>3</v>
      </c>
      <c r="D1362" s="1860">
        <f t="shared" si="112"/>
        <v>42821</v>
      </c>
      <c r="E1362" s="1861">
        <v>42821</v>
      </c>
      <c r="F1362" s="1862"/>
      <c r="G1362" s="1862">
        <v>66999</v>
      </c>
      <c r="H1362" s="1862">
        <v>66999</v>
      </c>
      <c r="I1362" s="1862">
        <f>Tabla1[[#This Row],[Extraccion
Norte II]]+Tabla1[[#This Row],[Extraccion
ENO]]</f>
        <v>69035.944816971518</v>
      </c>
      <c r="J1362" s="1862">
        <v>69035.944816971518</v>
      </c>
      <c r="K1362" s="1862"/>
      <c r="L1362" s="1862">
        <f t="shared" si="113"/>
        <v>-2036.9448169715179</v>
      </c>
      <c r="M1362" s="1862">
        <f>M1361+Tabla1[[#This Row],[Desbalance
TPL]]</f>
        <v>-750938.90687183151</v>
      </c>
    </row>
    <row r="1363" spans="2:13" x14ac:dyDescent="0.25">
      <c r="B1363" s="1859">
        <f t="shared" si="110"/>
        <v>2017</v>
      </c>
      <c r="C1363" s="1859">
        <f t="shared" si="111"/>
        <v>3</v>
      </c>
      <c r="D1363" s="1860">
        <f t="shared" si="112"/>
        <v>42822</v>
      </c>
      <c r="E1363" s="1861">
        <v>42822</v>
      </c>
      <c r="F1363" s="1862"/>
      <c r="G1363" s="1862">
        <v>73000</v>
      </c>
      <c r="H1363" s="1862">
        <v>73000</v>
      </c>
      <c r="I1363" s="1862">
        <f>Tabla1[[#This Row],[Extraccion
Norte II]]+Tabla1[[#This Row],[Extraccion
ENO]]</f>
        <v>68105.305381225087</v>
      </c>
      <c r="J1363" s="1862">
        <v>68105.305381225087</v>
      </c>
      <c r="K1363" s="1862"/>
      <c r="L1363" s="1862">
        <f t="shared" si="113"/>
        <v>4894.6946187749127</v>
      </c>
      <c r="M1363" s="1862">
        <f>M1362+Tabla1[[#This Row],[Desbalance
TPL]]</f>
        <v>-746044.21225305658</v>
      </c>
    </row>
    <row r="1364" spans="2:13" x14ac:dyDescent="0.25">
      <c r="B1364" s="1859">
        <f t="shared" si="110"/>
        <v>2017</v>
      </c>
      <c r="C1364" s="1859">
        <f t="shared" si="111"/>
        <v>3</v>
      </c>
      <c r="D1364" s="1860">
        <f t="shared" si="112"/>
        <v>42823</v>
      </c>
      <c r="E1364" s="1861">
        <v>42823</v>
      </c>
      <c r="F1364" s="1862"/>
      <c r="G1364" s="1862">
        <v>73000</v>
      </c>
      <c r="H1364" s="1862">
        <v>73000</v>
      </c>
      <c r="I1364" s="1862">
        <f>Tabla1[[#This Row],[Extraccion
Norte II]]+Tabla1[[#This Row],[Extraccion
ENO]]</f>
        <v>67997.43566013797</v>
      </c>
      <c r="J1364" s="1862">
        <v>67997.43566013797</v>
      </c>
      <c r="K1364" s="1862"/>
      <c r="L1364" s="1862">
        <f t="shared" si="113"/>
        <v>5002.5643398620305</v>
      </c>
      <c r="M1364" s="1862">
        <f>M1363+Tabla1[[#This Row],[Desbalance
TPL]]</f>
        <v>-741041.64791319449</v>
      </c>
    </row>
    <row r="1365" spans="2:13" x14ac:dyDescent="0.25">
      <c r="B1365" s="1859">
        <f t="shared" si="110"/>
        <v>2017</v>
      </c>
      <c r="C1365" s="1859">
        <f t="shared" si="111"/>
        <v>3</v>
      </c>
      <c r="D1365" s="1860">
        <f t="shared" si="112"/>
        <v>42824</v>
      </c>
      <c r="E1365" s="1861">
        <v>42824</v>
      </c>
      <c r="F1365" s="1862"/>
      <c r="G1365" s="1862">
        <v>73000</v>
      </c>
      <c r="H1365" s="1862">
        <v>73000</v>
      </c>
      <c r="I1365" s="1862">
        <f>Tabla1[[#This Row],[Extraccion
Norte II]]+Tabla1[[#This Row],[Extraccion
ENO]]</f>
        <v>68356.436158528595</v>
      </c>
      <c r="J1365" s="1862">
        <v>68356.436158528595</v>
      </c>
      <c r="K1365" s="1862"/>
      <c r="L1365" s="1862">
        <f t="shared" si="113"/>
        <v>4643.5638414714049</v>
      </c>
      <c r="M1365" s="1862">
        <f>M1364+Tabla1[[#This Row],[Desbalance
TPL]]</f>
        <v>-736398.08407172305</v>
      </c>
    </row>
    <row r="1366" spans="2:13" x14ac:dyDescent="0.25">
      <c r="B1366" s="1859">
        <f t="shared" si="110"/>
        <v>2017</v>
      </c>
      <c r="C1366" s="1859">
        <f t="shared" si="111"/>
        <v>3</v>
      </c>
      <c r="D1366" s="1860">
        <f t="shared" si="112"/>
        <v>42825</v>
      </c>
      <c r="E1366" s="1861">
        <v>42825</v>
      </c>
      <c r="F1366" s="1862"/>
      <c r="G1366" s="1862">
        <v>73000</v>
      </c>
      <c r="H1366" s="1862">
        <v>73000</v>
      </c>
      <c r="I1366" s="1862">
        <f>Tabla1[[#This Row],[Extraccion
Norte II]]+Tabla1[[#This Row],[Extraccion
ENO]]</f>
        <v>67803.414558309858</v>
      </c>
      <c r="J1366" s="1862">
        <v>67803.414558309858</v>
      </c>
      <c r="K1366" s="1862"/>
      <c r="L1366" s="1862">
        <f t="shared" si="113"/>
        <v>5196.585441690142</v>
      </c>
      <c r="M1366" s="1862">
        <f>M1365+Tabla1[[#This Row],[Desbalance
TPL]]</f>
        <v>-731201.49863003287</v>
      </c>
    </row>
    <row r="1367" spans="2:13" x14ac:dyDescent="0.25">
      <c r="B1367" s="1859">
        <f t="shared" si="110"/>
        <v>2017</v>
      </c>
      <c r="C1367" s="1859">
        <f t="shared" si="111"/>
        <v>4</v>
      </c>
      <c r="D1367" s="1860">
        <f t="shared" si="112"/>
        <v>42826</v>
      </c>
      <c r="E1367" s="1861">
        <v>42826</v>
      </c>
      <c r="F1367" s="1862"/>
      <c r="G1367" s="1862">
        <v>70000</v>
      </c>
      <c r="H1367" s="1862">
        <v>70000</v>
      </c>
      <c r="I1367" s="1862">
        <f>Tabla1[[#This Row],[Extraccion
Norte II]]+Tabla1[[#This Row],[Extraccion
ENO]]</f>
        <v>67889.231389980006</v>
      </c>
      <c r="J1367" s="1862">
        <v>67889.231389980006</v>
      </c>
      <c r="K1367" s="1862"/>
      <c r="L1367" s="1862">
        <f t="shared" si="113"/>
        <v>2110.7686100199935</v>
      </c>
      <c r="M1367" s="1862">
        <f>M1366+Tabla1[[#This Row],[Desbalance
TPL]]</f>
        <v>-729090.73002001294</v>
      </c>
    </row>
    <row r="1368" spans="2:13" x14ac:dyDescent="0.25">
      <c r="B1368" s="1859">
        <f t="shared" si="110"/>
        <v>2017</v>
      </c>
      <c r="C1368" s="1859">
        <f t="shared" si="111"/>
        <v>4</v>
      </c>
      <c r="D1368" s="1860">
        <f t="shared" si="112"/>
        <v>42827</v>
      </c>
      <c r="E1368" s="1861">
        <v>42827</v>
      </c>
      <c r="F1368" s="1862"/>
      <c r="G1368" s="1862">
        <v>70000</v>
      </c>
      <c r="H1368" s="1862">
        <v>70000</v>
      </c>
      <c r="I1368" s="1862">
        <f>Tabla1[[#This Row],[Extraccion
Norte II]]+Tabla1[[#This Row],[Extraccion
ENO]]</f>
        <v>65258.859129750002</v>
      </c>
      <c r="J1368" s="1862">
        <v>65258.859129750002</v>
      </c>
      <c r="K1368" s="1862"/>
      <c r="L1368" s="1862">
        <f t="shared" si="113"/>
        <v>4741.1408702499975</v>
      </c>
      <c r="M1368" s="1862">
        <f>M1367+Tabla1[[#This Row],[Desbalance
TPL]]</f>
        <v>-724349.58914976299</v>
      </c>
    </row>
    <row r="1369" spans="2:13" x14ac:dyDescent="0.25">
      <c r="B1369" s="1859">
        <f t="shared" si="110"/>
        <v>2017</v>
      </c>
      <c r="C1369" s="1859">
        <f t="shared" si="111"/>
        <v>4</v>
      </c>
      <c r="D1369" s="1860">
        <f t="shared" si="112"/>
        <v>42828</v>
      </c>
      <c r="E1369" s="1861">
        <v>42828</v>
      </c>
      <c r="F1369" s="1862"/>
      <c r="G1369" s="1862">
        <v>70000</v>
      </c>
      <c r="H1369" s="1862">
        <v>70000</v>
      </c>
      <c r="I1369" s="1862">
        <f>Tabla1[[#This Row],[Extraccion
Norte II]]+Tabla1[[#This Row],[Extraccion
ENO]]</f>
        <v>69064.258133402996</v>
      </c>
      <c r="J1369" s="1862">
        <v>69064.258133402996</v>
      </c>
      <c r="K1369" s="1862"/>
      <c r="L1369" s="1862">
        <f t="shared" si="113"/>
        <v>935.74186659700354</v>
      </c>
      <c r="M1369" s="1862">
        <f>M1368+Tabla1[[#This Row],[Desbalance
TPL]]</f>
        <v>-723413.84728316602</v>
      </c>
    </row>
    <row r="1370" spans="2:13" x14ac:dyDescent="0.25">
      <c r="B1370" s="1859">
        <f t="shared" si="110"/>
        <v>2017</v>
      </c>
      <c r="C1370" s="1859">
        <f t="shared" si="111"/>
        <v>4</v>
      </c>
      <c r="D1370" s="1860">
        <f t="shared" si="112"/>
        <v>42829</v>
      </c>
      <c r="E1370" s="1861">
        <v>42829</v>
      </c>
      <c r="F1370" s="1862"/>
      <c r="G1370" s="1862">
        <v>73000</v>
      </c>
      <c r="H1370" s="1862">
        <v>73000</v>
      </c>
      <c r="I1370" s="1862">
        <f>Tabla1[[#This Row],[Extraccion
Norte II]]+Tabla1[[#This Row],[Extraccion
ENO]]</f>
        <v>69788.173271309992</v>
      </c>
      <c r="J1370" s="1862">
        <v>69788.173271309992</v>
      </c>
      <c r="K1370" s="1862"/>
      <c r="L1370" s="1862">
        <f t="shared" si="113"/>
        <v>3211.8267286900082</v>
      </c>
      <c r="M1370" s="1862">
        <f>M1369+Tabla1[[#This Row],[Desbalance
TPL]]</f>
        <v>-720202.02055447595</v>
      </c>
    </row>
    <row r="1371" spans="2:13" x14ac:dyDescent="0.25">
      <c r="B1371" s="1859">
        <f t="shared" si="110"/>
        <v>2017</v>
      </c>
      <c r="C1371" s="1859">
        <f t="shared" si="111"/>
        <v>4</v>
      </c>
      <c r="D1371" s="1860">
        <f t="shared" si="112"/>
        <v>42830</v>
      </c>
      <c r="E1371" s="1861">
        <v>42830</v>
      </c>
      <c r="F1371" s="1862"/>
      <c r="G1371" s="1862">
        <v>73000</v>
      </c>
      <c r="H1371" s="1862">
        <v>73000</v>
      </c>
      <c r="I1371" s="1862">
        <f>Tabla1[[#This Row],[Extraccion
Norte II]]+Tabla1[[#This Row],[Extraccion
ENO]]</f>
        <v>68472.622231649992</v>
      </c>
      <c r="J1371" s="1862">
        <v>68472.622231649992</v>
      </c>
      <c r="K1371" s="1862"/>
      <c r="L1371" s="1862">
        <f t="shared" si="113"/>
        <v>4527.3777683500084</v>
      </c>
      <c r="M1371" s="1862">
        <f>M1370+Tabla1[[#This Row],[Desbalance
TPL]]</f>
        <v>-715674.64278612589</v>
      </c>
    </row>
    <row r="1372" spans="2:13" x14ac:dyDescent="0.25">
      <c r="B1372" s="1859">
        <f t="shared" si="110"/>
        <v>2017</v>
      </c>
      <c r="C1372" s="1859">
        <f t="shared" si="111"/>
        <v>4</v>
      </c>
      <c r="D1372" s="1860">
        <f t="shared" si="112"/>
        <v>42831</v>
      </c>
      <c r="E1372" s="1861">
        <v>42831</v>
      </c>
      <c r="F1372" s="1862"/>
      <c r="G1372" s="1862">
        <v>73000</v>
      </c>
      <c r="H1372" s="1862">
        <v>73000</v>
      </c>
      <c r="I1372" s="1862">
        <f>Tabla1[[#This Row],[Extraccion
Norte II]]+Tabla1[[#This Row],[Extraccion
ENO]]</f>
        <v>68908.125186809993</v>
      </c>
      <c r="J1372" s="1862">
        <v>68908.125186809993</v>
      </c>
      <c r="K1372" s="1862"/>
      <c r="L1372" s="1862">
        <f t="shared" si="113"/>
        <v>4091.8748131900065</v>
      </c>
      <c r="M1372" s="1862">
        <f>M1371+Tabla1[[#This Row],[Desbalance
TPL]]</f>
        <v>-711582.76797293592</v>
      </c>
    </row>
    <row r="1373" spans="2:13" x14ac:dyDescent="0.25">
      <c r="B1373" s="1859">
        <f t="shared" si="110"/>
        <v>2017</v>
      </c>
      <c r="C1373" s="1859">
        <f t="shared" si="111"/>
        <v>4</v>
      </c>
      <c r="D1373" s="1860">
        <f t="shared" si="112"/>
        <v>42832</v>
      </c>
      <c r="E1373" s="1861">
        <v>42832</v>
      </c>
      <c r="F1373" s="1862"/>
      <c r="G1373" s="1862">
        <v>73000</v>
      </c>
      <c r="H1373" s="1862">
        <v>73000</v>
      </c>
      <c r="I1373" s="1862">
        <f>Tabla1[[#This Row],[Extraccion
Norte II]]+Tabla1[[#This Row],[Extraccion
ENO]]</f>
        <v>69577.307684234998</v>
      </c>
      <c r="J1373" s="1862">
        <v>69577.307684234998</v>
      </c>
      <c r="K1373" s="1862"/>
      <c r="L1373" s="1862">
        <f t="shared" si="113"/>
        <v>3422.6923157650017</v>
      </c>
      <c r="M1373" s="1862">
        <f>M1372+Tabla1[[#This Row],[Desbalance
TPL]]</f>
        <v>-708160.07565717096</v>
      </c>
    </row>
    <row r="1374" spans="2:13" x14ac:dyDescent="0.25">
      <c r="B1374" s="1859">
        <f t="shared" si="110"/>
        <v>2017</v>
      </c>
      <c r="C1374" s="1859">
        <f t="shared" si="111"/>
        <v>4</v>
      </c>
      <c r="D1374" s="1860">
        <f t="shared" si="112"/>
        <v>42833</v>
      </c>
      <c r="E1374" s="1861">
        <v>42833</v>
      </c>
      <c r="F1374" s="1862"/>
      <c r="G1374" s="1862">
        <v>70000</v>
      </c>
      <c r="H1374" s="1862">
        <v>70000</v>
      </c>
      <c r="I1374" s="1862">
        <f>Tabla1[[#This Row],[Extraccion
Norte II]]+Tabla1[[#This Row],[Extraccion
ENO]]</f>
        <v>68856.39333495</v>
      </c>
      <c r="J1374" s="1862">
        <v>68856.39333495</v>
      </c>
      <c r="K1374" s="1862"/>
      <c r="L1374" s="1862">
        <f t="shared" si="113"/>
        <v>1143.6066650499997</v>
      </c>
      <c r="M1374" s="1862">
        <f>M1373+Tabla1[[#This Row],[Desbalance
TPL]]</f>
        <v>-707016.46899212094</v>
      </c>
    </row>
    <row r="1375" spans="2:13" x14ac:dyDescent="0.25">
      <c r="B1375" s="1859">
        <f t="shared" si="110"/>
        <v>2017</v>
      </c>
      <c r="C1375" s="1859">
        <f t="shared" si="111"/>
        <v>4</v>
      </c>
      <c r="D1375" s="1860">
        <f t="shared" si="112"/>
        <v>42834</v>
      </c>
      <c r="E1375" s="1861">
        <v>42834</v>
      </c>
      <c r="F1375" s="1862"/>
      <c r="G1375" s="1862">
        <v>70000</v>
      </c>
      <c r="H1375" s="1862">
        <v>70000</v>
      </c>
      <c r="I1375" s="1862">
        <f>Tabla1[[#This Row],[Extraccion
Norte II]]+Tabla1[[#This Row],[Extraccion
ENO]]</f>
        <v>68335.425720899992</v>
      </c>
      <c r="J1375" s="1862">
        <v>68335.425720899992</v>
      </c>
      <c r="K1375" s="1862"/>
      <c r="L1375" s="1862">
        <f t="shared" si="113"/>
        <v>1664.5742791000084</v>
      </c>
      <c r="M1375" s="1862">
        <f>M1374+Tabla1[[#This Row],[Desbalance
TPL]]</f>
        <v>-705351.89471302088</v>
      </c>
    </row>
    <row r="1376" spans="2:13" x14ac:dyDescent="0.25">
      <c r="B1376" s="1859">
        <f t="shared" si="110"/>
        <v>2017</v>
      </c>
      <c r="C1376" s="1859">
        <f t="shared" si="111"/>
        <v>4</v>
      </c>
      <c r="D1376" s="1860">
        <f t="shared" si="112"/>
        <v>42835</v>
      </c>
      <c r="E1376" s="1861">
        <v>42835</v>
      </c>
      <c r="F1376" s="1862"/>
      <c r="G1376" s="1862">
        <v>70000</v>
      </c>
      <c r="H1376" s="1862">
        <v>70000</v>
      </c>
      <c r="I1376" s="1862">
        <f>Tabla1[[#This Row],[Extraccion
Norte II]]+Tabla1[[#This Row],[Extraccion
ENO]]</f>
        <v>68755.611953340005</v>
      </c>
      <c r="J1376" s="1862">
        <v>68755.611953340005</v>
      </c>
      <c r="K1376" s="1862"/>
      <c r="L1376" s="1862">
        <f t="shared" si="113"/>
        <v>1244.3880466599949</v>
      </c>
      <c r="M1376" s="1862">
        <f>M1375+Tabla1[[#This Row],[Desbalance
TPL]]</f>
        <v>-704107.50666636089</v>
      </c>
    </row>
    <row r="1377" spans="2:13" x14ac:dyDescent="0.25">
      <c r="B1377" s="1859">
        <f t="shared" si="110"/>
        <v>2017</v>
      </c>
      <c r="C1377" s="1859">
        <f t="shared" si="111"/>
        <v>4</v>
      </c>
      <c r="D1377" s="1860">
        <f t="shared" si="112"/>
        <v>42836</v>
      </c>
      <c r="E1377" s="1861">
        <v>42836</v>
      </c>
      <c r="F1377" s="1862"/>
      <c r="G1377" s="1862">
        <v>70000</v>
      </c>
      <c r="H1377" s="1862">
        <v>70000</v>
      </c>
      <c r="I1377" s="1862">
        <f>Tabla1[[#This Row],[Extraccion
Norte II]]+Tabla1[[#This Row],[Extraccion
ENO]]</f>
        <v>69037.483250970006</v>
      </c>
      <c r="J1377" s="1862">
        <v>69037.483250970006</v>
      </c>
      <c r="K1377" s="1862"/>
      <c r="L1377" s="1862">
        <f t="shared" si="113"/>
        <v>962.51674902999366</v>
      </c>
      <c r="M1377" s="1862">
        <f>M1376+Tabla1[[#This Row],[Desbalance
TPL]]</f>
        <v>-703144.98991733091</v>
      </c>
    </row>
    <row r="1378" spans="2:13" x14ac:dyDescent="0.25">
      <c r="B1378" s="1859">
        <f t="shared" si="110"/>
        <v>2017</v>
      </c>
      <c r="C1378" s="1859">
        <f t="shared" si="111"/>
        <v>4</v>
      </c>
      <c r="D1378" s="1860">
        <f t="shared" si="112"/>
        <v>42837</v>
      </c>
      <c r="E1378" s="1861">
        <v>42837</v>
      </c>
      <c r="F1378" s="1862"/>
      <c r="G1378" s="1862">
        <v>70000</v>
      </c>
      <c r="H1378" s="1862">
        <v>70000</v>
      </c>
      <c r="I1378" s="1862">
        <f>Tabla1[[#This Row],[Extraccion
Norte II]]+Tabla1[[#This Row],[Extraccion
ENO]]</f>
        <v>71319.523285529998</v>
      </c>
      <c r="J1378" s="1862">
        <v>71319.523285529998</v>
      </c>
      <c r="K1378" s="1862"/>
      <c r="L1378" s="1862">
        <f t="shared" si="113"/>
        <v>-1319.5232855299982</v>
      </c>
      <c r="M1378" s="1862">
        <f>M1377+Tabla1[[#This Row],[Desbalance
TPL]]</f>
        <v>-704464.51320286095</v>
      </c>
    </row>
    <row r="1379" spans="2:13" x14ac:dyDescent="0.25">
      <c r="B1379" s="1859">
        <f t="shared" si="110"/>
        <v>2017</v>
      </c>
      <c r="C1379" s="1859">
        <f t="shared" si="111"/>
        <v>4</v>
      </c>
      <c r="D1379" s="1860">
        <f t="shared" si="112"/>
        <v>42838</v>
      </c>
      <c r="E1379" s="1861">
        <v>42838</v>
      </c>
      <c r="F1379" s="1862"/>
      <c r="G1379" s="1862">
        <v>70000</v>
      </c>
      <c r="H1379" s="1862">
        <v>70000</v>
      </c>
      <c r="I1379" s="1862">
        <f>Tabla1[[#This Row],[Extraccion
Norte II]]+Tabla1[[#This Row],[Extraccion
ENO]]</f>
        <v>69638.51296701</v>
      </c>
      <c r="J1379" s="1862">
        <v>69638.51296701</v>
      </c>
      <c r="K1379" s="1862"/>
      <c r="L1379" s="1862">
        <f t="shared" si="113"/>
        <v>361.48703299000044</v>
      </c>
      <c r="M1379" s="1862">
        <f>M1378+Tabla1[[#This Row],[Desbalance
TPL]]</f>
        <v>-704103.02616987098</v>
      </c>
    </row>
    <row r="1380" spans="2:13" x14ac:dyDescent="0.25">
      <c r="B1380" s="1859">
        <f t="shared" si="110"/>
        <v>2017</v>
      </c>
      <c r="C1380" s="1859">
        <f t="shared" si="111"/>
        <v>4</v>
      </c>
      <c r="D1380" s="1860">
        <f t="shared" si="112"/>
        <v>42839</v>
      </c>
      <c r="E1380" s="1861">
        <v>42839</v>
      </c>
      <c r="F1380" s="1862"/>
      <c r="G1380" s="1862">
        <v>70000</v>
      </c>
      <c r="H1380" s="1862">
        <v>70000</v>
      </c>
      <c r="I1380" s="1862">
        <f>Tabla1[[#This Row],[Extraccion
Norte II]]+Tabla1[[#This Row],[Extraccion
ENO]]</f>
        <v>71246.958416010006</v>
      </c>
      <c r="J1380" s="1862">
        <v>71246.958416010006</v>
      </c>
      <c r="K1380" s="1862"/>
      <c r="L1380" s="1862">
        <f t="shared" si="113"/>
        <v>-1246.9584160100057</v>
      </c>
      <c r="M1380" s="1862">
        <f>M1379+Tabla1[[#This Row],[Desbalance
TPL]]</f>
        <v>-705349.984585881</v>
      </c>
    </row>
    <row r="1381" spans="2:13" x14ac:dyDescent="0.25">
      <c r="B1381" s="1859">
        <f t="shared" si="110"/>
        <v>2017</v>
      </c>
      <c r="C1381" s="1859">
        <f t="shared" si="111"/>
        <v>4</v>
      </c>
      <c r="D1381" s="1860">
        <f t="shared" si="112"/>
        <v>42840</v>
      </c>
      <c r="E1381" s="1861">
        <v>42840</v>
      </c>
      <c r="F1381" s="1862"/>
      <c r="G1381" s="1862">
        <v>70000</v>
      </c>
      <c r="H1381" s="1862">
        <v>70000</v>
      </c>
      <c r="I1381" s="1862">
        <f>Tabla1[[#This Row],[Extraccion
Norte II]]+Tabla1[[#This Row],[Extraccion
ENO]]</f>
        <v>72177.077776986</v>
      </c>
      <c r="J1381" s="1862">
        <v>72177.077776986</v>
      </c>
      <c r="K1381" s="1862"/>
      <c r="L1381" s="1862">
        <f t="shared" si="113"/>
        <v>-2177.0777769859997</v>
      </c>
      <c r="M1381" s="1862">
        <f>M1380+Tabla1[[#This Row],[Desbalance
TPL]]</f>
        <v>-707527.06236286694</v>
      </c>
    </row>
    <row r="1382" spans="2:13" x14ac:dyDescent="0.25">
      <c r="B1382" s="1859">
        <f t="shared" si="110"/>
        <v>2017</v>
      </c>
      <c r="C1382" s="1859">
        <f t="shared" si="111"/>
        <v>4</v>
      </c>
      <c r="D1382" s="1860">
        <f t="shared" si="112"/>
        <v>42841</v>
      </c>
      <c r="E1382" s="1861">
        <v>42841</v>
      </c>
      <c r="F1382" s="1862"/>
      <c r="G1382" s="1862">
        <v>70000</v>
      </c>
      <c r="H1382" s="1862">
        <v>70000</v>
      </c>
      <c r="I1382" s="1862">
        <f>Tabla1[[#This Row],[Extraccion
Norte II]]+Tabla1[[#This Row],[Extraccion
ENO]]</f>
        <v>71555.738238270002</v>
      </c>
      <c r="J1382" s="1862">
        <v>71555.738238270002</v>
      </c>
      <c r="K1382" s="1862"/>
      <c r="L1382" s="1862">
        <f t="shared" si="113"/>
        <v>-1555.7382382700016</v>
      </c>
      <c r="M1382" s="1862">
        <f>M1381+Tabla1[[#This Row],[Desbalance
TPL]]</f>
        <v>-709082.80060113699</v>
      </c>
    </row>
    <row r="1383" spans="2:13" x14ac:dyDescent="0.25">
      <c r="B1383" s="1859">
        <f t="shared" si="110"/>
        <v>2017</v>
      </c>
      <c r="C1383" s="1859">
        <f t="shared" si="111"/>
        <v>4</v>
      </c>
      <c r="D1383" s="1860">
        <f t="shared" si="112"/>
        <v>42842</v>
      </c>
      <c r="E1383" s="1861">
        <v>42842</v>
      </c>
      <c r="F1383" s="1862"/>
      <c r="G1383" s="1862">
        <v>70000</v>
      </c>
      <c r="H1383" s="1862">
        <v>70000</v>
      </c>
      <c r="I1383" s="1862">
        <f>Tabla1[[#This Row],[Extraccion
Norte II]]+Tabla1[[#This Row],[Extraccion
ENO]]</f>
        <v>72339.44072472</v>
      </c>
      <c r="J1383" s="1862">
        <v>72339.44072472</v>
      </c>
      <c r="K1383" s="1862"/>
      <c r="L1383" s="1862">
        <f t="shared" si="113"/>
        <v>-2339.4407247199997</v>
      </c>
      <c r="M1383" s="1862">
        <f>M1382+Tabla1[[#This Row],[Desbalance
TPL]]</f>
        <v>-711422.241325857</v>
      </c>
    </row>
    <row r="1384" spans="2:13" x14ac:dyDescent="0.25">
      <c r="B1384" s="1859">
        <f t="shared" si="110"/>
        <v>2017</v>
      </c>
      <c r="C1384" s="1859">
        <f t="shared" si="111"/>
        <v>4</v>
      </c>
      <c r="D1384" s="1860">
        <f t="shared" si="112"/>
        <v>42843</v>
      </c>
      <c r="E1384" s="1861">
        <v>42843</v>
      </c>
      <c r="F1384" s="1862"/>
      <c r="G1384" s="1862">
        <v>70000</v>
      </c>
      <c r="H1384" s="1862">
        <v>70000</v>
      </c>
      <c r="I1384" s="1862">
        <f>Tabla1[[#This Row],[Extraccion
Norte II]]+Tabla1[[#This Row],[Extraccion
ENO]]</f>
        <v>71858.265311780997</v>
      </c>
      <c r="J1384" s="1862">
        <v>71858.265311780997</v>
      </c>
      <c r="K1384" s="1862"/>
      <c r="L1384" s="1862">
        <f t="shared" si="113"/>
        <v>-1858.2653117809969</v>
      </c>
      <c r="M1384" s="1862">
        <f>M1383+Tabla1[[#This Row],[Desbalance
TPL]]</f>
        <v>-713280.50663763797</v>
      </c>
    </row>
    <row r="1385" spans="2:13" x14ac:dyDescent="0.25">
      <c r="B1385" s="1859">
        <f t="shared" si="110"/>
        <v>2017</v>
      </c>
      <c r="C1385" s="1859">
        <f t="shared" si="111"/>
        <v>4</v>
      </c>
      <c r="D1385" s="1860">
        <f t="shared" si="112"/>
        <v>42844</v>
      </c>
      <c r="E1385" s="1861">
        <v>42844</v>
      </c>
      <c r="F1385" s="1862"/>
      <c r="G1385" s="1862">
        <v>70000</v>
      </c>
      <c r="H1385" s="1862">
        <v>70000</v>
      </c>
      <c r="I1385" s="1862">
        <f>Tabla1[[#This Row],[Extraccion
Norte II]]+Tabla1[[#This Row],[Extraccion
ENO]]</f>
        <v>72411.427425870002</v>
      </c>
      <c r="J1385" s="1862">
        <v>72411.427425870002</v>
      </c>
      <c r="K1385" s="1862"/>
      <c r="L1385" s="1862">
        <f t="shared" si="113"/>
        <v>-2411.4274258700025</v>
      </c>
      <c r="M1385" s="1862">
        <f>M1384+Tabla1[[#This Row],[Desbalance
TPL]]</f>
        <v>-715691.93406350794</v>
      </c>
    </row>
    <row r="1386" spans="2:13" x14ac:dyDescent="0.25">
      <c r="B1386" s="1859">
        <f t="shared" si="110"/>
        <v>2017</v>
      </c>
      <c r="C1386" s="1859">
        <f t="shared" si="111"/>
        <v>4</v>
      </c>
      <c r="D1386" s="1860">
        <f t="shared" si="112"/>
        <v>42845</v>
      </c>
      <c r="E1386" s="1861">
        <v>42845</v>
      </c>
      <c r="F1386" s="1862"/>
      <c r="G1386" s="1862">
        <v>70000</v>
      </c>
      <c r="H1386" s="1862">
        <v>70000</v>
      </c>
      <c r="I1386" s="1862">
        <f>Tabla1[[#This Row],[Extraccion
Norte II]]+Tabla1[[#This Row],[Extraccion
ENO]]</f>
        <v>72422.156714309996</v>
      </c>
      <c r="J1386" s="1862">
        <v>72422.156714309996</v>
      </c>
      <c r="K1386" s="1862"/>
      <c r="L1386" s="1862">
        <f t="shared" si="113"/>
        <v>-2422.1567143099965</v>
      </c>
      <c r="M1386" s="1862">
        <f>M1385+Tabla1[[#This Row],[Desbalance
TPL]]</f>
        <v>-718114.09077781788</v>
      </c>
    </row>
    <row r="1387" spans="2:13" x14ac:dyDescent="0.25">
      <c r="B1387" s="1859">
        <f t="shared" si="110"/>
        <v>2017</v>
      </c>
      <c r="C1387" s="1859">
        <f t="shared" si="111"/>
        <v>4</v>
      </c>
      <c r="D1387" s="1860">
        <f t="shared" si="112"/>
        <v>42846</v>
      </c>
      <c r="E1387" s="1861">
        <v>42846</v>
      </c>
      <c r="F1387" s="1862"/>
      <c r="G1387" s="1862">
        <v>70000</v>
      </c>
      <c r="H1387" s="1862">
        <v>70000</v>
      </c>
      <c r="I1387" s="1862">
        <f>Tabla1[[#This Row],[Extraccion
Norte II]]+Tabla1[[#This Row],[Extraccion
ENO]]</f>
        <v>72421.995365526454</v>
      </c>
      <c r="J1387" s="1862">
        <v>72421.995365526454</v>
      </c>
      <c r="K1387" s="1862"/>
      <c r="L1387" s="1862">
        <f t="shared" si="113"/>
        <v>-2421.9953655264544</v>
      </c>
      <c r="M1387" s="1862">
        <f>M1386+Tabla1[[#This Row],[Desbalance
TPL]]</f>
        <v>-720536.08614334429</v>
      </c>
    </row>
    <row r="1388" spans="2:13" x14ac:dyDescent="0.25">
      <c r="B1388" s="1859">
        <f t="shared" si="110"/>
        <v>2017</v>
      </c>
      <c r="C1388" s="1859">
        <f t="shared" si="111"/>
        <v>4</v>
      </c>
      <c r="D1388" s="1860">
        <f t="shared" si="112"/>
        <v>42847</v>
      </c>
      <c r="E1388" s="1861">
        <v>42847</v>
      </c>
      <c r="F1388" s="1862"/>
      <c r="G1388" s="1862">
        <v>70000</v>
      </c>
      <c r="H1388" s="1862">
        <v>70000</v>
      </c>
      <c r="I1388" s="1862">
        <f>Tabla1[[#This Row],[Extraccion
Norte II]]+Tabla1[[#This Row],[Extraccion
ENO]]</f>
        <v>72369.996864309855</v>
      </c>
      <c r="J1388" s="1862">
        <v>72369.996864309855</v>
      </c>
      <c r="K1388" s="1862"/>
      <c r="L1388" s="1862">
        <f t="shared" si="113"/>
        <v>-2369.9968643098546</v>
      </c>
      <c r="M1388" s="1862">
        <f>M1387+Tabla1[[#This Row],[Desbalance
TPL]]</f>
        <v>-722906.08300765418</v>
      </c>
    </row>
    <row r="1389" spans="2:13" x14ac:dyDescent="0.25">
      <c r="B1389" s="1859">
        <f t="shared" si="110"/>
        <v>2017</v>
      </c>
      <c r="C1389" s="1859">
        <f t="shared" si="111"/>
        <v>4</v>
      </c>
      <c r="D1389" s="1860">
        <f t="shared" si="112"/>
        <v>42848</v>
      </c>
      <c r="E1389" s="1861">
        <v>42848</v>
      </c>
      <c r="F1389" s="1862"/>
      <c r="G1389" s="1862">
        <v>70000</v>
      </c>
      <c r="H1389" s="1862">
        <v>70000</v>
      </c>
      <c r="I1389" s="1862">
        <f>Tabla1[[#This Row],[Extraccion
Norte II]]+Tabla1[[#This Row],[Extraccion
ENO]]</f>
        <v>72187.727211843754</v>
      </c>
      <c r="J1389" s="1862">
        <v>72187.727211843754</v>
      </c>
      <c r="K1389" s="1862"/>
      <c r="L1389" s="1862">
        <f t="shared" si="113"/>
        <v>-2187.727211843754</v>
      </c>
      <c r="M1389" s="1862">
        <f>M1388+Tabla1[[#This Row],[Desbalance
TPL]]</f>
        <v>-725093.81021949789</v>
      </c>
    </row>
    <row r="1390" spans="2:13" x14ac:dyDescent="0.25">
      <c r="B1390" s="1859">
        <f t="shared" si="110"/>
        <v>2017</v>
      </c>
      <c r="C1390" s="1859">
        <f t="shared" si="111"/>
        <v>4</v>
      </c>
      <c r="D1390" s="1860">
        <f t="shared" si="112"/>
        <v>42849</v>
      </c>
      <c r="E1390" s="1861">
        <v>42849</v>
      </c>
      <c r="F1390" s="1862"/>
      <c r="G1390" s="1862">
        <v>70000</v>
      </c>
      <c r="H1390" s="1862">
        <v>70000</v>
      </c>
      <c r="I1390" s="1862">
        <f>Tabla1[[#This Row],[Extraccion
Norte II]]+Tabla1[[#This Row],[Extraccion
ENO]]</f>
        <v>72529.185691387975</v>
      </c>
      <c r="J1390" s="1862">
        <v>72529.185691387975</v>
      </c>
      <c r="K1390" s="1862"/>
      <c r="L1390" s="1862">
        <f t="shared" si="113"/>
        <v>-2529.1856913879747</v>
      </c>
      <c r="M1390" s="1862">
        <f>M1389+Tabla1[[#This Row],[Desbalance
TPL]]</f>
        <v>-727622.99591088586</v>
      </c>
    </row>
    <row r="1391" spans="2:13" x14ac:dyDescent="0.25">
      <c r="B1391" s="1859">
        <f t="shared" si="110"/>
        <v>2017</v>
      </c>
      <c r="C1391" s="1859">
        <f t="shared" si="111"/>
        <v>4</v>
      </c>
      <c r="D1391" s="1860">
        <f t="shared" si="112"/>
        <v>42850</v>
      </c>
      <c r="E1391" s="1861">
        <v>42850</v>
      </c>
      <c r="F1391" s="1862"/>
      <c r="G1391" s="1862">
        <v>70000</v>
      </c>
      <c r="H1391" s="1862">
        <v>70000</v>
      </c>
      <c r="I1391" s="1862">
        <f>Tabla1[[#This Row],[Extraccion
Norte II]]+Tabla1[[#This Row],[Extraccion
ENO]]</f>
        <v>72464.821834999326</v>
      </c>
      <c r="J1391" s="1862">
        <v>72464.821834999326</v>
      </c>
      <c r="K1391" s="1862"/>
      <c r="L1391" s="1862">
        <f t="shared" si="113"/>
        <v>-2464.8218349993258</v>
      </c>
      <c r="M1391" s="1862">
        <f>M1390+Tabla1[[#This Row],[Desbalance
TPL]]</f>
        <v>-730087.81774588523</v>
      </c>
    </row>
    <row r="1392" spans="2:13" x14ac:dyDescent="0.25">
      <c r="B1392" s="1859">
        <f t="shared" si="110"/>
        <v>2017</v>
      </c>
      <c r="C1392" s="1859">
        <f t="shared" si="111"/>
        <v>4</v>
      </c>
      <c r="D1392" s="1860">
        <f t="shared" si="112"/>
        <v>42851</v>
      </c>
      <c r="E1392" s="1861">
        <v>42851</v>
      </c>
      <c r="F1392" s="1862"/>
      <c r="G1392" s="1862">
        <v>70000</v>
      </c>
      <c r="H1392" s="1862">
        <v>70000</v>
      </c>
      <c r="I1392" s="1862">
        <f>Tabla1[[#This Row],[Extraccion
Norte II]]+Tabla1[[#This Row],[Extraccion
ENO]]</f>
        <v>72155.361900016273</v>
      </c>
      <c r="J1392" s="1862">
        <v>72155.361900016273</v>
      </c>
      <c r="K1392" s="1862"/>
      <c r="L1392" s="1862">
        <f t="shared" si="113"/>
        <v>-2155.3619000162726</v>
      </c>
      <c r="M1392" s="1862">
        <f>M1391+Tabla1[[#This Row],[Desbalance
TPL]]</f>
        <v>-732243.17964590155</v>
      </c>
    </row>
    <row r="1393" spans="2:13" x14ac:dyDescent="0.25">
      <c r="B1393" s="1859">
        <f t="shared" si="110"/>
        <v>2017</v>
      </c>
      <c r="C1393" s="1859">
        <f t="shared" si="111"/>
        <v>4</v>
      </c>
      <c r="D1393" s="1860">
        <f t="shared" si="112"/>
        <v>42852</v>
      </c>
      <c r="E1393" s="1861">
        <v>42852</v>
      </c>
      <c r="F1393" s="1862"/>
      <c r="G1393" s="1862">
        <v>70000</v>
      </c>
      <c r="H1393" s="1862">
        <v>70000</v>
      </c>
      <c r="I1393" s="1862">
        <f>Tabla1[[#This Row],[Extraccion
Norte II]]+Tabla1[[#This Row],[Extraccion
ENO]]</f>
        <v>72521.962519255714</v>
      </c>
      <c r="J1393" s="1862">
        <v>72521.962519255714</v>
      </c>
      <c r="K1393" s="1862"/>
      <c r="L1393" s="1862">
        <f t="shared" si="113"/>
        <v>-2521.9625192557141</v>
      </c>
      <c r="M1393" s="1862">
        <f>M1392+Tabla1[[#This Row],[Desbalance
TPL]]</f>
        <v>-734765.14216515725</v>
      </c>
    </row>
    <row r="1394" spans="2:13" x14ac:dyDescent="0.25">
      <c r="B1394" s="1859">
        <f t="shared" si="110"/>
        <v>2017</v>
      </c>
      <c r="C1394" s="1859">
        <f t="shared" si="111"/>
        <v>4</v>
      </c>
      <c r="D1394" s="1860">
        <f t="shared" si="112"/>
        <v>42853</v>
      </c>
      <c r="E1394" s="1861">
        <v>42853</v>
      </c>
      <c r="F1394" s="1862"/>
      <c r="G1394" s="1862">
        <v>74999</v>
      </c>
      <c r="H1394" s="1862">
        <v>74999</v>
      </c>
      <c r="I1394" s="1862">
        <f>Tabla1[[#This Row],[Extraccion
Norte II]]+Tabla1[[#This Row],[Extraccion
ENO]]</f>
        <v>68588.880872484369</v>
      </c>
      <c r="J1394" s="1862">
        <v>68588.880872484369</v>
      </c>
      <c r="K1394" s="1862"/>
      <c r="L1394" s="1862">
        <f t="shared" si="113"/>
        <v>6410.1191275156307</v>
      </c>
      <c r="M1394" s="1862">
        <f>M1393+Tabla1[[#This Row],[Desbalance
TPL]]</f>
        <v>-728355.02303764166</v>
      </c>
    </row>
    <row r="1395" spans="2:13" x14ac:dyDescent="0.25">
      <c r="B1395" s="1859">
        <f t="shared" ref="B1395:B1458" si="114">YEAR(E1395)</f>
        <v>2017</v>
      </c>
      <c r="C1395" s="1859">
        <f t="shared" ref="C1395:C1458" si="115">MONTH(E1395)</f>
        <v>4</v>
      </c>
      <c r="D1395" s="1860">
        <f t="shared" ref="D1395:D1458" si="116">E1395</f>
        <v>42854</v>
      </c>
      <c r="E1395" s="1861">
        <v>42854</v>
      </c>
      <c r="F1395" s="1862"/>
      <c r="G1395" s="1862">
        <v>74999</v>
      </c>
      <c r="H1395" s="1862">
        <v>74999</v>
      </c>
      <c r="I1395" s="1862">
        <f>Tabla1[[#This Row],[Extraccion
Norte II]]+Tabla1[[#This Row],[Extraccion
ENO]]</f>
        <v>67996.450818562502</v>
      </c>
      <c r="J1395" s="1862">
        <v>67996.450818562502</v>
      </c>
      <c r="K1395" s="1862"/>
      <c r="L1395" s="1862">
        <f t="shared" si="113"/>
        <v>7002.5491814374982</v>
      </c>
      <c r="M1395" s="1862">
        <f>M1394+Tabla1[[#This Row],[Desbalance
TPL]]</f>
        <v>-721352.47385620419</v>
      </c>
    </row>
    <row r="1396" spans="2:13" x14ac:dyDescent="0.25">
      <c r="B1396" s="1859">
        <f t="shared" si="114"/>
        <v>2017</v>
      </c>
      <c r="C1396" s="1859">
        <f t="shared" si="115"/>
        <v>4</v>
      </c>
      <c r="D1396" s="1860">
        <f t="shared" si="116"/>
        <v>42855</v>
      </c>
      <c r="E1396" s="1861">
        <v>42855</v>
      </c>
      <c r="F1396" s="1862"/>
      <c r="G1396" s="1862">
        <v>74999</v>
      </c>
      <c r="H1396" s="1862">
        <v>74999</v>
      </c>
      <c r="I1396" s="1862">
        <f>Tabla1[[#This Row],[Extraccion
Norte II]]+Tabla1[[#This Row],[Extraccion
ENO]]</f>
        <v>67925.801428434846</v>
      </c>
      <c r="J1396" s="1862">
        <v>67925.801428434846</v>
      </c>
      <c r="K1396" s="1862"/>
      <c r="L1396" s="1862">
        <f t="shared" si="113"/>
        <v>7073.1985715651535</v>
      </c>
      <c r="M1396" s="1862">
        <f>M1395+Tabla1[[#This Row],[Desbalance
TPL]]</f>
        <v>-714279.27528463909</v>
      </c>
    </row>
    <row r="1397" spans="2:13" x14ac:dyDescent="0.25">
      <c r="B1397" s="1859">
        <f t="shared" si="114"/>
        <v>2017</v>
      </c>
      <c r="C1397" s="1859">
        <f t="shared" si="115"/>
        <v>5</v>
      </c>
      <c r="D1397" s="1860">
        <f t="shared" si="116"/>
        <v>42856</v>
      </c>
      <c r="E1397" s="1861">
        <v>42856</v>
      </c>
      <c r="F1397" s="1862"/>
      <c r="G1397" s="1862">
        <v>74999</v>
      </c>
      <c r="H1397" s="1862">
        <v>74999</v>
      </c>
      <c r="I1397" s="1862">
        <f>Tabla1[[#This Row],[Extraccion
Norte II]]+Tabla1[[#This Row],[Extraccion
ENO]]</f>
        <v>67733.85574916999</v>
      </c>
      <c r="J1397" s="1862">
        <v>67733.85574916999</v>
      </c>
      <c r="K1397" s="1862"/>
      <c r="L1397" s="1862">
        <f t="shared" si="113"/>
        <v>7265.1442508300097</v>
      </c>
      <c r="M1397" s="1862">
        <f>M1396+Tabla1[[#This Row],[Desbalance
TPL]]</f>
        <v>-707014.13103380904</v>
      </c>
    </row>
    <row r="1398" spans="2:13" x14ac:dyDescent="0.25">
      <c r="B1398" s="1859">
        <f t="shared" si="114"/>
        <v>2017</v>
      </c>
      <c r="C1398" s="1859">
        <f t="shared" si="115"/>
        <v>5</v>
      </c>
      <c r="D1398" s="1860">
        <f t="shared" si="116"/>
        <v>42857</v>
      </c>
      <c r="E1398" s="1861">
        <v>42857</v>
      </c>
      <c r="F1398" s="1862"/>
      <c r="G1398" s="1862">
        <v>74999</v>
      </c>
      <c r="H1398" s="1862">
        <v>74999</v>
      </c>
      <c r="I1398" s="1862">
        <f>Tabla1[[#This Row],[Extraccion
Norte II]]+Tabla1[[#This Row],[Extraccion
ENO]]</f>
        <v>68608.157219198998</v>
      </c>
      <c r="J1398" s="1862">
        <v>68608.157219198998</v>
      </c>
      <c r="K1398" s="1862"/>
      <c r="L1398" s="1862">
        <f t="shared" si="113"/>
        <v>6390.8427808010019</v>
      </c>
      <c r="M1398" s="1862">
        <f>M1397+Tabla1[[#This Row],[Desbalance
TPL]]</f>
        <v>-700623.28825300804</v>
      </c>
    </row>
    <row r="1399" spans="2:13" x14ac:dyDescent="0.25">
      <c r="B1399" s="1859">
        <f t="shared" si="114"/>
        <v>2017</v>
      </c>
      <c r="C1399" s="1859">
        <f t="shared" si="115"/>
        <v>5</v>
      </c>
      <c r="D1399" s="1860">
        <f t="shared" si="116"/>
        <v>42858</v>
      </c>
      <c r="E1399" s="1861">
        <v>42858</v>
      </c>
      <c r="F1399" s="1862"/>
      <c r="G1399" s="1862">
        <v>74999</v>
      </c>
      <c r="H1399" s="1862">
        <v>74999</v>
      </c>
      <c r="I1399" s="1862">
        <f>Tabla1[[#This Row],[Extraccion
Norte II]]+Tabla1[[#This Row],[Extraccion
ENO]]</f>
        <v>68326.838498879995</v>
      </c>
      <c r="J1399" s="1862">
        <v>68326.838498879995</v>
      </c>
      <c r="K1399" s="1862"/>
      <c r="L1399" s="1862">
        <f t="shared" si="113"/>
        <v>6672.1615011200047</v>
      </c>
      <c r="M1399" s="1862">
        <f>M1398+Tabla1[[#This Row],[Desbalance
TPL]]</f>
        <v>-693951.12675188808</v>
      </c>
    </row>
    <row r="1400" spans="2:13" x14ac:dyDescent="0.25">
      <c r="B1400" s="1859">
        <f t="shared" si="114"/>
        <v>2017</v>
      </c>
      <c r="C1400" s="1859">
        <f t="shared" si="115"/>
        <v>5</v>
      </c>
      <c r="D1400" s="1860">
        <f t="shared" si="116"/>
        <v>42859</v>
      </c>
      <c r="E1400" s="1861">
        <v>42859</v>
      </c>
      <c r="F1400" s="1862"/>
      <c r="G1400" s="1862">
        <v>74999</v>
      </c>
      <c r="H1400" s="1862">
        <v>74999</v>
      </c>
      <c r="I1400" s="1862">
        <f>Tabla1[[#This Row],[Extraccion
Norte II]]+Tabla1[[#This Row],[Extraccion
ENO]]</f>
        <v>68028.190840349998</v>
      </c>
      <c r="J1400" s="1862">
        <v>68028.190840349998</v>
      </c>
      <c r="K1400" s="1862"/>
      <c r="L1400" s="1862">
        <f t="shared" si="113"/>
        <v>6970.8091596500017</v>
      </c>
      <c r="M1400" s="1862">
        <f>M1399+Tabla1[[#This Row],[Desbalance
TPL]]</f>
        <v>-686980.31759223808</v>
      </c>
    </row>
    <row r="1401" spans="2:13" x14ac:dyDescent="0.25">
      <c r="B1401" s="1859">
        <f t="shared" si="114"/>
        <v>2017</v>
      </c>
      <c r="C1401" s="1859">
        <f t="shared" si="115"/>
        <v>5</v>
      </c>
      <c r="D1401" s="1860">
        <f t="shared" si="116"/>
        <v>42860</v>
      </c>
      <c r="E1401" s="1861">
        <v>42860</v>
      </c>
      <c r="F1401" s="1862"/>
      <c r="G1401" s="1862">
        <v>74999</v>
      </c>
      <c r="H1401" s="1862">
        <v>74999</v>
      </c>
      <c r="I1401" s="1862">
        <f>Tabla1[[#This Row],[Extraccion
Norte II]]+Tabla1[[#This Row],[Extraccion
ENO]]</f>
        <v>68034.740255820012</v>
      </c>
      <c r="J1401" s="1862">
        <v>68034.740255820012</v>
      </c>
      <c r="K1401" s="1862"/>
      <c r="L1401" s="1862">
        <f t="shared" si="113"/>
        <v>6964.259744179988</v>
      </c>
      <c r="M1401" s="1862">
        <f>M1400+Tabla1[[#This Row],[Desbalance
TPL]]</f>
        <v>-680016.05784805806</v>
      </c>
    </row>
    <row r="1402" spans="2:13" x14ac:dyDescent="0.25">
      <c r="B1402" s="1859">
        <f t="shared" si="114"/>
        <v>2017</v>
      </c>
      <c r="C1402" s="1859">
        <f t="shared" si="115"/>
        <v>5</v>
      </c>
      <c r="D1402" s="1860">
        <f t="shared" si="116"/>
        <v>42861</v>
      </c>
      <c r="E1402" s="1861">
        <v>42861</v>
      </c>
      <c r="F1402" s="1862"/>
      <c r="G1402" s="1862">
        <v>74999</v>
      </c>
      <c r="H1402" s="1862">
        <v>74999</v>
      </c>
      <c r="I1402" s="1862">
        <f>Tabla1[[#This Row],[Extraccion
Norte II]]+Tabla1[[#This Row],[Extraccion
ENO]]</f>
        <v>70544.739757049989</v>
      </c>
      <c r="J1402" s="1862">
        <v>70544.739757049989</v>
      </c>
      <c r="K1402" s="1862"/>
      <c r="L1402" s="1862">
        <f t="shared" si="113"/>
        <v>4454.2602429500112</v>
      </c>
      <c r="M1402" s="1862">
        <f>M1401+Tabla1[[#This Row],[Desbalance
TPL]]</f>
        <v>-675561.797605108</v>
      </c>
    </row>
    <row r="1403" spans="2:13" x14ac:dyDescent="0.25">
      <c r="B1403" s="1859">
        <f t="shared" si="114"/>
        <v>2017</v>
      </c>
      <c r="C1403" s="1859">
        <f t="shared" si="115"/>
        <v>5</v>
      </c>
      <c r="D1403" s="1860">
        <f t="shared" si="116"/>
        <v>42862</v>
      </c>
      <c r="E1403" s="1861">
        <v>42862</v>
      </c>
      <c r="F1403" s="1862"/>
      <c r="G1403" s="1862">
        <v>74999</v>
      </c>
      <c r="H1403" s="1862">
        <v>74999</v>
      </c>
      <c r="I1403" s="1862">
        <f>Tabla1[[#This Row],[Extraccion
Norte II]]+Tabla1[[#This Row],[Extraccion
ENO]]</f>
        <v>68094.007252830008</v>
      </c>
      <c r="J1403" s="1862">
        <v>68094.007252830008</v>
      </c>
      <c r="K1403" s="1862"/>
      <c r="L1403" s="1862">
        <f t="shared" si="113"/>
        <v>6904.9927471699921</v>
      </c>
      <c r="M1403" s="1862">
        <f>M1402+Tabla1[[#This Row],[Desbalance
TPL]]</f>
        <v>-668656.80485793797</v>
      </c>
    </row>
    <row r="1404" spans="2:13" x14ac:dyDescent="0.25">
      <c r="B1404" s="1859">
        <f t="shared" si="114"/>
        <v>2017</v>
      </c>
      <c r="C1404" s="1859">
        <f t="shared" si="115"/>
        <v>5</v>
      </c>
      <c r="D1404" s="1860">
        <f t="shared" si="116"/>
        <v>42863</v>
      </c>
      <c r="E1404" s="1861">
        <v>42863</v>
      </c>
      <c r="F1404" s="1862"/>
      <c r="G1404" s="1862">
        <v>74999</v>
      </c>
      <c r="H1404" s="1862">
        <v>74999</v>
      </c>
      <c r="I1404" s="1862">
        <f>Tabla1[[#This Row],[Extraccion
Norte II]]+Tabla1[[#This Row],[Extraccion
ENO]]</f>
        <v>70079.361610049993</v>
      </c>
      <c r="J1404" s="1862">
        <v>70079.361610049993</v>
      </c>
      <c r="K1404" s="1862"/>
      <c r="L1404" s="1862">
        <f t="shared" si="113"/>
        <v>4919.638389950007</v>
      </c>
      <c r="M1404" s="1862">
        <f>M1403+Tabla1[[#This Row],[Desbalance
TPL]]</f>
        <v>-663737.16646798793</v>
      </c>
    </row>
    <row r="1405" spans="2:13" x14ac:dyDescent="0.25">
      <c r="B1405" s="1859">
        <f t="shared" si="114"/>
        <v>2017</v>
      </c>
      <c r="C1405" s="1859">
        <f t="shared" si="115"/>
        <v>5</v>
      </c>
      <c r="D1405" s="1860">
        <f t="shared" si="116"/>
        <v>42864</v>
      </c>
      <c r="E1405" s="1861">
        <v>42864</v>
      </c>
      <c r="F1405" s="1862"/>
      <c r="G1405" s="1862">
        <v>74999</v>
      </c>
      <c r="H1405" s="1862">
        <v>74999</v>
      </c>
      <c r="I1405" s="1862">
        <f>Tabla1[[#This Row],[Extraccion
Norte II]]+Tabla1[[#This Row],[Extraccion
ENO]]</f>
        <v>67914.490713029998</v>
      </c>
      <c r="J1405" s="1862">
        <v>67914.490713029998</v>
      </c>
      <c r="K1405" s="1862"/>
      <c r="L1405" s="1862">
        <f t="shared" si="113"/>
        <v>7084.509286970002</v>
      </c>
      <c r="M1405" s="1862">
        <f>M1404+Tabla1[[#This Row],[Desbalance
TPL]]</f>
        <v>-656652.65718101792</v>
      </c>
    </row>
    <row r="1406" spans="2:13" x14ac:dyDescent="0.25">
      <c r="B1406" s="1859">
        <f t="shared" si="114"/>
        <v>2017</v>
      </c>
      <c r="C1406" s="1859">
        <f t="shared" si="115"/>
        <v>5</v>
      </c>
      <c r="D1406" s="1860">
        <f t="shared" si="116"/>
        <v>42865</v>
      </c>
      <c r="E1406" s="1861">
        <v>42865</v>
      </c>
      <c r="F1406" s="1862"/>
      <c r="G1406" s="1862">
        <v>72000</v>
      </c>
      <c r="H1406" s="1862">
        <v>72000</v>
      </c>
      <c r="I1406" s="1862">
        <f>Tabla1[[#This Row],[Extraccion
Norte II]]+Tabla1[[#This Row],[Extraccion
ENO]]</f>
        <v>70964.745904259995</v>
      </c>
      <c r="J1406" s="1862">
        <v>70964.745904259995</v>
      </c>
      <c r="K1406" s="1862"/>
      <c r="L1406" s="1862">
        <f t="shared" si="113"/>
        <v>1035.2540957400051</v>
      </c>
      <c r="M1406" s="1862">
        <f>M1405+Tabla1[[#This Row],[Desbalance
TPL]]</f>
        <v>-655617.40308527788</v>
      </c>
    </row>
    <row r="1407" spans="2:13" x14ac:dyDescent="0.25">
      <c r="B1407" s="1859">
        <f t="shared" si="114"/>
        <v>2017</v>
      </c>
      <c r="C1407" s="1859">
        <f t="shared" si="115"/>
        <v>5</v>
      </c>
      <c r="D1407" s="1860">
        <f t="shared" si="116"/>
        <v>42866</v>
      </c>
      <c r="E1407" s="1861">
        <v>42866</v>
      </c>
      <c r="F1407" s="1862"/>
      <c r="G1407" s="1862">
        <v>72000</v>
      </c>
      <c r="H1407" s="1862">
        <v>72000</v>
      </c>
      <c r="I1407" s="1862">
        <f>Tabla1[[#This Row],[Extraccion
Norte II]]+Tabla1[[#This Row],[Extraccion
ENO]]</f>
        <v>70251.030225089999</v>
      </c>
      <c r="J1407" s="1862">
        <v>70251.030225089999</v>
      </c>
      <c r="K1407" s="1862"/>
      <c r="L1407" s="1862">
        <f t="shared" si="113"/>
        <v>1748.9697749100014</v>
      </c>
      <c r="M1407" s="1862">
        <f>M1406+Tabla1[[#This Row],[Desbalance
TPL]]</f>
        <v>-653868.43331036787</v>
      </c>
    </row>
    <row r="1408" spans="2:13" x14ac:dyDescent="0.25">
      <c r="B1408" s="1859">
        <f t="shared" si="114"/>
        <v>2017</v>
      </c>
      <c r="C1408" s="1859">
        <f t="shared" si="115"/>
        <v>5</v>
      </c>
      <c r="D1408" s="1860">
        <f t="shared" si="116"/>
        <v>42867</v>
      </c>
      <c r="E1408" s="1861">
        <v>42867</v>
      </c>
      <c r="F1408" s="1862"/>
      <c r="G1408" s="1862">
        <v>72000</v>
      </c>
      <c r="H1408" s="1862">
        <v>72000</v>
      </c>
      <c r="I1408" s="1862">
        <f>Tabla1[[#This Row],[Extraccion
Norte II]]+Tabla1[[#This Row],[Extraccion
ENO]]</f>
        <v>69658.407645840009</v>
      </c>
      <c r="J1408" s="1862">
        <v>69658.407645840009</v>
      </c>
      <c r="K1408" s="1862"/>
      <c r="L1408" s="1862">
        <f t="shared" si="113"/>
        <v>2341.5923541599914</v>
      </c>
      <c r="M1408" s="1862">
        <f>M1407+Tabla1[[#This Row],[Desbalance
TPL]]</f>
        <v>-651526.84095620783</v>
      </c>
    </row>
    <row r="1409" spans="2:13" x14ac:dyDescent="0.25">
      <c r="B1409" s="1859">
        <f t="shared" si="114"/>
        <v>2017</v>
      </c>
      <c r="C1409" s="1859">
        <f t="shared" si="115"/>
        <v>5</v>
      </c>
      <c r="D1409" s="1860">
        <f t="shared" si="116"/>
        <v>42868</v>
      </c>
      <c r="E1409" s="1861">
        <v>42868</v>
      </c>
      <c r="F1409" s="1862"/>
      <c r="G1409" s="1862">
        <v>70000</v>
      </c>
      <c r="H1409" s="1862">
        <v>70000</v>
      </c>
      <c r="I1409" s="1862">
        <f>Tabla1[[#This Row],[Extraccion
Norte II]]+Tabla1[[#This Row],[Extraccion
ENO]]</f>
        <v>67930.905955652997</v>
      </c>
      <c r="J1409" s="1862">
        <v>67930.905955652997</v>
      </c>
      <c r="K1409" s="1862"/>
      <c r="L1409" s="1862">
        <f t="shared" si="113"/>
        <v>2069.0940443470026</v>
      </c>
      <c r="M1409" s="1862">
        <f>M1408+Tabla1[[#This Row],[Desbalance
TPL]]</f>
        <v>-649457.74691186077</v>
      </c>
    </row>
    <row r="1410" spans="2:13" x14ac:dyDescent="0.25">
      <c r="B1410" s="1859">
        <f t="shared" si="114"/>
        <v>2017</v>
      </c>
      <c r="C1410" s="1859">
        <f t="shared" si="115"/>
        <v>5</v>
      </c>
      <c r="D1410" s="1860">
        <f t="shared" si="116"/>
        <v>42869</v>
      </c>
      <c r="E1410" s="1861">
        <v>42869</v>
      </c>
      <c r="F1410" s="1862"/>
      <c r="G1410" s="1862">
        <v>70000</v>
      </c>
      <c r="H1410" s="1862">
        <v>70000</v>
      </c>
      <c r="I1410" s="1862">
        <f>Tabla1[[#This Row],[Extraccion
Norte II]]+Tabla1[[#This Row],[Extraccion
ENO]]</f>
        <v>67974.771874230006</v>
      </c>
      <c r="J1410" s="1862">
        <v>67974.771874230006</v>
      </c>
      <c r="K1410" s="1862"/>
      <c r="L1410" s="1862">
        <f t="shared" si="113"/>
        <v>2025.2281257699942</v>
      </c>
      <c r="M1410" s="1862">
        <f>M1409+Tabla1[[#This Row],[Desbalance
TPL]]</f>
        <v>-647432.51878609078</v>
      </c>
    </row>
    <row r="1411" spans="2:13" x14ac:dyDescent="0.25">
      <c r="B1411" s="1859">
        <f t="shared" si="114"/>
        <v>2017</v>
      </c>
      <c r="C1411" s="1859">
        <f t="shared" si="115"/>
        <v>5</v>
      </c>
      <c r="D1411" s="1860">
        <f t="shared" si="116"/>
        <v>42870</v>
      </c>
      <c r="E1411" s="1861">
        <v>42870</v>
      </c>
      <c r="F1411" s="1862"/>
      <c r="G1411" s="1862">
        <v>72000</v>
      </c>
      <c r="H1411" s="1862">
        <v>72000</v>
      </c>
      <c r="I1411" s="1862">
        <f>Tabla1[[#This Row],[Extraccion
Norte II]]+Tabla1[[#This Row],[Extraccion
ENO]]</f>
        <v>70362.076464810001</v>
      </c>
      <c r="J1411" s="1862">
        <v>70362.076464810001</v>
      </c>
      <c r="K1411" s="1862"/>
      <c r="L1411" s="1862">
        <f t="shared" si="113"/>
        <v>1637.9235351899988</v>
      </c>
      <c r="M1411" s="1862">
        <f>M1410+Tabla1[[#This Row],[Desbalance
TPL]]</f>
        <v>-645794.59525090083</v>
      </c>
    </row>
    <row r="1412" spans="2:13" x14ac:dyDescent="0.25">
      <c r="B1412" s="1859">
        <f t="shared" si="114"/>
        <v>2017</v>
      </c>
      <c r="C1412" s="1859">
        <f t="shared" si="115"/>
        <v>5</v>
      </c>
      <c r="D1412" s="1860">
        <f t="shared" si="116"/>
        <v>42871</v>
      </c>
      <c r="E1412" s="1861">
        <v>42871</v>
      </c>
      <c r="F1412" s="1862"/>
      <c r="G1412" s="1862">
        <v>72000</v>
      </c>
      <c r="H1412" s="1862">
        <v>72000</v>
      </c>
      <c r="I1412" s="1862">
        <f>Tabla1[[#This Row],[Extraccion
Norte II]]+Tabla1[[#This Row],[Extraccion
ENO]]</f>
        <v>69381.446040270006</v>
      </c>
      <c r="J1412" s="1862">
        <v>69381.446040270006</v>
      </c>
      <c r="K1412" s="1862"/>
      <c r="L1412" s="1862">
        <f t="shared" si="113"/>
        <v>2618.5539597299939</v>
      </c>
      <c r="M1412" s="1862">
        <f>M1411+Tabla1[[#This Row],[Desbalance
TPL]]</f>
        <v>-643176.04129117087</v>
      </c>
    </row>
    <row r="1413" spans="2:13" x14ac:dyDescent="0.25">
      <c r="B1413" s="1859">
        <f t="shared" si="114"/>
        <v>2017</v>
      </c>
      <c r="C1413" s="1859">
        <f t="shared" si="115"/>
        <v>5</v>
      </c>
      <c r="D1413" s="1860">
        <f t="shared" si="116"/>
        <v>42872</v>
      </c>
      <c r="E1413" s="1861">
        <v>42872</v>
      </c>
      <c r="F1413" s="1862"/>
      <c r="G1413" s="1862">
        <v>72000</v>
      </c>
      <c r="H1413" s="1862">
        <v>72000</v>
      </c>
      <c r="I1413" s="1862">
        <f>Tabla1[[#This Row],[Extraccion
Norte II]]+Tabla1[[#This Row],[Extraccion
ENO]]</f>
        <v>70331.499888389997</v>
      </c>
      <c r="J1413" s="1862">
        <v>70331.499888389997</v>
      </c>
      <c r="K1413" s="1862"/>
      <c r="L1413" s="1862">
        <f t="shared" si="113"/>
        <v>1668.5001116100029</v>
      </c>
      <c r="M1413" s="1862">
        <f>M1412+Tabla1[[#This Row],[Desbalance
TPL]]</f>
        <v>-641507.54117956082</v>
      </c>
    </row>
    <row r="1414" spans="2:13" x14ac:dyDescent="0.25">
      <c r="B1414" s="1859">
        <f t="shared" si="114"/>
        <v>2017</v>
      </c>
      <c r="C1414" s="1859">
        <f t="shared" si="115"/>
        <v>5</v>
      </c>
      <c r="D1414" s="1860">
        <f t="shared" si="116"/>
        <v>42873</v>
      </c>
      <c r="E1414" s="1861">
        <v>42873</v>
      </c>
      <c r="F1414" s="1862"/>
      <c r="G1414" s="1862">
        <v>72000</v>
      </c>
      <c r="H1414" s="1862">
        <v>72000</v>
      </c>
      <c r="I1414" s="1862">
        <f>Tabla1[[#This Row],[Extraccion
Norte II]]+Tabla1[[#This Row],[Extraccion
ENO]]</f>
        <v>70456.125502269002</v>
      </c>
      <c r="J1414" s="1862">
        <v>70456.125502269002</v>
      </c>
      <c r="K1414" s="1862"/>
      <c r="L1414" s="1862">
        <f t="shared" si="113"/>
        <v>1543.874497730998</v>
      </c>
      <c r="M1414" s="1862">
        <f>M1413+Tabla1[[#This Row],[Desbalance
TPL]]</f>
        <v>-639963.66668182984</v>
      </c>
    </row>
    <row r="1415" spans="2:13" x14ac:dyDescent="0.25">
      <c r="B1415" s="1859">
        <f t="shared" si="114"/>
        <v>2017</v>
      </c>
      <c r="C1415" s="1859">
        <f t="shared" si="115"/>
        <v>5</v>
      </c>
      <c r="D1415" s="1860">
        <f t="shared" si="116"/>
        <v>42874</v>
      </c>
      <c r="E1415" s="1861">
        <v>42874</v>
      </c>
      <c r="F1415" s="1862"/>
      <c r="G1415" s="1862">
        <v>72000</v>
      </c>
      <c r="H1415" s="1862">
        <v>72000</v>
      </c>
      <c r="I1415" s="1862">
        <f>Tabla1[[#This Row],[Extraccion
Norte II]]+Tabla1[[#This Row],[Extraccion
ENO]]</f>
        <v>70157.935639350006</v>
      </c>
      <c r="J1415" s="1862">
        <v>70157.935639350006</v>
      </c>
      <c r="K1415" s="1862"/>
      <c r="L1415" s="1862">
        <f t="shared" si="113"/>
        <v>1842.0643606499943</v>
      </c>
      <c r="M1415" s="1862">
        <f>M1414+Tabla1[[#This Row],[Desbalance
TPL]]</f>
        <v>-638121.60232117982</v>
      </c>
    </row>
    <row r="1416" spans="2:13" x14ac:dyDescent="0.25">
      <c r="B1416" s="1859">
        <f t="shared" si="114"/>
        <v>2017</v>
      </c>
      <c r="C1416" s="1859">
        <f t="shared" si="115"/>
        <v>5</v>
      </c>
      <c r="D1416" s="1860">
        <f t="shared" si="116"/>
        <v>42875</v>
      </c>
      <c r="E1416" s="1861">
        <v>42875</v>
      </c>
      <c r="F1416" s="1862"/>
      <c r="G1416" s="1862">
        <v>70000</v>
      </c>
      <c r="H1416" s="1862">
        <v>70000</v>
      </c>
      <c r="I1416" s="1862">
        <f>Tabla1[[#This Row],[Extraccion
Norte II]]+Tabla1[[#This Row],[Extraccion
ENO]]</f>
        <v>67868.693143406999</v>
      </c>
      <c r="J1416" s="1862">
        <v>67868.693143406999</v>
      </c>
      <c r="K1416" s="1862"/>
      <c r="L1416" s="1862">
        <f t="shared" si="113"/>
        <v>2131.3068565930007</v>
      </c>
      <c r="M1416" s="1862">
        <f>M1415+Tabla1[[#This Row],[Desbalance
TPL]]</f>
        <v>-635990.29546458682</v>
      </c>
    </row>
    <row r="1417" spans="2:13" x14ac:dyDescent="0.25">
      <c r="B1417" s="1859">
        <f t="shared" si="114"/>
        <v>2017</v>
      </c>
      <c r="C1417" s="1859">
        <f t="shared" si="115"/>
        <v>5</v>
      </c>
      <c r="D1417" s="1860">
        <f t="shared" si="116"/>
        <v>42876</v>
      </c>
      <c r="E1417" s="1861">
        <v>42876</v>
      </c>
      <c r="F1417" s="1862"/>
      <c r="G1417" s="1862">
        <v>70000</v>
      </c>
      <c r="H1417" s="1862">
        <v>70000</v>
      </c>
      <c r="I1417" s="1862">
        <f>Tabla1[[#This Row],[Extraccion
Norte II]]+Tabla1[[#This Row],[Extraccion
ENO]]</f>
        <v>69740.829812159995</v>
      </c>
      <c r="J1417" s="1862">
        <v>69740.829812159995</v>
      </c>
      <c r="K1417" s="1862"/>
      <c r="L1417" s="1862">
        <f t="shared" si="113"/>
        <v>259.17018784000538</v>
      </c>
      <c r="M1417" s="1862">
        <f>M1416+Tabla1[[#This Row],[Desbalance
TPL]]</f>
        <v>-635731.12527674681</v>
      </c>
    </row>
    <row r="1418" spans="2:13" x14ac:dyDescent="0.25">
      <c r="B1418" s="1859">
        <f t="shared" si="114"/>
        <v>2017</v>
      </c>
      <c r="C1418" s="1859">
        <f t="shared" si="115"/>
        <v>5</v>
      </c>
      <c r="D1418" s="1860">
        <f t="shared" si="116"/>
        <v>42877</v>
      </c>
      <c r="E1418" s="1861">
        <v>42877</v>
      </c>
      <c r="F1418" s="1862"/>
      <c r="G1418" s="1862">
        <v>70000</v>
      </c>
      <c r="H1418" s="1862">
        <v>70000</v>
      </c>
      <c r="I1418" s="1862">
        <f>Tabla1[[#This Row],[Extraccion
Norte II]]+Tabla1[[#This Row],[Extraccion
ENO]]</f>
        <v>70378.846190991011</v>
      </c>
      <c r="J1418" s="1862">
        <v>70378.846190991011</v>
      </c>
      <c r="K1418" s="1862"/>
      <c r="L1418" s="1862">
        <f t="shared" si="113"/>
        <v>-378.8461909910111</v>
      </c>
      <c r="M1418" s="1862">
        <f>M1417+Tabla1[[#This Row],[Desbalance
TPL]]</f>
        <v>-636109.97146773781</v>
      </c>
    </row>
    <row r="1419" spans="2:13" x14ac:dyDescent="0.25">
      <c r="B1419" s="1859">
        <f t="shared" si="114"/>
        <v>2017</v>
      </c>
      <c r="C1419" s="1859">
        <f t="shared" si="115"/>
        <v>5</v>
      </c>
      <c r="D1419" s="1860">
        <f t="shared" si="116"/>
        <v>42878</v>
      </c>
      <c r="E1419" s="1861">
        <v>42878</v>
      </c>
      <c r="F1419" s="1862"/>
      <c r="G1419" s="1862">
        <v>72000</v>
      </c>
      <c r="H1419" s="1862">
        <v>72000</v>
      </c>
      <c r="I1419" s="1862">
        <f>Tabla1[[#This Row],[Extraccion
Norte II]]+Tabla1[[#This Row],[Extraccion
ENO]]</f>
        <v>70871.793491070013</v>
      </c>
      <c r="J1419" s="1862">
        <v>70871.793491070013</v>
      </c>
      <c r="K1419" s="1862"/>
      <c r="L1419" s="1862">
        <f t="shared" si="113"/>
        <v>1128.2065089299867</v>
      </c>
      <c r="M1419" s="1862">
        <f>M1418+Tabla1[[#This Row],[Desbalance
TPL]]</f>
        <v>-634981.76495880785</v>
      </c>
    </row>
    <row r="1420" spans="2:13" x14ac:dyDescent="0.25">
      <c r="B1420" s="1859">
        <f t="shared" si="114"/>
        <v>2017</v>
      </c>
      <c r="C1420" s="1859">
        <f t="shared" si="115"/>
        <v>5</v>
      </c>
      <c r="D1420" s="1860">
        <f t="shared" si="116"/>
        <v>42879</v>
      </c>
      <c r="E1420" s="1861">
        <v>42879</v>
      </c>
      <c r="F1420" s="1862"/>
      <c r="G1420" s="1862">
        <v>72000</v>
      </c>
      <c r="H1420" s="1862">
        <v>72000</v>
      </c>
      <c r="I1420" s="1862">
        <f>Tabla1[[#This Row],[Extraccion
Norte II]]+Tabla1[[#This Row],[Extraccion
ENO]]</f>
        <v>70920.63450108</v>
      </c>
      <c r="J1420" s="1862">
        <v>70920.63450108</v>
      </c>
      <c r="K1420" s="1862"/>
      <c r="L1420" s="1862">
        <f t="shared" ref="L1420:L1483" si="117">H1420-I1420</f>
        <v>1079.3654989200004</v>
      </c>
      <c r="M1420" s="1862">
        <f>M1419+Tabla1[[#This Row],[Desbalance
TPL]]</f>
        <v>-633902.39945988788</v>
      </c>
    </row>
    <row r="1421" spans="2:13" x14ac:dyDescent="0.25">
      <c r="B1421" s="1859">
        <f t="shared" si="114"/>
        <v>2017</v>
      </c>
      <c r="C1421" s="1859">
        <f t="shared" si="115"/>
        <v>5</v>
      </c>
      <c r="D1421" s="1860">
        <f t="shared" si="116"/>
        <v>42880</v>
      </c>
      <c r="E1421" s="1861">
        <v>42880</v>
      </c>
      <c r="F1421" s="1862"/>
      <c r="G1421" s="1862">
        <v>72000</v>
      </c>
      <c r="H1421" s="1862">
        <v>72000</v>
      </c>
      <c r="I1421" s="1862">
        <f>Tabla1[[#This Row],[Extraccion
Norte II]]+Tabla1[[#This Row],[Extraccion
ENO]]</f>
        <v>71572.813161525002</v>
      </c>
      <c r="J1421" s="1862">
        <v>71572.813161525002</v>
      </c>
      <c r="K1421" s="1862"/>
      <c r="L1421" s="1862">
        <f t="shared" si="117"/>
        <v>427.18683847499778</v>
      </c>
      <c r="M1421" s="1862">
        <f>M1420+Tabla1[[#This Row],[Desbalance
TPL]]</f>
        <v>-633475.21262141294</v>
      </c>
    </row>
    <row r="1422" spans="2:13" x14ac:dyDescent="0.25">
      <c r="B1422" s="1859">
        <f t="shared" si="114"/>
        <v>2017</v>
      </c>
      <c r="C1422" s="1859">
        <f t="shared" si="115"/>
        <v>5</v>
      </c>
      <c r="D1422" s="1860">
        <f t="shared" si="116"/>
        <v>42881</v>
      </c>
      <c r="E1422" s="1861">
        <v>42881</v>
      </c>
      <c r="F1422" s="1862"/>
      <c r="G1422" s="1862">
        <v>72000</v>
      </c>
      <c r="H1422" s="1862">
        <v>72000</v>
      </c>
      <c r="I1422" s="1862">
        <f>Tabla1[[#This Row],[Extraccion
Norte II]]+Tabla1[[#This Row],[Extraccion
ENO]]</f>
        <v>72375.921253233013</v>
      </c>
      <c r="J1422" s="1862">
        <v>72375.921253233013</v>
      </c>
      <c r="K1422" s="1862"/>
      <c r="L1422" s="1862">
        <f t="shared" si="117"/>
        <v>-375.92125323301298</v>
      </c>
      <c r="M1422" s="1862">
        <f>M1421+Tabla1[[#This Row],[Desbalance
TPL]]</f>
        <v>-633851.13387464592</v>
      </c>
    </row>
    <row r="1423" spans="2:13" x14ac:dyDescent="0.25">
      <c r="B1423" s="1859">
        <f t="shared" si="114"/>
        <v>2017</v>
      </c>
      <c r="C1423" s="1859">
        <f t="shared" si="115"/>
        <v>5</v>
      </c>
      <c r="D1423" s="1860">
        <f t="shared" si="116"/>
        <v>42882</v>
      </c>
      <c r="E1423" s="1861">
        <v>42882</v>
      </c>
      <c r="F1423" s="1862"/>
      <c r="G1423" s="1862">
        <v>72000</v>
      </c>
      <c r="H1423" s="1862">
        <v>72000</v>
      </c>
      <c r="I1423" s="1862">
        <f>Tabla1[[#This Row],[Extraccion
Norte II]]+Tabla1[[#This Row],[Extraccion
ENO]]</f>
        <v>71183.549458710011</v>
      </c>
      <c r="J1423" s="1862">
        <v>71183.549458710011</v>
      </c>
      <c r="K1423" s="1862"/>
      <c r="L1423" s="1862">
        <f t="shared" si="117"/>
        <v>816.45054128998891</v>
      </c>
      <c r="M1423" s="1862">
        <f>M1422+Tabla1[[#This Row],[Desbalance
TPL]]</f>
        <v>-633034.68333335593</v>
      </c>
    </row>
    <row r="1424" spans="2:13" x14ac:dyDescent="0.25">
      <c r="B1424" s="1859">
        <f t="shared" si="114"/>
        <v>2017</v>
      </c>
      <c r="C1424" s="1859">
        <f t="shared" si="115"/>
        <v>5</v>
      </c>
      <c r="D1424" s="1860">
        <f t="shared" si="116"/>
        <v>42883</v>
      </c>
      <c r="E1424" s="1861">
        <v>42883</v>
      </c>
      <c r="F1424" s="1862"/>
      <c r="G1424" s="1862">
        <v>72000</v>
      </c>
      <c r="H1424" s="1862">
        <v>72000</v>
      </c>
      <c r="I1424" s="1862">
        <f>Tabla1[[#This Row],[Extraccion
Norte II]]+Tabla1[[#This Row],[Extraccion
ENO]]</f>
        <v>67996.135669409996</v>
      </c>
      <c r="J1424" s="1862">
        <v>67996.135669409996</v>
      </c>
      <c r="K1424" s="1862"/>
      <c r="L1424" s="1862">
        <f t="shared" si="117"/>
        <v>4003.8643305900041</v>
      </c>
      <c r="M1424" s="1862">
        <f>M1423+Tabla1[[#This Row],[Desbalance
TPL]]</f>
        <v>-629030.81900276593</v>
      </c>
    </row>
    <row r="1425" spans="2:13" x14ac:dyDescent="0.25">
      <c r="B1425" s="1859">
        <f t="shared" si="114"/>
        <v>2017</v>
      </c>
      <c r="C1425" s="1859">
        <f t="shared" si="115"/>
        <v>5</v>
      </c>
      <c r="D1425" s="1860">
        <f t="shared" si="116"/>
        <v>42884</v>
      </c>
      <c r="E1425" s="1861">
        <v>42884</v>
      </c>
      <c r="F1425" s="1862"/>
      <c r="G1425" s="1862">
        <v>72000</v>
      </c>
      <c r="H1425" s="1862">
        <v>72000</v>
      </c>
      <c r="I1425" s="1862">
        <f>Tabla1[[#This Row],[Extraccion
Norte II]]+Tabla1[[#This Row],[Extraccion
ENO]]</f>
        <v>69601.330106100009</v>
      </c>
      <c r="J1425" s="1862">
        <v>69601.330106100009</v>
      </c>
      <c r="K1425" s="1862"/>
      <c r="L1425" s="1862">
        <f t="shared" si="117"/>
        <v>2398.6698938999907</v>
      </c>
      <c r="M1425" s="1862">
        <f>M1424+Tabla1[[#This Row],[Desbalance
TPL]]</f>
        <v>-626632.149108866</v>
      </c>
    </row>
    <row r="1426" spans="2:13" x14ac:dyDescent="0.25">
      <c r="B1426" s="1859">
        <f t="shared" si="114"/>
        <v>2017</v>
      </c>
      <c r="C1426" s="1859">
        <f t="shared" si="115"/>
        <v>5</v>
      </c>
      <c r="D1426" s="1860">
        <f t="shared" si="116"/>
        <v>42885</v>
      </c>
      <c r="E1426" s="1861">
        <v>42885</v>
      </c>
      <c r="F1426" s="1862"/>
      <c r="G1426" s="1862">
        <v>72000</v>
      </c>
      <c r="H1426" s="1862">
        <v>72000</v>
      </c>
      <c r="I1426" s="1862">
        <f>Tabla1[[#This Row],[Extraccion
Norte II]]+Tabla1[[#This Row],[Extraccion
ENO]]</f>
        <v>69414.193117620001</v>
      </c>
      <c r="J1426" s="1862">
        <v>69414.193117620001</v>
      </c>
      <c r="K1426" s="1862"/>
      <c r="L1426" s="1862">
        <f t="shared" si="117"/>
        <v>2585.8068823799986</v>
      </c>
      <c r="M1426" s="1862">
        <f>M1425+Tabla1[[#This Row],[Desbalance
TPL]]</f>
        <v>-624046.34222648595</v>
      </c>
    </row>
    <row r="1427" spans="2:13" x14ac:dyDescent="0.25">
      <c r="B1427" s="1859">
        <f t="shared" si="114"/>
        <v>2017</v>
      </c>
      <c r="C1427" s="1859">
        <f t="shared" si="115"/>
        <v>5</v>
      </c>
      <c r="D1427" s="1860">
        <f t="shared" si="116"/>
        <v>42886</v>
      </c>
      <c r="E1427" s="1861">
        <v>42886</v>
      </c>
      <c r="F1427" s="1862"/>
      <c r="G1427" s="1862">
        <v>72000</v>
      </c>
      <c r="H1427" s="1862">
        <v>72000</v>
      </c>
      <c r="I1427" s="1862">
        <f>Tabla1[[#This Row],[Extraccion
Norte II]]+Tabla1[[#This Row],[Extraccion
ENO]]</f>
        <v>70263.550887659992</v>
      </c>
      <c r="J1427" s="1862">
        <v>70263.550887659992</v>
      </c>
      <c r="K1427" s="1862"/>
      <c r="L1427" s="1862">
        <f t="shared" si="117"/>
        <v>1736.4491123400076</v>
      </c>
      <c r="M1427" s="1862">
        <f>M1426+Tabla1[[#This Row],[Desbalance
TPL]]</f>
        <v>-622309.89311414596</v>
      </c>
    </row>
    <row r="1428" spans="2:13" x14ac:dyDescent="0.25">
      <c r="B1428" s="1859">
        <f t="shared" si="114"/>
        <v>2017</v>
      </c>
      <c r="C1428" s="1859">
        <f t="shared" si="115"/>
        <v>6</v>
      </c>
      <c r="D1428" s="1860">
        <f t="shared" si="116"/>
        <v>42887</v>
      </c>
      <c r="E1428" s="1861">
        <v>42887</v>
      </c>
      <c r="F1428" s="1862"/>
      <c r="G1428" s="1862">
        <v>75296</v>
      </c>
      <c r="H1428" s="1862">
        <v>75296</v>
      </c>
      <c r="I1428" s="1862">
        <f>Tabla1[[#This Row],[Extraccion
Norte II]]+Tabla1[[#This Row],[Extraccion
ENO]]</f>
        <v>67869.184112613002</v>
      </c>
      <c r="J1428" s="1862">
        <v>67869.184112613002</v>
      </c>
      <c r="K1428" s="1862"/>
      <c r="L1428" s="1862">
        <f t="shared" si="117"/>
        <v>7426.8158873869979</v>
      </c>
      <c r="M1428" s="1862">
        <f>M1427+Tabla1[[#This Row],[Desbalance
TPL]]</f>
        <v>-614883.07722675893</v>
      </c>
    </row>
    <row r="1429" spans="2:13" x14ac:dyDescent="0.25">
      <c r="B1429" s="1859">
        <f t="shared" si="114"/>
        <v>2017</v>
      </c>
      <c r="C1429" s="1859">
        <f t="shared" si="115"/>
        <v>6</v>
      </c>
      <c r="D1429" s="1860">
        <f t="shared" si="116"/>
        <v>42888</v>
      </c>
      <c r="E1429" s="1861">
        <v>42888</v>
      </c>
      <c r="F1429" s="1862"/>
      <c r="G1429" s="1862">
        <v>75296</v>
      </c>
      <c r="H1429" s="1862">
        <v>75296</v>
      </c>
      <c r="I1429" s="1862">
        <f>Tabla1[[#This Row],[Extraccion
Norte II]]+Tabla1[[#This Row],[Extraccion
ENO]]</f>
        <v>67977.0561132</v>
      </c>
      <c r="J1429" s="1862">
        <v>67977.0561132</v>
      </c>
      <c r="K1429" s="1862"/>
      <c r="L1429" s="1862">
        <f t="shared" si="117"/>
        <v>7318.9438867999997</v>
      </c>
      <c r="M1429" s="1862">
        <f>M1428+Tabla1[[#This Row],[Desbalance
TPL]]</f>
        <v>-607564.13333995896</v>
      </c>
    </row>
    <row r="1430" spans="2:13" x14ac:dyDescent="0.25">
      <c r="B1430" s="1859">
        <f t="shared" si="114"/>
        <v>2017</v>
      </c>
      <c r="C1430" s="1859">
        <f t="shared" si="115"/>
        <v>6</v>
      </c>
      <c r="D1430" s="1860">
        <f t="shared" si="116"/>
        <v>42889</v>
      </c>
      <c r="E1430" s="1861">
        <v>42889</v>
      </c>
      <c r="F1430" s="1862"/>
      <c r="G1430" s="1862">
        <v>75000</v>
      </c>
      <c r="H1430" s="1862">
        <v>75000</v>
      </c>
      <c r="I1430" s="1862">
        <f>Tabla1[[#This Row],[Extraccion
Norte II]]+Tabla1[[#This Row],[Extraccion
ENO]]</f>
        <v>68159.340278639997</v>
      </c>
      <c r="J1430" s="1862">
        <v>68159.340278639997</v>
      </c>
      <c r="K1430" s="1862"/>
      <c r="L1430" s="1862">
        <f t="shared" si="117"/>
        <v>6840.6597213600035</v>
      </c>
      <c r="M1430" s="1862">
        <f>M1429+Tabla1[[#This Row],[Desbalance
TPL]]</f>
        <v>-600723.473618599</v>
      </c>
    </row>
    <row r="1431" spans="2:13" x14ac:dyDescent="0.25">
      <c r="B1431" s="1859">
        <f t="shared" si="114"/>
        <v>2017</v>
      </c>
      <c r="C1431" s="1859">
        <f t="shared" si="115"/>
        <v>6</v>
      </c>
      <c r="D1431" s="1860">
        <f t="shared" si="116"/>
        <v>42890</v>
      </c>
      <c r="E1431" s="1861">
        <v>42890</v>
      </c>
      <c r="F1431" s="1862"/>
      <c r="G1431" s="1862">
        <v>75000</v>
      </c>
      <c r="H1431" s="1862">
        <v>75000</v>
      </c>
      <c r="I1431" s="1862">
        <f>Tabla1[[#This Row],[Extraccion
Norte II]]+Tabla1[[#This Row],[Extraccion
ENO]]</f>
        <v>68235.290750483997</v>
      </c>
      <c r="J1431" s="1862">
        <v>68235.290750483997</v>
      </c>
      <c r="K1431" s="1862"/>
      <c r="L1431" s="1862">
        <f t="shared" si="117"/>
        <v>6764.7092495160032</v>
      </c>
      <c r="M1431" s="1862">
        <f>M1430+Tabla1[[#This Row],[Desbalance
TPL]]</f>
        <v>-593958.76436908299</v>
      </c>
    </row>
    <row r="1432" spans="2:13" x14ac:dyDescent="0.25">
      <c r="B1432" s="1859">
        <f t="shared" si="114"/>
        <v>2017</v>
      </c>
      <c r="C1432" s="1859">
        <f t="shared" si="115"/>
        <v>6</v>
      </c>
      <c r="D1432" s="1860">
        <f t="shared" si="116"/>
        <v>42891</v>
      </c>
      <c r="E1432" s="1861">
        <v>42891</v>
      </c>
      <c r="F1432" s="1862"/>
      <c r="G1432" s="1862">
        <v>75000</v>
      </c>
      <c r="H1432" s="1862">
        <v>75000</v>
      </c>
      <c r="I1432" s="1862">
        <f>Tabla1[[#This Row],[Extraccion
Norte II]]+Tabla1[[#This Row],[Extraccion
ENO]]</f>
        <v>71881.465028489998</v>
      </c>
      <c r="J1432" s="1862">
        <v>71881.465028489998</v>
      </c>
      <c r="K1432" s="1862"/>
      <c r="L1432" s="1862">
        <f t="shared" si="117"/>
        <v>3118.5349715100019</v>
      </c>
      <c r="M1432" s="1862">
        <f>M1431+Tabla1[[#This Row],[Desbalance
TPL]]</f>
        <v>-590840.22939757304</v>
      </c>
    </row>
    <row r="1433" spans="2:13" x14ac:dyDescent="0.25">
      <c r="B1433" s="1859">
        <f t="shared" si="114"/>
        <v>2017</v>
      </c>
      <c r="C1433" s="1859">
        <f t="shared" si="115"/>
        <v>6</v>
      </c>
      <c r="D1433" s="1860">
        <f t="shared" si="116"/>
        <v>42892</v>
      </c>
      <c r="E1433" s="1861">
        <v>42892</v>
      </c>
      <c r="F1433" s="1862"/>
      <c r="G1433" s="1862">
        <v>75000</v>
      </c>
      <c r="H1433" s="1862">
        <v>75000</v>
      </c>
      <c r="I1433" s="1862">
        <f>Tabla1[[#This Row],[Extraccion
Norte II]]+Tabla1[[#This Row],[Extraccion
ENO]]</f>
        <v>71397.99779404499</v>
      </c>
      <c r="J1433" s="1862">
        <v>71397.99779404499</v>
      </c>
      <c r="K1433" s="1862"/>
      <c r="L1433" s="1862">
        <f t="shared" si="117"/>
        <v>3602.0022059550101</v>
      </c>
      <c r="M1433" s="1862">
        <f>M1432+Tabla1[[#This Row],[Desbalance
TPL]]</f>
        <v>-587238.22719161806</v>
      </c>
    </row>
    <row r="1434" spans="2:13" x14ac:dyDescent="0.25">
      <c r="B1434" s="1859">
        <f t="shared" si="114"/>
        <v>2017</v>
      </c>
      <c r="C1434" s="1859">
        <f t="shared" si="115"/>
        <v>6</v>
      </c>
      <c r="D1434" s="1860">
        <f t="shared" si="116"/>
        <v>42893</v>
      </c>
      <c r="E1434" s="1861">
        <v>42893</v>
      </c>
      <c r="F1434" s="1862"/>
      <c r="G1434" s="1862">
        <v>75000</v>
      </c>
      <c r="H1434" s="1862">
        <v>75000</v>
      </c>
      <c r="I1434" s="1862">
        <f>Tabla1[[#This Row],[Extraccion
Norte II]]+Tabla1[[#This Row],[Extraccion
ENO]]</f>
        <v>69999.536462309989</v>
      </c>
      <c r="J1434" s="1862">
        <v>69999.536462309989</v>
      </c>
      <c r="K1434" s="1862"/>
      <c r="L1434" s="1862">
        <f t="shared" si="117"/>
        <v>5000.4635376900114</v>
      </c>
      <c r="M1434" s="1862">
        <f>M1433+Tabla1[[#This Row],[Desbalance
TPL]]</f>
        <v>-582237.76365392806</v>
      </c>
    </row>
    <row r="1435" spans="2:13" x14ac:dyDescent="0.25">
      <c r="B1435" s="1859">
        <f t="shared" si="114"/>
        <v>2017</v>
      </c>
      <c r="C1435" s="1859">
        <f t="shared" si="115"/>
        <v>6</v>
      </c>
      <c r="D1435" s="1860">
        <f t="shared" si="116"/>
        <v>42894</v>
      </c>
      <c r="E1435" s="1861">
        <v>42894</v>
      </c>
      <c r="F1435" s="1862"/>
      <c r="G1435" s="1862">
        <v>67000</v>
      </c>
      <c r="H1435" s="1862">
        <v>67000</v>
      </c>
      <c r="I1435" s="1862">
        <f>Tabla1[[#This Row],[Extraccion
Norte II]]+Tabla1[[#This Row],[Extraccion
ENO]]</f>
        <v>71133.296201370002</v>
      </c>
      <c r="J1435" s="1862">
        <v>71133.296201370002</v>
      </c>
      <c r="K1435" s="1862"/>
      <c r="L1435" s="1862">
        <f>H1435-I1435</f>
        <v>-4133.2962013700017</v>
      </c>
      <c r="M1435" s="1862">
        <f>M1434+Tabla1[[#This Row],[Desbalance
TPL]]</f>
        <v>-586371.05985529802</v>
      </c>
    </row>
    <row r="1436" spans="2:13" x14ac:dyDescent="0.25">
      <c r="B1436" s="1859">
        <f t="shared" si="114"/>
        <v>2017</v>
      </c>
      <c r="C1436" s="1859">
        <f t="shared" si="115"/>
        <v>6</v>
      </c>
      <c r="D1436" s="1860">
        <f t="shared" si="116"/>
        <v>42895</v>
      </c>
      <c r="E1436" s="1861">
        <v>42895</v>
      </c>
      <c r="F1436" s="1862"/>
      <c r="G1436" s="1862">
        <v>67000</v>
      </c>
      <c r="H1436" s="1862">
        <v>67000</v>
      </c>
      <c r="I1436" s="1862">
        <f>Tabla1[[#This Row],[Extraccion
Norte II]]+Tabla1[[#This Row],[Extraccion
ENO]]</f>
        <v>71438.33214648001</v>
      </c>
      <c r="J1436" s="1862">
        <v>71438.33214648001</v>
      </c>
      <c r="K1436" s="1862"/>
      <c r="L1436" s="1862">
        <f t="shared" si="117"/>
        <v>-4438.3321464800101</v>
      </c>
      <c r="M1436" s="1862">
        <f>M1435+Tabla1[[#This Row],[Desbalance
TPL]]</f>
        <v>-590809.392001778</v>
      </c>
    </row>
    <row r="1437" spans="2:13" x14ac:dyDescent="0.25">
      <c r="B1437" s="1859">
        <f t="shared" si="114"/>
        <v>2017</v>
      </c>
      <c r="C1437" s="1859">
        <f t="shared" si="115"/>
        <v>6</v>
      </c>
      <c r="D1437" s="1860">
        <f t="shared" si="116"/>
        <v>42896</v>
      </c>
      <c r="E1437" s="1861">
        <v>42896</v>
      </c>
      <c r="F1437" s="1862"/>
      <c r="G1437" s="1862">
        <v>67000</v>
      </c>
      <c r="H1437" s="1862">
        <v>67000</v>
      </c>
      <c r="I1437" s="1862">
        <f>Tabla1[[#This Row],[Extraccion
Norte II]]+Tabla1[[#This Row],[Extraccion
ENO]]</f>
        <v>71397.874577835013</v>
      </c>
      <c r="J1437" s="1862">
        <v>71397.874577835013</v>
      </c>
      <c r="K1437" s="1862"/>
      <c r="L1437" s="1862">
        <f t="shared" si="117"/>
        <v>-4397.874577835013</v>
      </c>
      <c r="M1437" s="1862">
        <f>M1436+Tabla1[[#This Row],[Desbalance
TPL]]</f>
        <v>-595207.26657961297</v>
      </c>
    </row>
    <row r="1438" spans="2:13" x14ac:dyDescent="0.25">
      <c r="B1438" s="1859">
        <f t="shared" si="114"/>
        <v>2017</v>
      </c>
      <c r="C1438" s="1859">
        <f t="shared" si="115"/>
        <v>6</v>
      </c>
      <c r="D1438" s="1860">
        <f t="shared" si="116"/>
        <v>42897</v>
      </c>
      <c r="E1438" s="1861">
        <v>42897</v>
      </c>
      <c r="F1438" s="1862"/>
      <c r="G1438" s="1862">
        <v>67000</v>
      </c>
      <c r="H1438" s="1862">
        <v>67000</v>
      </c>
      <c r="I1438" s="1862">
        <f>Tabla1[[#This Row],[Extraccion
Norte II]]+Tabla1[[#This Row],[Extraccion
ENO]]</f>
        <v>69115.848760530003</v>
      </c>
      <c r="J1438" s="1862">
        <v>69115.848760530003</v>
      </c>
      <c r="K1438" s="1862"/>
      <c r="L1438" s="1862">
        <f t="shared" si="117"/>
        <v>-2115.8487605300033</v>
      </c>
      <c r="M1438" s="1862">
        <f>M1437+Tabla1[[#This Row],[Desbalance
TPL]]</f>
        <v>-597323.11534014298</v>
      </c>
    </row>
    <row r="1439" spans="2:13" x14ac:dyDescent="0.25">
      <c r="B1439" s="1859">
        <f t="shared" si="114"/>
        <v>2017</v>
      </c>
      <c r="C1439" s="1859">
        <f t="shared" si="115"/>
        <v>6</v>
      </c>
      <c r="D1439" s="1860">
        <f t="shared" si="116"/>
        <v>42898</v>
      </c>
      <c r="E1439" s="1861">
        <v>42898</v>
      </c>
      <c r="F1439" s="1862"/>
      <c r="G1439" s="1862">
        <v>67000</v>
      </c>
      <c r="H1439" s="1862">
        <v>67000</v>
      </c>
      <c r="I1439" s="1862">
        <f>Tabla1[[#This Row],[Extraccion
Norte II]]+Tabla1[[#This Row],[Extraccion
ENO]]</f>
        <v>72178.359225570006</v>
      </c>
      <c r="J1439" s="1862">
        <v>72178.359225570006</v>
      </c>
      <c r="K1439" s="1862"/>
      <c r="L1439" s="1862">
        <f t="shared" si="117"/>
        <v>-5178.3592255700059</v>
      </c>
      <c r="M1439" s="1862">
        <f>M1438+Tabla1[[#This Row],[Desbalance
TPL]]</f>
        <v>-602501.47456571297</v>
      </c>
    </row>
    <row r="1440" spans="2:13" x14ac:dyDescent="0.25">
      <c r="B1440" s="1859">
        <f t="shared" si="114"/>
        <v>2017</v>
      </c>
      <c r="C1440" s="1859">
        <f t="shared" si="115"/>
        <v>6</v>
      </c>
      <c r="D1440" s="1860">
        <f t="shared" si="116"/>
        <v>42899</v>
      </c>
      <c r="E1440" s="1861">
        <v>42899</v>
      </c>
      <c r="F1440" s="1862"/>
      <c r="G1440" s="1862">
        <v>67000</v>
      </c>
      <c r="H1440" s="1862">
        <v>67000</v>
      </c>
      <c r="I1440" s="1862">
        <f>Tabla1[[#This Row],[Extraccion
Norte II]]+Tabla1[[#This Row],[Extraccion
ENO]]</f>
        <v>72093.851861850009</v>
      </c>
      <c r="J1440" s="1862">
        <v>72093.851861850009</v>
      </c>
      <c r="K1440" s="1862"/>
      <c r="L1440" s="1862">
        <f t="shared" si="117"/>
        <v>-5093.8518618500093</v>
      </c>
      <c r="M1440" s="1862">
        <f>M1439+Tabla1[[#This Row],[Desbalance
TPL]]</f>
        <v>-607595.32642756298</v>
      </c>
    </row>
    <row r="1441" spans="2:13" x14ac:dyDescent="0.25">
      <c r="B1441" s="1859">
        <f t="shared" si="114"/>
        <v>2017</v>
      </c>
      <c r="C1441" s="1859">
        <f t="shared" si="115"/>
        <v>6</v>
      </c>
      <c r="D1441" s="1860">
        <f t="shared" si="116"/>
        <v>42900</v>
      </c>
      <c r="E1441" s="1861">
        <v>42900</v>
      </c>
      <c r="F1441" s="1862"/>
      <c r="G1441" s="1862">
        <v>67000</v>
      </c>
      <c r="H1441" s="1862">
        <v>67000</v>
      </c>
      <c r="I1441" s="1862">
        <f>Tabla1[[#This Row],[Extraccion
Norte II]]+Tabla1[[#This Row],[Extraccion
ENO]]</f>
        <v>72073.161016740007</v>
      </c>
      <c r="J1441" s="1862">
        <v>72073.161016740007</v>
      </c>
      <c r="K1441" s="1862"/>
      <c r="L1441" s="1862">
        <f t="shared" si="117"/>
        <v>-5073.1610167400067</v>
      </c>
      <c r="M1441" s="1862">
        <f>M1440+Tabla1[[#This Row],[Desbalance
TPL]]</f>
        <v>-612668.487444303</v>
      </c>
    </row>
    <row r="1442" spans="2:13" x14ac:dyDescent="0.25">
      <c r="B1442" s="1859">
        <f t="shared" si="114"/>
        <v>2017</v>
      </c>
      <c r="C1442" s="1859">
        <f t="shared" si="115"/>
        <v>6</v>
      </c>
      <c r="D1442" s="1860">
        <f t="shared" si="116"/>
        <v>42901</v>
      </c>
      <c r="E1442" s="1861">
        <v>42901</v>
      </c>
      <c r="F1442" s="1862"/>
      <c r="G1442" s="1862">
        <v>67000</v>
      </c>
      <c r="H1442" s="1862">
        <v>67000</v>
      </c>
      <c r="I1442" s="1862">
        <f>Tabla1[[#This Row],[Extraccion
Norte II]]+Tabla1[[#This Row],[Extraccion
ENO]]</f>
        <v>72202.483169061685</v>
      </c>
      <c r="J1442" s="1862">
        <v>72202.483169061685</v>
      </c>
      <c r="K1442" s="1862"/>
      <c r="L1442" s="1862">
        <f t="shared" si="117"/>
        <v>-5202.4831690616847</v>
      </c>
      <c r="M1442" s="1862">
        <f>M1441+Tabla1[[#This Row],[Desbalance
TPL]]</f>
        <v>-617870.97061336471</v>
      </c>
    </row>
    <row r="1443" spans="2:13" x14ac:dyDescent="0.25">
      <c r="B1443" s="1859">
        <f t="shared" si="114"/>
        <v>2017</v>
      </c>
      <c r="C1443" s="1859">
        <f t="shared" si="115"/>
        <v>6</v>
      </c>
      <c r="D1443" s="1860">
        <f t="shared" si="116"/>
        <v>42902</v>
      </c>
      <c r="E1443" s="1861">
        <v>42902</v>
      </c>
      <c r="F1443" s="1862"/>
      <c r="G1443" s="1862">
        <v>67000</v>
      </c>
      <c r="H1443" s="1862">
        <v>67000</v>
      </c>
      <c r="I1443" s="1862">
        <f>Tabla1[[#This Row],[Extraccion
Norte II]]+Tabla1[[#This Row],[Extraccion
ENO]]</f>
        <v>72287.285021419229</v>
      </c>
      <c r="J1443" s="1862">
        <v>72287.285021419229</v>
      </c>
      <c r="K1443" s="1862"/>
      <c r="L1443" s="1862">
        <f t="shared" si="117"/>
        <v>-5287.2850214192295</v>
      </c>
      <c r="M1443" s="1862">
        <f>M1442+Tabla1[[#This Row],[Desbalance
TPL]]</f>
        <v>-623158.255634784</v>
      </c>
    </row>
    <row r="1444" spans="2:13" x14ac:dyDescent="0.25">
      <c r="B1444" s="1859">
        <f t="shared" si="114"/>
        <v>2017</v>
      </c>
      <c r="C1444" s="1859">
        <f t="shared" si="115"/>
        <v>6</v>
      </c>
      <c r="D1444" s="1860">
        <f t="shared" si="116"/>
        <v>42903</v>
      </c>
      <c r="E1444" s="1861">
        <v>42903</v>
      </c>
      <c r="F1444" s="1862"/>
      <c r="G1444" s="1862">
        <v>67000</v>
      </c>
      <c r="H1444" s="1862">
        <v>67000</v>
      </c>
      <c r="I1444" s="1862">
        <f>Tabla1[[#This Row],[Extraccion
Norte II]]+Tabla1[[#This Row],[Extraccion
ENO]]</f>
        <v>71267.989290468759</v>
      </c>
      <c r="J1444" s="1862">
        <v>71267.989290468759</v>
      </c>
      <c r="K1444" s="1862"/>
      <c r="L1444" s="1862">
        <f t="shared" si="117"/>
        <v>-4267.9892904687586</v>
      </c>
      <c r="M1444" s="1862">
        <f>M1443+Tabla1[[#This Row],[Desbalance
TPL]]</f>
        <v>-627426.24492525274</v>
      </c>
    </row>
    <row r="1445" spans="2:13" x14ac:dyDescent="0.25">
      <c r="B1445" s="1859">
        <f t="shared" si="114"/>
        <v>2017</v>
      </c>
      <c r="C1445" s="1859">
        <f t="shared" si="115"/>
        <v>6</v>
      </c>
      <c r="D1445" s="1860">
        <f t="shared" si="116"/>
        <v>42904</v>
      </c>
      <c r="E1445" s="1861">
        <v>42904</v>
      </c>
      <c r="F1445" s="1862"/>
      <c r="G1445" s="1862">
        <v>67000</v>
      </c>
      <c r="H1445" s="1862">
        <v>67000</v>
      </c>
      <c r="I1445" s="1862">
        <f>Tabla1[[#This Row],[Extraccion
Norte II]]+Tabla1[[#This Row],[Extraccion
ENO]]</f>
        <v>70405.120389093747</v>
      </c>
      <c r="J1445" s="1862">
        <v>70405.120389093747</v>
      </c>
      <c r="K1445" s="1862"/>
      <c r="L1445" s="1862">
        <f t="shared" si="117"/>
        <v>-3405.1203890937468</v>
      </c>
      <c r="M1445" s="1862">
        <f>M1444+Tabla1[[#This Row],[Desbalance
TPL]]</f>
        <v>-630831.36531434651</v>
      </c>
    </row>
    <row r="1446" spans="2:13" x14ac:dyDescent="0.25">
      <c r="B1446" s="1859">
        <f t="shared" si="114"/>
        <v>2017</v>
      </c>
      <c r="C1446" s="1859">
        <f t="shared" si="115"/>
        <v>6</v>
      </c>
      <c r="D1446" s="1860">
        <f t="shared" si="116"/>
        <v>42905</v>
      </c>
      <c r="E1446" s="1861">
        <v>42905</v>
      </c>
      <c r="F1446" s="1862"/>
      <c r="G1446" s="1862">
        <v>67000</v>
      </c>
      <c r="H1446" s="1862">
        <v>67000</v>
      </c>
      <c r="I1446" s="1862">
        <f>Tabla1[[#This Row],[Extraccion
Norte II]]+Tabla1[[#This Row],[Extraccion
ENO]]</f>
        <v>71672.709233718328</v>
      </c>
      <c r="J1446" s="1862">
        <v>71672.709233718328</v>
      </c>
      <c r="K1446" s="1862"/>
      <c r="L1446" s="1862">
        <f t="shared" si="117"/>
        <v>-4672.7092337183276</v>
      </c>
      <c r="M1446" s="1862">
        <f>M1445+Tabla1[[#This Row],[Desbalance
TPL]]</f>
        <v>-635504.07454806485</v>
      </c>
    </row>
    <row r="1447" spans="2:13" x14ac:dyDescent="0.25">
      <c r="B1447" s="1859">
        <f t="shared" si="114"/>
        <v>2017</v>
      </c>
      <c r="C1447" s="1859">
        <f t="shared" si="115"/>
        <v>6</v>
      </c>
      <c r="D1447" s="1860">
        <f t="shared" si="116"/>
        <v>42906</v>
      </c>
      <c r="E1447" s="1861">
        <v>42906</v>
      </c>
      <c r="F1447" s="1862"/>
      <c r="G1447" s="1862">
        <v>67000</v>
      </c>
      <c r="H1447" s="1862">
        <v>67000</v>
      </c>
      <c r="I1447" s="1862">
        <f>Tabla1[[#This Row],[Extraccion
Norte II]]+Tabla1[[#This Row],[Extraccion
ENO]]</f>
        <v>71976.0041934935</v>
      </c>
      <c r="J1447" s="1862">
        <v>71976.0041934935</v>
      </c>
      <c r="K1447" s="1862"/>
      <c r="L1447" s="1862">
        <f t="shared" si="117"/>
        <v>-4976.0041934934998</v>
      </c>
      <c r="M1447" s="1862">
        <f>M1446+Tabla1[[#This Row],[Desbalance
TPL]]</f>
        <v>-640480.07874155836</v>
      </c>
    </row>
    <row r="1448" spans="2:13" x14ac:dyDescent="0.25">
      <c r="B1448" s="1859">
        <f t="shared" si="114"/>
        <v>2017</v>
      </c>
      <c r="C1448" s="1859">
        <f t="shared" si="115"/>
        <v>6</v>
      </c>
      <c r="D1448" s="1860">
        <f t="shared" si="116"/>
        <v>42907</v>
      </c>
      <c r="E1448" s="1861">
        <v>42907</v>
      </c>
      <c r="F1448" s="1862"/>
      <c r="G1448" s="1862">
        <v>67000</v>
      </c>
      <c r="H1448" s="1862">
        <v>67000</v>
      </c>
      <c r="I1448" s="1862">
        <f>Tabla1[[#This Row],[Extraccion
Norte II]]+Tabla1[[#This Row],[Extraccion
ENO]]</f>
        <v>71986.730769281246</v>
      </c>
      <c r="J1448" s="1862">
        <v>71986.730769281246</v>
      </c>
      <c r="K1448" s="1862"/>
      <c r="L1448" s="1862">
        <f t="shared" si="117"/>
        <v>-4986.7307692812465</v>
      </c>
      <c r="M1448" s="1862">
        <f>M1447+Tabla1[[#This Row],[Desbalance
TPL]]</f>
        <v>-645466.80951083964</v>
      </c>
    </row>
    <row r="1449" spans="2:13" x14ac:dyDescent="0.25">
      <c r="B1449" s="1859">
        <f t="shared" si="114"/>
        <v>2017</v>
      </c>
      <c r="C1449" s="1859">
        <f t="shared" si="115"/>
        <v>6</v>
      </c>
      <c r="D1449" s="1860">
        <f t="shared" si="116"/>
        <v>42908</v>
      </c>
      <c r="E1449" s="1861">
        <v>42908</v>
      </c>
      <c r="F1449" s="1862"/>
      <c r="G1449" s="1862">
        <v>67000</v>
      </c>
      <c r="H1449" s="1862">
        <v>67000</v>
      </c>
      <c r="I1449" s="1862">
        <f>Tabla1[[#This Row],[Extraccion
Norte II]]+Tabla1[[#This Row],[Extraccion
ENO]]</f>
        <v>72179.996579437502</v>
      </c>
      <c r="J1449" s="1862">
        <v>72179.996579437502</v>
      </c>
      <c r="K1449" s="1862"/>
      <c r="L1449" s="1862">
        <f t="shared" si="117"/>
        <v>-5179.9965794375021</v>
      </c>
      <c r="M1449" s="1862">
        <f>M1448+Tabla1[[#This Row],[Desbalance
TPL]]</f>
        <v>-650646.80609027715</v>
      </c>
    </row>
    <row r="1450" spans="2:13" x14ac:dyDescent="0.25">
      <c r="B1450" s="1859">
        <f t="shared" si="114"/>
        <v>2017</v>
      </c>
      <c r="C1450" s="1859">
        <f t="shared" si="115"/>
        <v>6</v>
      </c>
      <c r="D1450" s="1860">
        <f t="shared" si="116"/>
        <v>42909</v>
      </c>
      <c r="E1450" s="1861">
        <v>42909</v>
      </c>
      <c r="F1450" s="1862"/>
      <c r="G1450" s="1862">
        <v>67000</v>
      </c>
      <c r="H1450" s="1862">
        <v>67000</v>
      </c>
      <c r="I1450" s="1862">
        <f>Tabla1[[#This Row],[Extraccion
Norte II]]+Tabla1[[#This Row],[Extraccion
ENO]]</f>
        <v>72204.891585328121</v>
      </c>
      <c r="J1450" s="1862">
        <v>72204.891585328121</v>
      </c>
      <c r="K1450" s="1862"/>
      <c r="L1450" s="1862">
        <f t="shared" si="117"/>
        <v>-5204.8915853281214</v>
      </c>
      <c r="M1450" s="1862">
        <f>M1449+Tabla1[[#This Row],[Desbalance
TPL]]</f>
        <v>-655851.6976756053</v>
      </c>
    </row>
    <row r="1451" spans="2:13" x14ac:dyDescent="0.25">
      <c r="B1451" s="1859">
        <f t="shared" si="114"/>
        <v>2017</v>
      </c>
      <c r="C1451" s="1859">
        <f t="shared" si="115"/>
        <v>6</v>
      </c>
      <c r="D1451" s="1860">
        <f t="shared" si="116"/>
        <v>42910</v>
      </c>
      <c r="E1451" s="1861">
        <v>42910</v>
      </c>
      <c r="F1451" s="1862"/>
      <c r="G1451" s="1862">
        <v>67000</v>
      </c>
      <c r="H1451" s="1862">
        <v>67000</v>
      </c>
      <c r="I1451" s="1862">
        <f>Tabla1[[#This Row],[Extraccion
Norte II]]+Tabla1[[#This Row],[Extraccion
ENO]]</f>
        <v>71349.197722146855</v>
      </c>
      <c r="J1451" s="1862">
        <v>71349.197722146855</v>
      </c>
      <c r="K1451" s="1862"/>
      <c r="L1451" s="1862">
        <f t="shared" si="117"/>
        <v>-4349.1977221468551</v>
      </c>
      <c r="M1451" s="1862">
        <f>M1450+Tabla1[[#This Row],[Desbalance
TPL]]</f>
        <v>-660200.89539775217</v>
      </c>
    </row>
    <row r="1452" spans="2:13" x14ac:dyDescent="0.25">
      <c r="B1452" s="1859">
        <f t="shared" si="114"/>
        <v>2017</v>
      </c>
      <c r="C1452" s="1859">
        <f t="shared" si="115"/>
        <v>6</v>
      </c>
      <c r="D1452" s="1860">
        <f t="shared" si="116"/>
        <v>42911</v>
      </c>
      <c r="E1452" s="1861">
        <v>42911</v>
      </c>
      <c r="F1452" s="1862"/>
      <c r="G1452" s="1862">
        <v>67000</v>
      </c>
      <c r="H1452" s="1862">
        <v>67000</v>
      </c>
      <c r="I1452" s="1862">
        <f>Tabla1[[#This Row],[Extraccion
Norte II]]+Tabla1[[#This Row],[Extraccion
ENO]]</f>
        <v>70371.124859512973</v>
      </c>
      <c r="J1452" s="1862">
        <v>70371.124859512973</v>
      </c>
      <c r="K1452" s="1862"/>
      <c r="L1452" s="1862">
        <f t="shared" si="117"/>
        <v>-3371.1248595129728</v>
      </c>
      <c r="M1452" s="1862">
        <f>M1451+Tabla1[[#This Row],[Desbalance
TPL]]</f>
        <v>-663572.02025726519</v>
      </c>
    </row>
    <row r="1453" spans="2:13" x14ac:dyDescent="0.25">
      <c r="B1453" s="1859">
        <f t="shared" si="114"/>
        <v>2017</v>
      </c>
      <c r="C1453" s="1859">
        <f t="shared" si="115"/>
        <v>6</v>
      </c>
      <c r="D1453" s="1860">
        <f t="shared" si="116"/>
        <v>42912</v>
      </c>
      <c r="E1453" s="1861">
        <v>42912</v>
      </c>
      <c r="F1453" s="1862"/>
      <c r="G1453" s="1862">
        <v>67000</v>
      </c>
      <c r="H1453" s="1862">
        <v>67000</v>
      </c>
      <c r="I1453" s="1862">
        <f>Tabla1[[#This Row],[Extraccion
Norte II]]+Tabla1[[#This Row],[Extraccion
ENO]]</f>
        <v>71870.482495669232</v>
      </c>
      <c r="J1453" s="1862">
        <v>71870.482495669232</v>
      </c>
      <c r="K1453" s="1862"/>
      <c r="L1453" s="1862">
        <f t="shared" si="117"/>
        <v>-4870.4824956692319</v>
      </c>
      <c r="M1453" s="1862">
        <f>M1452+Tabla1[[#This Row],[Desbalance
TPL]]</f>
        <v>-668442.50275293447</v>
      </c>
    </row>
    <row r="1454" spans="2:13" x14ac:dyDescent="0.25">
      <c r="B1454" s="1859">
        <f t="shared" si="114"/>
        <v>2017</v>
      </c>
      <c r="C1454" s="1859">
        <f t="shared" si="115"/>
        <v>6</v>
      </c>
      <c r="D1454" s="1860">
        <f t="shared" si="116"/>
        <v>42913</v>
      </c>
      <c r="E1454" s="1861">
        <v>42913</v>
      </c>
      <c r="F1454" s="1862"/>
      <c r="G1454" s="1862">
        <v>71000</v>
      </c>
      <c r="H1454" s="1862">
        <v>71000</v>
      </c>
      <c r="I1454" s="1862">
        <f>Tabla1[[#This Row],[Extraccion
Norte II]]+Tabla1[[#This Row],[Extraccion
ENO]]</f>
        <v>71672.675678153086</v>
      </c>
      <c r="J1454" s="1862">
        <v>71672.675678153086</v>
      </c>
      <c r="K1454" s="1862"/>
      <c r="L1454" s="1862">
        <f t="shared" si="117"/>
        <v>-672.67567815308576</v>
      </c>
      <c r="M1454" s="1862">
        <f>M1453+Tabla1[[#This Row],[Desbalance
TPL]]</f>
        <v>-669115.17843108752</v>
      </c>
    </row>
    <row r="1455" spans="2:13" x14ac:dyDescent="0.25">
      <c r="B1455" s="1859">
        <f t="shared" si="114"/>
        <v>2017</v>
      </c>
      <c r="C1455" s="1859">
        <f t="shared" si="115"/>
        <v>6</v>
      </c>
      <c r="D1455" s="1860">
        <f t="shared" si="116"/>
        <v>42914</v>
      </c>
      <c r="E1455" s="1861">
        <v>42914</v>
      </c>
      <c r="F1455" s="1862"/>
      <c r="G1455" s="1862">
        <v>71000</v>
      </c>
      <c r="H1455" s="1862">
        <v>71000</v>
      </c>
      <c r="I1455" s="1862">
        <f>Tabla1[[#This Row],[Extraccion
Norte II]]+Tabla1[[#This Row],[Extraccion
ENO]]</f>
        <v>72396.943004953122</v>
      </c>
      <c r="J1455" s="1862">
        <v>72396.943004953122</v>
      </c>
      <c r="K1455" s="1862"/>
      <c r="L1455" s="1862">
        <f t="shared" si="117"/>
        <v>-1396.943004953122</v>
      </c>
      <c r="M1455" s="1862">
        <f>M1454+Tabla1[[#This Row],[Desbalance
TPL]]</f>
        <v>-670512.12143604062</v>
      </c>
    </row>
    <row r="1456" spans="2:13" x14ac:dyDescent="0.25">
      <c r="B1456" s="1859">
        <f t="shared" si="114"/>
        <v>2017</v>
      </c>
      <c r="C1456" s="1859">
        <f t="shared" si="115"/>
        <v>6</v>
      </c>
      <c r="D1456" s="1860">
        <f t="shared" si="116"/>
        <v>42915</v>
      </c>
      <c r="E1456" s="1861">
        <v>42915</v>
      </c>
      <c r="F1456" s="1862"/>
      <c r="G1456" s="1862">
        <v>71000</v>
      </c>
      <c r="H1456" s="1862">
        <v>71000</v>
      </c>
      <c r="I1456" s="1862">
        <f>Tabla1[[#This Row],[Extraccion
Norte II]]+Tabla1[[#This Row],[Extraccion
ENO]]</f>
        <v>72619.834111206073</v>
      </c>
      <c r="J1456" s="1862">
        <v>72619.834111206073</v>
      </c>
      <c r="K1456" s="1862"/>
      <c r="L1456" s="1862">
        <f t="shared" si="117"/>
        <v>-1619.8341112060734</v>
      </c>
      <c r="M1456" s="1862">
        <f>M1455+Tabla1[[#This Row],[Desbalance
TPL]]</f>
        <v>-672131.95554724673</v>
      </c>
    </row>
    <row r="1457" spans="2:13" x14ac:dyDescent="0.25">
      <c r="B1457" s="1859">
        <f t="shared" si="114"/>
        <v>2017</v>
      </c>
      <c r="C1457" s="1859">
        <f t="shared" si="115"/>
        <v>6</v>
      </c>
      <c r="D1457" s="1860">
        <f t="shared" si="116"/>
        <v>42916</v>
      </c>
      <c r="E1457" s="1861">
        <v>42916</v>
      </c>
      <c r="F1457" s="1862"/>
      <c r="G1457" s="1862">
        <v>71000</v>
      </c>
      <c r="H1457" s="1862">
        <v>71000</v>
      </c>
      <c r="I1457" s="1862">
        <f>Tabla1[[#This Row],[Extraccion
Norte II]]+Tabla1[[#This Row],[Extraccion
ENO]]</f>
        <v>72301.88732707547</v>
      </c>
      <c r="J1457" s="1862">
        <v>72301.88732707547</v>
      </c>
      <c r="K1457" s="1862"/>
      <c r="L1457" s="1862">
        <f t="shared" si="117"/>
        <v>-1301.8873270754702</v>
      </c>
      <c r="M1457" s="1862">
        <f>M1456+Tabla1[[#This Row],[Desbalance
TPL]]</f>
        <v>-673433.8428743222</v>
      </c>
    </row>
    <row r="1458" spans="2:13" x14ac:dyDescent="0.25">
      <c r="B1458" s="1859">
        <f t="shared" si="114"/>
        <v>2017</v>
      </c>
      <c r="C1458" s="1859">
        <f t="shared" si="115"/>
        <v>7</v>
      </c>
      <c r="D1458" s="1860">
        <f t="shared" si="116"/>
        <v>42917</v>
      </c>
      <c r="E1458" s="1861">
        <v>42917</v>
      </c>
      <c r="F1458" s="1862"/>
      <c r="G1458" s="1862"/>
      <c r="H1458" s="1862"/>
      <c r="I1458" s="1862">
        <f>Tabla1[[#This Row],[Extraccion
Norte II]]+Tabla1[[#This Row],[Extraccion
ENO]]</f>
        <v>0</v>
      </c>
      <c r="J1458" s="1862"/>
      <c r="K1458" s="1862"/>
      <c r="L1458" s="1862">
        <f t="shared" si="117"/>
        <v>0</v>
      </c>
      <c r="M1458" s="1862">
        <f>M1457+Tabla1[[#This Row],[Desbalance
TPL]]</f>
        <v>-673433.8428743222</v>
      </c>
    </row>
    <row r="1459" spans="2:13" x14ac:dyDescent="0.25">
      <c r="B1459" s="1859">
        <f t="shared" ref="B1459:B1522" si="118">YEAR(E1459)</f>
        <v>2017</v>
      </c>
      <c r="C1459" s="1859">
        <f t="shared" ref="C1459:C1522" si="119">MONTH(E1459)</f>
        <v>7</v>
      </c>
      <c r="D1459" s="1860">
        <f t="shared" ref="D1459:D1522" si="120">E1459</f>
        <v>42918</v>
      </c>
      <c r="E1459" s="1861">
        <v>42918</v>
      </c>
      <c r="F1459" s="1862"/>
      <c r="G1459" s="1862"/>
      <c r="H1459" s="1862"/>
      <c r="I1459" s="1862">
        <f>Tabla1[[#This Row],[Extraccion
Norte II]]+Tabla1[[#This Row],[Extraccion
ENO]]</f>
        <v>0</v>
      </c>
      <c r="J1459" s="1862"/>
      <c r="K1459" s="1862"/>
      <c r="L1459" s="1862">
        <f t="shared" si="117"/>
        <v>0</v>
      </c>
      <c r="M1459" s="1862">
        <f>M1458+Tabla1[[#This Row],[Desbalance
TPL]]</f>
        <v>-673433.8428743222</v>
      </c>
    </row>
    <row r="1460" spans="2:13" x14ac:dyDescent="0.25">
      <c r="B1460" s="1859">
        <f t="shared" si="118"/>
        <v>2017</v>
      </c>
      <c r="C1460" s="1859">
        <f t="shared" si="119"/>
        <v>7</v>
      </c>
      <c r="D1460" s="1860">
        <f t="shared" si="120"/>
        <v>42919</v>
      </c>
      <c r="E1460" s="1861">
        <v>42919</v>
      </c>
      <c r="F1460" s="1862"/>
      <c r="G1460" s="1862"/>
      <c r="H1460" s="1862"/>
      <c r="I1460" s="1862">
        <f>Tabla1[[#This Row],[Extraccion
Norte II]]+Tabla1[[#This Row],[Extraccion
ENO]]</f>
        <v>0</v>
      </c>
      <c r="J1460" s="1862"/>
      <c r="K1460" s="1862"/>
      <c r="L1460" s="1862">
        <f t="shared" si="117"/>
        <v>0</v>
      </c>
      <c r="M1460" s="1862">
        <f>M1459+Tabla1[[#This Row],[Desbalance
TPL]]</f>
        <v>-673433.8428743222</v>
      </c>
    </row>
    <row r="1461" spans="2:13" x14ac:dyDescent="0.25">
      <c r="B1461" s="1859">
        <f t="shared" si="118"/>
        <v>2017</v>
      </c>
      <c r="C1461" s="1859">
        <f t="shared" si="119"/>
        <v>7</v>
      </c>
      <c r="D1461" s="1860">
        <f t="shared" si="120"/>
        <v>42920</v>
      </c>
      <c r="E1461" s="1861">
        <v>42920</v>
      </c>
      <c r="F1461" s="1862"/>
      <c r="G1461" s="1862"/>
      <c r="H1461" s="1862"/>
      <c r="I1461" s="1862">
        <f>Tabla1[[#This Row],[Extraccion
Norte II]]+Tabla1[[#This Row],[Extraccion
ENO]]</f>
        <v>0</v>
      </c>
      <c r="J1461" s="1862"/>
      <c r="K1461" s="1862"/>
      <c r="L1461" s="1862">
        <f t="shared" si="117"/>
        <v>0</v>
      </c>
      <c r="M1461" s="1862">
        <f>M1460+Tabla1[[#This Row],[Desbalance
TPL]]</f>
        <v>-673433.8428743222</v>
      </c>
    </row>
    <row r="1462" spans="2:13" x14ac:dyDescent="0.25">
      <c r="B1462" s="1859">
        <f t="shared" si="118"/>
        <v>2017</v>
      </c>
      <c r="C1462" s="1859">
        <f t="shared" si="119"/>
        <v>7</v>
      </c>
      <c r="D1462" s="1860">
        <f t="shared" si="120"/>
        <v>42921</v>
      </c>
      <c r="E1462" s="1861">
        <v>42921</v>
      </c>
      <c r="F1462" s="1862"/>
      <c r="G1462" s="1862"/>
      <c r="H1462" s="1862"/>
      <c r="I1462" s="1862">
        <f>Tabla1[[#This Row],[Extraccion
Norte II]]+Tabla1[[#This Row],[Extraccion
ENO]]</f>
        <v>0</v>
      </c>
      <c r="J1462" s="1862"/>
      <c r="K1462" s="1862"/>
      <c r="L1462" s="1862">
        <f t="shared" si="117"/>
        <v>0</v>
      </c>
      <c r="M1462" s="1862">
        <f>M1461+Tabla1[[#This Row],[Desbalance
TPL]]</f>
        <v>-673433.8428743222</v>
      </c>
    </row>
    <row r="1463" spans="2:13" x14ac:dyDescent="0.25">
      <c r="B1463" s="1859">
        <f t="shared" si="118"/>
        <v>2017</v>
      </c>
      <c r="C1463" s="1859">
        <f t="shared" si="119"/>
        <v>7</v>
      </c>
      <c r="D1463" s="1860">
        <f t="shared" si="120"/>
        <v>42922</v>
      </c>
      <c r="E1463" s="1861">
        <v>42922</v>
      </c>
      <c r="F1463" s="1862"/>
      <c r="G1463" s="1862"/>
      <c r="H1463" s="1862"/>
      <c r="I1463" s="1862">
        <f>Tabla1[[#This Row],[Extraccion
Norte II]]+Tabla1[[#This Row],[Extraccion
ENO]]</f>
        <v>0</v>
      </c>
      <c r="J1463" s="1862"/>
      <c r="K1463" s="1862"/>
      <c r="L1463" s="1862">
        <f t="shared" si="117"/>
        <v>0</v>
      </c>
      <c r="M1463" s="1862">
        <f>M1462+Tabla1[[#This Row],[Desbalance
TPL]]</f>
        <v>-673433.8428743222</v>
      </c>
    </row>
    <row r="1464" spans="2:13" x14ac:dyDescent="0.25">
      <c r="B1464" s="1859">
        <f t="shared" si="118"/>
        <v>2017</v>
      </c>
      <c r="C1464" s="1859">
        <f t="shared" si="119"/>
        <v>7</v>
      </c>
      <c r="D1464" s="1860">
        <f t="shared" si="120"/>
        <v>42923</v>
      </c>
      <c r="E1464" s="1861">
        <v>42923</v>
      </c>
      <c r="F1464" s="1862"/>
      <c r="G1464" s="1862"/>
      <c r="H1464" s="1862"/>
      <c r="I1464" s="1862">
        <f>Tabla1[[#This Row],[Extraccion
Norte II]]+Tabla1[[#This Row],[Extraccion
ENO]]</f>
        <v>0</v>
      </c>
      <c r="J1464" s="1862"/>
      <c r="K1464" s="1862"/>
      <c r="L1464" s="1862">
        <f t="shared" si="117"/>
        <v>0</v>
      </c>
      <c r="M1464" s="1862">
        <f>M1463+Tabla1[[#This Row],[Desbalance
TPL]]</f>
        <v>-673433.8428743222</v>
      </c>
    </row>
    <row r="1465" spans="2:13" x14ac:dyDescent="0.25">
      <c r="B1465" s="1859">
        <f t="shared" si="118"/>
        <v>2017</v>
      </c>
      <c r="C1465" s="1859">
        <f t="shared" si="119"/>
        <v>7</v>
      </c>
      <c r="D1465" s="1860">
        <f t="shared" si="120"/>
        <v>42924</v>
      </c>
      <c r="E1465" s="1861">
        <v>42924</v>
      </c>
      <c r="F1465" s="1862"/>
      <c r="G1465" s="1862"/>
      <c r="H1465" s="1862"/>
      <c r="I1465" s="1862">
        <f>Tabla1[[#This Row],[Extraccion
Norte II]]+Tabla1[[#This Row],[Extraccion
ENO]]</f>
        <v>0</v>
      </c>
      <c r="J1465" s="1862"/>
      <c r="K1465" s="1862"/>
      <c r="L1465" s="1862">
        <f t="shared" si="117"/>
        <v>0</v>
      </c>
      <c r="M1465" s="1862">
        <f>M1464+Tabla1[[#This Row],[Desbalance
TPL]]</f>
        <v>-673433.8428743222</v>
      </c>
    </row>
    <row r="1466" spans="2:13" x14ac:dyDescent="0.25">
      <c r="B1466" s="1859">
        <f t="shared" si="118"/>
        <v>2017</v>
      </c>
      <c r="C1466" s="1859">
        <f t="shared" si="119"/>
        <v>7</v>
      </c>
      <c r="D1466" s="1860">
        <f t="shared" si="120"/>
        <v>42925</v>
      </c>
      <c r="E1466" s="1861">
        <v>42925</v>
      </c>
      <c r="F1466" s="1862"/>
      <c r="G1466" s="1862"/>
      <c r="H1466" s="1862"/>
      <c r="I1466" s="1862">
        <f>Tabla1[[#This Row],[Extraccion
Norte II]]+Tabla1[[#This Row],[Extraccion
ENO]]</f>
        <v>0</v>
      </c>
      <c r="J1466" s="1862"/>
      <c r="K1466" s="1862"/>
      <c r="L1466" s="1862">
        <f t="shared" si="117"/>
        <v>0</v>
      </c>
      <c r="M1466" s="1862">
        <f>M1465+Tabla1[[#This Row],[Desbalance
TPL]]</f>
        <v>-673433.8428743222</v>
      </c>
    </row>
    <row r="1467" spans="2:13" x14ac:dyDescent="0.25">
      <c r="B1467" s="1859">
        <f t="shared" si="118"/>
        <v>2017</v>
      </c>
      <c r="C1467" s="1859">
        <f t="shared" si="119"/>
        <v>7</v>
      </c>
      <c r="D1467" s="1860">
        <f t="shared" si="120"/>
        <v>42926</v>
      </c>
      <c r="E1467" s="1861">
        <v>42926</v>
      </c>
      <c r="F1467" s="1862"/>
      <c r="G1467" s="1862"/>
      <c r="H1467" s="1862"/>
      <c r="I1467" s="1862">
        <f>Tabla1[[#This Row],[Extraccion
Norte II]]+Tabla1[[#This Row],[Extraccion
ENO]]</f>
        <v>0</v>
      </c>
      <c r="J1467" s="1862"/>
      <c r="K1467" s="1862"/>
      <c r="L1467" s="1862">
        <f t="shared" si="117"/>
        <v>0</v>
      </c>
      <c r="M1467" s="1862">
        <f>M1466+Tabla1[[#This Row],[Desbalance
TPL]]</f>
        <v>-673433.8428743222</v>
      </c>
    </row>
    <row r="1468" spans="2:13" x14ac:dyDescent="0.25">
      <c r="B1468" s="1859">
        <f t="shared" si="118"/>
        <v>2017</v>
      </c>
      <c r="C1468" s="1859">
        <f t="shared" si="119"/>
        <v>7</v>
      </c>
      <c r="D1468" s="1860">
        <f t="shared" si="120"/>
        <v>42927</v>
      </c>
      <c r="E1468" s="1861">
        <v>42927</v>
      </c>
      <c r="F1468" s="1862"/>
      <c r="G1468" s="1862"/>
      <c r="H1468" s="1862"/>
      <c r="I1468" s="1862">
        <f>Tabla1[[#This Row],[Extraccion
Norte II]]+Tabla1[[#This Row],[Extraccion
ENO]]</f>
        <v>0</v>
      </c>
      <c r="J1468" s="1862"/>
      <c r="K1468" s="1862"/>
      <c r="L1468" s="1862">
        <f t="shared" si="117"/>
        <v>0</v>
      </c>
      <c r="M1468" s="1862">
        <f>M1467+Tabla1[[#This Row],[Desbalance
TPL]]</f>
        <v>-673433.8428743222</v>
      </c>
    </row>
    <row r="1469" spans="2:13" x14ac:dyDescent="0.25">
      <c r="B1469" s="1859">
        <f t="shared" si="118"/>
        <v>2017</v>
      </c>
      <c r="C1469" s="1859">
        <f t="shared" si="119"/>
        <v>7</v>
      </c>
      <c r="D1469" s="1860">
        <f t="shared" si="120"/>
        <v>42928</v>
      </c>
      <c r="E1469" s="1861">
        <v>42928</v>
      </c>
      <c r="F1469" s="1862"/>
      <c r="G1469" s="1862"/>
      <c r="H1469" s="1862"/>
      <c r="I1469" s="1862">
        <f>Tabla1[[#This Row],[Extraccion
Norte II]]+Tabla1[[#This Row],[Extraccion
ENO]]</f>
        <v>0</v>
      </c>
      <c r="J1469" s="1862"/>
      <c r="K1469" s="1862"/>
      <c r="L1469" s="1862">
        <f t="shared" si="117"/>
        <v>0</v>
      </c>
      <c r="M1469" s="1862">
        <f>M1468+Tabla1[[#This Row],[Desbalance
TPL]]</f>
        <v>-673433.8428743222</v>
      </c>
    </row>
    <row r="1470" spans="2:13" x14ac:dyDescent="0.25">
      <c r="B1470" s="1859">
        <f t="shared" si="118"/>
        <v>2017</v>
      </c>
      <c r="C1470" s="1859">
        <f t="shared" si="119"/>
        <v>7</v>
      </c>
      <c r="D1470" s="1860">
        <f t="shared" si="120"/>
        <v>42929</v>
      </c>
      <c r="E1470" s="1861">
        <v>42929</v>
      </c>
      <c r="F1470" s="1862"/>
      <c r="G1470" s="1862"/>
      <c r="H1470" s="1862"/>
      <c r="I1470" s="1862">
        <f>Tabla1[[#This Row],[Extraccion
Norte II]]+Tabla1[[#This Row],[Extraccion
ENO]]</f>
        <v>0</v>
      </c>
      <c r="J1470" s="1862"/>
      <c r="K1470" s="1862"/>
      <c r="L1470" s="1862">
        <f t="shared" si="117"/>
        <v>0</v>
      </c>
      <c r="M1470" s="1862">
        <f>M1469+Tabla1[[#This Row],[Desbalance
TPL]]</f>
        <v>-673433.8428743222</v>
      </c>
    </row>
    <row r="1471" spans="2:13" x14ac:dyDescent="0.25">
      <c r="B1471" s="1859">
        <f t="shared" si="118"/>
        <v>2017</v>
      </c>
      <c r="C1471" s="1859">
        <f t="shared" si="119"/>
        <v>7</v>
      </c>
      <c r="D1471" s="1860">
        <f t="shared" si="120"/>
        <v>42930</v>
      </c>
      <c r="E1471" s="1861">
        <v>42930</v>
      </c>
      <c r="F1471" s="1862"/>
      <c r="G1471" s="1862"/>
      <c r="H1471" s="1862"/>
      <c r="I1471" s="1862">
        <f>Tabla1[[#This Row],[Extraccion
Norte II]]+Tabla1[[#This Row],[Extraccion
ENO]]</f>
        <v>0</v>
      </c>
      <c r="J1471" s="1862"/>
      <c r="K1471" s="1862"/>
      <c r="L1471" s="1862">
        <f t="shared" si="117"/>
        <v>0</v>
      </c>
      <c r="M1471" s="1862">
        <f>M1470+Tabla1[[#This Row],[Desbalance
TPL]]</f>
        <v>-673433.8428743222</v>
      </c>
    </row>
    <row r="1472" spans="2:13" x14ac:dyDescent="0.25">
      <c r="B1472" s="1859">
        <f t="shared" si="118"/>
        <v>2017</v>
      </c>
      <c r="C1472" s="1859">
        <f t="shared" si="119"/>
        <v>7</v>
      </c>
      <c r="D1472" s="1860">
        <f t="shared" si="120"/>
        <v>42931</v>
      </c>
      <c r="E1472" s="1861">
        <v>42931</v>
      </c>
      <c r="F1472" s="1862"/>
      <c r="G1472" s="1862"/>
      <c r="H1472" s="1862"/>
      <c r="I1472" s="1862">
        <f>Tabla1[[#This Row],[Extraccion
Norte II]]+Tabla1[[#This Row],[Extraccion
ENO]]</f>
        <v>0</v>
      </c>
      <c r="J1472" s="1862"/>
      <c r="K1472" s="1862"/>
      <c r="L1472" s="1862">
        <f t="shared" si="117"/>
        <v>0</v>
      </c>
      <c r="M1472" s="1862">
        <f>M1471+Tabla1[[#This Row],[Desbalance
TPL]]</f>
        <v>-673433.8428743222</v>
      </c>
    </row>
    <row r="1473" spans="2:13" x14ac:dyDescent="0.25">
      <c r="B1473" s="1859">
        <f t="shared" si="118"/>
        <v>2017</v>
      </c>
      <c r="C1473" s="1859">
        <f t="shared" si="119"/>
        <v>7</v>
      </c>
      <c r="D1473" s="1860">
        <f t="shared" si="120"/>
        <v>42932</v>
      </c>
      <c r="E1473" s="1861">
        <v>42932</v>
      </c>
      <c r="F1473" s="1862"/>
      <c r="G1473" s="1862"/>
      <c r="H1473" s="1862"/>
      <c r="I1473" s="1862">
        <f>Tabla1[[#This Row],[Extraccion
Norte II]]+Tabla1[[#This Row],[Extraccion
ENO]]</f>
        <v>0</v>
      </c>
      <c r="J1473" s="1862"/>
      <c r="K1473" s="1862"/>
      <c r="L1473" s="1862">
        <f t="shared" si="117"/>
        <v>0</v>
      </c>
      <c r="M1473" s="1862">
        <f>M1472+Tabla1[[#This Row],[Desbalance
TPL]]</f>
        <v>-673433.8428743222</v>
      </c>
    </row>
    <row r="1474" spans="2:13" x14ac:dyDescent="0.25">
      <c r="B1474" s="1859">
        <f t="shared" si="118"/>
        <v>2017</v>
      </c>
      <c r="C1474" s="1859">
        <f t="shared" si="119"/>
        <v>7</v>
      </c>
      <c r="D1474" s="1860">
        <f t="shared" si="120"/>
        <v>42933</v>
      </c>
      <c r="E1474" s="1861">
        <v>42933</v>
      </c>
      <c r="F1474" s="1862"/>
      <c r="G1474" s="1862"/>
      <c r="H1474" s="1862"/>
      <c r="I1474" s="1862">
        <f>Tabla1[[#This Row],[Extraccion
Norte II]]+Tabla1[[#This Row],[Extraccion
ENO]]</f>
        <v>0</v>
      </c>
      <c r="J1474" s="1862"/>
      <c r="K1474" s="1862"/>
      <c r="L1474" s="1862">
        <f t="shared" si="117"/>
        <v>0</v>
      </c>
      <c r="M1474" s="1862">
        <f>M1473+Tabla1[[#This Row],[Desbalance
TPL]]</f>
        <v>-673433.8428743222</v>
      </c>
    </row>
    <row r="1475" spans="2:13" x14ac:dyDescent="0.25">
      <c r="B1475" s="1859">
        <f t="shared" si="118"/>
        <v>2017</v>
      </c>
      <c r="C1475" s="1859">
        <f t="shared" si="119"/>
        <v>7</v>
      </c>
      <c r="D1475" s="1860">
        <f t="shared" si="120"/>
        <v>42934</v>
      </c>
      <c r="E1475" s="1861">
        <v>42934</v>
      </c>
      <c r="F1475" s="1862"/>
      <c r="G1475" s="1862"/>
      <c r="H1475" s="1862"/>
      <c r="I1475" s="1862">
        <f>Tabla1[[#This Row],[Extraccion
Norte II]]+Tabla1[[#This Row],[Extraccion
ENO]]</f>
        <v>0</v>
      </c>
      <c r="J1475" s="1862"/>
      <c r="K1475" s="1862"/>
      <c r="L1475" s="1862">
        <f t="shared" si="117"/>
        <v>0</v>
      </c>
      <c r="M1475" s="1862">
        <f>M1474+Tabla1[[#This Row],[Desbalance
TPL]]</f>
        <v>-673433.8428743222</v>
      </c>
    </row>
    <row r="1476" spans="2:13" x14ac:dyDescent="0.25">
      <c r="B1476" s="1859">
        <f t="shared" si="118"/>
        <v>2017</v>
      </c>
      <c r="C1476" s="1859">
        <f t="shared" si="119"/>
        <v>7</v>
      </c>
      <c r="D1476" s="1860">
        <f t="shared" si="120"/>
        <v>42935</v>
      </c>
      <c r="E1476" s="1861">
        <v>42935</v>
      </c>
      <c r="F1476" s="1862"/>
      <c r="G1476" s="1862"/>
      <c r="H1476" s="1862"/>
      <c r="I1476" s="1862">
        <f>Tabla1[[#This Row],[Extraccion
Norte II]]+Tabla1[[#This Row],[Extraccion
ENO]]</f>
        <v>0</v>
      </c>
      <c r="J1476" s="1862"/>
      <c r="K1476" s="1862"/>
      <c r="L1476" s="1862">
        <f t="shared" si="117"/>
        <v>0</v>
      </c>
      <c r="M1476" s="1862">
        <f>M1475+Tabla1[[#This Row],[Desbalance
TPL]]</f>
        <v>-673433.8428743222</v>
      </c>
    </row>
    <row r="1477" spans="2:13" x14ac:dyDescent="0.25">
      <c r="B1477" s="1859">
        <f t="shared" si="118"/>
        <v>2017</v>
      </c>
      <c r="C1477" s="1859">
        <f t="shared" si="119"/>
        <v>7</v>
      </c>
      <c r="D1477" s="1860">
        <f t="shared" si="120"/>
        <v>42936</v>
      </c>
      <c r="E1477" s="1861">
        <v>42936</v>
      </c>
      <c r="F1477" s="1862"/>
      <c r="G1477" s="1862"/>
      <c r="H1477" s="1862"/>
      <c r="I1477" s="1862">
        <f>Tabla1[[#This Row],[Extraccion
Norte II]]+Tabla1[[#This Row],[Extraccion
ENO]]</f>
        <v>0</v>
      </c>
      <c r="J1477" s="1862"/>
      <c r="K1477" s="1862"/>
      <c r="L1477" s="1862">
        <f t="shared" si="117"/>
        <v>0</v>
      </c>
      <c r="M1477" s="1862">
        <f>M1476+Tabla1[[#This Row],[Desbalance
TPL]]</f>
        <v>-673433.8428743222</v>
      </c>
    </row>
    <row r="1478" spans="2:13" x14ac:dyDescent="0.25">
      <c r="B1478" s="1859">
        <f t="shared" si="118"/>
        <v>2017</v>
      </c>
      <c r="C1478" s="1859">
        <f t="shared" si="119"/>
        <v>7</v>
      </c>
      <c r="D1478" s="1860">
        <f t="shared" si="120"/>
        <v>42937</v>
      </c>
      <c r="E1478" s="1861">
        <v>42937</v>
      </c>
      <c r="F1478" s="1862"/>
      <c r="G1478" s="1862"/>
      <c r="H1478" s="1862"/>
      <c r="I1478" s="1862">
        <f>Tabla1[[#This Row],[Extraccion
Norte II]]+Tabla1[[#This Row],[Extraccion
ENO]]</f>
        <v>0</v>
      </c>
      <c r="J1478" s="1862"/>
      <c r="K1478" s="1862"/>
      <c r="L1478" s="1862">
        <f t="shared" si="117"/>
        <v>0</v>
      </c>
      <c r="M1478" s="1862">
        <f>M1477+Tabla1[[#This Row],[Desbalance
TPL]]</f>
        <v>-673433.8428743222</v>
      </c>
    </row>
    <row r="1479" spans="2:13" x14ac:dyDescent="0.25">
      <c r="B1479" s="1859">
        <f t="shared" si="118"/>
        <v>2017</v>
      </c>
      <c r="C1479" s="1859">
        <f t="shared" si="119"/>
        <v>7</v>
      </c>
      <c r="D1479" s="1860">
        <f t="shared" si="120"/>
        <v>42938</v>
      </c>
      <c r="E1479" s="1861">
        <v>42938</v>
      </c>
      <c r="F1479" s="1862"/>
      <c r="G1479" s="1862"/>
      <c r="H1479" s="1862"/>
      <c r="I1479" s="1862">
        <f>Tabla1[[#This Row],[Extraccion
Norte II]]+Tabla1[[#This Row],[Extraccion
ENO]]</f>
        <v>0</v>
      </c>
      <c r="J1479" s="1862"/>
      <c r="K1479" s="1862"/>
      <c r="L1479" s="1862">
        <f t="shared" si="117"/>
        <v>0</v>
      </c>
      <c r="M1479" s="1862">
        <f>M1478+Tabla1[[#This Row],[Desbalance
TPL]]</f>
        <v>-673433.8428743222</v>
      </c>
    </row>
    <row r="1480" spans="2:13" x14ac:dyDescent="0.25">
      <c r="B1480" s="1859">
        <f t="shared" si="118"/>
        <v>2017</v>
      </c>
      <c r="C1480" s="1859">
        <f t="shared" si="119"/>
        <v>7</v>
      </c>
      <c r="D1480" s="1860">
        <f t="shared" si="120"/>
        <v>42939</v>
      </c>
      <c r="E1480" s="1861">
        <v>42939</v>
      </c>
      <c r="F1480" s="1862"/>
      <c r="G1480" s="1862"/>
      <c r="H1480" s="1862"/>
      <c r="I1480" s="1862">
        <f>Tabla1[[#This Row],[Extraccion
Norte II]]+Tabla1[[#This Row],[Extraccion
ENO]]</f>
        <v>0</v>
      </c>
      <c r="J1480" s="1862"/>
      <c r="K1480" s="1862"/>
      <c r="L1480" s="1862">
        <f t="shared" si="117"/>
        <v>0</v>
      </c>
      <c r="M1480" s="1862">
        <f>M1479+Tabla1[[#This Row],[Desbalance
TPL]]</f>
        <v>-673433.8428743222</v>
      </c>
    </row>
    <row r="1481" spans="2:13" x14ac:dyDescent="0.25">
      <c r="B1481" s="1859">
        <f t="shared" si="118"/>
        <v>2017</v>
      </c>
      <c r="C1481" s="1859">
        <f t="shared" si="119"/>
        <v>7</v>
      </c>
      <c r="D1481" s="1860">
        <f t="shared" si="120"/>
        <v>42940</v>
      </c>
      <c r="E1481" s="1861">
        <v>42940</v>
      </c>
      <c r="F1481" s="1862"/>
      <c r="G1481" s="1862"/>
      <c r="H1481" s="1862"/>
      <c r="I1481" s="1862">
        <f>Tabla1[[#This Row],[Extraccion
Norte II]]+Tabla1[[#This Row],[Extraccion
ENO]]</f>
        <v>0</v>
      </c>
      <c r="J1481" s="1862"/>
      <c r="K1481" s="1862"/>
      <c r="L1481" s="1862">
        <f t="shared" si="117"/>
        <v>0</v>
      </c>
      <c r="M1481" s="1862">
        <f>M1480+Tabla1[[#This Row],[Desbalance
TPL]]</f>
        <v>-673433.8428743222</v>
      </c>
    </row>
    <row r="1482" spans="2:13" x14ac:dyDescent="0.25">
      <c r="B1482" s="1859">
        <f t="shared" si="118"/>
        <v>2017</v>
      </c>
      <c r="C1482" s="1859">
        <f t="shared" si="119"/>
        <v>7</v>
      </c>
      <c r="D1482" s="1860">
        <f t="shared" si="120"/>
        <v>42941</v>
      </c>
      <c r="E1482" s="1861">
        <v>42941</v>
      </c>
      <c r="F1482" s="1862"/>
      <c r="G1482" s="1862"/>
      <c r="H1482" s="1862"/>
      <c r="I1482" s="1862">
        <f>Tabla1[[#This Row],[Extraccion
Norte II]]+Tabla1[[#This Row],[Extraccion
ENO]]</f>
        <v>0</v>
      </c>
      <c r="J1482" s="1862"/>
      <c r="K1482" s="1862"/>
      <c r="L1482" s="1862">
        <f t="shared" si="117"/>
        <v>0</v>
      </c>
      <c r="M1482" s="1862">
        <f>M1481+Tabla1[[#This Row],[Desbalance
TPL]]</f>
        <v>-673433.8428743222</v>
      </c>
    </row>
    <row r="1483" spans="2:13" x14ac:dyDescent="0.25">
      <c r="B1483" s="1859">
        <f t="shared" si="118"/>
        <v>2017</v>
      </c>
      <c r="C1483" s="1859">
        <f t="shared" si="119"/>
        <v>7</v>
      </c>
      <c r="D1483" s="1860">
        <f t="shared" si="120"/>
        <v>42942</v>
      </c>
      <c r="E1483" s="1861">
        <v>42942</v>
      </c>
      <c r="F1483" s="1862"/>
      <c r="G1483" s="1862"/>
      <c r="H1483" s="1862"/>
      <c r="I1483" s="1862">
        <f>Tabla1[[#This Row],[Extraccion
Norte II]]+Tabla1[[#This Row],[Extraccion
ENO]]</f>
        <v>0</v>
      </c>
      <c r="J1483" s="1862"/>
      <c r="K1483" s="1862"/>
      <c r="L1483" s="1862">
        <f t="shared" si="117"/>
        <v>0</v>
      </c>
      <c r="M1483" s="1862">
        <f>M1482+Tabla1[[#This Row],[Desbalance
TPL]]</f>
        <v>-673433.8428743222</v>
      </c>
    </row>
    <row r="1484" spans="2:13" x14ac:dyDescent="0.25">
      <c r="B1484" s="1859">
        <f t="shared" si="118"/>
        <v>2017</v>
      </c>
      <c r="C1484" s="1859">
        <f t="shared" si="119"/>
        <v>7</v>
      </c>
      <c r="D1484" s="1860">
        <f t="shared" si="120"/>
        <v>42943</v>
      </c>
      <c r="E1484" s="1861">
        <v>42943</v>
      </c>
      <c r="F1484" s="1862"/>
      <c r="G1484" s="1862"/>
      <c r="H1484" s="1862"/>
      <c r="I1484" s="1862">
        <f>Tabla1[[#This Row],[Extraccion
Norte II]]+Tabla1[[#This Row],[Extraccion
ENO]]</f>
        <v>0</v>
      </c>
      <c r="J1484" s="1862"/>
      <c r="K1484" s="1862"/>
      <c r="L1484" s="1862">
        <f t="shared" ref="L1484:L1547" si="121">H1484-I1484</f>
        <v>0</v>
      </c>
      <c r="M1484" s="1862">
        <f>M1483+Tabla1[[#This Row],[Desbalance
TPL]]</f>
        <v>-673433.8428743222</v>
      </c>
    </row>
    <row r="1485" spans="2:13" x14ac:dyDescent="0.25">
      <c r="B1485" s="1859">
        <f t="shared" si="118"/>
        <v>2017</v>
      </c>
      <c r="C1485" s="1859">
        <f t="shared" si="119"/>
        <v>7</v>
      </c>
      <c r="D1485" s="1860">
        <f t="shared" si="120"/>
        <v>42944</v>
      </c>
      <c r="E1485" s="1861">
        <v>42944</v>
      </c>
      <c r="F1485" s="1862"/>
      <c r="G1485" s="1862"/>
      <c r="H1485" s="1862"/>
      <c r="I1485" s="1862">
        <f>Tabla1[[#This Row],[Extraccion
Norte II]]+Tabla1[[#This Row],[Extraccion
ENO]]</f>
        <v>0</v>
      </c>
      <c r="J1485" s="1862"/>
      <c r="K1485" s="1862"/>
      <c r="L1485" s="1862">
        <f t="shared" si="121"/>
        <v>0</v>
      </c>
      <c r="M1485" s="1862">
        <f>M1484+Tabla1[[#This Row],[Desbalance
TPL]]</f>
        <v>-673433.8428743222</v>
      </c>
    </row>
    <row r="1486" spans="2:13" x14ac:dyDescent="0.25">
      <c r="B1486" s="1859">
        <f t="shared" si="118"/>
        <v>2017</v>
      </c>
      <c r="C1486" s="1859">
        <f t="shared" si="119"/>
        <v>7</v>
      </c>
      <c r="D1486" s="1860">
        <f t="shared" si="120"/>
        <v>42945</v>
      </c>
      <c r="E1486" s="1861">
        <v>42945</v>
      </c>
      <c r="F1486" s="1862"/>
      <c r="G1486" s="1862"/>
      <c r="H1486" s="1862"/>
      <c r="I1486" s="1862">
        <f>Tabla1[[#This Row],[Extraccion
Norte II]]+Tabla1[[#This Row],[Extraccion
ENO]]</f>
        <v>0</v>
      </c>
      <c r="J1486" s="1862"/>
      <c r="K1486" s="1862"/>
      <c r="L1486" s="1862">
        <f t="shared" si="121"/>
        <v>0</v>
      </c>
      <c r="M1486" s="1862">
        <f>M1485+Tabla1[[#This Row],[Desbalance
TPL]]</f>
        <v>-673433.8428743222</v>
      </c>
    </row>
    <row r="1487" spans="2:13" x14ac:dyDescent="0.25">
      <c r="B1487" s="1859">
        <f t="shared" si="118"/>
        <v>2017</v>
      </c>
      <c r="C1487" s="1859">
        <f t="shared" si="119"/>
        <v>7</v>
      </c>
      <c r="D1487" s="1860">
        <f t="shared" si="120"/>
        <v>42946</v>
      </c>
      <c r="E1487" s="1861">
        <v>42946</v>
      </c>
      <c r="F1487" s="1862"/>
      <c r="G1487" s="1862"/>
      <c r="H1487" s="1862"/>
      <c r="I1487" s="1862">
        <f>Tabla1[[#This Row],[Extraccion
Norte II]]+Tabla1[[#This Row],[Extraccion
ENO]]</f>
        <v>0</v>
      </c>
      <c r="J1487" s="1862"/>
      <c r="K1487" s="1862"/>
      <c r="L1487" s="1862">
        <f t="shared" si="121"/>
        <v>0</v>
      </c>
      <c r="M1487" s="1862">
        <f>M1486+Tabla1[[#This Row],[Desbalance
TPL]]</f>
        <v>-673433.8428743222</v>
      </c>
    </row>
    <row r="1488" spans="2:13" x14ac:dyDescent="0.25">
      <c r="B1488" s="1859">
        <f t="shared" si="118"/>
        <v>2017</v>
      </c>
      <c r="C1488" s="1859">
        <f t="shared" si="119"/>
        <v>7</v>
      </c>
      <c r="D1488" s="1860">
        <f t="shared" si="120"/>
        <v>42947</v>
      </c>
      <c r="E1488" s="1861">
        <v>42947</v>
      </c>
      <c r="F1488" s="1862"/>
      <c r="G1488" s="1862"/>
      <c r="H1488" s="1862"/>
      <c r="I1488" s="1862">
        <f>Tabla1[[#This Row],[Extraccion
Norte II]]+Tabla1[[#This Row],[Extraccion
ENO]]</f>
        <v>0</v>
      </c>
      <c r="J1488" s="1862"/>
      <c r="K1488" s="1862"/>
      <c r="L1488" s="1862">
        <f t="shared" si="121"/>
        <v>0</v>
      </c>
      <c r="M1488" s="1862">
        <f>M1487+Tabla1[[#This Row],[Desbalance
TPL]]</f>
        <v>-673433.8428743222</v>
      </c>
    </row>
    <row r="1489" spans="2:13" x14ac:dyDescent="0.25">
      <c r="B1489" s="1859">
        <f t="shared" si="118"/>
        <v>2017</v>
      </c>
      <c r="C1489" s="1859">
        <f t="shared" si="119"/>
        <v>8</v>
      </c>
      <c r="D1489" s="1860">
        <f t="shared" si="120"/>
        <v>42948</v>
      </c>
      <c r="E1489" s="1861">
        <v>42948</v>
      </c>
      <c r="F1489" s="1862"/>
      <c r="G1489" s="1862"/>
      <c r="H1489" s="1862"/>
      <c r="I1489" s="1862">
        <f>Tabla1[[#This Row],[Extraccion
Norte II]]+Tabla1[[#This Row],[Extraccion
ENO]]</f>
        <v>0</v>
      </c>
      <c r="J1489" s="1862"/>
      <c r="K1489" s="1862"/>
      <c r="L1489" s="1862">
        <f t="shared" si="121"/>
        <v>0</v>
      </c>
      <c r="M1489" s="1862">
        <f>M1488+Tabla1[[#This Row],[Desbalance
TPL]]</f>
        <v>-673433.8428743222</v>
      </c>
    </row>
    <row r="1490" spans="2:13" x14ac:dyDescent="0.25">
      <c r="B1490" s="1859">
        <f t="shared" si="118"/>
        <v>2017</v>
      </c>
      <c r="C1490" s="1859">
        <f t="shared" si="119"/>
        <v>8</v>
      </c>
      <c r="D1490" s="1860">
        <f t="shared" si="120"/>
        <v>42949</v>
      </c>
      <c r="E1490" s="1861">
        <v>42949</v>
      </c>
      <c r="F1490" s="1862"/>
      <c r="G1490" s="1862"/>
      <c r="H1490" s="1862"/>
      <c r="I1490" s="1862">
        <f>Tabla1[[#This Row],[Extraccion
Norte II]]+Tabla1[[#This Row],[Extraccion
ENO]]</f>
        <v>0</v>
      </c>
      <c r="J1490" s="1862"/>
      <c r="K1490" s="1862"/>
      <c r="L1490" s="1862">
        <f t="shared" si="121"/>
        <v>0</v>
      </c>
      <c r="M1490" s="1862">
        <f>M1489+Tabla1[[#This Row],[Desbalance
TPL]]</f>
        <v>-673433.8428743222</v>
      </c>
    </row>
    <row r="1491" spans="2:13" x14ac:dyDescent="0.25">
      <c r="B1491" s="1859">
        <f t="shared" si="118"/>
        <v>2017</v>
      </c>
      <c r="C1491" s="1859">
        <f t="shared" si="119"/>
        <v>8</v>
      </c>
      <c r="D1491" s="1860">
        <f t="shared" si="120"/>
        <v>42950</v>
      </c>
      <c r="E1491" s="1861">
        <v>42950</v>
      </c>
      <c r="F1491" s="1862"/>
      <c r="G1491" s="1862"/>
      <c r="H1491" s="1862"/>
      <c r="I1491" s="1862">
        <f>Tabla1[[#This Row],[Extraccion
Norte II]]+Tabla1[[#This Row],[Extraccion
ENO]]</f>
        <v>0</v>
      </c>
      <c r="J1491" s="1862"/>
      <c r="K1491" s="1862"/>
      <c r="L1491" s="1862">
        <f t="shared" si="121"/>
        <v>0</v>
      </c>
      <c r="M1491" s="1862">
        <f>M1490+Tabla1[[#This Row],[Desbalance
TPL]]</f>
        <v>-673433.8428743222</v>
      </c>
    </row>
    <row r="1492" spans="2:13" x14ac:dyDescent="0.25">
      <c r="B1492" s="1859">
        <f t="shared" si="118"/>
        <v>2017</v>
      </c>
      <c r="C1492" s="1859">
        <f t="shared" si="119"/>
        <v>8</v>
      </c>
      <c r="D1492" s="1860">
        <f t="shared" si="120"/>
        <v>42951</v>
      </c>
      <c r="E1492" s="1861">
        <v>42951</v>
      </c>
      <c r="F1492" s="1862"/>
      <c r="G1492" s="1862"/>
      <c r="H1492" s="1862"/>
      <c r="I1492" s="1862">
        <f>Tabla1[[#This Row],[Extraccion
Norte II]]+Tabla1[[#This Row],[Extraccion
ENO]]</f>
        <v>0</v>
      </c>
      <c r="J1492" s="1862"/>
      <c r="K1492" s="1862"/>
      <c r="L1492" s="1862">
        <f t="shared" si="121"/>
        <v>0</v>
      </c>
      <c r="M1492" s="1862">
        <f>M1491+Tabla1[[#This Row],[Desbalance
TPL]]</f>
        <v>-673433.8428743222</v>
      </c>
    </row>
    <row r="1493" spans="2:13" x14ac:dyDescent="0.25">
      <c r="B1493" s="1859">
        <f t="shared" si="118"/>
        <v>2017</v>
      </c>
      <c r="C1493" s="1859">
        <f t="shared" si="119"/>
        <v>8</v>
      </c>
      <c r="D1493" s="1860">
        <f t="shared" si="120"/>
        <v>42952</v>
      </c>
      <c r="E1493" s="1861">
        <v>42952</v>
      </c>
      <c r="F1493" s="1862"/>
      <c r="G1493" s="1862"/>
      <c r="H1493" s="1862"/>
      <c r="I1493" s="1862">
        <f>Tabla1[[#This Row],[Extraccion
Norte II]]+Tabla1[[#This Row],[Extraccion
ENO]]</f>
        <v>0</v>
      </c>
      <c r="J1493" s="1862"/>
      <c r="K1493" s="1862"/>
      <c r="L1493" s="1862">
        <f t="shared" si="121"/>
        <v>0</v>
      </c>
      <c r="M1493" s="1862">
        <f>M1492+Tabla1[[#This Row],[Desbalance
TPL]]</f>
        <v>-673433.8428743222</v>
      </c>
    </row>
    <row r="1494" spans="2:13" x14ac:dyDescent="0.25">
      <c r="B1494" s="1859">
        <f t="shared" si="118"/>
        <v>2017</v>
      </c>
      <c r="C1494" s="1859">
        <f t="shared" si="119"/>
        <v>8</v>
      </c>
      <c r="D1494" s="1860">
        <f t="shared" si="120"/>
        <v>42953</v>
      </c>
      <c r="E1494" s="1861">
        <v>42953</v>
      </c>
      <c r="F1494" s="1862"/>
      <c r="G1494" s="1862"/>
      <c r="H1494" s="1862"/>
      <c r="I1494" s="1862">
        <f>Tabla1[[#This Row],[Extraccion
Norte II]]+Tabla1[[#This Row],[Extraccion
ENO]]</f>
        <v>0</v>
      </c>
      <c r="J1494" s="1862"/>
      <c r="K1494" s="1862"/>
      <c r="L1494" s="1862">
        <f t="shared" si="121"/>
        <v>0</v>
      </c>
      <c r="M1494" s="1862">
        <f>M1493+Tabla1[[#This Row],[Desbalance
TPL]]</f>
        <v>-673433.8428743222</v>
      </c>
    </row>
    <row r="1495" spans="2:13" x14ac:dyDescent="0.25">
      <c r="B1495" s="1859">
        <f t="shared" si="118"/>
        <v>2017</v>
      </c>
      <c r="C1495" s="1859">
        <f t="shared" si="119"/>
        <v>8</v>
      </c>
      <c r="D1495" s="1860">
        <f t="shared" si="120"/>
        <v>42954</v>
      </c>
      <c r="E1495" s="1861">
        <v>42954</v>
      </c>
      <c r="F1495" s="1862"/>
      <c r="G1495" s="1862"/>
      <c r="H1495" s="1862"/>
      <c r="I1495" s="1862">
        <f>Tabla1[[#This Row],[Extraccion
Norte II]]+Tabla1[[#This Row],[Extraccion
ENO]]</f>
        <v>0</v>
      </c>
      <c r="J1495" s="1862"/>
      <c r="K1495" s="1862"/>
      <c r="L1495" s="1862">
        <f t="shared" si="121"/>
        <v>0</v>
      </c>
      <c r="M1495" s="1862">
        <f>M1494+Tabla1[[#This Row],[Desbalance
TPL]]</f>
        <v>-673433.8428743222</v>
      </c>
    </row>
    <row r="1496" spans="2:13" x14ac:dyDescent="0.25">
      <c r="B1496" s="1859">
        <f t="shared" si="118"/>
        <v>2017</v>
      </c>
      <c r="C1496" s="1859">
        <f t="shared" si="119"/>
        <v>8</v>
      </c>
      <c r="D1496" s="1860">
        <f t="shared" si="120"/>
        <v>42955</v>
      </c>
      <c r="E1496" s="1861">
        <v>42955</v>
      </c>
      <c r="F1496" s="1862"/>
      <c r="G1496" s="1862"/>
      <c r="H1496" s="1862"/>
      <c r="I1496" s="1862">
        <f>Tabla1[[#This Row],[Extraccion
Norte II]]+Tabla1[[#This Row],[Extraccion
ENO]]</f>
        <v>0</v>
      </c>
      <c r="J1496" s="1862"/>
      <c r="K1496" s="1862"/>
      <c r="L1496" s="1862">
        <f t="shared" si="121"/>
        <v>0</v>
      </c>
      <c r="M1496" s="1862">
        <f>M1495+Tabla1[[#This Row],[Desbalance
TPL]]</f>
        <v>-673433.8428743222</v>
      </c>
    </row>
    <row r="1497" spans="2:13" x14ac:dyDescent="0.25">
      <c r="B1497" s="1859">
        <f t="shared" si="118"/>
        <v>2017</v>
      </c>
      <c r="C1497" s="1859">
        <f t="shared" si="119"/>
        <v>8</v>
      </c>
      <c r="D1497" s="1860">
        <f t="shared" si="120"/>
        <v>42956</v>
      </c>
      <c r="E1497" s="1861">
        <v>42956</v>
      </c>
      <c r="F1497" s="1862"/>
      <c r="G1497" s="1862"/>
      <c r="H1497" s="1862"/>
      <c r="I1497" s="1862">
        <f>Tabla1[[#This Row],[Extraccion
Norte II]]+Tabla1[[#This Row],[Extraccion
ENO]]</f>
        <v>0</v>
      </c>
      <c r="J1497" s="1862"/>
      <c r="K1497" s="1862"/>
      <c r="L1497" s="1862">
        <f t="shared" si="121"/>
        <v>0</v>
      </c>
      <c r="M1497" s="1862">
        <f>M1496+Tabla1[[#This Row],[Desbalance
TPL]]</f>
        <v>-673433.8428743222</v>
      </c>
    </row>
    <row r="1498" spans="2:13" x14ac:dyDescent="0.25">
      <c r="B1498" s="1859">
        <f t="shared" si="118"/>
        <v>2017</v>
      </c>
      <c r="C1498" s="1859">
        <f t="shared" si="119"/>
        <v>8</v>
      </c>
      <c r="D1498" s="1860">
        <f t="shared" si="120"/>
        <v>42957</v>
      </c>
      <c r="E1498" s="1861">
        <v>42957</v>
      </c>
      <c r="F1498" s="1862"/>
      <c r="G1498" s="1862"/>
      <c r="H1498" s="1862"/>
      <c r="I1498" s="1862">
        <f>Tabla1[[#This Row],[Extraccion
Norte II]]+Tabla1[[#This Row],[Extraccion
ENO]]</f>
        <v>0</v>
      </c>
      <c r="J1498" s="1862"/>
      <c r="K1498" s="1862"/>
      <c r="L1498" s="1862">
        <f t="shared" si="121"/>
        <v>0</v>
      </c>
      <c r="M1498" s="1862">
        <f>M1497+Tabla1[[#This Row],[Desbalance
TPL]]</f>
        <v>-673433.8428743222</v>
      </c>
    </row>
    <row r="1499" spans="2:13" x14ac:dyDescent="0.25">
      <c r="B1499" s="1859">
        <f t="shared" si="118"/>
        <v>2017</v>
      </c>
      <c r="C1499" s="1859">
        <f t="shared" si="119"/>
        <v>8</v>
      </c>
      <c r="D1499" s="1860">
        <f t="shared" si="120"/>
        <v>42958</v>
      </c>
      <c r="E1499" s="1861">
        <v>42958</v>
      </c>
      <c r="F1499" s="1862"/>
      <c r="G1499" s="1862"/>
      <c r="H1499" s="1862"/>
      <c r="I1499" s="1862">
        <f>Tabla1[[#This Row],[Extraccion
Norte II]]+Tabla1[[#This Row],[Extraccion
ENO]]</f>
        <v>0</v>
      </c>
      <c r="J1499" s="1862"/>
      <c r="K1499" s="1862"/>
      <c r="L1499" s="1862">
        <f t="shared" si="121"/>
        <v>0</v>
      </c>
      <c r="M1499" s="1862">
        <f>M1498+Tabla1[[#This Row],[Desbalance
TPL]]</f>
        <v>-673433.8428743222</v>
      </c>
    </row>
    <row r="1500" spans="2:13" x14ac:dyDescent="0.25">
      <c r="B1500" s="1859">
        <f t="shared" si="118"/>
        <v>2017</v>
      </c>
      <c r="C1500" s="1859">
        <f t="shared" si="119"/>
        <v>8</v>
      </c>
      <c r="D1500" s="1860">
        <f t="shared" si="120"/>
        <v>42959</v>
      </c>
      <c r="E1500" s="1861">
        <v>42959</v>
      </c>
      <c r="F1500" s="1862"/>
      <c r="G1500" s="1862"/>
      <c r="H1500" s="1862"/>
      <c r="I1500" s="1862">
        <f>Tabla1[[#This Row],[Extraccion
Norte II]]+Tabla1[[#This Row],[Extraccion
ENO]]</f>
        <v>0</v>
      </c>
      <c r="J1500" s="1862"/>
      <c r="K1500" s="1862"/>
      <c r="L1500" s="1862">
        <f t="shared" si="121"/>
        <v>0</v>
      </c>
      <c r="M1500" s="1862">
        <f>M1499+Tabla1[[#This Row],[Desbalance
TPL]]</f>
        <v>-673433.8428743222</v>
      </c>
    </row>
    <row r="1501" spans="2:13" x14ac:dyDescent="0.25">
      <c r="B1501" s="1859">
        <f t="shared" si="118"/>
        <v>2017</v>
      </c>
      <c r="C1501" s="1859">
        <f t="shared" si="119"/>
        <v>8</v>
      </c>
      <c r="D1501" s="1860">
        <f t="shared" si="120"/>
        <v>42960</v>
      </c>
      <c r="E1501" s="1861">
        <v>42960</v>
      </c>
      <c r="F1501" s="1862"/>
      <c r="G1501" s="1862"/>
      <c r="H1501" s="1862"/>
      <c r="I1501" s="1862">
        <f>Tabla1[[#This Row],[Extraccion
Norte II]]+Tabla1[[#This Row],[Extraccion
ENO]]</f>
        <v>0</v>
      </c>
      <c r="J1501" s="1862"/>
      <c r="K1501" s="1862"/>
      <c r="L1501" s="1862">
        <f t="shared" si="121"/>
        <v>0</v>
      </c>
      <c r="M1501" s="1862">
        <f>M1500+Tabla1[[#This Row],[Desbalance
TPL]]</f>
        <v>-673433.8428743222</v>
      </c>
    </row>
    <row r="1502" spans="2:13" x14ac:dyDescent="0.25">
      <c r="B1502" s="1859">
        <f t="shared" si="118"/>
        <v>2017</v>
      </c>
      <c r="C1502" s="1859">
        <f t="shared" si="119"/>
        <v>8</v>
      </c>
      <c r="D1502" s="1860">
        <f t="shared" si="120"/>
        <v>42961</v>
      </c>
      <c r="E1502" s="1861">
        <v>42961</v>
      </c>
      <c r="F1502" s="1862"/>
      <c r="G1502" s="1862"/>
      <c r="H1502" s="1862"/>
      <c r="I1502" s="1862">
        <f>Tabla1[[#This Row],[Extraccion
Norte II]]+Tabla1[[#This Row],[Extraccion
ENO]]</f>
        <v>0</v>
      </c>
      <c r="J1502" s="1862"/>
      <c r="K1502" s="1862"/>
      <c r="L1502" s="1862">
        <f t="shared" si="121"/>
        <v>0</v>
      </c>
      <c r="M1502" s="1862">
        <f>M1501+Tabla1[[#This Row],[Desbalance
TPL]]</f>
        <v>-673433.8428743222</v>
      </c>
    </row>
    <row r="1503" spans="2:13" x14ac:dyDescent="0.25">
      <c r="B1503" s="1859">
        <f t="shared" si="118"/>
        <v>2017</v>
      </c>
      <c r="C1503" s="1859">
        <f t="shared" si="119"/>
        <v>8</v>
      </c>
      <c r="D1503" s="1860">
        <f t="shared" si="120"/>
        <v>42962</v>
      </c>
      <c r="E1503" s="1861">
        <v>42962</v>
      </c>
      <c r="F1503" s="1862"/>
      <c r="G1503" s="1862"/>
      <c r="H1503" s="1862"/>
      <c r="I1503" s="1862">
        <f>Tabla1[[#This Row],[Extraccion
Norte II]]+Tabla1[[#This Row],[Extraccion
ENO]]</f>
        <v>0</v>
      </c>
      <c r="J1503" s="1862"/>
      <c r="K1503" s="1862"/>
      <c r="L1503" s="1862">
        <f t="shared" si="121"/>
        <v>0</v>
      </c>
      <c r="M1503" s="1862">
        <f>M1502+Tabla1[[#This Row],[Desbalance
TPL]]</f>
        <v>-673433.8428743222</v>
      </c>
    </row>
    <row r="1504" spans="2:13" x14ac:dyDescent="0.25">
      <c r="B1504" s="1859">
        <f t="shared" si="118"/>
        <v>2017</v>
      </c>
      <c r="C1504" s="1859">
        <f t="shared" si="119"/>
        <v>8</v>
      </c>
      <c r="D1504" s="1860">
        <f t="shared" si="120"/>
        <v>42963</v>
      </c>
      <c r="E1504" s="1861">
        <v>42963</v>
      </c>
      <c r="F1504" s="1862"/>
      <c r="G1504" s="1862"/>
      <c r="H1504" s="1862"/>
      <c r="I1504" s="1862">
        <f>Tabla1[[#This Row],[Extraccion
Norte II]]+Tabla1[[#This Row],[Extraccion
ENO]]</f>
        <v>0</v>
      </c>
      <c r="J1504" s="1862"/>
      <c r="K1504" s="1862"/>
      <c r="L1504" s="1862">
        <f t="shared" si="121"/>
        <v>0</v>
      </c>
      <c r="M1504" s="1862">
        <f>M1503+Tabla1[[#This Row],[Desbalance
TPL]]</f>
        <v>-673433.8428743222</v>
      </c>
    </row>
    <row r="1505" spans="2:13" x14ac:dyDescent="0.25">
      <c r="B1505" s="1859">
        <f t="shared" si="118"/>
        <v>2017</v>
      </c>
      <c r="C1505" s="1859">
        <f t="shared" si="119"/>
        <v>8</v>
      </c>
      <c r="D1505" s="1860">
        <f t="shared" si="120"/>
        <v>42964</v>
      </c>
      <c r="E1505" s="1861">
        <v>42964</v>
      </c>
      <c r="F1505" s="1862"/>
      <c r="G1505" s="1862"/>
      <c r="H1505" s="1862"/>
      <c r="I1505" s="1862">
        <f>Tabla1[[#This Row],[Extraccion
Norte II]]+Tabla1[[#This Row],[Extraccion
ENO]]</f>
        <v>0</v>
      </c>
      <c r="J1505" s="1862"/>
      <c r="K1505" s="1862"/>
      <c r="L1505" s="1862">
        <f t="shared" si="121"/>
        <v>0</v>
      </c>
      <c r="M1505" s="1862">
        <f>M1504+Tabla1[[#This Row],[Desbalance
TPL]]</f>
        <v>-673433.8428743222</v>
      </c>
    </row>
    <row r="1506" spans="2:13" x14ac:dyDescent="0.25">
      <c r="B1506" s="1859">
        <f t="shared" si="118"/>
        <v>2017</v>
      </c>
      <c r="C1506" s="1859">
        <f t="shared" si="119"/>
        <v>8</v>
      </c>
      <c r="D1506" s="1860">
        <f t="shared" si="120"/>
        <v>42965</v>
      </c>
      <c r="E1506" s="1861">
        <v>42965</v>
      </c>
      <c r="F1506" s="1862"/>
      <c r="G1506" s="1862"/>
      <c r="H1506" s="1862"/>
      <c r="I1506" s="1862">
        <f>Tabla1[[#This Row],[Extraccion
Norte II]]+Tabla1[[#This Row],[Extraccion
ENO]]</f>
        <v>0</v>
      </c>
      <c r="J1506" s="1862"/>
      <c r="K1506" s="1862"/>
      <c r="L1506" s="1862">
        <f t="shared" si="121"/>
        <v>0</v>
      </c>
      <c r="M1506" s="1862">
        <f>M1505+Tabla1[[#This Row],[Desbalance
TPL]]</f>
        <v>-673433.8428743222</v>
      </c>
    </row>
    <row r="1507" spans="2:13" x14ac:dyDescent="0.25">
      <c r="B1507" s="1859">
        <f t="shared" si="118"/>
        <v>2017</v>
      </c>
      <c r="C1507" s="1859">
        <f t="shared" si="119"/>
        <v>8</v>
      </c>
      <c r="D1507" s="1860">
        <f t="shared" si="120"/>
        <v>42966</v>
      </c>
      <c r="E1507" s="1861">
        <v>42966</v>
      </c>
      <c r="F1507" s="1862"/>
      <c r="G1507" s="1862"/>
      <c r="H1507" s="1862"/>
      <c r="I1507" s="1862">
        <f>Tabla1[[#This Row],[Extraccion
Norte II]]+Tabla1[[#This Row],[Extraccion
ENO]]</f>
        <v>0</v>
      </c>
      <c r="J1507" s="1862"/>
      <c r="K1507" s="1862"/>
      <c r="L1507" s="1862">
        <f t="shared" si="121"/>
        <v>0</v>
      </c>
      <c r="M1507" s="1862">
        <f>M1506+Tabla1[[#This Row],[Desbalance
TPL]]</f>
        <v>-673433.8428743222</v>
      </c>
    </row>
    <row r="1508" spans="2:13" x14ac:dyDescent="0.25">
      <c r="B1508" s="1859">
        <f t="shared" si="118"/>
        <v>2017</v>
      </c>
      <c r="C1508" s="1859">
        <f t="shared" si="119"/>
        <v>8</v>
      </c>
      <c r="D1508" s="1860">
        <f t="shared" si="120"/>
        <v>42967</v>
      </c>
      <c r="E1508" s="1861">
        <v>42967</v>
      </c>
      <c r="F1508" s="1862"/>
      <c r="G1508" s="1862"/>
      <c r="H1508" s="1862"/>
      <c r="I1508" s="1862">
        <f>Tabla1[[#This Row],[Extraccion
Norte II]]+Tabla1[[#This Row],[Extraccion
ENO]]</f>
        <v>0</v>
      </c>
      <c r="J1508" s="1862"/>
      <c r="K1508" s="1862"/>
      <c r="L1508" s="1862">
        <f t="shared" si="121"/>
        <v>0</v>
      </c>
      <c r="M1508" s="1862">
        <f>M1507+Tabla1[[#This Row],[Desbalance
TPL]]</f>
        <v>-673433.8428743222</v>
      </c>
    </row>
    <row r="1509" spans="2:13" x14ac:dyDescent="0.25">
      <c r="B1509" s="1859">
        <f t="shared" si="118"/>
        <v>2017</v>
      </c>
      <c r="C1509" s="1859">
        <f t="shared" si="119"/>
        <v>8</v>
      </c>
      <c r="D1509" s="1860">
        <f t="shared" si="120"/>
        <v>42968</v>
      </c>
      <c r="E1509" s="1861">
        <v>42968</v>
      </c>
      <c r="F1509" s="1862"/>
      <c r="G1509" s="1862"/>
      <c r="H1509" s="1862"/>
      <c r="I1509" s="1862">
        <f>Tabla1[[#This Row],[Extraccion
Norte II]]+Tabla1[[#This Row],[Extraccion
ENO]]</f>
        <v>0</v>
      </c>
      <c r="J1509" s="1862"/>
      <c r="K1509" s="1862"/>
      <c r="L1509" s="1862">
        <f t="shared" si="121"/>
        <v>0</v>
      </c>
      <c r="M1509" s="1862">
        <f>M1508+Tabla1[[#This Row],[Desbalance
TPL]]</f>
        <v>-673433.8428743222</v>
      </c>
    </row>
    <row r="1510" spans="2:13" x14ac:dyDescent="0.25">
      <c r="B1510" s="1859">
        <f t="shared" si="118"/>
        <v>2017</v>
      </c>
      <c r="C1510" s="1859">
        <f t="shared" si="119"/>
        <v>8</v>
      </c>
      <c r="D1510" s="1860">
        <f t="shared" si="120"/>
        <v>42969</v>
      </c>
      <c r="E1510" s="1861">
        <v>42969</v>
      </c>
      <c r="F1510" s="1862"/>
      <c r="G1510" s="1862"/>
      <c r="H1510" s="1862"/>
      <c r="I1510" s="1862">
        <f>Tabla1[[#This Row],[Extraccion
Norte II]]+Tabla1[[#This Row],[Extraccion
ENO]]</f>
        <v>0</v>
      </c>
      <c r="J1510" s="1862"/>
      <c r="K1510" s="1862"/>
      <c r="L1510" s="1862">
        <f t="shared" si="121"/>
        <v>0</v>
      </c>
      <c r="M1510" s="1862">
        <f>M1509+Tabla1[[#This Row],[Desbalance
TPL]]</f>
        <v>-673433.8428743222</v>
      </c>
    </row>
    <row r="1511" spans="2:13" x14ac:dyDescent="0.25">
      <c r="B1511" s="1859">
        <f t="shared" si="118"/>
        <v>2017</v>
      </c>
      <c r="C1511" s="1859">
        <f t="shared" si="119"/>
        <v>8</v>
      </c>
      <c r="D1511" s="1860">
        <f t="shared" si="120"/>
        <v>42970</v>
      </c>
      <c r="E1511" s="1861">
        <v>42970</v>
      </c>
      <c r="F1511" s="1862"/>
      <c r="G1511" s="1862"/>
      <c r="H1511" s="1862"/>
      <c r="I1511" s="1862">
        <f>Tabla1[[#This Row],[Extraccion
Norte II]]+Tabla1[[#This Row],[Extraccion
ENO]]</f>
        <v>0</v>
      </c>
      <c r="J1511" s="1862"/>
      <c r="K1511" s="1862"/>
      <c r="L1511" s="1862">
        <f t="shared" si="121"/>
        <v>0</v>
      </c>
      <c r="M1511" s="1862">
        <f>M1510+Tabla1[[#This Row],[Desbalance
TPL]]</f>
        <v>-673433.8428743222</v>
      </c>
    </row>
    <row r="1512" spans="2:13" x14ac:dyDescent="0.25">
      <c r="B1512" s="1859">
        <f t="shared" si="118"/>
        <v>2017</v>
      </c>
      <c r="C1512" s="1859">
        <f t="shared" si="119"/>
        <v>8</v>
      </c>
      <c r="D1512" s="1860">
        <f t="shared" si="120"/>
        <v>42971</v>
      </c>
      <c r="E1512" s="1861">
        <v>42971</v>
      </c>
      <c r="F1512" s="1862"/>
      <c r="G1512" s="1862"/>
      <c r="H1512" s="1862"/>
      <c r="I1512" s="1862">
        <f>Tabla1[[#This Row],[Extraccion
Norte II]]+Tabla1[[#This Row],[Extraccion
ENO]]</f>
        <v>0</v>
      </c>
      <c r="J1512" s="1862"/>
      <c r="K1512" s="1862"/>
      <c r="L1512" s="1862">
        <f t="shared" si="121"/>
        <v>0</v>
      </c>
      <c r="M1512" s="1862">
        <f>M1511+Tabla1[[#This Row],[Desbalance
TPL]]</f>
        <v>-673433.8428743222</v>
      </c>
    </row>
    <row r="1513" spans="2:13" x14ac:dyDescent="0.25">
      <c r="B1513" s="1859">
        <f t="shared" si="118"/>
        <v>2017</v>
      </c>
      <c r="C1513" s="1859">
        <f t="shared" si="119"/>
        <v>8</v>
      </c>
      <c r="D1513" s="1860">
        <f t="shared" si="120"/>
        <v>42972</v>
      </c>
      <c r="E1513" s="1861">
        <v>42972</v>
      </c>
      <c r="F1513" s="1862"/>
      <c r="G1513" s="1862"/>
      <c r="H1513" s="1862"/>
      <c r="I1513" s="1862">
        <f>Tabla1[[#This Row],[Extraccion
Norte II]]+Tabla1[[#This Row],[Extraccion
ENO]]</f>
        <v>0</v>
      </c>
      <c r="J1513" s="1862"/>
      <c r="K1513" s="1862"/>
      <c r="L1513" s="1862">
        <f t="shared" si="121"/>
        <v>0</v>
      </c>
      <c r="M1513" s="1862">
        <f>M1512+Tabla1[[#This Row],[Desbalance
TPL]]</f>
        <v>-673433.8428743222</v>
      </c>
    </row>
    <row r="1514" spans="2:13" x14ac:dyDescent="0.25">
      <c r="B1514" s="1859">
        <f t="shared" si="118"/>
        <v>2017</v>
      </c>
      <c r="C1514" s="1859">
        <f t="shared" si="119"/>
        <v>8</v>
      </c>
      <c r="D1514" s="1860">
        <f t="shared" si="120"/>
        <v>42973</v>
      </c>
      <c r="E1514" s="1861">
        <v>42973</v>
      </c>
      <c r="F1514" s="1862"/>
      <c r="G1514" s="1862"/>
      <c r="H1514" s="1862"/>
      <c r="I1514" s="1862">
        <f>Tabla1[[#This Row],[Extraccion
Norte II]]+Tabla1[[#This Row],[Extraccion
ENO]]</f>
        <v>0</v>
      </c>
      <c r="J1514" s="1862"/>
      <c r="K1514" s="1862"/>
      <c r="L1514" s="1862">
        <f t="shared" si="121"/>
        <v>0</v>
      </c>
      <c r="M1514" s="1862">
        <f>M1513+Tabla1[[#This Row],[Desbalance
TPL]]</f>
        <v>-673433.8428743222</v>
      </c>
    </row>
    <row r="1515" spans="2:13" x14ac:dyDescent="0.25">
      <c r="B1515" s="1859">
        <f t="shared" si="118"/>
        <v>2017</v>
      </c>
      <c r="C1515" s="1859">
        <f t="shared" si="119"/>
        <v>8</v>
      </c>
      <c r="D1515" s="1860">
        <f t="shared" si="120"/>
        <v>42974</v>
      </c>
      <c r="E1515" s="1861">
        <v>42974</v>
      </c>
      <c r="F1515" s="1862"/>
      <c r="G1515" s="1862"/>
      <c r="H1515" s="1862"/>
      <c r="I1515" s="1862">
        <f>Tabla1[[#This Row],[Extraccion
Norte II]]+Tabla1[[#This Row],[Extraccion
ENO]]</f>
        <v>0</v>
      </c>
      <c r="J1515" s="1862"/>
      <c r="K1515" s="1862"/>
      <c r="L1515" s="1862">
        <f t="shared" si="121"/>
        <v>0</v>
      </c>
      <c r="M1515" s="1862">
        <f>M1514+Tabla1[[#This Row],[Desbalance
TPL]]</f>
        <v>-673433.8428743222</v>
      </c>
    </row>
    <row r="1516" spans="2:13" x14ac:dyDescent="0.25">
      <c r="B1516" s="1859">
        <f t="shared" si="118"/>
        <v>2017</v>
      </c>
      <c r="C1516" s="1859">
        <f t="shared" si="119"/>
        <v>8</v>
      </c>
      <c r="D1516" s="1860">
        <f t="shared" si="120"/>
        <v>42975</v>
      </c>
      <c r="E1516" s="1861">
        <v>42975</v>
      </c>
      <c r="F1516" s="1862"/>
      <c r="G1516" s="1862"/>
      <c r="H1516" s="1862"/>
      <c r="I1516" s="1862">
        <f>Tabla1[[#This Row],[Extraccion
Norte II]]+Tabla1[[#This Row],[Extraccion
ENO]]</f>
        <v>0</v>
      </c>
      <c r="J1516" s="1862"/>
      <c r="K1516" s="1862"/>
      <c r="L1516" s="1862">
        <f t="shared" si="121"/>
        <v>0</v>
      </c>
      <c r="M1516" s="1862">
        <f>M1515+Tabla1[[#This Row],[Desbalance
TPL]]</f>
        <v>-673433.8428743222</v>
      </c>
    </row>
    <row r="1517" spans="2:13" x14ac:dyDescent="0.25">
      <c r="B1517" s="1859">
        <f t="shared" si="118"/>
        <v>2017</v>
      </c>
      <c r="C1517" s="1859">
        <f t="shared" si="119"/>
        <v>8</v>
      </c>
      <c r="D1517" s="1860">
        <f t="shared" si="120"/>
        <v>42976</v>
      </c>
      <c r="E1517" s="1861">
        <v>42976</v>
      </c>
      <c r="F1517" s="1862"/>
      <c r="G1517" s="1862"/>
      <c r="H1517" s="1862"/>
      <c r="I1517" s="1862">
        <f>Tabla1[[#This Row],[Extraccion
Norte II]]+Tabla1[[#This Row],[Extraccion
ENO]]</f>
        <v>0</v>
      </c>
      <c r="J1517" s="1862"/>
      <c r="K1517" s="1862"/>
      <c r="L1517" s="1862">
        <f t="shared" si="121"/>
        <v>0</v>
      </c>
      <c r="M1517" s="1862">
        <f>M1516+Tabla1[[#This Row],[Desbalance
TPL]]</f>
        <v>-673433.8428743222</v>
      </c>
    </row>
    <row r="1518" spans="2:13" x14ac:dyDescent="0.25">
      <c r="B1518" s="1859">
        <f t="shared" si="118"/>
        <v>2017</v>
      </c>
      <c r="C1518" s="1859">
        <f t="shared" si="119"/>
        <v>8</v>
      </c>
      <c r="D1518" s="1860">
        <f t="shared" si="120"/>
        <v>42977</v>
      </c>
      <c r="E1518" s="1861">
        <v>42977</v>
      </c>
      <c r="F1518" s="1862"/>
      <c r="G1518" s="1862"/>
      <c r="H1518" s="1862"/>
      <c r="I1518" s="1862">
        <f>Tabla1[[#This Row],[Extraccion
Norte II]]+Tabla1[[#This Row],[Extraccion
ENO]]</f>
        <v>0</v>
      </c>
      <c r="J1518" s="1862"/>
      <c r="K1518" s="1862"/>
      <c r="L1518" s="1862">
        <f t="shared" si="121"/>
        <v>0</v>
      </c>
      <c r="M1518" s="1862">
        <f>M1517+Tabla1[[#This Row],[Desbalance
TPL]]</f>
        <v>-673433.8428743222</v>
      </c>
    </row>
    <row r="1519" spans="2:13" x14ac:dyDescent="0.25">
      <c r="B1519" s="1859">
        <f t="shared" si="118"/>
        <v>2017</v>
      </c>
      <c r="C1519" s="1859">
        <f t="shared" si="119"/>
        <v>8</v>
      </c>
      <c r="D1519" s="1860">
        <f t="shared" si="120"/>
        <v>42978</v>
      </c>
      <c r="E1519" s="1861">
        <v>42978</v>
      </c>
      <c r="F1519" s="1862"/>
      <c r="G1519" s="1862"/>
      <c r="H1519" s="1862"/>
      <c r="I1519" s="1862">
        <f>Tabla1[[#This Row],[Extraccion
Norte II]]+Tabla1[[#This Row],[Extraccion
ENO]]</f>
        <v>0</v>
      </c>
      <c r="J1519" s="1862"/>
      <c r="K1519" s="1862"/>
      <c r="L1519" s="1862">
        <f t="shared" si="121"/>
        <v>0</v>
      </c>
      <c r="M1519" s="1862">
        <f>M1518+Tabla1[[#This Row],[Desbalance
TPL]]</f>
        <v>-673433.8428743222</v>
      </c>
    </row>
    <row r="1520" spans="2:13" x14ac:dyDescent="0.25">
      <c r="B1520" s="1859">
        <f t="shared" si="118"/>
        <v>2017</v>
      </c>
      <c r="C1520" s="1859">
        <f t="shared" si="119"/>
        <v>9</v>
      </c>
      <c r="D1520" s="1860">
        <f t="shared" si="120"/>
        <v>42979</v>
      </c>
      <c r="E1520" s="1861">
        <v>42979</v>
      </c>
      <c r="F1520" s="1862"/>
      <c r="G1520" s="1862"/>
      <c r="H1520" s="1862"/>
      <c r="I1520" s="1862">
        <f>Tabla1[[#This Row],[Extraccion
Norte II]]+Tabla1[[#This Row],[Extraccion
ENO]]</f>
        <v>0</v>
      </c>
      <c r="J1520" s="1862"/>
      <c r="K1520" s="1862"/>
      <c r="L1520" s="1862">
        <f t="shared" si="121"/>
        <v>0</v>
      </c>
      <c r="M1520" s="1862">
        <f>M1519+Tabla1[[#This Row],[Desbalance
TPL]]</f>
        <v>-673433.8428743222</v>
      </c>
    </row>
    <row r="1521" spans="2:13" x14ac:dyDescent="0.25">
      <c r="B1521" s="1859">
        <f t="shared" si="118"/>
        <v>2017</v>
      </c>
      <c r="C1521" s="1859">
        <f t="shared" si="119"/>
        <v>9</v>
      </c>
      <c r="D1521" s="1860">
        <f t="shared" si="120"/>
        <v>42980</v>
      </c>
      <c r="E1521" s="1861">
        <v>42980</v>
      </c>
      <c r="F1521" s="1862"/>
      <c r="G1521" s="1862"/>
      <c r="H1521" s="1862"/>
      <c r="I1521" s="1862">
        <f>Tabla1[[#This Row],[Extraccion
Norte II]]+Tabla1[[#This Row],[Extraccion
ENO]]</f>
        <v>0</v>
      </c>
      <c r="J1521" s="1862"/>
      <c r="K1521" s="1862"/>
      <c r="L1521" s="1862">
        <f t="shared" si="121"/>
        <v>0</v>
      </c>
      <c r="M1521" s="1862">
        <f>M1520+Tabla1[[#This Row],[Desbalance
TPL]]</f>
        <v>-673433.8428743222</v>
      </c>
    </row>
    <row r="1522" spans="2:13" x14ac:dyDescent="0.25">
      <c r="B1522" s="1859">
        <f t="shared" si="118"/>
        <v>2017</v>
      </c>
      <c r="C1522" s="1859">
        <f t="shared" si="119"/>
        <v>9</v>
      </c>
      <c r="D1522" s="1860">
        <f t="shared" si="120"/>
        <v>42981</v>
      </c>
      <c r="E1522" s="1861">
        <v>42981</v>
      </c>
      <c r="F1522" s="1862"/>
      <c r="G1522" s="1862"/>
      <c r="H1522" s="1862"/>
      <c r="I1522" s="1862">
        <f>Tabla1[[#This Row],[Extraccion
Norte II]]+Tabla1[[#This Row],[Extraccion
ENO]]</f>
        <v>0</v>
      </c>
      <c r="J1522" s="1862"/>
      <c r="K1522" s="1862"/>
      <c r="L1522" s="1862">
        <f t="shared" si="121"/>
        <v>0</v>
      </c>
      <c r="M1522" s="1862">
        <f>M1521+Tabla1[[#This Row],[Desbalance
TPL]]</f>
        <v>-673433.8428743222</v>
      </c>
    </row>
    <row r="1523" spans="2:13" x14ac:dyDescent="0.25">
      <c r="B1523" s="1859">
        <f t="shared" ref="B1523:B1586" si="122">YEAR(E1523)</f>
        <v>2017</v>
      </c>
      <c r="C1523" s="1859">
        <f t="shared" ref="C1523:C1586" si="123">MONTH(E1523)</f>
        <v>9</v>
      </c>
      <c r="D1523" s="1860">
        <f t="shared" ref="D1523:D1586" si="124">E1523</f>
        <v>42982</v>
      </c>
      <c r="E1523" s="1861">
        <v>42982</v>
      </c>
      <c r="F1523" s="1862"/>
      <c r="G1523" s="1862"/>
      <c r="H1523" s="1862"/>
      <c r="I1523" s="1862">
        <f>Tabla1[[#This Row],[Extraccion
Norte II]]+Tabla1[[#This Row],[Extraccion
ENO]]</f>
        <v>0</v>
      </c>
      <c r="J1523" s="1862"/>
      <c r="K1523" s="1862"/>
      <c r="L1523" s="1862">
        <f t="shared" si="121"/>
        <v>0</v>
      </c>
      <c r="M1523" s="1862">
        <f>M1522+Tabla1[[#This Row],[Desbalance
TPL]]</f>
        <v>-673433.8428743222</v>
      </c>
    </row>
    <row r="1524" spans="2:13" x14ac:dyDescent="0.25">
      <c r="B1524" s="1859">
        <f t="shared" si="122"/>
        <v>2017</v>
      </c>
      <c r="C1524" s="1859">
        <f t="shared" si="123"/>
        <v>9</v>
      </c>
      <c r="D1524" s="1860">
        <f t="shared" si="124"/>
        <v>42983</v>
      </c>
      <c r="E1524" s="1861">
        <v>42983</v>
      </c>
      <c r="F1524" s="1862"/>
      <c r="G1524" s="1862"/>
      <c r="H1524" s="1862"/>
      <c r="I1524" s="1862">
        <f>Tabla1[[#This Row],[Extraccion
Norte II]]+Tabla1[[#This Row],[Extraccion
ENO]]</f>
        <v>0</v>
      </c>
      <c r="J1524" s="1862"/>
      <c r="K1524" s="1862"/>
      <c r="L1524" s="1862">
        <f t="shared" si="121"/>
        <v>0</v>
      </c>
      <c r="M1524" s="1862">
        <f>M1523+Tabla1[[#This Row],[Desbalance
TPL]]</f>
        <v>-673433.8428743222</v>
      </c>
    </row>
    <row r="1525" spans="2:13" x14ac:dyDescent="0.25">
      <c r="B1525" s="1859">
        <f t="shared" si="122"/>
        <v>2017</v>
      </c>
      <c r="C1525" s="1859">
        <f t="shared" si="123"/>
        <v>9</v>
      </c>
      <c r="D1525" s="1860">
        <f t="shared" si="124"/>
        <v>42984</v>
      </c>
      <c r="E1525" s="1861">
        <v>42984</v>
      </c>
      <c r="F1525" s="1862"/>
      <c r="G1525" s="1862"/>
      <c r="H1525" s="1862"/>
      <c r="I1525" s="1862">
        <f>Tabla1[[#This Row],[Extraccion
Norte II]]+Tabla1[[#This Row],[Extraccion
ENO]]</f>
        <v>0</v>
      </c>
      <c r="J1525" s="1862"/>
      <c r="K1525" s="1862"/>
      <c r="L1525" s="1862">
        <f t="shared" si="121"/>
        <v>0</v>
      </c>
      <c r="M1525" s="1862">
        <f>M1524+Tabla1[[#This Row],[Desbalance
TPL]]</f>
        <v>-673433.8428743222</v>
      </c>
    </row>
    <row r="1526" spans="2:13" x14ac:dyDescent="0.25">
      <c r="B1526" s="1859">
        <f t="shared" si="122"/>
        <v>2017</v>
      </c>
      <c r="C1526" s="1859">
        <f t="shared" si="123"/>
        <v>9</v>
      </c>
      <c r="D1526" s="1860">
        <f t="shared" si="124"/>
        <v>42985</v>
      </c>
      <c r="E1526" s="1861">
        <v>42985</v>
      </c>
      <c r="F1526" s="1862"/>
      <c r="G1526" s="1862"/>
      <c r="H1526" s="1862"/>
      <c r="I1526" s="1862">
        <f>Tabla1[[#This Row],[Extraccion
Norte II]]+Tabla1[[#This Row],[Extraccion
ENO]]</f>
        <v>0</v>
      </c>
      <c r="J1526" s="1862"/>
      <c r="K1526" s="1862"/>
      <c r="L1526" s="1862">
        <f t="shared" si="121"/>
        <v>0</v>
      </c>
      <c r="M1526" s="1862">
        <f>M1525+Tabla1[[#This Row],[Desbalance
TPL]]</f>
        <v>-673433.8428743222</v>
      </c>
    </row>
    <row r="1527" spans="2:13" x14ac:dyDescent="0.25">
      <c r="B1527" s="1859">
        <f t="shared" si="122"/>
        <v>2017</v>
      </c>
      <c r="C1527" s="1859">
        <f t="shared" si="123"/>
        <v>9</v>
      </c>
      <c r="D1527" s="1860">
        <f t="shared" si="124"/>
        <v>42986</v>
      </c>
      <c r="E1527" s="1861">
        <v>42986</v>
      </c>
      <c r="F1527" s="1862"/>
      <c r="G1527" s="1862"/>
      <c r="H1527" s="1862"/>
      <c r="I1527" s="1862">
        <f>Tabla1[[#This Row],[Extraccion
Norte II]]+Tabla1[[#This Row],[Extraccion
ENO]]</f>
        <v>0</v>
      </c>
      <c r="J1527" s="1862"/>
      <c r="K1527" s="1862"/>
      <c r="L1527" s="1862">
        <f t="shared" si="121"/>
        <v>0</v>
      </c>
      <c r="M1527" s="1862">
        <f>M1526+Tabla1[[#This Row],[Desbalance
TPL]]</f>
        <v>-673433.8428743222</v>
      </c>
    </row>
    <row r="1528" spans="2:13" x14ac:dyDescent="0.25">
      <c r="B1528" s="1859">
        <f t="shared" si="122"/>
        <v>2017</v>
      </c>
      <c r="C1528" s="1859">
        <f t="shared" si="123"/>
        <v>9</v>
      </c>
      <c r="D1528" s="1860">
        <f t="shared" si="124"/>
        <v>42987</v>
      </c>
      <c r="E1528" s="1861">
        <v>42987</v>
      </c>
      <c r="F1528" s="1862"/>
      <c r="G1528" s="1862"/>
      <c r="H1528" s="1862"/>
      <c r="I1528" s="1862">
        <f>Tabla1[[#This Row],[Extraccion
Norte II]]+Tabla1[[#This Row],[Extraccion
ENO]]</f>
        <v>0</v>
      </c>
      <c r="J1528" s="1862"/>
      <c r="K1528" s="1862"/>
      <c r="L1528" s="1862">
        <f t="shared" si="121"/>
        <v>0</v>
      </c>
      <c r="M1528" s="1862">
        <f>M1527+Tabla1[[#This Row],[Desbalance
TPL]]</f>
        <v>-673433.8428743222</v>
      </c>
    </row>
    <row r="1529" spans="2:13" x14ac:dyDescent="0.25">
      <c r="B1529" s="1859">
        <f t="shared" si="122"/>
        <v>2017</v>
      </c>
      <c r="C1529" s="1859">
        <f t="shared" si="123"/>
        <v>9</v>
      </c>
      <c r="D1529" s="1860">
        <f t="shared" si="124"/>
        <v>42988</v>
      </c>
      <c r="E1529" s="1861">
        <v>42988</v>
      </c>
      <c r="F1529" s="1862"/>
      <c r="G1529" s="1862"/>
      <c r="H1529" s="1862"/>
      <c r="I1529" s="1862">
        <f>Tabla1[[#This Row],[Extraccion
Norte II]]+Tabla1[[#This Row],[Extraccion
ENO]]</f>
        <v>0</v>
      </c>
      <c r="J1529" s="1862"/>
      <c r="K1529" s="1862"/>
      <c r="L1529" s="1862">
        <f t="shared" si="121"/>
        <v>0</v>
      </c>
      <c r="M1529" s="1862">
        <f>M1528+Tabla1[[#This Row],[Desbalance
TPL]]</f>
        <v>-673433.8428743222</v>
      </c>
    </row>
    <row r="1530" spans="2:13" x14ac:dyDescent="0.25">
      <c r="B1530" s="1859">
        <f t="shared" si="122"/>
        <v>2017</v>
      </c>
      <c r="C1530" s="1859">
        <f t="shared" si="123"/>
        <v>9</v>
      </c>
      <c r="D1530" s="1860">
        <f t="shared" si="124"/>
        <v>42989</v>
      </c>
      <c r="E1530" s="1861">
        <v>42989</v>
      </c>
      <c r="F1530" s="1862"/>
      <c r="G1530" s="1862"/>
      <c r="H1530" s="1862"/>
      <c r="I1530" s="1862">
        <f>Tabla1[[#This Row],[Extraccion
Norte II]]+Tabla1[[#This Row],[Extraccion
ENO]]</f>
        <v>0</v>
      </c>
      <c r="J1530" s="1862"/>
      <c r="K1530" s="1862"/>
      <c r="L1530" s="1862">
        <f t="shared" si="121"/>
        <v>0</v>
      </c>
      <c r="M1530" s="1862">
        <f>M1529+Tabla1[[#This Row],[Desbalance
TPL]]</f>
        <v>-673433.8428743222</v>
      </c>
    </row>
    <row r="1531" spans="2:13" x14ac:dyDescent="0.25">
      <c r="B1531" s="1859">
        <f t="shared" si="122"/>
        <v>2017</v>
      </c>
      <c r="C1531" s="1859">
        <f t="shared" si="123"/>
        <v>9</v>
      </c>
      <c r="D1531" s="1860">
        <f t="shared" si="124"/>
        <v>42990</v>
      </c>
      <c r="E1531" s="1861">
        <v>42990</v>
      </c>
      <c r="F1531" s="1862"/>
      <c r="G1531" s="1862"/>
      <c r="H1531" s="1862"/>
      <c r="I1531" s="1862">
        <f>Tabla1[[#This Row],[Extraccion
Norte II]]+Tabla1[[#This Row],[Extraccion
ENO]]</f>
        <v>0</v>
      </c>
      <c r="J1531" s="1862"/>
      <c r="K1531" s="1862"/>
      <c r="L1531" s="1862">
        <f t="shared" si="121"/>
        <v>0</v>
      </c>
      <c r="M1531" s="1862">
        <f>M1530+Tabla1[[#This Row],[Desbalance
TPL]]</f>
        <v>-673433.8428743222</v>
      </c>
    </row>
    <row r="1532" spans="2:13" x14ac:dyDescent="0.25">
      <c r="B1532" s="1859">
        <f t="shared" si="122"/>
        <v>2017</v>
      </c>
      <c r="C1532" s="1859">
        <f t="shared" si="123"/>
        <v>9</v>
      </c>
      <c r="D1532" s="1860">
        <f t="shared" si="124"/>
        <v>42991</v>
      </c>
      <c r="E1532" s="1861">
        <v>42991</v>
      </c>
      <c r="F1532" s="1862"/>
      <c r="G1532" s="1862"/>
      <c r="H1532" s="1862"/>
      <c r="I1532" s="1862">
        <f>Tabla1[[#This Row],[Extraccion
Norte II]]+Tabla1[[#This Row],[Extraccion
ENO]]</f>
        <v>0</v>
      </c>
      <c r="J1532" s="1862"/>
      <c r="K1532" s="1862"/>
      <c r="L1532" s="1862">
        <f t="shared" si="121"/>
        <v>0</v>
      </c>
      <c r="M1532" s="1862">
        <f>M1531+Tabla1[[#This Row],[Desbalance
TPL]]</f>
        <v>-673433.8428743222</v>
      </c>
    </row>
    <row r="1533" spans="2:13" x14ac:dyDescent="0.25">
      <c r="B1533" s="1859">
        <f t="shared" si="122"/>
        <v>2017</v>
      </c>
      <c r="C1533" s="1859">
        <f t="shared" si="123"/>
        <v>9</v>
      </c>
      <c r="D1533" s="1860">
        <f t="shared" si="124"/>
        <v>42992</v>
      </c>
      <c r="E1533" s="1861">
        <v>42992</v>
      </c>
      <c r="F1533" s="1862"/>
      <c r="G1533" s="1862"/>
      <c r="H1533" s="1862"/>
      <c r="I1533" s="1862">
        <f>Tabla1[[#This Row],[Extraccion
Norte II]]+Tabla1[[#This Row],[Extraccion
ENO]]</f>
        <v>0</v>
      </c>
      <c r="J1533" s="1862"/>
      <c r="K1533" s="1862"/>
      <c r="L1533" s="1862">
        <f t="shared" si="121"/>
        <v>0</v>
      </c>
      <c r="M1533" s="1862">
        <f>M1532+Tabla1[[#This Row],[Desbalance
TPL]]</f>
        <v>-673433.8428743222</v>
      </c>
    </row>
    <row r="1534" spans="2:13" x14ac:dyDescent="0.25">
      <c r="B1534" s="1859">
        <f t="shared" si="122"/>
        <v>2017</v>
      </c>
      <c r="C1534" s="1859">
        <f t="shared" si="123"/>
        <v>9</v>
      </c>
      <c r="D1534" s="1860">
        <f t="shared" si="124"/>
        <v>42993</v>
      </c>
      <c r="E1534" s="1861">
        <v>42993</v>
      </c>
      <c r="F1534" s="1862"/>
      <c r="G1534" s="1862"/>
      <c r="H1534" s="1862"/>
      <c r="I1534" s="1862">
        <f>Tabla1[[#This Row],[Extraccion
Norte II]]+Tabla1[[#This Row],[Extraccion
ENO]]</f>
        <v>0</v>
      </c>
      <c r="J1534" s="1862"/>
      <c r="K1534" s="1862"/>
      <c r="L1534" s="1862">
        <f t="shared" si="121"/>
        <v>0</v>
      </c>
      <c r="M1534" s="1862">
        <f>M1533+Tabla1[[#This Row],[Desbalance
TPL]]</f>
        <v>-673433.8428743222</v>
      </c>
    </row>
    <row r="1535" spans="2:13" x14ac:dyDescent="0.25">
      <c r="B1535" s="1859">
        <f t="shared" si="122"/>
        <v>2017</v>
      </c>
      <c r="C1535" s="1859">
        <f t="shared" si="123"/>
        <v>9</v>
      </c>
      <c r="D1535" s="1860">
        <f t="shared" si="124"/>
        <v>42994</v>
      </c>
      <c r="E1535" s="1861">
        <v>42994</v>
      </c>
      <c r="F1535" s="1862"/>
      <c r="G1535" s="1862"/>
      <c r="H1535" s="1862"/>
      <c r="I1535" s="1862">
        <f>Tabla1[[#This Row],[Extraccion
Norte II]]+Tabla1[[#This Row],[Extraccion
ENO]]</f>
        <v>0</v>
      </c>
      <c r="J1535" s="1862"/>
      <c r="K1535" s="1862"/>
      <c r="L1535" s="1862">
        <f t="shared" si="121"/>
        <v>0</v>
      </c>
      <c r="M1535" s="1862">
        <f>M1534+Tabla1[[#This Row],[Desbalance
TPL]]</f>
        <v>-673433.8428743222</v>
      </c>
    </row>
    <row r="1536" spans="2:13" x14ac:dyDescent="0.25">
      <c r="B1536" s="1859">
        <f t="shared" si="122"/>
        <v>2017</v>
      </c>
      <c r="C1536" s="1859">
        <f t="shared" si="123"/>
        <v>9</v>
      </c>
      <c r="D1536" s="1860">
        <f t="shared" si="124"/>
        <v>42995</v>
      </c>
      <c r="E1536" s="1861">
        <v>42995</v>
      </c>
      <c r="F1536" s="1862"/>
      <c r="G1536" s="1862"/>
      <c r="H1536" s="1862"/>
      <c r="I1536" s="1862">
        <f>Tabla1[[#This Row],[Extraccion
Norte II]]+Tabla1[[#This Row],[Extraccion
ENO]]</f>
        <v>0</v>
      </c>
      <c r="J1536" s="1862"/>
      <c r="K1536" s="1862"/>
      <c r="L1536" s="1862">
        <f t="shared" si="121"/>
        <v>0</v>
      </c>
      <c r="M1536" s="1862">
        <f>M1535+Tabla1[[#This Row],[Desbalance
TPL]]</f>
        <v>-673433.8428743222</v>
      </c>
    </row>
    <row r="1537" spans="2:13" x14ac:dyDescent="0.25">
      <c r="B1537" s="1859">
        <f t="shared" si="122"/>
        <v>2017</v>
      </c>
      <c r="C1537" s="1859">
        <f t="shared" si="123"/>
        <v>9</v>
      </c>
      <c r="D1537" s="1860">
        <f t="shared" si="124"/>
        <v>42996</v>
      </c>
      <c r="E1537" s="1861">
        <v>42996</v>
      </c>
      <c r="F1537" s="1862"/>
      <c r="G1537" s="1862"/>
      <c r="H1537" s="1862"/>
      <c r="I1537" s="1862">
        <f>Tabla1[[#This Row],[Extraccion
Norte II]]+Tabla1[[#This Row],[Extraccion
ENO]]</f>
        <v>0</v>
      </c>
      <c r="J1537" s="1862"/>
      <c r="K1537" s="1862"/>
      <c r="L1537" s="1862">
        <f t="shared" si="121"/>
        <v>0</v>
      </c>
      <c r="M1537" s="1862">
        <f>M1536+Tabla1[[#This Row],[Desbalance
TPL]]</f>
        <v>-673433.8428743222</v>
      </c>
    </row>
    <row r="1538" spans="2:13" x14ac:dyDescent="0.25">
      <c r="B1538" s="1859">
        <f t="shared" si="122"/>
        <v>2017</v>
      </c>
      <c r="C1538" s="1859">
        <f t="shared" si="123"/>
        <v>9</v>
      </c>
      <c r="D1538" s="1860">
        <f t="shared" si="124"/>
        <v>42997</v>
      </c>
      <c r="E1538" s="1861">
        <v>42997</v>
      </c>
      <c r="F1538" s="1862"/>
      <c r="G1538" s="1862"/>
      <c r="H1538" s="1862"/>
      <c r="I1538" s="1862">
        <f>Tabla1[[#This Row],[Extraccion
Norte II]]+Tabla1[[#This Row],[Extraccion
ENO]]</f>
        <v>0</v>
      </c>
      <c r="J1538" s="1862"/>
      <c r="K1538" s="1862"/>
      <c r="L1538" s="1862">
        <f t="shared" si="121"/>
        <v>0</v>
      </c>
      <c r="M1538" s="1862">
        <f>M1537+Tabla1[[#This Row],[Desbalance
TPL]]</f>
        <v>-673433.8428743222</v>
      </c>
    </row>
    <row r="1539" spans="2:13" x14ac:dyDescent="0.25">
      <c r="B1539" s="1859">
        <f t="shared" si="122"/>
        <v>2017</v>
      </c>
      <c r="C1539" s="1859">
        <f t="shared" si="123"/>
        <v>9</v>
      </c>
      <c r="D1539" s="1860">
        <f t="shared" si="124"/>
        <v>42998</v>
      </c>
      <c r="E1539" s="1861">
        <v>42998</v>
      </c>
      <c r="F1539" s="1862"/>
      <c r="G1539" s="1862"/>
      <c r="H1539" s="1862"/>
      <c r="I1539" s="1862">
        <f>Tabla1[[#This Row],[Extraccion
Norte II]]+Tabla1[[#This Row],[Extraccion
ENO]]</f>
        <v>0</v>
      </c>
      <c r="J1539" s="1862"/>
      <c r="K1539" s="1862"/>
      <c r="L1539" s="1862">
        <f t="shared" si="121"/>
        <v>0</v>
      </c>
      <c r="M1539" s="1862">
        <f>M1538+Tabla1[[#This Row],[Desbalance
TPL]]</f>
        <v>-673433.8428743222</v>
      </c>
    </row>
    <row r="1540" spans="2:13" x14ac:dyDescent="0.25">
      <c r="B1540" s="1859">
        <f t="shared" si="122"/>
        <v>2017</v>
      </c>
      <c r="C1540" s="1859">
        <f t="shared" si="123"/>
        <v>9</v>
      </c>
      <c r="D1540" s="1860">
        <f t="shared" si="124"/>
        <v>42999</v>
      </c>
      <c r="E1540" s="1861">
        <v>42999</v>
      </c>
      <c r="F1540" s="1862"/>
      <c r="G1540" s="1862"/>
      <c r="H1540" s="1862"/>
      <c r="I1540" s="1862">
        <f>Tabla1[[#This Row],[Extraccion
Norte II]]+Tabla1[[#This Row],[Extraccion
ENO]]</f>
        <v>0</v>
      </c>
      <c r="J1540" s="1862"/>
      <c r="K1540" s="1862"/>
      <c r="L1540" s="1862">
        <f t="shared" si="121"/>
        <v>0</v>
      </c>
      <c r="M1540" s="1862">
        <f>M1539+Tabla1[[#This Row],[Desbalance
TPL]]</f>
        <v>-673433.8428743222</v>
      </c>
    </row>
    <row r="1541" spans="2:13" x14ac:dyDescent="0.25">
      <c r="B1541" s="1859">
        <f t="shared" si="122"/>
        <v>2017</v>
      </c>
      <c r="C1541" s="1859">
        <f t="shared" si="123"/>
        <v>9</v>
      </c>
      <c r="D1541" s="1860">
        <f t="shared" si="124"/>
        <v>43000</v>
      </c>
      <c r="E1541" s="1861">
        <v>43000</v>
      </c>
      <c r="F1541" s="1862"/>
      <c r="G1541" s="1862"/>
      <c r="H1541" s="1862"/>
      <c r="I1541" s="1862">
        <f>Tabla1[[#This Row],[Extraccion
Norte II]]+Tabla1[[#This Row],[Extraccion
ENO]]</f>
        <v>0</v>
      </c>
      <c r="J1541" s="1862"/>
      <c r="K1541" s="1862"/>
      <c r="L1541" s="1862">
        <f t="shared" si="121"/>
        <v>0</v>
      </c>
      <c r="M1541" s="1862">
        <f>M1540+Tabla1[[#This Row],[Desbalance
TPL]]</f>
        <v>-673433.8428743222</v>
      </c>
    </row>
    <row r="1542" spans="2:13" x14ac:dyDescent="0.25">
      <c r="B1542" s="1859">
        <f t="shared" si="122"/>
        <v>2017</v>
      </c>
      <c r="C1542" s="1859">
        <f t="shared" si="123"/>
        <v>9</v>
      </c>
      <c r="D1542" s="1860">
        <f t="shared" si="124"/>
        <v>43001</v>
      </c>
      <c r="E1542" s="1861">
        <v>43001</v>
      </c>
      <c r="F1542" s="1862"/>
      <c r="G1542" s="1862"/>
      <c r="H1542" s="1862"/>
      <c r="I1542" s="1862">
        <f>Tabla1[[#This Row],[Extraccion
Norte II]]+Tabla1[[#This Row],[Extraccion
ENO]]</f>
        <v>0</v>
      </c>
      <c r="J1542" s="1862"/>
      <c r="K1542" s="1862"/>
      <c r="L1542" s="1862">
        <f t="shared" si="121"/>
        <v>0</v>
      </c>
      <c r="M1542" s="1862">
        <f>M1541+Tabla1[[#This Row],[Desbalance
TPL]]</f>
        <v>-673433.8428743222</v>
      </c>
    </row>
    <row r="1543" spans="2:13" x14ac:dyDescent="0.25">
      <c r="B1543" s="1859">
        <f t="shared" si="122"/>
        <v>2017</v>
      </c>
      <c r="C1543" s="1859">
        <f t="shared" si="123"/>
        <v>9</v>
      </c>
      <c r="D1543" s="1860">
        <f t="shared" si="124"/>
        <v>43002</v>
      </c>
      <c r="E1543" s="1861">
        <v>43002</v>
      </c>
      <c r="F1543" s="1862"/>
      <c r="G1543" s="1862"/>
      <c r="H1543" s="1862"/>
      <c r="I1543" s="1862">
        <f>Tabla1[[#This Row],[Extraccion
Norte II]]+Tabla1[[#This Row],[Extraccion
ENO]]</f>
        <v>0</v>
      </c>
      <c r="J1543" s="1862"/>
      <c r="K1543" s="1862"/>
      <c r="L1543" s="1862">
        <f t="shared" si="121"/>
        <v>0</v>
      </c>
      <c r="M1543" s="1862">
        <f>M1542+Tabla1[[#This Row],[Desbalance
TPL]]</f>
        <v>-673433.8428743222</v>
      </c>
    </row>
    <row r="1544" spans="2:13" x14ac:dyDescent="0.25">
      <c r="B1544" s="1859">
        <f t="shared" si="122"/>
        <v>2017</v>
      </c>
      <c r="C1544" s="1859">
        <f t="shared" si="123"/>
        <v>9</v>
      </c>
      <c r="D1544" s="1860">
        <f t="shared" si="124"/>
        <v>43003</v>
      </c>
      <c r="E1544" s="1861">
        <v>43003</v>
      </c>
      <c r="F1544" s="1862"/>
      <c r="G1544" s="1862"/>
      <c r="H1544" s="1862"/>
      <c r="I1544" s="1862">
        <f>Tabla1[[#This Row],[Extraccion
Norte II]]+Tabla1[[#This Row],[Extraccion
ENO]]</f>
        <v>0</v>
      </c>
      <c r="J1544" s="1862"/>
      <c r="K1544" s="1862"/>
      <c r="L1544" s="1862">
        <f t="shared" si="121"/>
        <v>0</v>
      </c>
      <c r="M1544" s="1862">
        <f>M1543+Tabla1[[#This Row],[Desbalance
TPL]]</f>
        <v>-673433.8428743222</v>
      </c>
    </row>
    <row r="1545" spans="2:13" x14ac:dyDescent="0.25">
      <c r="B1545" s="1859">
        <f t="shared" si="122"/>
        <v>2017</v>
      </c>
      <c r="C1545" s="1859">
        <f t="shared" si="123"/>
        <v>9</v>
      </c>
      <c r="D1545" s="1860">
        <f t="shared" si="124"/>
        <v>43004</v>
      </c>
      <c r="E1545" s="1861">
        <v>43004</v>
      </c>
      <c r="F1545" s="1862"/>
      <c r="G1545" s="1862"/>
      <c r="H1545" s="1862"/>
      <c r="I1545" s="1862">
        <f>Tabla1[[#This Row],[Extraccion
Norte II]]+Tabla1[[#This Row],[Extraccion
ENO]]</f>
        <v>0</v>
      </c>
      <c r="J1545" s="1862"/>
      <c r="K1545" s="1862"/>
      <c r="L1545" s="1862">
        <f t="shared" si="121"/>
        <v>0</v>
      </c>
      <c r="M1545" s="1862">
        <f>M1544+Tabla1[[#This Row],[Desbalance
TPL]]</f>
        <v>-673433.8428743222</v>
      </c>
    </row>
    <row r="1546" spans="2:13" x14ac:dyDescent="0.25">
      <c r="B1546" s="1859">
        <f t="shared" si="122"/>
        <v>2017</v>
      </c>
      <c r="C1546" s="1859">
        <f t="shared" si="123"/>
        <v>9</v>
      </c>
      <c r="D1546" s="1860">
        <f t="shared" si="124"/>
        <v>43005</v>
      </c>
      <c r="E1546" s="1861">
        <v>43005</v>
      </c>
      <c r="F1546" s="1862"/>
      <c r="G1546" s="1862"/>
      <c r="H1546" s="1862"/>
      <c r="I1546" s="1862">
        <f>Tabla1[[#This Row],[Extraccion
Norte II]]+Tabla1[[#This Row],[Extraccion
ENO]]</f>
        <v>0</v>
      </c>
      <c r="J1546" s="1862"/>
      <c r="K1546" s="1862"/>
      <c r="L1546" s="1862">
        <f t="shared" si="121"/>
        <v>0</v>
      </c>
      <c r="M1546" s="1862">
        <f>M1545+Tabla1[[#This Row],[Desbalance
TPL]]</f>
        <v>-673433.8428743222</v>
      </c>
    </row>
    <row r="1547" spans="2:13" x14ac:dyDescent="0.25">
      <c r="B1547" s="1859">
        <f t="shared" si="122"/>
        <v>2017</v>
      </c>
      <c r="C1547" s="1859">
        <f t="shared" si="123"/>
        <v>9</v>
      </c>
      <c r="D1547" s="1860">
        <f t="shared" si="124"/>
        <v>43006</v>
      </c>
      <c r="E1547" s="1861">
        <v>43006</v>
      </c>
      <c r="F1547" s="1862"/>
      <c r="G1547" s="1862"/>
      <c r="H1547" s="1862"/>
      <c r="I1547" s="1862">
        <f>Tabla1[[#This Row],[Extraccion
Norte II]]+Tabla1[[#This Row],[Extraccion
ENO]]</f>
        <v>0</v>
      </c>
      <c r="J1547" s="1862"/>
      <c r="K1547" s="1862"/>
      <c r="L1547" s="1862">
        <f t="shared" si="121"/>
        <v>0</v>
      </c>
      <c r="M1547" s="1862">
        <f>M1546+Tabla1[[#This Row],[Desbalance
TPL]]</f>
        <v>-673433.8428743222</v>
      </c>
    </row>
    <row r="1548" spans="2:13" x14ac:dyDescent="0.25">
      <c r="B1548" s="1859">
        <f t="shared" si="122"/>
        <v>2017</v>
      </c>
      <c r="C1548" s="1859">
        <f t="shared" si="123"/>
        <v>9</v>
      </c>
      <c r="D1548" s="1860">
        <f t="shared" si="124"/>
        <v>43007</v>
      </c>
      <c r="E1548" s="1861">
        <v>43007</v>
      </c>
      <c r="F1548" s="1862"/>
      <c r="G1548" s="1862"/>
      <c r="H1548" s="1862"/>
      <c r="I1548" s="1862">
        <f>Tabla1[[#This Row],[Extraccion
Norte II]]+Tabla1[[#This Row],[Extraccion
ENO]]</f>
        <v>0</v>
      </c>
      <c r="J1548" s="1862"/>
      <c r="K1548" s="1862"/>
      <c r="L1548" s="1862">
        <f t="shared" ref="L1548:L1611" si="125">H1548-I1548</f>
        <v>0</v>
      </c>
      <c r="M1548" s="1862">
        <f>M1547+Tabla1[[#This Row],[Desbalance
TPL]]</f>
        <v>-673433.8428743222</v>
      </c>
    </row>
    <row r="1549" spans="2:13" x14ac:dyDescent="0.25">
      <c r="B1549" s="1859">
        <f t="shared" si="122"/>
        <v>2017</v>
      </c>
      <c r="C1549" s="1859">
        <f t="shared" si="123"/>
        <v>9</v>
      </c>
      <c r="D1549" s="1860">
        <f t="shared" si="124"/>
        <v>43008</v>
      </c>
      <c r="E1549" s="1861">
        <v>43008</v>
      </c>
      <c r="F1549" s="1862"/>
      <c r="G1549" s="1862"/>
      <c r="H1549" s="1862"/>
      <c r="I1549" s="1862">
        <f>Tabla1[[#This Row],[Extraccion
Norte II]]+Tabla1[[#This Row],[Extraccion
ENO]]</f>
        <v>0</v>
      </c>
      <c r="J1549" s="1862"/>
      <c r="K1549" s="1862"/>
      <c r="L1549" s="1862">
        <f t="shared" si="125"/>
        <v>0</v>
      </c>
      <c r="M1549" s="1862">
        <f>M1548+Tabla1[[#This Row],[Desbalance
TPL]]</f>
        <v>-673433.8428743222</v>
      </c>
    </row>
    <row r="1550" spans="2:13" x14ac:dyDescent="0.25">
      <c r="B1550" s="1859">
        <f t="shared" si="122"/>
        <v>2017</v>
      </c>
      <c r="C1550" s="1859">
        <f t="shared" si="123"/>
        <v>10</v>
      </c>
      <c r="D1550" s="1860">
        <f t="shared" si="124"/>
        <v>43009</v>
      </c>
      <c r="E1550" s="1861">
        <v>43009</v>
      </c>
      <c r="F1550" s="1862"/>
      <c r="G1550" s="1862"/>
      <c r="H1550" s="1862"/>
      <c r="I1550" s="1862">
        <f>Tabla1[[#This Row],[Extraccion
Norte II]]+Tabla1[[#This Row],[Extraccion
ENO]]</f>
        <v>0</v>
      </c>
      <c r="J1550" s="1862"/>
      <c r="K1550" s="1862"/>
      <c r="L1550" s="1862">
        <f t="shared" si="125"/>
        <v>0</v>
      </c>
      <c r="M1550" s="1862">
        <f>M1549+Tabla1[[#This Row],[Desbalance
TPL]]</f>
        <v>-673433.8428743222</v>
      </c>
    </row>
    <row r="1551" spans="2:13" x14ac:dyDescent="0.25">
      <c r="B1551" s="1859">
        <f t="shared" si="122"/>
        <v>2017</v>
      </c>
      <c r="C1551" s="1859">
        <f t="shared" si="123"/>
        <v>10</v>
      </c>
      <c r="D1551" s="1860">
        <f t="shared" si="124"/>
        <v>43010</v>
      </c>
      <c r="E1551" s="1861">
        <v>43010</v>
      </c>
      <c r="F1551" s="1862"/>
      <c r="G1551" s="1862"/>
      <c r="H1551" s="1862"/>
      <c r="I1551" s="1862">
        <f>Tabla1[[#This Row],[Extraccion
Norte II]]+Tabla1[[#This Row],[Extraccion
ENO]]</f>
        <v>0</v>
      </c>
      <c r="J1551" s="1862"/>
      <c r="K1551" s="1862"/>
      <c r="L1551" s="1862">
        <f t="shared" si="125"/>
        <v>0</v>
      </c>
      <c r="M1551" s="1862">
        <f>M1550+Tabla1[[#This Row],[Desbalance
TPL]]</f>
        <v>-673433.8428743222</v>
      </c>
    </row>
    <row r="1552" spans="2:13" x14ac:dyDescent="0.25">
      <c r="B1552" s="1859">
        <f t="shared" si="122"/>
        <v>2017</v>
      </c>
      <c r="C1552" s="1859">
        <f t="shared" si="123"/>
        <v>10</v>
      </c>
      <c r="D1552" s="1860">
        <f t="shared" si="124"/>
        <v>43011</v>
      </c>
      <c r="E1552" s="1861">
        <v>43011</v>
      </c>
      <c r="F1552" s="1862"/>
      <c r="G1552" s="1862"/>
      <c r="H1552" s="1862"/>
      <c r="I1552" s="1862">
        <f>Tabla1[[#This Row],[Extraccion
Norte II]]+Tabla1[[#This Row],[Extraccion
ENO]]</f>
        <v>0</v>
      </c>
      <c r="J1552" s="1862"/>
      <c r="K1552" s="1862"/>
      <c r="L1552" s="1862">
        <f t="shared" si="125"/>
        <v>0</v>
      </c>
      <c r="M1552" s="1862">
        <f>M1551+Tabla1[[#This Row],[Desbalance
TPL]]</f>
        <v>-673433.8428743222</v>
      </c>
    </row>
    <row r="1553" spans="2:13" x14ac:dyDescent="0.25">
      <c r="B1553" s="1859">
        <f t="shared" si="122"/>
        <v>2017</v>
      </c>
      <c r="C1553" s="1859">
        <f t="shared" si="123"/>
        <v>10</v>
      </c>
      <c r="D1553" s="1860">
        <f t="shared" si="124"/>
        <v>43012</v>
      </c>
      <c r="E1553" s="1861">
        <v>43012</v>
      </c>
      <c r="F1553" s="1862"/>
      <c r="G1553" s="1862"/>
      <c r="H1553" s="1862"/>
      <c r="I1553" s="1862">
        <f>Tabla1[[#This Row],[Extraccion
Norte II]]+Tabla1[[#This Row],[Extraccion
ENO]]</f>
        <v>0</v>
      </c>
      <c r="J1553" s="1862"/>
      <c r="K1553" s="1862"/>
      <c r="L1553" s="1862">
        <f t="shared" si="125"/>
        <v>0</v>
      </c>
      <c r="M1553" s="1862">
        <f>M1552+Tabla1[[#This Row],[Desbalance
TPL]]</f>
        <v>-673433.8428743222</v>
      </c>
    </row>
    <row r="1554" spans="2:13" x14ac:dyDescent="0.25">
      <c r="B1554" s="1859">
        <f t="shared" si="122"/>
        <v>2017</v>
      </c>
      <c r="C1554" s="1859">
        <f t="shared" si="123"/>
        <v>10</v>
      </c>
      <c r="D1554" s="1860">
        <f t="shared" si="124"/>
        <v>43013</v>
      </c>
      <c r="E1554" s="1861">
        <v>43013</v>
      </c>
      <c r="F1554" s="1862"/>
      <c r="G1554" s="1862"/>
      <c r="H1554" s="1862"/>
      <c r="I1554" s="1862">
        <f>Tabla1[[#This Row],[Extraccion
Norte II]]+Tabla1[[#This Row],[Extraccion
ENO]]</f>
        <v>0</v>
      </c>
      <c r="J1554" s="1862"/>
      <c r="K1554" s="1862"/>
      <c r="L1554" s="1862">
        <f t="shared" si="125"/>
        <v>0</v>
      </c>
      <c r="M1554" s="1862">
        <f>M1553+Tabla1[[#This Row],[Desbalance
TPL]]</f>
        <v>-673433.8428743222</v>
      </c>
    </row>
    <row r="1555" spans="2:13" x14ac:dyDescent="0.25">
      <c r="B1555" s="1859">
        <f t="shared" si="122"/>
        <v>2017</v>
      </c>
      <c r="C1555" s="1859">
        <f t="shared" si="123"/>
        <v>10</v>
      </c>
      <c r="D1555" s="1860">
        <f t="shared" si="124"/>
        <v>43014</v>
      </c>
      <c r="E1555" s="1861">
        <v>43014</v>
      </c>
      <c r="F1555" s="1862"/>
      <c r="G1555" s="1862"/>
      <c r="H1555" s="1862"/>
      <c r="I1555" s="1862">
        <f>Tabla1[[#This Row],[Extraccion
Norte II]]+Tabla1[[#This Row],[Extraccion
ENO]]</f>
        <v>0</v>
      </c>
      <c r="J1555" s="1862"/>
      <c r="K1555" s="1862"/>
      <c r="L1555" s="1862">
        <f t="shared" si="125"/>
        <v>0</v>
      </c>
      <c r="M1555" s="1862">
        <f>M1554+Tabla1[[#This Row],[Desbalance
TPL]]</f>
        <v>-673433.8428743222</v>
      </c>
    </row>
    <row r="1556" spans="2:13" x14ac:dyDescent="0.25">
      <c r="B1556" s="1859">
        <f t="shared" si="122"/>
        <v>2017</v>
      </c>
      <c r="C1556" s="1859">
        <f t="shared" si="123"/>
        <v>10</v>
      </c>
      <c r="D1556" s="1860">
        <f t="shared" si="124"/>
        <v>43015</v>
      </c>
      <c r="E1556" s="1861">
        <v>43015</v>
      </c>
      <c r="F1556" s="1862"/>
      <c r="G1556" s="1862"/>
      <c r="H1556" s="1862"/>
      <c r="I1556" s="1862">
        <f>Tabla1[[#This Row],[Extraccion
Norte II]]+Tabla1[[#This Row],[Extraccion
ENO]]</f>
        <v>0</v>
      </c>
      <c r="J1556" s="1862"/>
      <c r="K1556" s="1862"/>
      <c r="L1556" s="1862">
        <f t="shared" si="125"/>
        <v>0</v>
      </c>
      <c r="M1556" s="1862">
        <f>M1555+Tabla1[[#This Row],[Desbalance
TPL]]</f>
        <v>-673433.8428743222</v>
      </c>
    </row>
    <row r="1557" spans="2:13" x14ac:dyDescent="0.25">
      <c r="B1557" s="1859">
        <f t="shared" si="122"/>
        <v>2017</v>
      </c>
      <c r="C1557" s="1859">
        <f t="shared" si="123"/>
        <v>10</v>
      </c>
      <c r="D1557" s="1860">
        <f t="shared" si="124"/>
        <v>43016</v>
      </c>
      <c r="E1557" s="1861">
        <v>43016</v>
      </c>
      <c r="F1557" s="1862"/>
      <c r="G1557" s="1862"/>
      <c r="H1557" s="1862"/>
      <c r="I1557" s="1862">
        <f>Tabla1[[#This Row],[Extraccion
Norte II]]+Tabla1[[#This Row],[Extraccion
ENO]]</f>
        <v>0</v>
      </c>
      <c r="J1557" s="1862"/>
      <c r="K1557" s="1862"/>
      <c r="L1557" s="1862">
        <f t="shared" si="125"/>
        <v>0</v>
      </c>
      <c r="M1557" s="1862">
        <f>M1556+Tabla1[[#This Row],[Desbalance
TPL]]</f>
        <v>-673433.8428743222</v>
      </c>
    </row>
    <row r="1558" spans="2:13" x14ac:dyDescent="0.25">
      <c r="B1558" s="1859">
        <f t="shared" si="122"/>
        <v>2017</v>
      </c>
      <c r="C1558" s="1859">
        <f t="shared" si="123"/>
        <v>10</v>
      </c>
      <c r="D1558" s="1860">
        <f t="shared" si="124"/>
        <v>43017</v>
      </c>
      <c r="E1558" s="1861">
        <v>43017</v>
      </c>
      <c r="F1558" s="1862"/>
      <c r="G1558" s="1862"/>
      <c r="H1558" s="1862"/>
      <c r="I1558" s="1862">
        <f>Tabla1[[#This Row],[Extraccion
Norte II]]+Tabla1[[#This Row],[Extraccion
ENO]]</f>
        <v>0</v>
      </c>
      <c r="J1558" s="1862"/>
      <c r="K1558" s="1862"/>
      <c r="L1558" s="1862">
        <f t="shared" si="125"/>
        <v>0</v>
      </c>
      <c r="M1558" s="1862">
        <f>M1557+Tabla1[[#This Row],[Desbalance
TPL]]</f>
        <v>-673433.8428743222</v>
      </c>
    </row>
    <row r="1559" spans="2:13" x14ac:dyDescent="0.25">
      <c r="B1559" s="1859">
        <f t="shared" si="122"/>
        <v>2017</v>
      </c>
      <c r="C1559" s="1859">
        <f t="shared" si="123"/>
        <v>10</v>
      </c>
      <c r="D1559" s="1860">
        <f t="shared" si="124"/>
        <v>43018</v>
      </c>
      <c r="E1559" s="1861">
        <v>43018</v>
      </c>
      <c r="F1559" s="1862"/>
      <c r="G1559" s="1862"/>
      <c r="H1559" s="1862"/>
      <c r="I1559" s="1862">
        <f>Tabla1[[#This Row],[Extraccion
Norte II]]+Tabla1[[#This Row],[Extraccion
ENO]]</f>
        <v>0</v>
      </c>
      <c r="J1559" s="1862"/>
      <c r="K1559" s="1862"/>
      <c r="L1559" s="1862">
        <f t="shared" si="125"/>
        <v>0</v>
      </c>
      <c r="M1559" s="1862">
        <f>M1558+Tabla1[[#This Row],[Desbalance
TPL]]</f>
        <v>-673433.8428743222</v>
      </c>
    </row>
    <row r="1560" spans="2:13" x14ac:dyDescent="0.25">
      <c r="B1560" s="1859">
        <f t="shared" si="122"/>
        <v>2017</v>
      </c>
      <c r="C1560" s="1859">
        <f t="shared" si="123"/>
        <v>10</v>
      </c>
      <c r="D1560" s="1860">
        <f t="shared" si="124"/>
        <v>43019</v>
      </c>
      <c r="E1560" s="1861">
        <v>43019</v>
      </c>
      <c r="F1560" s="1862"/>
      <c r="G1560" s="1862"/>
      <c r="H1560" s="1862"/>
      <c r="I1560" s="1862">
        <f>Tabla1[[#This Row],[Extraccion
Norte II]]+Tabla1[[#This Row],[Extraccion
ENO]]</f>
        <v>0</v>
      </c>
      <c r="J1560" s="1862"/>
      <c r="K1560" s="1862"/>
      <c r="L1560" s="1862">
        <f t="shared" si="125"/>
        <v>0</v>
      </c>
      <c r="M1560" s="1862">
        <f>M1559+Tabla1[[#This Row],[Desbalance
TPL]]</f>
        <v>-673433.8428743222</v>
      </c>
    </row>
    <row r="1561" spans="2:13" x14ac:dyDescent="0.25">
      <c r="B1561" s="1859">
        <f t="shared" si="122"/>
        <v>2017</v>
      </c>
      <c r="C1561" s="1859">
        <f t="shared" si="123"/>
        <v>10</v>
      </c>
      <c r="D1561" s="1860">
        <f t="shared" si="124"/>
        <v>43020</v>
      </c>
      <c r="E1561" s="1861">
        <v>43020</v>
      </c>
      <c r="F1561" s="1862"/>
      <c r="G1561" s="1862"/>
      <c r="H1561" s="1862"/>
      <c r="I1561" s="1862">
        <f>Tabla1[[#This Row],[Extraccion
Norte II]]+Tabla1[[#This Row],[Extraccion
ENO]]</f>
        <v>0</v>
      </c>
      <c r="J1561" s="1862"/>
      <c r="K1561" s="1862"/>
      <c r="L1561" s="1862">
        <f t="shared" si="125"/>
        <v>0</v>
      </c>
      <c r="M1561" s="1862">
        <f>M1560+Tabla1[[#This Row],[Desbalance
TPL]]</f>
        <v>-673433.8428743222</v>
      </c>
    </row>
    <row r="1562" spans="2:13" x14ac:dyDescent="0.25">
      <c r="B1562" s="1859">
        <f t="shared" si="122"/>
        <v>2017</v>
      </c>
      <c r="C1562" s="1859">
        <f t="shared" si="123"/>
        <v>10</v>
      </c>
      <c r="D1562" s="1860">
        <f t="shared" si="124"/>
        <v>43021</v>
      </c>
      <c r="E1562" s="1861">
        <v>43021</v>
      </c>
      <c r="F1562" s="1862"/>
      <c r="G1562" s="1862"/>
      <c r="H1562" s="1862"/>
      <c r="I1562" s="1862">
        <f>Tabla1[[#This Row],[Extraccion
Norte II]]+Tabla1[[#This Row],[Extraccion
ENO]]</f>
        <v>0</v>
      </c>
      <c r="J1562" s="1862"/>
      <c r="K1562" s="1862"/>
      <c r="L1562" s="1862">
        <f t="shared" si="125"/>
        <v>0</v>
      </c>
      <c r="M1562" s="1862">
        <f>M1561+Tabla1[[#This Row],[Desbalance
TPL]]</f>
        <v>-673433.8428743222</v>
      </c>
    </row>
    <row r="1563" spans="2:13" x14ac:dyDescent="0.25">
      <c r="B1563" s="1859">
        <f t="shared" si="122"/>
        <v>2017</v>
      </c>
      <c r="C1563" s="1859">
        <f t="shared" si="123"/>
        <v>10</v>
      </c>
      <c r="D1563" s="1860">
        <f t="shared" si="124"/>
        <v>43022</v>
      </c>
      <c r="E1563" s="1861">
        <v>43022</v>
      </c>
      <c r="F1563" s="1862"/>
      <c r="G1563" s="1862"/>
      <c r="H1563" s="1862"/>
      <c r="I1563" s="1862">
        <f>Tabla1[[#This Row],[Extraccion
Norte II]]+Tabla1[[#This Row],[Extraccion
ENO]]</f>
        <v>0</v>
      </c>
      <c r="J1563" s="1862"/>
      <c r="K1563" s="1862"/>
      <c r="L1563" s="1862">
        <f t="shared" si="125"/>
        <v>0</v>
      </c>
      <c r="M1563" s="1862">
        <f>M1562+Tabla1[[#This Row],[Desbalance
TPL]]</f>
        <v>-673433.8428743222</v>
      </c>
    </row>
    <row r="1564" spans="2:13" x14ac:dyDescent="0.25">
      <c r="B1564" s="1859">
        <f t="shared" si="122"/>
        <v>2017</v>
      </c>
      <c r="C1564" s="1859">
        <f t="shared" si="123"/>
        <v>10</v>
      </c>
      <c r="D1564" s="1860">
        <f t="shared" si="124"/>
        <v>43023</v>
      </c>
      <c r="E1564" s="1861">
        <v>43023</v>
      </c>
      <c r="F1564" s="1862"/>
      <c r="G1564" s="1862"/>
      <c r="H1564" s="1862"/>
      <c r="I1564" s="1862">
        <f>Tabla1[[#This Row],[Extraccion
Norte II]]+Tabla1[[#This Row],[Extraccion
ENO]]</f>
        <v>0</v>
      </c>
      <c r="J1564" s="1862"/>
      <c r="K1564" s="1862"/>
      <c r="L1564" s="1862">
        <f t="shared" si="125"/>
        <v>0</v>
      </c>
      <c r="M1564" s="1862">
        <f>M1563+Tabla1[[#This Row],[Desbalance
TPL]]</f>
        <v>-673433.8428743222</v>
      </c>
    </row>
    <row r="1565" spans="2:13" x14ac:dyDescent="0.25">
      <c r="B1565" s="1859">
        <f t="shared" si="122"/>
        <v>2017</v>
      </c>
      <c r="C1565" s="1859">
        <f t="shared" si="123"/>
        <v>10</v>
      </c>
      <c r="D1565" s="1860">
        <f t="shared" si="124"/>
        <v>43024</v>
      </c>
      <c r="E1565" s="1861">
        <v>43024</v>
      </c>
      <c r="F1565" s="1862"/>
      <c r="G1565" s="1862"/>
      <c r="H1565" s="1862"/>
      <c r="I1565" s="1862">
        <f>Tabla1[[#This Row],[Extraccion
Norte II]]+Tabla1[[#This Row],[Extraccion
ENO]]</f>
        <v>0</v>
      </c>
      <c r="J1565" s="1862"/>
      <c r="K1565" s="1862"/>
      <c r="L1565" s="1862">
        <f t="shared" si="125"/>
        <v>0</v>
      </c>
      <c r="M1565" s="1862">
        <f>M1564+Tabla1[[#This Row],[Desbalance
TPL]]</f>
        <v>-673433.8428743222</v>
      </c>
    </row>
    <row r="1566" spans="2:13" x14ac:dyDescent="0.25">
      <c r="B1566" s="1859">
        <f t="shared" si="122"/>
        <v>2017</v>
      </c>
      <c r="C1566" s="1859">
        <f t="shared" si="123"/>
        <v>10</v>
      </c>
      <c r="D1566" s="1860">
        <f t="shared" si="124"/>
        <v>43025</v>
      </c>
      <c r="E1566" s="1861">
        <v>43025</v>
      </c>
      <c r="F1566" s="1862"/>
      <c r="G1566" s="1862"/>
      <c r="H1566" s="1862"/>
      <c r="I1566" s="1862">
        <f>Tabla1[[#This Row],[Extraccion
Norte II]]+Tabla1[[#This Row],[Extraccion
ENO]]</f>
        <v>0</v>
      </c>
      <c r="J1566" s="1862"/>
      <c r="K1566" s="1862"/>
      <c r="L1566" s="1862">
        <f t="shared" si="125"/>
        <v>0</v>
      </c>
      <c r="M1566" s="1862">
        <f>M1565+Tabla1[[#This Row],[Desbalance
TPL]]</f>
        <v>-673433.8428743222</v>
      </c>
    </row>
    <row r="1567" spans="2:13" x14ac:dyDescent="0.25">
      <c r="B1567" s="1859">
        <f t="shared" si="122"/>
        <v>2017</v>
      </c>
      <c r="C1567" s="1859">
        <f t="shared" si="123"/>
        <v>10</v>
      </c>
      <c r="D1567" s="1860">
        <f t="shared" si="124"/>
        <v>43026</v>
      </c>
      <c r="E1567" s="1861">
        <v>43026</v>
      </c>
      <c r="F1567" s="1862"/>
      <c r="G1567" s="1862"/>
      <c r="H1567" s="1862"/>
      <c r="I1567" s="1862">
        <f>Tabla1[[#This Row],[Extraccion
Norte II]]+Tabla1[[#This Row],[Extraccion
ENO]]</f>
        <v>0</v>
      </c>
      <c r="J1567" s="1862"/>
      <c r="K1567" s="1862"/>
      <c r="L1567" s="1862">
        <f t="shared" si="125"/>
        <v>0</v>
      </c>
      <c r="M1567" s="1862">
        <f>M1566+Tabla1[[#This Row],[Desbalance
TPL]]</f>
        <v>-673433.8428743222</v>
      </c>
    </row>
    <row r="1568" spans="2:13" x14ac:dyDescent="0.25">
      <c r="B1568" s="1859">
        <f t="shared" si="122"/>
        <v>2017</v>
      </c>
      <c r="C1568" s="1859">
        <f t="shared" si="123"/>
        <v>10</v>
      </c>
      <c r="D1568" s="1860">
        <f t="shared" si="124"/>
        <v>43027</v>
      </c>
      <c r="E1568" s="1861">
        <v>43027</v>
      </c>
      <c r="F1568" s="1862"/>
      <c r="G1568" s="1862"/>
      <c r="H1568" s="1862"/>
      <c r="I1568" s="1862">
        <f>Tabla1[[#This Row],[Extraccion
Norte II]]+Tabla1[[#This Row],[Extraccion
ENO]]</f>
        <v>0</v>
      </c>
      <c r="J1568" s="1862"/>
      <c r="K1568" s="1862"/>
      <c r="L1568" s="1862">
        <f t="shared" si="125"/>
        <v>0</v>
      </c>
      <c r="M1568" s="1862">
        <f>M1567+Tabla1[[#This Row],[Desbalance
TPL]]</f>
        <v>-673433.8428743222</v>
      </c>
    </row>
    <row r="1569" spans="2:13" x14ac:dyDescent="0.25">
      <c r="B1569" s="1859">
        <f t="shared" si="122"/>
        <v>2017</v>
      </c>
      <c r="C1569" s="1859">
        <f t="shared" si="123"/>
        <v>10</v>
      </c>
      <c r="D1569" s="1860">
        <f t="shared" si="124"/>
        <v>43028</v>
      </c>
      <c r="E1569" s="1861">
        <v>43028</v>
      </c>
      <c r="F1569" s="1862"/>
      <c r="G1569" s="1862"/>
      <c r="H1569" s="1862"/>
      <c r="I1569" s="1862">
        <f>Tabla1[[#This Row],[Extraccion
Norte II]]+Tabla1[[#This Row],[Extraccion
ENO]]</f>
        <v>0</v>
      </c>
      <c r="J1569" s="1862"/>
      <c r="K1569" s="1862"/>
      <c r="L1569" s="1862">
        <f t="shared" si="125"/>
        <v>0</v>
      </c>
      <c r="M1569" s="1862">
        <f>M1568+Tabla1[[#This Row],[Desbalance
TPL]]</f>
        <v>-673433.8428743222</v>
      </c>
    </row>
    <row r="1570" spans="2:13" x14ac:dyDescent="0.25">
      <c r="B1570" s="1859">
        <f t="shared" si="122"/>
        <v>2017</v>
      </c>
      <c r="C1570" s="1859">
        <f t="shared" si="123"/>
        <v>10</v>
      </c>
      <c r="D1570" s="1860">
        <f t="shared" si="124"/>
        <v>43029</v>
      </c>
      <c r="E1570" s="1861">
        <v>43029</v>
      </c>
      <c r="F1570" s="1862"/>
      <c r="G1570" s="1862"/>
      <c r="H1570" s="1862"/>
      <c r="I1570" s="1862">
        <f>Tabla1[[#This Row],[Extraccion
Norte II]]+Tabla1[[#This Row],[Extraccion
ENO]]</f>
        <v>0</v>
      </c>
      <c r="J1570" s="1862"/>
      <c r="K1570" s="1862"/>
      <c r="L1570" s="1862">
        <f t="shared" si="125"/>
        <v>0</v>
      </c>
      <c r="M1570" s="1862">
        <f>M1569+Tabla1[[#This Row],[Desbalance
TPL]]</f>
        <v>-673433.8428743222</v>
      </c>
    </row>
    <row r="1571" spans="2:13" x14ac:dyDescent="0.25">
      <c r="B1571" s="1859">
        <f t="shared" si="122"/>
        <v>2017</v>
      </c>
      <c r="C1571" s="1859">
        <f t="shared" si="123"/>
        <v>10</v>
      </c>
      <c r="D1571" s="1860">
        <f t="shared" si="124"/>
        <v>43030</v>
      </c>
      <c r="E1571" s="1861">
        <v>43030</v>
      </c>
      <c r="F1571" s="1862"/>
      <c r="G1571" s="1862"/>
      <c r="H1571" s="1862"/>
      <c r="I1571" s="1862">
        <f>Tabla1[[#This Row],[Extraccion
Norte II]]+Tabla1[[#This Row],[Extraccion
ENO]]</f>
        <v>0</v>
      </c>
      <c r="J1571" s="1862"/>
      <c r="K1571" s="1862"/>
      <c r="L1571" s="1862">
        <f t="shared" si="125"/>
        <v>0</v>
      </c>
      <c r="M1571" s="1862">
        <f>M1570+Tabla1[[#This Row],[Desbalance
TPL]]</f>
        <v>-673433.8428743222</v>
      </c>
    </row>
    <row r="1572" spans="2:13" x14ac:dyDescent="0.25">
      <c r="B1572" s="1859">
        <f t="shared" si="122"/>
        <v>2017</v>
      </c>
      <c r="C1572" s="1859">
        <f t="shared" si="123"/>
        <v>10</v>
      </c>
      <c r="D1572" s="1860">
        <f t="shared" si="124"/>
        <v>43031</v>
      </c>
      <c r="E1572" s="1861">
        <v>43031</v>
      </c>
      <c r="F1572" s="1862"/>
      <c r="G1572" s="1862"/>
      <c r="H1572" s="1862"/>
      <c r="I1572" s="1862">
        <f>Tabla1[[#This Row],[Extraccion
Norte II]]+Tabla1[[#This Row],[Extraccion
ENO]]</f>
        <v>0</v>
      </c>
      <c r="J1572" s="1862"/>
      <c r="K1572" s="1862"/>
      <c r="L1572" s="1862">
        <f t="shared" si="125"/>
        <v>0</v>
      </c>
      <c r="M1572" s="1862">
        <f>M1571+Tabla1[[#This Row],[Desbalance
TPL]]</f>
        <v>-673433.8428743222</v>
      </c>
    </row>
    <row r="1573" spans="2:13" x14ac:dyDescent="0.25">
      <c r="B1573" s="1859">
        <f t="shared" si="122"/>
        <v>2017</v>
      </c>
      <c r="C1573" s="1859">
        <f t="shared" si="123"/>
        <v>10</v>
      </c>
      <c r="D1573" s="1860">
        <f t="shared" si="124"/>
        <v>43032</v>
      </c>
      <c r="E1573" s="1861">
        <v>43032</v>
      </c>
      <c r="F1573" s="1862"/>
      <c r="G1573" s="1862"/>
      <c r="H1573" s="1862"/>
      <c r="I1573" s="1862">
        <f>Tabla1[[#This Row],[Extraccion
Norte II]]+Tabla1[[#This Row],[Extraccion
ENO]]</f>
        <v>0</v>
      </c>
      <c r="J1573" s="1862"/>
      <c r="K1573" s="1862"/>
      <c r="L1573" s="1862">
        <f t="shared" si="125"/>
        <v>0</v>
      </c>
      <c r="M1573" s="1862">
        <f>M1572+Tabla1[[#This Row],[Desbalance
TPL]]</f>
        <v>-673433.8428743222</v>
      </c>
    </row>
    <row r="1574" spans="2:13" x14ac:dyDescent="0.25">
      <c r="B1574" s="1859">
        <f t="shared" si="122"/>
        <v>2017</v>
      </c>
      <c r="C1574" s="1859">
        <f t="shared" si="123"/>
        <v>10</v>
      </c>
      <c r="D1574" s="1860">
        <f t="shared" si="124"/>
        <v>43033</v>
      </c>
      <c r="E1574" s="1861">
        <v>43033</v>
      </c>
      <c r="F1574" s="1862"/>
      <c r="G1574" s="1862"/>
      <c r="H1574" s="1862"/>
      <c r="I1574" s="1862">
        <f>Tabla1[[#This Row],[Extraccion
Norte II]]+Tabla1[[#This Row],[Extraccion
ENO]]</f>
        <v>0</v>
      </c>
      <c r="J1574" s="1862"/>
      <c r="K1574" s="1862"/>
      <c r="L1574" s="1862">
        <f t="shared" si="125"/>
        <v>0</v>
      </c>
      <c r="M1574" s="1862">
        <f>M1573+Tabla1[[#This Row],[Desbalance
TPL]]</f>
        <v>-673433.8428743222</v>
      </c>
    </row>
    <row r="1575" spans="2:13" x14ac:dyDescent="0.25">
      <c r="B1575" s="1859">
        <f t="shared" si="122"/>
        <v>2017</v>
      </c>
      <c r="C1575" s="1859">
        <f t="shared" si="123"/>
        <v>10</v>
      </c>
      <c r="D1575" s="1860">
        <f t="shared" si="124"/>
        <v>43034</v>
      </c>
      <c r="E1575" s="1861">
        <v>43034</v>
      </c>
      <c r="F1575" s="1862"/>
      <c r="G1575" s="1862"/>
      <c r="H1575" s="1862"/>
      <c r="I1575" s="1862">
        <f>Tabla1[[#This Row],[Extraccion
Norte II]]+Tabla1[[#This Row],[Extraccion
ENO]]</f>
        <v>0</v>
      </c>
      <c r="J1575" s="1862"/>
      <c r="K1575" s="1862"/>
      <c r="L1575" s="1862">
        <f t="shared" si="125"/>
        <v>0</v>
      </c>
      <c r="M1575" s="1862">
        <f>M1574+Tabla1[[#This Row],[Desbalance
TPL]]</f>
        <v>-673433.8428743222</v>
      </c>
    </row>
    <row r="1576" spans="2:13" x14ac:dyDescent="0.25">
      <c r="B1576" s="1859">
        <f t="shared" si="122"/>
        <v>2017</v>
      </c>
      <c r="C1576" s="1859">
        <f t="shared" si="123"/>
        <v>10</v>
      </c>
      <c r="D1576" s="1860">
        <f t="shared" si="124"/>
        <v>43035</v>
      </c>
      <c r="E1576" s="1861">
        <v>43035</v>
      </c>
      <c r="F1576" s="1862"/>
      <c r="G1576" s="1862"/>
      <c r="H1576" s="1862"/>
      <c r="I1576" s="1862">
        <f>Tabla1[[#This Row],[Extraccion
Norte II]]+Tabla1[[#This Row],[Extraccion
ENO]]</f>
        <v>0</v>
      </c>
      <c r="J1576" s="1862"/>
      <c r="K1576" s="1862"/>
      <c r="L1576" s="1862">
        <f t="shared" si="125"/>
        <v>0</v>
      </c>
      <c r="M1576" s="1862">
        <f>M1575+Tabla1[[#This Row],[Desbalance
TPL]]</f>
        <v>-673433.8428743222</v>
      </c>
    </row>
    <row r="1577" spans="2:13" x14ac:dyDescent="0.25">
      <c r="B1577" s="1859">
        <f t="shared" si="122"/>
        <v>2017</v>
      </c>
      <c r="C1577" s="1859">
        <f t="shared" si="123"/>
        <v>10</v>
      </c>
      <c r="D1577" s="1860">
        <f t="shared" si="124"/>
        <v>43036</v>
      </c>
      <c r="E1577" s="1861">
        <v>43036</v>
      </c>
      <c r="F1577" s="1862"/>
      <c r="G1577" s="1862"/>
      <c r="H1577" s="1862"/>
      <c r="I1577" s="1862">
        <f>Tabla1[[#This Row],[Extraccion
Norte II]]+Tabla1[[#This Row],[Extraccion
ENO]]</f>
        <v>0</v>
      </c>
      <c r="J1577" s="1862"/>
      <c r="K1577" s="1862"/>
      <c r="L1577" s="1862">
        <f t="shared" si="125"/>
        <v>0</v>
      </c>
      <c r="M1577" s="1862">
        <f>M1576+Tabla1[[#This Row],[Desbalance
TPL]]</f>
        <v>-673433.8428743222</v>
      </c>
    </row>
    <row r="1578" spans="2:13" x14ac:dyDescent="0.25">
      <c r="B1578" s="1859">
        <f t="shared" si="122"/>
        <v>2017</v>
      </c>
      <c r="C1578" s="1859">
        <f t="shared" si="123"/>
        <v>10</v>
      </c>
      <c r="D1578" s="1860">
        <f t="shared" si="124"/>
        <v>43037</v>
      </c>
      <c r="E1578" s="1861">
        <v>43037</v>
      </c>
      <c r="F1578" s="1862"/>
      <c r="G1578" s="1862"/>
      <c r="H1578" s="1862"/>
      <c r="I1578" s="1862">
        <f>Tabla1[[#This Row],[Extraccion
Norte II]]+Tabla1[[#This Row],[Extraccion
ENO]]</f>
        <v>0</v>
      </c>
      <c r="J1578" s="1862"/>
      <c r="K1578" s="1862"/>
      <c r="L1578" s="1862">
        <f t="shared" si="125"/>
        <v>0</v>
      </c>
      <c r="M1578" s="1862">
        <f>M1577+Tabla1[[#This Row],[Desbalance
TPL]]</f>
        <v>-673433.8428743222</v>
      </c>
    </row>
    <row r="1579" spans="2:13" x14ac:dyDescent="0.25">
      <c r="B1579" s="1859">
        <f t="shared" si="122"/>
        <v>2017</v>
      </c>
      <c r="C1579" s="1859">
        <f t="shared" si="123"/>
        <v>10</v>
      </c>
      <c r="D1579" s="1860">
        <f t="shared" si="124"/>
        <v>43038</v>
      </c>
      <c r="E1579" s="1861">
        <v>43038</v>
      </c>
      <c r="F1579" s="1862"/>
      <c r="G1579" s="1862"/>
      <c r="H1579" s="1862"/>
      <c r="I1579" s="1862">
        <f>Tabla1[[#This Row],[Extraccion
Norte II]]+Tabla1[[#This Row],[Extraccion
ENO]]</f>
        <v>0</v>
      </c>
      <c r="J1579" s="1862"/>
      <c r="K1579" s="1862"/>
      <c r="L1579" s="1862">
        <f t="shared" si="125"/>
        <v>0</v>
      </c>
      <c r="M1579" s="1862">
        <f>M1578+Tabla1[[#This Row],[Desbalance
TPL]]</f>
        <v>-673433.8428743222</v>
      </c>
    </row>
    <row r="1580" spans="2:13" x14ac:dyDescent="0.25">
      <c r="B1580" s="1859">
        <f t="shared" si="122"/>
        <v>2017</v>
      </c>
      <c r="C1580" s="1859">
        <f t="shared" si="123"/>
        <v>10</v>
      </c>
      <c r="D1580" s="1860">
        <f t="shared" si="124"/>
        <v>43039</v>
      </c>
      <c r="E1580" s="1861">
        <v>43039</v>
      </c>
      <c r="F1580" s="1862"/>
      <c r="G1580" s="1862"/>
      <c r="H1580" s="1862"/>
      <c r="I1580" s="1862">
        <f>Tabla1[[#This Row],[Extraccion
Norte II]]+Tabla1[[#This Row],[Extraccion
ENO]]</f>
        <v>0</v>
      </c>
      <c r="J1580" s="1862"/>
      <c r="K1580" s="1862"/>
      <c r="L1580" s="1862">
        <f t="shared" si="125"/>
        <v>0</v>
      </c>
      <c r="M1580" s="1862">
        <f>M1579+Tabla1[[#This Row],[Desbalance
TPL]]</f>
        <v>-673433.8428743222</v>
      </c>
    </row>
    <row r="1581" spans="2:13" x14ac:dyDescent="0.25">
      <c r="B1581" s="1859">
        <f t="shared" si="122"/>
        <v>2017</v>
      </c>
      <c r="C1581" s="1859">
        <f t="shared" si="123"/>
        <v>11</v>
      </c>
      <c r="D1581" s="1860">
        <f t="shared" si="124"/>
        <v>43040</v>
      </c>
      <c r="E1581" s="1861">
        <v>43040</v>
      </c>
      <c r="F1581" s="1862"/>
      <c r="G1581" s="1862"/>
      <c r="H1581" s="1862"/>
      <c r="I1581" s="1862">
        <f>Tabla1[[#This Row],[Extraccion
Norte II]]+Tabla1[[#This Row],[Extraccion
ENO]]</f>
        <v>0</v>
      </c>
      <c r="J1581" s="1862"/>
      <c r="K1581" s="1862"/>
      <c r="L1581" s="1862">
        <f t="shared" si="125"/>
        <v>0</v>
      </c>
      <c r="M1581" s="1862">
        <f>M1580+Tabla1[[#This Row],[Desbalance
TPL]]</f>
        <v>-673433.8428743222</v>
      </c>
    </row>
    <row r="1582" spans="2:13" x14ac:dyDescent="0.25">
      <c r="B1582" s="1859">
        <f t="shared" si="122"/>
        <v>2017</v>
      </c>
      <c r="C1582" s="1859">
        <f t="shared" si="123"/>
        <v>11</v>
      </c>
      <c r="D1582" s="1860">
        <f t="shared" si="124"/>
        <v>43041</v>
      </c>
      <c r="E1582" s="1861">
        <v>43041</v>
      </c>
      <c r="F1582" s="1862"/>
      <c r="G1582" s="1862"/>
      <c r="H1582" s="1862"/>
      <c r="I1582" s="1862">
        <f>Tabla1[[#This Row],[Extraccion
Norte II]]+Tabla1[[#This Row],[Extraccion
ENO]]</f>
        <v>0</v>
      </c>
      <c r="J1582" s="1862"/>
      <c r="K1582" s="1862"/>
      <c r="L1582" s="1862">
        <f t="shared" si="125"/>
        <v>0</v>
      </c>
      <c r="M1582" s="1862">
        <f>M1581+Tabla1[[#This Row],[Desbalance
TPL]]</f>
        <v>-673433.8428743222</v>
      </c>
    </row>
    <row r="1583" spans="2:13" x14ac:dyDescent="0.25">
      <c r="B1583" s="1859">
        <f t="shared" si="122"/>
        <v>2017</v>
      </c>
      <c r="C1583" s="1859">
        <f t="shared" si="123"/>
        <v>11</v>
      </c>
      <c r="D1583" s="1860">
        <f t="shared" si="124"/>
        <v>43042</v>
      </c>
      <c r="E1583" s="1861">
        <v>43042</v>
      </c>
      <c r="F1583" s="1862"/>
      <c r="G1583" s="1862"/>
      <c r="H1583" s="1862"/>
      <c r="I1583" s="1862">
        <f>Tabla1[[#This Row],[Extraccion
Norte II]]+Tabla1[[#This Row],[Extraccion
ENO]]</f>
        <v>0</v>
      </c>
      <c r="J1583" s="1862"/>
      <c r="K1583" s="1862"/>
      <c r="L1583" s="1862">
        <f t="shared" si="125"/>
        <v>0</v>
      </c>
      <c r="M1583" s="1862">
        <f>M1582+Tabla1[[#This Row],[Desbalance
TPL]]</f>
        <v>-673433.8428743222</v>
      </c>
    </row>
    <row r="1584" spans="2:13" x14ac:dyDescent="0.25">
      <c r="B1584" s="1859">
        <f t="shared" si="122"/>
        <v>2017</v>
      </c>
      <c r="C1584" s="1859">
        <f t="shared" si="123"/>
        <v>11</v>
      </c>
      <c r="D1584" s="1860">
        <f t="shared" si="124"/>
        <v>43043</v>
      </c>
      <c r="E1584" s="1861">
        <v>43043</v>
      </c>
      <c r="F1584" s="1862"/>
      <c r="G1584" s="1862"/>
      <c r="H1584" s="1862"/>
      <c r="I1584" s="1862">
        <f>Tabla1[[#This Row],[Extraccion
Norte II]]+Tabla1[[#This Row],[Extraccion
ENO]]</f>
        <v>0</v>
      </c>
      <c r="J1584" s="1862"/>
      <c r="K1584" s="1862"/>
      <c r="L1584" s="1862">
        <f t="shared" si="125"/>
        <v>0</v>
      </c>
      <c r="M1584" s="1862">
        <f>M1583+Tabla1[[#This Row],[Desbalance
TPL]]</f>
        <v>-673433.8428743222</v>
      </c>
    </row>
    <row r="1585" spans="2:13" x14ac:dyDescent="0.25">
      <c r="B1585" s="1859">
        <f t="shared" si="122"/>
        <v>2017</v>
      </c>
      <c r="C1585" s="1859">
        <f t="shared" si="123"/>
        <v>11</v>
      </c>
      <c r="D1585" s="1860">
        <f t="shared" si="124"/>
        <v>43044</v>
      </c>
      <c r="E1585" s="1861">
        <v>43044</v>
      </c>
      <c r="F1585" s="1862"/>
      <c r="G1585" s="1862"/>
      <c r="H1585" s="1862"/>
      <c r="I1585" s="1862">
        <f>Tabla1[[#This Row],[Extraccion
Norte II]]+Tabla1[[#This Row],[Extraccion
ENO]]</f>
        <v>0</v>
      </c>
      <c r="J1585" s="1862"/>
      <c r="K1585" s="1862"/>
      <c r="L1585" s="1862">
        <f t="shared" si="125"/>
        <v>0</v>
      </c>
      <c r="M1585" s="1862">
        <f>M1584+Tabla1[[#This Row],[Desbalance
TPL]]</f>
        <v>-673433.8428743222</v>
      </c>
    </row>
    <row r="1586" spans="2:13" x14ac:dyDescent="0.25">
      <c r="B1586" s="1859">
        <f t="shared" si="122"/>
        <v>2017</v>
      </c>
      <c r="C1586" s="1859">
        <f t="shared" si="123"/>
        <v>11</v>
      </c>
      <c r="D1586" s="1860">
        <f t="shared" si="124"/>
        <v>43045</v>
      </c>
      <c r="E1586" s="1861">
        <v>43045</v>
      </c>
      <c r="F1586" s="1862"/>
      <c r="G1586" s="1862"/>
      <c r="H1586" s="1862"/>
      <c r="I1586" s="1862">
        <f>Tabla1[[#This Row],[Extraccion
Norte II]]+Tabla1[[#This Row],[Extraccion
ENO]]</f>
        <v>0</v>
      </c>
      <c r="J1586" s="1862"/>
      <c r="K1586" s="1862"/>
      <c r="L1586" s="1862">
        <f t="shared" si="125"/>
        <v>0</v>
      </c>
      <c r="M1586" s="1862">
        <f>M1585+Tabla1[[#This Row],[Desbalance
TPL]]</f>
        <v>-673433.8428743222</v>
      </c>
    </row>
    <row r="1587" spans="2:13" x14ac:dyDescent="0.25">
      <c r="B1587" s="1859">
        <f t="shared" ref="B1587:B1650" si="126">YEAR(E1587)</f>
        <v>2017</v>
      </c>
      <c r="C1587" s="1859">
        <f t="shared" ref="C1587:C1650" si="127">MONTH(E1587)</f>
        <v>11</v>
      </c>
      <c r="D1587" s="1860">
        <f t="shared" ref="D1587:D1650" si="128">E1587</f>
        <v>43046</v>
      </c>
      <c r="E1587" s="1861">
        <v>43046</v>
      </c>
      <c r="F1587" s="1862"/>
      <c r="G1587" s="1862"/>
      <c r="H1587" s="1862"/>
      <c r="I1587" s="1862">
        <f>Tabla1[[#This Row],[Extraccion
Norte II]]+Tabla1[[#This Row],[Extraccion
ENO]]</f>
        <v>0</v>
      </c>
      <c r="J1587" s="1862"/>
      <c r="K1587" s="1862"/>
      <c r="L1587" s="1862">
        <f t="shared" si="125"/>
        <v>0</v>
      </c>
      <c r="M1587" s="1862">
        <f>M1586+Tabla1[[#This Row],[Desbalance
TPL]]</f>
        <v>-673433.8428743222</v>
      </c>
    </row>
    <row r="1588" spans="2:13" x14ac:dyDescent="0.25">
      <c r="B1588" s="1859">
        <f t="shared" si="126"/>
        <v>2017</v>
      </c>
      <c r="C1588" s="1859">
        <f t="shared" si="127"/>
        <v>11</v>
      </c>
      <c r="D1588" s="1860">
        <f t="shared" si="128"/>
        <v>43047</v>
      </c>
      <c r="E1588" s="1861">
        <v>43047</v>
      </c>
      <c r="F1588" s="1862"/>
      <c r="G1588" s="1862"/>
      <c r="H1588" s="1862"/>
      <c r="I1588" s="1862">
        <f>Tabla1[[#This Row],[Extraccion
Norte II]]+Tabla1[[#This Row],[Extraccion
ENO]]</f>
        <v>0</v>
      </c>
      <c r="J1588" s="1862"/>
      <c r="K1588" s="1862"/>
      <c r="L1588" s="1862">
        <f t="shared" si="125"/>
        <v>0</v>
      </c>
      <c r="M1588" s="1862">
        <f>M1587+Tabla1[[#This Row],[Desbalance
TPL]]</f>
        <v>-673433.8428743222</v>
      </c>
    </row>
    <row r="1589" spans="2:13" x14ac:dyDescent="0.25">
      <c r="B1589" s="1859">
        <f t="shared" si="126"/>
        <v>2017</v>
      </c>
      <c r="C1589" s="1859">
        <f t="shared" si="127"/>
        <v>11</v>
      </c>
      <c r="D1589" s="1860">
        <f t="shared" si="128"/>
        <v>43048</v>
      </c>
      <c r="E1589" s="1861">
        <v>43048</v>
      </c>
      <c r="F1589" s="1862"/>
      <c r="G1589" s="1862"/>
      <c r="H1589" s="1862"/>
      <c r="I1589" s="1862">
        <f>Tabla1[[#This Row],[Extraccion
Norte II]]+Tabla1[[#This Row],[Extraccion
ENO]]</f>
        <v>0</v>
      </c>
      <c r="J1589" s="1862"/>
      <c r="K1589" s="1862"/>
      <c r="L1589" s="1862">
        <f t="shared" si="125"/>
        <v>0</v>
      </c>
      <c r="M1589" s="1862">
        <f>M1588+Tabla1[[#This Row],[Desbalance
TPL]]</f>
        <v>-673433.8428743222</v>
      </c>
    </row>
    <row r="1590" spans="2:13" x14ac:dyDescent="0.25">
      <c r="B1590" s="1859">
        <f t="shared" si="126"/>
        <v>2017</v>
      </c>
      <c r="C1590" s="1859">
        <f t="shared" si="127"/>
        <v>11</v>
      </c>
      <c r="D1590" s="1860">
        <f t="shared" si="128"/>
        <v>43049</v>
      </c>
      <c r="E1590" s="1861">
        <v>43049</v>
      </c>
      <c r="F1590" s="1862"/>
      <c r="G1590" s="1862"/>
      <c r="H1590" s="1862"/>
      <c r="I1590" s="1862">
        <f>Tabla1[[#This Row],[Extraccion
Norte II]]+Tabla1[[#This Row],[Extraccion
ENO]]</f>
        <v>0</v>
      </c>
      <c r="J1590" s="1862"/>
      <c r="K1590" s="1862"/>
      <c r="L1590" s="1862">
        <f t="shared" si="125"/>
        <v>0</v>
      </c>
      <c r="M1590" s="1862">
        <f>M1589+Tabla1[[#This Row],[Desbalance
TPL]]</f>
        <v>-673433.8428743222</v>
      </c>
    </row>
    <row r="1591" spans="2:13" x14ac:dyDescent="0.25">
      <c r="B1591" s="1859">
        <f t="shared" si="126"/>
        <v>2017</v>
      </c>
      <c r="C1591" s="1859">
        <f t="shared" si="127"/>
        <v>11</v>
      </c>
      <c r="D1591" s="1860">
        <f t="shared" si="128"/>
        <v>43050</v>
      </c>
      <c r="E1591" s="1861">
        <v>43050</v>
      </c>
      <c r="F1591" s="1862"/>
      <c r="G1591" s="1862"/>
      <c r="H1591" s="1862"/>
      <c r="I1591" s="1862">
        <f>Tabla1[[#This Row],[Extraccion
Norte II]]+Tabla1[[#This Row],[Extraccion
ENO]]</f>
        <v>0</v>
      </c>
      <c r="J1591" s="1862"/>
      <c r="K1591" s="1862"/>
      <c r="L1591" s="1862">
        <f t="shared" si="125"/>
        <v>0</v>
      </c>
      <c r="M1591" s="1862">
        <f>M1590+Tabla1[[#This Row],[Desbalance
TPL]]</f>
        <v>-673433.8428743222</v>
      </c>
    </row>
    <row r="1592" spans="2:13" x14ac:dyDescent="0.25">
      <c r="B1592" s="1859">
        <f t="shared" si="126"/>
        <v>2017</v>
      </c>
      <c r="C1592" s="1859">
        <f t="shared" si="127"/>
        <v>11</v>
      </c>
      <c r="D1592" s="1860">
        <f t="shared" si="128"/>
        <v>43051</v>
      </c>
      <c r="E1592" s="1861">
        <v>43051</v>
      </c>
      <c r="F1592" s="1862"/>
      <c r="G1592" s="1862"/>
      <c r="H1592" s="1862"/>
      <c r="I1592" s="1862">
        <f>Tabla1[[#This Row],[Extraccion
Norte II]]+Tabla1[[#This Row],[Extraccion
ENO]]</f>
        <v>0</v>
      </c>
      <c r="J1592" s="1862"/>
      <c r="K1592" s="1862"/>
      <c r="L1592" s="1862">
        <f t="shared" si="125"/>
        <v>0</v>
      </c>
      <c r="M1592" s="1862">
        <f>M1591+Tabla1[[#This Row],[Desbalance
TPL]]</f>
        <v>-673433.8428743222</v>
      </c>
    </row>
    <row r="1593" spans="2:13" x14ac:dyDescent="0.25">
      <c r="B1593" s="1859">
        <f t="shared" si="126"/>
        <v>2017</v>
      </c>
      <c r="C1593" s="1859">
        <f t="shared" si="127"/>
        <v>11</v>
      </c>
      <c r="D1593" s="1860">
        <f t="shared" si="128"/>
        <v>43052</v>
      </c>
      <c r="E1593" s="1861">
        <v>43052</v>
      </c>
      <c r="F1593" s="1862"/>
      <c r="G1593" s="1862"/>
      <c r="H1593" s="1862"/>
      <c r="I1593" s="1862">
        <f>Tabla1[[#This Row],[Extraccion
Norte II]]+Tabla1[[#This Row],[Extraccion
ENO]]</f>
        <v>0</v>
      </c>
      <c r="J1593" s="1862"/>
      <c r="K1593" s="1862"/>
      <c r="L1593" s="1862">
        <f t="shared" si="125"/>
        <v>0</v>
      </c>
      <c r="M1593" s="1862">
        <f>M1592+Tabla1[[#This Row],[Desbalance
TPL]]</f>
        <v>-673433.8428743222</v>
      </c>
    </row>
    <row r="1594" spans="2:13" x14ac:dyDescent="0.25">
      <c r="B1594" s="1859">
        <f t="shared" si="126"/>
        <v>2017</v>
      </c>
      <c r="C1594" s="1859">
        <f t="shared" si="127"/>
        <v>11</v>
      </c>
      <c r="D1594" s="1860">
        <f t="shared" si="128"/>
        <v>43053</v>
      </c>
      <c r="E1594" s="1861">
        <v>43053</v>
      </c>
      <c r="F1594" s="1862"/>
      <c r="G1594" s="1862"/>
      <c r="H1594" s="1862"/>
      <c r="I1594" s="1862">
        <f>Tabla1[[#This Row],[Extraccion
Norte II]]+Tabla1[[#This Row],[Extraccion
ENO]]</f>
        <v>0</v>
      </c>
      <c r="J1594" s="1862"/>
      <c r="K1594" s="1862"/>
      <c r="L1594" s="1862">
        <f t="shared" si="125"/>
        <v>0</v>
      </c>
      <c r="M1594" s="1862">
        <f>M1593+Tabla1[[#This Row],[Desbalance
TPL]]</f>
        <v>-673433.8428743222</v>
      </c>
    </row>
    <row r="1595" spans="2:13" x14ac:dyDescent="0.25">
      <c r="B1595" s="1859">
        <f t="shared" si="126"/>
        <v>2017</v>
      </c>
      <c r="C1595" s="1859">
        <f t="shared" si="127"/>
        <v>11</v>
      </c>
      <c r="D1595" s="1860">
        <f t="shared" si="128"/>
        <v>43054</v>
      </c>
      <c r="E1595" s="1861">
        <v>43054</v>
      </c>
      <c r="F1595" s="1862"/>
      <c r="G1595" s="1862"/>
      <c r="H1595" s="1862"/>
      <c r="I1595" s="1862">
        <f>Tabla1[[#This Row],[Extraccion
Norte II]]+Tabla1[[#This Row],[Extraccion
ENO]]</f>
        <v>0</v>
      </c>
      <c r="J1595" s="1862"/>
      <c r="K1595" s="1862"/>
      <c r="L1595" s="1862">
        <f t="shared" si="125"/>
        <v>0</v>
      </c>
      <c r="M1595" s="1862">
        <f>M1594+Tabla1[[#This Row],[Desbalance
TPL]]</f>
        <v>-673433.8428743222</v>
      </c>
    </row>
    <row r="1596" spans="2:13" x14ac:dyDescent="0.25">
      <c r="B1596" s="1859">
        <f t="shared" si="126"/>
        <v>2017</v>
      </c>
      <c r="C1596" s="1859">
        <f t="shared" si="127"/>
        <v>11</v>
      </c>
      <c r="D1596" s="1860">
        <f t="shared" si="128"/>
        <v>43055</v>
      </c>
      <c r="E1596" s="1861">
        <v>43055</v>
      </c>
      <c r="F1596" s="1862"/>
      <c r="G1596" s="1862"/>
      <c r="H1596" s="1862"/>
      <c r="I1596" s="1862">
        <f>Tabla1[[#This Row],[Extraccion
Norte II]]+Tabla1[[#This Row],[Extraccion
ENO]]</f>
        <v>0</v>
      </c>
      <c r="J1596" s="1862"/>
      <c r="K1596" s="1862"/>
      <c r="L1596" s="1862">
        <f t="shared" si="125"/>
        <v>0</v>
      </c>
      <c r="M1596" s="1862">
        <f>M1595+Tabla1[[#This Row],[Desbalance
TPL]]</f>
        <v>-673433.8428743222</v>
      </c>
    </row>
    <row r="1597" spans="2:13" x14ac:dyDescent="0.25">
      <c r="B1597" s="1859">
        <f t="shared" si="126"/>
        <v>2017</v>
      </c>
      <c r="C1597" s="1859">
        <f t="shared" si="127"/>
        <v>11</v>
      </c>
      <c r="D1597" s="1860">
        <f t="shared" si="128"/>
        <v>43056</v>
      </c>
      <c r="E1597" s="1861">
        <v>43056</v>
      </c>
      <c r="F1597" s="1862"/>
      <c r="G1597" s="1862"/>
      <c r="H1597" s="1862"/>
      <c r="I1597" s="1862">
        <f>Tabla1[[#This Row],[Extraccion
Norte II]]+Tabla1[[#This Row],[Extraccion
ENO]]</f>
        <v>0</v>
      </c>
      <c r="J1597" s="1862"/>
      <c r="K1597" s="1862"/>
      <c r="L1597" s="1862">
        <f t="shared" si="125"/>
        <v>0</v>
      </c>
      <c r="M1597" s="1862">
        <f>M1596+Tabla1[[#This Row],[Desbalance
TPL]]</f>
        <v>-673433.8428743222</v>
      </c>
    </row>
    <row r="1598" spans="2:13" x14ac:dyDescent="0.25">
      <c r="B1598" s="1859">
        <f t="shared" si="126"/>
        <v>2017</v>
      </c>
      <c r="C1598" s="1859">
        <f t="shared" si="127"/>
        <v>11</v>
      </c>
      <c r="D1598" s="1860">
        <f t="shared" si="128"/>
        <v>43057</v>
      </c>
      <c r="E1598" s="1861">
        <v>43057</v>
      </c>
      <c r="F1598" s="1862"/>
      <c r="G1598" s="1862"/>
      <c r="H1598" s="1862"/>
      <c r="I1598" s="1862">
        <f>Tabla1[[#This Row],[Extraccion
Norte II]]+Tabla1[[#This Row],[Extraccion
ENO]]</f>
        <v>0</v>
      </c>
      <c r="J1598" s="1862"/>
      <c r="K1598" s="1862"/>
      <c r="L1598" s="1862">
        <f t="shared" si="125"/>
        <v>0</v>
      </c>
      <c r="M1598" s="1862">
        <f>M1597+Tabla1[[#This Row],[Desbalance
TPL]]</f>
        <v>-673433.8428743222</v>
      </c>
    </row>
    <row r="1599" spans="2:13" x14ac:dyDescent="0.25">
      <c r="B1599" s="1859">
        <f t="shared" si="126"/>
        <v>2017</v>
      </c>
      <c r="C1599" s="1859">
        <f t="shared" si="127"/>
        <v>11</v>
      </c>
      <c r="D1599" s="1860">
        <f t="shared" si="128"/>
        <v>43058</v>
      </c>
      <c r="E1599" s="1861">
        <v>43058</v>
      </c>
      <c r="F1599" s="1862"/>
      <c r="G1599" s="1862"/>
      <c r="H1599" s="1862"/>
      <c r="I1599" s="1862">
        <f>Tabla1[[#This Row],[Extraccion
Norte II]]+Tabla1[[#This Row],[Extraccion
ENO]]</f>
        <v>0</v>
      </c>
      <c r="J1599" s="1862"/>
      <c r="K1599" s="1862"/>
      <c r="L1599" s="1862">
        <f t="shared" si="125"/>
        <v>0</v>
      </c>
      <c r="M1599" s="1862">
        <f>M1598+Tabla1[[#This Row],[Desbalance
TPL]]</f>
        <v>-673433.8428743222</v>
      </c>
    </row>
    <row r="1600" spans="2:13" x14ac:dyDescent="0.25">
      <c r="B1600" s="1859">
        <f t="shared" si="126"/>
        <v>2017</v>
      </c>
      <c r="C1600" s="1859">
        <f t="shared" si="127"/>
        <v>11</v>
      </c>
      <c r="D1600" s="1860">
        <f t="shared" si="128"/>
        <v>43059</v>
      </c>
      <c r="E1600" s="1861">
        <v>43059</v>
      </c>
      <c r="F1600" s="1862"/>
      <c r="G1600" s="1862"/>
      <c r="H1600" s="1862"/>
      <c r="I1600" s="1862">
        <f>Tabla1[[#This Row],[Extraccion
Norte II]]+Tabla1[[#This Row],[Extraccion
ENO]]</f>
        <v>0</v>
      </c>
      <c r="J1600" s="1862"/>
      <c r="K1600" s="1862"/>
      <c r="L1600" s="1862">
        <f t="shared" si="125"/>
        <v>0</v>
      </c>
      <c r="M1600" s="1862">
        <f>M1599+Tabla1[[#This Row],[Desbalance
TPL]]</f>
        <v>-673433.8428743222</v>
      </c>
    </row>
    <row r="1601" spans="2:13" x14ac:dyDescent="0.25">
      <c r="B1601" s="1859">
        <f t="shared" si="126"/>
        <v>2017</v>
      </c>
      <c r="C1601" s="1859">
        <f t="shared" si="127"/>
        <v>11</v>
      </c>
      <c r="D1601" s="1860">
        <f t="shared" si="128"/>
        <v>43060</v>
      </c>
      <c r="E1601" s="1861">
        <v>43060</v>
      </c>
      <c r="F1601" s="1862"/>
      <c r="G1601" s="1862"/>
      <c r="H1601" s="1862"/>
      <c r="I1601" s="1862">
        <f>Tabla1[[#This Row],[Extraccion
Norte II]]+Tabla1[[#This Row],[Extraccion
ENO]]</f>
        <v>0</v>
      </c>
      <c r="J1601" s="1862"/>
      <c r="K1601" s="1862"/>
      <c r="L1601" s="1862">
        <f t="shared" si="125"/>
        <v>0</v>
      </c>
      <c r="M1601" s="1862">
        <f>M1600+Tabla1[[#This Row],[Desbalance
TPL]]</f>
        <v>-673433.8428743222</v>
      </c>
    </row>
    <row r="1602" spans="2:13" x14ac:dyDescent="0.25">
      <c r="B1602" s="1859">
        <f t="shared" si="126"/>
        <v>2017</v>
      </c>
      <c r="C1602" s="1859">
        <f t="shared" si="127"/>
        <v>11</v>
      </c>
      <c r="D1602" s="1860">
        <f t="shared" si="128"/>
        <v>43061</v>
      </c>
      <c r="E1602" s="1861">
        <v>43061</v>
      </c>
      <c r="F1602" s="1862"/>
      <c r="G1602" s="1862"/>
      <c r="H1602" s="1862"/>
      <c r="I1602" s="1862">
        <f>Tabla1[[#This Row],[Extraccion
Norte II]]+Tabla1[[#This Row],[Extraccion
ENO]]</f>
        <v>0</v>
      </c>
      <c r="J1602" s="1862"/>
      <c r="K1602" s="1862"/>
      <c r="L1602" s="1862">
        <f t="shared" si="125"/>
        <v>0</v>
      </c>
      <c r="M1602" s="1862">
        <f>M1601+Tabla1[[#This Row],[Desbalance
TPL]]</f>
        <v>-673433.8428743222</v>
      </c>
    </row>
    <row r="1603" spans="2:13" x14ac:dyDescent="0.25">
      <c r="B1603" s="1859">
        <f t="shared" si="126"/>
        <v>2017</v>
      </c>
      <c r="C1603" s="1859">
        <f t="shared" si="127"/>
        <v>11</v>
      </c>
      <c r="D1603" s="1860">
        <f t="shared" si="128"/>
        <v>43062</v>
      </c>
      <c r="E1603" s="1861">
        <v>43062</v>
      </c>
      <c r="F1603" s="1862"/>
      <c r="G1603" s="1862"/>
      <c r="H1603" s="1862"/>
      <c r="I1603" s="1862">
        <f>Tabla1[[#This Row],[Extraccion
Norte II]]+Tabla1[[#This Row],[Extraccion
ENO]]</f>
        <v>0</v>
      </c>
      <c r="J1603" s="1862"/>
      <c r="K1603" s="1862"/>
      <c r="L1603" s="1862">
        <f t="shared" si="125"/>
        <v>0</v>
      </c>
      <c r="M1603" s="1862">
        <f>M1602+Tabla1[[#This Row],[Desbalance
TPL]]</f>
        <v>-673433.8428743222</v>
      </c>
    </row>
    <row r="1604" spans="2:13" x14ac:dyDescent="0.25">
      <c r="B1604" s="1859">
        <f t="shared" si="126"/>
        <v>2017</v>
      </c>
      <c r="C1604" s="1859">
        <f t="shared" si="127"/>
        <v>11</v>
      </c>
      <c r="D1604" s="1860">
        <f t="shared" si="128"/>
        <v>43063</v>
      </c>
      <c r="E1604" s="1861">
        <v>43063</v>
      </c>
      <c r="F1604" s="1862"/>
      <c r="G1604" s="1862"/>
      <c r="H1604" s="1862"/>
      <c r="I1604" s="1862">
        <f>Tabla1[[#This Row],[Extraccion
Norte II]]+Tabla1[[#This Row],[Extraccion
ENO]]</f>
        <v>0</v>
      </c>
      <c r="J1604" s="1862"/>
      <c r="K1604" s="1862"/>
      <c r="L1604" s="1862">
        <f t="shared" si="125"/>
        <v>0</v>
      </c>
      <c r="M1604" s="1862">
        <f>M1603+Tabla1[[#This Row],[Desbalance
TPL]]</f>
        <v>-673433.8428743222</v>
      </c>
    </row>
    <row r="1605" spans="2:13" x14ac:dyDescent="0.25">
      <c r="B1605" s="1859">
        <f t="shared" si="126"/>
        <v>2017</v>
      </c>
      <c r="C1605" s="1859">
        <f t="shared" si="127"/>
        <v>11</v>
      </c>
      <c r="D1605" s="1860">
        <f t="shared" si="128"/>
        <v>43064</v>
      </c>
      <c r="E1605" s="1861">
        <v>43064</v>
      </c>
      <c r="F1605" s="1862"/>
      <c r="G1605" s="1862"/>
      <c r="H1605" s="1862"/>
      <c r="I1605" s="1862">
        <f>Tabla1[[#This Row],[Extraccion
Norte II]]+Tabla1[[#This Row],[Extraccion
ENO]]</f>
        <v>0</v>
      </c>
      <c r="J1605" s="1862"/>
      <c r="K1605" s="1862"/>
      <c r="L1605" s="1862">
        <f t="shared" si="125"/>
        <v>0</v>
      </c>
      <c r="M1605" s="1862">
        <f>M1604+Tabla1[[#This Row],[Desbalance
TPL]]</f>
        <v>-673433.8428743222</v>
      </c>
    </row>
    <row r="1606" spans="2:13" x14ac:dyDescent="0.25">
      <c r="B1606" s="1859">
        <f t="shared" si="126"/>
        <v>2017</v>
      </c>
      <c r="C1606" s="1859">
        <f t="shared" si="127"/>
        <v>11</v>
      </c>
      <c r="D1606" s="1860">
        <f t="shared" si="128"/>
        <v>43065</v>
      </c>
      <c r="E1606" s="1861">
        <v>43065</v>
      </c>
      <c r="F1606" s="1862"/>
      <c r="G1606" s="1862"/>
      <c r="H1606" s="1862"/>
      <c r="I1606" s="1862">
        <f>Tabla1[[#This Row],[Extraccion
Norte II]]+Tabla1[[#This Row],[Extraccion
ENO]]</f>
        <v>0</v>
      </c>
      <c r="J1606" s="1862"/>
      <c r="K1606" s="1862"/>
      <c r="L1606" s="1862">
        <f t="shared" si="125"/>
        <v>0</v>
      </c>
      <c r="M1606" s="1862">
        <f>M1605+Tabla1[[#This Row],[Desbalance
TPL]]</f>
        <v>-673433.8428743222</v>
      </c>
    </row>
    <row r="1607" spans="2:13" x14ac:dyDescent="0.25">
      <c r="B1607" s="1859">
        <f t="shared" si="126"/>
        <v>2017</v>
      </c>
      <c r="C1607" s="1859">
        <f t="shared" si="127"/>
        <v>11</v>
      </c>
      <c r="D1607" s="1860">
        <f t="shared" si="128"/>
        <v>43066</v>
      </c>
      <c r="E1607" s="1861">
        <v>43066</v>
      </c>
      <c r="F1607" s="1862"/>
      <c r="G1607" s="1862"/>
      <c r="H1607" s="1862"/>
      <c r="I1607" s="1862">
        <f>Tabla1[[#This Row],[Extraccion
Norte II]]+Tabla1[[#This Row],[Extraccion
ENO]]</f>
        <v>0</v>
      </c>
      <c r="J1607" s="1862"/>
      <c r="K1607" s="1862"/>
      <c r="L1607" s="1862">
        <f t="shared" si="125"/>
        <v>0</v>
      </c>
      <c r="M1607" s="1862">
        <f>M1606+Tabla1[[#This Row],[Desbalance
TPL]]</f>
        <v>-673433.8428743222</v>
      </c>
    </row>
    <row r="1608" spans="2:13" x14ac:dyDescent="0.25">
      <c r="B1608" s="1859">
        <f t="shared" si="126"/>
        <v>2017</v>
      </c>
      <c r="C1608" s="1859">
        <f t="shared" si="127"/>
        <v>11</v>
      </c>
      <c r="D1608" s="1860">
        <f t="shared" si="128"/>
        <v>43067</v>
      </c>
      <c r="E1608" s="1861">
        <v>43067</v>
      </c>
      <c r="F1608" s="1862"/>
      <c r="G1608" s="1862"/>
      <c r="H1608" s="1862"/>
      <c r="I1608" s="1862">
        <f>Tabla1[[#This Row],[Extraccion
Norte II]]+Tabla1[[#This Row],[Extraccion
ENO]]</f>
        <v>0</v>
      </c>
      <c r="J1608" s="1862"/>
      <c r="K1608" s="1862"/>
      <c r="L1608" s="1862">
        <f t="shared" si="125"/>
        <v>0</v>
      </c>
      <c r="M1608" s="1862">
        <f>M1607+Tabla1[[#This Row],[Desbalance
TPL]]</f>
        <v>-673433.8428743222</v>
      </c>
    </row>
    <row r="1609" spans="2:13" x14ac:dyDescent="0.25">
      <c r="B1609" s="1859">
        <f t="shared" si="126"/>
        <v>2017</v>
      </c>
      <c r="C1609" s="1859">
        <f t="shared" si="127"/>
        <v>11</v>
      </c>
      <c r="D1609" s="1860">
        <f t="shared" si="128"/>
        <v>43068</v>
      </c>
      <c r="E1609" s="1861">
        <v>43068</v>
      </c>
      <c r="F1609" s="1862"/>
      <c r="G1609" s="1862"/>
      <c r="H1609" s="1862"/>
      <c r="I1609" s="1862">
        <f>Tabla1[[#This Row],[Extraccion
Norte II]]+Tabla1[[#This Row],[Extraccion
ENO]]</f>
        <v>0</v>
      </c>
      <c r="J1609" s="1862"/>
      <c r="K1609" s="1862"/>
      <c r="L1609" s="1862">
        <f t="shared" si="125"/>
        <v>0</v>
      </c>
      <c r="M1609" s="1862">
        <f>M1608+Tabla1[[#This Row],[Desbalance
TPL]]</f>
        <v>-673433.8428743222</v>
      </c>
    </row>
    <row r="1610" spans="2:13" x14ac:dyDescent="0.25">
      <c r="B1610" s="1859">
        <f t="shared" si="126"/>
        <v>2017</v>
      </c>
      <c r="C1610" s="1859">
        <f t="shared" si="127"/>
        <v>11</v>
      </c>
      <c r="D1610" s="1860">
        <f t="shared" si="128"/>
        <v>43069</v>
      </c>
      <c r="E1610" s="1861">
        <v>43069</v>
      </c>
      <c r="F1610" s="1862"/>
      <c r="G1610" s="1862"/>
      <c r="H1610" s="1862"/>
      <c r="I1610" s="1862">
        <f>Tabla1[[#This Row],[Extraccion
Norte II]]+Tabla1[[#This Row],[Extraccion
ENO]]</f>
        <v>0</v>
      </c>
      <c r="J1610" s="1862"/>
      <c r="K1610" s="1862"/>
      <c r="L1610" s="1862">
        <f t="shared" si="125"/>
        <v>0</v>
      </c>
      <c r="M1610" s="1862">
        <f>M1609+Tabla1[[#This Row],[Desbalance
TPL]]</f>
        <v>-673433.8428743222</v>
      </c>
    </row>
    <row r="1611" spans="2:13" x14ac:dyDescent="0.25">
      <c r="B1611" s="1859">
        <f t="shared" si="126"/>
        <v>2017</v>
      </c>
      <c r="C1611" s="1859">
        <f t="shared" si="127"/>
        <v>12</v>
      </c>
      <c r="D1611" s="1860">
        <f t="shared" si="128"/>
        <v>43070</v>
      </c>
      <c r="E1611" s="1861">
        <v>43070</v>
      </c>
      <c r="F1611" s="1862"/>
      <c r="G1611" s="1862"/>
      <c r="H1611" s="1862"/>
      <c r="I1611" s="1862">
        <f>Tabla1[[#This Row],[Extraccion
Norte II]]+Tabla1[[#This Row],[Extraccion
ENO]]</f>
        <v>0</v>
      </c>
      <c r="J1611" s="1862"/>
      <c r="K1611" s="1862"/>
      <c r="L1611" s="1862">
        <f t="shared" si="125"/>
        <v>0</v>
      </c>
      <c r="M1611" s="1862">
        <f>M1610+Tabla1[[#This Row],[Desbalance
TPL]]</f>
        <v>-673433.8428743222</v>
      </c>
    </row>
    <row r="1612" spans="2:13" x14ac:dyDescent="0.25">
      <c r="B1612" s="1859">
        <f t="shared" si="126"/>
        <v>2017</v>
      </c>
      <c r="C1612" s="1859">
        <f t="shared" si="127"/>
        <v>12</v>
      </c>
      <c r="D1612" s="1860">
        <f t="shared" si="128"/>
        <v>43071</v>
      </c>
      <c r="E1612" s="1861">
        <v>43071</v>
      </c>
      <c r="F1612" s="1862"/>
      <c r="G1612" s="1862"/>
      <c r="H1612" s="1862"/>
      <c r="I1612" s="1862">
        <f>Tabla1[[#This Row],[Extraccion
Norte II]]+Tabla1[[#This Row],[Extraccion
ENO]]</f>
        <v>0</v>
      </c>
      <c r="J1612" s="1862"/>
      <c r="K1612" s="1862"/>
      <c r="L1612" s="1862">
        <f t="shared" ref="L1612:L1675" si="129">H1612-I1612</f>
        <v>0</v>
      </c>
      <c r="M1612" s="1862">
        <f>M1611+Tabla1[[#This Row],[Desbalance
TPL]]</f>
        <v>-673433.8428743222</v>
      </c>
    </row>
    <row r="1613" spans="2:13" x14ac:dyDescent="0.25">
      <c r="B1613" s="1859">
        <f t="shared" si="126"/>
        <v>2017</v>
      </c>
      <c r="C1613" s="1859">
        <f t="shared" si="127"/>
        <v>12</v>
      </c>
      <c r="D1613" s="1860">
        <f t="shared" si="128"/>
        <v>43072</v>
      </c>
      <c r="E1613" s="1861">
        <v>43072</v>
      </c>
      <c r="F1613" s="1862"/>
      <c r="G1613" s="1862"/>
      <c r="H1613" s="1862"/>
      <c r="I1613" s="1862">
        <f>Tabla1[[#This Row],[Extraccion
Norte II]]+Tabla1[[#This Row],[Extraccion
ENO]]</f>
        <v>0</v>
      </c>
      <c r="J1613" s="1862"/>
      <c r="K1613" s="1862"/>
      <c r="L1613" s="1862">
        <f t="shared" si="129"/>
        <v>0</v>
      </c>
      <c r="M1613" s="1862">
        <f>M1612+Tabla1[[#This Row],[Desbalance
TPL]]</f>
        <v>-673433.8428743222</v>
      </c>
    </row>
    <row r="1614" spans="2:13" x14ac:dyDescent="0.25">
      <c r="B1614" s="1859">
        <f t="shared" si="126"/>
        <v>2017</v>
      </c>
      <c r="C1614" s="1859">
        <f t="shared" si="127"/>
        <v>12</v>
      </c>
      <c r="D1614" s="1860">
        <f t="shared" si="128"/>
        <v>43073</v>
      </c>
      <c r="E1614" s="1861">
        <v>43073</v>
      </c>
      <c r="F1614" s="1862"/>
      <c r="G1614" s="1862"/>
      <c r="H1614" s="1862"/>
      <c r="I1614" s="1862">
        <f>Tabla1[[#This Row],[Extraccion
Norte II]]+Tabla1[[#This Row],[Extraccion
ENO]]</f>
        <v>0</v>
      </c>
      <c r="J1614" s="1862"/>
      <c r="K1614" s="1862"/>
      <c r="L1614" s="1862">
        <f t="shared" si="129"/>
        <v>0</v>
      </c>
      <c r="M1614" s="1862">
        <f>M1613+Tabla1[[#This Row],[Desbalance
TPL]]</f>
        <v>-673433.8428743222</v>
      </c>
    </row>
    <row r="1615" spans="2:13" x14ac:dyDescent="0.25">
      <c r="B1615" s="1859">
        <f t="shared" si="126"/>
        <v>2017</v>
      </c>
      <c r="C1615" s="1859">
        <f t="shared" si="127"/>
        <v>12</v>
      </c>
      <c r="D1615" s="1860">
        <f t="shared" si="128"/>
        <v>43074</v>
      </c>
      <c r="E1615" s="1861">
        <v>43074</v>
      </c>
      <c r="F1615" s="1862"/>
      <c r="G1615" s="1862"/>
      <c r="H1615" s="1862"/>
      <c r="I1615" s="1862">
        <f>Tabla1[[#This Row],[Extraccion
Norte II]]+Tabla1[[#This Row],[Extraccion
ENO]]</f>
        <v>0</v>
      </c>
      <c r="J1615" s="1862"/>
      <c r="K1615" s="1862"/>
      <c r="L1615" s="1862">
        <f t="shared" si="129"/>
        <v>0</v>
      </c>
      <c r="M1615" s="1862">
        <f>M1614+Tabla1[[#This Row],[Desbalance
TPL]]</f>
        <v>-673433.8428743222</v>
      </c>
    </row>
    <row r="1616" spans="2:13" x14ac:dyDescent="0.25">
      <c r="B1616" s="1859">
        <f t="shared" si="126"/>
        <v>2017</v>
      </c>
      <c r="C1616" s="1859">
        <f t="shared" si="127"/>
        <v>12</v>
      </c>
      <c r="D1616" s="1860">
        <f t="shared" si="128"/>
        <v>43075</v>
      </c>
      <c r="E1616" s="1861">
        <v>43075</v>
      </c>
      <c r="F1616" s="1862"/>
      <c r="G1616" s="1862"/>
      <c r="H1616" s="1862"/>
      <c r="I1616" s="1862">
        <f>Tabla1[[#This Row],[Extraccion
Norte II]]+Tabla1[[#This Row],[Extraccion
ENO]]</f>
        <v>0</v>
      </c>
      <c r="J1616" s="1862"/>
      <c r="K1616" s="1862"/>
      <c r="L1616" s="1862">
        <f t="shared" si="129"/>
        <v>0</v>
      </c>
      <c r="M1616" s="1862">
        <f>M1615+Tabla1[[#This Row],[Desbalance
TPL]]</f>
        <v>-673433.8428743222</v>
      </c>
    </row>
    <row r="1617" spans="2:13" x14ac:dyDescent="0.25">
      <c r="B1617" s="1859">
        <f t="shared" si="126"/>
        <v>2017</v>
      </c>
      <c r="C1617" s="1859">
        <f t="shared" si="127"/>
        <v>12</v>
      </c>
      <c r="D1617" s="1860">
        <f t="shared" si="128"/>
        <v>43076</v>
      </c>
      <c r="E1617" s="1861">
        <v>43076</v>
      </c>
      <c r="F1617" s="1862"/>
      <c r="G1617" s="1862"/>
      <c r="H1617" s="1862"/>
      <c r="I1617" s="1862">
        <f>Tabla1[[#This Row],[Extraccion
Norte II]]+Tabla1[[#This Row],[Extraccion
ENO]]</f>
        <v>0</v>
      </c>
      <c r="J1617" s="1862"/>
      <c r="K1617" s="1862"/>
      <c r="L1617" s="1862">
        <f t="shared" si="129"/>
        <v>0</v>
      </c>
      <c r="M1617" s="1862">
        <f>M1616+Tabla1[[#This Row],[Desbalance
TPL]]</f>
        <v>-673433.8428743222</v>
      </c>
    </row>
    <row r="1618" spans="2:13" x14ac:dyDescent="0.25">
      <c r="B1618" s="1859">
        <f t="shared" si="126"/>
        <v>2017</v>
      </c>
      <c r="C1618" s="1859">
        <f t="shared" si="127"/>
        <v>12</v>
      </c>
      <c r="D1618" s="1860">
        <f t="shared" si="128"/>
        <v>43077</v>
      </c>
      <c r="E1618" s="1861">
        <v>43077</v>
      </c>
      <c r="F1618" s="1862"/>
      <c r="G1618" s="1862"/>
      <c r="H1618" s="1862"/>
      <c r="I1618" s="1862">
        <f>Tabla1[[#This Row],[Extraccion
Norte II]]+Tabla1[[#This Row],[Extraccion
ENO]]</f>
        <v>0</v>
      </c>
      <c r="J1618" s="1862"/>
      <c r="K1618" s="1862"/>
      <c r="L1618" s="1862">
        <f t="shared" si="129"/>
        <v>0</v>
      </c>
      <c r="M1618" s="1862">
        <f>M1617+Tabla1[[#This Row],[Desbalance
TPL]]</f>
        <v>-673433.8428743222</v>
      </c>
    </row>
    <row r="1619" spans="2:13" x14ac:dyDescent="0.25">
      <c r="B1619" s="1859">
        <f t="shared" si="126"/>
        <v>2017</v>
      </c>
      <c r="C1619" s="1859">
        <f t="shared" si="127"/>
        <v>12</v>
      </c>
      <c r="D1619" s="1860">
        <f t="shared" si="128"/>
        <v>43078</v>
      </c>
      <c r="E1619" s="1861">
        <v>43078</v>
      </c>
      <c r="F1619" s="1862"/>
      <c r="G1619" s="1862"/>
      <c r="H1619" s="1862"/>
      <c r="I1619" s="1862">
        <f>Tabla1[[#This Row],[Extraccion
Norte II]]+Tabla1[[#This Row],[Extraccion
ENO]]</f>
        <v>0</v>
      </c>
      <c r="J1619" s="1862"/>
      <c r="K1619" s="1862"/>
      <c r="L1619" s="1862">
        <f t="shared" si="129"/>
        <v>0</v>
      </c>
      <c r="M1619" s="1862">
        <f>M1618+Tabla1[[#This Row],[Desbalance
TPL]]</f>
        <v>-673433.8428743222</v>
      </c>
    </row>
    <row r="1620" spans="2:13" x14ac:dyDescent="0.25">
      <c r="B1620" s="1859">
        <f t="shared" si="126"/>
        <v>2017</v>
      </c>
      <c r="C1620" s="1859">
        <f t="shared" si="127"/>
        <v>12</v>
      </c>
      <c r="D1620" s="1860">
        <f t="shared" si="128"/>
        <v>43079</v>
      </c>
      <c r="E1620" s="1861">
        <v>43079</v>
      </c>
      <c r="F1620" s="1862"/>
      <c r="G1620" s="1862"/>
      <c r="H1620" s="1862"/>
      <c r="I1620" s="1862">
        <f>Tabla1[[#This Row],[Extraccion
Norte II]]+Tabla1[[#This Row],[Extraccion
ENO]]</f>
        <v>0</v>
      </c>
      <c r="J1620" s="1862"/>
      <c r="K1620" s="1862"/>
      <c r="L1620" s="1862">
        <f t="shared" si="129"/>
        <v>0</v>
      </c>
      <c r="M1620" s="1862">
        <f>M1619+Tabla1[[#This Row],[Desbalance
TPL]]</f>
        <v>-673433.8428743222</v>
      </c>
    </row>
    <row r="1621" spans="2:13" x14ac:dyDescent="0.25">
      <c r="B1621" s="1859">
        <f t="shared" si="126"/>
        <v>2017</v>
      </c>
      <c r="C1621" s="1859">
        <f t="shared" si="127"/>
        <v>12</v>
      </c>
      <c r="D1621" s="1860">
        <f t="shared" si="128"/>
        <v>43080</v>
      </c>
      <c r="E1621" s="1861">
        <v>43080</v>
      </c>
      <c r="F1621" s="1862"/>
      <c r="G1621" s="1862"/>
      <c r="H1621" s="1862"/>
      <c r="I1621" s="1862">
        <f>Tabla1[[#This Row],[Extraccion
Norte II]]+Tabla1[[#This Row],[Extraccion
ENO]]</f>
        <v>0</v>
      </c>
      <c r="J1621" s="1862"/>
      <c r="K1621" s="1862"/>
      <c r="L1621" s="1862">
        <f t="shared" si="129"/>
        <v>0</v>
      </c>
      <c r="M1621" s="1862">
        <f>M1620+Tabla1[[#This Row],[Desbalance
TPL]]</f>
        <v>-673433.8428743222</v>
      </c>
    </row>
    <row r="1622" spans="2:13" x14ac:dyDescent="0.25">
      <c r="B1622" s="1859">
        <f t="shared" si="126"/>
        <v>2017</v>
      </c>
      <c r="C1622" s="1859">
        <f t="shared" si="127"/>
        <v>12</v>
      </c>
      <c r="D1622" s="1860">
        <f t="shared" si="128"/>
        <v>43081</v>
      </c>
      <c r="E1622" s="1861">
        <v>43081</v>
      </c>
      <c r="F1622" s="1862"/>
      <c r="G1622" s="1862"/>
      <c r="H1622" s="1862"/>
      <c r="I1622" s="1862">
        <f>Tabla1[[#This Row],[Extraccion
Norte II]]+Tabla1[[#This Row],[Extraccion
ENO]]</f>
        <v>0</v>
      </c>
      <c r="J1622" s="1862"/>
      <c r="K1622" s="1862"/>
      <c r="L1622" s="1862">
        <f t="shared" si="129"/>
        <v>0</v>
      </c>
      <c r="M1622" s="1862">
        <f>M1621+Tabla1[[#This Row],[Desbalance
TPL]]</f>
        <v>-673433.8428743222</v>
      </c>
    </row>
    <row r="1623" spans="2:13" x14ac:dyDescent="0.25">
      <c r="B1623" s="1859">
        <f t="shared" si="126"/>
        <v>2017</v>
      </c>
      <c r="C1623" s="1859">
        <f t="shared" si="127"/>
        <v>12</v>
      </c>
      <c r="D1623" s="1860">
        <f t="shared" si="128"/>
        <v>43082</v>
      </c>
      <c r="E1623" s="1861">
        <v>43082</v>
      </c>
      <c r="F1623" s="1862"/>
      <c r="G1623" s="1862"/>
      <c r="H1623" s="1862"/>
      <c r="I1623" s="1862">
        <f>Tabla1[[#This Row],[Extraccion
Norte II]]+Tabla1[[#This Row],[Extraccion
ENO]]</f>
        <v>0</v>
      </c>
      <c r="J1623" s="1862"/>
      <c r="K1623" s="1862"/>
      <c r="L1623" s="1862">
        <f t="shared" si="129"/>
        <v>0</v>
      </c>
      <c r="M1623" s="1862">
        <f>M1622+Tabla1[[#This Row],[Desbalance
TPL]]</f>
        <v>-673433.8428743222</v>
      </c>
    </row>
    <row r="1624" spans="2:13" x14ac:dyDescent="0.25">
      <c r="B1624" s="1859">
        <f t="shared" si="126"/>
        <v>2017</v>
      </c>
      <c r="C1624" s="1859">
        <f t="shared" si="127"/>
        <v>12</v>
      </c>
      <c r="D1624" s="1860">
        <f t="shared" si="128"/>
        <v>43083</v>
      </c>
      <c r="E1624" s="1861">
        <v>43083</v>
      </c>
      <c r="F1624" s="1862"/>
      <c r="G1624" s="1862"/>
      <c r="H1624" s="1862"/>
      <c r="I1624" s="1862">
        <f>Tabla1[[#This Row],[Extraccion
Norte II]]+Tabla1[[#This Row],[Extraccion
ENO]]</f>
        <v>0</v>
      </c>
      <c r="J1624" s="1862"/>
      <c r="K1624" s="1862"/>
      <c r="L1624" s="1862">
        <f t="shared" si="129"/>
        <v>0</v>
      </c>
      <c r="M1624" s="1862">
        <f>M1623+Tabla1[[#This Row],[Desbalance
TPL]]</f>
        <v>-673433.8428743222</v>
      </c>
    </row>
    <row r="1625" spans="2:13" x14ac:dyDescent="0.25">
      <c r="B1625" s="1859">
        <f t="shared" si="126"/>
        <v>2017</v>
      </c>
      <c r="C1625" s="1859">
        <f t="shared" si="127"/>
        <v>12</v>
      </c>
      <c r="D1625" s="1860">
        <f t="shared" si="128"/>
        <v>43084</v>
      </c>
      <c r="E1625" s="1861">
        <v>43084</v>
      </c>
      <c r="F1625" s="1862"/>
      <c r="G1625" s="1862"/>
      <c r="H1625" s="1862"/>
      <c r="I1625" s="1862">
        <f>Tabla1[[#This Row],[Extraccion
Norte II]]+Tabla1[[#This Row],[Extraccion
ENO]]</f>
        <v>0</v>
      </c>
      <c r="J1625" s="1862"/>
      <c r="K1625" s="1862"/>
      <c r="L1625" s="1862">
        <f t="shared" si="129"/>
        <v>0</v>
      </c>
      <c r="M1625" s="1862">
        <f>M1624+Tabla1[[#This Row],[Desbalance
TPL]]</f>
        <v>-673433.8428743222</v>
      </c>
    </row>
    <row r="1626" spans="2:13" x14ac:dyDescent="0.25">
      <c r="B1626" s="1859">
        <f t="shared" si="126"/>
        <v>2017</v>
      </c>
      <c r="C1626" s="1859">
        <f t="shared" si="127"/>
        <v>12</v>
      </c>
      <c r="D1626" s="1860">
        <f t="shared" si="128"/>
        <v>43085</v>
      </c>
      <c r="E1626" s="1861">
        <v>43085</v>
      </c>
      <c r="F1626" s="1862"/>
      <c r="G1626" s="1862"/>
      <c r="H1626" s="1862"/>
      <c r="I1626" s="1862">
        <f>Tabla1[[#This Row],[Extraccion
Norte II]]+Tabla1[[#This Row],[Extraccion
ENO]]</f>
        <v>0</v>
      </c>
      <c r="J1626" s="1862"/>
      <c r="K1626" s="1862"/>
      <c r="L1626" s="1862">
        <f t="shared" si="129"/>
        <v>0</v>
      </c>
      <c r="M1626" s="1862">
        <f>M1625+Tabla1[[#This Row],[Desbalance
TPL]]</f>
        <v>-673433.8428743222</v>
      </c>
    </row>
    <row r="1627" spans="2:13" x14ac:dyDescent="0.25">
      <c r="B1627" s="1859">
        <f t="shared" si="126"/>
        <v>2017</v>
      </c>
      <c r="C1627" s="1859">
        <f t="shared" si="127"/>
        <v>12</v>
      </c>
      <c r="D1627" s="1860">
        <f t="shared" si="128"/>
        <v>43086</v>
      </c>
      <c r="E1627" s="1861">
        <v>43086</v>
      </c>
      <c r="F1627" s="1862"/>
      <c r="G1627" s="1862"/>
      <c r="H1627" s="1862"/>
      <c r="I1627" s="1862">
        <f>Tabla1[[#This Row],[Extraccion
Norte II]]+Tabla1[[#This Row],[Extraccion
ENO]]</f>
        <v>0</v>
      </c>
      <c r="J1627" s="1862"/>
      <c r="K1627" s="1862"/>
      <c r="L1627" s="1862">
        <f t="shared" si="129"/>
        <v>0</v>
      </c>
      <c r="M1627" s="1862">
        <f>M1626+Tabla1[[#This Row],[Desbalance
TPL]]</f>
        <v>-673433.8428743222</v>
      </c>
    </row>
    <row r="1628" spans="2:13" x14ac:dyDescent="0.25">
      <c r="B1628" s="1859">
        <f t="shared" si="126"/>
        <v>2017</v>
      </c>
      <c r="C1628" s="1859">
        <f t="shared" si="127"/>
        <v>12</v>
      </c>
      <c r="D1628" s="1860">
        <f t="shared" si="128"/>
        <v>43087</v>
      </c>
      <c r="E1628" s="1861">
        <v>43087</v>
      </c>
      <c r="F1628" s="1862"/>
      <c r="G1628" s="1862"/>
      <c r="H1628" s="1862"/>
      <c r="I1628" s="1862">
        <f>Tabla1[[#This Row],[Extraccion
Norte II]]+Tabla1[[#This Row],[Extraccion
ENO]]</f>
        <v>0</v>
      </c>
      <c r="J1628" s="1862"/>
      <c r="K1628" s="1862"/>
      <c r="L1628" s="1862">
        <f t="shared" si="129"/>
        <v>0</v>
      </c>
      <c r="M1628" s="1862">
        <f>M1627+Tabla1[[#This Row],[Desbalance
TPL]]</f>
        <v>-673433.8428743222</v>
      </c>
    </row>
    <row r="1629" spans="2:13" x14ac:dyDescent="0.25">
      <c r="B1629" s="1859">
        <f t="shared" si="126"/>
        <v>2017</v>
      </c>
      <c r="C1629" s="1859">
        <f t="shared" si="127"/>
        <v>12</v>
      </c>
      <c r="D1629" s="1860">
        <f t="shared" si="128"/>
        <v>43088</v>
      </c>
      <c r="E1629" s="1861">
        <v>43088</v>
      </c>
      <c r="F1629" s="1862"/>
      <c r="G1629" s="1862"/>
      <c r="H1629" s="1862"/>
      <c r="I1629" s="1862">
        <f>Tabla1[[#This Row],[Extraccion
Norte II]]+Tabla1[[#This Row],[Extraccion
ENO]]</f>
        <v>0</v>
      </c>
      <c r="J1629" s="1862"/>
      <c r="K1629" s="1862"/>
      <c r="L1629" s="1862">
        <f t="shared" si="129"/>
        <v>0</v>
      </c>
      <c r="M1629" s="1862">
        <f>M1628+Tabla1[[#This Row],[Desbalance
TPL]]</f>
        <v>-673433.8428743222</v>
      </c>
    </row>
    <row r="1630" spans="2:13" x14ac:dyDescent="0.25">
      <c r="B1630" s="1859">
        <f t="shared" si="126"/>
        <v>2017</v>
      </c>
      <c r="C1630" s="1859">
        <f t="shared" si="127"/>
        <v>12</v>
      </c>
      <c r="D1630" s="1860">
        <f t="shared" si="128"/>
        <v>43089</v>
      </c>
      <c r="E1630" s="1861">
        <v>43089</v>
      </c>
      <c r="F1630" s="1862"/>
      <c r="G1630" s="1862"/>
      <c r="H1630" s="1862"/>
      <c r="I1630" s="1862">
        <f>Tabla1[[#This Row],[Extraccion
Norte II]]+Tabla1[[#This Row],[Extraccion
ENO]]</f>
        <v>0</v>
      </c>
      <c r="J1630" s="1862"/>
      <c r="K1630" s="1862"/>
      <c r="L1630" s="1862">
        <f t="shared" si="129"/>
        <v>0</v>
      </c>
      <c r="M1630" s="1862">
        <f>M1629+Tabla1[[#This Row],[Desbalance
TPL]]</f>
        <v>-673433.8428743222</v>
      </c>
    </row>
    <row r="1631" spans="2:13" x14ac:dyDescent="0.25">
      <c r="B1631" s="1859">
        <f t="shared" si="126"/>
        <v>2017</v>
      </c>
      <c r="C1631" s="1859">
        <f t="shared" si="127"/>
        <v>12</v>
      </c>
      <c r="D1631" s="1860">
        <f t="shared" si="128"/>
        <v>43090</v>
      </c>
      <c r="E1631" s="1861">
        <v>43090</v>
      </c>
      <c r="F1631" s="1862"/>
      <c r="G1631" s="1862"/>
      <c r="H1631" s="1862"/>
      <c r="I1631" s="1862">
        <f>Tabla1[[#This Row],[Extraccion
Norte II]]+Tabla1[[#This Row],[Extraccion
ENO]]</f>
        <v>0</v>
      </c>
      <c r="J1631" s="1862"/>
      <c r="K1631" s="1862"/>
      <c r="L1631" s="1862">
        <f t="shared" si="129"/>
        <v>0</v>
      </c>
      <c r="M1631" s="1862">
        <f>M1630+Tabla1[[#This Row],[Desbalance
TPL]]</f>
        <v>-673433.8428743222</v>
      </c>
    </row>
    <row r="1632" spans="2:13" x14ac:dyDescent="0.25">
      <c r="B1632" s="1859">
        <f t="shared" si="126"/>
        <v>2017</v>
      </c>
      <c r="C1632" s="1859">
        <f t="shared" si="127"/>
        <v>12</v>
      </c>
      <c r="D1632" s="1860">
        <f t="shared" si="128"/>
        <v>43091</v>
      </c>
      <c r="E1632" s="1861">
        <v>43091</v>
      </c>
      <c r="F1632" s="1862"/>
      <c r="G1632" s="1862"/>
      <c r="H1632" s="1862"/>
      <c r="I1632" s="1862">
        <f>Tabla1[[#This Row],[Extraccion
Norte II]]+Tabla1[[#This Row],[Extraccion
ENO]]</f>
        <v>0</v>
      </c>
      <c r="J1632" s="1862"/>
      <c r="K1632" s="1862"/>
      <c r="L1632" s="1862">
        <f t="shared" si="129"/>
        <v>0</v>
      </c>
      <c r="M1632" s="1862">
        <f>M1631+Tabla1[[#This Row],[Desbalance
TPL]]</f>
        <v>-673433.8428743222</v>
      </c>
    </row>
    <row r="1633" spans="2:13" x14ac:dyDescent="0.25">
      <c r="B1633" s="1859">
        <f t="shared" si="126"/>
        <v>2017</v>
      </c>
      <c r="C1633" s="1859">
        <f t="shared" si="127"/>
        <v>12</v>
      </c>
      <c r="D1633" s="1860">
        <f t="shared" si="128"/>
        <v>43092</v>
      </c>
      <c r="E1633" s="1861">
        <v>43092</v>
      </c>
      <c r="F1633" s="1862"/>
      <c r="G1633" s="1862"/>
      <c r="H1633" s="1862"/>
      <c r="I1633" s="1862">
        <f>Tabla1[[#This Row],[Extraccion
Norte II]]+Tabla1[[#This Row],[Extraccion
ENO]]</f>
        <v>0</v>
      </c>
      <c r="J1633" s="1862"/>
      <c r="K1633" s="1862"/>
      <c r="L1633" s="1862">
        <f t="shared" si="129"/>
        <v>0</v>
      </c>
      <c r="M1633" s="1862">
        <f>M1632+Tabla1[[#This Row],[Desbalance
TPL]]</f>
        <v>-673433.8428743222</v>
      </c>
    </row>
    <row r="1634" spans="2:13" x14ac:dyDescent="0.25">
      <c r="B1634" s="1859">
        <f t="shared" si="126"/>
        <v>2017</v>
      </c>
      <c r="C1634" s="1859">
        <f t="shared" si="127"/>
        <v>12</v>
      </c>
      <c r="D1634" s="1860">
        <f t="shared" si="128"/>
        <v>43093</v>
      </c>
      <c r="E1634" s="1861">
        <v>43093</v>
      </c>
      <c r="F1634" s="1862"/>
      <c r="G1634" s="1862"/>
      <c r="H1634" s="1862"/>
      <c r="I1634" s="1862">
        <f>Tabla1[[#This Row],[Extraccion
Norte II]]+Tabla1[[#This Row],[Extraccion
ENO]]</f>
        <v>0</v>
      </c>
      <c r="J1634" s="1862"/>
      <c r="K1634" s="1862"/>
      <c r="L1634" s="1862">
        <f t="shared" si="129"/>
        <v>0</v>
      </c>
      <c r="M1634" s="1862">
        <f>M1633+Tabla1[[#This Row],[Desbalance
TPL]]</f>
        <v>-673433.8428743222</v>
      </c>
    </row>
    <row r="1635" spans="2:13" x14ac:dyDescent="0.25">
      <c r="B1635" s="1859">
        <f t="shared" si="126"/>
        <v>2017</v>
      </c>
      <c r="C1635" s="1859">
        <f t="shared" si="127"/>
        <v>12</v>
      </c>
      <c r="D1635" s="1860">
        <f t="shared" si="128"/>
        <v>43094</v>
      </c>
      <c r="E1635" s="1861">
        <v>43094</v>
      </c>
      <c r="F1635" s="1862"/>
      <c r="G1635" s="1862"/>
      <c r="H1635" s="1862"/>
      <c r="I1635" s="1862">
        <f>Tabla1[[#This Row],[Extraccion
Norte II]]+Tabla1[[#This Row],[Extraccion
ENO]]</f>
        <v>0</v>
      </c>
      <c r="J1635" s="1862"/>
      <c r="K1635" s="1862"/>
      <c r="L1635" s="1862">
        <f t="shared" si="129"/>
        <v>0</v>
      </c>
      <c r="M1635" s="1862">
        <f>M1634+Tabla1[[#This Row],[Desbalance
TPL]]</f>
        <v>-673433.8428743222</v>
      </c>
    </row>
    <row r="1636" spans="2:13" x14ac:dyDescent="0.25">
      <c r="B1636" s="1859">
        <f t="shared" si="126"/>
        <v>2017</v>
      </c>
      <c r="C1636" s="1859">
        <f t="shared" si="127"/>
        <v>12</v>
      </c>
      <c r="D1636" s="1860">
        <f t="shared" si="128"/>
        <v>43095</v>
      </c>
      <c r="E1636" s="1861">
        <v>43095</v>
      </c>
      <c r="F1636" s="1862"/>
      <c r="G1636" s="1862"/>
      <c r="H1636" s="1862"/>
      <c r="I1636" s="1862">
        <f>Tabla1[[#This Row],[Extraccion
Norte II]]+Tabla1[[#This Row],[Extraccion
ENO]]</f>
        <v>0</v>
      </c>
      <c r="J1636" s="1862"/>
      <c r="K1636" s="1862"/>
      <c r="L1636" s="1862">
        <f t="shared" si="129"/>
        <v>0</v>
      </c>
      <c r="M1636" s="1862">
        <f>M1635+Tabla1[[#This Row],[Desbalance
TPL]]</f>
        <v>-673433.8428743222</v>
      </c>
    </row>
    <row r="1637" spans="2:13" x14ac:dyDescent="0.25">
      <c r="B1637" s="1859">
        <f t="shared" si="126"/>
        <v>2017</v>
      </c>
      <c r="C1637" s="1859">
        <f t="shared" si="127"/>
        <v>12</v>
      </c>
      <c r="D1637" s="1860">
        <f t="shared" si="128"/>
        <v>43096</v>
      </c>
      <c r="E1637" s="1861">
        <v>43096</v>
      </c>
      <c r="F1637" s="1862"/>
      <c r="G1637" s="1862"/>
      <c r="H1637" s="1862"/>
      <c r="I1637" s="1862">
        <f>Tabla1[[#This Row],[Extraccion
Norte II]]+Tabla1[[#This Row],[Extraccion
ENO]]</f>
        <v>0</v>
      </c>
      <c r="J1637" s="1862"/>
      <c r="K1637" s="1862"/>
      <c r="L1637" s="1862">
        <f t="shared" si="129"/>
        <v>0</v>
      </c>
      <c r="M1637" s="1862">
        <f>M1636+Tabla1[[#This Row],[Desbalance
TPL]]</f>
        <v>-673433.8428743222</v>
      </c>
    </row>
    <row r="1638" spans="2:13" x14ac:dyDescent="0.25">
      <c r="B1638" s="1859">
        <f t="shared" si="126"/>
        <v>2017</v>
      </c>
      <c r="C1638" s="1859">
        <f t="shared" si="127"/>
        <v>12</v>
      </c>
      <c r="D1638" s="1860">
        <f t="shared" si="128"/>
        <v>43097</v>
      </c>
      <c r="E1638" s="1861">
        <v>43097</v>
      </c>
      <c r="F1638" s="1862"/>
      <c r="G1638" s="1862"/>
      <c r="H1638" s="1862"/>
      <c r="I1638" s="1862">
        <f>Tabla1[[#This Row],[Extraccion
Norte II]]+Tabla1[[#This Row],[Extraccion
ENO]]</f>
        <v>0</v>
      </c>
      <c r="J1638" s="1862"/>
      <c r="K1638" s="1862"/>
      <c r="L1638" s="1862">
        <f t="shared" si="129"/>
        <v>0</v>
      </c>
      <c r="M1638" s="1862">
        <f>M1637+Tabla1[[#This Row],[Desbalance
TPL]]</f>
        <v>-673433.8428743222</v>
      </c>
    </row>
    <row r="1639" spans="2:13" x14ac:dyDescent="0.25">
      <c r="B1639" s="1859">
        <f t="shared" si="126"/>
        <v>2017</v>
      </c>
      <c r="C1639" s="1859">
        <f t="shared" si="127"/>
        <v>12</v>
      </c>
      <c r="D1639" s="1860">
        <f t="shared" si="128"/>
        <v>43098</v>
      </c>
      <c r="E1639" s="1861">
        <v>43098</v>
      </c>
      <c r="F1639" s="1862"/>
      <c r="G1639" s="1862"/>
      <c r="H1639" s="1862"/>
      <c r="I1639" s="1862">
        <f>Tabla1[[#This Row],[Extraccion
Norte II]]+Tabla1[[#This Row],[Extraccion
ENO]]</f>
        <v>0</v>
      </c>
      <c r="J1639" s="1862"/>
      <c r="K1639" s="1862"/>
      <c r="L1639" s="1862">
        <f t="shared" si="129"/>
        <v>0</v>
      </c>
      <c r="M1639" s="1862">
        <f>M1638+Tabla1[[#This Row],[Desbalance
TPL]]</f>
        <v>-673433.8428743222</v>
      </c>
    </row>
    <row r="1640" spans="2:13" x14ac:dyDescent="0.25">
      <c r="B1640" s="1859">
        <f t="shared" si="126"/>
        <v>2017</v>
      </c>
      <c r="C1640" s="1859">
        <f t="shared" si="127"/>
        <v>12</v>
      </c>
      <c r="D1640" s="1860">
        <f t="shared" si="128"/>
        <v>43099</v>
      </c>
      <c r="E1640" s="1861">
        <v>43099</v>
      </c>
      <c r="F1640" s="1862"/>
      <c r="G1640" s="1862"/>
      <c r="H1640" s="1862"/>
      <c r="I1640" s="1862">
        <f>Tabla1[[#This Row],[Extraccion
Norte II]]+Tabla1[[#This Row],[Extraccion
ENO]]</f>
        <v>0</v>
      </c>
      <c r="J1640" s="1862"/>
      <c r="K1640" s="1862"/>
      <c r="L1640" s="1862">
        <f t="shared" si="129"/>
        <v>0</v>
      </c>
      <c r="M1640" s="1862">
        <f>M1639+Tabla1[[#This Row],[Desbalance
TPL]]</f>
        <v>-673433.8428743222</v>
      </c>
    </row>
    <row r="1641" spans="2:13" x14ac:dyDescent="0.25">
      <c r="B1641" s="1859">
        <f t="shared" si="126"/>
        <v>2017</v>
      </c>
      <c r="C1641" s="1859">
        <f t="shared" si="127"/>
        <v>12</v>
      </c>
      <c r="D1641" s="1860">
        <f t="shared" si="128"/>
        <v>43100</v>
      </c>
      <c r="E1641" s="1861">
        <v>43100</v>
      </c>
      <c r="F1641" s="1862"/>
      <c r="G1641" s="1862"/>
      <c r="H1641" s="1862"/>
      <c r="I1641" s="1862">
        <f>Tabla1[[#This Row],[Extraccion
Norte II]]+Tabla1[[#This Row],[Extraccion
ENO]]</f>
        <v>0</v>
      </c>
      <c r="J1641" s="1862"/>
      <c r="K1641" s="1862"/>
      <c r="L1641" s="1862">
        <f t="shared" si="129"/>
        <v>0</v>
      </c>
      <c r="M1641" s="1862">
        <f>M1640+Tabla1[[#This Row],[Desbalance
TPL]]</f>
        <v>-673433.8428743222</v>
      </c>
    </row>
    <row r="1642" spans="2:13" x14ac:dyDescent="0.25">
      <c r="B1642" s="1859">
        <f t="shared" si="126"/>
        <v>2018</v>
      </c>
      <c r="C1642" s="1859">
        <f t="shared" si="127"/>
        <v>1</v>
      </c>
      <c r="D1642" s="1860">
        <f t="shared" si="128"/>
        <v>43101</v>
      </c>
      <c r="E1642" s="1861">
        <v>43101</v>
      </c>
      <c r="F1642" s="1862"/>
      <c r="G1642" s="1862"/>
      <c r="H1642" s="1862"/>
      <c r="I1642" s="1862">
        <f>Tabla1[[#This Row],[Extraccion
Norte II]]+Tabla1[[#This Row],[Extraccion
ENO]]</f>
        <v>0</v>
      </c>
      <c r="J1642" s="1862"/>
      <c r="K1642" s="1862"/>
      <c r="L1642" s="1862">
        <f t="shared" si="129"/>
        <v>0</v>
      </c>
      <c r="M1642" s="1862">
        <f>M1641+Tabla1[[#This Row],[Desbalance
TPL]]</f>
        <v>-673433.8428743222</v>
      </c>
    </row>
    <row r="1643" spans="2:13" x14ac:dyDescent="0.25">
      <c r="B1643" s="1859">
        <f t="shared" si="126"/>
        <v>2018</v>
      </c>
      <c r="C1643" s="1859">
        <f t="shared" si="127"/>
        <v>1</v>
      </c>
      <c r="D1643" s="1860">
        <f t="shared" si="128"/>
        <v>43102</v>
      </c>
      <c r="E1643" s="1861">
        <v>43102</v>
      </c>
      <c r="F1643" s="1862"/>
      <c r="G1643" s="1862"/>
      <c r="H1643" s="1862"/>
      <c r="I1643" s="1862">
        <f>Tabla1[[#This Row],[Extraccion
Norte II]]+Tabla1[[#This Row],[Extraccion
ENO]]</f>
        <v>0</v>
      </c>
      <c r="J1643" s="1862"/>
      <c r="K1643" s="1862"/>
      <c r="L1643" s="1862">
        <f t="shared" si="129"/>
        <v>0</v>
      </c>
      <c r="M1643" s="1862">
        <f>M1642+Tabla1[[#This Row],[Desbalance
TPL]]</f>
        <v>-673433.8428743222</v>
      </c>
    </row>
    <row r="1644" spans="2:13" x14ac:dyDescent="0.25">
      <c r="B1644" s="1859">
        <f t="shared" si="126"/>
        <v>2018</v>
      </c>
      <c r="C1644" s="1859">
        <f t="shared" si="127"/>
        <v>1</v>
      </c>
      <c r="D1644" s="1860">
        <f t="shared" si="128"/>
        <v>43103</v>
      </c>
      <c r="E1644" s="1861">
        <v>43103</v>
      </c>
      <c r="F1644" s="1862"/>
      <c r="G1644" s="1862"/>
      <c r="H1644" s="1862"/>
      <c r="I1644" s="1862">
        <f>Tabla1[[#This Row],[Extraccion
Norte II]]+Tabla1[[#This Row],[Extraccion
ENO]]</f>
        <v>0</v>
      </c>
      <c r="J1644" s="1862"/>
      <c r="K1644" s="1862"/>
      <c r="L1644" s="1862">
        <f t="shared" si="129"/>
        <v>0</v>
      </c>
      <c r="M1644" s="1862">
        <f>M1643+Tabla1[[#This Row],[Desbalance
TPL]]</f>
        <v>-673433.8428743222</v>
      </c>
    </row>
    <row r="1645" spans="2:13" x14ac:dyDescent="0.25">
      <c r="B1645" s="1859">
        <f t="shared" si="126"/>
        <v>2018</v>
      </c>
      <c r="C1645" s="1859">
        <f t="shared" si="127"/>
        <v>1</v>
      </c>
      <c r="D1645" s="1860">
        <f t="shared" si="128"/>
        <v>43104</v>
      </c>
      <c r="E1645" s="1861">
        <v>43104</v>
      </c>
      <c r="F1645" s="1862"/>
      <c r="G1645" s="1862"/>
      <c r="H1645" s="1862"/>
      <c r="I1645" s="1862">
        <f>Tabla1[[#This Row],[Extraccion
Norte II]]+Tabla1[[#This Row],[Extraccion
ENO]]</f>
        <v>0</v>
      </c>
      <c r="J1645" s="1862"/>
      <c r="K1645" s="1862"/>
      <c r="L1645" s="1862">
        <f t="shared" si="129"/>
        <v>0</v>
      </c>
      <c r="M1645" s="1862">
        <f>M1644+Tabla1[[#This Row],[Desbalance
TPL]]</f>
        <v>-673433.8428743222</v>
      </c>
    </row>
    <row r="1646" spans="2:13" x14ac:dyDescent="0.25">
      <c r="B1646" s="1859">
        <f t="shared" si="126"/>
        <v>2018</v>
      </c>
      <c r="C1646" s="1859">
        <f t="shared" si="127"/>
        <v>1</v>
      </c>
      <c r="D1646" s="1860">
        <f t="shared" si="128"/>
        <v>43105</v>
      </c>
      <c r="E1646" s="1861">
        <v>43105</v>
      </c>
      <c r="F1646" s="1862"/>
      <c r="G1646" s="1862"/>
      <c r="H1646" s="1862"/>
      <c r="I1646" s="1862">
        <f>Tabla1[[#This Row],[Extraccion
Norte II]]+Tabla1[[#This Row],[Extraccion
ENO]]</f>
        <v>0</v>
      </c>
      <c r="J1646" s="1862"/>
      <c r="K1646" s="1862"/>
      <c r="L1646" s="1862">
        <f t="shared" si="129"/>
        <v>0</v>
      </c>
      <c r="M1646" s="1862">
        <f>M1645+Tabla1[[#This Row],[Desbalance
TPL]]</f>
        <v>-673433.8428743222</v>
      </c>
    </row>
    <row r="1647" spans="2:13" x14ac:dyDescent="0.25">
      <c r="B1647" s="1859">
        <f t="shared" si="126"/>
        <v>2018</v>
      </c>
      <c r="C1647" s="1859">
        <f t="shared" si="127"/>
        <v>1</v>
      </c>
      <c r="D1647" s="1860">
        <f t="shared" si="128"/>
        <v>43106</v>
      </c>
      <c r="E1647" s="1861">
        <v>43106</v>
      </c>
      <c r="F1647" s="1862"/>
      <c r="G1647" s="1862"/>
      <c r="H1647" s="1862"/>
      <c r="I1647" s="1862">
        <f>Tabla1[[#This Row],[Extraccion
Norte II]]+Tabla1[[#This Row],[Extraccion
ENO]]</f>
        <v>0</v>
      </c>
      <c r="J1647" s="1862"/>
      <c r="K1647" s="1862"/>
      <c r="L1647" s="1862">
        <f t="shared" si="129"/>
        <v>0</v>
      </c>
      <c r="M1647" s="1862">
        <f>M1646+Tabla1[[#This Row],[Desbalance
TPL]]</f>
        <v>-673433.8428743222</v>
      </c>
    </row>
    <row r="1648" spans="2:13" x14ac:dyDescent="0.25">
      <c r="B1648" s="1859">
        <f t="shared" si="126"/>
        <v>2018</v>
      </c>
      <c r="C1648" s="1859">
        <f t="shared" si="127"/>
        <v>1</v>
      </c>
      <c r="D1648" s="1860">
        <f t="shared" si="128"/>
        <v>43107</v>
      </c>
      <c r="E1648" s="1861">
        <v>43107</v>
      </c>
      <c r="F1648" s="1862"/>
      <c r="G1648" s="1862"/>
      <c r="H1648" s="1862"/>
      <c r="I1648" s="1862">
        <f>Tabla1[[#This Row],[Extraccion
Norte II]]+Tabla1[[#This Row],[Extraccion
ENO]]</f>
        <v>0</v>
      </c>
      <c r="J1648" s="1862"/>
      <c r="K1648" s="1862"/>
      <c r="L1648" s="1862">
        <f t="shared" si="129"/>
        <v>0</v>
      </c>
      <c r="M1648" s="1862">
        <f>M1647+Tabla1[[#This Row],[Desbalance
TPL]]</f>
        <v>-673433.8428743222</v>
      </c>
    </row>
    <row r="1649" spans="2:13" x14ac:dyDescent="0.25">
      <c r="B1649" s="1859">
        <f t="shared" si="126"/>
        <v>2018</v>
      </c>
      <c r="C1649" s="1859">
        <f t="shared" si="127"/>
        <v>1</v>
      </c>
      <c r="D1649" s="1860">
        <f t="shared" si="128"/>
        <v>43108</v>
      </c>
      <c r="E1649" s="1861">
        <v>43108</v>
      </c>
      <c r="F1649" s="1862"/>
      <c r="G1649" s="1862"/>
      <c r="H1649" s="1862"/>
      <c r="I1649" s="1862">
        <f>Tabla1[[#This Row],[Extraccion
Norte II]]+Tabla1[[#This Row],[Extraccion
ENO]]</f>
        <v>0</v>
      </c>
      <c r="J1649" s="1862"/>
      <c r="K1649" s="1862"/>
      <c r="L1649" s="1862">
        <f t="shared" si="129"/>
        <v>0</v>
      </c>
      <c r="M1649" s="1862">
        <f>M1648+Tabla1[[#This Row],[Desbalance
TPL]]</f>
        <v>-673433.8428743222</v>
      </c>
    </row>
    <row r="1650" spans="2:13" x14ac:dyDescent="0.25">
      <c r="B1650" s="1859">
        <f t="shared" si="126"/>
        <v>2018</v>
      </c>
      <c r="C1650" s="1859">
        <f t="shared" si="127"/>
        <v>1</v>
      </c>
      <c r="D1650" s="1860">
        <f t="shared" si="128"/>
        <v>43109</v>
      </c>
      <c r="E1650" s="1861">
        <v>43109</v>
      </c>
      <c r="F1650" s="1862"/>
      <c r="G1650" s="1862"/>
      <c r="H1650" s="1862"/>
      <c r="I1650" s="1862">
        <f>Tabla1[[#This Row],[Extraccion
Norte II]]+Tabla1[[#This Row],[Extraccion
ENO]]</f>
        <v>0</v>
      </c>
      <c r="J1650" s="1862"/>
      <c r="K1650" s="1862"/>
      <c r="L1650" s="1862">
        <f t="shared" si="129"/>
        <v>0</v>
      </c>
      <c r="M1650" s="1862">
        <f>M1649+Tabla1[[#This Row],[Desbalance
TPL]]</f>
        <v>-673433.8428743222</v>
      </c>
    </row>
    <row r="1651" spans="2:13" x14ac:dyDescent="0.25">
      <c r="B1651" s="1859">
        <f t="shared" ref="B1651:B1714" si="130">YEAR(E1651)</f>
        <v>2018</v>
      </c>
      <c r="C1651" s="1859">
        <f t="shared" ref="C1651:C1714" si="131">MONTH(E1651)</f>
        <v>1</v>
      </c>
      <c r="D1651" s="1860">
        <f t="shared" ref="D1651:D1714" si="132">E1651</f>
        <v>43110</v>
      </c>
      <c r="E1651" s="1861">
        <v>43110</v>
      </c>
      <c r="F1651" s="1862"/>
      <c r="G1651" s="1862"/>
      <c r="H1651" s="1862"/>
      <c r="I1651" s="1862">
        <f>Tabla1[[#This Row],[Extraccion
Norte II]]+Tabla1[[#This Row],[Extraccion
ENO]]</f>
        <v>0</v>
      </c>
      <c r="J1651" s="1862"/>
      <c r="K1651" s="1862"/>
      <c r="L1651" s="1862">
        <f t="shared" si="129"/>
        <v>0</v>
      </c>
      <c r="M1651" s="1862">
        <f>M1650+Tabla1[[#This Row],[Desbalance
TPL]]</f>
        <v>-673433.8428743222</v>
      </c>
    </row>
    <row r="1652" spans="2:13" x14ac:dyDescent="0.25">
      <c r="B1652" s="1859">
        <f t="shared" si="130"/>
        <v>2018</v>
      </c>
      <c r="C1652" s="1859">
        <f t="shared" si="131"/>
        <v>1</v>
      </c>
      <c r="D1652" s="1860">
        <f t="shared" si="132"/>
        <v>43111</v>
      </c>
      <c r="E1652" s="1861">
        <v>43111</v>
      </c>
      <c r="F1652" s="1862"/>
      <c r="G1652" s="1862"/>
      <c r="H1652" s="1862"/>
      <c r="I1652" s="1862">
        <f>Tabla1[[#This Row],[Extraccion
Norte II]]+Tabla1[[#This Row],[Extraccion
ENO]]</f>
        <v>0</v>
      </c>
      <c r="J1652" s="1862"/>
      <c r="K1652" s="1862"/>
      <c r="L1652" s="1862">
        <f t="shared" si="129"/>
        <v>0</v>
      </c>
      <c r="M1652" s="1862">
        <f>M1651+Tabla1[[#This Row],[Desbalance
TPL]]</f>
        <v>-673433.8428743222</v>
      </c>
    </row>
    <row r="1653" spans="2:13" x14ac:dyDescent="0.25">
      <c r="B1653" s="1859">
        <f t="shared" si="130"/>
        <v>2018</v>
      </c>
      <c r="C1653" s="1859">
        <f t="shared" si="131"/>
        <v>1</v>
      </c>
      <c r="D1653" s="1860">
        <f t="shared" si="132"/>
        <v>43112</v>
      </c>
      <c r="E1653" s="1861">
        <v>43112</v>
      </c>
      <c r="F1653" s="1862"/>
      <c r="G1653" s="1862"/>
      <c r="H1653" s="1862"/>
      <c r="I1653" s="1862">
        <f>Tabla1[[#This Row],[Extraccion
Norte II]]+Tabla1[[#This Row],[Extraccion
ENO]]</f>
        <v>0</v>
      </c>
      <c r="J1653" s="1862"/>
      <c r="K1653" s="1862"/>
      <c r="L1653" s="1862">
        <f t="shared" si="129"/>
        <v>0</v>
      </c>
      <c r="M1653" s="1862">
        <f>M1652+Tabla1[[#This Row],[Desbalance
TPL]]</f>
        <v>-673433.8428743222</v>
      </c>
    </row>
    <row r="1654" spans="2:13" x14ac:dyDescent="0.25">
      <c r="B1654" s="1859">
        <f t="shared" si="130"/>
        <v>2018</v>
      </c>
      <c r="C1654" s="1859">
        <f t="shared" si="131"/>
        <v>1</v>
      </c>
      <c r="D1654" s="1860">
        <f t="shared" si="132"/>
        <v>43113</v>
      </c>
      <c r="E1654" s="1861">
        <v>43113</v>
      </c>
      <c r="F1654" s="1862"/>
      <c r="G1654" s="1862"/>
      <c r="H1654" s="1862"/>
      <c r="I1654" s="1862">
        <f>Tabla1[[#This Row],[Extraccion
Norte II]]+Tabla1[[#This Row],[Extraccion
ENO]]</f>
        <v>0</v>
      </c>
      <c r="J1654" s="1862"/>
      <c r="K1654" s="1862"/>
      <c r="L1654" s="1862">
        <f t="shared" si="129"/>
        <v>0</v>
      </c>
      <c r="M1654" s="1862">
        <f>M1653+Tabla1[[#This Row],[Desbalance
TPL]]</f>
        <v>-673433.8428743222</v>
      </c>
    </row>
    <row r="1655" spans="2:13" x14ac:dyDescent="0.25">
      <c r="B1655" s="1859">
        <f t="shared" si="130"/>
        <v>2018</v>
      </c>
      <c r="C1655" s="1859">
        <f t="shared" si="131"/>
        <v>1</v>
      </c>
      <c r="D1655" s="1860">
        <f t="shared" si="132"/>
        <v>43114</v>
      </c>
      <c r="E1655" s="1861">
        <v>43114</v>
      </c>
      <c r="F1655" s="1862"/>
      <c r="G1655" s="1862"/>
      <c r="H1655" s="1862"/>
      <c r="I1655" s="1862">
        <f>Tabla1[[#This Row],[Extraccion
Norte II]]+Tabla1[[#This Row],[Extraccion
ENO]]</f>
        <v>0</v>
      </c>
      <c r="J1655" s="1862"/>
      <c r="K1655" s="1862"/>
      <c r="L1655" s="1862">
        <f t="shared" si="129"/>
        <v>0</v>
      </c>
      <c r="M1655" s="1862">
        <f>M1654+Tabla1[[#This Row],[Desbalance
TPL]]</f>
        <v>-673433.8428743222</v>
      </c>
    </row>
    <row r="1656" spans="2:13" x14ac:dyDescent="0.25">
      <c r="B1656" s="1859">
        <f t="shared" si="130"/>
        <v>2018</v>
      </c>
      <c r="C1656" s="1859">
        <f t="shared" si="131"/>
        <v>1</v>
      </c>
      <c r="D1656" s="1860">
        <f t="shared" si="132"/>
        <v>43115</v>
      </c>
      <c r="E1656" s="1861">
        <v>43115</v>
      </c>
      <c r="F1656" s="1862"/>
      <c r="G1656" s="1862"/>
      <c r="H1656" s="1862"/>
      <c r="I1656" s="1862">
        <f>Tabla1[[#This Row],[Extraccion
Norte II]]+Tabla1[[#This Row],[Extraccion
ENO]]</f>
        <v>0</v>
      </c>
      <c r="J1656" s="1862"/>
      <c r="K1656" s="1862"/>
      <c r="L1656" s="1862">
        <f t="shared" si="129"/>
        <v>0</v>
      </c>
      <c r="M1656" s="1862">
        <f>M1655+Tabla1[[#This Row],[Desbalance
TPL]]</f>
        <v>-673433.8428743222</v>
      </c>
    </row>
    <row r="1657" spans="2:13" x14ac:dyDescent="0.25">
      <c r="B1657" s="1859">
        <f t="shared" si="130"/>
        <v>2018</v>
      </c>
      <c r="C1657" s="1859">
        <f t="shared" si="131"/>
        <v>1</v>
      </c>
      <c r="D1657" s="1860">
        <f t="shared" si="132"/>
        <v>43116</v>
      </c>
      <c r="E1657" s="1861">
        <v>43116</v>
      </c>
      <c r="F1657" s="1862"/>
      <c r="G1657" s="1862"/>
      <c r="H1657" s="1862"/>
      <c r="I1657" s="1862">
        <f>Tabla1[[#This Row],[Extraccion
Norte II]]+Tabla1[[#This Row],[Extraccion
ENO]]</f>
        <v>0</v>
      </c>
      <c r="J1657" s="1862"/>
      <c r="K1657" s="1862"/>
      <c r="L1657" s="1862">
        <f t="shared" si="129"/>
        <v>0</v>
      </c>
      <c r="M1657" s="1862">
        <f>M1656+Tabla1[[#This Row],[Desbalance
TPL]]</f>
        <v>-673433.8428743222</v>
      </c>
    </row>
    <row r="1658" spans="2:13" x14ac:dyDescent="0.25">
      <c r="B1658" s="1859">
        <f t="shared" si="130"/>
        <v>2018</v>
      </c>
      <c r="C1658" s="1859">
        <f t="shared" si="131"/>
        <v>1</v>
      </c>
      <c r="D1658" s="1860">
        <f t="shared" si="132"/>
        <v>43117</v>
      </c>
      <c r="E1658" s="1861">
        <v>43117</v>
      </c>
      <c r="F1658" s="1862"/>
      <c r="G1658" s="1862"/>
      <c r="H1658" s="1862"/>
      <c r="I1658" s="1862">
        <f>Tabla1[[#This Row],[Extraccion
Norte II]]+Tabla1[[#This Row],[Extraccion
ENO]]</f>
        <v>0</v>
      </c>
      <c r="J1658" s="1862"/>
      <c r="K1658" s="1862"/>
      <c r="L1658" s="1862">
        <f t="shared" si="129"/>
        <v>0</v>
      </c>
      <c r="M1658" s="1862">
        <f>M1657+Tabla1[[#This Row],[Desbalance
TPL]]</f>
        <v>-673433.8428743222</v>
      </c>
    </row>
    <row r="1659" spans="2:13" x14ac:dyDescent="0.25">
      <c r="B1659" s="1859">
        <f t="shared" si="130"/>
        <v>2018</v>
      </c>
      <c r="C1659" s="1859">
        <f t="shared" si="131"/>
        <v>1</v>
      </c>
      <c r="D1659" s="1860">
        <f t="shared" si="132"/>
        <v>43118</v>
      </c>
      <c r="E1659" s="1861">
        <v>43118</v>
      </c>
      <c r="F1659" s="1862"/>
      <c r="G1659" s="1862"/>
      <c r="H1659" s="1862"/>
      <c r="I1659" s="1862">
        <f>Tabla1[[#This Row],[Extraccion
Norte II]]+Tabla1[[#This Row],[Extraccion
ENO]]</f>
        <v>0</v>
      </c>
      <c r="J1659" s="1862"/>
      <c r="K1659" s="1862"/>
      <c r="L1659" s="1862">
        <f t="shared" si="129"/>
        <v>0</v>
      </c>
      <c r="M1659" s="1862">
        <f>M1658+Tabla1[[#This Row],[Desbalance
TPL]]</f>
        <v>-673433.8428743222</v>
      </c>
    </row>
    <row r="1660" spans="2:13" x14ac:dyDescent="0.25">
      <c r="B1660" s="1859">
        <f t="shared" si="130"/>
        <v>2018</v>
      </c>
      <c r="C1660" s="1859">
        <f t="shared" si="131"/>
        <v>1</v>
      </c>
      <c r="D1660" s="1860">
        <f t="shared" si="132"/>
        <v>43119</v>
      </c>
      <c r="E1660" s="1861">
        <v>43119</v>
      </c>
      <c r="F1660" s="1862"/>
      <c r="G1660" s="1862"/>
      <c r="H1660" s="1862"/>
      <c r="I1660" s="1862">
        <f>Tabla1[[#This Row],[Extraccion
Norte II]]+Tabla1[[#This Row],[Extraccion
ENO]]</f>
        <v>0</v>
      </c>
      <c r="J1660" s="1862"/>
      <c r="K1660" s="1862"/>
      <c r="L1660" s="1862">
        <f t="shared" si="129"/>
        <v>0</v>
      </c>
      <c r="M1660" s="1862">
        <f>M1659+Tabla1[[#This Row],[Desbalance
TPL]]</f>
        <v>-673433.8428743222</v>
      </c>
    </row>
    <row r="1661" spans="2:13" x14ac:dyDescent="0.25">
      <c r="B1661" s="1859">
        <f t="shared" si="130"/>
        <v>2018</v>
      </c>
      <c r="C1661" s="1859">
        <f t="shared" si="131"/>
        <v>1</v>
      </c>
      <c r="D1661" s="1860">
        <f t="shared" si="132"/>
        <v>43120</v>
      </c>
      <c r="E1661" s="1861">
        <v>43120</v>
      </c>
      <c r="F1661" s="1862"/>
      <c r="G1661" s="1862"/>
      <c r="H1661" s="1862"/>
      <c r="I1661" s="1862">
        <f>Tabla1[[#This Row],[Extraccion
Norte II]]+Tabla1[[#This Row],[Extraccion
ENO]]</f>
        <v>0</v>
      </c>
      <c r="J1661" s="1862"/>
      <c r="K1661" s="1862"/>
      <c r="L1661" s="1862">
        <f t="shared" si="129"/>
        <v>0</v>
      </c>
      <c r="M1661" s="1862">
        <f>M1660+Tabla1[[#This Row],[Desbalance
TPL]]</f>
        <v>-673433.8428743222</v>
      </c>
    </row>
    <row r="1662" spans="2:13" x14ac:dyDescent="0.25">
      <c r="B1662" s="1859">
        <f t="shared" si="130"/>
        <v>2018</v>
      </c>
      <c r="C1662" s="1859">
        <f t="shared" si="131"/>
        <v>1</v>
      </c>
      <c r="D1662" s="1860">
        <f t="shared" si="132"/>
        <v>43121</v>
      </c>
      <c r="E1662" s="1861">
        <v>43121</v>
      </c>
      <c r="F1662" s="1862"/>
      <c r="G1662" s="1862"/>
      <c r="H1662" s="1862"/>
      <c r="I1662" s="1862">
        <f>Tabla1[[#This Row],[Extraccion
Norte II]]+Tabla1[[#This Row],[Extraccion
ENO]]</f>
        <v>0</v>
      </c>
      <c r="J1662" s="1862"/>
      <c r="K1662" s="1862"/>
      <c r="L1662" s="1862">
        <f t="shared" si="129"/>
        <v>0</v>
      </c>
      <c r="M1662" s="1862">
        <f>M1661+Tabla1[[#This Row],[Desbalance
TPL]]</f>
        <v>-673433.8428743222</v>
      </c>
    </row>
    <row r="1663" spans="2:13" x14ac:dyDescent="0.25">
      <c r="B1663" s="1859">
        <f t="shared" si="130"/>
        <v>2018</v>
      </c>
      <c r="C1663" s="1859">
        <f t="shared" si="131"/>
        <v>1</v>
      </c>
      <c r="D1663" s="1860">
        <f t="shared" si="132"/>
        <v>43122</v>
      </c>
      <c r="E1663" s="1861">
        <v>43122</v>
      </c>
      <c r="F1663" s="1862"/>
      <c r="G1663" s="1862"/>
      <c r="H1663" s="1862"/>
      <c r="I1663" s="1862">
        <f>Tabla1[[#This Row],[Extraccion
Norte II]]+Tabla1[[#This Row],[Extraccion
ENO]]</f>
        <v>0</v>
      </c>
      <c r="J1663" s="1862"/>
      <c r="K1663" s="1862"/>
      <c r="L1663" s="1862">
        <f t="shared" si="129"/>
        <v>0</v>
      </c>
      <c r="M1663" s="1862">
        <f>M1662+Tabla1[[#This Row],[Desbalance
TPL]]</f>
        <v>-673433.8428743222</v>
      </c>
    </row>
    <row r="1664" spans="2:13" x14ac:dyDescent="0.25">
      <c r="B1664" s="1859">
        <f t="shared" si="130"/>
        <v>2018</v>
      </c>
      <c r="C1664" s="1859">
        <f t="shared" si="131"/>
        <v>1</v>
      </c>
      <c r="D1664" s="1860">
        <f t="shared" si="132"/>
        <v>43123</v>
      </c>
      <c r="E1664" s="1861">
        <v>43123</v>
      </c>
      <c r="F1664" s="1862"/>
      <c r="G1664" s="1862"/>
      <c r="H1664" s="1862"/>
      <c r="I1664" s="1862">
        <f>Tabla1[[#This Row],[Extraccion
Norte II]]+Tabla1[[#This Row],[Extraccion
ENO]]</f>
        <v>0</v>
      </c>
      <c r="J1664" s="1862"/>
      <c r="K1664" s="1862"/>
      <c r="L1664" s="1862">
        <f t="shared" si="129"/>
        <v>0</v>
      </c>
      <c r="M1664" s="1862">
        <f>M1663+Tabla1[[#This Row],[Desbalance
TPL]]</f>
        <v>-673433.8428743222</v>
      </c>
    </row>
    <row r="1665" spans="2:13" x14ac:dyDescent="0.25">
      <c r="B1665" s="1859">
        <f t="shared" si="130"/>
        <v>2018</v>
      </c>
      <c r="C1665" s="1859">
        <f t="shared" si="131"/>
        <v>1</v>
      </c>
      <c r="D1665" s="1860">
        <f t="shared" si="132"/>
        <v>43124</v>
      </c>
      <c r="E1665" s="1861">
        <v>43124</v>
      </c>
      <c r="F1665" s="1862"/>
      <c r="G1665" s="1862"/>
      <c r="H1665" s="1862"/>
      <c r="I1665" s="1862">
        <f>Tabla1[[#This Row],[Extraccion
Norte II]]+Tabla1[[#This Row],[Extraccion
ENO]]</f>
        <v>0</v>
      </c>
      <c r="J1665" s="1862"/>
      <c r="K1665" s="1862"/>
      <c r="L1665" s="1862">
        <f t="shared" si="129"/>
        <v>0</v>
      </c>
      <c r="M1665" s="1862">
        <f>M1664+Tabla1[[#This Row],[Desbalance
TPL]]</f>
        <v>-673433.8428743222</v>
      </c>
    </row>
    <row r="1666" spans="2:13" x14ac:dyDescent="0.25">
      <c r="B1666" s="1859">
        <f t="shared" si="130"/>
        <v>2018</v>
      </c>
      <c r="C1666" s="1859">
        <f t="shared" si="131"/>
        <v>1</v>
      </c>
      <c r="D1666" s="1860">
        <f t="shared" si="132"/>
        <v>43125</v>
      </c>
      <c r="E1666" s="1861">
        <v>43125</v>
      </c>
      <c r="F1666" s="1862"/>
      <c r="G1666" s="1862"/>
      <c r="H1666" s="1862"/>
      <c r="I1666" s="1862">
        <f>Tabla1[[#This Row],[Extraccion
Norte II]]+Tabla1[[#This Row],[Extraccion
ENO]]</f>
        <v>0</v>
      </c>
      <c r="J1666" s="1862"/>
      <c r="K1666" s="1862"/>
      <c r="L1666" s="1862">
        <f t="shared" si="129"/>
        <v>0</v>
      </c>
      <c r="M1666" s="1862">
        <f>M1665+Tabla1[[#This Row],[Desbalance
TPL]]</f>
        <v>-673433.8428743222</v>
      </c>
    </row>
    <row r="1667" spans="2:13" x14ac:dyDescent="0.25">
      <c r="B1667" s="1859">
        <f t="shared" si="130"/>
        <v>2018</v>
      </c>
      <c r="C1667" s="1859">
        <f t="shared" si="131"/>
        <v>1</v>
      </c>
      <c r="D1667" s="1860">
        <f t="shared" si="132"/>
        <v>43126</v>
      </c>
      <c r="E1667" s="1861">
        <v>43126</v>
      </c>
      <c r="F1667" s="1862"/>
      <c r="G1667" s="1862"/>
      <c r="H1667" s="1862"/>
      <c r="I1667" s="1862">
        <f>Tabla1[[#This Row],[Extraccion
Norte II]]+Tabla1[[#This Row],[Extraccion
ENO]]</f>
        <v>0</v>
      </c>
      <c r="J1667" s="1862"/>
      <c r="K1667" s="1862"/>
      <c r="L1667" s="1862">
        <f t="shared" si="129"/>
        <v>0</v>
      </c>
      <c r="M1667" s="1862">
        <f>M1666+Tabla1[[#This Row],[Desbalance
TPL]]</f>
        <v>-673433.8428743222</v>
      </c>
    </row>
    <row r="1668" spans="2:13" x14ac:dyDescent="0.25">
      <c r="B1668" s="1859">
        <f t="shared" si="130"/>
        <v>2018</v>
      </c>
      <c r="C1668" s="1859">
        <f t="shared" si="131"/>
        <v>1</v>
      </c>
      <c r="D1668" s="1860">
        <f t="shared" si="132"/>
        <v>43127</v>
      </c>
      <c r="E1668" s="1861">
        <v>43127</v>
      </c>
      <c r="F1668" s="1862"/>
      <c r="G1668" s="1862"/>
      <c r="H1668" s="1862"/>
      <c r="I1668" s="1862">
        <f>Tabla1[[#This Row],[Extraccion
Norte II]]+Tabla1[[#This Row],[Extraccion
ENO]]</f>
        <v>0</v>
      </c>
      <c r="J1668" s="1862"/>
      <c r="K1668" s="1862"/>
      <c r="L1668" s="1862">
        <f t="shared" si="129"/>
        <v>0</v>
      </c>
      <c r="M1668" s="1862">
        <f>M1667+Tabla1[[#This Row],[Desbalance
TPL]]</f>
        <v>-673433.8428743222</v>
      </c>
    </row>
    <row r="1669" spans="2:13" x14ac:dyDescent="0.25">
      <c r="B1669" s="1859">
        <f t="shared" si="130"/>
        <v>2018</v>
      </c>
      <c r="C1669" s="1859">
        <f t="shared" si="131"/>
        <v>1</v>
      </c>
      <c r="D1669" s="1860">
        <f t="shared" si="132"/>
        <v>43128</v>
      </c>
      <c r="E1669" s="1861">
        <v>43128</v>
      </c>
      <c r="F1669" s="1862"/>
      <c r="G1669" s="1862"/>
      <c r="H1669" s="1862"/>
      <c r="I1669" s="1862">
        <f>Tabla1[[#This Row],[Extraccion
Norte II]]+Tabla1[[#This Row],[Extraccion
ENO]]</f>
        <v>0</v>
      </c>
      <c r="J1669" s="1862"/>
      <c r="K1669" s="1862"/>
      <c r="L1669" s="1862">
        <f t="shared" si="129"/>
        <v>0</v>
      </c>
      <c r="M1669" s="1862">
        <f>M1668+Tabla1[[#This Row],[Desbalance
TPL]]</f>
        <v>-673433.8428743222</v>
      </c>
    </row>
    <row r="1670" spans="2:13" x14ac:dyDescent="0.25">
      <c r="B1670" s="1859">
        <f t="shared" si="130"/>
        <v>2018</v>
      </c>
      <c r="C1670" s="1859">
        <f t="shared" si="131"/>
        <v>1</v>
      </c>
      <c r="D1670" s="1860">
        <f t="shared" si="132"/>
        <v>43129</v>
      </c>
      <c r="E1670" s="1861">
        <v>43129</v>
      </c>
      <c r="F1670" s="1862"/>
      <c r="G1670" s="1862"/>
      <c r="H1670" s="1862"/>
      <c r="I1670" s="1862">
        <f>Tabla1[[#This Row],[Extraccion
Norte II]]+Tabla1[[#This Row],[Extraccion
ENO]]</f>
        <v>0</v>
      </c>
      <c r="J1670" s="1862"/>
      <c r="K1670" s="1862"/>
      <c r="L1670" s="1862">
        <f t="shared" si="129"/>
        <v>0</v>
      </c>
      <c r="M1670" s="1862">
        <f>M1669+Tabla1[[#This Row],[Desbalance
TPL]]</f>
        <v>-673433.8428743222</v>
      </c>
    </row>
    <row r="1671" spans="2:13" x14ac:dyDescent="0.25">
      <c r="B1671" s="1859">
        <f t="shared" si="130"/>
        <v>2018</v>
      </c>
      <c r="C1671" s="1859">
        <f t="shared" si="131"/>
        <v>1</v>
      </c>
      <c r="D1671" s="1860">
        <f t="shared" si="132"/>
        <v>43130</v>
      </c>
      <c r="E1671" s="1861">
        <v>43130</v>
      </c>
      <c r="F1671" s="1862"/>
      <c r="G1671" s="1862"/>
      <c r="H1671" s="1862"/>
      <c r="I1671" s="1862">
        <f>Tabla1[[#This Row],[Extraccion
Norte II]]+Tabla1[[#This Row],[Extraccion
ENO]]</f>
        <v>0</v>
      </c>
      <c r="J1671" s="1862"/>
      <c r="K1671" s="1862"/>
      <c r="L1671" s="1862">
        <f t="shared" si="129"/>
        <v>0</v>
      </c>
      <c r="M1671" s="1862">
        <f>M1670+Tabla1[[#This Row],[Desbalance
TPL]]</f>
        <v>-673433.8428743222</v>
      </c>
    </row>
    <row r="1672" spans="2:13" x14ac:dyDescent="0.25">
      <c r="B1672" s="1859">
        <f t="shared" si="130"/>
        <v>2018</v>
      </c>
      <c r="C1672" s="1859">
        <f t="shared" si="131"/>
        <v>1</v>
      </c>
      <c r="D1672" s="1860">
        <f t="shared" si="132"/>
        <v>43131</v>
      </c>
      <c r="E1672" s="1861">
        <v>43131</v>
      </c>
      <c r="F1672" s="1862"/>
      <c r="G1672" s="1862"/>
      <c r="H1672" s="1862"/>
      <c r="I1672" s="1862">
        <f>Tabla1[[#This Row],[Extraccion
Norte II]]+Tabla1[[#This Row],[Extraccion
ENO]]</f>
        <v>0</v>
      </c>
      <c r="J1672" s="1862"/>
      <c r="K1672" s="1862"/>
      <c r="L1672" s="1862">
        <f t="shared" si="129"/>
        <v>0</v>
      </c>
      <c r="M1672" s="1862">
        <f>M1671+Tabla1[[#This Row],[Desbalance
TPL]]</f>
        <v>-673433.8428743222</v>
      </c>
    </row>
    <row r="1673" spans="2:13" x14ac:dyDescent="0.25">
      <c r="B1673" s="1859">
        <f t="shared" si="130"/>
        <v>2018</v>
      </c>
      <c r="C1673" s="1859">
        <f t="shared" si="131"/>
        <v>2</v>
      </c>
      <c r="D1673" s="1860">
        <f t="shared" si="132"/>
        <v>43132</v>
      </c>
      <c r="E1673" s="1861">
        <v>43132</v>
      </c>
      <c r="F1673" s="1862"/>
      <c r="G1673" s="1862"/>
      <c r="H1673" s="1862"/>
      <c r="I1673" s="1862">
        <f>Tabla1[[#This Row],[Extraccion
Norte II]]+Tabla1[[#This Row],[Extraccion
ENO]]</f>
        <v>0</v>
      </c>
      <c r="J1673" s="1862"/>
      <c r="K1673" s="1862"/>
      <c r="L1673" s="1862">
        <f t="shared" si="129"/>
        <v>0</v>
      </c>
      <c r="M1673" s="1862">
        <f>M1672+Tabla1[[#This Row],[Desbalance
TPL]]</f>
        <v>-673433.8428743222</v>
      </c>
    </row>
    <row r="1674" spans="2:13" x14ac:dyDescent="0.25">
      <c r="B1674" s="1859">
        <f t="shared" si="130"/>
        <v>2018</v>
      </c>
      <c r="C1674" s="1859">
        <f t="shared" si="131"/>
        <v>2</v>
      </c>
      <c r="D1674" s="1860">
        <f t="shared" si="132"/>
        <v>43133</v>
      </c>
      <c r="E1674" s="1861">
        <v>43133</v>
      </c>
      <c r="F1674" s="1862"/>
      <c r="G1674" s="1862"/>
      <c r="H1674" s="1862"/>
      <c r="I1674" s="1862">
        <f>Tabla1[[#This Row],[Extraccion
Norte II]]+Tabla1[[#This Row],[Extraccion
ENO]]</f>
        <v>0</v>
      </c>
      <c r="J1674" s="1862"/>
      <c r="K1674" s="1862"/>
      <c r="L1674" s="1862">
        <f t="shared" si="129"/>
        <v>0</v>
      </c>
      <c r="M1674" s="1862">
        <f>M1673+Tabla1[[#This Row],[Desbalance
TPL]]</f>
        <v>-673433.8428743222</v>
      </c>
    </row>
    <row r="1675" spans="2:13" x14ac:dyDescent="0.25">
      <c r="B1675" s="1859">
        <f t="shared" si="130"/>
        <v>2018</v>
      </c>
      <c r="C1675" s="1859">
        <f t="shared" si="131"/>
        <v>2</v>
      </c>
      <c r="D1675" s="1860">
        <f t="shared" si="132"/>
        <v>43134</v>
      </c>
      <c r="E1675" s="1861">
        <v>43134</v>
      </c>
      <c r="F1675" s="1862"/>
      <c r="G1675" s="1862"/>
      <c r="H1675" s="1862"/>
      <c r="I1675" s="1862">
        <f>Tabla1[[#This Row],[Extraccion
Norte II]]+Tabla1[[#This Row],[Extraccion
ENO]]</f>
        <v>0</v>
      </c>
      <c r="J1675" s="1862"/>
      <c r="K1675" s="1862"/>
      <c r="L1675" s="1862">
        <f t="shared" si="129"/>
        <v>0</v>
      </c>
      <c r="M1675" s="1862">
        <f>M1674+Tabla1[[#This Row],[Desbalance
TPL]]</f>
        <v>-673433.8428743222</v>
      </c>
    </row>
    <row r="1676" spans="2:13" x14ac:dyDescent="0.25">
      <c r="B1676" s="1859">
        <f t="shared" si="130"/>
        <v>2018</v>
      </c>
      <c r="C1676" s="1859">
        <f t="shared" si="131"/>
        <v>2</v>
      </c>
      <c r="D1676" s="1860">
        <f t="shared" si="132"/>
        <v>43135</v>
      </c>
      <c r="E1676" s="1861">
        <v>43135</v>
      </c>
      <c r="F1676" s="1862"/>
      <c r="G1676" s="1862"/>
      <c r="H1676" s="1862"/>
      <c r="I1676" s="1862">
        <f>Tabla1[[#This Row],[Extraccion
Norte II]]+Tabla1[[#This Row],[Extraccion
ENO]]</f>
        <v>0</v>
      </c>
      <c r="J1676" s="1862"/>
      <c r="K1676" s="1862"/>
      <c r="L1676" s="1862">
        <f t="shared" ref="L1676:L1739" si="133">H1676-I1676</f>
        <v>0</v>
      </c>
      <c r="M1676" s="1862">
        <f>M1675+Tabla1[[#This Row],[Desbalance
TPL]]</f>
        <v>-673433.8428743222</v>
      </c>
    </row>
    <row r="1677" spans="2:13" x14ac:dyDescent="0.25">
      <c r="B1677" s="1859">
        <f t="shared" si="130"/>
        <v>2018</v>
      </c>
      <c r="C1677" s="1859">
        <f t="shared" si="131"/>
        <v>2</v>
      </c>
      <c r="D1677" s="1860">
        <f t="shared" si="132"/>
        <v>43136</v>
      </c>
      <c r="E1677" s="1861">
        <v>43136</v>
      </c>
      <c r="F1677" s="1862"/>
      <c r="G1677" s="1862"/>
      <c r="H1677" s="1862"/>
      <c r="I1677" s="1862">
        <f>Tabla1[[#This Row],[Extraccion
Norte II]]+Tabla1[[#This Row],[Extraccion
ENO]]</f>
        <v>0</v>
      </c>
      <c r="J1677" s="1862"/>
      <c r="K1677" s="1862"/>
      <c r="L1677" s="1862">
        <f t="shared" si="133"/>
        <v>0</v>
      </c>
      <c r="M1677" s="1862">
        <f>M1676+Tabla1[[#This Row],[Desbalance
TPL]]</f>
        <v>-673433.8428743222</v>
      </c>
    </row>
    <row r="1678" spans="2:13" x14ac:dyDescent="0.25">
      <c r="B1678" s="1859">
        <f t="shared" si="130"/>
        <v>2018</v>
      </c>
      <c r="C1678" s="1859">
        <f t="shared" si="131"/>
        <v>2</v>
      </c>
      <c r="D1678" s="1860">
        <f t="shared" si="132"/>
        <v>43137</v>
      </c>
      <c r="E1678" s="1861">
        <v>43137</v>
      </c>
      <c r="F1678" s="1862"/>
      <c r="G1678" s="1862"/>
      <c r="H1678" s="1862"/>
      <c r="I1678" s="1862">
        <f>Tabla1[[#This Row],[Extraccion
Norte II]]+Tabla1[[#This Row],[Extraccion
ENO]]</f>
        <v>0</v>
      </c>
      <c r="J1678" s="1862"/>
      <c r="K1678" s="1862"/>
      <c r="L1678" s="1862">
        <f t="shared" si="133"/>
        <v>0</v>
      </c>
      <c r="M1678" s="1862">
        <f>M1677+Tabla1[[#This Row],[Desbalance
TPL]]</f>
        <v>-673433.8428743222</v>
      </c>
    </row>
    <row r="1679" spans="2:13" x14ac:dyDescent="0.25">
      <c r="B1679" s="1859">
        <f t="shared" si="130"/>
        <v>2018</v>
      </c>
      <c r="C1679" s="1859">
        <f t="shared" si="131"/>
        <v>2</v>
      </c>
      <c r="D1679" s="1860">
        <f t="shared" si="132"/>
        <v>43138</v>
      </c>
      <c r="E1679" s="1861">
        <v>43138</v>
      </c>
      <c r="F1679" s="1862"/>
      <c r="G1679" s="1862"/>
      <c r="H1679" s="1862"/>
      <c r="I1679" s="1862">
        <f>Tabla1[[#This Row],[Extraccion
Norte II]]+Tabla1[[#This Row],[Extraccion
ENO]]</f>
        <v>0</v>
      </c>
      <c r="J1679" s="1862"/>
      <c r="K1679" s="1862"/>
      <c r="L1679" s="1862">
        <f t="shared" si="133"/>
        <v>0</v>
      </c>
      <c r="M1679" s="1862">
        <f>M1678+Tabla1[[#This Row],[Desbalance
TPL]]</f>
        <v>-673433.8428743222</v>
      </c>
    </row>
    <row r="1680" spans="2:13" x14ac:dyDescent="0.25">
      <c r="B1680" s="1859">
        <f t="shared" si="130"/>
        <v>2018</v>
      </c>
      <c r="C1680" s="1859">
        <f t="shared" si="131"/>
        <v>2</v>
      </c>
      <c r="D1680" s="1860">
        <f t="shared" si="132"/>
        <v>43139</v>
      </c>
      <c r="E1680" s="1861">
        <v>43139</v>
      </c>
      <c r="F1680" s="1862"/>
      <c r="G1680" s="1862"/>
      <c r="H1680" s="1862"/>
      <c r="I1680" s="1862">
        <f>Tabla1[[#This Row],[Extraccion
Norte II]]+Tabla1[[#This Row],[Extraccion
ENO]]</f>
        <v>0</v>
      </c>
      <c r="J1680" s="1862"/>
      <c r="K1680" s="1862"/>
      <c r="L1680" s="1862">
        <f t="shared" si="133"/>
        <v>0</v>
      </c>
      <c r="M1680" s="1862">
        <f>M1679+Tabla1[[#This Row],[Desbalance
TPL]]</f>
        <v>-673433.8428743222</v>
      </c>
    </row>
    <row r="1681" spans="2:13" x14ac:dyDescent="0.25">
      <c r="B1681" s="1859">
        <f t="shared" si="130"/>
        <v>2018</v>
      </c>
      <c r="C1681" s="1859">
        <f t="shared" si="131"/>
        <v>2</v>
      </c>
      <c r="D1681" s="1860">
        <f t="shared" si="132"/>
        <v>43140</v>
      </c>
      <c r="E1681" s="1861">
        <v>43140</v>
      </c>
      <c r="F1681" s="1862"/>
      <c r="G1681" s="1862"/>
      <c r="H1681" s="1862"/>
      <c r="I1681" s="1862">
        <f>Tabla1[[#This Row],[Extraccion
Norte II]]+Tabla1[[#This Row],[Extraccion
ENO]]</f>
        <v>0</v>
      </c>
      <c r="J1681" s="1862"/>
      <c r="K1681" s="1862"/>
      <c r="L1681" s="1862">
        <f t="shared" si="133"/>
        <v>0</v>
      </c>
      <c r="M1681" s="1862">
        <f>M1680+Tabla1[[#This Row],[Desbalance
TPL]]</f>
        <v>-673433.8428743222</v>
      </c>
    </row>
    <row r="1682" spans="2:13" x14ac:dyDescent="0.25">
      <c r="B1682" s="1859">
        <f t="shared" si="130"/>
        <v>2018</v>
      </c>
      <c r="C1682" s="1859">
        <f t="shared" si="131"/>
        <v>2</v>
      </c>
      <c r="D1682" s="1860">
        <f t="shared" si="132"/>
        <v>43141</v>
      </c>
      <c r="E1682" s="1861">
        <v>43141</v>
      </c>
      <c r="F1682" s="1862"/>
      <c r="G1682" s="1862"/>
      <c r="H1682" s="1862"/>
      <c r="I1682" s="1862">
        <f>Tabla1[[#This Row],[Extraccion
Norte II]]+Tabla1[[#This Row],[Extraccion
ENO]]</f>
        <v>0</v>
      </c>
      <c r="J1682" s="1862"/>
      <c r="K1682" s="1862"/>
      <c r="L1682" s="1862">
        <f t="shared" si="133"/>
        <v>0</v>
      </c>
      <c r="M1682" s="1862">
        <f>M1681+Tabla1[[#This Row],[Desbalance
TPL]]</f>
        <v>-673433.8428743222</v>
      </c>
    </row>
    <row r="1683" spans="2:13" x14ac:dyDescent="0.25">
      <c r="B1683" s="1859">
        <f t="shared" si="130"/>
        <v>2018</v>
      </c>
      <c r="C1683" s="1859">
        <f t="shared" si="131"/>
        <v>2</v>
      </c>
      <c r="D1683" s="1860">
        <f t="shared" si="132"/>
        <v>43142</v>
      </c>
      <c r="E1683" s="1861">
        <v>43142</v>
      </c>
      <c r="F1683" s="1862"/>
      <c r="G1683" s="1862"/>
      <c r="H1683" s="1862"/>
      <c r="I1683" s="1862">
        <f>Tabla1[[#This Row],[Extraccion
Norte II]]+Tabla1[[#This Row],[Extraccion
ENO]]</f>
        <v>0</v>
      </c>
      <c r="J1683" s="1862"/>
      <c r="K1683" s="1862"/>
      <c r="L1683" s="1862">
        <f t="shared" si="133"/>
        <v>0</v>
      </c>
      <c r="M1683" s="1862">
        <f>M1682+Tabla1[[#This Row],[Desbalance
TPL]]</f>
        <v>-673433.8428743222</v>
      </c>
    </row>
    <row r="1684" spans="2:13" x14ac:dyDescent="0.25">
      <c r="B1684" s="1859">
        <f t="shared" si="130"/>
        <v>2018</v>
      </c>
      <c r="C1684" s="1859">
        <f t="shared" si="131"/>
        <v>2</v>
      </c>
      <c r="D1684" s="1860">
        <f t="shared" si="132"/>
        <v>43143</v>
      </c>
      <c r="E1684" s="1861">
        <v>43143</v>
      </c>
      <c r="F1684" s="1862"/>
      <c r="G1684" s="1862"/>
      <c r="H1684" s="1862"/>
      <c r="I1684" s="1862">
        <f>Tabla1[[#This Row],[Extraccion
Norte II]]+Tabla1[[#This Row],[Extraccion
ENO]]</f>
        <v>0</v>
      </c>
      <c r="J1684" s="1862"/>
      <c r="K1684" s="1862"/>
      <c r="L1684" s="1862">
        <f t="shared" si="133"/>
        <v>0</v>
      </c>
      <c r="M1684" s="1862">
        <f>M1683+Tabla1[[#This Row],[Desbalance
TPL]]</f>
        <v>-673433.8428743222</v>
      </c>
    </row>
    <row r="1685" spans="2:13" x14ac:dyDescent="0.25">
      <c r="B1685" s="1859">
        <f t="shared" si="130"/>
        <v>2018</v>
      </c>
      <c r="C1685" s="1859">
        <f t="shared" si="131"/>
        <v>2</v>
      </c>
      <c r="D1685" s="1860">
        <f t="shared" si="132"/>
        <v>43144</v>
      </c>
      <c r="E1685" s="1861">
        <v>43144</v>
      </c>
      <c r="F1685" s="1862"/>
      <c r="G1685" s="1862"/>
      <c r="H1685" s="1862"/>
      <c r="I1685" s="1862">
        <f>Tabla1[[#This Row],[Extraccion
Norte II]]+Tabla1[[#This Row],[Extraccion
ENO]]</f>
        <v>0</v>
      </c>
      <c r="J1685" s="1862"/>
      <c r="K1685" s="1862"/>
      <c r="L1685" s="1862">
        <f t="shared" si="133"/>
        <v>0</v>
      </c>
      <c r="M1685" s="1862">
        <f>M1684+Tabla1[[#This Row],[Desbalance
TPL]]</f>
        <v>-673433.8428743222</v>
      </c>
    </row>
    <row r="1686" spans="2:13" x14ac:dyDescent="0.25">
      <c r="B1686" s="1859">
        <f t="shared" si="130"/>
        <v>2018</v>
      </c>
      <c r="C1686" s="1859">
        <f t="shared" si="131"/>
        <v>2</v>
      </c>
      <c r="D1686" s="1860">
        <f t="shared" si="132"/>
        <v>43145</v>
      </c>
      <c r="E1686" s="1861">
        <v>43145</v>
      </c>
      <c r="F1686" s="1862"/>
      <c r="G1686" s="1862"/>
      <c r="H1686" s="1862"/>
      <c r="I1686" s="1862">
        <f>Tabla1[[#This Row],[Extraccion
Norte II]]+Tabla1[[#This Row],[Extraccion
ENO]]</f>
        <v>0</v>
      </c>
      <c r="J1686" s="1862"/>
      <c r="K1686" s="1862"/>
      <c r="L1686" s="1862">
        <f t="shared" si="133"/>
        <v>0</v>
      </c>
      <c r="M1686" s="1862">
        <f>M1685+Tabla1[[#This Row],[Desbalance
TPL]]</f>
        <v>-673433.8428743222</v>
      </c>
    </row>
    <row r="1687" spans="2:13" x14ac:dyDescent="0.25">
      <c r="B1687" s="1859">
        <f t="shared" si="130"/>
        <v>2018</v>
      </c>
      <c r="C1687" s="1859">
        <f t="shared" si="131"/>
        <v>2</v>
      </c>
      <c r="D1687" s="1860">
        <f t="shared" si="132"/>
        <v>43146</v>
      </c>
      <c r="E1687" s="1861">
        <v>43146</v>
      </c>
      <c r="F1687" s="1862"/>
      <c r="G1687" s="1862"/>
      <c r="H1687" s="1862"/>
      <c r="I1687" s="1862">
        <f>Tabla1[[#This Row],[Extraccion
Norte II]]+Tabla1[[#This Row],[Extraccion
ENO]]</f>
        <v>0</v>
      </c>
      <c r="J1687" s="1862"/>
      <c r="K1687" s="1862"/>
      <c r="L1687" s="1862">
        <f t="shared" si="133"/>
        <v>0</v>
      </c>
      <c r="M1687" s="1862">
        <f>M1686+Tabla1[[#This Row],[Desbalance
TPL]]</f>
        <v>-673433.8428743222</v>
      </c>
    </row>
    <row r="1688" spans="2:13" x14ac:dyDescent="0.25">
      <c r="B1688" s="1859">
        <f t="shared" si="130"/>
        <v>2018</v>
      </c>
      <c r="C1688" s="1859">
        <f t="shared" si="131"/>
        <v>2</v>
      </c>
      <c r="D1688" s="1860">
        <f t="shared" si="132"/>
        <v>43147</v>
      </c>
      <c r="E1688" s="1861">
        <v>43147</v>
      </c>
      <c r="F1688" s="1862"/>
      <c r="G1688" s="1862"/>
      <c r="H1688" s="1862"/>
      <c r="I1688" s="1862">
        <f>Tabla1[[#This Row],[Extraccion
Norte II]]+Tabla1[[#This Row],[Extraccion
ENO]]</f>
        <v>0</v>
      </c>
      <c r="J1688" s="1862"/>
      <c r="K1688" s="1862"/>
      <c r="L1688" s="1862">
        <f t="shared" si="133"/>
        <v>0</v>
      </c>
      <c r="M1688" s="1862">
        <f>M1687+Tabla1[[#This Row],[Desbalance
TPL]]</f>
        <v>-673433.8428743222</v>
      </c>
    </row>
    <row r="1689" spans="2:13" x14ac:dyDescent="0.25">
      <c r="B1689" s="1859">
        <f t="shared" si="130"/>
        <v>2018</v>
      </c>
      <c r="C1689" s="1859">
        <f t="shared" si="131"/>
        <v>2</v>
      </c>
      <c r="D1689" s="1860">
        <f t="shared" si="132"/>
        <v>43148</v>
      </c>
      <c r="E1689" s="1861">
        <v>43148</v>
      </c>
      <c r="F1689" s="1862"/>
      <c r="G1689" s="1862"/>
      <c r="H1689" s="1862"/>
      <c r="I1689" s="1862">
        <f>Tabla1[[#This Row],[Extraccion
Norte II]]+Tabla1[[#This Row],[Extraccion
ENO]]</f>
        <v>0</v>
      </c>
      <c r="J1689" s="1862"/>
      <c r="K1689" s="1862"/>
      <c r="L1689" s="1862">
        <f t="shared" si="133"/>
        <v>0</v>
      </c>
      <c r="M1689" s="1862">
        <f>M1688+Tabla1[[#This Row],[Desbalance
TPL]]</f>
        <v>-673433.8428743222</v>
      </c>
    </row>
    <row r="1690" spans="2:13" x14ac:dyDescent="0.25">
      <c r="B1690" s="1859">
        <f t="shared" si="130"/>
        <v>2018</v>
      </c>
      <c r="C1690" s="1859">
        <f t="shared" si="131"/>
        <v>2</v>
      </c>
      <c r="D1690" s="1860">
        <f t="shared" si="132"/>
        <v>43149</v>
      </c>
      <c r="E1690" s="1861">
        <v>43149</v>
      </c>
      <c r="F1690" s="1862"/>
      <c r="G1690" s="1862"/>
      <c r="H1690" s="1862"/>
      <c r="I1690" s="1862">
        <f>Tabla1[[#This Row],[Extraccion
Norte II]]+Tabla1[[#This Row],[Extraccion
ENO]]</f>
        <v>0</v>
      </c>
      <c r="J1690" s="1862"/>
      <c r="K1690" s="1862"/>
      <c r="L1690" s="1862">
        <f t="shared" si="133"/>
        <v>0</v>
      </c>
      <c r="M1690" s="1862">
        <f>M1689+Tabla1[[#This Row],[Desbalance
TPL]]</f>
        <v>-673433.8428743222</v>
      </c>
    </row>
    <row r="1691" spans="2:13" x14ac:dyDescent="0.25">
      <c r="B1691" s="1859">
        <f t="shared" si="130"/>
        <v>2018</v>
      </c>
      <c r="C1691" s="1859">
        <f t="shared" si="131"/>
        <v>2</v>
      </c>
      <c r="D1691" s="1860">
        <f t="shared" si="132"/>
        <v>43150</v>
      </c>
      <c r="E1691" s="1861">
        <v>43150</v>
      </c>
      <c r="F1691" s="1862"/>
      <c r="G1691" s="1862"/>
      <c r="H1691" s="1862"/>
      <c r="I1691" s="1862">
        <f>Tabla1[[#This Row],[Extraccion
Norte II]]+Tabla1[[#This Row],[Extraccion
ENO]]</f>
        <v>0</v>
      </c>
      <c r="J1691" s="1862"/>
      <c r="K1691" s="1862"/>
      <c r="L1691" s="1862">
        <f t="shared" si="133"/>
        <v>0</v>
      </c>
      <c r="M1691" s="1862">
        <f>M1690+Tabla1[[#This Row],[Desbalance
TPL]]</f>
        <v>-673433.8428743222</v>
      </c>
    </row>
    <row r="1692" spans="2:13" x14ac:dyDescent="0.25">
      <c r="B1692" s="1859">
        <f t="shared" si="130"/>
        <v>2018</v>
      </c>
      <c r="C1692" s="1859">
        <f t="shared" si="131"/>
        <v>2</v>
      </c>
      <c r="D1692" s="1860">
        <f t="shared" si="132"/>
        <v>43151</v>
      </c>
      <c r="E1692" s="1861">
        <v>43151</v>
      </c>
      <c r="F1692" s="1862"/>
      <c r="G1692" s="1862"/>
      <c r="H1692" s="1862"/>
      <c r="I1692" s="1862">
        <f>Tabla1[[#This Row],[Extraccion
Norte II]]+Tabla1[[#This Row],[Extraccion
ENO]]</f>
        <v>0</v>
      </c>
      <c r="J1692" s="1862"/>
      <c r="K1692" s="1862"/>
      <c r="L1692" s="1862">
        <f t="shared" si="133"/>
        <v>0</v>
      </c>
      <c r="M1692" s="1862">
        <f>M1691+Tabla1[[#This Row],[Desbalance
TPL]]</f>
        <v>-673433.8428743222</v>
      </c>
    </row>
    <row r="1693" spans="2:13" x14ac:dyDescent="0.25">
      <c r="B1693" s="1859">
        <f t="shared" si="130"/>
        <v>2018</v>
      </c>
      <c r="C1693" s="1859">
        <f t="shared" si="131"/>
        <v>2</v>
      </c>
      <c r="D1693" s="1860">
        <f t="shared" si="132"/>
        <v>43152</v>
      </c>
      <c r="E1693" s="1861">
        <v>43152</v>
      </c>
      <c r="F1693" s="1862"/>
      <c r="G1693" s="1862"/>
      <c r="H1693" s="1862"/>
      <c r="I1693" s="1862">
        <f>Tabla1[[#This Row],[Extraccion
Norte II]]+Tabla1[[#This Row],[Extraccion
ENO]]</f>
        <v>0</v>
      </c>
      <c r="J1693" s="1862"/>
      <c r="K1693" s="1862"/>
      <c r="L1693" s="1862">
        <f t="shared" si="133"/>
        <v>0</v>
      </c>
      <c r="M1693" s="1862">
        <f>M1692+Tabla1[[#This Row],[Desbalance
TPL]]</f>
        <v>-673433.8428743222</v>
      </c>
    </row>
    <row r="1694" spans="2:13" x14ac:dyDescent="0.25">
      <c r="B1694" s="1859">
        <f t="shared" si="130"/>
        <v>2018</v>
      </c>
      <c r="C1694" s="1859">
        <f t="shared" si="131"/>
        <v>2</v>
      </c>
      <c r="D1694" s="1860">
        <f t="shared" si="132"/>
        <v>43153</v>
      </c>
      <c r="E1694" s="1861">
        <v>43153</v>
      </c>
      <c r="F1694" s="1862"/>
      <c r="G1694" s="1862"/>
      <c r="H1694" s="1862"/>
      <c r="I1694" s="1862">
        <f>Tabla1[[#This Row],[Extraccion
Norte II]]+Tabla1[[#This Row],[Extraccion
ENO]]</f>
        <v>0</v>
      </c>
      <c r="J1694" s="1862"/>
      <c r="K1694" s="1862"/>
      <c r="L1694" s="1862">
        <f t="shared" si="133"/>
        <v>0</v>
      </c>
      <c r="M1694" s="1862">
        <f>M1693+Tabla1[[#This Row],[Desbalance
TPL]]</f>
        <v>-673433.8428743222</v>
      </c>
    </row>
    <row r="1695" spans="2:13" x14ac:dyDescent="0.25">
      <c r="B1695" s="1859">
        <f t="shared" si="130"/>
        <v>2018</v>
      </c>
      <c r="C1695" s="1859">
        <f t="shared" si="131"/>
        <v>2</v>
      </c>
      <c r="D1695" s="1860">
        <f t="shared" si="132"/>
        <v>43154</v>
      </c>
      <c r="E1695" s="1861">
        <v>43154</v>
      </c>
      <c r="F1695" s="1862"/>
      <c r="G1695" s="1862"/>
      <c r="H1695" s="1862"/>
      <c r="I1695" s="1862">
        <f>Tabla1[[#This Row],[Extraccion
Norte II]]+Tabla1[[#This Row],[Extraccion
ENO]]</f>
        <v>0</v>
      </c>
      <c r="J1695" s="1862"/>
      <c r="K1695" s="1862"/>
      <c r="L1695" s="1862">
        <f t="shared" si="133"/>
        <v>0</v>
      </c>
      <c r="M1695" s="1862">
        <f>M1694+Tabla1[[#This Row],[Desbalance
TPL]]</f>
        <v>-673433.8428743222</v>
      </c>
    </row>
    <row r="1696" spans="2:13" x14ac:dyDescent="0.25">
      <c r="B1696" s="1859">
        <f t="shared" si="130"/>
        <v>2018</v>
      </c>
      <c r="C1696" s="1859">
        <f t="shared" si="131"/>
        <v>2</v>
      </c>
      <c r="D1696" s="1860">
        <f t="shared" si="132"/>
        <v>43155</v>
      </c>
      <c r="E1696" s="1861">
        <v>43155</v>
      </c>
      <c r="F1696" s="1862"/>
      <c r="G1696" s="1862"/>
      <c r="H1696" s="1862"/>
      <c r="I1696" s="1862">
        <f>Tabla1[[#This Row],[Extraccion
Norte II]]+Tabla1[[#This Row],[Extraccion
ENO]]</f>
        <v>0</v>
      </c>
      <c r="J1696" s="1862"/>
      <c r="K1696" s="1862"/>
      <c r="L1696" s="1862">
        <f t="shared" si="133"/>
        <v>0</v>
      </c>
      <c r="M1696" s="1862">
        <f>M1695+Tabla1[[#This Row],[Desbalance
TPL]]</f>
        <v>-673433.8428743222</v>
      </c>
    </row>
    <row r="1697" spans="2:13" x14ac:dyDescent="0.25">
      <c r="B1697" s="1859">
        <f t="shared" si="130"/>
        <v>2018</v>
      </c>
      <c r="C1697" s="1859">
        <f t="shared" si="131"/>
        <v>2</v>
      </c>
      <c r="D1697" s="1860">
        <f t="shared" si="132"/>
        <v>43156</v>
      </c>
      <c r="E1697" s="1861">
        <v>43156</v>
      </c>
      <c r="F1697" s="1862"/>
      <c r="G1697" s="1862"/>
      <c r="H1697" s="1862"/>
      <c r="I1697" s="1862">
        <f>Tabla1[[#This Row],[Extraccion
Norte II]]+Tabla1[[#This Row],[Extraccion
ENO]]</f>
        <v>0</v>
      </c>
      <c r="J1697" s="1862"/>
      <c r="K1697" s="1862"/>
      <c r="L1697" s="1862">
        <f t="shared" si="133"/>
        <v>0</v>
      </c>
      <c r="M1697" s="1862">
        <f>M1696+Tabla1[[#This Row],[Desbalance
TPL]]</f>
        <v>-673433.8428743222</v>
      </c>
    </row>
    <row r="1698" spans="2:13" x14ac:dyDescent="0.25">
      <c r="B1698" s="1859">
        <f t="shared" si="130"/>
        <v>2018</v>
      </c>
      <c r="C1698" s="1859">
        <f t="shared" si="131"/>
        <v>2</v>
      </c>
      <c r="D1698" s="1860">
        <f t="shared" si="132"/>
        <v>43157</v>
      </c>
      <c r="E1698" s="1861">
        <v>43157</v>
      </c>
      <c r="F1698" s="1862"/>
      <c r="G1698" s="1862"/>
      <c r="H1698" s="1862"/>
      <c r="I1698" s="1862">
        <f>Tabla1[[#This Row],[Extraccion
Norte II]]+Tabla1[[#This Row],[Extraccion
ENO]]</f>
        <v>0</v>
      </c>
      <c r="J1698" s="1862"/>
      <c r="K1698" s="1862"/>
      <c r="L1698" s="1862">
        <f t="shared" si="133"/>
        <v>0</v>
      </c>
      <c r="M1698" s="1862">
        <f>M1697+Tabla1[[#This Row],[Desbalance
TPL]]</f>
        <v>-673433.8428743222</v>
      </c>
    </row>
    <row r="1699" spans="2:13" x14ac:dyDescent="0.25">
      <c r="B1699" s="1859">
        <f t="shared" si="130"/>
        <v>2018</v>
      </c>
      <c r="C1699" s="1859">
        <f t="shared" si="131"/>
        <v>2</v>
      </c>
      <c r="D1699" s="1860">
        <f t="shared" si="132"/>
        <v>43158</v>
      </c>
      <c r="E1699" s="1861">
        <v>43158</v>
      </c>
      <c r="F1699" s="1862"/>
      <c r="G1699" s="1862"/>
      <c r="H1699" s="1862"/>
      <c r="I1699" s="1862">
        <f>Tabla1[[#This Row],[Extraccion
Norte II]]+Tabla1[[#This Row],[Extraccion
ENO]]</f>
        <v>0</v>
      </c>
      <c r="J1699" s="1862"/>
      <c r="K1699" s="1862"/>
      <c r="L1699" s="1862">
        <f t="shared" si="133"/>
        <v>0</v>
      </c>
      <c r="M1699" s="1862">
        <f>M1698+Tabla1[[#This Row],[Desbalance
TPL]]</f>
        <v>-673433.8428743222</v>
      </c>
    </row>
    <row r="1700" spans="2:13" x14ac:dyDescent="0.25">
      <c r="B1700" s="1859">
        <f t="shared" si="130"/>
        <v>2018</v>
      </c>
      <c r="C1700" s="1859">
        <f t="shared" si="131"/>
        <v>2</v>
      </c>
      <c r="D1700" s="1860">
        <f t="shared" si="132"/>
        <v>43159</v>
      </c>
      <c r="E1700" s="1861">
        <v>43159</v>
      </c>
      <c r="F1700" s="1862"/>
      <c r="G1700" s="1862"/>
      <c r="H1700" s="1862"/>
      <c r="I1700" s="1862">
        <f>Tabla1[[#This Row],[Extraccion
Norte II]]+Tabla1[[#This Row],[Extraccion
ENO]]</f>
        <v>0</v>
      </c>
      <c r="J1700" s="1862"/>
      <c r="K1700" s="1862"/>
      <c r="L1700" s="1862">
        <f t="shared" si="133"/>
        <v>0</v>
      </c>
      <c r="M1700" s="1862">
        <f>M1699+Tabla1[[#This Row],[Desbalance
TPL]]</f>
        <v>-673433.8428743222</v>
      </c>
    </row>
    <row r="1701" spans="2:13" x14ac:dyDescent="0.25">
      <c r="B1701" s="1859">
        <f t="shared" si="130"/>
        <v>2018</v>
      </c>
      <c r="C1701" s="1859">
        <f t="shared" si="131"/>
        <v>3</v>
      </c>
      <c r="D1701" s="1860">
        <f t="shared" si="132"/>
        <v>43160</v>
      </c>
      <c r="E1701" s="1861">
        <v>43160</v>
      </c>
      <c r="F1701" s="1862"/>
      <c r="G1701" s="1862"/>
      <c r="H1701" s="1862"/>
      <c r="I1701" s="1862">
        <f>Tabla1[[#This Row],[Extraccion
Norte II]]+Tabla1[[#This Row],[Extraccion
ENO]]</f>
        <v>0</v>
      </c>
      <c r="J1701" s="1862"/>
      <c r="K1701" s="1862"/>
      <c r="L1701" s="1862">
        <f t="shared" si="133"/>
        <v>0</v>
      </c>
      <c r="M1701" s="1862">
        <f>M1700+Tabla1[[#This Row],[Desbalance
TPL]]</f>
        <v>-673433.8428743222</v>
      </c>
    </row>
    <row r="1702" spans="2:13" x14ac:dyDescent="0.25">
      <c r="B1702" s="1859">
        <f t="shared" si="130"/>
        <v>2018</v>
      </c>
      <c r="C1702" s="1859">
        <f t="shared" si="131"/>
        <v>3</v>
      </c>
      <c r="D1702" s="1860">
        <f t="shared" si="132"/>
        <v>43161</v>
      </c>
      <c r="E1702" s="1861">
        <v>43161</v>
      </c>
      <c r="F1702" s="1862"/>
      <c r="G1702" s="1862"/>
      <c r="H1702" s="1862"/>
      <c r="I1702" s="1862">
        <f>Tabla1[[#This Row],[Extraccion
Norte II]]+Tabla1[[#This Row],[Extraccion
ENO]]</f>
        <v>0</v>
      </c>
      <c r="J1702" s="1862"/>
      <c r="K1702" s="1862"/>
      <c r="L1702" s="1862">
        <f t="shared" si="133"/>
        <v>0</v>
      </c>
      <c r="M1702" s="1862">
        <f>M1701+Tabla1[[#This Row],[Desbalance
TPL]]</f>
        <v>-673433.8428743222</v>
      </c>
    </row>
    <row r="1703" spans="2:13" x14ac:dyDescent="0.25">
      <c r="B1703" s="1859">
        <f t="shared" si="130"/>
        <v>2018</v>
      </c>
      <c r="C1703" s="1859">
        <f t="shared" si="131"/>
        <v>3</v>
      </c>
      <c r="D1703" s="1860">
        <f t="shared" si="132"/>
        <v>43162</v>
      </c>
      <c r="E1703" s="1861">
        <v>43162</v>
      </c>
      <c r="F1703" s="1862"/>
      <c r="G1703" s="1862"/>
      <c r="H1703" s="1862"/>
      <c r="I1703" s="1862">
        <f>Tabla1[[#This Row],[Extraccion
Norte II]]+Tabla1[[#This Row],[Extraccion
ENO]]</f>
        <v>0</v>
      </c>
      <c r="J1703" s="1862"/>
      <c r="K1703" s="1862"/>
      <c r="L1703" s="1862">
        <f t="shared" si="133"/>
        <v>0</v>
      </c>
      <c r="M1703" s="1862">
        <f>M1702+Tabla1[[#This Row],[Desbalance
TPL]]</f>
        <v>-673433.8428743222</v>
      </c>
    </row>
    <row r="1704" spans="2:13" x14ac:dyDescent="0.25">
      <c r="B1704" s="1859">
        <f t="shared" si="130"/>
        <v>2018</v>
      </c>
      <c r="C1704" s="1859">
        <f t="shared" si="131"/>
        <v>3</v>
      </c>
      <c r="D1704" s="1860">
        <f t="shared" si="132"/>
        <v>43163</v>
      </c>
      <c r="E1704" s="1861">
        <v>43163</v>
      </c>
      <c r="F1704" s="1862"/>
      <c r="G1704" s="1862"/>
      <c r="H1704" s="1862"/>
      <c r="I1704" s="1862">
        <f>Tabla1[[#This Row],[Extraccion
Norte II]]+Tabla1[[#This Row],[Extraccion
ENO]]</f>
        <v>0</v>
      </c>
      <c r="J1704" s="1862"/>
      <c r="K1704" s="1862"/>
      <c r="L1704" s="1862">
        <f t="shared" si="133"/>
        <v>0</v>
      </c>
      <c r="M1704" s="1862">
        <f>M1703+Tabla1[[#This Row],[Desbalance
TPL]]</f>
        <v>-673433.8428743222</v>
      </c>
    </row>
    <row r="1705" spans="2:13" x14ac:dyDescent="0.25">
      <c r="B1705" s="1859">
        <f t="shared" si="130"/>
        <v>2018</v>
      </c>
      <c r="C1705" s="1859">
        <f t="shared" si="131"/>
        <v>3</v>
      </c>
      <c r="D1705" s="1860">
        <f t="shared" si="132"/>
        <v>43164</v>
      </c>
      <c r="E1705" s="1861">
        <v>43164</v>
      </c>
      <c r="F1705" s="1862"/>
      <c r="G1705" s="1862"/>
      <c r="H1705" s="1862"/>
      <c r="I1705" s="1862">
        <f>Tabla1[[#This Row],[Extraccion
Norte II]]+Tabla1[[#This Row],[Extraccion
ENO]]</f>
        <v>0</v>
      </c>
      <c r="J1705" s="1862"/>
      <c r="K1705" s="1862"/>
      <c r="L1705" s="1862">
        <f t="shared" si="133"/>
        <v>0</v>
      </c>
      <c r="M1705" s="1862">
        <f>M1704+Tabla1[[#This Row],[Desbalance
TPL]]</f>
        <v>-673433.8428743222</v>
      </c>
    </row>
    <row r="1706" spans="2:13" x14ac:dyDescent="0.25">
      <c r="B1706" s="1859">
        <f t="shared" si="130"/>
        <v>2018</v>
      </c>
      <c r="C1706" s="1859">
        <f t="shared" si="131"/>
        <v>3</v>
      </c>
      <c r="D1706" s="1860">
        <f t="shared" si="132"/>
        <v>43165</v>
      </c>
      <c r="E1706" s="1861">
        <v>43165</v>
      </c>
      <c r="F1706" s="1862"/>
      <c r="G1706" s="1862"/>
      <c r="H1706" s="1862"/>
      <c r="I1706" s="1862">
        <f>Tabla1[[#This Row],[Extraccion
Norte II]]+Tabla1[[#This Row],[Extraccion
ENO]]</f>
        <v>0</v>
      </c>
      <c r="J1706" s="1862"/>
      <c r="K1706" s="1862"/>
      <c r="L1706" s="1862">
        <f t="shared" si="133"/>
        <v>0</v>
      </c>
      <c r="M1706" s="1862">
        <f>M1705+Tabla1[[#This Row],[Desbalance
TPL]]</f>
        <v>-673433.8428743222</v>
      </c>
    </row>
    <row r="1707" spans="2:13" x14ac:dyDescent="0.25">
      <c r="B1707" s="1859">
        <f t="shared" si="130"/>
        <v>2018</v>
      </c>
      <c r="C1707" s="1859">
        <f t="shared" si="131"/>
        <v>3</v>
      </c>
      <c r="D1707" s="1860">
        <f t="shared" si="132"/>
        <v>43166</v>
      </c>
      <c r="E1707" s="1861">
        <v>43166</v>
      </c>
      <c r="F1707" s="1862"/>
      <c r="G1707" s="1862"/>
      <c r="H1707" s="1862"/>
      <c r="I1707" s="1862">
        <f>Tabla1[[#This Row],[Extraccion
Norte II]]+Tabla1[[#This Row],[Extraccion
ENO]]</f>
        <v>0</v>
      </c>
      <c r="J1707" s="1862"/>
      <c r="K1707" s="1862"/>
      <c r="L1707" s="1862">
        <f t="shared" si="133"/>
        <v>0</v>
      </c>
      <c r="M1707" s="1862">
        <f>M1706+Tabla1[[#This Row],[Desbalance
TPL]]</f>
        <v>-673433.8428743222</v>
      </c>
    </row>
    <row r="1708" spans="2:13" x14ac:dyDescent="0.25">
      <c r="B1708" s="1859">
        <f t="shared" si="130"/>
        <v>2018</v>
      </c>
      <c r="C1708" s="1859">
        <f t="shared" si="131"/>
        <v>3</v>
      </c>
      <c r="D1708" s="1860">
        <f t="shared" si="132"/>
        <v>43167</v>
      </c>
      <c r="E1708" s="1861">
        <v>43167</v>
      </c>
      <c r="F1708" s="1862"/>
      <c r="G1708" s="1862"/>
      <c r="H1708" s="1862"/>
      <c r="I1708" s="1862">
        <f>Tabla1[[#This Row],[Extraccion
Norte II]]+Tabla1[[#This Row],[Extraccion
ENO]]</f>
        <v>0</v>
      </c>
      <c r="J1708" s="1862"/>
      <c r="K1708" s="1862"/>
      <c r="L1708" s="1862">
        <f t="shared" si="133"/>
        <v>0</v>
      </c>
      <c r="M1708" s="1862">
        <f>M1707+Tabla1[[#This Row],[Desbalance
TPL]]</f>
        <v>-673433.8428743222</v>
      </c>
    </row>
    <row r="1709" spans="2:13" x14ac:dyDescent="0.25">
      <c r="B1709" s="1859">
        <f t="shared" si="130"/>
        <v>2018</v>
      </c>
      <c r="C1709" s="1859">
        <f t="shared" si="131"/>
        <v>3</v>
      </c>
      <c r="D1709" s="1860">
        <f t="shared" si="132"/>
        <v>43168</v>
      </c>
      <c r="E1709" s="1861">
        <v>43168</v>
      </c>
      <c r="F1709" s="1862"/>
      <c r="G1709" s="1862"/>
      <c r="H1709" s="1862"/>
      <c r="I1709" s="1862">
        <f>Tabla1[[#This Row],[Extraccion
Norte II]]+Tabla1[[#This Row],[Extraccion
ENO]]</f>
        <v>0</v>
      </c>
      <c r="J1709" s="1862"/>
      <c r="K1709" s="1862"/>
      <c r="L1709" s="1862">
        <f t="shared" si="133"/>
        <v>0</v>
      </c>
      <c r="M1709" s="1862">
        <f>M1708+Tabla1[[#This Row],[Desbalance
TPL]]</f>
        <v>-673433.8428743222</v>
      </c>
    </row>
    <row r="1710" spans="2:13" x14ac:dyDescent="0.25">
      <c r="B1710" s="1859">
        <f t="shared" si="130"/>
        <v>2018</v>
      </c>
      <c r="C1710" s="1859">
        <f t="shared" si="131"/>
        <v>3</v>
      </c>
      <c r="D1710" s="1860">
        <f t="shared" si="132"/>
        <v>43169</v>
      </c>
      <c r="E1710" s="1861">
        <v>43169</v>
      </c>
      <c r="F1710" s="1862"/>
      <c r="G1710" s="1862"/>
      <c r="H1710" s="1862"/>
      <c r="I1710" s="1862">
        <f>Tabla1[[#This Row],[Extraccion
Norte II]]+Tabla1[[#This Row],[Extraccion
ENO]]</f>
        <v>0</v>
      </c>
      <c r="J1710" s="1862"/>
      <c r="K1710" s="1862"/>
      <c r="L1710" s="1862">
        <f t="shared" si="133"/>
        <v>0</v>
      </c>
      <c r="M1710" s="1862">
        <f>M1709+Tabla1[[#This Row],[Desbalance
TPL]]</f>
        <v>-673433.8428743222</v>
      </c>
    </row>
    <row r="1711" spans="2:13" x14ac:dyDescent="0.25">
      <c r="B1711" s="1859">
        <f t="shared" si="130"/>
        <v>2018</v>
      </c>
      <c r="C1711" s="1859">
        <f t="shared" si="131"/>
        <v>3</v>
      </c>
      <c r="D1711" s="1860">
        <f t="shared" si="132"/>
        <v>43170</v>
      </c>
      <c r="E1711" s="1861">
        <v>43170</v>
      </c>
      <c r="F1711" s="1862"/>
      <c r="G1711" s="1862"/>
      <c r="H1711" s="1862"/>
      <c r="I1711" s="1862">
        <f>Tabla1[[#This Row],[Extraccion
Norte II]]+Tabla1[[#This Row],[Extraccion
ENO]]</f>
        <v>0</v>
      </c>
      <c r="J1711" s="1862"/>
      <c r="K1711" s="1862"/>
      <c r="L1711" s="1862">
        <f t="shared" si="133"/>
        <v>0</v>
      </c>
      <c r="M1711" s="1862">
        <f>M1710+Tabla1[[#This Row],[Desbalance
TPL]]</f>
        <v>-673433.8428743222</v>
      </c>
    </row>
    <row r="1712" spans="2:13" x14ac:dyDescent="0.25">
      <c r="B1712" s="1859">
        <f t="shared" si="130"/>
        <v>2018</v>
      </c>
      <c r="C1712" s="1859">
        <f t="shared" si="131"/>
        <v>3</v>
      </c>
      <c r="D1712" s="1860">
        <f t="shared" si="132"/>
        <v>43171</v>
      </c>
      <c r="E1712" s="1861">
        <v>43171</v>
      </c>
      <c r="F1712" s="1862"/>
      <c r="G1712" s="1862"/>
      <c r="H1712" s="1862"/>
      <c r="I1712" s="1862">
        <f>Tabla1[[#This Row],[Extraccion
Norte II]]+Tabla1[[#This Row],[Extraccion
ENO]]</f>
        <v>0</v>
      </c>
      <c r="J1712" s="1862"/>
      <c r="K1712" s="1862"/>
      <c r="L1712" s="1862">
        <f t="shared" si="133"/>
        <v>0</v>
      </c>
      <c r="M1712" s="1862">
        <f>M1711+Tabla1[[#This Row],[Desbalance
TPL]]</f>
        <v>-673433.8428743222</v>
      </c>
    </row>
    <row r="1713" spans="2:13" x14ac:dyDescent="0.25">
      <c r="B1713" s="1859">
        <f t="shared" si="130"/>
        <v>2018</v>
      </c>
      <c r="C1713" s="1859">
        <f t="shared" si="131"/>
        <v>3</v>
      </c>
      <c r="D1713" s="1860">
        <f t="shared" si="132"/>
        <v>43172</v>
      </c>
      <c r="E1713" s="1861">
        <v>43172</v>
      </c>
      <c r="F1713" s="1862"/>
      <c r="G1713" s="1862"/>
      <c r="H1713" s="1862"/>
      <c r="I1713" s="1862">
        <f>Tabla1[[#This Row],[Extraccion
Norte II]]+Tabla1[[#This Row],[Extraccion
ENO]]</f>
        <v>0</v>
      </c>
      <c r="J1713" s="1862"/>
      <c r="K1713" s="1862"/>
      <c r="L1713" s="1862">
        <f t="shared" si="133"/>
        <v>0</v>
      </c>
      <c r="M1713" s="1862">
        <f>M1712+Tabla1[[#This Row],[Desbalance
TPL]]</f>
        <v>-673433.8428743222</v>
      </c>
    </row>
    <row r="1714" spans="2:13" x14ac:dyDescent="0.25">
      <c r="B1714" s="1859">
        <f t="shared" si="130"/>
        <v>2018</v>
      </c>
      <c r="C1714" s="1859">
        <f t="shared" si="131"/>
        <v>3</v>
      </c>
      <c r="D1714" s="1860">
        <f t="shared" si="132"/>
        <v>43173</v>
      </c>
      <c r="E1714" s="1861">
        <v>43173</v>
      </c>
      <c r="F1714" s="1862"/>
      <c r="G1714" s="1862"/>
      <c r="H1714" s="1862"/>
      <c r="I1714" s="1862">
        <f>Tabla1[[#This Row],[Extraccion
Norte II]]+Tabla1[[#This Row],[Extraccion
ENO]]</f>
        <v>0</v>
      </c>
      <c r="J1714" s="1862"/>
      <c r="K1714" s="1862"/>
      <c r="L1714" s="1862">
        <f t="shared" si="133"/>
        <v>0</v>
      </c>
      <c r="M1714" s="1862">
        <f>M1713+Tabla1[[#This Row],[Desbalance
TPL]]</f>
        <v>-673433.8428743222</v>
      </c>
    </row>
    <row r="1715" spans="2:13" x14ac:dyDescent="0.25">
      <c r="B1715" s="1859">
        <f t="shared" ref="B1715:B1778" si="134">YEAR(E1715)</f>
        <v>2018</v>
      </c>
      <c r="C1715" s="1859">
        <f t="shared" ref="C1715:C1778" si="135">MONTH(E1715)</f>
        <v>3</v>
      </c>
      <c r="D1715" s="1860">
        <f t="shared" ref="D1715:D1778" si="136">E1715</f>
        <v>43174</v>
      </c>
      <c r="E1715" s="1861">
        <v>43174</v>
      </c>
      <c r="F1715" s="1862"/>
      <c r="G1715" s="1862"/>
      <c r="H1715" s="1862"/>
      <c r="I1715" s="1862">
        <f>Tabla1[[#This Row],[Extraccion
Norte II]]+Tabla1[[#This Row],[Extraccion
ENO]]</f>
        <v>0</v>
      </c>
      <c r="J1715" s="1862"/>
      <c r="K1715" s="1862"/>
      <c r="L1715" s="1862">
        <f t="shared" si="133"/>
        <v>0</v>
      </c>
      <c r="M1715" s="1862">
        <f>M1714+Tabla1[[#This Row],[Desbalance
TPL]]</f>
        <v>-673433.8428743222</v>
      </c>
    </row>
    <row r="1716" spans="2:13" x14ac:dyDescent="0.25">
      <c r="B1716" s="1859">
        <f t="shared" si="134"/>
        <v>2018</v>
      </c>
      <c r="C1716" s="1859">
        <f t="shared" si="135"/>
        <v>3</v>
      </c>
      <c r="D1716" s="1860">
        <f t="shared" si="136"/>
        <v>43175</v>
      </c>
      <c r="E1716" s="1861">
        <v>43175</v>
      </c>
      <c r="F1716" s="1862"/>
      <c r="G1716" s="1862"/>
      <c r="H1716" s="1862"/>
      <c r="I1716" s="1862">
        <f>Tabla1[[#This Row],[Extraccion
Norte II]]+Tabla1[[#This Row],[Extraccion
ENO]]</f>
        <v>0</v>
      </c>
      <c r="J1716" s="1862"/>
      <c r="K1716" s="1862"/>
      <c r="L1716" s="1862">
        <f t="shared" si="133"/>
        <v>0</v>
      </c>
      <c r="M1716" s="1862">
        <f>M1715+Tabla1[[#This Row],[Desbalance
TPL]]</f>
        <v>-673433.8428743222</v>
      </c>
    </row>
    <row r="1717" spans="2:13" x14ac:dyDescent="0.25">
      <c r="B1717" s="1859">
        <f t="shared" si="134"/>
        <v>2018</v>
      </c>
      <c r="C1717" s="1859">
        <f t="shared" si="135"/>
        <v>3</v>
      </c>
      <c r="D1717" s="1860">
        <f t="shared" si="136"/>
        <v>43176</v>
      </c>
      <c r="E1717" s="1861">
        <v>43176</v>
      </c>
      <c r="F1717" s="1862"/>
      <c r="G1717" s="1862"/>
      <c r="H1717" s="1862"/>
      <c r="I1717" s="1862">
        <f>Tabla1[[#This Row],[Extraccion
Norte II]]+Tabla1[[#This Row],[Extraccion
ENO]]</f>
        <v>0</v>
      </c>
      <c r="J1717" s="1862"/>
      <c r="K1717" s="1862"/>
      <c r="L1717" s="1862">
        <f t="shared" si="133"/>
        <v>0</v>
      </c>
      <c r="M1717" s="1862">
        <f>M1716+Tabla1[[#This Row],[Desbalance
TPL]]</f>
        <v>-673433.8428743222</v>
      </c>
    </row>
    <row r="1718" spans="2:13" x14ac:dyDescent="0.25">
      <c r="B1718" s="1859">
        <f t="shared" si="134"/>
        <v>2018</v>
      </c>
      <c r="C1718" s="1859">
        <f t="shared" si="135"/>
        <v>3</v>
      </c>
      <c r="D1718" s="1860">
        <f t="shared" si="136"/>
        <v>43177</v>
      </c>
      <c r="E1718" s="1861">
        <v>43177</v>
      </c>
      <c r="F1718" s="1862"/>
      <c r="G1718" s="1862"/>
      <c r="H1718" s="1862"/>
      <c r="I1718" s="1862">
        <f>Tabla1[[#This Row],[Extraccion
Norte II]]+Tabla1[[#This Row],[Extraccion
ENO]]</f>
        <v>0</v>
      </c>
      <c r="J1718" s="1862"/>
      <c r="K1718" s="1862"/>
      <c r="L1718" s="1862">
        <f t="shared" si="133"/>
        <v>0</v>
      </c>
      <c r="M1718" s="1862">
        <f>M1717+Tabla1[[#This Row],[Desbalance
TPL]]</f>
        <v>-673433.8428743222</v>
      </c>
    </row>
    <row r="1719" spans="2:13" x14ac:dyDescent="0.25">
      <c r="B1719" s="1859">
        <f t="shared" si="134"/>
        <v>2018</v>
      </c>
      <c r="C1719" s="1859">
        <f t="shared" si="135"/>
        <v>3</v>
      </c>
      <c r="D1719" s="1860">
        <f t="shared" si="136"/>
        <v>43178</v>
      </c>
      <c r="E1719" s="1861">
        <v>43178</v>
      </c>
      <c r="F1719" s="1862"/>
      <c r="G1719" s="1862"/>
      <c r="H1719" s="1862"/>
      <c r="I1719" s="1862">
        <f>Tabla1[[#This Row],[Extraccion
Norte II]]+Tabla1[[#This Row],[Extraccion
ENO]]</f>
        <v>0</v>
      </c>
      <c r="J1719" s="1862"/>
      <c r="K1719" s="1862"/>
      <c r="L1719" s="1862">
        <f t="shared" si="133"/>
        <v>0</v>
      </c>
      <c r="M1719" s="1862">
        <f>M1718+Tabla1[[#This Row],[Desbalance
TPL]]</f>
        <v>-673433.8428743222</v>
      </c>
    </row>
    <row r="1720" spans="2:13" x14ac:dyDescent="0.25">
      <c r="B1720" s="1859">
        <f t="shared" si="134"/>
        <v>2018</v>
      </c>
      <c r="C1720" s="1859">
        <f t="shared" si="135"/>
        <v>3</v>
      </c>
      <c r="D1720" s="1860">
        <f t="shared" si="136"/>
        <v>43179</v>
      </c>
      <c r="E1720" s="1861">
        <v>43179</v>
      </c>
      <c r="F1720" s="1862"/>
      <c r="G1720" s="1862"/>
      <c r="H1720" s="1862"/>
      <c r="I1720" s="1862">
        <f>Tabla1[[#This Row],[Extraccion
Norte II]]+Tabla1[[#This Row],[Extraccion
ENO]]</f>
        <v>0</v>
      </c>
      <c r="J1720" s="1862"/>
      <c r="K1720" s="1862"/>
      <c r="L1720" s="1862">
        <f t="shared" si="133"/>
        <v>0</v>
      </c>
      <c r="M1720" s="1862">
        <f>M1719+Tabla1[[#This Row],[Desbalance
TPL]]</f>
        <v>-673433.8428743222</v>
      </c>
    </row>
    <row r="1721" spans="2:13" x14ac:dyDescent="0.25">
      <c r="B1721" s="1859">
        <f t="shared" si="134"/>
        <v>2018</v>
      </c>
      <c r="C1721" s="1859">
        <f t="shared" si="135"/>
        <v>3</v>
      </c>
      <c r="D1721" s="1860">
        <f t="shared" si="136"/>
        <v>43180</v>
      </c>
      <c r="E1721" s="1861">
        <v>43180</v>
      </c>
      <c r="F1721" s="1862"/>
      <c r="G1721" s="1862"/>
      <c r="H1721" s="1862"/>
      <c r="I1721" s="1862">
        <f>Tabla1[[#This Row],[Extraccion
Norte II]]+Tabla1[[#This Row],[Extraccion
ENO]]</f>
        <v>0</v>
      </c>
      <c r="J1721" s="1862"/>
      <c r="K1721" s="1862"/>
      <c r="L1721" s="1862">
        <f t="shared" si="133"/>
        <v>0</v>
      </c>
      <c r="M1721" s="1862">
        <f>M1720+Tabla1[[#This Row],[Desbalance
TPL]]</f>
        <v>-673433.8428743222</v>
      </c>
    </row>
    <row r="1722" spans="2:13" x14ac:dyDescent="0.25">
      <c r="B1722" s="1859">
        <f t="shared" si="134"/>
        <v>2018</v>
      </c>
      <c r="C1722" s="1859">
        <f t="shared" si="135"/>
        <v>3</v>
      </c>
      <c r="D1722" s="1860">
        <f t="shared" si="136"/>
        <v>43181</v>
      </c>
      <c r="E1722" s="1861">
        <v>43181</v>
      </c>
      <c r="F1722" s="1862"/>
      <c r="G1722" s="1862"/>
      <c r="H1722" s="1862"/>
      <c r="I1722" s="1862">
        <f>Tabla1[[#This Row],[Extraccion
Norte II]]+Tabla1[[#This Row],[Extraccion
ENO]]</f>
        <v>0</v>
      </c>
      <c r="J1722" s="1862"/>
      <c r="K1722" s="1862"/>
      <c r="L1722" s="1862">
        <f t="shared" si="133"/>
        <v>0</v>
      </c>
      <c r="M1722" s="1862">
        <f>M1721+Tabla1[[#This Row],[Desbalance
TPL]]</f>
        <v>-673433.8428743222</v>
      </c>
    </row>
    <row r="1723" spans="2:13" x14ac:dyDescent="0.25">
      <c r="B1723" s="1859">
        <f t="shared" si="134"/>
        <v>2018</v>
      </c>
      <c r="C1723" s="1859">
        <f t="shared" si="135"/>
        <v>3</v>
      </c>
      <c r="D1723" s="1860">
        <f t="shared" si="136"/>
        <v>43182</v>
      </c>
      <c r="E1723" s="1861">
        <v>43182</v>
      </c>
      <c r="F1723" s="1862"/>
      <c r="G1723" s="1862"/>
      <c r="H1723" s="1862"/>
      <c r="I1723" s="1862">
        <f>Tabla1[[#This Row],[Extraccion
Norte II]]+Tabla1[[#This Row],[Extraccion
ENO]]</f>
        <v>0</v>
      </c>
      <c r="J1723" s="1862"/>
      <c r="K1723" s="1862"/>
      <c r="L1723" s="1862">
        <f t="shared" si="133"/>
        <v>0</v>
      </c>
      <c r="M1723" s="1862">
        <f>M1722+Tabla1[[#This Row],[Desbalance
TPL]]</f>
        <v>-673433.8428743222</v>
      </c>
    </row>
    <row r="1724" spans="2:13" x14ac:dyDescent="0.25">
      <c r="B1724" s="1859">
        <f t="shared" si="134"/>
        <v>2018</v>
      </c>
      <c r="C1724" s="1859">
        <f t="shared" si="135"/>
        <v>3</v>
      </c>
      <c r="D1724" s="1860">
        <f t="shared" si="136"/>
        <v>43183</v>
      </c>
      <c r="E1724" s="1861">
        <v>43183</v>
      </c>
      <c r="F1724" s="1862"/>
      <c r="G1724" s="1862"/>
      <c r="H1724" s="1862"/>
      <c r="I1724" s="1862">
        <f>Tabla1[[#This Row],[Extraccion
Norte II]]+Tabla1[[#This Row],[Extraccion
ENO]]</f>
        <v>0</v>
      </c>
      <c r="J1724" s="1862"/>
      <c r="K1724" s="1862"/>
      <c r="L1724" s="1862">
        <f t="shared" si="133"/>
        <v>0</v>
      </c>
      <c r="M1724" s="1862">
        <f>M1723+Tabla1[[#This Row],[Desbalance
TPL]]</f>
        <v>-673433.8428743222</v>
      </c>
    </row>
    <row r="1725" spans="2:13" x14ac:dyDescent="0.25">
      <c r="B1725" s="1859">
        <f t="shared" si="134"/>
        <v>2018</v>
      </c>
      <c r="C1725" s="1859">
        <f t="shared" si="135"/>
        <v>3</v>
      </c>
      <c r="D1725" s="1860">
        <f t="shared" si="136"/>
        <v>43184</v>
      </c>
      <c r="E1725" s="1861">
        <v>43184</v>
      </c>
      <c r="F1725" s="1862"/>
      <c r="G1725" s="1862"/>
      <c r="H1725" s="1862"/>
      <c r="I1725" s="1862">
        <f>Tabla1[[#This Row],[Extraccion
Norte II]]+Tabla1[[#This Row],[Extraccion
ENO]]</f>
        <v>0</v>
      </c>
      <c r="J1725" s="1862"/>
      <c r="K1725" s="1862"/>
      <c r="L1725" s="1862">
        <f t="shared" si="133"/>
        <v>0</v>
      </c>
      <c r="M1725" s="1862">
        <f>M1724+Tabla1[[#This Row],[Desbalance
TPL]]</f>
        <v>-673433.8428743222</v>
      </c>
    </row>
    <row r="1726" spans="2:13" x14ac:dyDescent="0.25">
      <c r="B1726" s="1859">
        <f t="shared" si="134"/>
        <v>2018</v>
      </c>
      <c r="C1726" s="1859">
        <f t="shared" si="135"/>
        <v>3</v>
      </c>
      <c r="D1726" s="1860">
        <f t="shared" si="136"/>
        <v>43185</v>
      </c>
      <c r="E1726" s="1861">
        <v>43185</v>
      </c>
      <c r="F1726" s="1862"/>
      <c r="G1726" s="1862"/>
      <c r="H1726" s="1862"/>
      <c r="I1726" s="1862">
        <f>Tabla1[[#This Row],[Extraccion
Norte II]]+Tabla1[[#This Row],[Extraccion
ENO]]</f>
        <v>0</v>
      </c>
      <c r="J1726" s="1862"/>
      <c r="K1726" s="1862"/>
      <c r="L1726" s="1862">
        <f t="shared" si="133"/>
        <v>0</v>
      </c>
      <c r="M1726" s="1862">
        <f>M1725+Tabla1[[#This Row],[Desbalance
TPL]]</f>
        <v>-673433.8428743222</v>
      </c>
    </row>
    <row r="1727" spans="2:13" x14ac:dyDescent="0.25">
      <c r="B1727" s="1859">
        <f t="shared" si="134"/>
        <v>2018</v>
      </c>
      <c r="C1727" s="1859">
        <f t="shared" si="135"/>
        <v>3</v>
      </c>
      <c r="D1727" s="1860">
        <f t="shared" si="136"/>
        <v>43186</v>
      </c>
      <c r="E1727" s="1861">
        <v>43186</v>
      </c>
      <c r="F1727" s="1862"/>
      <c r="G1727" s="1862"/>
      <c r="H1727" s="1862"/>
      <c r="I1727" s="1862">
        <f>Tabla1[[#This Row],[Extraccion
Norte II]]+Tabla1[[#This Row],[Extraccion
ENO]]</f>
        <v>0</v>
      </c>
      <c r="J1727" s="1862"/>
      <c r="K1727" s="1862"/>
      <c r="L1727" s="1862">
        <f t="shared" si="133"/>
        <v>0</v>
      </c>
      <c r="M1727" s="1862">
        <f>M1726+Tabla1[[#This Row],[Desbalance
TPL]]</f>
        <v>-673433.8428743222</v>
      </c>
    </row>
    <row r="1728" spans="2:13" x14ac:dyDescent="0.25">
      <c r="B1728" s="1859">
        <f t="shared" si="134"/>
        <v>2018</v>
      </c>
      <c r="C1728" s="1859">
        <f t="shared" si="135"/>
        <v>3</v>
      </c>
      <c r="D1728" s="1860">
        <f t="shared" si="136"/>
        <v>43187</v>
      </c>
      <c r="E1728" s="1861">
        <v>43187</v>
      </c>
      <c r="F1728" s="1862"/>
      <c r="G1728" s="1862"/>
      <c r="H1728" s="1862"/>
      <c r="I1728" s="1862">
        <f>Tabla1[[#This Row],[Extraccion
Norte II]]+Tabla1[[#This Row],[Extraccion
ENO]]</f>
        <v>0</v>
      </c>
      <c r="J1728" s="1862"/>
      <c r="K1728" s="1862"/>
      <c r="L1728" s="1862">
        <f t="shared" si="133"/>
        <v>0</v>
      </c>
      <c r="M1728" s="1862">
        <f>M1727+Tabla1[[#This Row],[Desbalance
TPL]]</f>
        <v>-673433.8428743222</v>
      </c>
    </row>
    <row r="1729" spans="2:13" x14ac:dyDescent="0.25">
      <c r="B1729" s="1859">
        <f t="shared" si="134"/>
        <v>2018</v>
      </c>
      <c r="C1729" s="1859">
        <f t="shared" si="135"/>
        <v>3</v>
      </c>
      <c r="D1729" s="1860">
        <f t="shared" si="136"/>
        <v>43188</v>
      </c>
      <c r="E1729" s="1861">
        <v>43188</v>
      </c>
      <c r="F1729" s="1862"/>
      <c r="G1729" s="1862"/>
      <c r="H1729" s="1862"/>
      <c r="I1729" s="1862">
        <f>Tabla1[[#This Row],[Extraccion
Norte II]]+Tabla1[[#This Row],[Extraccion
ENO]]</f>
        <v>0</v>
      </c>
      <c r="J1729" s="1862"/>
      <c r="K1729" s="1862"/>
      <c r="L1729" s="1862">
        <f t="shared" si="133"/>
        <v>0</v>
      </c>
      <c r="M1729" s="1862">
        <f>M1728+Tabla1[[#This Row],[Desbalance
TPL]]</f>
        <v>-673433.8428743222</v>
      </c>
    </row>
    <row r="1730" spans="2:13" x14ac:dyDescent="0.25">
      <c r="B1730" s="1859">
        <f t="shared" si="134"/>
        <v>2018</v>
      </c>
      <c r="C1730" s="1859">
        <f t="shared" si="135"/>
        <v>3</v>
      </c>
      <c r="D1730" s="1860">
        <f t="shared" si="136"/>
        <v>43189</v>
      </c>
      <c r="E1730" s="1861">
        <v>43189</v>
      </c>
      <c r="F1730" s="1862"/>
      <c r="G1730" s="1862"/>
      <c r="H1730" s="1862"/>
      <c r="I1730" s="1862">
        <f>Tabla1[[#This Row],[Extraccion
Norte II]]+Tabla1[[#This Row],[Extraccion
ENO]]</f>
        <v>0</v>
      </c>
      <c r="J1730" s="1862"/>
      <c r="K1730" s="1862"/>
      <c r="L1730" s="1862">
        <f t="shared" si="133"/>
        <v>0</v>
      </c>
      <c r="M1730" s="1862">
        <f>M1729+Tabla1[[#This Row],[Desbalance
TPL]]</f>
        <v>-673433.8428743222</v>
      </c>
    </row>
    <row r="1731" spans="2:13" x14ac:dyDescent="0.25">
      <c r="B1731" s="1859">
        <f t="shared" si="134"/>
        <v>2018</v>
      </c>
      <c r="C1731" s="1859">
        <f t="shared" si="135"/>
        <v>3</v>
      </c>
      <c r="D1731" s="1860">
        <f t="shared" si="136"/>
        <v>43190</v>
      </c>
      <c r="E1731" s="1861">
        <v>43190</v>
      </c>
      <c r="F1731" s="1862"/>
      <c r="G1731" s="1862"/>
      <c r="H1731" s="1862"/>
      <c r="I1731" s="1862">
        <f>Tabla1[[#This Row],[Extraccion
Norte II]]+Tabla1[[#This Row],[Extraccion
ENO]]</f>
        <v>0</v>
      </c>
      <c r="J1731" s="1862"/>
      <c r="K1731" s="1862"/>
      <c r="L1731" s="1862">
        <f t="shared" si="133"/>
        <v>0</v>
      </c>
      <c r="M1731" s="1862">
        <f>M1730+Tabla1[[#This Row],[Desbalance
TPL]]</f>
        <v>-673433.8428743222</v>
      </c>
    </row>
    <row r="1732" spans="2:13" x14ac:dyDescent="0.25">
      <c r="B1732" s="1859">
        <f t="shared" si="134"/>
        <v>2018</v>
      </c>
      <c r="C1732" s="1859">
        <f t="shared" si="135"/>
        <v>4</v>
      </c>
      <c r="D1732" s="1860">
        <f t="shared" si="136"/>
        <v>43191</v>
      </c>
      <c r="E1732" s="1861">
        <v>43191</v>
      </c>
      <c r="F1732" s="1862"/>
      <c r="G1732" s="1862"/>
      <c r="H1732" s="1862"/>
      <c r="I1732" s="1862">
        <f>Tabla1[[#This Row],[Extraccion
Norte II]]+Tabla1[[#This Row],[Extraccion
ENO]]</f>
        <v>0</v>
      </c>
      <c r="J1732" s="1862"/>
      <c r="K1732" s="1862"/>
      <c r="L1732" s="1862">
        <f t="shared" si="133"/>
        <v>0</v>
      </c>
      <c r="M1732" s="1862">
        <f>M1731+Tabla1[[#This Row],[Desbalance
TPL]]</f>
        <v>-673433.8428743222</v>
      </c>
    </row>
    <row r="1733" spans="2:13" x14ac:dyDescent="0.25">
      <c r="B1733" s="1859">
        <f t="shared" si="134"/>
        <v>2018</v>
      </c>
      <c r="C1733" s="1859">
        <f t="shared" si="135"/>
        <v>4</v>
      </c>
      <c r="D1733" s="1860">
        <f t="shared" si="136"/>
        <v>43192</v>
      </c>
      <c r="E1733" s="1861">
        <v>43192</v>
      </c>
      <c r="F1733" s="1862"/>
      <c r="G1733" s="1862"/>
      <c r="H1733" s="1862"/>
      <c r="I1733" s="1862">
        <f>Tabla1[[#This Row],[Extraccion
Norte II]]+Tabla1[[#This Row],[Extraccion
ENO]]</f>
        <v>0</v>
      </c>
      <c r="J1733" s="1862"/>
      <c r="K1733" s="1862"/>
      <c r="L1733" s="1862">
        <f t="shared" si="133"/>
        <v>0</v>
      </c>
      <c r="M1733" s="1862">
        <f>M1732+Tabla1[[#This Row],[Desbalance
TPL]]</f>
        <v>-673433.8428743222</v>
      </c>
    </row>
    <row r="1734" spans="2:13" x14ac:dyDescent="0.25">
      <c r="B1734" s="1859">
        <f t="shared" si="134"/>
        <v>2018</v>
      </c>
      <c r="C1734" s="1859">
        <f t="shared" si="135"/>
        <v>4</v>
      </c>
      <c r="D1734" s="1860">
        <f t="shared" si="136"/>
        <v>43193</v>
      </c>
      <c r="E1734" s="1861">
        <v>43193</v>
      </c>
      <c r="F1734" s="1862"/>
      <c r="G1734" s="1862"/>
      <c r="H1734" s="1862"/>
      <c r="I1734" s="1862">
        <f>Tabla1[[#This Row],[Extraccion
Norte II]]+Tabla1[[#This Row],[Extraccion
ENO]]</f>
        <v>0</v>
      </c>
      <c r="J1734" s="1862"/>
      <c r="K1734" s="1862"/>
      <c r="L1734" s="1862">
        <f t="shared" si="133"/>
        <v>0</v>
      </c>
      <c r="M1734" s="1862">
        <f>M1733+Tabla1[[#This Row],[Desbalance
TPL]]</f>
        <v>-673433.8428743222</v>
      </c>
    </row>
    <row r="1735" spans="2:13" x14ac:dyDescent="0.25">
      <c r="B1735" s="1859">
        <f t="shared" si="134"/>
        <v>2018</v>
      </c>
      <c r="C1735" s="1859">
        <f t="shared" si="135"/>
        <v>4</v>
      </c>
      <c r="D1735" s="1860">
        <f t="shared" si="136"/>
        <v>43194</v>
      </c>
      <c r="E1735" s="1861">
        <v>43194</v>
      </c>
      <c r="F1735" s="1862"/>
      <c r="G1735" s="1862"/>
      <c r="H1735" s="1862"/>
      <c r="I1735" s="1862">
        <f>Tabla1[[#This Row],[Extraccion
Norte II]]+Tabla1[[#This Row],[Extraccion
ENO]]</f>
        <v>0</v>
      </c>
      <c r="J1735" s="1862"/>
      <c r="K1735" s="1862"/>
      <c r="L1735" s="1862">
        <f t="shared" si="133"/>
        <v>0</v>
      </c>
      <c r="M1735" s="1862">
        <f>M1734+Tabla1[[#This Row],[Desbalance
TPL]]</f>
        <v>-673433.8428743222</v>
      </c>
    </row>
    <row r="1736" spans="2:13" x14ac:dyDescent="0.25">
      <c r="B1736" s="1859">
        <f t="shared" si="134"/>
        <v>2018</v>
      </c>
      <c r="C1736" s="1859">
        <f t="shared" si="135"/>
        <v>4</v>
      </c>
      <c r="D1736" s="1860">
        <f t="shared" si="136"/>
        <v>43195</v>
      </c>
      <c r="E1736" s="1861">
        <v>43195</v>
      </c>
      <c r="F1736" s="1862"/>
      <c r="G1736" s="1862"/>
      <c r="H1736" s="1862"/>
      <c r="I1736" s="1862">
        <f>Tabla1[[#This Row],[Extraccion
Norte II]]+Tabla1[[#This Row],[Extraccion
ENO]]</f>
        <v>0</v>
      </c>
      <c r="J1736" s="1862"/>
      <c r="K1736" s="1862"/>
      <c r="L1736" s="1862">
        <f t="shared" si="133"/>
        <v>0</v>
      </c>
      <c r="M1736" s="1862">
        <f>M1735+Tabla1[[#This Row],[Desbalance
TPL]]</f>
        <v>-673433.8428743222</v>
      </c>
    </row>
    <row r="1737" spans="2:13" x14ac:dyDescent="0.25">
      <c r="B1737" s="1859">
        <f t="shared" si="134"/>
        <v>2018</v>
      </c>
      <c r="C1737" s="1859">
        <f t="shared" si="135"/>
        <v>4</v>
      </c>
      <c r="D1737" s="1860">
        <f t="shared" si="136"/>
        <v>43196</v>
      </c>
      <c r="E1737" s="1861">
        <v>43196</v>
      </c>
      <c r="F1737" s="1862"/>
      <c r="G1737" s="1862"/>
      <c r="H1737" s="1862"/>
      <c r="I1737" s="1862">
        <f>Tabla1[[#This Row],[Extraccion
Norte II]]+Tabla1[[#This Row],[Extraccion
ENO]]</f>
        <v>0</v>
      </c>
      <c r="J1737" s="1862"/>
      <c r="K1737" s="1862"/>
      <c r="L1737" s="1862">
        <f t="shared" si="133"/>
        <v>0</v>
      </c>
      <c r="M1737" s="1862">
        <f>M1736+Tabla1[[#This Row],[Desbalance
TPL]]</f>
        <v>-673433.8428743222</v>
      </c>
    </row>
    <row r="1738" spans="2:13" x14ac:dyDescent="0.25">
      <c r="B1738" s="1859">
        <f t="shared" si="134"/>
        <v>2018</v>
      </c>
      <c r="C1738" s="1859">
        <f t="shared" si="135"/>
        <v>4</v>
      </c>
      <c r="D1738" s="1860">
        <f t="shared" si="136"/>
        <v>43197</v>
      </c>
      <c r="E1738" s="1861">
        <v>43197</v>
      </c>
      <c r="F1738" s="1862"/>
      <c r="G1738" s="1862"/>
      <c r="H1738" s="1862"/>
      <c r="I1738" s="1862">
        <f>Tabla1[[#This Row],[Extraccion
Norte II]]+Tabla1[[#This Row],[Extraccion
ENO]]</f>
        <v>0</v>
      </c>
      <c r="J1738" s="1862"/>
      <c r="K1738" s="1862"/>
      <c r="L1738" s="1862">
        <f t="shared" si="133"/>
        <v>0</v>
      </c>
      <c r="M1738" s="1862">
        <f>M1737+Tabla1[[#This Row],[Desbalance
TPL]]</f>
        <v>-673433.8428743222</v>
      </c>
    </row>
    <row r="1739" spans="2:13" x14ac:dyDescent="0.25">
      <c r="B1739" s="1859">
        <f t="shared" si="134"/>
        <v>2018</v>
      </c>
      <c r="C1739" s="1859">
        <f t="shared" si="135"/>
        <v>4</v>
      </c>
      <c r="D1739" s="1860">
        <f t="shared" si="136"/>
        <v>43198</v>
      </c>
      <c r="E1739" s="1861">
        <v>43198</v>
      </c>
      <c r="F1739" s="1862"/>
      <c r="G1739" s="1862"/>
      <c r="H1739" s="1862"/>
      <c r="I1739" s="1862">
        <f>Tabla1[[#This Row],[Extraccion
Norte II]]+Tabla1[[#This Row],[Extraccion
ENO]]</f>
        <v>0</v>
      </c>
      <c r="J1739" s="1862"/>
      <c r="K1739" s="1862"/>
      <c r="L1739" s="1862">
        <f t="shared" si="133"/>
        <v>0</v>
      </c>
      <c r="M1739" s="1862">
        <f>M1738+Tabla1[[#This Row],[Desbalance
TPL]]</f>
        <v>-673433.8428743222</v>
      </c>
    </row>
    <row r="1740" spans="2:13" x14ac:dyDescent="0.25">
      <c r="B1740" s="1859">
        <f t="shared" si="134"/>
        <v>2018</v>
      </c>
      <c r="C1740" s="1859">
        <f t="shared" si="135"/>
        <v>4</v>
      </c>
      <c r="D1740" s="1860">
        <f t="shared" si="136"/>
        <v>43199</v>
      </c>
      <c r="E1740" s="1861">
        <v>43199</v>
      </c>
      <c r="F1740" s="1862"/>
      <c r="G1740" s="1862"/>
      <c r="H1740" s="1862"/>
      <c r="I1740" s="1862">
        <f>Tabla1[[#This Row],[Extraccion
Norte II]]+Tabla1[[#This Row],[Extraccion
ENO]]</f>
        <v>0</v>
      </c>
      <c r="J1740" s="1862"/>
      <c r="K1740" s="1862"/>
      <c r="L1740" s="1862">
        <f t="shared" ref="L1740:L1803" si="137">H1740-I1740</f>
        <v>0</v>
      </c>
      <c r="M1740" s="1862">
        <f>M1739+Tabla1[[#This Row],[Desbalance
TPL]]</f>
        <v>-673433.8428743222</v>
      </c>
    </row>
    <row r="1741" spans="2:13" x14ac:dyDescent="0.25">
      <c r="B1741" s="1859">
        <f t="shared" si="134"/>
        <v>2018</v>
      </c>
      <c r="C1741" s="1859">
        <f t="shared" si="135"/>
        <v>4</v>
      </c>
      <c r="D1741" s="1860">
        <f t="shared" si="136"/>
        <v>43200</v>
      </c>
      <c r="E1741" s="1861">
        <v>43200</v>
      </c>
      <c r="F1741" s="1862"/>
      <c r="G1741" s="1862"/>
      <c r="H1741" s="1862"/>
      <c r="I1741" s="1862">
        <f>Tabla1[[#This Row],[Extraccion
Norte II]]+Tabla1[[#This Row],[Extraccion
ENO]]</f>
        <v>0</v>
      </c>
      <c r="J1741" s="1862"/>
      <c r="K1741" s="1862"/>
      <c r="L1741" s="1862">
        <f t="shared" si="137"/>
        <v>0</v>
      </c>
      <c r="M1741" s="1862">
        <f>M1740+Tabla1[[#This Row],[Desbalance
TPL]]</f>
        <v>-673433.8428743222</v>
      </c>
    </row>
    <row r="1742" spans="2:13" x14ac:dyDescent="0.25">
      <c r="B1742" s="1859">
        <f t="shared" si="134"/>
        <v>2018</v>
      </c>
      <c r="C1742" s="1859">
        <f t="shared" si="135"/>
        <v>4</v>
      </c>
      <c r="D1742" s="1860">
        <f t="shared" si="136"/>
        <v>43201</v>
      </c>
      <c r="E1742" s="1861">
        <v>43201</v>
      </c>
      <c r="F1742" s="1862"/>
      <c r="G1742" s="1862"/>
      <c r="H1742" s="1862"/>
      <c r="I1742" s="1862">
        <f>Tabla1[[#This Row],[Extraccion
Norte II]]+Tabla1[[#This Row],[Extraccion
ENO]]</f>
        <v>0</v>
      </c>
      <c r="J1742" s="1862"/>
      <c r="K1742" s="1862"/>
      <c r="L1742" s="1862">
        <f t="shared" si="137"/>
        <v>0</v>
      </c>
      <c r="M1742" s="1862">
        <f>M1741+Tabla1[[#This Row],[Desbalance
TPL]]</f>
        <v>-673433.8428743222</v>
      </c>
    </row>
    <row r="1743" spans="2:13" x14ac:dyDescent="0.25">
      <c r="B1743" s="1859">
        <f t="shared" si="134"/>
        <v>2018</v>
      </c>
      <c r="C1743" s="1859">
        <f t="shared" si="135"/>
        <v>4</v>
      </c>
      <c r="D1743" s="1860">
        <f t="shared" si="136"/>
        <v>43202</v>
      </c>
      <c r="E1743" s="1861">
        <v>43202</v>
      </c>
      <c r="F1743" s="1862"/>
      <c r="G1743" s="1862"/>
      <c r="H1743" s="1862"/>
      <c r="I1743" s="1862">
        <f>Tabla1[[#This Row],[Extraccion
Norte II]]+Tabla1[[#This Row],[Extraccion
ENO]]</f>
        <v>0</v>
      </c>
      <c r="J1743" s="1862"/>
      <c r="K1743" s="1862"/>
      <c r="L1743" s="1862">
        <f t="shared" si="137"/>
        <v>0</v>
      </c>
      <c r="M1743" s="1862">
        <f>M1742+Tabla1[[#This Row],[Desbalance
TPL]]</f>
        <v>-673433.8428743222</v>
      </c>
    </row>
    <row r="1744" spans="2:13" x14ac:dyDescent="0.25">
      <c r="B1744" s="1859">
        <f t="shared" si="134"/>
        <v>2018</v>
      </c>
      <c r="C1744" s="1859">
        <f t="shared" si="135"/>
        <v>4</v>
      </c>
      <c r="D1744" s="1860">
        <f t="shared" si="136"/>
        <v>43203</v>
      </c>
      <c r="E1744" s="1861">
        <v>43203</v>
      </c>
      <c r="F1744" s="1862"/>
      <c r="G1744" s="1862"/>
      <c r="H1744" s="1862"/>
      <c r="I1744" s="1862">
        <f>Tabla1[[#This Row],[Extraccion
Norte II]]+Tabla1[[#This Row],[Extraccion
ENO]]</f>
        <v>0</v>
      </c>
      <c r="J1744" s="1862"/>
      <c r="K1744" s="1862"/>
      <c r="L1744" s="1862">
        <f t="shared" si="137"/>
        <v>0</v>
      </c>
      <c r="M1744" s="1862">
        <f>M1743+Tabla1[[#This Row],[Desbalance
TPL]]</f>
        <v>-673433.8428743222</v>
      </c>
    </row>
    <row r="1745" spans="2:13" x14ac:dyDescent="0.25">
      <c r="B1745" s="1859">
        <f t="shared" si="134"/>
        <v>2018</v>
      </c>
      <c r="C1745" s="1859">
        <f t="shared" si="135"/>
        <v>4</v>
      </c>
      <c r="D1745" s="1860">
        <f t="shared" si="136"/>
        <v>43204</v>
      </c>
      <c r="E1745" s="1861">
        <v>43204</v>
      </c>
      <c r="F1745" s="1862"/>
      <c r="G1745" s="1862"/>
      <c r="H1745" s="1862"/>
      <c r="I1745" s="1862">
        <f>Tabla1[[#This Row],[Extraccion
Norte II]]+Tabla1[[#This Row],[Extraccion
ENO]]</f>
        <v>0</v>
      </c>
      <c r="J1745" s="1862"/>
      <c r="K1745" s="1862"/>
      <c r="L1745" s="1862">
        <f t="shared" si="137"/>
        <v>0</v>
      </c>
      <c r="M1745" s="1862">
        <f>M1744+Tabla1[[#This Row],[Desbalance
TPL]]</f>
        <v>-673433.8428743222</v>
      </c>
    </row>
    <row r="1746" spans="2:13" x14ac:dyDescent="0.25">
      <c r="B1746" s="1859">
        <f t="shared" si="134"/>
        <v>2018</v>
      </c>
      <c r="C1746" s="1859">
        <f t="shared" si="135"/>
        <v>4</v>
      </c>
      <c r="D1746" s="1860">
        <f t="shared" si="136"/>
        <v>43205</v>
      </c>
      <c r="E1746" s="1861">
        <v>43205</v>
      </c>
      <c r="F1746" s="1862"/>
      <c r="G1746" s="1862"/>
      <c r="H1746" s="1862"/>
      <c r="I1746" s="1862">
        <f>Tabla1[[#This Row],[Extraccion
Norte II]]+Tabla1[[#This Row],[Extraccion
ENO]]</f>
        <v>0</v>
      </c>
      <c r="J1746" s="1862"/>
      <c r="K1746" s="1862"/>
      <c r="L1746" s="1862">
        <f t="shared" si="137"/>
        <v>0</v>
      </c>
      <c r="M1746" s="1862">
        <f>M1745+Tabla1[[#This Row],[Desbalance
TPL]]</f>
        <v>-673433.8428743222</v>
      </c>
    </row>
    <row r="1747" spans="2:13" x14ac:dyDescent="0.25">
      <c r="B1747" s="1859">
        <f t="shared" si="134"/>
        <v>2018</v>
      </c>
      <c r="C1747" s="1859">
        <f t="shared" si="135"/>
        <v>4</v>
      </c>
      <c r="D1747" s="1860">
        <f t="shared" si="136"/>
        <v>43206</v>
      </c>
      <c r="E1747" s="1861">
        <v>43206</v>
      </c>
      <c r="F1747" s="1862"/>
      <c r="G1747" s="1862"/>
      <c r="H1747" s="1862"/>
      <c r="I1747" s="1862">
        <f>Tabla1[[#This Row],[Extraccion
Norte II]]+Tabla1[[#This Row],[Extraccion
ENO]]</f>
        <v>0</v>
      </c>
      <c r="J1747" s="1862"/>
      <c r="K1747" s="1862"/>
      <c r="L1747" s="1862">
        <f t="shared" si="137"/>
        <v>0</v>
      </c>
      <c r="M1747" s="1862">
        <f>M1746+Tabla1[[#This Row],[Desbalance
TPL]]</f>
        <v>-673433.8428743222</v>
      </c>
    </row>
    <row r="1748" spans="2:13" x14ac:dyDescent="0.25">
      <c r="B1748" s="1859">
        <f t="shared" si="134"/>
        <v>2018</v>
      </c>
      <c r="C1748" s="1859">
        <f t="shared" si="135"/>
        <v>4</v>
      </c>
      <c r="D1748" s="1860">
        <f t="shared" si="136"/>
        <v>43207</v>
      </c>
      <c r="E1748" s="1861">
        <v>43207</v>
      </c>
      <c r="F1748" s="1862"/>
      <c r="G1748" s="1862"/>
      <c r="H1748" s="1862"/>
      <c r="I1748" s="1862">
        <f>Tabla1[[#This Row],[Extraccion
Norte II]]+Tabla1[[#This Row],[Extraccion
ENO]]</f>
        <v>0</v>
      </c>
      <c r="J1748" s="1862"/>
      <c r="K1748" s="1862"/>
      <c r="L1748" s="1862">
        <f t="shared" si="137"/>
        <v>0</v>
      </c>
      <c r="M1748" s="1862">
        <f>M1747+Tabla1[[#This Row],[Desbalance
TPL]]</f>
        <v>-673433.8428743222</v>
      </c>
    </row>
    <row r="1749" spans="2:13" x14ac:dyDescent="0.25">
      <c r="B1749" s="1859">
        <f t="shared" si="134"/>
        <v>2018</v>
      </c>
      <c r="C1749" s="1859">
        <f t="shared" si="135"/>
        <v>4</v>
      </c>
      <c r="D1749" s="1860">
        <f t="shared" si="136"/>
        <v>43208</v>
      </c>
      <c r="E1749" s="1861">
        <v>43208</v>
      </c>
      <c r="F1749" s="1862"/>
      <c r="G1749" s="1862"/>
      <c r="H1749" s="1862"/>
      <c r="I1749" s="1862">
        <f>Tabla1[[#This Row],[Extraccion
Norte II]]+Tabla1[[#This Row],[Extraccion
ENO]]</f>
        <v>0</v>
      </c>
      <c r="J1749" s="1862"/>
      <c r="K1749" s="1862"/>
      <c r="L1749" s="1862">
        <f t="shared" si="137"/>
        <v>0</v>
      </c>
      <c r="M1749" s="1862">
        <f>M1748+Tabla1[[#This Row],[Desbalance
TPL]]</f>
        <v>-673433.8428743222</v>
      </c>
    </row>
    <row r="1750" spans="2:13" x14ac:dyDescent="0.25">
      <c r="B1750" s="1859">
        <f t="shared" si="134"/>
        <v>2018</v>
      </c>
      <c r="C1750" s="1859">
        <f t="shared" si="135"/>
        <v>4</v>
      </c>
      <c r="D1750" s="1860">
        <f t="shared" si="136"/>
        <v>43209</v>
      </c>
      <c r="E1750" s="1861">
        <v>43209</v>
      </c>
      <c r="F1750" s="1862"/>
      <c r="G1750" s="1862"/>
      <c r="H1750" s="1862"/>
      <c r="I1750" s="1862">
        <f>Tabla1[[#This Row],[Extraccion
Norte II]]+Tabla1[[#This Row],[Extraccion
ENO]]</f>
        <v>0</v>
      </c>
      <c r="J1750" s="1862"/>
      <c r="K1750" s="1862"/>
      <c r="L1750" s="1862">
        <f t="shared" si="137"/>
        <v>0</v>
      </c>
      <c r="M1750" s="1862">
        <f>M1749+Tabla1[[#This Row],[Desbalance
TPL]]</f>
        <v>-673433.8428743222</v>
      </c>
    </row>
    <row r="1751" spans="2:13" x14ac:dyDescent="0.25">
      <c r="B1751" s="1859">
        <f t="shared" si="134"/>
        <v>2018</v>
      </c>
      <c r="C1751" s="1859">
        <f t="shared" si="135"/>
        <v>4</v>
      </c>
      <c r="D1751" s="1860">
        <f t="shared" si="136"/>
        <v>43210</v>
      </c>
      <c r="E1751" s="1861">
        <v>43210</v>
      </c>
      <c r="F1751" s="1862"/>
      <c r="G1751" s="1862"/>
      <c r="H1751" s="1862"/>
      <c r="I1751" s="1862">
        <f>Tabla1[[#This Row],[Extraccion
Norte II]]+Tabla1[[#This Row],[Extraccion
ENO]]</f>
        <v>0</v>
      </c>
      <c r="J1751" s="1862"/>
      <c r="K1751" s="1862"/>
      <c r="L1751" s="1862">
        <f t="shared" si="137"/>
        <v>0</v>
      </c>
      <c r="M1751" s="1862">
        <f>M1750+Tabla1[[#This Row],[Desbalance
TPL]]</f>
        <v>-673433.8428743222</v>
      </c>
    </row>
    <row r="1752" spans="2:13" x14ac:dyDescent="0.25">
      <c r="B1752" s="1859">
        <f t="shared" si="134"/>
        <v>2018</v>
      </c>
      <c r="C1752" s="1859">
        <f t="shared" si="135"/>
        <v>4</v>
      </c>
      <c r="D1752" s="1860">
        <f t="shared" si="136"/>
        <v>43211</v>
      </c>
      <c r="E1752" s="1861">
        <v>43211</v>
      </c>
      <c r="F1752" s="1862"/>
      <c r="G1752" s="1862"/>
      <c r="H1752" s="1862"/>
      <c r="I1752" s="1862">
        <f>Tabla1[[#This Row],[Extraccion
Norte II]]+Tabla1[[#This Row],[Extraccion
ENO]]</f>
        <v>0</v>
      </c>
      <c r="J1752" s="1862"/>
      <c r="K1752" s="1862"/>
      <c r="L1752" s="1862">
        <f t="shared" si="137"/>
        <v>0</v>
      </c>
      <c r="M1752" s="1862">
        <f>M1751+Tabla1[[#This Row],[Desbalance
TPL]]</f>
        <v>-673433.8428743222</v>
      </c>
    </row>
    <row r="1753" spans="2:13" x14ac:dyDescent="0.25">
      <c r="B1753" s="1859">
        <f t="shared" si="134"/>
        <v>2018</v>
      </c>
      <c r="C1753" s="1859">
        <f t="shared" si="135"/>
        <v>4</v>
      </c>
      <c r="D1753" s="1860">
        <f t="shared" si="136"/>
        <v>43212</v>
      </c>
      <c r="E1753" s="1861">
        <v>43212</v>
      </c>
      <c r="F1753" s="1862"/>
      <c r="G1753" s="1862"/>
      <c r="H1753" s="1862"/>
      <c r="I1753" s="1862">
        <f>Tabla1[[#This Row],[Extraccion
Norte II]]+Tabla1[[#This Row],[Extraccion
ENO]]</f>
        <v>0</v>
      </c>
      <c r="J1753" s="1862"/>
      <c r="K1753" s="1862"/>
      <c r="L1753" s="1862">
        <f t="shared" si="137"/>
        <v>0</v>
      </c>
      <c r="M1753" s="1862">
        <f>M1752+Tabla1[[#This Row],[Desbalance
TPL]]</f>
        <v>-673433.8428743222</v>
      </c>
    </row>
    <row r="1754" spans="2:13" x14ac:dyDescent="0.25">
      <c r="B1754" s="1859">
        <f t="shared" si="134"/>
        <v>2018</v>
      </c>
      <c r="C1754" s="1859">
        <f t="shared" si="135"/>
        <v>4</v>
      </c>
      <c r="D1754" s="1860">
        <f t="shared" si="136"/>
        <v>43213</v>
      </c>
      <c r="E1754" s="1861">
        <v>43213</v>
      </c>
      <c r="F1754" s="1862"/>
      <c r="G1754" s="1862"/>
      <c r="H1754" s="1862"/>
      <c r="I1754" s="1862">
        <f>Tabla1[[#This Row],[Extraccion
Norte II]]+Tabla1[[#This Row],[Extraccion
ENO]]</f>
        <v>0</v>
      </c>
      <c r="J1754" s="1862"/>
      <c r="K1754" s="1862"/>
      <c r="L1754" s="1862">
        <f t="shared" si="137"/>
        <v>0</v>
      </c>
      <c r="M1754" s="1862">
        <f>M1753+Tabla1[[#This Row],[Desbalance
TPL]]</f>
        <v>-673433.8428743222</v>
      </c>
    </row>
    <row r="1755" spans="2:13" x14ac:dyDescent="0.25">
      <c r="B1755" s="1859">
        <f t="shared" si="134"/>
        <v>2018</v>
      </c>
      <c r="C1755" s="1859">
        <f t="shared" si="135"/>
        <v>4</v>
      </c>
      <c r="D1755" s="1860">
        <f t="shared" si="136"/>
        <v>43214</v>
      </c>
      <c r="E1755" s="1861">
        <v>43214</v>
      </c>
      <c r="F1755" s="1862"/>
      <c r="G1755" s="1862"/>
      <c r="H1755" s="1862"/>
      <c r="I1755" s="1862">
        <f>Tabla1[[#This Row],[Extraccion
Norte II]]+Tabla1[[#This Row],[Extraccion
ENO]]</f>
        <v>0</v>
      </c>
      <c r="J1755" s="1862"/>
      <c r="K1755" s="1862"/>
      <c r="L1755" s="1862">
        <f t="shared" si="137"/>
        <v>0</v>
      </c>
      <c r="M1755" s="1862">
        <f>M1754+Tabla1[[#This Row],[Desbalance
TPL]]</f>
        <v>-673433.8428743222</v>
      </c>
    </row>
    <row r="1756" spans="2:13" x14ac:dyDescent="0.25">
      <c r="B1756" s="1859">
        <f t="shared" si="134"/>
        <v>2018</v>
      </c>
      <c r="C1756" s="1859">
        <f t="shared" si="135"/>
        <v>4</v>
      </c>
      <c r="D1756" s="1860">
        <f t="shared" si="136"/>
        <v>43215</v>
      </c>
      <c r="E1756" s="1861">
        <v>43215</v>
      </c>
      <c r="F1756" s="1862"/>
      <c r="G1756" s="1862"/>
      <c r="H1756" s="1862"/>
      <c r="I1756" s="1862">
        <f>Tabla1[[#This Row],[Extraccion
Norte II]]+Tabla1[[#This Row],[Extraccion
ENO]]</f>
        <v>0</v>
      </c>
      <c r="J1756" s="1862"/>
      <c r="K1756" s="1862"/>
      <c r="L1756" s="1862">
        <f t="shared" si="137"/>
        <v>0</v>
      </c>
      <c r="M1756" s="1862">
        <f>M1755+Tabla1[[#This Row],[Desbalance
TPL]]</f>
        <v>-673433.8428743222</v>
      </c>
    </row>
    <row r="1757" spans="2:13" x14ac:dyDescent="0.25">
      <c r="B1757" s="1859">
        <f t="shared" si="134"/>
        <v>2018</v>
      </c>
      <c r="C1757" s="1859">
        <f t="shared" si="135"/>
        <v>4</v>
      </c>
      <c r="D1757" s="1860">
        <f t="shared" si="136"/>
        <v>43216</v>
      </c>
      <c r="E1757" s="1861">
        <v>43216</v>
      </c>
      <c r="F1757" s="1862"/>
      <c r="G1757" s="1862"/>
      <c r="H1757" s="1862"/>
      <c r="I1757" s="1862">
        <f>Tabla1[[#This Row],[Extraccion
Norte II]]+Tabla1[[#This Row],[Extraccion
ENO]]</f>
        <v>0</v>
      </c>
      <c r="J1757" s="1862"/>
      <c r="K1757" s="1862"/>
      <c r="L1757" s="1862">
        <f t="shared" si="137"/>
        <v>0</v>
      </c>
      <c r="M1757" s="1862">
        <f>M1756+Tabla1[[#This Row],[Desbalance
TPL]]</f>
        <v>-673433.8428743222</v>
      </c>
    </row>
    <row r="1758" spans="2:13" x14ac:dyDescent="0.25">
      <c r="B1758" s="1859">
        <f t="shared" si="134"/>
        <v>2018</v>
      </c>
      <c r="C1758" s="1859">
        <f t="shared" si="135"/>
        <v>4</v>
      </c>
      <c r="D1758" s="1860">
        <f t="shared" si="136"/>
        <v>43217</v>
      </c>
      <c r="E1758" s="1861">
        <v>43217</v>
      </c>
      <c r="F1758" s="1862"/>
      <c r="G1758" s="1862"/>
      <c r="H1758" s="1862"/>
      <c r="I1758" s="1862">
        <f>Tabla1[[#This Row],[Extraccion
Norte II]]+Tabla1[[#This Row],[Extraccion
ENO]]</f>
        <v>0</v>
      </c>
      <c r="J1758" s="1862"/>
      <c r="K1758" s="1862"/>
      <c r="L1758" s="1862">
        <f t="shared" si="137"/>
        <v>0</v>
      </c>
      <c r="M1758" s="1862">
        <f>M1757+Tabla1[[#This Row],[Desbalance
TPL]]</f>
        <v>-673433.8428743222</v>
      </c>
    </row>
    <row r="1759" spans="2:13" x14ac:dyDescent="0.25">
      <c r="B1759" s="1859">
        <f t="shared" si="134"/>
        <v>2018</v>
      </c>
      <c r="C1759" s="1859">
        <f t="shared" si="135"/>
        <v>4</v>
      </c>
      <c r="D1759" s="1860">
        <f t="shared" si="136"/>
        <v>43218</v>
      </c>
      <c r="E1759" s="1861">
        <v>43218</v>
      </c>
      <c r="F1759" s="1862"/>
      <c r="G1759" s="1862"/>
      <c r="H1759" s="1862"/>
      <c r="I1759" s="1862">
        <f>Tabla1[[#This Row],[Extraccion
Norte II]]+Tabla1[[#This Row],[Extraccion
ENO]]</f>
        <v>0</v>
      </c>
      <c r="J1759" s="1862"/>
      <c r="K1759" s="1862"/>
      <c r="L1759" s="1862">
        <f t="shared" si="137"/>
        <v>0</v>
      </c>
      <c r="M1759" s="1862">
        <f>M1758+Tabla1[[#This Row],[Desbalance
TPL]]</f>
        <v>-673433.8428743222</v>
      </c>
    </row>
    <row r="1760" spans="2:13" x14ac:dyDescent="0.25">
      <c r="B1760" s="1859">
        <f t="shared" si="134"/>
        <v>2018</v>
      </c>
      <c r="C1760" s="1859">
        <f t="shared" si="135"/>
        <v>4</v>
      </c>
      <c r="D1760" s="1860">
        <f t="shared" si="136"/>
        <v>43219</v>
      </c>
      <c r="E1760" s="1861">
        <v>43219</v>
      </c>
      <c r="F1760" s="1862"/>
      <c r="G1760" s="1862"/>
      <c r="H1760" s="1862"/>
      <c r="I1760" s="1862">
        <f>Tabla1[[#This Row],[Extraccion
Norte II]]+Tabla1[[#This Row],[Extraccion
ENO]]</f>
        <v>0</v>
      </c>
      <c r="J1760" s="1862"/>
      <c r="K1760" s="1862"/>
      <c r="L1760" s="1862">
        <f t="shared" si="137"/>
        <v>0</v>
      </c>
      <c r="M1760" s="1862">
        <f>M1759+Tabla1[[#This Row],[Desbalance
TPL]]</f>
        <v>-673433.8428743222</v>
      </c>
    </row>
    <row r="1761" spans="2:13" x14ac:dyDescent="0.25">
      <c r="B1761" s="1859">
        <f t="shared" si="134"/>
        <v>2018</v>
      </c>
      <c r="C1761" s="1859">
        <f t="shared" si="135"/>
        <v>4</v>
      </c>
      <c r="D1761" s="1860">
        <f t="shared" si="136"/>
        <v>43220</v>
      </c>
      <c r="E1761" s="1861">
        <v>43220</v>
      </c>
      <c r="F1761" s="1862"/>
      <c r="G1761" s="1862"/>
      <c r="H1761" s="1862"/>
      <c r="I1761" s="1862">
        <f>Tabla1[[#This Row],[Extraccion
Norte II]]+Tabla1[[#This Row],[Extraccion
ENO]]</f>
        <v>0</v>
      </c>
      <c r="J1761" s="1862"/>
      <c r="K1761" s="1862"/>
      <c r="L1761" s="1862">
        <f t="shared" si="137"/>
        <v>0</v>
      </c>
      <c r="M1761" s="1862">
        <f>M1760+Tabla1[[#This Row],[Desbalance
TPL]]</f>
        <v>-673433.8428743222</v>
      </c>
    </row>
    <row r="1762" spans="2:13" x14ac:dyDescent="0.25">
      <c r="B1762" s="1859">
        <f t="shared" si="134"/>
        <v>2018</v>
      </c>
      <c r="C1762" s="1859">
        <f t="shared" si="135"/>
        <v>5</v>
      </c>
      <c r="D1762" s="1860">
        <f t="shared" si="136"/>
        <v>43221</v>
      </c>
      <c r="E1762" s="1861">
        <v>43221</v>
      </c>
      <c r="F1762" s="1862"/>
      <c r="G1762" s="1862"/>
      <c r="H1762" s="1862"/>
      <c r="I1762" s="1862">
        <f>Tabla1[[#This Row],[Extraccion
Norte II]]+Tabla1[[#This Row],[Extraccion
ENO]]</f>
        <v>0</v>
      </c>
      <c r="J1762" s="1862"/>
      <c r="K1762" s="1862"/>
      <c r="L1762" s="1862">
        <f t="shared" si="137"/>
        <v>0</v>
      </c>
      <c r="M1762" s="1862">
        <f>M1761+Tabla1[[#This Row],[Desbalance
TPL]]</f>
        <v>-673433.8428743222</v>
      </c>
    </row>
    <row r="1763" spans="2:13" x14ac:dyDescent="0.25">
      <c r="B1763" s="1859">
        <f t="shared" si="134"/>
        <v>2018</v>
      </c>
      <c r="C1763" s="1859">
        <f t="shared" si="135"/>
        <v>5</v>
      </c>
      <c r="D1763" s="1860">
        <f t="shared" si="136"/>
        <v>43222</v>
      </c>
      <c r="E1763" s="1861">
        <v>43222</v>
      </c>
      <c r="F1763" s="1862"/>
      <c r="G1763" s="1862"/>
      <c r="H1763" s="1862"/>
      <c r="I1763" s="1862">
        <f>Tabla1[[#This Row],[Extraccion
Norte II]]+Tabla1[[#This Row],[Extraccion
ENO]]</f>
        <v>0</v>
      </c>
      <c r="J1763" s="1862"/>
      <c r="K1763" s="1862"/>
      <c r="L1763" s="1862">
        <f t="shared" si="137"/>
        <v>0</v>
      </c>
      <c r="M1763" s="1862">
        <f>M1762+Tabla1[[#This Row],[Desbalance
TPL]]</f>
        <v>-673433.8428743222</v>
      </c>
    </row>
    <row r="1764" spans="2:13" x14ac:dyDescent="0.25">
      <c r="B1764" s="1859">
        <f t="shared" si="134"/>
        <v>2018</v>
      </c>
      <c r="C1764" s="1859">
        <f t="shared" si="135"/>
        <v>5</v>
      </c>
      <c r="D1764" s="1860">
        <f t="shared" si="136"/>
        <v>43223</v>
      </c>
      <c r="E1764" s="1861">
        <v>43223</v>
      </c>
      <c r="F1764" s="1862"/>
      <c r="G1764" s="1862"/>
      <c r="H1764" s="1862"/>
      <c r="I1764" s="1862">
        <f>Tabla1[[#This Row],[Extraccion
Norte II]]+Tabla1[[#This Row],[Extraccion
ENO]]</f>
        <v>0</v>
      </c>
      <c r="J1764" s="1862"/>
      <c r="K1764" s="1862"/>
      <c r="L1764" s="1862">
        <f t="shared" si="137"/>
        <v>0</v>
      </c>
      <c r="M1764" s="1862">
        <f>M1763+Tabla1[[#This Row],[Desbalance
TPL]]</f>
        <v>-673433.8428743222</v>
      </c>
    </row>
    <row r="1765" spans="2:13" x14ac:dyDescent="0.25">
      <c r="B1765" s="1859">
        <f t="shared" si="134"/>
        <v>2018</v>
      </c>
      <c r="C1765" s="1859">
        <f t="shared" si="135"/>
        <v>5</v>
      </c>
      <c r="D1765" s="1860">
        <f t="shared" si="136"/>
        <v>43224</v>
      </c>
      <c r="E1765" s="1861">
        <v>43224</v>
      </c>
      <c r="F1765" s="1862"/>
      <c r="G1765" s="1862"/>
      <c r="H1765" s="1862"/>
      <c r="I1765" s="1862">
        <f>Tabla1[[#This Row],[Extraccion
Norte II]]+Tabla1[[#This Row],[Extraccion
ENO]]</f>
        <v>0</v>
      </c>
      <c r="J1765" s="1862"/>
      <c r="K1765" s="1862"/>
      <c r="L1765" s="1862">
        <f t="shared" si="137"/>
        <v>0</v>
      </c>
      <c r="M1765" s="1862">
        <f>M1764+Tabla1[[#This Row],[Desbalance
TPL]]</f>
        <v>-673433.8428743222</v>
      </c>
    </row>
    <row r="1766" spans="2:13" x14ac:dyDescent="0.25">
      <c r="B1766" s="1859">
        <f t="shared" si="134"/>
        <v>2018</v>
      </c>
      <c r="C1766" s="1859">
        <f t="shared" si="135"/>
        <v>5</v>
      </c>
      <c r="D1766" s="1860">
        <f t="shared" si="136"/>
        <v>43225</v>
      </c>
      <c r="E1766" s="1861">
        <v>43225</v>
      </c>
      <c r="F1766" s="1862"/>
      <c r="G1766" s="1862"/>
      <c r="H1766" s="1862"/>
      <c r="I1766" s="1862">
        <f>Tabla1[[#This Row],[Extraccion
Norte II]]+Tabla1[[#This Row],[Extraccion
ENO]]</f>
        <v>0</v>
      </c>
      <c r="J1766" s="1862"/>
      <c r="K1766" s="1862"/>
      <c r="L1766" s="1862">
        <f t="shared" si="137"/>
        <v>0</v>
      </c>
      <c r="M1766" s="1862">
        <f>M1765+Tabla1[[#This Row],[Desbalance
TPL]]</f>
        <v>-673433.8428743222</v>
      </c>
    </row>
    <row r="1767" spans="2:13" x14ac:dyDescent="0.25">
      <c r="B1767" s="1859">
        <f t="shared" si="134"/>
        <v>2018</v>
      </c>
      <c r="C1767" s="1859">
        <f t="shared" si="135"/>
        <v>5</v>
      </c>
      <c r="D1767" s="1860">
        <f t="shared" si="136"/>
        <v>43226</v>
      </c>
      <c r="E1767" s="1861">
        <v>43226</v>
      </c>
      <c r="F1767" s="1862"/>
      <c r="G1767" s="1862"/>
      <c r="H1767" s="1862"/>
      <c r="I1767" s="1862">
        <f>Tabla1[[#This Row],[Extraccion
Norte II]]+Tabla1[[#This Row],[Extraccion
ENO]]</f>
        <v>0</v>
      </c>
      <c r="J1767" s="1862"/>
      <c r="K1767" s="1862"/>
      <c r="L1767" s="1862">
        <f t="shared" si="137"/>
        <v>0</v>
      </c>
      <c r="M1767" s="1862">
        <f>M1766+Tabla1[[#This Row],[Desbalance
TPL]]</f>
        <v>-673433.8428743222</v>
      </c>
    </row>
    <row r="1768" spans="2:13" x14ac:dyDescent="0.25">
      <c r="B1768" s="1859">
        <f t="shared" si="134"/>
        <v>2018</v>
      </c>
      <c r="C1768" s="1859">
        <f t="shared" si="135"/>
        <v>5</v>
      </c>
      <c r="D1768" s="1860">
        <f t="shared" si="136"/>
        <v>43227</v>
      </c>
      <c r="E1768" s="1861">
        <v>43227</v>
      </c>
      <c r="F1768" s="1862"/>
      <c r="G1768" s="1862"/>
      <c r="H1768" s="1862"/>
      <c r="I1768" s="1862">
        <f>Tabla1[[#This Row],[Extraccion
Norte II]]+Tabla1[[#This Row],[Extraccion
ENO]]</f>
        <v>0</v>
      </c>
      <c r="J1768" s="1862"/>
      <c r="K1768" s="1862"/>
      <c r="L1768" s="1862">
        <f t="shared" si="137"/>
        <v>0</v>
      </c>
      <c r="M1768" s="1862">
        <f>M1767+Tabla1[[#This Row],[Desbalance
TPL]]</f>
        <v>-673433.8428743222</v>
      </c>
    </row>
    <row r="1769" spans="2:13" x14ac:dyDescent="0.25">
      <c r="B1769" s="1859">
        <f t="shared" si="134"/>
        <v>2018</v>
      </c>
      <c r="C1769" s="1859">
        <f t="shared" si="135"/>
        <v>5</v>
      </c>
      <c r="D1769" s="1860">
        <f t="shared" si="136"/>
        <v>43228</v>
      </c>
      <c r="E1769" s="1861">
        <v>43228</v>
      </c>
      <c r="F1769" s="1862"/>
      <c r="G1769" s="1862"/>
      <c r="H1769" s="1862"/>
      <c r="I1769" s="1862">
        <f>Tabla1[[#This Row],[Extraccion
Norte II]]+Tabla1[[#This Row],[Extraccion
ENO]]</f>
        <v>0</v>
      </c>
      <c r="J1769" s="1862"/>
      <c r="K1769" s="1862"/>
      <c r="L1769" s="1862">
        <f t="shared" si="137"/>
        <v>0</v>
      </c>
      <c r="M1769" s="1862">
        <f>M1768+Tabla1[[#This Row],[Desbalance
TPL]]</f>
        <v>-673433.8428743222</v>
      </c>
    </row>
    <row r="1770" spans="2:13" x14ac:dyDescent="0.25">
      <c r="B1770" s="1859">
        <f t="shared" si="134"/>
        <v>2018</v>
      </c>
      <c r="C1770" s="1859">
        <f t="shared" si="135"/>
        <v>5</v>
      </c>
      <c r="D1770" s="1860">
        <f t="shared" si="136"/>
        <v>43229</v>
      </c>
      <c r="E1770" s="1861">
        <v>43229</v>
      </c>
      <c r="F1770" s="1862"/>
      <c r="G1770" s="1862"/>
      <c r="H1770" s="1862"/>
      <c r="I1770" s="1862">
        <f>Tabla1[[#This Row],[Extraccion
Norte II]]+Tabla1[[#This Row],[Extraccion
ENO]]</f>
        <v>0</v>
      </c>
      <c r="J1770" s="1862"/>
      <c r="K1770" s="1862"/>
      <c r="L1770" s="1862">
        <f t="shared" si="137"/>
        <v>0</v>
      </c>
      <c r="M1770" s="1862">
        <f>M1769+Tabla1[[#This Row],[Desbalance
TPL]]</f>
        <v>-673433.8428743222</v>
      </c>
    </row>
    <row r="1771" spans="2:13" x14ac:dyDescent="0.25">
      <c r="B1771" s="1859">
        <f t="shared" si="134"/>
        <v>2018</v>
      </c>
      <c r="C1771" s="1859">
        <f t="shared" si="135"/>
        <v>5</v>
      </c>
      <c r="D1771" s="1860">
        <f t="shared" si="136"/>
        <v>43230</v>
      </c>
      <c r="E1771" s="1861">
        <v>43230</v>
      </c>
      <c r="F1771" s="1862"/>
      <c r="G1771" s="1862"/>
      <c r="H1771" s="1862"/>
      <c r="I1771" s="1862">
        <f>Tabla1[[#This Row],[Extraccion
Norte II]]+Tabla1[[#This Row],[Extraccion
ENO]]</f>
        <v>0</v>
      </c>
      <c r="J1771" s="1862"/>
      <c r="K1771" s="1862"/>
      <c r="L1771" s="1862">
        <f t="shared" si="137"/>
        <v>0</v>
      </c>
      <c r="M1771" s="1862">
        <f>M1770+Tabla1[[#This Row],[Desbalance
TPL]]</f>
        <v>-673433.8428743222</v>
      </c>
    </row>
    <row r="1772" spans="2:13" x14ac:dyDescent="0.25">
      <c r="B1772" s="1859">
        <f t="shared" si="134"/>
        <v>2018</v>
      </c>
      <c r="C1772" s="1859">
        <f t="shared" si="135"/>
        <v>5</v>
      </c>
      <c r="D1772" s="1860">
        <f t="shared" si="136"/>
        <v>43231</v>
      </c>
      <c r="E1772" s="1861">
        <v>43231</v>
      </c>
      <c r="F1772" s="1862"/>
      <c r="G1772" s="1862"/>
      <c r="H1772" s="1862"/>
      <c r="I1772" s="1862">
        <f>Tabla1[[#This Row],[Extraccion
Norte II]]+Tabla1[[#This Row],[Extraccion
ENO]]</f>
        <v>0</v>
      </c>
      <c r="J1772" s="1862"/>
      <c r="K1772" s="1862"/>
      <c r="L1772" s="1862">
        <f t="shared" si="137"/>
        <v>0</v>
      </c>
      <c r="M1772" s="1862">
        <f>M1771+Tabla1[[#This Row],[Desbalance
TPL]]</f>
        <v>-673433.8428743222</v>
      </c>
    </row>
    <row r="1773" spans="2:13" x14ac:dyDescent="0.25">
      <c r="B1773" s="1859">
        <f t="shared" si="134"/>
        <v>2018</v>
      </c>
      <c r="C1773" s="1859">
        <f t="shared" si="135"/>
        <v>5</v>
      </c>
      <c r="D1773" s="1860">
        <f t="shared" si="136"/>
        <v>43232</v>
      </c>
      <c r="E1773" s="1861">
        <v>43232</v>
      </c>
      <c r="F1773" s="1862"/>
      <c r="G1773" s="1862"/>
      <c r="H1773" s="1862"/>
      <c r="I1773" s="1862">
        <f>Tabla1[[#This Row],[Extraccion
Norte II]]+Tabla1[[#This Row],[Extraccion
ENO]]</f>
        <v>0</v>
      </c>
      <c r="J1773" s="1862"/>
      <c r="K1773" s="1862"/>
      <c r="L1773" s="1862">
        <f t="shared" si="137"/>
        <v>0</v>
      </c>
      <c r="M1773" s="1862">
        <f>M1772+Tabla1[[#This Row],[Desbalance
TPL]]</f>
        <v>-673433.8428743222</v>
      </c>
    </row>
    <row r="1774" spans="2:13" x14ac:dyDescent="0.25">
      <c r="B1774" s="1859">
        <f t="shared" si="134"/>
        <v>2018</v>
      </c>
      <c r="C1774" s="1859">
        <f t="shared" si="135"/>
        <v>5</v>
      </c>
      <c r="D1774" s="1860">
        <f t="shared" si="136"/>
        <v>43233</v>
      </c>
      <c r="E1774" s="1861">
        <v>43233</v>
      </c>
      <c r="F1774" s="1862"/>
      <c r="G1774" s="1862"/>
      <c r="H1774" s="1862"/>
      <c r="I1774" s="1862">
        <f>Tabla1[[#This Row],[Extraccion
Norte II]]+Tabla1[[#This Row],[Extraccion
ENO]]</f>
        <v>0</v>
      </c>
      <c r="J1774" s="1862"/>
      <c r="K1774" s="1862"/>
      <c r="L1774" s="1862">
        <f t="shared" si="137"/>
        <v>0</v>
      </c>
      <c r="M1774" s="1862">
        <f>M1773+Tabla1[[#This Row],[Desbalance
TPL]]</f>
        <v>-673433.8428743222</v>
      </c>
    </row>
    <row r="1775" spans="2:13" x14ac:dyDescent="0.25">
      <c r="B1775" s="1859">
        <f t="shared" si="134"/>
        <v>2018</v>
      </c>
      <c r="C1775" s="1859">
        <f t="shared" si="135"/>
        <v>5</v>
      </c>
      <c r="D1775" s="1860">
        <f t="shared" si="136"/>
        <v>43234</v>
      </c>
      <c r="E1775" s="1861">
        <v>43234</v>
      </c>
      <c r="F1775" s="1862"/>
      <c r="G1775" s="1862"/>
      <c r="H1775" s="1862"/>
      <c r="I1775" s="1862">
        <f>Tabla1[[#This Row],[Extraccion
Norte II]]+Tabla1[[#This Row],[Extraccion
ENO]]</f>
        <v>0</v>
      </c>
      <c r="J1775" s="1862"/>
      <c r="K1775" s="1862"/>
      <c r="L1775" s="1862">
        <f t="shared" si="137"/>
        <v>0</v>
      </c>
      <c r="M1775" s="1862">
        <f>M1774+Tabla1[[#This Row],[Desbalance
TPL]]</f>
        <v>-673433.8428743222</v>
      </c>
    </row>
    <row r="1776" spans="2:13" x14ac:dyDescent="0.25">
      <c r="B1776" s="1859">
        <f t="shared" si="134"/>
        <v>2018</v>
      </c>
      <c r="C1776" s="1859">
        <f t="shared" si="135"/>
        <v>5</v>
      </c>
      <c r="D1776" s="1860">
        <f t="shared" si="136"/>
        <v>43235</v>
      </c>
      <c r="E1776" s="1861">
        <v>43235</v>
      </c>
      <c r="F1776" s="1862"/>
      <c r="G1776" s="1862"/>
      <c r="H1776" s="1862"/>
      <c r="I1776" s="1862">
        <f>Tabla1[[#This Row],[Extraccion
Norte II]]+Tabla1[[#This Row],[Extraccion
ENO]]</f>
        <v>0</v>
      </c>
      <c r="J1776" s="1862"/>
      <c r="K1776" s="1862"/>
      <c r="L1776" s="1862">
        <f t="shared" si="137"/>
        <v>0</v>
      </c>
      <c r="M1776" s="1862">
        <f>M1775+Tabla1[[#This Row],[Desbalance
TPL]]</f>
        <v>-673433.8428743222</v>
      </c>
    </row>
    <row r="1777" spans="2:13" x14ac:dyDescent="0.25">
      <c r="B1777" s="1859">
        <f t="shared" si="134"/>
        <v>2018</v>
      </c>
      <c r="C1777" s="1859">
        <f t="shared" si="135"/>
        <v>5</v>
      </c>
      <c r="D1777" s="1860">
        <f t="shared" si="136"/>
        <v>43236</v>
      </c>
      <c r="E1777" s="1861">
        <v>43236</v>
      </c>
      <c r="F1777" s="1862"/>
      <c r="G1777" s="1862"/>
      <c r="H1777" s="1862"/>
      <c r="I1777" s="1862">
        <f>Tabla1[[#This Row],[Extraccion
Norte II]]+Tabla1[[#This Row],[Extraccion
ENO]]</f>
        <v>0</v>
      </c>
      <c r="J1777" s="1862"/>
      <c r="K1777" s="1862"/>
      <c r="L1777" s="1862">
        <f t="shared" si="137"/>
        <v>0</v>
      </c>
      <c r="M1777" s="1862">
        <f>M1776+Tabla1[[#This Row],[Desbalance
TPL]]</f>
        <v>-673433.8428743222</v>
      </c>
    </row>
    <row r="1778" spans="2:13" x14ac:dyDescent="0.25">
      <c r="B1778" s="1859">
        <f t="shared" si="134"/>
        <v>2018</v>
      </c>
      <c r="C1778" s="1859">
        <f t="shared" si="135"/>
        <v>5</v>
      </c>
      <c r="D1778" s="1860">
        <f t="shared" si="136"/>
        <v>43237</v>
      </c>
      <c r="E1778" s="1861">
        <v>43237</v>
      </c>
      <c r="F1778" s="1862"/>
      <c r="G1778" s="1862"/>
      <c r="H1778" s="1862"/>
      <c r="I1778" s="1862">
        <f>Tabla1[[#This Row],[Extraccion
Norte II]]+Tabla1[[#This Row],[Extraccion
ENO]]</f>
        <v>0</v>
      </c>
      <c r="J1778" s="1862"/>
      <c r="K1778" s="1862"/>
      <c r="L1778" s="1862">
        <f t="shared" si="137"/>
        <v>0</v>
      </c>
      <c r="M1778" s="1862">
        <f>M1777+Tabla1[[#This Row],[Desbalance
TPL]]</f>
        <v>-673433.8428743222</v>
      </c>
    </row>
    <row r="1779" spans="2:13" x14ac:dyDescent="0.25">
      <c r="B1779" s="1859">
        <f t="shared" ref="B1779:B1842" si="138">YEAR(E1779)</f>
        <v>2018</v>
      </c>
      <c r="C1779" s="1859">
        <f t="shared" ref="C1779:C1842" si="139">MONTH(E1779)</f>
        <v>5</v>
      </c>
      <c r="D1779" s="1860">
        <f t="shared" ref="D1779:D1842" si="140">E1779</f>
        <v>43238</v>
      </c>
      <c r="E1779" s="1861">
        <v>43238</v>
      </c>
      <c r="F1779" s="1862"/>
      <c r="G1779" s="1862"/>
      <c r="H1779" s="1862"/>
      <c r="I1779" s="1862">
        <f>Tabla1[[#This Row],[Extraccion
Norte II]]+Tabla1[[#This Row],[Extraccion
ENO]]</f>
        <v>0</v>
      </c>
      <c r="J1779" s="1862"/>
      <c r="K1779" s="1862"/>
      <c r="L1779" s="1862">
        <f t="shared" si="137"/>
        <v>0</v>
      </c>
      <c r="M1779" s="1862">
        <f>M1778+Tabla1[[#This Row],[Desbalance
TPL]]</f>
        <v>-673433.8428743222</v>
      </c>
    </row>
    <row r="1780" spans="2:13" x14ac:dyDescent="0.25">
      <c r="B1780" s="1859">
        <f t="shared" si="138"/>
        <v>2018</v>
      </c>
      <c r="C1780" s="1859">
        <f t="shared" si="139"/>
        <v>5</v>
      </c>
      <c r="D1780" s="1860">
        <f t="shared" si="140"/>
        <v>43239</v>
      </c>
      <c r="E1780" s="1861">
        <v>43239</v>
      </c>
      <c r="F1780" s="1862"/>
      <c r="G1780" s="1862"/>
      <c r="H1780" s="1862"/>
      <c r="I1780" s="1862">
        <f>Tabla1[[#This Row],[Extraccion
Norte II]]+Tabla1[[#This Row],[Extraccion
ENO]]</f>
        <v>0</v>
      </c>
      <c r="J1780" s="1862"/>
      <c r="K1780" s="1862"/>
      <c r="L1780" s="1862">
        <f t="shared" si="137"/>
        <v>0</v>
      </c>
      <c r="M1780" s="1862">
        <f>M1779+Tabla1[[#This Row],[Desbalance
TPL]]</f>
        <v>-673433.8428743222</v>
      </c>
    </row>
    <row r="1781" spans="2:13" x14ac:dyDescent="0.25">
      <c r="B1781" s="1859">
        <f t="shared" si="138"/>
        <v>2018</v>
      </c>
      <c r="C1781" s="1859">
        <f t="shared" si="139"/>
        <v>5</v>
      </c>
      <c r="D1781" s="1860">
        <f t="shared" si="140"/>
        <v>43240</v>
      </c>
      <c r="E1781" s="1861">
        <v>43240</v>
      </c>
      <c r="F1781" s="1862"/>
      <c r="G1781" s="1862"/>
      <c r="H1781" s="1862"/>
      <c r="I1781" s="1862">
        <f>Tabla1[[#This Row],[Extraccion
Norte II]]+Tabla1[[#This Row],[Extraccion
ENO]]</f>
        <v>0</v>
      </c>
      <c r="J1781" s="1862"/>
      <c r="K1781" s="1862"/>
      <c r="L1781" s="1862">
        <f t="shared" si="137"/>
        <v>0</v>
      </c>
      <c r="M1781" s="1862">
        <f>M1780+Tabla1[[#This Row],[Desbalance
TPL]]</f>
        <v>-673433.8428743222</v>
      </c>
    </row>
    <row r="1782" spans="2:13" x14ac:dyDescent="0.25">
      <c r="B1782" s="1859">
        <f t="shared" si="138"/>
        <v>2018</v>
      </c>
      <c r="C1782" s="1859">
        <f t="shared" si="139"/>
        <v>5</v>
      </c>
      <c r="D1782" s="1860">
        <f t="shared" si="140"/>
        <v>43241</v>
      </c>
      <c r="E1782" s="1861">
        <v>43241</v>
      </c>
      <c r="F1782" s="1862"/>
      <c r="G1782" s="1862"/>
      <c r="H1782" s="1862"/>
      <c r="I1782" s="1862">
        <f>Tabla1[[#This Row],[Extraccion
Norte II]]+Tabla1[[#This Row],[Extraccion
ENO]]</f>
        <v>0</v>
      </c>
      <c r="J1782" s="1862"/>
      <c r="K1782" s="1862"/>
      <c r="L1782" s="1862">
        <f t="shared" si="137"/>
        <v>0</v>
      </c>
      <c r="M1782" s="1862">
        <f>M1781+Tabla1[[#This Row],[Desbalance
TPL]]</f>
        <v>-673433.8428743222</v>
      </c>
    </row>
    <row r="1783" spans="2:13" x14ac:dyDescent="0.25">
      <c r="B1783" s="1859">
        <f t="shared" si="138"/>
        <v>2018</v>
      </c>
      <c r="C1783" s="1859">
        <f t="shared" si="139"/>
        <v>5</v>
      </c>
      <c r="D1783" s="1860">
        <f t="shared" si="140"/>
        <v>43242</v>
      </c>
      <c r="E1783" s="1861">
        <v>43242</v>
      </c>
      <c r="F1783" s="1862"/>
      <c r="G1783" s="1862"/>
      <c r="H1783" s="1862"/>
      <c r="I1783" s="1862">
        <f>Tabla1[[#This Row],[Extraccion
Norte II]]+Tabla1[[#This Row],[Extraccion
ENO]]</f>
        <v>0</v>
      </c>
      <c r="J1783" s="1862"/>
      <c r="K1783" s="1862"/>
      <c r="L1783" s="1862">
        <f t="shared" si="137"/>
        <v>0</v>
      </c>
      <c r="M1783" s="1862">
        <f>M1782+Tabla1[[#This Row],[Desbalance
TPL]]</f>
        <v>-673433.8428743222</v>
      </c>
    </row>
    <row r="1784" spans="2:13" x14ac:dyDescent="0.25">
      <c r="B1784" s="1859">
        <f t="shared" si="138"/>
        <v>2018</v>
      </c>
      <c r="C1784" s="1859">
        <f t="shared" si="139"/>
        <v>5</v>
      </c>
      <c r="D1784" s="1860">
        <f t="shared" si="140"/>
        <v>43243</v>
      </c>
      <c r="E1784" s="1861">
        <v>43243</v>
      </c>
      <c r="F1784" s="1862"/>
      <c r="G1784" s="1862"/>
      <c r="H1784" s="1862"/>
      <c r="I1784" s="1862">
        <f>Tabla1[[#This Row],[Extraccion
Norte II]]+Tabla1[[#This Row],[Extraccion
ENO]]</f>
        <v>0</v>
      </c>
      <c r="J1784" s="1862"/>
      <c r="K1784" s="1862"/>
      <c r="L1784" s="1862">
        <f t="shared" si="137"/>
        <v>0</v>
      </c>
      <c r="M1784" s="1862">
        <f>M1783+Tabla1[[#This Row],[Desbalance
TPL]]</f>
        <v>-673433.8428743222</v>
      </c>
    </row>
    <row r="1785" spans="2:13" x14ac:dyDescent="0.25">
      <c r="B1785" s="1859">
        <f t="shared" si="138"/>
        <v>2018</v>
      </c>
      <c r="C1785" s="1859">
        <f t="shared" si="139"/>
        <v>5</v>
      </c>
      <c r="D1785" s="1860">
        <f t="shared" si="140"/>
        <v>43244</v>
      </c>
      <c r="E1785" s="1861">
        <v>43244</v>
      </c>
      <c r="F1785" s="1862"/>
      <c r="G1785" s="1862"/>
      <c r="H1785" s="1862"/>
      <c r="I1785" s="1862">
        <f>Tabla1[[#This Row],[Extraccion
Norte II]]+Tabla1[[#This Row],[Extraccion
ENO]]</f>
        <v>0</v>
      </c>
      <c r="J1785" s="1862"/>
      <c r="K1785" s="1862"/>
      <c r="L1785" s="1862">
        <f t="shared" si="137"/>
        <v>0</v>
      </c>
      <c r="M1785" s="1862">
        <f>M1784+Tabla1[[#This Row],[Desbalance
TPL]]</f>
        <v>-673433.8428743222</v>
      </c>
    </row>
    <row r="1786" spans="2:13" x14ac:dyDescent="0.25">
      <c r="B1786" s="1859">
        <f t="shared" si="138"/>
        <v>2018</v>
      </c>
      <c r="C1786" s="1859">
        <f t="shared" si="139"/>
        <v>5</v>
      </c>
      <c r="D1786" s="1860">
        <f t="shared" si="140"/>
        <v>43245</v>
      </c>
      <c r="E1786" s="1861">
        <v>43245</v>
      </c>
      <c r="F1786" s="1862"/>
      <c r="G1786" s="1862"/>
      <c r="H1786" s="1862"/>
      <c r="I1786" s="1862">
        <f>Tabla1[[#This Row],[Extraccion
Norte II]]+Tabla1[[#This Row],[Extraccion
ENO]]</f>
        <v>0</v>
      </c>
      <c r="J1786" s="1862"/>
      <c r="K1786" s="1862"/>
      <c r="L1786" s="1862">
        <f t="shared" si="137"/>
        <v>0</v>
      </c>
      <c r="M1786" s="1862">
        <f>M1785+Tabla1[[#This Row],[Desbalance
TPL]]</f>
        <v>-673433.8428743222</v>
      </c>
    </row>
    <row r="1787" spans="2:13" x14ac:dyDescent="0.25">
      <c r="B1787" s="1859">
        <f t="shared" si="138"/>
        <v>2018</v>
      </c>
      <c r="C1787" s="1859">
        <f t="shared" si="139"/>
        <v>5</v>
      </c>
      <c r="D1787" s="1860">
        <f t="shared" si="140"/>
        <v>43246</v>
      </c>
      <c r="E1787" s="1861">
        <v>43246</v>
      </c>
      <c r="F1787" s="1862"/>
      <c r="G1787" s="1862"/>
      <c r="H1787" s="1862"/>
      <c r="I1787" s="1862">
        <f>Tabla1[[#This Row],[Extraccion
Norte II]]+Tabla1[[#This Row],[Extraccion
ENO]]</f>
        <v>0</v>
      </c>
      <c r="J1787" s="1862"/>
      <c r="K1787" s="1862"/>
      <c r="L1787" s="1862">
        <f t="shared" si="137"/>
        <v>0</v>
      </c>
      <c r="M1787" s="1862">
        <f>M1786+Tabla1[[#This Row],[Desbalance
TPL]]</f>
        <v>-673433.8428743222</v>
      </c>
    </row>
    <row r="1788" spans="2:13" x14ac:dyDescent="0.25">
      <c r="B1788" s="1859">
        <f t="shared" si="138"/>
        <v>2018</v>
      </c>
      <c r="C1788" s="1859">
        <f t="shared" si="139"/>
        <v>5</v>
      </c>
      <c r="D1788" s="1860">
        <f t="shared" si="140"/>
        <v>43247</v>
      </c>
      <c r="E1788" s="1861">
        <v>43247</v>
      </c>
      <c r="F1788" s="1862"/>
      <c r="G1788" s="1862"/>
      <c r="H1788" s="1862"/>
      <c r="I1788" s="1862">
        <f>Tabla1[[#This Row],[Extraccion
Norte II]]+Tabla1[[#This Row],[Extraccion
ENO]]</f>
        <v>0</v>
      </c>
      <c r="J1788" s="1862"/>
      <c r="K1788" s="1862"/>
      <c r="L1788" s="1862">
        <f t="shared" si="137"/>
        <v>0</v>
      </c>
      <c r="M1788" s="1862">
        <f>M1787+Tabla1[[#This Row],[Desbalance
TPL]]</f>
        <v>-673433.8428743222</v>
      </c>
    </row>
    <row r="1789" spans="2:13" x14ac:dyDescent="0.25">
      <c r="B1789" s="1859">
        <f t="shared" si="138"/>
        <v>2018</v>
      </c>
      <c r="C1789" s="1859">
        <f t="shared" si="139"/>
        <v>5</v>
      </c>
      <c r="D1789" s="1860">
        <f t="shared" si="140"/>
        <v>43248</v>
      </c>
      <c r="E1789" s="1861">
        <v>43248</v>
      </c>
      <c r="F1789" s="1862"/>
      <c r="G1789" s="1862"/>
      <c r="H1789" s="1862"/>
      <c r="I1789" s="1862">
        <f>Tabla1[[#This Row],[Extraccion
Norte II]]+Tabla1[[#This Row],[Extraccion
ENO]]</f>
        <v>0</v>
      </c>
      <c r="J1789" s="1862"/>
      <c r="K1789" s="1862"/>
      <c r="L1789" s="1862">
        <f t="shared" si="137"/>
        <v>0</v>
      </c>
      <c r="M1789" s="1862">
        <f>M1788+Tabla1[[#This Row],[Desbalance
TPL]]</f>
        <v>-673433.8428743222</v>
      </c>
    </row>
    <row r="1790" spans="2:13" x14ac:dyDescent="0.25">
      <c r="B1790" s="1859">
        <f t="shared" si="138"/>
        <v>2018</v>
      </c>
      <c r="C1790" s="1859">
        <f t="shared" si="139"/>
        <v>5</v>
      </c>
      <c r="D1790" s="1860">
        <f t="shared" si="140"/>
        <v>43249</v>
      </c>
      <c r="E1790" s="1861">
        <v>43249</v>
      </c>
      <c r="F1790" s="1862"/>
      <c r="G1790" s="1862"/>
      <c r="H1790" s="1862"/>
      <c r="I1790" s="1862">
        <f>Tabla1[[#This Row],[Extraccion
Norte II]]+Tabla1[[#This Row],[Extraccion
ENO]]</f>
        <v>0</v>
      </c>
      <c r="J1790" s="1862"/>
      <c r="K1790" s="1862"/>
      <c r="L1790" s="1862">
        <f t="shared" si="137"/>
        <v>0</v>
      </c>
      <c r="M1790" s="1862">
        <f>M1789+Tabla1[[#This Row],[Desbalance
TPL]]</f>
        <v>-673433.8428743222</v>
      </c>
    </row>
    <row r="1791" spans="2:13" x14ac:dyDescent="0.25">
      <c r="B1791" s="1859">
        <f t="shared" si="138"/>
        <v>2018</v>
      </c>
      <c r="C1791" s="1859">
        <f t="shared" si="139"/>
        <v>5</v>
      </c>
      <c r="D1791" s="1860">
        <f t="shared" si="140"/>
        <v>43250</v>
      </c>
      <c r="E1791" s="1861">
        <v>43250</v>
      </c>
      <c r="F1791" s="1862"/>
      <c r="G1791" s="1862"/>
      <c r="H1791" s="1862"/>
      <c r="I1791" s="1862">
        <f>Tabla1[[#This Row],[Extraccion
Norte II]]+Tabla1[[#This Row],[Extraccion
ENO]]</f>
        <v>0</v>
      </c>
      <c r="J1791" s="1862"/>
      <c r="K1791" s="1862"/>
      <c r="L1791" s="1862">
        <f t="shared" si="137"/>
        <v>0</v>
      </c>
      <c r="M1791" s="1862">
        <f>M1790+Tabla1[[#This Row],[Desbalance
TPL]]</f>
        <v>-673433.8428743222</v>
      </c>
    </row>
    <row r="1792" spans="2:13" x14ac:dyDescent="0.25">
      <c r="B1792" s="1859">
        <f t="shared" si="138"/>
        <v>2018</v>
      </c>
      <c r="C1792" s="1859">
        <f t="shared" si="139"/>
        <v>5</v>
      </c>
      <c r="D1792" s="1860">
        <f t="shared" si="140"/>
        <v>43251</v>
      </c>
      <c r="E1792" s="1861">
        <v>43251</v>
      </c>
      <c r="F1792" s="1862"/>
      <c r="G1792" s="1862"/>
      <c r="H1792" s="1862"/>
      <c r="I1792" s="1862">
        <f>Tabla1[[#This Row],[Extraccion
Norte II]]+Tabla1[[#This Row],[Extraccion
ENO]]</f>
        <v>0</v>
      </c>
      <c r="J1792" s="1862"/>
      <c r="K1792" s="1862"/>
      <c r="L1792" s="1862">
        <f t="shared" si="137"/>
        <v>0</v>
      </c>
      <c r="M1792" s="1862">
        <f>M1791+Tabla1[[#This Row],[Desbalance
TPL]]</f>
        <v>-673433.8428743222</v>
      </c>
    </row>
    <row r="1793" spans="2:13" x14ac:dyDescent="0.25">
      <c r="B1793" s="1859">
        <f t="shared" si="138"/>
        <v>2018</v>
      </c>
      <c r="C1793" s="1859">
        <f t="shared" si="139"/>
        <v>6</v>
      </c>
      <c r="D1793" s="1860">
        <f t="shared" si="140"/>
        <v>43252</v>
      </c>
      <c r="E1793" s="1861">
        <v>43252</v>
      </c>
      <c r="F1793" s="1862"/>
      <c r="G1793" s="1862"/>
      <c r="H1793" s="1862"/>
      <c r="I1793" s="1862">
        <f>Tabla1[[#This Row],[Extraccion
Norte II]]+Tabla1[[#This Row],[Extraccion
ENO]]</f>
        <v>0</v>
      </c>
      <c r="J1793" s="1862"/>
      <c r="K1793" s="1862"/>
      <c r="L1793" s="1862">
        <f t="shared" si="137"/>
        <v>0</v>
      </c>
      <c r="M1793" s="1862">
        <f>M1792+Tabla1[[#This Row],[Desbalance
TPL]]</f>
        <v>-673433.8428743222</v>
      </c>
    </row>
    <row r="1794" spans="2:13" x14ac:dyDescent="0.25">
      <c r="B1794" s="1859">
        <f t="shared" si="138"/>
        <v>2018</v>
      </c>
      <c r="C1794" s="1859">
        <f t="shared" si="139"/>
        <v>6</v>
      </c>
      <c r="D1794" s="1860">
        <f t="shared" si="140"/>
        <v>43253</v>
      </c>
      <c r="E1794" s="1861">
        <v>43253</v>
      </c>
      <c r="F1794" s="1862"/>
      <c r="G1794" s="1862"/>
      <c r="H1794" s="1862"/>
      <c r="I1794" s="1862">
        <f>Tabla1[[#This Row],[Extraccion
Norte II]]+Tabla1[[#This Row],[Extraccion
ENO]]</f>
        <v>0</v>
      </c>
      <c r="J1794" s="1862"/>
      <c r="K1794" s="1862"/>
      <c r="L1794" s="1862">
        <f t="shared" si="137"/>
        <v>0</v>
      </c>
      <c r="M1794" s="1862">
        <f>M1793+Tabla1[[#This Row],[Desbalance
TPL]]</f>
        <v>-673433.8428743222</v>
      </c>
    </row>
    <row r="1795" spans="2:13" x14ac:dyDescent="0.25">
      <c r="B1795" s="1859">
        <f t="shared" si="138"/>
        <v>2018</v>
      </c>
      <c r="C1795" s="1859">
        <f t="shared" si="139"/>
        <v>6</v>
      </c>
      <c r="D1795" s="1860">
        <f t="shared" si="140"/>
        <v>43254</v>
      </c>
      <c r="E1795" s="1861">
        <v>43254</v>
      </c>
      <c r="F1795" s="1862"/>
      <c r="G1795" s="1862"/>
      <c r="H1795" s="1862"/>
      <c r="I1795" s="1862">
        <f>Tabla1[[#This Row],[Extraccion
Norte II]]+Tabla1[[#This Row],[Extraccion
ENO]]</f>
        <v>0</v>
      </c>
      <c r="J1795" s="1862"/>
      <c r="K1795" s="1862"/>
      <c r="L1795" s="1862">
        <f t="shared" si="137"/>
        <v>0</v>
      </c>
      <c r="M1795" s="1862">
        <f>M1794+Tabla1[[#This Row],[Desbalance
TPL]]</f>
        <v>-673433.8428743222</v>
      </c>
    </row>
    <row r="1796" spans="2:13" x14ac:dyDescent="0.25">
      <c r="B1796" s="1859">
        <f t="shared" si="138"/>
        <v>2018</v>
      </c>
      <c r="C1796" s="1859">
        <f t="shared" si="139"/>
        <v>6</v>
      </c>
      <c r="D1796" s="1860">
        <f t="shared" si="140"/>
        <v>43255</v>
      </c>
      <c r="E1796" s="1861">
        <v>43255</v>
      </c>
      <c r="F1796" s="1862"/>
      <c r="G1796" s="1862"/>
      <c r="H1796" s="1862"/>
      <c r="I1796" s="1862">
        <f>Tabla1[[#This Row],[Extraccion
Norte II]]+Tabla1[[#This Row],[Extraccion
ENO]]</f>
        <v>0</v>
      </c>
      <c r="J1796" s="1862"/>
      <c r="K1796" s="1862"/>
      <c r="L1796" s="1862">
        <f t="shared" si="137"/>
        <v>0</v>
      </c>
      <c r="M1796" s="1862">
        <f>M1795+Tabla1[[#This Row],[Desbalance
TPL]]</f>
        <v>-673433.8428743222</v>
      </c>
    </row>
    <row r="1797" spans="2:13" x14ac:dyDescent="0.25">
      <c r="B1797" s="1859">
        <f t="shared" si="138"/>
        <v>2018</v>
      </c>
      <c r="C1797" s="1859">
        <f t="shared" si="139"/>
        <v>6</v>
      </c>
      <c r="D1797" s="1860">
        <f t="shared" si="140"/>
        <v>43256</v>
      </c>
      <c r="E1797" s="1861">
        <v>43256</v>
      </c>
      <c r="F1797" s="1862"/>
      <c r="G1797" s="1862"/>
      <c r="H1797" s="1862"/>
      <c r="I1797" s="1862">
        <f>Tabla1[[#This Row],[Extraccion
Norte II]]+Tabla1[[#This Row],[Extraccion
ENO]]</f>
        <v>0</v>
      </c>
      <c r="J1797" s="1862"/>
      <c r="K1797" s="1862"/>
      <c r="L1797" s="1862">
        <f t="shared" si="137"/>
        <v>0</v>
      </c>
      <c r="M1797" s="1862">
        <f>M1796+Tabla1[[#This Row],[Desbalance
TPL]]</f>
        <v>-673433.8428743222</v>
      </c>
    </row>
    <row r="1798" spans="2:13" x14ac:dyDescent="0.25">
      <c r="B1798" s="1859">
        <f t="shared" si="138"/>
        <v>2018</v>
      </c>
      <c r="C1798" s="1859">
        <f t="shared" si="139"/>
        <v>6</v>
      </c>
      <c r="D1798" s="1860">
        <f t="shared" si="140"/>
        <v>43257</v>
      </c>
      <c r="E1798" s="1861">
        <v>43257</v>
      </c>
      <c r="F1798" s="1862"/>
      <c r="G1798" s="1862"/>
      <c r="H1798" s="1862"/>
      <c r="I1798" s="1862">
        <f>Tabla1[[#This Row],[Extraccion
Norte II]]+Tabla1[[#This Row],[Extraccion
ENO]]</f>
        <v>0</v>
      </c>
      <c r="J1798" s="1862"/>
      <c r="K1798" s="1862"/>
      <c r="L1798" s="1862">
        <f t="shared" si="137"/>
        <v>0</v>
      </c>
      <c r="M1798" s="1862">
        <f>M1797+Tabla1[[#This Row],[Desbalance
TPL]]</f>
        <v>-673433.8428743222</v>
      </c>
    </row>
    <row r="1799" spans="2:13" x14ac:dyDescent="0.25">
      <c r="B1799" s="1859">
        <f t="shared" si="138"/>
        <v>2018</v>
      </c>
      <c r="C1799" s="1859">
        <f t="shared" si="139"/>
        <v>6</v>
      </c>
      <c r="D1799" s="1860">
        <f t="shared" si="140"/>
        <v>43258</v>
      </c>
      <c r="E1799" s="1861">
        <v>43258</v>
      </c>
      <c r="F1799" s="1862"/>
      <c r="G1799" s="1862"/>
      <c r="H1799" s="1862"/>
      <c r="I1799" s="1862">
        <f>Tabla1[[#This Row],[Extraccion
Norte II]]+Tabla1[[#This Row],[Extraccion
ENO]]</f>
        <v>0</v>
      </c>
      <c r="J1799" s="1862"/>
      <c r="K1799" s="1862"/>
      <c r="L1799" s="1862">
        <f t="shared" si="137"/>
        <v>0</v>
      </c>
      <c r="M1799" s="1862">
        <f>M1798+Tabla1[[#This Row],[Desbalance
TPL]]</f>
        <v>-673433.8428743222</v>
      </c>
    </row>
    <row r="1800" spans="2:13" x14ac:dyDescent="0.25">
      <c r="B1800" s="1859">
        <f t="shared" si="138"/>
        <v>2018</v>
      </c>
      <c r="C1800" s="1859">
        <f t="shared" si="139"/>
        <v>6</v>
      </c>
      <c r="D1800" s="1860">
        <f t="shared" si="140"/>
        <v>43259</v>
      </c>
      <c r="E1800" s="1861">
        <v>43259</v>
      </c>
      <c r="F1800" s="1862"/>
      <c r="G1800" s="1862"/>
      <c r="H1800" s="1862"/>
      <c r="I1800" s="1862">
        <f>Tabla1[[#This Row],[Extraccion
Norte II]]+Tabla1[[#This Row],[Extraccion
ENO]]</f>
        <v>0</v>
      </c>
      <c r="J1800" s="1862"/>
      <c r="K1800" s="1862"/>
      <c r="L1800" s="1862">
        <f t="shared" si="137"/>
        <v>0</v>
      </c>
      <c r="M1800" s="1862">
        <f>M1799+Tabla1[[#This Row],[Desbalance
TPL]]</f>
        <v>-673433.8428743222</v>
      </c>
    </row>
    <row r="1801" spans="2:13" x14ac:dyDescent="0.25">
      <c r="B1801" s="1859">
        <f t="shared" si="138"/>
        <v>2018</v>
      </c>
      <c r="C1801" s="1859">
        <f t="shared" si="139"/>
        <v>6</v>
      </c>
      <c r="D1801" s="1860">
        <f t="shared" si="140"/>
        <v>43260</v>
      </c>
      <c r="E1801" s="1861">
        <v>43260</v>
      </c>
      <c r="F1801" s="1862"/>
      <c r="G1801" s="1862"/>
      <c r="H1801" s="1862"/>
      <c r="I1801" s="1862">
        <f>Tabla1[[#This Row],[Extraccion
Norte II]]+Tabla1[[#This Row],[Extraccion
ENO]]</f>
        <v>0</v>
      </c>
      <c r="J1801" s="1862"/>
      <c r="K1801" s="1862"/>
      <c r="L1801" s="1862">
        <f t="shared" si="137"/>
        <v>0</v>
      </c>
      <c r="M1801" s="1862">
        <f>M1800+Tabla1[[#This Row],[Desbalance
TPL]]</f>
        <v>-673433.8428743222</v>
      </c>
    </row>
    <row r="1802" spans="2:13" x14ac:dyDescent="0.25">
      <c r="B1802" s="1859">
        <f t="shared" si="138"/>
        <v>2018</v>
      </c>
      <c r="C1802" s="1859">
        <f t="shared" si="139"/>
        <v>6</v>
      </c>
      <c r="D1802" s="1860">
        <f t="shared" si="140"/>
        <v>43261</v>
      </c>
      <c r="E1802" s="1861">
        <v>43261</v>
      </c>
      <c r="F1802" s="1862"/>
      <c r="G1802" s="1862"/>
      <c r="H1802" s="1862"/>
      <c r="I1802" s="1862">
        <f>Tabla1[[#This Row],[Extraccion
Norte II]]+Tabla1[[#This Row],[Extraccion
ENO]]</f>
        <v>0</v>
      </c>
      <c r="J1802" s="1862"/>
      <c r="K1802" s="1862"/>
      <c r="L1802" s="1862">
        <f t="shared" si="137"/>
        <v>0</v>
      </c>
      <c r="M1802" s="1862">
        <f>M1801+Tabla1[[#This Row],[Desbalance
TPL]]</f>
        <v>-673433.8428743222</v>
      </c>
    </row>
    <row r="1803" spans="2:13" x14ac:dyDescent="0.25">
      <c r="B1803" s="1859">
        <f t="shared" si="138"/>
        <v>2018</v>
      </c>
      <c r="C1803" s="1859">
        <f t="shared" si="139"/>
        <v>6</v>
      </c>
      <c r="D1803" s="1860">
        <f t="shared" si="140"/>
        <v>43262</v>
      </c>
      <c r="E1803" s="1861">
        <v>43262</v>
      </c>
      <c r="F1803" s="1862"/>
      <c r="G1803" s="1862"/>
      <c r="H1803" s="1862"/>
      <c r="I1803" s="1862">
        <f>Tabla1[[#This Row],[Extraccion
Norte II]]+Tabla1[[#This Row],[Extraccion
ENO]]</f>
        <v>0</v>
      </c>
      <c r="J1803" s="1862"/>
      <c r="K1803" s="1862"/>
      <c r="L1803" s="1862">
        <f t="shared" si="137"/>
        <v>0</v>
      </c>
      <c r="M1803" s="1862">
        <f>M1802+Tabla1[[#This Row],[Desbalance
TPL]]</f>
        <v>-673433.8428743222</v>
      </c>
    </row>
    <row r="1804" spans="2:13" x14ac:dyDescent="0.25">
      <c r="B1804" s="1859">
        <f t="shared" si="138"/>
        <v>2018</v>
      </c>
      <c r="C1804" s="1859">
        <f t="shared" si="139"/>
        <v>6</v>
      </c>
      <c r="D1804" s="1860">
        <f t="shared" si="140"/>
        <v>43263</v>
      </c>
      <c r="E1804" s="1861">
        <v>43263</v>
      </c>
      <c r="F1804" s="1862"/>
      <c r="G1804" s="1862"/>
      <c r="H1804" s="1862"/>
      <c r="I1804" s="1862">
        <f>Tabla1[[#This Row],[Extraccion
Norte II]]+Tabla1[[#This Row],[Extraccion
ENO]]</f>
        <v>0</v>
      </c>
      <c r="J1804" s="1862"/>
      <c r="K1804" s="1862"/>
      <c r="L1804" s="1862">
        <f t="shared" ref="L1804:L1867" si="141">H1804-I1804</f>
        <v>0</v>
      </c>
      <c r="M1804" s="1862">
        <f>M1803+Tabla1[[#This Row],[Desbalance
TPL]]</f>
        <v>-673433.8428743222</v>
      </c>
    </row>
    <row r="1805" spans="2:13" x14ac:dyDescent="0.25">
      <c r="B1805" s="1859">
        <f t="shared" si="138"/>
        <v>2018</v>
      </c>
      <c r="C1805" s="1859">
        <f t="shared" si="139"/>
        <v>6</v>
      </c>
      <c r="D1805" s="1860">
        <f t="shared" si="140"/>
        <v>43264</v>
      </c>
      <c r="E1805" s="1861">
        <v>43264</v>
      </c>
      <c r="F1805" s="1862"/>
      <c r="G1805" s="1862"/>
      <c r="H1805" s="1862"/>
      <c r="I1805" s="1862">
        <f>Tabla1[[#This Row],[Extraccion
Norte II]]+Tabla1[[#This Row],[Extraccion
ENO]]</f>
        <v>0</v>
      </c>
      <c r="J1805" s="1862"/>
      <c r="K1805" s="1862"/>
      <c r="L1805" s="1862">
        <f t="shared" si="141"/>
        <v>0</v>
      </c>
      <c r="M1805" s="1862">
        <f>M1804+Tabla1[[#This Row],[Desbalance
TPL]]</f>
        <v>-673433.8428743222</v>
      </c>
    </row>
    <row r="1806" spans="2:13" x14ac:dyDescent="0.25">
      <c r="B1806" s="1859">
        <f t="shared" si="138"/>
        <v>2018</v>
      </c>
      <c r="C1806" s="1859">
        <f t="shared" si="139"/>
        <v>6</v>
      </c>
      <c r="D1806" s="1860">
        <f t="shared" si="140"/>
        <v>43265</v>
      </c>
      <c r="E1806" s="1861">
        <v>43265</v>
      </c>
      <c r="F1806" s="1862"/>
      <c r="G1806" s="1862"/>
      <c r="H1806" s="1862"/>
      <c r="I1806" s="1862">
        <f>Tabla1[[#This Row],[Extraccion
Norte II]]+Tabla1[[#This Row],[Extraccion
ENO]]</f>
        <v>0</v>
      </c>
      <c r="J1806" s="1862"/>
      <c r="K1806" s="1862"/>
      <c r="L1806" s="1862">
        <f t="shared" si="141"/>
        <v>0</v>
      </c>
      <c r="M1806" s="1862">
        <f>M1805+Tabla1[[#This Row],[Desbalance
TPL]]</f>
        <v>-673433.8428743222</v>
      </c>
    </row>
    <row r="1807" spans="2:13" x14ac:dyDescent="0.25">
      <c r="B1807" s="1859">
        <f t="shared" si="138"/>
        <v>2018</v>
      </c>
      <c r="C1807" s="1859">
        <f t="shared" si="139"/>
        <v>6</v>
      </c>
      <c r="D1807" s="1860">
        <f t="shared" si="140"/>
        <v>43266</v>
      </c>
      <c r="E1807" s="1861">
        <v>43266</v>
      </c>
      <c r="F1807" s="1862"/>
      <c r="G1807" s="1862"/>
      <c r="H1807" s="1862"/>
      <c r="I1807" s="1862">
        <f>Tabla1[[#This Row],[Extraccion
Norte II]]+Tabla1[[#This Row],[Extraccion
ENO]]</f>
        <v>0</v>
      </c>
      <c r="J1807" s="1862"/>
      <c r="K1807" s="1862"/>
      <c r="L1807" s="1862">
        <f t="shared" si="141"/>
        <v>0</v>
      </c>
      <c r="M1807" s="1862">
        <f>M1806+Tabla1[[#This Row],[Desbalance
TPL]]</f>
        <v>-673433.8428743222</v>
      </c>
    </row>
    <row r="1808" spans="2:13" x14ac:dyDescent="0.25">
      <c r="B1808" s="1859">
        <f t="shared" si="138"/>
        <v>2018</v>
      </c>
      <c r="C1808" s="1859">
        <f t="shared" si="139"/>
        <v>6</v>
      </c>
      <c r="D1808" s="1860">
        <f t="shared" si="140"/>
        <v>43267</v>
      </c>
      <c r="E1808" s="1861">
        <v>43267</v>
      </c>
      <c r="F1808" s="1862"/>
      <c r="G1808" s="1862"/>
      <c r="H1808" s="1862"/>
      <c r="I1808" s="1862">
        <f>Tabla1[[#This Row],[Extraccion
Norte II]]+Tabla1[[#This Row],[Extraccion
ENO]]</f>
        <v>0</v>
      </c>
      <c r="J1808" s="1862"/>
      <c r="K1808" s="1862"/>
      <c r="L1808" s="1862">
        <f t="shared" si="141"/>
        <v>0</v>
      </c>
      <c r="M1808" s="1862">
        <f>M1807+Tabla1[[#This Row],[Desbalance
TPL]]</f>
        <v>-673433.8428743222</v>
      </c>
    </row>
    <row r="1809" spans="2:13" x14ac:dyDescent="0.25">
      <c r="B1809" s="1859">
        <f t="shared" si="138"/>
        <v>2018</v>
      </c>
      <c r="C1809" s="1859">
        <f t="shared" si="139"/>
        <v>6</v>
      </c>
      <c r="D1809" s="1860">
        <f t="shared" si="140"/>
        <v>43268</v>
      </c>
      <c r="E1809" s="1861">
        <v>43268</v>
      </c>
      <c r="F1809" s="1862"/>
      <c r="G1809" s="1862"/>
      <c r="H1809" s="1862"/>
      <c r="I1809" s="1862">
        <f>Tabla1[[#This Row],[Extraccion
Norte II]]+Tabla1[[#This Row],[Extraccion
ENO]]</f>
        <v>0</v>
      </c>
      <c r="J1809" s="1862"/>
      <c r="K1809" s="1862"/>
      <c r="L1809" s="1862">
        <f t="shared" si="141"/>
        <v>0</v>
      </c>
      <c r="M1809" s="1862">
        <f>M1808+Tabla1[[#This Row],[Desbalance
TPL]]</f>
        <v>-673433.8428743222</v>
      </c>
    </row>
    <row r="1810" spans="2:13" x14ac:dyDescent="0.25">
      <c r="B1810" s="1859">
        <f t="shared" si="138"/>
        <v>2018</v>
      </c>
      <c r="C1810" s="1859">
        <f t="shared" si="139"/>
        <v>6</v>
      </c>
      <c r="D1810" s="1860">
        <f t="shared" si="140"/>
        <v>43269</v>
      </c>
      <c r="E1810" s="1861">
        <v>43269</v>
      </c>
      <c r="F1810" s="1862"/>
      <c r="G1810" s="1862"/>
      <c r="H1810" s="1862"/>
      <c r="I1810" s="1862">
        <f>Tabla1[[#This Row],[Extraccion
Norte II]]+Tabla1[[#This Row],[Extraccion
ENO]]</f>
        <v>0</v>
      </c>
      <c r="J1810" s="1862"/>
      <c r="K1810" s="1862"/>
      <c r="L1810" s="1862">
        <f t="shared" si="141"/>
        <v>0</v>
      </c>
      <c r="M1810" s="1862">
        <f>M1809+Tabla1[[#This Row],[Desbalance
TPL]]</f>
        <v>-673433.8428743222</v>
      </c>
    </row>
    <row r="1811" spans="2:13" x14ac:dyDescent="0.25">
      <c r="B1811" s="1859">
        <f t="shared" si="138"/>
        <v>2018</v>
      </c>
      <c r="C1811" s="1859">
        <f t="shared" si="139"/>
        <v>6</v>
      </c>
      <c r="D1811" s="1860">
        <f t="shared" si="140"/>
        <v>43270</v>
      </c>
      <c r="E1811" s="1861">
        <v>43270</v>
      </c>
      <c r="F1811" s="1862"/>
      <c r="G1811" s="1862"/>
      <c r="H1811" s="1862"/>
      <c r="I1811" s="1862">
        <f>Tabla1[[#This Row],[Extraccion
Norte II]]+Tabla1[[#This Row],[Extraccion
ENO]]</f>
        <v>0</v>
      </c>
      <c r="J1811" s="1862"/>
      <c r="K1811" s="1862"/>
      <c r="L1811" s="1862">
        <f t="shared" si="141"/>
        <v>0</v>
      </c>
      <c r="M1811" s="1862">
        <f>M1810+Tabla1[[#This Row],[Desbalance
TPL]]</f>
        <v>-673433.8428743222</v>
      </c>
    </row>
    <row r="1812" spans="2:13" x14ac:dyDescent="0.25">
      <c r="B1812" s="1859">
        <f t="shared" si="138"/>
        <v>2018</v>
      </c>
      <c r="C1812" s="1859">
        <f t="shared" si="139"/>
        <v>6</v>
      </c>
      <c r="D1812" s="1860">
        <f t="shared" si="140"/>
        <v>43271</v>
      </c>
      <c r="E1812" s="1861">
        <v>43271</v>
      </c>
      <c r="F1812" s="1862"/>
      <c r="G1812" s="1862"/>
      <c r="H1812" s="1862"/>
      <c r="I1812" s="1862">
        <f>Tabla1[[#This Row],[Extraccion
Norte II]]+Tabla1[[#This Row],[Extraccion
ENO]]</f>
        <v>0</v>
      </c>
      <c r="J1812" s="1862"/>
      <c r="K1812" s="1862"/>
      <c r="L1812" s="1862">
        <f t="shared" si="141"/>
        <v>0</v>
      </c>
      <c r="M1812" s="1862">
        <f>M1811+Tabla1[[#This Row],[Desbalance
TPL]]</f>
        <v>-673433.8428743222</v>
      </c>
    </row>
    <row r="1813" spans="2:13" x14ac:dyDescent="0.25">
      <c r="B1813" s="1859">
        <f t="shared" si="138"/>
        <v>2018</v>
      </c>
      <c r="C1813" s="1859">
        <f t="shared" si="139"/>
        <v>6</v>
      </c>
      <c r="D1813" s="1860">
        <f t="shared" si="140"/>
        <v>43272</v>
      </c>
      <c r="E1813" s="1861">
        <v>43272</v>
      </c>
      <c r="F1813" s="1862"/>
      <c r="G1813" s="1862"/>
      <c r="H1813" s="1862"/>
      <c r="I1813" s="1862">
        <f>Tabla1[[#This Row],[Extraccion
Norte II]]+Tabla1[[#This Row],[Extraccion
ENO]]</f>
        <v>0</v>
      </c>
      <c r="J1813" s="1862"/>
      <c r="K1813" s="1862"/>
      <c r="L1813" s="1862">
        <f t="shared" si="141"/>
        <v>0</v>
      </c>
      <c r="M1813" s="1862">
        <f>M1812+Tabla1[[#This Row],[Desbalance
TPL]]</f>
        <v>-673433.8428743222</v>
      </c>
    </row>
    <row r="1814" spans="2:13" x14ac:dyDescent="0.25">
      <c r="B1814" s="1859">
        <f t="shared" si="138"/>
        <v>2018</v>
      </c>
      <c r="C1814" s="1859">
        <f t="shared" si="139"/>
        <v>6</v>
      </c>
      <c r="D1814" s="1860">
        <f t="shared" si="140"/>
        <v>43273</v>
      </c>
      <c r="E1814" s="1861">
        <v>43273</v>
      </c>
      <c r="F1814" s="1862"/>
      <c r="G1814" s="1862"/>
      <c r="H1814" s="1862"/>
      <c r="I1814" s="1862">
        <f>Tabla1[[#This Row],[Extraccion
Norte II]]+Tabla1[[#This Row],[Extraccion
ENO]]</f>
        <v>0</v>
      </c>
      <c r="J1814" s="1862"/>
      <c r="K1814" s="1862"/>
      <c r="L1814" s="1862">
        <f t="shared" si="141"/>
        <v>0</v>
      </c>
      <c r="M1814" s="1862">
        <f>M1813+Tabla1[[#This Row],[Desbalance
TPL]]</f>
        <v>-673433.8428743222</v>
      </c>
    </row>
    <row r="1815" spans="2:13" x14ac:dyDescent="0.25">
      <c r="B1815" s="1859">
        <f t="shared" si="138"/>
        <v>2018</v>
      </c>
      <c r="C1815" s="1859">
        <f t="shared" si="139"/>
        <v>6</v>
      </c>
      <c r="D1815" s="1860">
        <f t="shared" si="140"/>
        <v>43274</v>
      </c>
      <c r="E1815" s="1861">
        <v>43274</v>
      </c>
      <c r="F1815" s="1862"/>
      <c r="G1815" s="1862"/>
      <c r="H1815" s="1862"/>
      <c r="I1815" s="1862">
        <f>Tabla1[[#This Row],[Extraccion
Norte II]]+Tabla1[[#This Row],[Extraccion
ENO]]</f>
        <v>0</v>
      </c>
      <c r="J1815" s="1862"/>
      <c r="K1815" s="1862"/>
      <c r="L1815" s="1862">
        <f t="shared" si="141"/>
        <v>0</v>
      </c>
      <c r="M1815" s="1862">
        <f>M1814+Tabla1[[#This Row],[Desbalance
TPL]]</f>
        <v>-673433.8428743222</v>
      </c>
    </row>
    <row r="1816" spans="2:13" x14ac:dyDescent="0.25">
      <c r="B1816" s="1859">
        <f t="shared" si="138"/>
        <v>2018</v>
      </c>
      <c r="C1816" s="1859">
        <f t="shared" si="139"/>
        <v>6</v>
      </c>
      <c r="D1816" s="1860">
        <f t="shared" si="140"/>
        <v>43275</v>
      </c>
      <c r="E1816" s="1861">
        <v>43275</v>
      </c>
      <c r="F1816" s="1862"/>
      <c r="G1816" s="1862"/>
      <c r="H1816" s="1862"/>
      <c r="I1816" s="1862">
        <f>Tabla1[[#This Row],[Extraccion
Norte II]]+Tabla1[[#This Row],[Extraccion
ENO]]</f>
        <v>0</v>
      </c>
      <c r="J1816" s="1862"/>
      <c r="K1816" s="1862"/>
      <c r="L1816" s="1862">
        <f t="shared" si="141"/>
        <v>0</v>
      </c>
      <c r="M1816" s="1862">
        <f>M1815+Tabla1[[#This Row],[Desbalance
TPL]]</f>
        <v>-673433.8428743222</v>
      </c>
    </row>
    <row r="1817" spans="2:13" x14ac:dyDescent="0.25">
      <c r="B1817" s="1859">
        <f t="shared" si="138"/>
        <v>2018</v>
      </c>
      <c r="C1817" s="1859">
        <f t="shared" si="139"/>
        <v>6</v>
      </c>
      <c r="D1817" s="1860">
        <f t="shared" si="140"/>
        <v>43276</v>
      </c>
      <c r="E1817" s="1861">
        <v>43276</v>
      </c>
      <c r="F1817" s="1862"/>
      <c r="G1817" s="1862"/>
      <c r="H1817" s="1862"/>
      <c r="I1817" s="1862">
        <f>Tabla1[[#This Row],[Extraccion
Norte II]]+Tabla1[[#This Row],[Extraccion
ENO]]</f>
        <v>0</v>
      </c>
      <c r="J1817" s="1862"/>
      <c r="K1817" s="1862"/>
      <c r="L1817" s="1862">
        <f t="shared" si="141"/>
        <v>0</v>
      </c>
      <c r="M1817" s="1862">
        <f>M1816+Tabla1[[#This Row],[Desbalance
TPL]]</f>
        <v>-673433.8428743222</v>
      </c>
    </row>
    <row r="1818" spans="2:13" x14ac:dyDescent="0.25">
      <c r="B1818" s="1859">
        <f t="shared" si="138"/>
        <v>2018</v>
      </c>
      <c r="C1818" s="1859">
        <f t="shared" si="139"/>
        <v>6</v>
      </c>
      <c r="D1818" s="1860">
        <f t="shared" si="140"/>
        <v>43277</v>
      </c>
      <c r="E1818" s="1861">
        <v>43277</v>
      </c>
      <c r="F1818" s="1862"/>
      <c r="G1818" s="1862"/>
      <c r="H1818" s="1862"/>
      <c r="I1818" s="1862">
        <f>Tabla1[[#This Row],[Extraccion
Norte II]]+Tabla1[[#This Row],[Extraccion
ENO]]</f>
        <v>0</v>
      </c>
      <c r="J1818" s="1862"/>
      <c r="K1818" s="1862"/>
      <c r="L1818" s="1862">
        <f t="shared" si="141"/>
        <v>0</v>
      </c>
      <c r="M1818" s="1862">
        <f>M1817+Tabla1[[#This Row],[Desbalance
TPL]]</f>
        <v>-673433.8428743222</v>
      </c>
    </row>
    <row r="1819" spans="2:13" x14ac:dyDescent="0.25">
      <c r="B1819" s="1859">
        <f t="shared" si="138"/>
        <v>2018</v>
      </c>
      <c r="C1819" s="1859">
        <f t="shared" si="139"/>
        <v>6</v>
      </c>
      <c r="D1819" s="1860">
        <f t="shared" si="140"/>
        <v>43278</v>
      </c>
      <c r="E1819" s="1861">
        <v>43278</v>
      </c>
      <c r="F1819" s="1862"/>
      <c r="G1819" s="1862"/>
      <c r="H1819" s="1862"/>
      <c r="I1819" s="1862">
        <f>Tabla1[[#This Row],[Extraccion
Norte II]]+Tabla1[[#This Row],[Extraccion
ENO]]</f>
        <v>0</v>
      </c>
      <c r="J1819" s="1862"/>
      <c r="K1819" s="1862"/>
      <c r="L1819" s="1862">
        <f t="shared" si="141"/>
        <v>0</v>
      </c>
      <c r="M1819" s="1862">
        <f>M1818+Tabla1[[#This Row],[Desbalance
TPL]]</f>
        <v>-673433.8428743222</v>
      </c>
    </row>
    <row r="1820" spans="2:13" x14ac:dyDescent="0.25">
      <c r="B1820" s="1859">
        <f t="shared" si="138"/>
        <v>2018</v>
      </c>
      <c r="C1820" s="1859">
        <f t="shared" si="139"/>
        <v>6</v>
      </c>
      <c r="D1820" s="1860">
        <f t="shared" si="140"/>
        <v>43279</v>
      </c>
      <c r="E1820" s="1861">
        <v>43279</v>
      </c>
      <c r="F1820" s="1862"/>
      <c r="G1820" s="1862"/>
      <c r="H1820" s="1862"/>
      <c r="I1820" s="1862">
        <f>Tabla1[[#This Row],[Extraccion
Norte II]]+Tabla1[[#This Row],[Extraccion
ENO]]</f>
        <v>0</v>
      </c>
      <c r="J1820" s="1862"/>
      <c r="K1820" s="1862"/>
      <c r="L1820" s="1862">
        <f t="shared" si="141"/>
        <v>0</v>
      </c>
      <c r="M1820" s="1862">
        <f>M1819+Tabla1[[#This Row],[Desbalance
TPL]]</f>
        <v>-673433.8428743222</v>
      </c>
    </row>
    <row r="1821" spans="2:13" x14ac:dyDescent="0.25">
      <c r="B1821" s="1859">
        <f t="shared" si="138"/>
        <v>2018</v>
      </c>
      <c r="C1821" s="1859">
        <f t="shared" si="139"/>
        <v>6</v>
      </c>
      <c r="D1821" s="1860">
        <f t="shared" si="140"/>
        <v>43280</v>
      </c>
      <c r="E1821" s="1861">
        <v>43280</v>
      </c>
      <c r="F1821" s="1862"/>
      <c r="G1821" s="1862"/>
      <c r="H1821" s="1862"/>
      <c r="I1821" s="1862">
        <f>Tabla1[[#This Row],[Extraccion
Norte II]]+Tabla1[[#This Row],[Extraccion
ENO]]</f>
        <v>0</v>
      </c>
      <c r="J1821" s="1862"/>
      <c r="K1821" s="1862"/>
      <c r="L1821" s="1862">
        <f t="shared" si="141"/>
        <v>0</v>
      </c>
      <c r="M1821" s="1862">
        <f>M1820+Tabla1[[#This Row],[Desbalance
TPL]]</f>
        <v>-673433.8428743222</v>
      </c>
    </row>
    <row r="1822" spans="2:13" x14ac:dyDescent="0.25">
      <c r="B1822" s="1859">
        <f t="shared" si="138"/>
        <v>2018</v>
      </c>
      <c r="C1822" s="1859">
        <f t="shared" si="139"/>
        <v>6</v>
      </c>
      <c r="D1822" s="1860">
        <f t="shared" si="140"/>
        <v>43281</v>
      </c>
      <c r="E1822" s="1861">
        <v>43281</v>
      </c>
      <c r="F1822" s="1862"/>
      <c r="G1822" s="1862"/>
      <c r="H1822" s="1862"/>
      <c r="I1822" s="1862">
        <f>Tabla1[[#This Row],[Extraccion
Norte II]]+Tabla1[[#This Row],[Extraccion
ENO]]</f>
        <v>0</v>
      </c>
      <c r="J1822" s="1862"/>
      <c r="K1822" s="1862"/>
      <c r="L1822" s="1862">
        <f t="shared" si="141"/>
        <v>0</v>
      </c>
      <c r="M1822" s="1862">
        <f>M1821+Tabla1[[#This Row],[Desbalance
TPL]]</f>
        <v>-673433.8428743222</v>
      </c>
    </row>
    <row r="1823" spans="2:13" x14ac:dyDescent="0.25">
      <c r="B1823" s="1859">
        <f t="shared" si="138"/>
        <v>2018</v>
      </c>
      <c r="C1823" s="1859">
        <f t="shared" si="139"/>
        <v>7</v>
      </c>
      <c r="D1823" s="1860">
        <f t="shared" si="140"/>
        <v>43282</v>
      </c>
      <c r="E1823" s="1861">
        <v>43282</v>
      </c>
      <c r="F1823" s="1862"/>
      <c r="G1823" s="1862"/>
      <c r="H1823" s="1862"/>
      <c r="I1823" s="1862">
        <f>Tabla1[[#This Row],[Extraccion
Norte II]]+Tabla1[[#This Row],[Extraccion
ENO]]</f>
        <v>0</v>
      </c>
      <c r="J1823" s="1862"/>
      <c r="K1823" s="1862"/>
      <c r="L1823" s="1862">
        <f t="shared" si="141"/>
        <v>0</v>
      </c>
      <c r="M1823" s="1862">
        <f>M1822+Tabla1[[#This Row],[Desbalance
TPL]]</f>
        <v>-673433.8428743222</v>
      </c>
    </row>
    <row r="1824" spans="2:13" x14ac:dyDescent="0.25">
      <c r="B1824" s="1859">
        <f t="shared" si="138"/>
        <v>2018</v>
      </c>
      <c r="C1824" s="1859">
        <f t="shared" si="139"/>
        <v>7</v>
      </c>
      <c r="D1824" s="1860">
        <f t="shared" si="140"/>
        <v>43283</v>
      </c>
      <c r="E1824" s="1861">
        <v>43283</v>
      </c>
      <c r="F1824" s="1862"/>
      <c r="G1824" s="1862"/>
      <c r="H1824" s="1862"/>
      <c r="I1824" s="1862">
        <f>Tabla1[[#This Row],[Extraccion
Norte II]]+Tabla1[[#This Row],[Extraccion
ENO]]</f>
        <v>0</v>
      </c>
      <c r="J1824" s="1862"/>
      <c r="K1824" s="1862"/>
      <c r="L1824" s="1862">
        <f t="shared" si="141"/>
        <v>0</v>
      </c>
      <c r="M1824" s="1862">
        <f>M1823+Tabla1[[#This Row],[Desbalance
TPL]]</f>
        <v>-673433.8428743222</v>
      </c>
    </row>
    <row r="1825" spans="2:13" x14ac:dyDescent="0.25">
      <c r="B1825" s="1859">
        <f t="shared" si="138"/>
        <v>2018</v>
      </c>
      <c r="C1825" s="1859">
        <f t="shared" si="139"/>
        <v>7</v>
      </c>
      <c r="D1825" s="1860">
        <f t="shared" si="140"/>
        <v>43284</v>
      </c>
      <c r="E1825" s="1861">
        <v>43284</v>
      </c>
      <c r="F1825" s="1862"/>
      <c r="G1825" s="1862"/>
      <c r="H1825" s="1862"/>
      <c r="I1825" s="1862">
        <f>Tabla1[[#This Row],[Extraccion
Norte II]]+Tabla1[[#This Row],[Extraccion
ENO]]</f>
        <v>0</v>
      </c>
      <c r="J1825" s="1862"/>
      <c r="K1825" s="1862"/>
      <c r="L1825" s="1862">
        <f t="shared" si="141"/>
        <v>0</v>
      </c>
      <c r="M1825" s="1862">
        <f>M1824+Tabla1[[#This Row],[Desbalance
TPL]]</f>
        <v>-673433.8428743222</v>
      </c>
    </row>
    <row r="1826" spans="2:13" x14ac:dyDescent="0.25">
      <c r="B1826" s="1859">
        <f t="shared" si="138"/>
        <v>2018</v>
      </c>
      <c r="C1826" s="1859">
        <f t="shared" si="139"/>
        <v>7</v>
      </c>
      <c r="D1826" s="1860">
        <f t="shared" si="140"/>
        <v>43285</v>
      </c>
      <c r="E1826" s="1861">
        <v>43285</v>
      </c>
      <c r="F1826" s="1862"/>
      <c r="G1826" s="1862"/>
      <c r="H1826" s="1862"/>
      <c r="I1826" s="1862">
        <f>Tabla1[[#This Row],[Extraccion
Norte II]]+Tabla1[[#This Row],[Extraccion
ENO]]</f>
        <v>0</v>
      </c>
      <c r="J1826" s="1862"/>
      <c r="K1826" s="1862"/>
      <c r="L1826" s="1862">
        <f t="shared" si="141"/>
        <v>0</v>
      </c>
      <c r="M1826" s="1862">
        <f>M1825+Tabla1[[#This Row],[Desbalance
TPL]]</f>
        <v>-673433.8428743222</v>
      </c>
    </row>
    <row r="1827" spans="2:13" x14ac:dyDescent="0.25">
      <c r="B1827" s="1859">
        <f t="shared" si="138"/>
        <v>2018</v>
      </c>
      <c r="C1827" s="1859">
        <f t="shared" si="139"/>
        <v>7</v>
      </c>
      <c r="D1827" s="1860">
        <f t="shared" si="140"/>
        <v>43286</v>
      </c>
      <c r="E1827" s="1861">
        <v>43286</v>
      </c>
      <c r="F1827" s="1862"/>
      <c r="G1827" s="1862"/>
      <c r="H1827" s="1862"/>
      <c r="I1827" s="1862">
        <f>Tabla1[[#This Row],[Extraccion
Norte II]]+Tabla1[[#This Row],[Extraccion
ENO]]</f>
        <v>0</v>
      </c>
      <c r="J1827" s="1862"/>
      <c r="K1827" s="1862"/>
      <c r="L1827" s="1862">
        <f t="shared" si="141"/>
        <v>0</v>
      </c>
      <c r="M1827" s="1862">
        <f>M1826+Tabla1[[#This Row],[Desbalance
TPL]]</f>
        <v>-673433.8428743222</v>
      </c>
    </row>
    <row r="1828" spans="2:13" x14ac:dyDescent="0.25">
      <c r="B1828" s="1859">
        <f t="shared" si="138"/>
        <v>2018</v>
      </c>
      <c r="C1828" s="1859">
        <f t="shared" si="139"/>
        <v>7</v>
      </c>
      <c r="D1828" s="1860">
        <f t="shared" si="140"/>
        <v>43287</v>
      </c>
      <c r="E1828" s="1861">
        <v>43287</v>
      </c>
      <c r="F1828" s="1862"/>
      <c r="G1828" s="1862"/>
      <c r="H1828" s="1862"/>
      <c r="I1828" s="1862">
        <f>Tabla1[[#This Row],[Extraccion
Norte II]]+Tabla1[[#This Row],[Extraccion
ENO]]</f>
        <v>0</v>
      </c>
      <c r="J1828" s="1862"/>
      <c r="K1828" s="1862"/>
      <c r="L1828" s="1862">
        <f t="shared" si="141"/>
        <v>0</v>
      </c>
      <c r="M1828" s="1862">
        <f>M1827+Tabla1[[#This Row],[Desbalance
TPL]]</f>
        <v>-673433.8428743222</v>
      </c>
    </row>
    <row r="1829" spans="2:13" x14ac:dyDescent="0.25">
      <c r="B1829" s="1859">
        <f t="shared" si="138"/>
        <v>2018</v>
      </c>
      <c r="C1829" s="1859">
        <f t="shared" si="139"/>
        <v>7</v>
      </c>
      <c r="D1829" s="1860">
        <f t="shared" si="140"/>
        <v>43288</v>
      </c>
      <c r="E1829" s="1861">
        <v>43288</v>
      </c>
      <c r="F1829" s="1862"/>
      <c r="G1829" s="1862"/>
      <c r="H1829" s="1862"/>
      <c r="I1829" s="1862">
        <f>Tabla1[[#This Row],[Extraccion
Norte II]]+Tabla1[[#This Row],[Extraccion
ENO]]</f>
        <v>0</v>
      </c>
      <c r="J1829" s="1862"/>
      <c r="K1829" s="1862"/>
      <c r="L1829" s="1862">
        <f t="shared" si="141"/>
        <v>0</v>
      </c>
      <c r="M1829" s="1862">
        <f>M1828+Tabla1[[#This Row],[Desbalance
TPL]]</f>
        <v>-673433.8428743222</v>
      </c>
    </row>
    <row r="1830" spans="2:13" x14ac:dyDescent="0.25">
      <c r="B1830" s="1859">
        <f t="shared" si="138"/>
        <v>2018</v>
      </c>
      <c r="C1830" s="1859">
        <f t="shared" si="139"/>
        <v>7</v>
      </c>
      <c r="D1830" s="1860">
        <f t="shared" si="140"/>
        <v>43289</v>
      </c>
      <c r="E1830" s="1861">
        <v>43289</v>
      </c>
      <c r="F1830" s="1862"/>
      <c r="G1830" s="1862"/>
      <c r="H1830" s="1862"/>
      <c r="I1830" s="1862">
        <f>Tabla1[[#This Row],[Extraccion
Norte II]]+Tabla1[[#This Row],[Extraccion
ENO]]</f>
        <v>0</v>
      </c>
      <c r="J1830" s="1862"/>
      <c r="K1830" s="1862"/>
      <c r="L1830" s="1862">
        <f t="shared" si="141"/>
        <v>0</v>
      </c>
      <c r="M1830" s="1862">
        <f>M1829+Tabla1[[#This Row],[Desbalance
TPL]]</f>
        <v>-673433.8428743222</v>
      </c>
    </row>
    <row r="1831" spans="2:13" x14ac:dyDescent="0.25">
      <c r="B1831" s="1859">
        <f t="shared" si="138"/>
        <v>2018</v>
      </c>
      <c r="C1831" s="1859">
        <f t="shared" si="139"/>
        <v>7</v>
      </c>
      <c r="D1831" s="1860">
        <f t="shared" si="140"/>
        <v>43290</v>
      </c>
      <c r="E1831" s="1861">
        <v>43290</v>
      </c>
      <c r="F1831" s="1862"/>
      <c r="G1831" s="1862"/>
      <c r="H1831" s="1862"/>
      <c r="I1831" s="1862">
        <f>Tabla1[[#This Row],[Extraccion
Norte II]]+Tabla1[[#This Row],[Extraccion
ENO]]</f>
        <v>0</v>
      </c>
      <c r="J1831" s="1862"/>
      <c r="K1831" s="1862"/>
      <c r="L1831" s="1862">
        <f t="shared" si="141"/>
        <v>0</v>
      </c>
      <c r="M1831" s="1862">
        <f>M1830+Tabla1[[#This Row],[Desbalance
TPL]]</f>
        <v>-673433.8428743222</v>
      </c>
    </row>
    <row r="1832" spans="2:13" x14ac:dyDescent="0.25">
      <c r="B1832" s="1859">
        <f t="shared" si="138"/>
        <v>2018</v>
      </c>
      <c r="C1832" s="1859">
        <f t="shared" si="139"/>
        <v>7</v>
      </c>
      <c r="D1832" s="1860">
        <f t="shared" si="140"/>
        <v>43291</v>
      </c>
      <c r="E1832" s="1861">
        <v>43291</v>
      </c>
      <c r="F1832" s="1862"/>
      <c r="G1832" s="1862"/>
      <c r="H1832" s="1862"/>
      <c r="I1832" s="1862">
        <f>Tabla1[[#This Row],[Extraccion
Norte II]]+Tabla1[[#This Row],[Extraccion
ENO]]</f>
        <v>0</v>
      </c>
      <c r="J1832" s="1862"/>
      <c r="K1832" s="1862"/>
      <c r="L1832" s="1862">
        <f t="shared" si="141"/>
        <v>0</v>
      </c>
      <c r="M1832" s="1862">
        <f>M1831+Tabla1[[#This Row],[Desbalance
TPL]]</f>
        <v>-673433.8428743222</v>
      </c>
    </row>
    <row r="1833" spans="2:13" x14ac:dyDescent="0.25">
      <c r="B1833" s="1859">
        <f t="shared" si="138"/>
        <v>2018</v>
      </c>
      <c r="C1833" s="1859">
        <f t="shared" si="139"/>
        <v>7</v>
      </c>
      <c r="D1833" s="1860">
        <f t="shared" si="140"/>
        <v>43292</v>
      </c>
      <c r="E1833" s="1861">
        <v>43292</v>
      </c>
      <c r="F1833" s="1862"/>
      <c r="G1833" s="1862"/>
      <c r="H1833" s="1862"/>
      <c r="I1833" s="1862">
        <f>Tabla1[[#This Row],[Extraccion
Norte II]]+Tabla1[[#This Row],[Extraccion
ENO]]</f>
        <v>0</v>
      </c>
      <c r="J1833" s="1862"/>
      <c r="K1833" s="1862"/>
      <c r="L1833" s="1862">
        <f t="shared" si="141"/>
        <v>0</v>
      </c>
      <c r="M1833" s="1862">
        <f>M1832+Tabla1[[#This Row],[Desbalance
TPL]]</f>
        <v>-673433.8428743222</v>
      </c>
    </row>
    <row r="1834" spans="2:13" x14ac:dyDescent="0.25">
      <c r="B1834" s="1859">
        <f t="shared" si="138"/>
        <v>2018</v>
      </c>
      <c r="C1834" s="1859">
        <f t="shared" si="139"/>
        <v>7</v>
      </c>
      <c r="D1834" s="1860">
        <f t="shared" si="140"/>
        <v>43293</v>
      </c>
      <c r="E1834" s="1861">
        <v>43293</v>
      </c>
      <c r="F1834" s="1862"/>
      <c r="G1834" s="1862"/>
      <c r="H1834" s="1862"/>
      <c r="I1834" s="1862">
        <f>Tabla1[[#This Row],[Extraccion
Norte II]]+Tabla1[[#This Row],[Extraccion
ENO]]</f>
        <v>0</v>
      </c>
      <c r="J1834" s="1862"/>
      <c r="K1834" s="1862"/>
      <c r="L1834" s="1862">
        <f t="shared" si="141"/>
        <v>0</v>
      </c>
      <c r="M1834" s="1862">
        <f>M1833+Tabla1[[#This Row],[Desbalance
TPL]]</f>
        <v>-673433.8428743222</v>
      </c>
    </row>
    <row r="1835" spans="2:13" x14ac:dyDescent="0.25">
      <c r="B1835" s="1859">
        <f t="shared" si="138"/>
        <v>2018</v>
      </c>
      <c r="C1835" s="1859">
        <f t="shared" si="139"/>
        <v>7</v>
      </c>
      <c r="D1835" s="1860">
        <f t="shared" si="140"/>
        <v>43294</v>
      </c>
      <c r="E1835" s="1861">
        <v>43294</v>
      </c>
      <c r="F1835" s="1862"/>
      <c r="G1835" s="1862"/>
      <c r="H1835" s="1862"/>
      <c r="I1835" s="1862">
        <f>Tabla1[[#This Row],[Extraccion
Norte II]]+Tabla1[[#This Row],[Extraccion
ENO]]</f>
        <v>0</v>
      </c>
      <c r="J1835" s="1862"/>
      <c r="K1835" s="1862"/>
      <c r="L1835" s="1862">
        <f t="shared" si="141"/>
        <v>0</v>
      </c>
      <c r="M1835" s="1862">
        <f>M1834+Tabla1[[#This Row],[Desbalance
TPL]]</f>
        <v>-673433.8428743222</v>
      </c>
    </row>
    <row r="1836" spans="2:13" x14ac:dyDescent="0.25">
      <c r="B1836" s="1859">
        <f t="shared" si="138"/>
        <v>2018</v>
      </c>
      <c r="C1836" s="1859">
        <f t="shared" si="139"/>
        <v>7</v>
      </c>
      <c r="D1836" s="1860">
        <f t="shared" si="140"/>
        <v>43295</v>
      </c>
      <c r="E1836" s="1861">
        <v>43295</v>
      </c>
      <c r="F1836" s="1862"/>
      <c r="G1836" s="1862"/>
      <c r="H1836" s="1862"/>
      <c r="I1836" s="1862">
        <f>Tabla1[[#This Row],[Extraccion
Norte II]]+Tabla1[[#This Row],[Extraccion
ENO]]</f>
        <v>0</v>
      </c>
      <c r="J1836" s="1862"/>
      <c r="K1836" s="1862"/>
      <c r="L1836" s="1862">
        <f t="shared" si="141"/>
        <v>0</v>
      </c>
      <c r="M1836" s="1862">
        <f>M1835+Tabla1[[#This Row],[Desbalance
TPL]]</f>
        <v>-673433.8428743222</v>
      </c>
    </row>
    <row r="1837" spans="2:13" x14ac:dyDescent="0.25">
      <c r="B1837" s="1859">
        <f t="shared" si="138"/>
        <v>2018</v>
      </c>
      <c r="C1837" s="1859">
        <f t="shared" si="139"/>
        <v>7</v>
      </c>
      <c r="D1837" s="1860">
        <f t="shared" si="140"/>
        <v>43296</v>
      </c>
      <c r="E1837" s="1861">
        <v>43296</v>
      </c>
      <c r="F1837" s="1862"/>
      <c r="G1837" s="1862"/>
      <c r="H1837" s="1862"/>
      <c r="I1837" s="1862">
        <f>Tabla1[[#This Row],[Extraccion
Norte II]]+Tabla1[[#This Row],[Extraccion
ENO]]</f>
        <v>0</v>
      </c>
      <c r="J1837" s="1862"/>
      <c r="K1837" s="1862"/>
      <c r="L1837" s="1862">
        <f t="shared" si="141"/>
        <v>0</v>
      </c>
      <c r="M1837" s="1862">
        <f>M1836+Tabla1[[#This Row],[Desbalance
TPL]]</f>
        <v>-673433.8428743222</v>
      </c>
    </row>
    <row r="1838" spans="2:13" x14ac:dyDescent="0.25">
      <c r="B1838" s="1859">
        <f t="shared" si="138"/>
        <v>2018</v>
      </c>
      <c r="C1838" s="1859">
        <f t="shared" si="139"/>
        <v>7</v>
      </c>
      <c r="D1838" s="1860">
        <f t="shared" si="140"/>
        <v>43297</v>
      </c>
      <c r="E1838" s="1861">
        <v>43297</v>
      </c>
      <c r="F1838" s="1862"/>
      <c r="G1838" s="1862"/>
      <c r="H1838" s="1862"/>
      <c r="I1838" s="1862">
        <f>Tabla1[[#This Row],[Extraccion
Norte II]]+Tabla1[[#This Row],[Extraccion
ENO]]</f>
        <v>0</v>
      </c>
      <c r="J1838" s="1862"/>
      <c r="K1838" s="1862"/>
      <c r="L1838" s="1862">
        <f t="shared" si="141"/>
        <v>0</v>
      </c>
      <c r="M1838" s="1862">
        <f>M1837+Tabla1[[#This Row],[Desbalance
TPL]]</f>
        <v>-673433.8428743222</v>
      </c>
    </row>
    <row r="1839" spans="2:13" x14ac:dyDescent="0.25">
      <c r="B1839" s="1859">
        <f t="shared" si="138"/>
        <v>2018</v>
      </c>
      <c r="C1839" s="1859">
        <f t="shared" si="139"/>
        <v>7</v>
      </c>
      <c r="D1839" s="1860">
        <f t="shared" si="140"/>
        <v>43298</v>
      </c>
      <c r="E1839" s="1861">
        <v>43298</v>
      </c>
      <c r="F1839" s="1862"/>
      <c r="G1839" s="1862"/>
      <c r="H1839" s="1862"/>
      <c r="I1839" s="1862">
        <f>Tabla1[[#This Row],[Extraccion
Norte II]]+Tabla1[[#This Row],[Extraccion
ENO]]</f>
        <v>0</v>
      </c>
      <c r="J1839" s="1862"/>
      <c r="K1839" s="1862"/>
      <c r="L1839" s="1862">
        <f t="shared" si="141"/>
        <v>0</v>
      </c>
      <c r="M1839" s="1862">
        <f>M1838+Tabla1[[#This Row],[Desbalance
TPL]]</f>
        <v>-673433.8428743222</v>
      </c>
    </row>
    <row r="1840" spans="2:13" x14ac:dyDescent="0.25">
      <c r="B1840" s="1859">
        <f t="shared" si="138"/>
        <v>2018</v>
      </c>
      <c r="C1840" s="1859">
        <f t="shared" si="139"/>
        <v>7</v>
      </c>
      <c r="D1840" s="1860">
        <f t="shared" si="140"/>
        <v>43299</v>
      </c>
      <c r="E1840" s="1861">
        <v>43299</v>
      </c>
      <c r="F1840" s="1862"/>
      <c r="G1840" s="1862"/>
      <c r="H1840" s="1862"/>
      <c r="I1840" s="1862">
        <f>Tabla1[[#This Row],[Extraccion
Norte II]]+Tabla1[[#This Row],[Extraccion
ENO]]</f>
        <v>0</v>
      </c>
      <c r="J1840" s="1862"/>
      <c r="K1840" s="1862"/>
      <c r="L1840" s="1862">
        <f t="shared" si="141"/>
        <v>0</v>
      </c>
      <c r="M1840" s="1862">
        <f>M1839+Tabla1[[#This Row],[Desbalance
TPL]]</f>
        <v>-673433.8428743222</v>
      </c>
    </row>
    <row r="1841" spans="2:13" x14ac:dyDescent="0.25">
      <c r="B1841" s="1859">
        <f t="shared" si="138"/>
        <v>2018</v>
      </c>
      <c r="C1841" s="1859">
        <f t="shared" si="139"/>
        <v>7</v>
      </c>
      <c r="D1841" s="1860">
        <f t="shared" si="140"/>
        <v>43300</v>
      </c>
      <c r="E1841" s="1861">
        <v>43300</v>
      </c>
      <c r="F1841" s="1862"/>
      <c r="G1841" s="1862"/>
      <c r="H1841" s="1862"/>
      <c r="I1841" s="1862">
        <f>Tabla1[[#This Row],[Extraccion
Norte II]]+Tabla1[[#This Row],[Extraccion
ENO]]</f>
        <v>0</v>
      </c>
      <c r="J1841" s="1862"/>
      <c r="K1841" s="1862"/>
      <c r="L1841" s="1862">
        <f t="shared" si="141"/>
        <v>0</v>
      </c>
      <c r="M1841" s="1862">
        <f>M1840+Tabla1[[#This Row],[Desbalance
TPL]]</f>
        <v>-673433.8428743222</v>
      </c>
    </row>
    <row r="1842" spans="2:13" x14ac:dyDescent="0.25">
      <c r="B1842" s="1859">
        <f t="shared" si="138"/>
        <v>2018</v>
      </c>
      <c r="C1842" s="1859">
        <f t="shared" si="139"/>
        <v>7</v>
      </c>
      <c r="D1842" s="1860">
        <f t="shared" si="140"/>
        <v>43301</v>
      </c>
      <c r="E1842" s="1861">
        <v>43301</v>
      </c>
      <c r="F1842" s="1862"/>
      <c r="G1842" s="1862"/>
      <c r="H1842" s="1862"/>
      <c r="I1842" s="1862">
        <f>Tabla1[[#This Row],[Extraccion
Norte II]]+Tabla1[[#This Row],[Extraccion
ENO]]</f>
        <v>0</v>
      </c>
      <c r="J1842" s="1862"/>
      <c r="K1842" s="1862"/>
      <c r="L1842" s="1862">
        <f t="shared" si="141"/>
        <v>0</v>
      </c>
      <c r="M1842" s="1862">
        <f>M1841+Tabla1[[#This Row],[Desbalance
TPL]]</f>
        <v>-673433.8428743222</v>
      </c>
    </row>
    <row r="1843" spans="2:13" x14ac:dyDescent="0.25">
      <c r="B1843" s="1859">
        <f t="shared" ref="B1843:B1906" si="142">YEAR(E1843)</f>
        <v>2018</v>
      </c>
      <c r="C1843" s="1859">
        <f t="shared" ref="C1843:C1906" si="143">MONTH(E1843)</f>
        <v>7</v>
      </c>
      <c r="D1843" s="1860">
        <f t="shared" ref="D1843:D1906" si="144">E1843</f>
        <v>43302</v>
      </c>
      <c r="E1843" s="1861">
        <v>43302</v>
      </c>
      <c r="F1843" s="1862"/>
      <c r="G1843" s="1862"/>
      <c r="H1843" s="1862"/>
      <c r="I1843" s="1862">
        <f>Tabla1[[#This Row],[Extraccion
Norte II]]+Tabla1[[#This Row],[Extraccion
ENO]]</f>
        <v>0</v>
      </c>
      <c r="J1843" s="1862"/>
      <c r="K1843" s="1862"/>
      <c r="L1843" s="1862">
        <f t="shared" si="141"/>
        <v>0</v>
      </c>
      <c r="M1843" s="1862">
        <f>M1842+Tabla1[[#This Row],[Desbalance
TPL]]</f>
        <v>-673433.8428743222</v>
      </c>
    </row>
    <row r="1844" spans="2:13" x14ac:dyDescent="0.25">
      <c r="B1844" s="1859">
        <f t="shared" si="142"/>
        <v>2018</v>
      </c>
      <c r="C1844" s="1859">
        <f t="shared" si="143"/>
        <v>7</v>
      </c>
      <c r="D1844" s="1860">
        <f t="shared" si="144"/>
        <v>43303</v>
      </c>
      <c r="E1844" s="1861">
        <v>43303</v>
      </c>
      <c r="F1844" s="1862"/>
      <c r="G1844" s="1862"/>
      <c r="H1844" s="1862"/>
      <c r="I1844" s="1862">
        <f>Tabla1[[#This Row],[Extraccion
Norte II]]+Tabla1[[#This Row],[Extraccion
ENO]]</f>
        <v>0</v>
      </c>
      <c r="J1844" s="1862"/>
      <c r="K1844" s="1862"/>
      <c r="L1844" s="1862">
        <f t="shared" si="141"/>
        <v>0</v>
      </c>
      <c r="M1844" s="1862">
        <f>M1843+Tabla1[[#This Row],[Desbalance
TPL]]</f>
        <v>-673433.8428743222</v>
      </c>
    </row>
    <row r="1845" spans="2:13" x14ac:dyDescent="0.25">
      <c r="B1845" s="1859">
        <f t="shared" si="142"/>
        <v>2018</v>
      </c>
      <c r="C1845" s="1859">
        <f t="shared" si="143"/>
        <v>7</v>
      </c>
      <c r="D1845" s="1860">
        <f t="shared" si="144"/>
        <v>43304</v>
      </c>
      <c r="E1845" s="1861">
        <v>43304</v>
      </c>
      <c r="F1845" s="1862"/>
      <c r="G1845" s="1862"/>
      <c r="H1845" s="1862"/>
      <c r="I1845" s="1862">
        <f>Tabla1[[#This Row],[Extraccion
Norte II]]+Tabla1[[#This Row],[Extraccion
ENO]]</f>
        <v>0</v>
      </c>
      <c r="J1845" s="1862"/>
      <c r="K1845" s="1862"/>
      <c r="L1845" s="1862">
        <f t="shared" si="141"/>
        <v>0</v>
      </c>
      <c r="M1845" s="1862">
        <f>M1844+Tabla1[[#This Row],[Desbalance
TPL]]</f>
        <v>-673433.8428743222</v>
      </c>
    </row>
    <row r="1846" spans="2:13" x14ac:dyDescent="0.25">
      <c r="B1846" s="1859">
        <f t="shared" si="142"/>
        <v>2018</v>
      </c>
      <c r="C1846" s="1859">
        <f t="shared" si="143"/>
        <v>7</v>
      </c>
      <c r="D1846" s="1860">
        <f t="shared" si="144"/>
        <v>43305</v>
      </c>
      <c r="E1846" s="1861">
        <v>43305</v>
      </c>
      <c r="F1846" s="1862"/>
      <c r="G1846" s="1862"/>
      <c r="H1846" s="1862"/>
      <c r="I1846" s="1862">
        <f>Tabla1[[#This Row],[Extraccion
Norte II]]+Tabla1[[#This Row],[Extraccion
ENO]]</f>
        <v>0</v>
      </c>
      <c r="J1846" s="1862"/>
      <c r="K1846" s="1862"/>
      <c r="L1846" s="1862">
        <f t="shared" si="141"/>
        <v>0</v>
      </c>
      <c r="M1846" s="1862">
        <f>M1845+Tabla1[[#This Row],[Desbalance
TPL]]</f>
        <v>-673433.8428743222</v>
      </c>
    </row>
    <row r="1847" spans="2:13" x14ac:dyDescent="0.25">
      <c r="B1847" s="1859">
        <f t="shared" si="142"/>
        <v>2018</v>
      </c>
      <c r="C1847" s="1859">
        <f t="shared" si="143"/>
        <v>7</v>
      </c>
      <c r="D1847" s="1860">
        <f t="shared" si="144"/>
        <v>43306</v>
      </c>
      <c r="E1847" s="1861">
        <v>43306</v>
      </c>
      <c r="F1847" s="1862"/>
      <c r="G1847" s="1862"/>
      <c r="H1847" s="1862"/>
      <c r="I1847" s="1862">
        <f>Tabla1[[#This Row],[Extraccion
Norte II]]+Tabla1[[#This Row],[Extraccion
ENO]]</f>
        <v>0</v>
      </c>
      <c r="J1847" s="1862"/>
      <c r="K1847" s="1862"/>
      <c r="L1847" s="1862">
        <f t="shared" si="141"/>
        <v>0</v>
      </c>
      <c r="M1847" s="1862">
        <f>M1846+Tabla1[[#This Row],[Desbalance
TPL]]</f>
        <v>-673433.8428743222</v>
      </c>
    </row>
    <row r="1848" spans="2:13" x14ac:dyDescent="0.25">
      <c r="B1848" s="1859">
        <f t="shared" si="142"/>
        <v>2018</v>
      </c>
      <c r="C1848" s="1859">
        <f t="shared" si="143"/>
        <v>7</v>
      </c>
      <c r="D1848" s="1860">
        <f t="shared" si="144"/>
        <v>43307</v>
      </c>
      <c r="E1848" s="1861">
        <v>43307</v>
      </c>
      <c r="F1848" s="1862"/>
      <c r="G1848" s="1862"/>
      <c r="H1848" s="1862"/>
      <c r="I1848" s="1862">
        <f>Tabla1[[#This Row],[Extraccion
Norte II]]+Tabla1[[#This Row],[Extraccion
ENO]]</f>
        <v>0</v>
      </c>
      <c r="J1848" s="1862"/>
      <c r="K1848" s="1862"/>
      <c r="L1848" s="1862">
        <f t="shared" si="141"/>
        <v>0</v>
      </c>
      <c r="M1848" s="1862">
        <f>M1847+Tabla1[[#This Row],[Desbalance
TPL]]</f>
        <v>-673433.8428743222</v>
      </c>
    </row>
    <row r="1849" spans="2:13" x14ac:dyDescent="0.25">
      <c r="B1849" s="1859">
        <f t="shared" si="142"/>
        <v>2018</v>
      </c>
      <c r="C1849" s="1859">
        <f t="shared" si="143"/>
        <v>7</v>
      </c>
      <c r="D1849" s="1860">
        <f t="shared" si="144"/>
        <v>43308</v>
      </c>
      <c r="E1849" s="1861">
        <v>43308</v>
      </c>
      <c r="F1849" s="1862"/>
      <c r="G1849" s="1862"/>
      <c r="H1849" s="1862"/>
      <c r="I1849" s="1862">
        <f>Tabla1[[#This Row],[Extraccion
Norte II]]+Tabla1[[#This Row],[Extraccion
ENO]]</f>
        <v>0</v>
      </c>
      <c r="J1849" s="1862"/>
      <c r="K1849" s="1862"/>
      <c r="L1849" s="1862">
        <f t="shared" si="141"/>
        <v>0</v>
      </c>
      <c r="M1849" s="1862">
        <f>M1848+Tabla1[[#This Row],[Desbalance
TPL]]</f>
        <v>-673433.8428743222</v>
      </c>
    </row>
    <row r="1850" spans="2:13" x14ac:dyDescent="0.25">
      <c r="B1850" s="1859">
        <f t="shared" si="142"/>
        <v>2018</v>
      </c>
      <c r="C1850" s="1859">
        <f t="shared" si="143"/>
        <v>7</v>
      </c>
      <c r="D1850" s="1860">
        <f t="shared" si="144"/>
        <v>43309</v>
      </c>
      <c r="E1850" s="1861">
        <v>43309</v>
      </c>
      <c r="F1850" s="1862"/>
      <c r="G1850" s="1862"/>
      <c r="H1850" s="1862"/>
      <c r="I1850" s="1862">
        <f>Tabla1[[#This Row],[Extraccion
Norte II]]+Tabla1[[#This Row],[Extraccion
ENO]]</f>
        <v>0</v>
      </c>
      <c r="J1850" s="1862"/>
      <c r="K1850" s="1862"/>
      <c r="L1850" s="1862">
        <f t="shared" si="141"/>
        <v>0</v>
      </c>
      <c r="M1850" s="1862">
        <f>M1849+Tabla1[[#This Row],[Desbalance
TPL]]</f>
        <v>-673433.8428743222</v>
      </c>
    </row>
    <row r="1851" spans="2:13" x14ac:dyDescent="0.25">
      <c r="B1851" s="1859">
        <f t="shared" si="142"/>
        <v>2018</v>
      </c>
      <c r="C1851" s="1859">
        <f t="shared" si="143"/>
        <v>7</v>
      </c>
      <c r="D1851" s="1860">
        <f t="shared" si="144"/>
        <v>43310</v>
      </c>
      <c r="E1851" s="1861">
        <v>43310</v>
      </c>
      <c r="F1851" s="1862"/>
      <c r="G1851" s="1862"/>
      <c r="H1851" s="1862"/>
      <c r="I1851" s="1862">
        <f>Tabla1[[#This Row],[Extraccion
Norte II]]+Tabla1[[#This Row],[Extraccion
ENO]]</f>
        <v>0</v>
      </c>
      <c r="J1851" s="1862"/>
      <c r="K1851" s="1862"/>
      <c r="L1851" s="1862">
        <f t="shared" si="141"/>
        <v>0</v>
      </c>
      <c r="M1851" s="1862">
        <f>M1850+Tabla1[[#This Row],[Desbalance
TPL]]</f>
        <v>-673433.8428743222</v>
      </c>
    </row>
    <row r="1852" spans="2:13" x14ac:dyDescent="0.25">
      <c r="B1852" s="1859">
        <f t="shared" si="142"/>
        <v>2018</v>
      </c>
      <c r="C1852" s="1859">
        <f t="shared" si="143"/>
        <v>7</v>
      </c>
      <c r="D1852" s="1860">
        <f t="shared" si="144"/>
        <v>43311</v>
      </c>
      <c r="E1852" s="1861">
        <v>43311</v>
      </c>
      <c r="F1852" s="1862"/>
      <c r="G1852" s="1862"/>
      <c r="H1852" s="1862"/>
      <c r="I1852" s="1862">
        <f>Tabla1[[#This Row],[Extraccion
Norte II]]+Tabla1[[#This Row],[Extraccion
ENO]]</f>
        <v>0</v>
      </c>
      <c r="J1852" s="1862"/>
      <c r="K1852" s="1862"/>
      <c r="L1852" s="1862">
        <f t="shared" si="141"/>
        <v>0</v>
      </c>
      <c r="M1852" s="1862">
        <f>M1851+Tabla1[[#This Row],[Desbalance
TPL]]</f>
        <v>-673433.8428743222</v>
      </c>
    </row>
    <row r="1853" spans="2:13" x14ac:dyDescent="0.25">
      <c r="B1853" s="1859">
        <f t="shared" si="142"/>
        <v>2018</v>
      </c>
      <c r="C1853" s="1859">
        <f t="shared" si="143"/>
        <v>7</v>
      </c>
      <c r="D1853" s="1860">
        <f t="shared" si="144"/>
        <v>43312</v>
      </c>
      <c r="E1853" s="1861">
        <v>43312</v>
      </c>
      <c r="F1853" s="1862"/>
      <c r="G1853" s="1862"/>
      <c r="H1853" s="1862"/>
      <c r="I1853" s="1862">
        <f>Tabla1[[#This Row],[Extraccion
Norte II]]+Tabla1[[#This Row],[Extraccion
ENO]]</f>
        <v>0</v>
      </c>
      <c r="J1853" s="1862"/>
      <c r="K1853" s="1862"/>
      <c r="L1853" s="1862">
        <f t="shared" si="141"/>
        <v>0</v>
      </c>
      <c r="M1853" s="1862">
        <f>M1852+Tabla1[[#This Row],[Desbalance
TPL]]</f>
        <v>-673433.8428743222</v>
      </c>
    </row>
    <row r="1854" spans="2:13" x14ac:dyDescent="0.25">
      <c r="B1854" s="1859">
        <f t="shared" si="142"/>
        <v>2018</v>
      </c>
      <c r="C1854" s="1859">
        <f t="shared" si="143"/>
        <v>8</v>
      </c>
      <c r="D1854" s="1860">
        <f t="shared" si="144"/>
        <v>43313</v>
      </c>
      <c r="E1854" s="1861">
        <v>43313</v>
      </c>
      <c r="F1854" s="1862"/>
      <c r="G1854" s="1862"/>
      <c r="H1854" s="1862"/>
      <c r="I1854" s="1862">
        <f>Tabla1[[#This Row],[Extraccion
Norte II]]+Tabla1[[#This Row],[Extraccion
ENO]]</f>
        <v>0</v>
      </c>
      <c r="J1854" s="1862"/>
      <c r="K1854" s="1862"/>
      <c r="L1854" s="1862">
        <f t="shared" si="141"/>
        <v>0</v>
      </c>
      <c r="M1854" s="1862">
        <f>M1853+Tabla1[[#This Row],[Desbalance
TPL]]</f>
        <v>-673433.8428743222</v>
      </c>
    </row>
    <row r="1855" spans="2:13" x14ac:dyDescent="0.25">
      <c r="B1855" s="1859">
        <f t="shared" si="142"/>
        <v>2018</v>
      </c>
      <c r="C1855" s="1859">
        <f t="shared" si="143"/>
        <v>8</v>
      </c>
      <c r="D1855" s="1860">
        <f t="shared" si="144"/>
        <v>43314</v>
      </c>
      <c r="E1855" s="1861">
        <v>43314</v>
      </c>
      <c r="F1855" s="1862"/>
      <c r="G1855" s="1862"/>
      <c r="H1855" s="1862"/>
      <c r="I1855" s="1862">
        <f>Tabla1[[#This Row],[Extraccion
Norte II]]+Tabla1[[#This Row],[Extraccion
ENO]]</f>
        <v>0</v>
      </c>
      <c r="J1855" s="1862"/>
      <c r="K1855" s="1862"/>
      <c r="L1855" s="1862">
        <f t="shared" si="141"/>
        <v>0</v>
      </c>
      <c r="M1855" s="1862">
        <f>M1854+Tabla1[[#This Row],[Desbalance
TPL]]</f>
        <v>-673433.8428743222</v>
      </c>
    </row>
    <row r="1856" spans="2:13" x14ac:dyDescent="0.25">
      <c r="B1856" s="1859">
        <f t="shared" si="142"/>
        <v>2018</v>
      </c>
      <c r="C1856" s="1859">
        <f t="shared" si="143"/>
        <v>8</v>
      </c>
      <c r="D1856" s="1860">
        <f t="shared" si="144"/>
        <v>43315</v>
      </c>
      <c r="E1856" s="1861">
        <v>43315</v>
      </c>
      <c r="F1856" s="1862"/>
      <c r="G1856" s="1862"/>
      <c r="H1856" s="1862"/>
      <c r="I1856" s="1862">
        <f>Tabla1[[#This Row],[Extraccion
Norte II]]+Tabla1[[#This Row],[Extraccion
ENO]]</f>
        <v>0</v>
      </c>
      <c r="J1856" s="1862"/>
      <c r="K1856" s="1862"/>
      <c r="L1856" s="1862">
        <f t="shared" si="141"/>
        <v>0</v>
      </c>
      <c r="M1856" s="1862">
        <f>M1855+Tabla1[[#This Row],[Desbalance
TPL]]</f>
        <v>-673433.8428743222</v>
      </c>
    </row>
    <row r="1857" spans="2:13" x14ac:dyDescent="0.25">
      <c r="B1857" s="1859">
        <f t="shared" si="142"/>
        <v>2018</v>
      </c>
      <c r="C1857" s="1859">
        <f t="shared" si="143"/>
        <v>8</v>
      </c>
      <c r="D1857" s="1860">
        <f t="shared" si="144"/>
        <v>43316</v>
      </c>
      <c r="E1857" s="1861">
        <v>43316</v>
      </c>
      <c r="F1857" s="1862"/>
      <c r="G1857" s="1862"/>
      <c r="H1857" s="1862"/>
      <c r="I1857" s="1862">
        <f>Tabla1[[#This Row],[Extraccion
Norte II]]+Tabla1[[#This Row],[Extraccion
ENO]]</f>
        <v>0</v>
      </c>
      <c r="J1857" s="1862"/>
      <c r="K1857" s="1862"/>
      <c r="L1857" s="1862">
        <f t="shared" si="141"/>
        <v>0</v>
      </c>
      <c r="M1857" s="1862">
        <f>M1856+Tabla1[[#This Row],[Desbalance
TPL]]</f>
        <v>-673433.8428743222</v>
      </c>
    </row>
    <row r="1858" spans="2:13" x14ac:dyDescent="0.25">
      <c r="B1858" s="1859">
        <f t="shared" si="142"/>
        <v>2018</v>
      </c>
      <c r="C1858" s="1859">
        <f t="shared" si="143"/>
        <v>8</v>
      </c>
      <c r="D1858" s="1860">
        <f t="shared" si="144"/>
        <v>43317</v>
      </c>
      <c r="E1858" s="1861">
        <v>43317</v>
      </c>
      <c r="F1858" s="1862"/>
      <c r="G1858" s="1862"/>
      <c r="H1858" s="1862"/>
      <c r="I1858" s="1862">
        <f>Tabla1[[#This Row],[Extraccion
Norte II]]+Tabla1[[#This Row],[Extraccion
ENO]]</f>
        <v>0</v>
      </c>
      <c r="J1858" s="1862"/>
      <c r="K1858" s="1862"/>
      <c r="L1858" s="1862">
        <f t="shared" si="141"/>
        <v>0</v>
      </c>
      <c r="M1858" s="1862">
        <f>M1857+Tabla1[[#This Row],[Desbalance
TPL]]</f>
        <v>-673433.8428743222</v>
      </c>
    </row>
    <row r="1859" spans="2:13" x14ac:dyDescent="0.25">
      <c r="B1859" s="1859">
        <f t="shared" si="142"/>
        <v>2018</v>
      </c>
      <c r="C1859" s="1859">
        <f t="shared" si="143"/>
        <v>8</v>
      </c>
      <c r="D1859" s="1860">
        <f t="shared" si="144"/>
        <v>43318</v>
      </c>
      <c r="E1859" s="1861">
        <v>43318</v>
      </c>
      <c r="F1859" s="1862"/>
      <c r="G1859" s="1862"/>
      <c r="H1859" s="1862"/>
      <c r="I1859" s="1862">
        <f>Tabla1[[#This Row],[Extraccion
Norte II]]+Tabla1[[#This Row],[Extraccion
ENO]]</f>
        <v>0</v>
      </c>
      <c r="J1859" s="1862"/>
      <c r="K1859" s="1862"/>
      <c r="L1859" s="1862">
        <f t="shared" si="141"/>
        <v>0</v>
      </c>
      <c r="M1859" s="1862">
        <f>M1858+Tabla1[[#This Row],[Desbalance
TPL]]</f>
        <v>-673433.8428743222</v>
      </c>
    </row>
    <row r="1860" spans="2:13" x14ac:dyDescent="0.25">
      <c r="B1860" s="1859">
        <f t="shared" si="142"/>
        <v>2018</v>
      </c>
      <c r="C1860" s="1859">
        <f t="shared" si="143"/>
        <v>8</v>
      </c>
      <c r="D1860" s="1860">
        <f t="shared" si="144"/>
        <v>43319</v>
      </c>
      <c r="E1860" s="1861">
        <v>43319</v>
      </c>
      <c r="F1860" s="1862"/>
      <c r="G1860" s="1862"/>
      <c r="H1860" s="1862"/>
      <c r="I1860" s="1862">
        <f>Tabla1[[#This Row],[Extraccion
Norte II]]+Tabla1[[#This Row],[Extraccion
ENO]]</f>
        <v>0</v>
      </c>
      <c r="J1860" s="1862"/>
      <c r="K1860" s="1862"/>
      <c r="L1860" s="1862">
        <f t="shared" si="141"/>
        <v>0</v>
      </c>
      <c r="M1860" s="1862">
        <f>M1859+Tabla1[[#This Row],[Desbalance
TPL]]</f>
        <v>-673433.8428743222</v>
      </c>
    </row>
    <row r="1861" spans="2:13" x14ac:dyDescent="0.25">
      <c r="B1861" s="1859">
        <f t="shared" si="142"/>
        <v>2018</v>
      </c>
      <c r="C1861" s="1859">
        <f t="shared" si="143"/>
        <v>8</v>
      </c>
      <c r="D1861" s="1860">
        <f t="shared" si="144"/>
        <v>43320</v>
      </c>
      <c r="E1861" s="1861">
        <v>43320</v>
      </c>
      <c r="F1861" s="1862"/>
      <c r="G1861" s="1862"/>
      <c r="H1861" s="1862"/>
      <c r="I1861" s="1862">
        <f>Tabla1[[#This Row],[Extraccion
Norte II]]+Tabla1[[#This Row],[Extraccion
ENO]]</f>
        <v>0</v>
      </c>
      <c r="J1861" s="1862"/>
      <c r="K1861" s="1862"/>
      <c r="L1861" s="1862">
        <f t="shared" si="141"/>
        <v>0</v>
      </c>
      <c r="M1861" s="1862">
        <f>M1860+Tabla1[[#This Row],[Desbalance
TPL]]</f>
        <v>-673433.8428743222</v>
      </c>
    </row>
    <row r="1862" spans="2:13" x14ac:dyDescent="0.25">
      <c r="B1862" s="1859">
        <f t="shared" si="142"/>
        <v>2018</v>
      </c>
      <c r="C1862" s="1859">
        <f t="shared" si="143"/>
        <v>8</v>
      </c>
      <c r="D1862" s="1860">
        <f t="shared" si="144"/>
        <v>43321</v>
      </c>
      <c r="E1862" s="1861">
        <v>43321</v>
      </c>
      <c r="F1862" s="1862"/>
      <c r="G1862" s="1862"/>
      <c r="H1862" s="1862"/>
      <c r="I1862" s="1862">
        <f>Tabla1[[#This Row],[Extraccion
Norte II]]+Tabla1[[#This Row],[Extraccion
ENO]]</f>
        <v>0</v>
      </c>
      <c r="J1862" s="1862"/>
      <c r="K1862" s="1862"/>
      <c r="L1862" s="1862">
        <f t="shared" si="141"/>
        <v>0</v>
      </c>
      <c r="M1862" s="1862">
        <f>M1861+Tabla1[[#This Row],[Desbalance
TPL]]</f>
        <v>-673433.8428743222</v>
      </c>
    </row>
    <row r="1863" spans="2:13" x14ac:dyDescent="0.25">
      <c r="B1863" s="1859">
        <f t="shared" si="142"/>
        <v>2018</v>
      </c>
      <c r="C1863" s="1859">
        <f t="shared" si="143"/>
        <v>8</v>
      </c>
      <c r="D1863" s="1860">
        <f t="shared" si="144"/>
        <v>43322</v>
      </c>
      <c r="E1863" s="1861">
        <v>43322</v>
      </c>
      <c r="F1863" s="1862"/>
      <c r="G1863" s="1862"/>
      <c r="H1863" s="1862"/>
      <c r="I1863" s="1862">
        <f>Tabla1[[#This Row],[Extraccion
Norte II]]+Tabla1[[#This Row],[Extraccion
ENO]]</f>
        <v>0</v>
      </c>
      <c r="J1863" s="1862"/>
      <c r="K1863" s="1862"/>
      <c r="L1863" s="1862">
        <f t="shared" si="141"/>
        <v>0</v>
      </c>
      <c r="M1863" s="1862">
        <f>M1862+Tabla1[[#This Row],[Desbalance
TPL]]</f>
        <v>-673433.8428743222</v>
      </c>
    </row>
    <row r="1864" spans="2:13" x14ac:dyDescent="0.25">
      <c r="B1864" s="1859">
        <f t="shared" si="142"/>
        <v>2018</v>
      </c>
      <c r="C1864" s="1859">
        <f t="shared" si="143"/>
        <v>8</v>
      </c>
      <c r="D1864" s="1860">
        <f t="shared" si="144"/>
        <v>43323</v>
      </c>
      <c r="E1864" s="1861">
        <v>43323</v>
      </c>
      <c r="F1864" s="1862"/>
      <c r="G1864" s="1862"/>
      <c r="H1864" s="1862"/>
      <c r="I1864" s="1862">
        <f>Tabla1[[#This Row],[Extraccion
Norte II]]+Tabla1[[#This Row],[Extraccion
ENO]]</f>
        <v>0</v>
      </c>
      <c r="J1864" s="1862"/>
      <c r="K1864" s="1862"/>
      <c r="L1864" s="1862">
        <f t="shared" si="141"/>
        <v>0</v>
      </c>
      <c r="M1864" s="1862">
        <f>M1863+Tabla1[[#This Row],[Desbalance
TPL]]</f>
        <v>-673433.8428743222</v>
      </c>
    </row>
    <row r="1865" spans="2:13" x14ac:dyDescent="0.25">
      <c r="B1865" s="1859">
        <f t="shared" si="142"/>
        <v>2018</v>
      </c>
      <c r="C1865" s="1859">
        <f t="shared" si="143"/>
        <v>8</v>
      </c>
      <c r="D1865" s="1860">
        <f t="shared" si="144"/>
        <v>43324</v>
      </c>
      <c r="E1865" s="1861">
        <v>43324</v>
      </c>
      <c r="F1865" s="1862"/>
      <c r="G1865" s="1862"/>
      <c r="H1865" s="1862"/>
      <c r="I1865" s="1862">
        <f>Tabla1[[#This Row],[Extraccion
Norte II]]+Tabla1[[#This Row],[Extraccion
ENO]]</f>
        <v>0</v>
      </c>
      <c r="J1865" s="1862"/>
      <c r="K1865" s="1862"/>
      <c r="L1865" s="1862">
        <f t="shared" si="141"/>
        <v>0</v>
      </c>
      <c r="M1865" s="1862">
        <f>M1864+Tabla1[[#This Row],[Desbalance
TPL]]</f>
        <v>-673433.8428743222</v>
      </c>
    </row>
    <row r="1866" spans="2:13" x14ac:dyDescent="0.25">
      <c r="B1866" s="1859">
        <f t="shared" si="142"/>
        <v>2018</v>
      </c>
      <c r="C1866" s="1859">
        <f t="shared" si="143"/>
        <v>8</v>
      </c>
      <c r="D1866" s="1860">
        <f t="shared" si="144"/>
        <v>43325</v>
      </c>
      <c r="E1866" s="1861">
        <v>43325</v>
      </c>
      <c r="F1866" s="1862"/>
      <c r="G1866" s="1862"/>
      <c r="H1866" s="1862"/>
      <c r="I1866" s="1862">
        <f>Tabla1[[#This Row],[Extraccion
Norte II]]+Tabla1[[#This Row],[Extraccion
ENO]]</f>
        <v>0</v>
      </c>
      <c r="J1866" s="1862"/>
      <c r="K1866" s="1862"/>
      <c r="L1866" s="1862">
        <f t="shared" si="141"/>
        <v>0</v>
      </c>
      <c r="M1866" s="1862">
        <f>M1865+Tabla1[[#This Row],[Desbalance
TPL]]</f>
        <v>-673433.8428743222</v>
      </c>
    </row>
    <row r="1867" spans="2:13" x14ac:dyDescent="0.25">
      <c r="B1867" s="1859">
        <f t="shared" si="142"/>
        <v>2018</v>
      </c>
      <c r="C1867" s="1859">
        <f t="shared" si="143"/>
        <v>8</v>
      </c>
      <c r="D1867" s="1860">
        <f t="shared" si="144"/>
        <v>43326</v>
      </c>
      <c r="E1867" s="1861">
        <v>43326</v>
      </c>
      <c r="F1867" s="1862"/>
      <c r="G1867" s="1862"/>
      <c r="H1867" s="1862"/>
      <c r="I1867" s="1862">
        <f>Tabla1[[#This Row],[Extraccion
Norte II]]+Tabla1[[#This Row],[Extraccion
ENO]]</f>
        <v>0</v>
      </c>
      <c r="J1867" s="1862"/>
      <c r="K1867" s="1862"/>
      <c r="L1867" s="1862">
        <f t="shared" si="141"/>
        <v>0</v>
      </c>
      <c r="M1867" s="1862">
        <f>M1866+Tabla1[[#This Row],[Desbalance
TPL]]</f>
        <v>-673433.8428743222</v>
      </c>
    </row>
    <row r="1868" spans="2:13" x14ac:dyDescent="0.25">
      <c r="B1868" s="1859">
        <f t="shared" si="142"/>
        <v>2018</v>
      </c>
      <c r="C1868" s="1859">
        <f t="shared" si="143"/>
        <v>8</v>
      </c>
      <c r="D1868" s="1860">
        <f t="shared" si="144"/>
        <v>43327</v>
      </c>
      <c r="E1868" s="1861">
        <v>43327</v>
      </c>
      <c r="F1868" s="1862"/>
      <c r="G1868" s="1862"/>
      <c r="H1868" s="1862"/>
      <c r="I1868" s="1862">
        <f>Tabla1[[#This Row],[Extraccion
Norte II]]+Tabla1[[#This Row],[Extraccion
ENO]]</f>
        <v>0</v>
      </c>
      <c r="J1868" s="1862"/>
      <c r="K1868" s="1862"/>
      <c r="L1868" s="1862">
        <f t="shared" ref="L1868:L1931" si="145">H1868-I1868</f>
        <v>0</v>
      </c>
      <c r="M1868" s="1862">
        <f>M1867+Tabla1[[#This Row],[Desbalance
TPL]]</f>
        <v>-673433.8428743222</v>
      </c>
    </row>
    <row r="1869" spans="2:13" x14ac:dyDescent="0.25">
      <c r="B1869" s="1859">
        <f t="shared" si="142"/>
        <v>2018</v>
      </c>
      <c r="C1869" s="1859">
        <f t="shared" si="143"/>
        <v>8</v>
      </c>
      <c r="D1869" s="1860">
        <f t="shared" si="144"/>
        <v>43328</v>
      </c>
      <c r="E1869" s="1861">
        <v>43328</v>
      </c>
      <c r="F1869" s="1862"/>
      <c r="G1869" s="1862"/>
      <c r="H1869" s="1862"/>
      <c r="I1869" s="1862">
        <f>Tabla1[[#This Row],[Extraccion
Norte II]]+Tabla1[[#This Row],[Extraccion
ENO]]</f>
        <v>0</v>
      </c>
      <c r="J1869" s="1862"/>
      <c r="K1869" s="1862"/>
      <c r="L1869" s="1862">
        <f t="shared" si="145"/>
        <v>0</v>
      </c>
      <c r="M1869" s="1862">
        <f>M1868+Tabla1[[#This Row],[Desbalance
TPL]]</f>
        <v>-673433.8428743222</v>
      </c>
    </row>
    <row r="1870" spans="2:13" x14ac:dyDescent="0.25">
      <c r="B1870" s="1859">
        <f t="shared" si="142"/>
        <v>2018</v>
      </c>
      <c r="C1870" s="1859">
        <f t="shared" si="143"/>
        <v>8</v>
      </c>
      <c r="D1870" s="1860">
        <f t="shared" si="144"/>
        <v>43329</v>
      </c>
      <c r="E1870" s="1861">
        <v>43329</v>
      </c>
      <c r="F1870" s="1862"/>
      <c r="G1870" s="1862"/>
      <c r="H1870" s="1862"/>
      <c r="I1870" s="1862">
        <f>Tabla1[[#This Row],[Extraccion
Norte II]]+Tabla1[[#This Row],[Extraccion
ENO]]</f>
        <v>0</v>
      </c>
      <c r="J1870" s="1862"/>
      <c r="K1870" s="1862"/>
      <c r="L1870" s="1862">
        <f t="shared" si="145"/>
        <v>0</v>
      </c>
      <c r="M1870" s="1862">
        <f>M1869+Tabla1[[#This Row],[Desbalance
TPL]]</f>
        <v>-673433.8428743222</v>
      </c>
    </row>
    <row r="1871" spans="2:13" x14ac:dyDescent="0.25">
      <c r="B1871" s="1859">
        <f t="shared" si="142"/>
        <v>2018</v>
      </c>
      <c r="C1871" s="1859">
        <f t="shared" si="143"/>
        <v>8</v>
      </c>
      <c r="D1871" s="1860">
        <f t="shared" si="144"/>
        <v>43330</v>
      </c>
      <c r="E1871" s="1861">
        <v>43330</v>
      </c>
      <c r="F1871" s="1862"/>
      <c r="G1871" s="1862"/>
      <c r="H1871" s="1862"/>
      <c r="I1871" s="1862">
        <f>Tabla1[[#This Row],[Extraccion
Norte II]]+Tabla1[[#This Row],[Extraccion
ENO]]</f>
        <v>0</v>
      </c>
      <c r="J1871" s="1862"/>
      <c r="K1871" s="1862"/>
      <c r="L1871" s="1862">
        <f t="shared" si="145"/>
        <v>0</v>
      </c>
      <c r="M1871" s="1862">
        <f>M1870+Tabla1[[#This Row],[Desbalance
TPL]]</f>
        <v>-673433.8428743222</v>
      </c>
    </row>
    <row r="1872" spans="2:13" x14ac:dyDescent="0.25">
      <c r="B1872" s="1859">
        <f t="shared" si="142"/>
        <v>2018</v>
      </c>
      <c r="C1872" s="1859">
        <f t="shared" si="143"/>
        <v>8</v>
      </c>
      <c r="D1872" s="1860">
        <f t="shared" si="144"/>
        <v>43331</v>
      </c>
      <c r="E1872" s="1861">
        <v>43331</v>
      </c>
      <c r="F1872" s="1862"/>
      <c r="G1872" s="1862"/>
      <c r="H1872" s="1862"/>
      <c r="I1872" s="1862">
        <f>Tabla1[[#This Row],[Extraccion
Norte II]]+Tabla1[[#This Row],[Extraccion
ENO]]</f>
        <v>0</v>
      </c>
      <c r="J1872" s="1862"/>
      <c r="K1872" s="1862"/>
      <c r="L1872" s="1862">
        <f t="shared" si="145"/>
        <v>0</v>
      </c>
      <c r="M1872" s="1862">
        <f>M1871+Tabla1[[#This Row],[Desbalance
TPL]]</f>
        <v>-673433.8428743222</v>
      </c>
    </row>
    <row r="1873" spans="2:13" x14ac:dyDescent="0.25">
      <c r="B1873" s="1859">
        <f t="shared" si="142"/>
        <v>2018</v>
      </c>
      <c r="C1873" s="1859">
        <f t="shared" si="143"/>
        <v>8</v>
      </c>
      <c r="D1873" s="1860">
        <f t="shared" si="144"/>
        <v>43332</v>
      </c>
      <c r="E1873" s="1861">
        <v>43332</v>
      </c>
      <c r="F1873" s="1862"/>
      <c r="G1873" s="1862"/>
      <c r="H1873" s="1862"/>
      <c r="I1873" s="1862">
        <f>Tabla1[[#This Row],[Extraccion
Norte II]]+Tabla1[[#This Row],[Extraccion
ENO]]</f>
        <v>0</v>
      </c>
      <c r="J1873" s="1862"/>
      <c r="K1873" s="1862"/>
      <c r="L1873" s="1862">
        <f t="shared" si="145"/>
        <v>0</v>
      </c>
      <c r="M1873" s="1862">
        <f>M1872+Tabla1[[#This Row],[Desbalance
TPL]]</f>
        <v>-673433.8428743222</v>
      </c>
    </row>
    <row r="1874" spans="2:13" x14ac:dyDescent="0.25">
      <c r="B1874" s="1859">
        <f t="shared" si="142"/>
        <v>2018</v>
      </c>
      <c r="C1874" s="1859">
        <f t="shared" si="143"/>
        <v>8</v>
      </c>
      <c r="D1874" s="1860">
        <f t="shared" si="144"/>
        <v>43333</v>
      </c>
      <c r="E1874" s="1861">
        <v>43333</v>
      </c>
      <c r="F1874" s="1862"/>
      <c r="G1874" s="1862"/>
      <c r="H1874" s="1862"/>
      <c r="I1874" s="1862">
        <f>Tabla1[[#This Row],[Extraccion
Norte II]]+Tabla1[[#This Row],[Extraccion
ENO]]</f>
        <v>0</v>
      </c>
      <c r="J1874" s="1862"/>
      <c r="K1874" s="1862"/>
      <c r="L1874" s="1862">
        <f t="shared" si="145"/>
        <v>0</v>
      </c>
      <c r="M1874" s="1862">
        <f>M1873+Tabla1[[#This Row],[Desbalance
TPL]]</f>
        <v>-673433.8428743222</v>
      </c>
    </row>
    <row r="1875" spans="2:13" x14ac:dyDescent="0.25">
      <c r="B1875" s="1859">
        <f t="shared" si="142"/>
        <v>2018</v>
      </c>
      <c r="C1875" s="1859">
        <f t="shared" si="143"/>
        <v>8</v>
      </c>
      <c r="D1875" s="1860">
        <f t="shared" si="144"/>
        <v>43334</v>
      </c>
      <c r="E1875" s="1861">
        <v>43334</v>
      </c>
      <c r="F1875" s="1862"/>
      <c r="G1875" s="1862"/>
      <c r="H1875" s="1862"/>
      <c r="I1875" s="1862">
        <f>Tabla1[[#This Row],[Extraccion
Norte II]]+Tabla1[[#This Row],[Extraccion
ENO]]</f>
        <v>0</v>
      </c>
      <c r="J1875" s="1862"/>
      <c r="K1875" s="1862"/>
      <c r="L1875" s="1862">
        <f t="shared" si="145"/>
        <v>0</v>
      </c>
      <c r="M1875" s="1862">
        <f>M1874+Tabla1[[#This Row],[Desbalance
TPL]]</f>
        <v>-673433.8428743222</v>
      </c>
    </row>
    <row r="1876" spans="2:13" x14ac:dyDescent="0.25">
      <c r="B1876" s="1859">
        <f t="shared" si="142"/>
        <v>2018</v>
      </c>
      <c r="C1876" s="1859">
        <f t="shared" si="143"/>
        <v>8</v>
      </c>
      <c r="D1876" s="1860">
        <f t="shared" si="144"/>
        <v>43335</v>
      </c>
      <c r="E1876" s="1861">
        <v>43335</v>
      </c>
      <c r="F1876" s="1862"/>
      <c r="G1876" s="1862"/>
      <c r="H1876" s="1862"/>
      <c r="I1876" s="1862">
        <f>Tabla1[[#This Row],[Extraccion
Norte II]]+Tabla1[[#This Row],[Extraccion
ENO]]</f>
        <v>0</v>
      </c>
      <c r="J1876" s="1862"/>
      <c r="K1876" s="1862"/>
      <c r="L1876" s="1862">
        <f t="shared" si="145"/>
        <v>0</v>
      </c>
      <c r="M1876" s="1862">
        <f>M1875+Tabla1[[#This Row],[Desbalance
TPL]]</f>
        <v>-673433.8428743222</v>
      </c>
    </row>
    <row r="1877" spans="2:13" x14ac:dyDescent="0.25">
      <c r="B1877" s="1859">
        <f t="shared" si="142"/>
        <v>2018</v>
      </c>
      <c r="C1877" s="1859">
        <f t="shared" si="143"/>
        <v>8</v>
      </c>
      <c r="D1877" s="1860">
        <f t="shared" si="144"/>
        <v>43336</v>
      </c>
      <c r="E1877" s="1861">
        <v>43336</v>
      </c>
      <c r="F1877" s="1862"/>
      <c r="G1877" s="1862"/>
      <c r="H1877" s="1862"/>
      <c r="I1877" s="1862">
        <f>Tabla1[[#This Row],[Extraccion
Norte II]]+Tabla1[[#This Row],[Extraccion
ENO]]</f>
        <v>0</v>
      </c>
      <c r="J1877" s="1862"/>
      <c r="K1877" s="1862"/>
      <c r="L1877" s="1862">
        <f t="shared" si="145"/>
        <v>0</v>
      </c>
      <c r="M1877" s="1862">
        <f>M1876+Tabla1[[#This Row],[Desbalance
TPL]]</f>
        <v>-673433.8428743222</v>
      </c>
    </row>
    <row r="1878" spans="2:13" x14ac:dyDescent="0.25">
      <c r="B1878" s="1859">
        <f t="shared" si="142"/>
        <v>2018</v>
      </c>
      <c r="C1878" s="1859">
        <f t="shared" si="143"/>
        <v>8</v>
      </c>
      <c r="D1878" s="1860">
        <f t="shared" si="144"/>
        <v>43337</v>
      </c>
      <c r="E1878" s="1861">
        <v>43337</v>
      </c>
      <c r="F1878" s="1862"/>
      <c r="G1878" s="1862"/>
      <c r="H1878" s="1862"/>
      <c r="I1878" s="1862">
        <f>Tabla1[[#This Row],[Extraccion
Norte II]]+Tabla1[[#This Row],[Extraccion
ENO]]</f>
        <v>0</v>
      </c>
      <c r="J1878" s="1862"/>
      <c r="K1878" s="1862"/>
      <c r="L1878" s="1862">
        <f t="shared" si="145"/>
        <v>0</v>
      </c>
      <c r="M1878" s="1862">
        <f>M1877+Tabla1[[#This Row],[Desbalance
TPL]]</f>
        <v>-673433.8428743222</v>
      </c>
    </row>
    <row r="1879" spans="2:13" x14ac:dyDescent="0.25">
      <c r="B1879" s="1859">
        <f t="shared" si="142"/>
        <v>2018</v>
      </c>
      <c r="C1879" s="1859">
        <f t="shared" si="143"/>
        <v>8</v>
      </c>
      <c r="D1879" s="1860">
        <f t="shared" si="144"/>
        <v>43338</v>
      </c>
      <c r="E1879" s="1861">
        <v>43338</v>
      </c>
      <c r="F1879" s="1862"/>
      <c r="G1879" s="1862"/>
      <c r="H1879" s="1862"/>
      <c r="I1879" s="1862">
        <f>Tabla1[[#This Row],[Extraccion
Norte II]]+Tabla1[[#This Row],[Extraccion
ENO]]</f>
        <v>0</v>
      </c>
      <c r="J1879" s="1862"/>
      <c r="K1879" s="1862"/>
      <c r="L1879" s="1862">
        <f t="shared" si="145"/>
        <v>0</v>
      </c>
      <c r="M1879" s="1862">
        <f>M1878+Tabla1[[#This Row],[Desbalance
TPL]]</f>
        <v>-673433.8428743222</v>
      </c>
    </row>
    <row r="1880" spans="2:13" x14ac:dyDescent="0.25">
      <c r="B1880" s="1859">
        <f t="shared" si="142"/>
        <v>2018</v>
      </c>
      <c r="C1880" s="1859">
        <f t="shared" si="143"/>
        <v>8</v>
      </c>
      <c r="D1880" s="1860">
        <f t="shared" si="144"/>
        <v>43339</v>
      </c>
      <c r="E1880" s="1861">
        <v>43339</v>
      </c>
      <c r="F1880" s="1862"/>
      <c r="G1880" s="1862"/>
      <c r="H1880" s="1862"/>
      <c r="I1880" s="1862">
        <f>Tabla1[[#This Row],[Extraccion
Norte II]]+Tabla1[[#This Row],[Extraccion
ENO]]</f>
        <v>0</v>
      </c>
      <c r="J1880" s="1862"/>
      <c r="K1880" s="1862"/>
      <c r="L1880" s="1862">
        <f t="shared" si="145"/>
        <v>0</v>
      </c>
      <c r="M1880" s="1862">
        <f>M1879+Tabla1[[#This Row],[Desbalance
TPL]]</f>
        <v>-673433.8428743222</v>
      </c>
    </row>
    <row r="1881" spans="2:13" x14ac:dyDescent="0.25">
      <c r="B1881" s="1859">
        <f t="shared" si="142"/>
        <v>2018</v>
      </c>
      <c r="C1881" s="1859">
        <f t="shared" si="143"/>
        <v>8</v>
      </c>
      <c r="D1881" s="1860">
        <f t="shared" si="144"/>
        <v>43340</v>
      </c>
      <c r="E1881" s="1861">
        <v>43340</v>
      </c>
      <c r="F1881" s="1862"/>
      <c r="G1881" s="1862"/>
      <c r="H1881" s="1862"/>
      <c r="I1881" s="1862">
        <f>Tabla1[[#This Row],[Extraccion
Norte II]]+Tabla1[[#This Row],[Extraccion
ENO]]</f>
        <v>0</v>
      </c>
      <c r="J1881" s="1862"/>
      <c r="K1881" s="1862"/>
      <c r="L1881" s="1862">
        <f t="shared" si="145"/>
        <v>0</v>
      </c>
      <c r="M1881" s="1862">
        <f>M1880+Tabla1[[#This Row],[Desbalance
TPL]]</f>
        <v>-673433.8428743222</v>
      </c>
    </row>
    <row r="1882" spans="2:13" x14ac:dyDescent="0.25">
      <c r="B1882" s="1859">
        <f t="shared" si="142"/>
        <v>2018</v>
      </c>
      <c r="C1882" s="1859">
        <f t="shared" si="143"/>
        <v>8</v>
      </c>
      <c r="D1882" s="1860">
        <f t="shared" si="144"/>
        <v>43341</v>
      </c>
      <c r="E1882" s="1861">
        <v>43341</v>
      </c>
      <c r="F1882" s="1862"/>
      <c r="G1882" s="1862"/>
      <c r="H1882" s="1862"/>
      <c r="I1882" s="1862">
        <f>Tabla1[[#This Row],[Extraccion
Norte II]]+Tabla1[[#This Row],[Extraccion
ENO]]</f>
        <v>0</v>
      </c>
      <c r="J1882" s="1862"/>
      <c r="K1882" s="1862"/>
      <c r="L1882" s="1862">
        <f t="shared" si="145"/>
        <v>0</v>
      </c>
      <c r="M1882" s="1862">
        <f>M1881+Tabla1[[#This Row],[Desbalance
TPL]]</f>
        <v>-673433.8428743222</v>
      </c>
    </row>
    <row r="1883" spans="2:13" x14ac:dyDescent="0.25">
      <c r="B1883" s="1859">
        <f t="shared" si="142"/>
        <v>2018</v>
      </c>
      <c r="C1883" s="1859">
        <f t="shared" si="143"/>
        <v>8</v>
      </c>
      <c r="D1883" s="1860">
        <f t="shared" si="144"/>
        <v>43342</v>
      </c>
      <c r="E1883" s="1861">
        <v>43342</v>
      </c>
      <c r="F1883" s="1862"/>
      <c r="G1883" s="1862"/>
      <c r="H1883" s="1862"/>
      <c r="I1883" s="1862">
        <f>Tabla1[[#This Row],[Extraccion
Norte II]]+Tabla1[[#This Row],[Extraccion
ENO]]</f>
        <v>0</v>
      </c>
      <c r="J1883" s="1862"/>
      <c r="K1883" s="1862"/>
      <c r="L1883" s="1862">
        <f t="shared" si="145"/>
        <v>0</v>
      </c>
      <c r="M1883" s="1862">
        <f>M1882+Tabla1[[#This Row],[Desbalance
TPL]]</f>
        <v>-673433.8428743222</v>
      </c>
    </row>
    <row r="1884" spans="2:13" x14ac:dyDescent="0.25">
      <c r="B1884" s="1859">
        <f t="shared" si="142"/>
        <v>2018</v>
      </c>
      <c r="C1884" s="1859">
        <f t="shared" si="143"/>
        <v>8</v>
      </c>
      <c r="D1884" s="1860">
        <f t="shared" si="144"/>
        <v>43343</v>
      </c>
      <c r="E1884" s="1861">
        <v>43343</v>
      </c>
      <c r="F1884" s="1862"/>
      <c r="G1884" s="1862"/>
      <c r="H1884" s="1862"/>
      <c r="I1884" s="1862">
        <f>Tabla1[[#This Row],[Extraccion
Norte II]]+Tabla1[[#This Row],[Extraccion
ENO]]</f>
        <v>0</v>
      </c>
      <c r="J1884" s="1862"/>
      <c r="K1884" s="1862"/>
      <c r="L1884" s="1862">
        <f t="shared" si="145"/>
        <v>0</v>
      </c>
      <c r="M1884" s="1862">
        <f>M1883+Tabla1[[#This Row],[Desbalance
TPL]]</f>
        <v>-673433.8428743222</v>
      </c>
    </row>
    <row r="1885" spans="2:13" x14ac:dyDescent="0.25">
      <c r="B1885" s="1859">
        <f t="shared" si="142"/>
        <v>2018</v>
      </c>
      <c r="C1885" s="1859">
        <f t="shared" si="143"/>
        <v>9</v>
      </c>
      <c r="D1885" s="1860">
        <f t="shared" si="144"/>
        <v>43344</v>
      </c>
      <c r="E1885" s="1861">
        <v>43344</v>
      </c>
      <c r="F1885" s="1862"/>
      <c r="G1885" s="1862"/>
      <c r="H1885" s="1862"/>
      <c r="I1885" s="1862">
        <f>Tabla1[[#This Row],[Extraccion
Norte II]]+Tabla1[[#This Row],[Extraccion
ENO]]</f>
        <v>0</v>
      </c>
      <c r="J1885" s="1862"/>
      <c r="K1885" s="1862"/>
      <c r="L1885" s="1862">
        <f t="shared" si="145"/>
        <v>0</v>
      </c>
      <c r="M1885" s="1862">
        <f>M1884+Tabla1[[#This Row],[Desbalance
TPL]]</f>
        <v>-673433.8428743222</v>
      </c>
    </row>
    <row r="1886" spans="2:13" x14ac:dyDescent="0.25">
      <c r="B1886" s="1859">
        <f t="shared" si="142"/>
        <v>2018</v>
      </c>
      <c r="C1886" s="1859">
        <f t="shared" si="143"/>
        <v>9</v>
      </c>
      <c r="D1886" s="1860">
        <f t="shared" si="144"/>
        <v>43345</v>
      </c>
      <c r="E1886" s="1861">
        <v>43345</v>
      </c>
      <c r="F1886" s="1862"/>
      <c r="G1886" s="1862"/>
      <c r="H1886" s="1862"/>
      <c r="I1886" s="1862">
        <f>Tabla1[[#This Row],[Extraccion
Norte II]]+Tabla1[[#This Row],[Extraccion
ENO]]</f>
        <v>0</v>
      </c>
      <c r="J1886" s="1862"/>
      <c r="K1886" s="1862"/>
      <c r="L1886" s="1862">
        <f t="shared" si="145"/>
        <v>0</v>
      </c>
      <c r="M1886" s="1862">
        <f>M1885+Tabla1[[#This Row],[Desbalance
TPL]]</f>
        <v>-673433.8428743222</v>
      </c>
    </row>
    <row r="1887" spans="2:13" x14ac:dyDescent="0.25">
      <c r="B1887" s="1859">
        <f t="shared" si="142"/>
        <v>2018</v>
      </c>
      <c r="C1887" s="1859">
        <f t="shared" si="143"/>
        <v>9</v>
      </c>
      <c r="D1887" s="1860">
        <f t="shared" si="144"/>
        <v>43346</v>
      </c>
      <c r="E1887" s="1861">
        <v>43346</v>
      </c>
      <c r="F1887" s="1862"/>
      <c r="G1887" s="1862"/>
      <c r="H1887" s="1862"/>
      <c r="I1887" s="1862">
        <f>Tabla1[[#This Row],[Extraccion
Norte II]]+Tabla1[[#This Row],[Extraccion
ENO]]</f>
        <v>0</v>
      </c>
      <c r="J1887" s="1862"/>
      <c r="K1887" s="1862"/>
      <c r="L1887" s="1862">
        <f t="shared" si="145"/>
        <v>0</v>
      </c>
      <c r="M1887" s="1862">
        <f>M1886+Tabla1[[#This Row],[Desbalance
TPL]]</f>
        <v>-673433.8428743222</v>
      </c>
    </row>
    <row r="1888" spans="2:13" x14ac:dyDescent="0.25">
      <c r="B1888" s="1859">
        <f t="shared" si="142"/>
        <v>2018</v>
      </c>
      <c r="C1888" s="1859">
        <f t="shared" si="143"/>
        <v>9</v>
      </c>
      <c r="D1888" s="1860">
        <f t="shared" si="144"/>
        <v>43347</v>
      </c>
      <c r="E1888" s="1861">
        <v>43347</v>
      </c>
      <c r="F1888" s="1862"/>
      <c r="G1888" s="1862"/>
      <c r="H1888" s="1862"/>
      <c r="I1888" s="1862">
        <f>Tabla1[[#This Row],[Extraccion
Norte II]]+Tabla1[[#This Row],[Extraccion
ENO]]</f>
        <v>0</v>
      </c>
      <c r="J1888" s="1862"/>
      <c r="K1888" s="1862"/>
      <c r="L1888" s="1862">
        <f t="shared" si="145"/>
        <v>0</v>
      </c>
      <c r="M1888" s="1862">
        <f>M1887+Tabla1[[#This Row],[Desbalance
TPL]]</f>
        <v>-673433.8428743222</v>
      </c>
    </row>
    <row r="1889" spans="2:13" x14ac:dyDescent="0.25">
      <c r="B1889" s="1859">
        <f t="shared" si="142"/>
        <v>2018</v>
      </c>
      <c r="C1889" s="1859">
        <f t="shared" si="143"/>
        <v>9</v>
      </c>
      <c r="D1889" s="1860">
        <f t="shared" si="144"/>
        <v>43348</v>
      </c>
      <c r="E1889" s="1861">
        <v>43348</v>
      </c>
      <c r="F1889" s="1862"/>
      <c r="G1889" s="1862"/>
      <c r="H1889" s="1862"/>
      <c r="I1889" s="1862">
        <f>Tabla1[[#This Row],[Extraccion
Norte II]]+Tabla1[[#This Row],[Extraccion
ENO]]</f>
        <v>0</v>
      </c>
      <c r="J1889" s="1862"/>
      <c r="K1889" s="1862"/>
      <c r="L1889" s="1862">
        <f t="shared" si="145"/>
        <v>0</v>
      </c>
      <c r="M1889" s="1862">
        <f>M1888+Tabla1[[#This Row],[Desbalance
TPL]]</f>
        <v>-673433.8428743222</v>
      </c>
    </row>
    <row r="1890" spans="2:13" x14ac:dyDescent="0.25">
      <c r="B1890" s="1859">
        <f t="shared" si="142"/>
        <v>2018</v>
      </c>
      <c r="C1890" s="1859">
        <f t="shared" si="143"/>
        <v>9</v>
      </c>
      <c r="D1890" s="1860">
        <f t="shared" si="144"/>
        <v>43349</v>
      </c>
      <c r="E1890" s="1861">
        <v>43349</v>
      </c>
      <c r="F1890" s="1862"/>
      <c r="G1890" s="1862"/>
      <c r="H1890" s="1862"/>
      <c r="I1890" s="1862">
        <f>Tabla1[[#This Row],[Extraccion
Norte II]]+Tabla1[[#This Row],[Extraccion
ENO]]</f>
        <v>0</v>
      </c>
      <c r="J1890" s="1862"/>
      <c r="K1890" s="1862"/>
      <c r="L1890" s="1862">
        <f t="shared" si="145"/>
        <v>0</v>
      </c>
      <c r="M1890" s="1862">
        <f>M1889+Tabla1[[#This Row],[Desbalance
TPL]]</f>
        <v>-673433.8428743222</v>
      </c>
    </row>
    <row r="1891" spans="2:13" x14ac:dyDescent="0.25">
      <c r="B1891" s="1859">
        <f t="shared" si="142"/>
        <v>2018</v>
      </c>
      <c r="C1891" s="1859">
        <f t="shared" si="143"/>
        <v>9</v>
      </c>
      <c r="D1891" s="1860">
        <f t="shared" si="144"/>
        <v>43350</v>
      </c>
      <c r="E1891" s="1861">
        <v>43350</v>
      </c>
      <c r="F1891" s="1862"/>
      <c r="G1891" s="1862"/>
      <c r="H1891" s="1862"/>
      <c r="I1891" s="1862">
        <f>Tabla1[[#This Row],[Extraccion
Norte II]]+Tabla1[[#This Row],[Extraccion
ENO]]</f>
        <v>0</v>
      </c>
      <c r="J1891" s="1862"/>
      <c r="K1891" s="1862"/>
      <c r="L1891" s="1862">
        <f t="shared" si="145"/>
        <v>0</v>
      </c>
      <c r="M1891" s="1862">
        <f>M1890+Tabla1[[#This Row],[Desbalance
TPL]]</f>
        <v>-673433.8428743222</v>
      </c>
    </row>
    <row r="1892" spans="2:13" x14ac:dyDescent="0.25">
      <c r="B1892" s="1859">
        <f t="shared" si="142"/>
        <v>2018</v>
      </c>
      <c r="C1892" s="1859">
        <f t="shared" si="143"/>
        <v>9</v>
      </c>
      <c r="D1892" s="1860">
        <f t="shared" si="144"/>
        <v>43351</v>
      </c>
      <c r="E1892" s="1861">
        <v>43351</v>
      </c>
      <c r="F1892" s="1862"/>
      <c r="G1892" s="1862"/>
      <c r="H1892" s="1862"/>
      <c r="I1892" s="1862">
        <f>Tabla1[[#This Row],[Extraccion
Norte II]]+Tabla1[[#This Row],[Extraccion
ENO]]</f>
        <v>0</v>
      </c>
      <c r="J1892" s="1862"/>
      <c r="K1892" s="1862"/>
      <c r="L1892" s="1862">
        <f t="shared" si="145"/>
        <v>0</v>
      </c>
      <c r="M1892" s="1862">
        <f>M1891+Tabla1[[#This Row],[Desbalance
TPL]]</f>
        <v>-673433.8428743222</v>
      </c>
    </row>
    <row r="1893" spans="2:13" x14ac:dyDescent="0.25">
      <c r="B1893" s="1859">
        <f t="shared" si="142"/>
        <v>2018</v>
      </c>
      <c r="C1893" s="1859">
        <f t="shared" si="143"/>
        <v>9</v>
      </c>
      <c r="D1893" s="1860">
        <f t="shared" si="144"/>
        <v>43352</v>
      </c>
      <c r="E1893" s="1861">
        <v>43352</v>
      </c>
      <c r="F1893" s="1862"/>
      <c r="G1893" s="1862"/>
      <c r="H1893" s="1862"/>
      <c r="I1893" s="1862">
        <f>Tabla1[[#This Row],[Extraccion
Norte II]]+Tabla1[[#This Row],[Extraccion
ENO]]</f>
        <v>0</v>
      </c>
      <c r="J1893" s="1862"/>
      <c r="K1893" s="1862"/>
      <c r="L1893" s="1862">
        <f t="shared" si="145"/>
        <v>0</v>
      </c>
      <c r="M1893" s="1862">
        <f>M1892+Tabla1[[#This Row],[Desbalance
TPL]]</f>
        <v>-673433.8428743222</v>
      </c>
    </row>
    <row r="1894" spans="2:13" x14ac:dyDescent="0.25">
      <c r="B1894" s="1859">
        <f t="shared" si="142"/>
        <v>2018</v>
      </c>
      <c r="C1894" s="1859">
        <f t="shared" si="143"/>
        <v>9</v>
      </c>
      <c r="D1894" s="1860">
        <f t="shared" si="144"/>
        <v>43353</v>
      </c>
      <c r="E1894" s="1861">
        <v>43353</v>
      </c>
      <c r="F1894" s="1862"/>
      <c r="G1894" s="1862"/>
      <c r="H1894" s="1862"/>
      <c r="I1894" s="1862">
        <f>Tabla1[[#This Row],[Extraccion
Norte II]]+Tabla1[[#This Row],[Extraccion
ENO]]</f>
        <v>0</v>
      </c>
      <c r="J1894" s="1862"/>
      <c r="K1894" s="1862"/>
      <c r="L1894" s="1862">
        <f t="shared" si="145"/>
        <v>0</v>
      </c>
      <c r="M1894" s="1862">
        <f>M1893+Tabla1[[#This Row],[Desbalance
TPL]]</f>
        <v>-673433.8428743222</v>
      </c>
    </row>
    <row r="1895" spans="2:13" x14ac:dyDescent="0.25">
      <c r="B1895" s="1859">
        <f t="shared" si="142"/>
        <v>2018</v>
      </c>
      <c r="C1895" s="1859">
        <f t="shared" si="143"/>
        <v>9</v>
      </c>
      <c r="D1895" s="1860">
        <f t="shared" si="144"/>
        <v>43354</v>
      </c>
      <c r="E1895" s="1861">
        <v>43354</v>
      </c>
      <c r="F1895" s="1862"/>
      <c r="G1895" s="1862"/>
      <c r="H1895" s="1862"/>
      <c r="I1895" s="1862">
        <f>Tabla1[[#This Row],[Extraccion
Norte II]]+Tabla1[[#This Row],[Extraccion
ENO]]</f>
        <v>0</v>
      </c>
      <c r="J1895" s="1862"/>
      <c r="K1895" s="1862"/>
      <c r="L1895" s="1862">
        <f t="shared" si="145"/>
        <v>0</v>
      </c>
      <c r="M1895" s="1862">
        <f>M1894+Tabla1[[#This Row],[Desbalance
TPL]]</f>
        <v>-673433.8428743222</v>
      </c>
    </row>
    <row r="1896" spans="2:13" x14ac:dyDescent="0.25">
      <c r="B1896" s="1859">
        <f t="shared" si="142"/>
        <v>2018</v>
      </c>
      <c r="C1896" s="1859">
        <f t="shared" si="143"/>
        <v>9</v>
      </c>
      <c r="D1896" s="1860">
        <f t="shared" si="144"/>
        <v>43355</v>
      </c>
      <c r="E1896" s="1861">
        <v>43355</v>
      </c>
      <c r="F1896" s="1862"/>
      <c r="G1896" s="1862"/>
      <c r="H1896" s="1862"/>
      <c r="I1896" s="1862">
        <f>Tabla1[[#This Row],[Extraccion
Norte II]]+Tabla1[[#This Row],[Extraccion
ENO]]</f>
        <v>0</v>
      </c>
      <c r="J1896" s="1862"/>
      <c r="K1896" s="1862"/>
      <c r="L1896" s="1862">
        <f t="shared" si="145"/>
        <v>0</v>
      </c>
      <c r="M1896" s="1862">
        <f>M1895+Tabla1[[#This Row],[Desbalance
TPL]]</f>
        <v>-673433.8428743222</v>
      </c>
    </row>
    <row r="1897" spans="2:13" x14ac:dyDescent="0.25">
      <c r="B1897" s="1859">
        <f t="shared" si="142"/>
        <v>2018</v>
      </c>
      <c r="C1897" s="1859">
        <f t="shared" si="143"/>
        <v>9</v>
      </c>
      <c r="D1897" s="1860">
        <f t="shared" si="144"/>
        <v>43356</v>
      </c>
      <c r="E1897" s="1861">
        <v>43356</v>
      </c>
      <c r="F1897" s="1862"/>
      <c r="G1897" s="1862"/>
      <c r="H1897" s="1862"/>
      <c r="I1897" s="1862">
        <f>Tabla1[[#This Row],[Extraccion
Norte II]]+Tabla1[[#This Row],[Extraccion
ENO]]</f>
        <v>0</v>
      </c>
      <c r="J1897" s="1862"/>
      <c r="K1897" s="1862"/>
      <c r="L1897" s="1862">
        <f t="shared" si="145"/>
        <v>0</v>
      </c>
      <c r="M1897" s="1862">
        <f>M1896+Tabla1[[#This Row],[Desbalance
TPL]]</f>
        <v>-673433.8428743222</v>
      </c>
    </row>
    <row r="1898" spans="2:13" x14ac:dyDescent="0.25">
      <c r="B1898" s="1859">
        <f t="shared" si="142"/>
        <v>2018</v>
      </c>
      <c r="C1898" s="1859">
        <f t="shared" si="143"/>
        <v>9</v>
      </c>
      <c r="D1898" s="1860">
        <f t="shared" si="144"/>
        <v>43357</v>
      </c>
      <c r="E1898" s="1861">
        <v>43357</v>
      </c>
      <c r="F1898" s="1862"/>
      <c r="G1898" s="1862"/>
      <c r="H1898" s="1862"/>
      <c r="I1898" s="1862">
        <f>Tabla1[[#This Row],[Extraccion
Norte II]]+Tabla1[[#This Row],[Extraccion
ENO]]</f>
        <v>0</v>
      </c>
      <c r="J1898" s="1862"/>
      <c r="K1898" s="1862"/>
      <c r="L1898" s="1862">
        <f t="shared" si="145"/>
        <v>0</v>
      </c>
      <c r="M1898" s="1862">
        <f>M1897+Tabla1[[#This Row],[Desbalance
TPL]]</f>
        <v>-673433.8428743222</v>
      </c>
    </row>
    <row r="1899" spans="2:13" x14ac:dyDescent="0.25">
      <c r="B1899" s="1859">
        <f t="shared" si="142"/>
        <v>2018</v>
      </c>
      <c r="C1899" s="1859">
        <f t="shared" si="143"/>
        <v>9</v>
      </c>
      <c r="D1899" s="1860">
        <f t="shared" si="144"/>
        <v>43358</v>
      </c>
      <c r="E1899" s="1861">
        <v>43358</v>
      </c>
      <c r="F1899" s="1862"/>
      <c r="G1899" s="1862"/>
      <c r="H1899" s="1862"/>
      <c r="I1899" s="1862">
        <f>Tabla1[[#This Row],[Extraccion
Norte II]]+Tabla1[[#This Row],[Extraccion
ENO]]</f>
        <v>0</v>
      </c>
      <c r="J1899" s="1862"/>
      <c r="K1899" s="1862"/>
      <c r="L1899" s="1862">
        <f t="shared" si="145"/>
        <v>0</v>
      </c>
      <c r="M1899" s="1862">
        <f>M1898+Tabla1[[#This Row],[Desbalance
TPL]]</f>
        <v>-673433.8428743222</v>
      </c>
    </row>
    <row r="1900" spans="2:13" x14ac:dyDescent="0.25">
      <c r="B1900" s="1859">
        <f t="shared" si="142"/>
        <v>2018</v>
      </c>
      <c r="C1900" s="1859">
        <f t="shared" si="143"/>
        <v>9</v>
      </c>
      <c r="D1900" s="1860">
        <f t="shared" si="144"/>
        <v>43359</v>
      </c>
      <c r="E1900" s="1861">
        <v>43359</v>
      </c>
      <c r="F1900" s="1862"/>
      <c r="G1900" s="1862"/>
      <c r="H1900" s="1862"/>
      <c r="I1900" s="1862">
        <f>Tabla1[[#This Row],[Extraccion
Norte II]]+Tabla1[[#This Row],[Extraccion
ENO]]</f>
        <v>0</v>
      </c>
      <c r="J1900" s="1862"/>
      <c r="K1900" s="1862"/>
      <c r="L1900" s="1862">
        <f t="shared" si="145"/>
        <v>0</v>
      </c>
      <c r="M1900" s="1862">
        <f>M1899+Tabla1[[#This Row],[Desbalance
TPL]]</f>
        <v>-673433.8428743222</v>
      </c>
    </row>
    <row r="1901" spans="2:13" x14ac:dyDescent="0.25">
      <c r="B1901" s="1859">
        <f t="shared" si="142"/>
        <v>2018</v>
      </c>
      <c r="C1901" s="1859">
        <f t="shared" si="143"/>
        <v>9</v>
      </c>
      <c r="D1901" s="1860">
        <f t="shared" si="144"/>
        <v>43360</v>
      </c>
      <c r="E1901" s="1861">
        <v>43360</v>
      </c>
      <c r="F1901" s="1862"/>
      <c r="G1901" s="1862"/>
      <c r="H1901" s="1862"/>
      <c r="I1901" s="1862">
        <f>Tabla1[[#This Row],[Extraccion
Norte II]]+Tabla1[[#This Row],[Extraccion
ENO]]</f>
        <v>0</v>
      </c>
      <c r="J1901" s="1862"/>
      <c r="K1901" s="1862"/>
      <c r="L1901" s="1862">
        <f t="shared" si="145"/>
        <v>0</v>
      </c>
      <c r="M1901" s="1862">
        <f>M1900+Tabla1[[#This Row],[Desbalance
TPL]]</f>
        <v>-673433.8428743222</v>
      </c>
    </row>
    <row r="1902" spans="2:13" x14ac:dyDescent="0.25">
      <c r="B1902" s="1859">
        <f t="shared" si="142"/>
        <v>2018</v>
      </c>
      <c r="C1902" s="1859">
        <f t="shared" si="143"/>
        <v>9</v>
      </c>
      <c r="D1902" s="1860">
        <f t="shared" si="144"/>
        <v>43361</v>
      </c>
      <c r="E1902" s="1861">
        <v>43361</v>
      </c>
      <c r="F1902" s="1862"/>
      <c r="G1902" s="1862"/>
      <c r="H1902" s="1862"/>
      <c r="I1902" s="1862">
        <f>Tabla1[[#This Row],[Extraccion
Norte II]]+Tabla1[[#This Row],[Extraccion
ENO]]</f>
        <v>0</v>
      </c>
      <c r="J1902" s="1862"/>
      <c r="K1902" s="1862"/>
      <c r="L1902" s="1862">
        <f t="shared" si="145"/>
        <v>0</v>
      </c>
      <c r="M1902" s="1862">
        <f>M1901+Tabla1[[#This Row],[Desbalance
TPL]]</f>
        <v>-673433.8428743222</v>
      </c>
    </row>
    <row r="1903" spans="2:13" x14ac:dyDescent="0.25">
      <c r="B1903" s="1859">
        <f t="shared" si="142"/>
        <v>2018</v>
      </c>
      <c r="C1903" s="1859">
        <f t="shared" si="143"/>
        <v>9</v>
      </c>
      <c r="D1903" s="1860">
        <f t="shared" si="144"/>
        <v>43362</v>
      </c>
      <c r="E1903" s="1861">
        <v>43362</v>
      </c>
      <c r="F1903" s="1862"/>
      <c r="G1903" s="1862"/>
      <c r="H1903" s="1862"/>
      <c r="I1903" s="1862">
        <f>Tabla1[[#This Row],[Extraccion
Norte II]]+Tabla1[[#This Row],[Extraccion
ENO]]</f>
        <v>0</v>
      </c>
      <c r="J1903" s="1862"/>
      <c r="K1903" s="1862"/>
      <c r="L1903" s="1862">
        <f t="shared" si="145"/>
        <v>0</v>
      </c>
      <c r="M1903" s="1862">
        <f>M1902+Tabla1[[#This Row],[Desbalance
TPL]]</f>
        <v>-673433.8428743222</v>
      </c>
    </row>
    <row r="1904" spans="2:13" x14ac:dyDescent="0.25">
      <c r="B1904" s="1859">
        <f t="shared" si="142"/>
        <v>2018</v>
      </c>
      <c r="C1904" s="1859">
        <f t="shared" si="143"/>
        <v>9</v>
      </c>
      <c r="D1904" s="1860">
        <f t="shared" si="144"/>
        <v>43363</v>
      </c>
      <c r="E1904" s="1861">
        <v>43363</v>
      </c>
      <c r="F1904" s="1862"/>
      <c r="G1904" s="1862"/>
      <c r="H1904" s="1862"/>
      <c r="I1904" s="1862">
        <f>Tabla1[[#This Row],[Extraccion
Norte II]]+Tabla1[[#This Row],[Extraccion
ENO]]</f>
        <v>0</v>
      </c>
      <c r="J1904" s="1862"/>
      <c r="K1904" s="1862"/>
      <c r="L1904" s="1862">
        <f t="shared" si="145"/>
        <v>0</v>
      </c>
      <c r="M1904" s="1862">
        <f>M1903+Tabla1[[#This Row],[Desbalance
TPL]]</f>
        <v>-673433.8428743222</v>
      </c>
    </row>
    <row r="1905" spans="2:13" x14ac:dyDescent="0.25">
      <c r="B1905" s="1859">
        <f t="shared" si="142"/>
        <v>2018</v>
      </c>
      <c r="C1905" s="1859">
        <f t="shared" si="143"/>
        <v>9</v>
      </c>
      <c r="D1905" s="1860">
        <f t="shared" si="144"/>
        <v>43364</v>
      </c>
      <c r="E1905" s="1861">
        <v>43364</v>
      </c>
      <c r="F1905" s="1862"/>
      <c r="G1905" s="1862"/>
      <c r="H1905" s="1862"/>
      <c r="I1905" s="1862">
        <f>Tabla1[[#This Row],[Extraccion
Norte II]]+Tabla1[[#This Row],[Extraccion
ENO]]</f>
        <v>0</v>
      </c>
      <c r="J1905" s="1862"/>
      <c r="K1905" s="1862"/>
      <c r="L1905" s="1862">
        <f t="shared" si="145"/>
        <v>0</v>
      </c>
      <c r="M1905" s="1862">
        <f>M1904+Tabla1[[#This Row],[Desbalance
TPL]]</f>
        <v>-673433.8428743222</v>
      </c>
    </row>
    <row r="1906" spans="2:13" x14ac:dyDescent="0.25">
      <c r="B1906" s="1859">
        <f t="shared" si="142"/>
        <v>2018</v>
      </c>
      <c r="C1906" s="1859">
        <f t="shared" si="143"/>
        <v>9</v>
      </c>
      <c r="D1906" s="1860">
        <f t="shared" si="144"/>
        <v>43365</v>
      </c>
      <c r="E1906" s="1861">
        <v>43365</v>
      </c>
      <c r="F1906" s="1862"/>
      <c r="G1906" s="1862"/>
      <c r="H1906" s="1862"/>
      <c r="I1906" s="1862">
        <f>Tabla1[[#This Row],[Extraccion
Norte II]]+Tabla1[[#This Row],[Extraccion
ENO]]</f>
        <v>0</v>
      </c>
      <c r="J1906" s="1862"/>
      <c r="K1906" s="1862"/>
      <c r="L1906" s="1862">
        <f t="shared" si="145"/>
        <v>0</v>
      </c>
      <c r="M1906" s="1862">
        <f>M1905+Tabla1[[#This Row],[Desbalance
TPL]]</f>
        <v>-673433.8428743222</v>
      </c>
    </row>
    <row r="1907" spans="2:13" x14ac:dyDescent="0.25">
      <c r="B1907" s="1859">
        <f t="shared" ref="B1907:B1970" si="146">YEAR(E1907)</f>
        <v>2018</v>
      </c>
      <c r="C1907" s="1859">
        <f t="shared" ref="C1907:C1970" si="147">MONTH(E1907)</f>
        <v>9</v>
      </c>
      <c r="D1907" s="1860">
        <f t="shared" ref="D1907:D1970" si="148">E1907</f>
        <v>43366</v>
      </c>
      <c r="E1907" s="1861">
        <v>43366</v>
      </c>
      <c r="F1907" s="1862"/>
      <c r="G1907" s="1862"/>
      <c r="H1907" s="1862"/>
      <c r="I1907" s="1862">
        <f>Tabla1[[#This Row],[Extraccion
Norte II]]+Tabla1[[#This Row],[Extraccion
ENO]]</f>
        <v>0</v>
      </c>
      <c r="J1907" s="1862"/>
      <c r="K1907" s="1862"/>
      <c r="L1907" s="1862">
        <f t="shared" si="145"/>
        <v>0</v>
      </c>
      <c r="M1907" s="1862">
        <f>M1906+Tabla1[[#This Row],[Desbalance
TPL]]</f>
        <v>-673433.8428743222</v>
      </c>
    </row>
    <row r="1908" spans="2:13" x14ac:dyDescent="0.25">
      <c r="B1908" s="1859">
        <f t="shared" si="146"/>
        <v>2018</v>
      </c>
      <c r="C1908" s="1859">
        <f t="shared" si="147"/>
        <v>9</v>
      </c>
      <c r="D1908" s="1860">
        <f t="shared" si="148"/>
        <v>43367</v>
      </c>
      <c r="E1908" s="1861">
        <v>43367</v>
      </c>
      <c r="F1908" s="1862"/>
      <c r="G1908" s="1862"/>
      <c r="H1908" s="1862"/>
      <c r="I1908" s="1862">
        <f>Tabla1[[#This Row],[Extraccion
Norte II]]+Tabla1[[#This Row],[Extraccion
ENO]]</f>
        <v>0</v>
      </c>
      <c r="J1908" s="1862"/>
      <c r="K1908" s="1862"/>
      <c r="L1908" s="1862">
        <f t="shared" si="145"/>
        <v>0</v>
      </c>
      <c r="M1908" s="1862">
        <f>M1907+Tabla1[[#This Row],[Desbalance
TPL]]</f>
        <v>-673433.8428743222</v>
      </c>
    </row>
    <row r="1909" spans="2:13" x14ac:dyDescent="0.25">
      <c r="B1909" s="1859">
        <f t="shared" si="146"/>
        <v>2018</v>
      </c>
      <c r="C1909" s="1859">
        <f t="shared" si="147"/>
        <v>9</v>
      </c>
      <c r="D1909" s="1860">
        <f t="shared" si="148"/>
        <v>43368</v>
      </c>
      <c r="E1909" s="1861">
        <v>43368</v>
      </c>
      <c r="F1909" s="1862"/>
      <c r="G1909" s="1862"/>
      <c r="H1909" s="1862"/>
      <c r="I1909" s="1862">
        <f>Tabla1[[#This Row],[Extraccion
Norte II]]+Tabla1[[#This Row],[Extraccion
ENO]]</f>
        <v>0</v>
      </c>
      <c r="J1909" s="1862"/>
      <c r="K1909" s="1862"/>
      <c r="L1909" s="1862">
        <f t="shared" si="145"/>
        <v>0</v>
      </c>
      <c r="M1909" s="1862">
        <f>M1908+Tabla1[[#This Row],[Desbalance
TPL]]</f>
        <v>-673433.8428743222</v>
      </c>
    </row>
    <row r="1910" spans="2:13" x14ac:dyDescent="0.25">
      <c r="B1910" s="1859">
        <f t="shared" si="146"/>
        <v>2018</v>
      </c>
      <c r="C1910" s="1859">
        <f t="shared" si="147"/>
        <v>9</v>
      </c>
      <c r="D1910" s="1860">
        <f t="shared" si="148"/>
        <v>43369</v>
      </c>
      <c r="E1910" s="1861">
        <v>43369</v>
      </c>
      <c r="F1910" s="1862"/>
      <c r="G1910" s="1862"/>
      <c r="H1910" s="1862"/>
      <c r="I1910" s="1862">
        <f>Tabla1[[#This Row],[Extraccion
Norte II]]+Tabla1[[#This Row],[Extraccion
ENO]]</f>
        <v>0</v>
      </c>
      <c r="J1910" s="1862"/>
      <c r="K1910" s="1862"/>
      <c r="L1910" s="1862">
        <f t="shared" si="145"/>
        <v>0</v>
      </c>
      <c r="M1910" s="1862">
        <f>M1909+Tabla1[[#This Row],[Desbalance
TPL]]</f>
        <v>-673433.8428743222</v>
      </c>
    </row>
    <row r="1911" spans="2:13" x14ac:dyDescent="0.25">
      <c r="B1911" s="1859">
        <f t="shared" si="146"/>
        <v>2018</v>
      </c>
      <c r="C1911" s="1859">
        <f t="shared" si="147"/>
        <v>9</v>
      </c>
      <c r="D1911" s="1860">
        <f t="shared" si="148"/>
        <v>43370</v>
      </c>
      <c r="E1911" s="1861">
        <v>43370</v>
      </c>
      <c r="F1911" s="1862"/>
      <c r="G1911" s="1862"/>
      <c r="H1911" s="1862"/>
      <c r="I1911" s="1862">
        <f>Tabla1[[#This Row],[Extraccion
Norte II]]+Tabla1[[#This Row],[Extraccion
ENO]]</f>
        <v>0</v>
      </c>
      <c r="J1911" s="1862"/>
      <c r="K1911" s="1862"/>
      <c r="L1911" s="1862">
        <f t="shared" si="145"/>
        <v>0</v>
      </c>
      <c r="M1911" s="1862">
        <f>M1910+Tabla1[[#This Row],[Desbalance
TPL]]</f>
        <v>-673433.8428743222</v>
      </c>
    </row>
    <row r="1912" spans="2:13" x14ac:dyDescent="0.25">
      <c r="B1912" s="1859">
        <f t="shared" si="146"/>
        <v>2018</v>
      </c>
      <c r="C1912" s="1859">
        <f t="shared" si="147"/>
        <v>9</v>
      </c>
      <c r="D1912" s="1860">
        <f t="shared" si="148"/>
        <v>43371</v>
      </c>
      <c r="E1912" s="1861">
        <v>43371</v>
      </c>
      <c r="F1912" s="1862"/>
      <c r="G1912" s="1862"/>
      <c r="H1912" s="1862"/>
      <c r="I1912" s="1862">
        <f>Tabla1[[#This Row],[Extraccion
Norte II]]+Tabla1[[#This Row],[Extraccion
ENO]]</f>
        <v>0</v>
      </c>
      <c r="J1912" s="1862"/>
      <c r="K1912" s="1862"/>
      <c r="L1912" s="1862">
        <f t="shared" si="145"/>
        <v>0</v>
      </c>
      <c r="M1912" s="1862">
        <f>M1911+Tabla1[[#This Row],[Desbalance
TPL]]</f>
        <v>-673433.8428743222</v>
      </c>
    </row>
    <row r="1913" spans="2:13" x14ac:dyDescent="0.25">
      <c r="B1913" s="1859">
        <f t="shared" si="146"/>
        <v>2018</v>
      </c>
      <c r="C1913" s="1859">
        <f t="shared" si="147"/>
        <v>9</v>
      </c>
      <c r="D1913" s="1860">
        <f t="shared" si="148"/>
        <v>43372</v>
      </c>
      <c r="E1913" s="1861">
        <v>43372</v>
      </c>
      <c r="F1913" s="1862"/>
      <c r="G1913" s="1862"/>
      <c r="H1913" s="1862"/>
      <c r="I1913" s="1862">
        <f>Tabla1[[#This Row],[Extraccion
Norte II]]+Tabla1[[#This Row],[Extraccion
ENO]]</f>
        <v>0</v>
      </c>
      <c r="J1913" s="1862"/>
      <c r="K1913" s="1862"/>
      <c r="L1913" s="1862">
        <f t="shared" si="145"/>
        <v>0</v>
      </c>
      <c r="M1913" s="1862">
        <f>M1912+Tabla1[[#This Row],[Desbalance
TPL]]</f>
        <v>-673433.8428743222</v>
      </c>
    </row>
    <row r="1914" spans="2:13" x14ac:dyDescent="0.25">
      <c r="B1914" s="1859">
        <f t="shared" si="146"/>
        <v>2018</v>
      </c>
      <c r="C1914" s="1859">
        <f t="shared" si="147"/>
        <v>9</v>
      </c>
      <c r="D1914" s="1860">
        <f t="shared" si="148"/>
        <v>43373</v>
      </c>
      <c r="E1914" s="1861">
        <v>43373</v>
      </c>
      <c r="F1914" s="1862"/>
      <c r="G1914" s="1862"/>
      <c r="H1914" s="1862"/>
      <c r="I1914" s="1862">
        <f>Tabla1[[#This Row],[Extraccion
Norte II]]+Tabla1[[#This Row],[Extraccion
ENO]]</f>
        <v>0</v>
      </c>
      <c r="J1914" s="1862"/>
      <c r="K1914" s="1862"/>
      <c r="L1914" s="1862">
        <f t="shared" si="145"/>
        <v>0</v>
      </c>
      <c r="M1914" s="1862">
        <f>M1913+Tabla1[[#This Row],[Desbalance
TPL]]</f>
        <v>-673433.8428743222</v>
      </c>
    </row>
    <row r="1915" spans="2:13" x14ac:dyDescent="0.25">
      <c r="B1915" s="1859">
        <f t="shared" si="146"/>
        <v>2018</v>
      </c>
      <c r="C1915" s="1859">
        <f t="shared" si="147"/>
        <v>10</v>
      </c>
      <c r="D1915" s="1860">
        <f t="shared" si="148"/>
        <v>43374</v>
      </c>
      <c r="E1915" s="1861">
        <v>43374</v>
      </c>
      <c r="F1915" s="1862"/>
      <c r="G1915" s="1862"/>
      <c r="H1915" s="1862"/>
      <c r="I1915" s="1862">
        <f>Tabla1[[#This Row],[Extraccion
Norte II]]+Tabla1[[#This Row],[Extraccion
ENO]]</f>
        <v>0</v>
      </c>
      <c r="J1915" s="1862"/>
      <c r="K1915" s="1862"/>
      <c r="L1915" s="1862">
        <f t="shared" si="145"/>
        <v>0</v>
      </c>
      <c r="M1915" s="1862">
        <f>M1914+Tabla1[[#This Row],[Desbalance
TPL]]</f>
        <v>-673433.8428743222</v>
      </c>
    </row>
    <row r="1916" spans="2:13" x14ac:dyDescent="0.25">
      <c r="B1916" s="1859">
        <f t="shared" si="146"/>
        <v>2018</v>
      </c>
      <c r="C1916" s="1859">
        <f t="shared" si="147"/>
        <v>10</v>
      </c>
      <c r="D1916" s="1860">
        <f t="shared" si="148"/>
        <v>43375</v>
      </c>
      <c r="E1916" s="1861">
        <v>43375</v>
      </c>
      <c r="F1916" s="1862"/>
      <c r="G1916" s="1862"/>
      <c r="H1916" s="1862"/>
      <c r="I1916" s="1862">
        <f>Tabla1[[#This Row],[Extraccion
Norte II]]+Tabla1[[#This Row],[Extraccion
ENO]]</f>
        <v>0</v>
      </c>
      <c r="J1916" s="1862"/>
      <c r="K1916" s="1862"/>
      <c r="L1916" s="1862">
        <f t="shared" si="145"/>
        <v>0</v>
      </c>
      <c r="M1916" s="1862">
        <f>M1915+Tabla1[[#This Row],[Desbalance
TPL]]</f>
        <v>-673433.8428743222</v>
      </c>
    </row>
    <row r="1917" spans="2:13" x14ac:dyDescent="0.25">
      <c r="B1917" s="1859">
        <f t="shared" si="146"/>
        <v>2018</v>
      </c>
      <c r="C1917" s="1859">
        <f t="shared" si="147"/>
        <v>10</v>
      </c>
      <c r="D1917" s="1860">
        <f t="shared" si="148"/>
        <v>43376</v>
      </c>
      <c r="E1917" s="1861">
        <v>43376</v>
      </c>
      <c r="F1917" s="1862"/>
      <c r="G1917" s="1862"/>
      <c r="H1917" s="1862"/>
      <c r="I1917" s="1862">
        <f>Tabla1[[#This Row],[Extraccion
Norte II]]+Tabla1[[#This Row],[Extraccion
ENO]]</f>
        <v>0</v>
      </c>
      <c r="J1917" s="1862"/>
      <c r="K1917" s="1862"/>
      <c r="L1917" s="1862">
        <f t="shared" si="145"/>
        <v>0</v>
      </c>
      <c r="M1917" s="1862">
        <f>M1916+Tabla1[[#This Row],[Desbalance
TPL]]</f>
        <v>-673433.8428743222</v>
      </c>
    </row>
    <row r="1918" spans="2:13" x14ac:dyDescent="0.25">
      <c r="B1918" s="1859">
        <f t="shared" si="146"/>
        <v>2018</v>
      </c>
      <c r="C1918" s="1859">
        <f t="shared" si="147"/>
        <v>10</v>
      </c>
      <c r="D1918" s="1860">
        <f t="shared" si="148"/>
        <v>43377</v>
      </c>
      <c r="E1918" s="1861">
        <v>43377</v>
      </c>
      <c r="F1918" s="1862"/>
      <c r="G1918" s="1862"/>
      <c r="H1918" s="1862"/>
      <c r="I1918" s="1862">
        <f>Tabla1[[#This Row],[Extraccion
Norte II]]+Tabla1[[#This Row],[Extraccion
ENO]]</f>
        <v>0</v>
      </c>
      <c r="J1918" s="1862"/>
      <c r="K1918" s="1862"/>
      <c r="L1918" s="1862">
        <f t="shared" si="145"/>
        <v>0</v>
      </c>
      <c r="M1918" s="1862">
        <f>M1917+Tabla1[[#This Row],[Desbalance
TPL]]</f>
        <v>-673433.8428743222</v>
      </c>
    </row>
    <row r="1919" spans="2:13" x14ac:dyDescent="0.25">
      <c r="B1919" s="1859">
        <f t="shared" si="146"/>
        <v>2018</v>
      </c>
      <c r="C1919" s="1859">
        <f t="shared" si="147"/>
        <v>10</v>
      </c>
      <c r="D1919" s="1860">
        <f t="shared" si="148"/>
        <v>43378</v>
      </c>
      <c r="E1919" s="1861">
        <v>43378</v>
      </c>
      <c r="F1919" s="1862"/>
      <c r="G1919" s="1862"/>
      <c r="H1919" s="1862"/>
      <c r="I1919" s="1862">
        <f>Tabla1[[#This Row],[Extraccion
Norte II]]+Tabla1[[#This Row],[Extraccion
ENO]]</f>
        <v>0</v>
      </c>
      <c r="J1919" s="1862"/>
      <c r="K1919" s="1862"/>
      <c r="L1919" s="1862">
        <f t="shared" si="145"/>
        <v>0</v>
      </c>
      <c r="M1919" s="1862">
        <f>M1918+Tabla1[[#This Row],[Desbalance
TPL]]</f>
        <v>-673433.8428743222</v>
      </c>
    </row>
    <row r="1920" spans="2:13" x14ac:dyDescent="0.25">
      <c r="B1920" s="1859">
        <f t="shared" si="146"/>
        <v>2018</v>
      </c>
      <c r="C1920" s="1859">
        <f t="shared" si="147"/>
        <v>10</v>
      </c>
      <c r="D1920" s="1860">
        <f t="shared" si="148"/>
        <v>43379</v>
      </c>
      <c r="E1920" s="1861">
        <v>43379</v>
      </c>
      <c r="F1920" s="1862"/>
      <c r="G1920" s="1862"/>
      <c r="H1920" s="1862"/>
      <c r="I1920" s="1862">
        <f>Tabla1[[#This Row],[Extraccion
Norte II]]+Tabla1[[#This Row],[Extraccion
ENO]]</f>
        <v>0</v>
      </c>
      <c r="J1920" s="1862"/>
      <c r="K1920" s="1862"/>
      <c r="L1920" s="1862">
        <f t="shared" si="145"/>
        <v>0</v>
      </c>
      <c r="M1920" s="1862">
        <f>M1919+Tabla1[[#This Row],[Desbalance
TPL]]</f>
        <v>-673433.8428743222</v>
      </c>
    </row>
    <row r="1921" spans="2:13" x14ac:dyDescent="0.25">
      <c r="B1921" s="1859">
        <f t="shared" si="146"/>
        <v>2018</v>
      </c>
      <c r="C1921" s="1859">
        <f t="shared" si="147"/>
        <v>10</v>
      </c>
      <c r="D1921" s="1860">
        <f t="shared" si="148"/>
        <v>43380</v>
      </c>
      <c r="E1921" s="1861">
        <v>43380</v>
      </c>
      <c r="F1921" s="1862"/>
      <c r="G1921" s="1862"/>
      <c r="H1921" s="1862"/>
      <c r="I1921" s="1862">
        <f>Tabla1[[#This Row],[Extraccion
Norte II]]+Tabla1[[#This Row],[Extraccion
ENO]]</f>
        <v>0</v>
      </c>
      <c r="J1921" s="1862"/>
      <c r="K1921" s="1862"/>
      <c r="L1921" s="1862">
        <f t="shared" si="145"/>
        <v>0</v>
      </c>
      <c r="M1921" s="1862">
        <f>M1920+Tabla1[[#This Row],[Desbalance
TPL]]</f>
        <v>-673433.8428743222</v>
      </c>
    </row>
    <row r="1922" spans="2:13" x14ac:dyDescent="0.25">
      <c r="B1922" s="1859">
        <f t="shared" si="146"/>
        <v>2018</v>
      </c>
      <c r="C1922" s="1859">
        <f t="shared" si="147"/>
        <v>10</v>
      </c>
      <c r="D1922" s="1860">
        <f t="shared" si="148"/>
        <v>43381</v>
      </c>
      <c r="E1922" s="1861">
        <v>43381</v>
      </c>
      <c r="F1922" s="1862"/>
      <c r="G1922" s="1862"/>
      <c r="H1922" s="1862"/>
      <c r="I1922" s="1862">
        <f>Tabla1[[#This Row],[Extraccion
Norte II]]+Tabla1[[#This Row],[Extraccion
ENO]]</f>
        <v>0</v>
      </c>
      <c r="J1922" s="1862"/>
      <c r="K1922" s="1862"/>
      <c r="L1922" s="1862">
        <f t="shared" si="145"/>
        <v>0</v>
      </c>
      <c r="M1922" s="1862">
        <f>M1921+Tabla1[[#This Row],[Desbalance
TPL]]</f>
        <v>-673433.8428743222</v>
      </c>
    </row>
    <row r="1923" spans="2:13" x14ac:dyDescent="0.25">
      <c r="B1923" s="1859">
        <f t="shared" si="146"/>
        <v>2018</v>
      </c>
      <c r="C1923" s="1859">
        <f t="shared" si="147"/>
        <v>10</v>
      </c>
      <c r="D1923" s="1860">
        <f t="shared" si="148"/>
        <v>43382</v>
      </c>
      <c r="E1923" s="1861">
        <v>43382</v>
      </c>
      <c r="F1923" s="1862"/>
      <c r="G1923" s="1862"/>
      <c r="H1923" s="1862"/>
      <c r="I1923" s="1862">
        <f>Tabla1[[#This Row],[Extraccion
Norte II]]+Tabla1[[#This Row],[Extraccion
ENO]]</f>
        <v>0</v>
      </c>
      <c r="J1923" s="1862"/>
      <c r="K1923" s="1862"/>
      <c r="L1923" s="1862">
        <f t="shared" si="145"/>
        <v>0</v>
      </c>
      <c r="M1923" s="1862">
        <f>M1922+Tabla1[[#This Row],[Desbalance
TPL]]</f>
        <v>-673433.8428743222</v>
      </c>
    </row>
    <row r="1924" spans="2:13" x14ac:dyDescent="0.25">
      <c r="B1924" s="1859">
        <f t="shared" si="146"/>
        <v>2018</v>
      </c>
      <c r="C1924" s="1859">
        <f t="shared" si="147"/>
        <v>10</v>
      </c>
      <c r="D1924" s="1860">
        <f t="shared" si="148"/>
        <v>43383</v>
      </c>
      <c r="E1924" s="1861">
        <v>43383</v>
      </c>
      <c r="F1924" s="1862"/>
      <c r="G1924" s="1862"/>
      <c r="H1924" s="1862"/>
      <c r="I1924" s="1862">
        <f>Tabla1[[#This Row],[Extraccion
Norte II]]+Tabla1[[#This Row],[Extraccion
ENO]]</f>
        <v>0</v>
      </c>
      <c r="J1924" s="1862"/>
      <c r="K1924" s="1862"/>
      <c r="L1924" s="1862">
        <f t="shared" si="145"/>
        <v>0</v>
      </c>
      <c r="M1924" s="1862">
        <f>M1923+Tabla1[[#This Row],[Desbalance
TPL]]</f>
        <v>-673433.8428743222</v>
      </c>
    </row>
    <row r="1925" spans="2:13" x14ac:dyDescent="0.25">
      <c r="B1925" s="1859">
        <f t="shared" si="146"/>
        <v>2018</v>
      </c>
      <c r="C1925" s="1859">
        <f t="shared" si="147"/>
        <v>10</v>
      </c>
      <c r="D1925" s="1860">
        <f t="shared" si="148"/>
        <v>43384</v>
      </c>
      <c r="E1925" s="1861">
        <v>43384</v>
      </c>
      <c r="F1925" s="1862"/>
      <c r="G1925" s="1862"/>
      <c r="H1925" s="1862"/>
      <c r="I1925" s="1862">
        <f>Tabla1[[#This Row],[Extraccion
Norte II]]+Tabla1[[#This Row],[Extraccion
ENO]]</f>
        <v>0</v>
      </c>
      <c r="J1925" s="1862"/>
      <c r="K1925" s="1862"/>
      <c r="L1925" s="1862">
        <f t="shared" si="145"/>
        <v>0</v>
      </c>
      <c r="M1925" s="1862">
        <f>M1924+Tabla1[[#This Row],[Desbalance
TPL]]</f>
        <v>-673433.8428743222</v>
      </c>
    </row>
    <row r="1926" spans="2:13" x14ac:dyDescent="0.25">
      <c r="B1926" s="1859">
        <f t="shared" si="146"/>
        <v>2018</v>
      </c>
      <c r="C1926" s="1859">
        <f t="shared" si="147"/>
        <v>10</v>
      </c>
      <c r="D1926" s="1860">
        <f t="shared" si="148"/>
        <v>43385</v>
      </c>
      <c r="E1926" s="1861">
        <v>43385</v>
      </c>
      <c r="F1926" s="1862"/>
      <c r="G1926" s="1862"/>
      <c r="H1926" s="1862"/>
      <c r="I1926" s="1862">
        <f>Tabla1[[#This Row],[Extraccion
Norte II]]+Tabla1[[#This Row],[Extraccion
ENO]]</f>
        <v>0</v>
      </c>
      <c r="J1926" s="1862"/>
      <c r="K1926" s="1862"/>
      <c r="L1926" s="1862">
        <f t="shared" si="145"/>
        <v>0</v>
      </c>
      <c r="M1926" s="1862">
        <f>M1925+Tabla1[[#This Row],[Desbalance
TPL]]</f>
        <v>-673433.8428743222</v>
      </c>
    </row>
    <row r="1927" spans="2:13" x14ac:dyDescent="0.25">
      <c r="B1927" s="1859">
        <f t="shared" si="146"/>
        <v>2018</v>
      </c>
      <c r="C1927" s="1859">
        <f t="shared" si="147"/>
        <v>10</v>
      </c>
      <c r="D1927" s="1860">
        <f t="shared" si="148"/>
        <v>43386</v>
      </c>
      <c r="E1927" s="1861">
        <v>43386</v>
      </c>
      <c r="F1927" s="1862"/>
      <c r="G1927" s="1862"/>
      <c r="H1927" s="1862"/>
      <c r="I1927" s="1862">
        <f>Tabla1[[#This Row],[Extraccion
Norte II]]+Tabla1[[#This Row],[Extraccion
ENO]]</f>
        <v>0</v>
      </c>
      <c r="J1927" s="1862"/>
      <c r="K1927" s="1862"/>
      <c r="L1927" s="1862">
        <f t="shared" si="145"/>
        <v>0</v>
      </c>
      <c r="M1927" s="1862">
        <f>M1926+Tabla1[[#This Row],[Desbalance
TPL]]</f>
        <v>-673433.8428743222</v>
      </c>
    </row>
    <row r="1928" spans="2:13" x14ac:dyDescent="0.25">
      <c r="B1928" s="1859">
        <f t="shared" si="146"/>
        <v>2018</v>
      </c>
      <c r="C1928" s="1859">
        <f t="shared" si="147"/>
        <v>10</v>
      </c>
      <c r="D1928" s="1860">
        <f t="shared" si="148"/>
        <v>43387</v>
      </c>
      <c r="E1928" s="1861">
        <v>43387</v>
      </c>
      <c r="F1928" s="1862"/>
      <c r="G1928" s="1862"/>
      <c r="H1928" s="1862"/>
      <c r="I1928" s="1862">
        <f>Tabla1[[#This Row],[Extraccion
Norte II]]+Tabla1[[#This Row],[Extraccion
ENO]]</f>
        <v>0</v>
      </c>
      <c r="J1928" s="1862"/>
      <c r="K1928" s="1862"/>
      <c r="L1928" s="1862">
        <f t="shared" si="145"/>
        <v>0</v>
      </c>
      <c r="M1928" s="1862">
        <f>M1927+Tabla1[[#This Row],[Desbalance
TPL]]</f>
        <v>-673433.8428743222</v>
      </c>
    </row>
    <row r="1929" spans="2:13" x14ac:dyDescent="0.25">
      <c r="B1929" s="1859">
        <f t="shared" si="146"/>
        <v>2018</v>
      </c>
      <c r="C1929" s="1859">
        <f t="shared" si="147"/>
        <v>10</v>
      </c>
      <c r="D1929" s="1860">
        <f t="shared" si="148"/>
        <v>43388</v>
      </c>
      <c r="E1929" s="1861">
        <v>43388</v>
      </c>
      <c r="F1929" s="1862"/>
      <c r="G1929" s="1862"/>
      <c r="H1929" s="1862"/>
      <c r="I1929" s="1862">
        <f>Tabla1[[#This Row],[Extraccion
Norte II]]+Tabla1[[#This Row],[Extraccion
ENO]]</f>
        <v>0</v>
      </c>
      <c r="J1929" s="1862"/>
      <c r="K1929" s="1862"/>
      <c r="L1929" s="1862">
        <f t="shared" si="145"/>
        <v>0</v>
      </c>
      <c r="M1929" s="1862">
        <f>M1928+Tabla1[[#This Row],[Desbalance
TPL]]</f>
        <v>-673433.8428743222</v>
      </c>
    </row>
    <row r="1930" spans="2:13" x14ac:dyDescent="0.25">
      <c r="B1930" s="1859">
        <f t="shared" si="146"/>
        <v>2018</v>
      </c>
      <c r="C1930" s="1859">
        <f t="shared" si="147"/>
        <v>10</v>
      </c>
      <c r="D1930" s="1860">
        <f t="shared" si="148"/>
        <v>43389</v>
      </c>
      <c r="E1930" s="1861">
        <v>43389</v>
      </c>
      <c r="F1930" s="1862"/>
      <c r="G1930" s="1862"/>
      <c r="H1930" s="1862"/>
      <c r="I1930" s="1862">
        <f>Tabla1[[#This Row],[Extraccion
Norte II]]+Tabla1[[#This Row],[Extraccion
ENO]]</f>
        <v>0</v>
      </c>
      <c r="J1930" s="1862"/>
      <c r="K1930" s="1862"/>
      <c r="L1930" s="1862">
        <f t="shared" si="145"/>
        <v>0</v>
      </c>
      <c r="M1930" s="1862">
        <f>M1929+Tabla1[[#This Row],[Desbalance
TPL]]</f>
        <v>-673433.8428743222</v>
      </c>
    </row>
    <row r="1931" spans="2:13" x14ac:dyDescent="0.25">
      <c r="B1931" s="1859">
        <f t="shared" si="146"/>
        <v>2018</v>
      </c>
      <c r="C1931" s="1859">
        <f t="shared" si="147"/>
        <v>10</v>
      </c>
      <c r="D1931" s="1860">
        <f t="shared" si="148"/>
        <v>43390</v>
      </c>
      <c r="E1931" s="1861">
        <v>43390</v>
      </c>
      <c r="F1931" s="1862"/>
      <c r="G1931" s="1862"/>
      <c r="H1931" s="1862"/>
      <c r="I1931" s="1862">
        <f>Tabla1[[#This Row],[Extraccion
Norte II]]+Tabla1[[#This Row],[Extraccion
ENO]]</f>
        <v>0</v>
      </c>
      <c r="J1931" s="1862"/>
      <c r="K1931" s="1862"/>
      <c r="L1931" s="1862">
        <f t="shared" si="145"/>
        <v>0</v>
      </c>
      <c r="M1931" s="1862">
        <f>M1930+Tabla1[[#This Row],[Desbalance
TPL]]</f>
        <v>-673433.8428743222</v>
      </c>
    </row>
    <row r="1932" spans="2:13" x14ac:dyDescent="0.25">
      <c r="B1932" s="1859">
        <f t="shared" si="146"/>
        <v>2018</v>
      </c>
      <c r="C1932" s="1859">
        <f t="shared" si="147"/>
        <v>10</v>
      </c>
      <c r="D1932" s="1860">
        <f t="shared" si="148"/>
        <v>43391</v>
      </c>
      <c r="E1932" s="1861">
        <v>43391</v>
      </c>
      <c r="F1932" s="1862"/>
      <c r="G1932" s="1862"/>
      <c r="H1932" s="1862"/>
      <c r="I1932" s="1862">
        <f>Tabla1[[#This Row],[Extraccion
Norte II]]+Tabla1[[#This Row],[Extraccion
ENO]]</f>
        <v>0</v>
      </c>
      <c r="J1932" s="1862"/>
      <c r="K1932" s="1862"/>
      <c r="L1932" s="1862">
        <f t="shared" ref="L1932:L1973" si="149">H1932-I1932</f>
        <v>0</v>
      </c>
      <c r="M1932" s="1862">
        <f>M1931+Tabla1[[#This Row],[Desbalance
TPL]]</f>
        <v>-673433.8428743222</v>
      </c>
    </row>
    <row r="1933" spans="2:13" x14ac:dyDescent="0.25">
      <c r="B1933" s="1859">
        <f t="shared" si="146"/>
        <v>2018</v>
      </c>
      <c r="C1933" s="1859">
        <f t="shared" si="147"/>
        <v>10</v>
      </c>
      <c r="D1933" s="1860">
        <f t="shared" si="148"/>
        <v>43392</v>
      </c>
      <c r="E1933" s="1861">
        <v>43392</v>
      </c>
      <c r="F1933" s="1862"/>
      <c r="G1933" s="1862"/>
      <c r="H1933" s="1862"/>
      <c r="I1933" s="1862">
        <f>Tabla1[[#This Row],[Extraccion
Norte II]]+Tabla1[[#This Row],[Extraccion
ENO]]</f>
        <v>0</v>
      </c>
      <c r="J1933" s="1862"/>
      <c r="K1933" s="1862"/>
      <c r="L1933" s="1862">
        <f t="shared" si="149"/>
        <v>0</v>
      </c>
      <c r="M1933" s="1862">
        <f>M1932+Tabla1[[#This Row],[Desbalance
TPL]]</f>
        <v>-673433.8428743222</v>
      </c>
    </row>
    <row r="1934" spans="2:13" x14ac:dyDescent="0.25">
      <c r="B1934" s="1859">
        <f t="shared" si="146"/>
        <v>2018</v>
      </c>
      <c r="C1934" s="1859">
        <f t="shared" si="147"/>
        <v>10</v>
      </c>
      <c r="D1934" s="1860">
        <f t="shared" si="148"/>
        <v>43393</v>
      </c>
      <c r="E1934" s="1861">
        <v>43393</v>
      </c>
      <c r="F1934" s="1862"/>
      <c r="G1934" s="1862"/>
      <c r="H1934" s="1862"/>
      <c r="I1934" s="1862">
        <f>Tabla1[[#This Row],[Extraccion
Norte II]]+Tabla1[[#This Row],[Extraccion
ENO]]</f>
        <v>0</v>
      </c>
      <c r="J1934" s="1862"/>
      <c r="K1934" s="1862"/>
      <c r="L1934" s="1862">
        <f t="shared" si="149"/>
        <v>0</v>
      </c>
      <c r="M1934" s="1862">
        <f>M1933+Tabla1[[#This Row],[Desbalance
TPL]]</f>
        <v>-673433.8428743222</v>
      </c>
    </row>
    <row r="1935" spans="2:13" x14ac:dyDescent="0.25">
      <c r="B1935" s="1859">
        <f t="shared" si="146"/>
        <v>2018</v>
      </c>
      <c r="C1935" s="1859">
        <f t="shared" si="147"/>
        <v>10</v>
      </c>
      <c r="D1935" s="1860">
        <f t="shared" si="148"/>
        <v>43394</v>
      </c>
      <c r="E1935" s="1861">
        <v>43394</v>
      </c>
      <c r="F1935" s="1862"/>
      <c r="G1935" s="1862"/>
      <c r="H1935" s="1862"/>
      <c r="I1935" s="1862">
        <f>Tabla1[[#This Row],[Extraccion
Norte II]]+Tabla1[[#This Row],[Extraccion
ENO]]</f>
        <v>0</v>
      </c>
      <c r="J1935" s="1862"/>
      <c r="K1935" s="1862"/>
      <c r="L1935" s="1862">
        <f t="shared" si="149"/>
        <v>0</v>
      </c>
      <c r="M1935" s="1862">
        <f>M1934+Tabla1[[#This Row],[Desbalance
TPL]]</f>
        <v>-673433.8428743222</v>
      </c>
    </row>
    <row r="1936" spans="2:13" x14ac:dyDescent="0.25">
      <c r="B1936" s="1859">
        <f t="shared" si="146"/>
        <v>2018</v>
      </c>
      <c r="C1936" s="1859">
        <f t="shared" si="147"/>
        <v>10</v>
      </c>
      <c r="D1936" s="1860">
        <f t="shared" si="148"/>
        <v>43395</v>
      </c>
      <c r="E1936" s="1861">
        <v>43395</v>
      </c>
      <c r="F1936" s="1862"/>
      <c r="G1936" s="1862"/>
      <c r="H1936" s="1862"/>
      <c r="I1936" s="1862">
        <f>Tabla1[[#This Row],[Extraccion
Norte II]]+Tabla1[[#This Row],[Extraccion
ENO]]</f>
        <v>0</v>
      </c>
      <c r="J1936" s="1862"/>
      <c r="K1936" s="1862"/>
      <c r="L1936" s="1862">
        <f t="shared" si="149"/>
        <v>0</v>
      </c>
      <c r="M1936" s="1862">
        <f>M1935+Tabla1[[#This Row],[Desbalance
TPL]]</f>
        <v>-673433.8428743222</v>
      </c>
    </row>
    <row r="1937" spans="2:13" x14ac:dyDescent="0.25">
      <c r="B1937" s="1859">
        <f t="shared" si="146"/>
        <v>2018</v>
      </c>
      <c r="C1937" s="1859">
        <f t="shared" si="147"/>
        <v>10</v>
      </c>
      <c r="D1937" s="1860">
        <f t="shared" si="148"/>
        <v>43396</v>
      </c>
      <c r="E1937" s="1861">
        <v>43396</v>
      </c>
      <c r="F1937" s="1862"/>
      <c r="G1937" s="1862"/>
      <c r="H1937" s="1862"/>
      <c r="I1937" s="1862">
        <f>Tabla1[[#This Row],[Extraccion
Norte II]]+Tabla1[[#This Row],[Extraccion
ENO]]</f>
        <v>0</v>
      </c>
      <c r="J1937" s="1862"/>
      <c r="K1937" s="1862"/>
      <c r="L1937" s="1862">
        <f t="shared" si="149"/>
        <v>0</v>
      </c>
      <c r="M1937" s="1862">
        <f>M1936+Tabla1[[#This Row],[Desbalance
TPL]]</f>
        <v>-673433.8428743222</v>
      </c>
    </row>
    <row r="1938" spans="2:13" x14ac:dyDescent="0.25">
      <c r="B1938" s="1859">
        <f t="shared" si="146"/>
        <v>2018</v>
      </c>
      <c r="C1938" s="1859">
        <f t="shared" si="147"/>
        <v>10</v>
      </c>
      <c r="D1938" s="1860">
        <f t="shared" si="148"/>
        <v>43397</v>
      </c>
      <c r="E1938" s="1861">
        <v>43397</v>
      </c>
      <c r="F1938" s="1862"/>
      <c r="G1938" s="1862"/>
      <c r="H1938" s="1862"/>
      <c r="I1938" s="1862">
        <f>Tabla1[[#This Row],[Extraccion
Norte II]]+Tabla1[[#This Row],[Extraccion
ENO]]</f>
        <v>0</v>
      </c>
      <c r="J1938" s="1862"/>
      <c r="K1938" s="1862"/>
      <c r="L1938" s="1862">
        <f t="shared" si="149"/>
        <v>0</v>
      </c>
      <c r="M1938" s="1862">
        <f>M1937+Tabla1[[#This Row],[Desbalance
TPL]]</f>
        <v>-673433.8428743222</v>
      </c>
    </row>
    <row r="1939" spans="2:13" x14ac:dyDescent="0.25">
      <c r="B1939" s="1859">
        <f t="shared" si="146"/>
        <v>2018</v>
      </c>
      <c r="C1939" s="1859">
        <f t="shared" si="147"/>
        <v>10</v>
      </c>
      <c r="D1939" s="1860">
        <f t="shared" si="148"/>
        <v>43398</v>
      </c>
      <c r="E1939" s="1861">
        <v>43398</v>
      </c>
      <c r="F1939" s="1862"/>
      <c r="G1939" s="1862"/>
      <c r="H1939" s="1862"/>
      <c r="I1939" s="1862">
        <f>Tabla1[[#This Row],[Extraccion
Norte II]]+Tabla1[[#This Row],[Extraccion
ENO]]</f>
        <v>0</v>
      </c>
      <c r="J1939" s="1862"/>
      <c r="K1939" s="1862"/>
      <c r="L1939" s="1862">
        <f t="shared" si="149"/>
        <v>0</v>
      </c>
      <c r="M1939" s="1862">
        <f>M1938+Tabla1[[#This Row],[Desbalance
TPL]]</f>
        <v>-673433.8428743222</v>
      </c>
    </row>
    <row r="1940" spans="2:13" x14ac:dyDescent="0.25">
      <c r="B1940" s="1859">
        <f t="shared" si="146"/>
        <v>2018</v>
      </c>
      <c r="C1940" s="1859">
        <f t="shared" si="147"/>
        <v>10</v>
      </c>
      <c r="D1940" s="1860">
        <f t="shared" si="148"/>
        <v>43399</v>
      </c>
      <c r="E1940" s="1861">
        <v>43399</v>
      </c>
      <c r="F1940" s="1862"/>
      <c r="G1940" s="1862"/>
      <c r="H1940" s="1862"/>
      <c r="I1940" s="1862">
        <f>Tabla1[[#This Row],[Extraccion
Norte II]]+Tabla1[[#This Row],[Extraccion
ENO]]</f>
        <v>0</v>
      </c>
      <c r="J1940" s="1862"/>
      <c r="K1940" s="1862"/>
      <c r="L1940" s="1862">
        <f t="shared" si="149"/>
        <v>0</v>
      </c>
      <c r="M1940" s="1862">
        <f>M1939+Tabla1[[#This Row],[Desbalance
TPL]]</f>
        <v>-673433.8428743222</v>
      </c>
    </row>
    <row r="1941" spans="2:13" x14ac:dyDescent="0.25">
      <c r="B1941" s="1859">
        <f t="shared" si="146"/>
        <v>2018</v>
      </c>
      <c r="C1941" s="1859">
        <f t="shared" si="147"/>
        <v>10</v>
      </c>
      <c r="D1941" s="1860">
        <f t="shared" si="148"/>
        <v>43400</v>
      </c>
      <c r="E1941" s="1861">
        <v>43400</v>
      </c>
      <c r="F1941" s="1862"/>
      <c r="G1941" s="1862"/>
      <c r="H1941" s="1862"/>
      <c r="I1941" s="1862">
        <f>Tabla1[[#This Row],[Extraccion
Norte II]]+Tabla1[[#This Row],[Extraccion
ENO]]</f>
        <v>0</v>
      </c>
      <c r="J1941" s="1862"/>
      <c r="K1941" s="1862"/>
      <c r="L1941" s="1862">
        <f t="shared" si="149"/>
        <v>0</v>
      </c>
      <c r="M1941" s="1862">
        <f>M1940+Tabla1[[#This Row],[Desbalance
TPL]]</f>
        <v>-673433.8428743222</v>
      </c>
    </row>
    <row r="1942" spans="2:13" x14ac:dyDescent="0.25">
      <c r="B1942" s="1859">
        <f t="shared" si="146"/>
        <v>2018</v>
      </c>
      <c r="C1942" s="1859">
        <f t="shared" si="147"/>
        <v>10</v>
      </c>
      <c r="D1942" s="1860">
        <f t="shared" si="148"/>
        <v>43401</v>
      </c>
      <c r="E1942" s="1861">
        <v>43401</v>
      </c>
      <c r="F1942" s="1862"/>
      <c r="G1942" s="1862"/>
      <c r="H1942" s="1862"/>
      <c r="I1942" s="1862">
        <f>Tabla1[[#This Row],[Extraccion
Norte II]]+Tabla1[[#This Row],[Extraccion
ENO]]</f>
        <v>0</v>
      </c>
      <c r="J1942" s="1862"/>
      <c r="K1942" s="1862"/>
      <c r="L1942" s="1862">
        <f t="shared" si="149"/>
        <v>0</v>
      </c>
      <c r="M1942" s="1862">
        <f>M1941+Tabla1[[#This Row],[Desbalance
TPL]]</f>
        <v>-673433.8428743222</v>
      </c>
    </row>
    <row r="1943" spans="2:13" x14ac:dyDescent="0.25">
      <c r="B1943" s="1859">
        <f t="shared" si="146"/>
        <v>2018</v>
      </c>
      <c r="C1943" s="1859">
        <f t="shared" si="147"/>
        <v>10</v>
      </c>
      <c r="D1943" s="1860">
        <f t="shared" si="148"/>
        <v>43402</v>
      </c>
      <c r="E1943" s="1861">
        <v>43402</v>
      </c>
      <c r="F1943" s="1862"/>
      <c r="G1943" s="1862"/>
      <c r="H1943" s="1862"/>
      <c r="I1943" s="1862">
        <f>Tabla1[[#This Row],[Extraccion
Norte II]]+Tabla1[[#This Row],[Extraccion
ENO]]</f>
        <v>0</v>
      </c>
      <c r="J1943" s="1862"/>
      <c r="K1943" s="1862"/>
      <c r="L1943" s="1862">
        <f t="shared" si="149"/>
        <v>0</v>
      </c>
      <c r="M1943" s="1862">
        <f>M1942+Tabla1[[#This Row],[Desbalance
TPL]]</f>
        <v>-673433.8428743222</v>
      </c>
    </row>
    <row r="1944" spans="2:13" x14ac:dyDescent="0.25">
      <c r="B1944" s="1859">
        <f t="shared" si="146"/>
        <v>2018</v>
      </c>
      <c r="C1944" s="1859">
        <f t="shared" si="147"/>
        <v>10</v>
      </c>
      <c r="D1944" s="1860">
        <f t="shared" si="148"/>
        <v>43403</v>
      </c>
      <c r="E1944" s="1861">
        <v>43403</v>
      </c>
      <c r="F1944" s="1862"/>
      <c r="G1944" s="1862"/>
      <c r="H1944" s="1862"/>
      <c r="I1944" s="1862">
        <f>Tabla1[[#This Row],[Extraccion
Norte II]]+Tabla1[[#This Row],[Extraccion
ENO]]</f>
        <v>0</v>
      </c>
      <c r="J1944" s="1862"/>
      <c r="K1944" s="1862"/>
      <c r="L1944" s="1862">
        <f t="shared" si="149"/>
        <v>0</v>
      </c>
      <c r="M1944" s="1862">
        <f>M1943+Tabla1[[#This Row],[Desbalance
TPL]]</f>
        <v>-673433.8428743222</v>
      </c>
    </row>
    <row r="1945" spans="2:13" x14ac:dyDescent="0.25">
      <c r="B1945" s="1859">
        <f t="shared" si="146"/>
        <v>2018</v>
      </c>
      <c r="C1945" s="1859">
        <f t="shared" si="147"/>
        <v>10</v>
      </c>
      <c r="D1945" s="1860">
        <f t="shared" si="148"/>
        <v>43404</v>
      </c>
      <c r="E1945" s="1861">
        <v>43404</v>
      </c>
      <c r="F1945" s="1862"/>
      <c r="G1945" s="1862"/>
      <c r="H1945" s="1862"/>
      <c r="I1945" s="1862">
        <f>Tabla1[[#This Row],[Extraccion
Norte II]]+Tabla1[[#This Row],[Extraccion
ENO]]</f>
        <v>0</v>
      </c>
      <c r="J1945" s="1862"/>
      <c r="K1945" s="1862"/>
      <c r="L1945" s="1862">
        <f t="shared" si="149"/>
        <v>0</v>
      </c>
      <c r="M1945" s="1862">
        <f>M1944+Tabla1[[#This Row],[Desbalance
TPL]]</f>
        <v>-673433.8428743222</v>
      </c>
    </row>
    <row r="1946" spans="2:13" x14ac:dyDescent="0.25">
      <c r="B1946" s="1859">
        <f t="shared" si="146"/>
        <v>2018</v>
      </c>
      <c r="C1946" s="1859">
        <f t="shared" si="147"/>
        <v>11</v>
      </c>
      <c r="D1946" s="1860">
        <f t="shared" si="148"/>
        <v>43405</v>
      </c>
      <c r="E1946" s="1861">
        <v>43405</v>
      </c>
      <c r="F1946" s="1862"/>
      <c r="G1946" s="1862"/>
      <c r="H1946" s="1862"/>
      <c r="I1946" s="1862">
        <f>Tabla1[[#This Row],[Extraccion
Norte II]]+Tabla1[[#This Row],[Extraccion
ENO]]</f>
        <v>0</v>
      </c>
      <c r="J1946" s="1862"/>
      <c r="K1946" s="1862"/>
      <c r="L1946" s="1862">
        <f t="shared" si="149"/>
        <v>0</v>
      </c>
      <c r="M1946" s="1862">
        <f>M1945+Tabla1[[#This Row],[Desbalance
TPL]]</f>
        <v>-673433.8428743222</v>
      </c>
    </row>
    <row r="1947" spans="2:13" x14ac:dyDescent="0.25">
      <c r="B1947" s="1859">
        <f t="shared" si="146"/>
        <v>2018</v>
      </c>
      <c r="C1947" s="1859">
        <f t="shared" si="147"/>
        <v>11</v>
      </c>
      <c r="D1947" s="1860">
        <f t="shared" si="148"/>
        <v>43406</v>
      </c>
      <c r="E1947" s="1861">
        <v>43406</v>
      </c>
      <c r="F1947" s="1862"/>
      <c r="G1947" s="1862"/>
      <c r="H1947" s="1862"/>
      <c r="I1947" s="1862">
        <f>Tabla1[[#This Row],[Extraccion
Norte II]]+Tabla1[[#This Row],[Extraccion
ENO]]</f>
        <v>0</v>
      </c>
      <c r="J1947" s="1862"/>
      <c r="K1947" s="1862"/>
      <c r="L1947" s="1862">
        <f t="shared" si="149"/>
        <v>0</v>
      </c>
      <c r="M1947" s="1862">
        <f>M1946+Tabla1[[#This Row],[Desbalance
TPL]]</f>
        <v>-673433.8428743222</v>
      </c>
    </row>
    <row r="1948" spans="2:13" x14ac:dyDescent="0.25">
      <c r="B1948" s="1859">
        <f t="shared" si="146"/>
        <v>2018</v>
      </c>
      <c r="C1948" s="1859">
        <f t="shared" si="147"/>
        <v>11</v>
      </c>
      <c r="D1948" s="1860">
        <f t="shared" si="148"/>
        <v>43407</v>
      </c>
      <c r="E1948" s="1861">
        <v>43407</v>
      </c>
      <c r="F1948" s="1862"/>
      <c r="G1948" s="1862"/>
      <c r="H1948" s="1862"/>
      <c r="I1948" s="1862">
        <f>Tabla1[[#This Row],[Extraccion
Norte II]]+Tabla1[[#This Row],[Extraccion
ENO]]</f>
        <v>0</v>
      </c>
      <c r="J1948" s="1862"/>
      <c r="K1948" s="1862"/>
      <c r="L1948" s="1862">
        <f t="shared" si="149"/>
        <v>0</v>
      </c>
      <c r="M1948" s="1862">
        <f>M1947+Tabla1[[#This Row],[Desbalance
TPL]]</f>
        <v>-673433.8428743222</v>
      </c>
    </row>
    <row r="1949" spans="2:13" x14ac:dyDescent="0.25">
      <c r="B1949" s="1859">
        <f t="shared" si="146"/>
        <v>2018</v>
      </c>
      <c r="C1949" s="1859">
        <f t="shared" si="147"/>
        <v>11</v>
      </c>
      <c r="D1949" s="1860">
        <f t="shared" si="148"/>
        <v>43408</v>
      </c>
      <c r="E1949" s="1861">
        <v>43408</v>
      </c>
      <c r="F1949" s="1862"/>
      <c r="G1949" s="1862"/>
      <c r="H1949" s="1862"/>
      <c r="I1949" s="1862">
        <f>Tabla1[[#This Row],[Extraccion
Norte II]]+Tabla1[[#This Row],[Extraccion
ENO]]</f>
        <v>0</v>
      </c>
      <c r="J1949" s="1862"/>
      <c r="K1949" s="1862"/>
      <c r="L1949" s="1862">
        <f t="shared" si="149"/>
        <v>0</v>
      </c>
      <c r="M1949" s="1862">
        <f>M1948+Tabla1[[#This Row],[Desbalance
TPL]]</f>
        <v>-673433.8428743222</v>
      </c>
    </row>
    <row r="1950" spans="2:13" x14ac:dyDescent="0.25">
      <c r="B1950" s="1859">
        <f t="shared" si="146"/>
        <v>2018</v>
      </c>
      <c r="C1950" s="1859">
        <f t="shared" si="147"/>
        <v>11</v>
      </c>
      <c r="D1950" s="1860">
        <f t="shared" si="148"/>
        <v>43409</v>
      </c>
      <c r="E1950" s="1861">
        <v>43409</v>
      </c>
      <c r="F1950" s="1862"/>
      <c r="G1950" s="1862"/>
      <c r="H1950" s="1862"/>
      <c r="I1950" s="1862">
        <f>Tabla1[[#This Row],[Extraccion
Norte II]]+Tabla1[[#This Row],[Extraccion
ENO]]</f>
        <v>0</v>
      </c>
      <c r="J1950" s="1862"/>
      <c r="K1950" s="1862"/>
      <c r="L1950" s="1862">
        <f t="shared" si="149"/>
        <v>0</v>
      </c>
      <c r="M1950" s="1862">
        <f>M1949+Tabla1[[#This Row],[Desbalance
TPL]]</f>
        <v>-673433.8428743222</v>
      </c>
    </row>
    <row r="1951" spans="2:13" x14ac:dyDescent="0.25">
      <c r="B1951" s="1859">
        <f t="shared" si="146"/>
        <v>2018</v>
      </c>
      <c r="C1951" s="1859">
        <f t="shared" si="147"/>
        <v>11</v>
      </c>
      <c r="D1951" s="1860">
        <f t="shared" si="148"/>
        <v>43410</v>
      </c>
      <c r="E1951" s="1861">
        <v>43410</v>
      </c>
      <c r="F1951" s="1862"/>
      <c r="G1951" s="1862"/>
      <c r="H1951" s="1862"/>
      <c r="I1951" s="1862">
        <f>Tabla1[[#This Row],[Extraccion
Norte II]]+Tabla1[[#This Row],[Extraccion
ENO]]</f>
        <v>0</v>
      </c>
      <c r="J1951" s="1862"/>
      <c r="K1951" s="1862"/>
      <c r="L1951" s="1862">
        <f t="shared" si="149"/>
        <v>0</v>
      </c>
      <c r="M1951" s="1862">
        <f>M1950+Tabla1[[#This Row],[Desbalance
TPL]]</f>
        <v>-673433.8428743222</v>
      </c>
    </row>
    <row r="1952" spans="2:13" x14ac:dyDescent="0.25">
      <c r="B1952" s="1859">
        <f t="shared" si="146"/>
        <v>2018</v>
      </c>
      <c r="C1952" s="1859">
        <f t="shared" si="147"/>
        <v>11</v>
      </c>
      <c r="D1952" s="1860">
        <f t="shared" si="148"/>
        <v>43411</v>
      </c>
      <c r="E1952" s="1861">
        <v>43411</v>
      </c>
      <c r="F1952" s="1862"/>
      <c r="G1952" s="1862"/>
      <c r="H1952" s="1862"/>
      <c r="I1952" s="1862">
        <f>Tabla1[[#This Row],[Extraccion
Norte II]]+Tabla1[[#This Row],[Extraccion
ENO]]</f>
        <v>0</v>
      </c>
      <c r="J1952" s="1862"/>
      <c r="K1952" s="1862"/>
      <c r="L1952" s="1862">
        <f t="shared" si="149"/>
        <v>0</v>
      </c>
      <c r="M1952" s="1862">
        <f>M1951+Tabla1[[#This Row],[Desbalance
TPL]]</f>
        <v>-673433.8428743222</v>
      </c>
    </row>
    <row r="1953" spans="2:13" x14ac:dyDescent="0.25">
      <c r="B1953" s="1859">
        <f t="shared" si="146"/>
        <v>2018</v>
      </c>
      <c r="C1953" s="1859">
        <f t="shared" si="147"/>
        <v>11</v>
      </c>
      <c r="D1953" s="1860">
        <f t="shared" si="148"/>
        <v>43412</v>
      </c>
      <c r="E1953" s="1861">
        <v>43412</v>
      </c>
      <c r="F1953" s="1862"/>
      <c r="G1953" s="1862"/>
      <c r="H1953" s="1862"/>
      <c r="I1953" s="1862">
        <f>Tabla1[[#This Row],[Extraccion
Norte II]]+Tabla1[[#This Row],[Extraccion
ENO]]</f>
        <v>0</v>
      </c>
      <c r="J1953" s="1862"/>
      <c r="K1953" s="1862"/>
      <c r="L1953" s="1862">
        <f t="shared" si="149"/>
        <v>0</v>
      </c>
      <c r="M1953" s="1862">
        <f>M1952+Tabla1[[#This Row],[Desbalance
TPL]]</f>
        <v>-673433.8428743222</v>
      </c>
    </row>
    <row r="1954" spans="2:13" x14ac:dyDescent="0.25">
      <c r="B1954" s="1859">
        <f t="shared" si="146"/>
        <v>2018</v>
      </c>
      <c r="C1954" s="1859">
        <f t="shared" si="147"/>
        <v>11</v>
      </c>
      <c r="D1954" s="1860">
        <f t="shared" si="148"/>
        <v>43413</v>
      </c>
      <c r="E1954" s="1861">
        <v>43413</v>
      </c>
      <c r="F1954" s="1862"/>
      <c r="G1954" s="1862"/>
      <c r="H1954" s="1862"/>
      <c r="I1954" s="1862">
        <f>Tabla1[[#This Row],[Extraccion
Norte II]]+Tabla1[[#This Row],[Extraccion
ENO]]</f>
        <v>0</v>
      </c>
      <c r="J1954" s="1862"/>
      <c r="K1954" s="1862"/>
      <c r="L1954" s="1862">
        <f t="shared" si="149"/>
        <v>0</v>
      </c>
      <c r="M1954" s="1862">
        <f>M1953+Tabla1[[#This Row],[Desbalance
TPL]]</f>
        <v>-673433.8428743222</v>
      </c>
    </row>
    <row r="1955" spans="2:13" x14ac:dyDescent="0.25">
      <c r="B1955" s="1859">
        <f t="shared" si="146"/>
        <v>2018</v>
      </c>
      <c r="C1955" s="1859">
        <f t="shared" si="147"/>
        <v>11</v>
      </c>
      <c r="D1955" s="1860">
        <f t="shared" si="148"/>
        <v>43414</v>
      </c>
      <c r="E1955" s="1861">
        <v>43414</v>
      </c>
      <c r="F1955" s="1862"/>
      <c r="G1955" s="1862"/>
      <c r="H1955" s="1862"/>
      <c r="I1955" s="1862">
        <f>Tabla1[[#This Row],[Extraccion
Norte II]]+Tabla1[[#This Row],[Extraccion
ENO]]</f>
        <v>0</v>
      </c>
      <c r="J1955" s="1862"/>
      <c r="K1955" s="1862"/>
      <c r="L1955" s="1862">
        <f t="shared" si="149"/>
        <v>0</v>
      </c>
      <c r="M1955" s="1862">
        <f>M1954+Tabla1[[#This Row],[Desbalance
TPL]]</f>
        <v>-673433.8428743222</v>
      </c>
    </row>
    <row r="1956" spans="2:13" x14ac:dyDescent="0.25">
      <c r="B1956" s="1859">
        <f t="shared" si="146"/>
        <v>2018</v>
      </c>
      <c r="C1956" s="1859">
        <f t="shared" si="147"/>
        <v>11</v>
      </c>
      <c r="D1956" s="1860">
        <f t="shared" si="148"/>
        <v>43415</v>
      </c>
      <c r="E1956" s="1861">
        <v>43415</v>
      </c>
      <c r="F1956" s="1862"/>
      <c r="G1956" s="1862"/>
      <c r="H1956" s="1862"/>
      <c r="I1956" s="1862">
        <f>Tabla1[[#This Row],[Extraccion
Norte II]]+Tabla1[[#This Row],[Extraccion
ENO]]</f>
        <v>0</v>
      </c>
      <c r="J1956" s="1862"/>
      <c r="K1956" s="1862"/>
      <c r="L1956" s="1862">
        <f t="shared" si="149"/>
        <v>0</v>
      </c>
      <c r="M1956" s="1862">
        <f>M1955+Tabla1[[#This Row],[Desbalance
TPL]]</f>
        <v>-673433.8428743222</v>
      </c>
    </row>
    <row r="1957" spans="2:13" x14ac:dyDescent="0.25">
      <c r="B1957" s="1859">
        <f t="shared" si="146"/>
        <v>2018</v>
      </c>
      <c r="C1957" s="1859">
        <f t="shared" si="147"/>
        <v>11</v>
      </c>
      <c r="D1957" s="1860">
        <f t="shared" si="148"/>
        <v>43416</v>
      </c>
      <c r="E1957" s="1861">
        <v>43416</v>
      </c>
      <c r="F1957" s="1862"/>
      <c r="G1957" s="1862"/>
      <c r="H1957" s="1862"/>
      <c r="I1957" s="1862">
        <f>Tabla1[[#This Row],[Extraccion
Norte II]]+Tabla1[[#This Row],[Extraccion
ENO]]</f>
        <v>0</v>
      </c>
      <c r="J1957" s="1862"/>
      <c r="K1957" s="1862"/>
      <c r="L1957" s="1862">
        <f t="shared" si="149"/>
        <v>0</v>
      </c>
      <c r="M1957" s="1862">
        <f>M1956+Tabla1[[#This Row],[Desbalance
TPL]]</f>
        <v>-673433.8428743222</v>
      </c>
    </row>
    <row r="1958" spans="2:13" x14ac:dyDescent="0.25">
      <c r="B1958" s="1859">
        <f t="shared" si="146"/>
        <v>2018</v>
      </c>
      <c r="C1958" s="1859">
        <f t="shared" si="147"/>
        <v>11</v>
      </c>
      <c r="D1958" s="1860">
        <f t="shared" si="148"/>
        <v>43417</v>
      </c>
      <c r="E1958" s="1861">
        <v>43417</v>
      </c>
      <c r="F1958" s="1862"/>
      <c r="G1958" s="1862"/>
      <c r="H1958" s="1862"/>
      <c r="I1958" s="1862">
        <f>Tabla1[[#This Row],[Extraccion
Norte II]]+Tabla1[[#This Row],[Extraccion
ENO]]</f>
        <v>0</v>
      </c>
      <c r="J1958" s="1862"/>
      <c r="K1958" s="1862"/>
      <c r="L1958" s="1862">
        <f t="shared" si="149"/>
        <v>0</v>
      </c>
      <c r="M1958" s="1862">
        <f>M1957+Tabla1[[#This Row],[Desbalance
TPL]]</f>
        <v>-673433.8428743222</v>
      </c>
    </row>
    <row r="1959" spans="2:13" x14ac:dyDescent="0.25">
      <c r="B1959" s="1859">
        <f t="shared" si="146"/>
        <v>2018</v>
      </c>
      <c r="C1959" s="1859">
        <f t="shared" si="147"/>
        <v>11</v>
      </c>
      <c r="D1959" s="1860">
        <f t="shared" si="148"/>
        <v>43418</v>
      </c>
      <c r="E1959" s="1861">
        <v>43418</v>
      </c>
      <c r="F1959" s="1862"/>
      <c r="G1959" s="1862"/>
      <c r="H1959" s="1862"/>
      <c r="I1959" s="1862">
        <f>Tabla1[[#This Row],[Extraccion
Norte II]]+Tabla1[[#This Row],[Extraccion
ENO]]</f>
        <v>0</v>
      </c>
      <c r="J1959" s="1862"/>
      <c r="K1959" s="1862"/>
      <c r="L1959" s="1862">
        <f t="shared" si="149"/>
        <v>0</v>
      </c>
      <c r="M1959" s="1862">
        <f>M1958+Tabla1[[#This Row],[Desbalance
TPL]]</f>
        <v>-673433.8428743222</v>
      </c>
    </row>
    <row r="1960" spans="2:13" x14ac:dyDescent="0.25">
      <c r="B1960" s="1859">
        <f t="shared" si="146"/>
        <v>2018</v>
      </c>
      <c r="C1960" s="1859">
        <f t="shared" si="147"/>
        <v>11</v>
      </c>
      <c r="D1960" s="1860">
        <f t="shared" si="148"/>
        <v>43419</v>
      </c>
      <c r="E1960" s="1861">
        <v>43419</v>
      </c>
      <c r="F1960" s="1862"/>
      <c r="G1960" s="1862"/>
      <c r="H1960" s="1862"/>
      <c r="I1960" s="1862">
        <f>Tabla1[[#This Row],[Extraccion
Norte II]]+Tabla1[[#This Row],[Extraccion
ENO]]</f>
        <v>0</v>
      </c>
      <c r="J1960" s="1862"/>
      <c r="K1960" s="1862"/>
      <c r="L1960" s="1862">
        <f t="shared" si="149"/>
        <v>0</v>
      </c>
      <c r="M1960" s="1862">
        <f>M1959+Tabla1[[#This Row],[Desbalance
TPL]]</f>
        <v>-673433.8428743222</v>
      </c>
    </row>
    <row r="1961" spans="2:13" x14ac:dyDescent="0.25">
      <c r="B1961" s="1859">
        <f t="shared" si="146"/>
        <v>2018</v>
      </c>
      <c r="C1961" s="1859">
        <f t="shared" si="147"/>
        <v>11</v>
      </c>
      <c r="D1961" s="1860">
        <f t="shared" si="148"/>
        <v>43420</v>
      </c>
      <c r="E1961" s="1861">
        <v>43420</v>
      </c>
      <c r="F1961" s="1862"/>
      <c r="G1961" s="1862"/>
      <c r="H1961" s="1862"/>
      <c r="I1961" s="1862">
        <f>Tabla1[[#This Row],[Extraccion
Norte II]]+Tabla1[[#This Row],[Extraccion
ENO]]</f>
        <v>0</v>
      </c>
      <c r="J1961" s="1862"/>
      <c r="K1961" s="1862"/>
      <c r="L1961" s="1862">
        <f t="shared" si="149"/>
        <v>0</v>
      </c>
      <c r="M1961" s="1862">
        <f>M1960+Tabla1[[#This Row],[Desbalance
TPL]]</f>
        <v>-673433.8428743222</v>
      </c>
    </row>
    <row r="1962" spans="2:13" x14ac:dyDescent="0.25">
      <c r="B1962" s="1859">
        <f t="shared" si="146"/>
        <v>2018</v>
      </c>
      <c r="C1962" s="1859">
        <f t="shared" si="147"/>
        <v>11</v>
      </c>
      <c r="D1962" s="1860">
        <f t="shared" si="148"/>
        <v>43421</v>
      </c>
      <c r="E1962" s="1861">
        <v>43421</v>
      </c>
      <c r="F1962" s="1862"/>
      <c r="G1962" s="1862"/>
      <c r="H1962" s="1862"/>
      <c r="I1962" s="1862">
        <f>Tabla1[[#This Row],[Extraccion
Norte II]]+Tabla1[[#This Row],[Extraccion
ENO]]</f>
        <v>0</v>
      </c>
      <c r="J1962" s="1862"/>
      <c r="K1962" s="1862"/>
      <c r="L1962" s="1862">
        <f t="shared" si="149"/>
        <v>0</v>
      </c>
      <c r="M1962" s="1862">
        <f>M1961+Tabla1[[#This Row],[Desbalance
TPL]]</f>
        <v>-673433.8428743222</v>
      </c>
    </row>
    <row r="1963" spans="2:13" x14ac:dyDescent="0.25">
      <c r="B1963" s="1859">
        <f t="shared" si="146"/>
        <v>2018</v>
      </c>
      <c r="C1963" s="1859">
        <f t="shared" si="147"/>
        <v>11</v>
      </c>
      <c r="D1963" s="1860">
        <f t="shared" si="148"/>
        <v>43422</v>
      </c>
      <c r="E1963" s="1861">
        <v>43422</v>
      </c>
      <c r="F1963" s="1862"/>
      <c r="G1963" s="1862"/>
      <c r="H1963" s="1862"/>
      <c r="I1963" s="1862">
        <f>Tabla1[[#This Row],[Extraccion
Norte II]]+Tabla1[[#This Row],[Extraccion
ENO]]</f>
        <v>0</v>
      </c>
      <c r="J1963" s="1862"/>
      <c r="K1963" s="1862"/>
      <c r="L1963" s="1862">
        <f t="shared" si="149"/>
        <v>0</v>
      </c>
      <c r="M1963" s="1862">
        <f>M1962+Tabla1[[#This Row],[Desbalance
TPL]]</f>
        <v>-673433.8428743222</v>
      </c>
    </row>
    <row r="1964" spans="2:13" x14ac:dyDescent="0.25">
      <c r="B1964" s="1859">
        <f t="shared" si="146"/>
        <v>2018</v>
      </c>
      <c r="C1964" s="1859">
        <f t="shared" si="147"/>
        <v>11</v>
      </c>
      <c r="D1964" s="1860">
        <f t="shared" si="148"/>
        <v>43423</v>
      </c>
      <c r="E1964" s="1861">
        <v>43423</v>
      </c>
      <c r="F1964" s="1862"/>
      <c r="G1964" s="1862"/>
      <c r="H1964" s="1862"/>
      <c r="I1964" s="1862">
        <f>Tabla1[[#This Row],[Extraccion
Norte II]]+Tabla1[[#This Row],[Extraccion
ENO]]</f>
        <v>0</v>
      </c>
      <c r="J1964" s="1862"/>
      <c r="K1964" s="1862"/>
      <c r="L1964" s="1862">
        <f t="shared" si="149"/>
        <v>0</v>
      </c>
      <c r="M1964" s="1862">
        <f>M1963+Tabla1[[#This Row],[Desbalance
TPL]]</f>
        <v>-673433.8428743222</v>
      </c>
    </row>
    <row r="1965" spans="2:13" x14ac:dyDescent="0.25">
      <c r="B1965" s="1859">
        <f t="shared" si="146"/>
        <v>2018</v>
      </c>
      <c r="C1965" s="1859">
        <f t="shared" si="147"/>
        <v>11</v>
      </c>
      <c r="D1965" s="1860">
        <f t="shared" si="148"/>
        <v>43424</v>
      </c>
      <c r="E1965" s="1861">
        <v>43424</v>
      </c>
      <c r="F1965" s="1862"/>
      <c r="G1965" s="1862"/>
      <c r="H1965" s="1862"/>
      <c r="I1965" s="1862">
        <f>Tabla1[[#This Row],[Extraccion
Norte II]]+Tabla1[[#This Row],[Extraccion
ENO]]</f>
        <v>0</v>
      </c>
      <c r="J1965" s="1862"/>
      <c r="K1965" s="1862"/>
      <c r="L1965" s="1862">
        <f t="shared" si="149"/>
        <v>0</v>
      </c>
      <c r="M1965" s="1862">
        <f>M1964+Tabla1[[#This Row],[Desbalance
TPL]]</f>
        <v>-673433.8428743222</v>
      </c>
    </row>
    <row r="1966" spans="2:13" x14ac:dyDescent="0.25">
      <c r="B1966" s="1859">
        <f t="shared" si="146"/>
        <v>2018</v>
      </c>
      <c r="C1966" s="1859">
        <f t="shared" si="147"/>
        <v>11</v>
      </c>
      <c r="D1966" s="1860">
        <f t="shared" si="148"/>
        <v>43425</v>
      </c>
      <c r="E1966" s="1861">
        <v>43425</v>
      </c>
      <c r="F1966" s="1862"/>
      <c r="G1966" s="1862"/>
      <c r="H1966" s="1862"/>
      <c r="I1966" s="1862">
        <f>Tabla1[[#This Row],[Extraccion
Norte II]]+Tabla1[[#This Row],[Extraccion
ENO]]</f>
        <v>0</v>
      </c>
      <c r="J1966" s="1862"/>
      <c r="K1966" s="1862"/>
      <c r="L1966" s="1862">
        <f t="shared" si="149"/>
        <v>0</v>
      </c>
      <c r="M1966" s="1862">
        <f>M1965+Tabla1[[#This Row],[Desbalance
TPL]]</f>
        <v>-673433.8428743222</v>
      </c>
    </row>
    <row r="1967" spans="2:13" x14ac:dyDescent="0.25">
      <c r="B1967" s="1859">
        <f t="shared" si="146"/>
        <v>2018</v>
      </c>
      <c r="C1967" s="1859">
        <f t="shared" si="147"/>
        <v>11</v>
      </c>
      <c r="D1967" s="1860">
        <f t="shared" si="148"/>
        <v>43426</v>
      </c>
      <c r="E1967" s="1861">
        <v>43426</v>
      </c>
      <c r="F1967" s="1862"/>
      <c r="G1967" s="1862"/>
      <c r="H1967" s="1862"/>
      <c r="I1967" s="1862">
        <f>Tabla1[[#This Row],[Extraccion
Norte II]]+Tabla1[[#This Row],[Extraccion
ENO]]</f>
        <v>0</v>
      </c>
      <c r="J1967" s="1862"/>
      <c r="K1967" s="1862"/>
      <c r="L1967" s="1862">
        <f t="shared" si="149"/>
        <v>0</v>
      </c>
      <c r="M1967" s="1862">
        <f>M1966+Tabla1[[#This Row],[Desbalance
TPL]]</f>
        <v>-673433.8428743222</v>
      </c>
    </row>
    <row r="1968" spans="2:13" x14ac:dyDescent="0.25">
      <c r="B1968" s="1859">
        <f t="shared" si="146"/>
        <v>2018</v>
      </c>
      <c r="C1968" s="1859">
        <f t="shared" si="147"/>
        <v>11</v>
      </c>
      <c r="D1968" s="1860">
        <f t="shared" si="148"/>
        <v>43427</v>
      </c>
      <c r="E1968" s="1861">
        <v>43427</v>
      </c>
      <c r="F1968" s="1862"/>
      <c r="G1968" s="1862"/>
      <c r="H1968" s="1862"/>
      <c r="I1968" s="1862">
        <f>Tabla1[[#This Row],[Extraccion
Norte II]]+Tabla1[[#This Row],[Extraccion
ENO]]</f>
        <v>0</v>
      </c>
      <c r="J1968" s="1862"/>
      <c r="K1968" s="1862"/>
      <c r="L1968" s="1862">
        <f t="shared" si="149"/>
        <v>0</v>
      </c>
      <c r="M1968" s="1862">
        <f>M1967+Tabla1[[#This Row],[Desbalance
TPL]]</f>
        <v>-673433.8428743222</v>
      </c>
    </row>
    <row r="1969" spans="2:13" x14ac:dyDescent="0.25">
      <c r="B1969" s="1859">
        <f t="shared" si="146"/>
        <v>2018</v>
      </c>
      <c r="C1969" s="1859">
        <f t="shared" si="147"/>
        <v>11</v>
      </c>
      <c r="D1969" s="1860">
        <f t="shared" si="148"/>
        <v>43428</v>
      </c>
      <c r="E1969" s="1861">
        <v>43428</v>
      </c>
      <c r="F1969" s="1862"/>
      <c r="G1969" s="1862"/>
      <c r="H1969" s="1862"/>
      <c r="I1969" s="1862">
        <f>Tabla1[[#This Row],[Extraccion
Norte II]]+Tabla1[[#This Row],[Extraccion
ENO]]</f>
        <v>0</v>
      </c>
      <c r="J1969" s="1862"/>
      <c r="K1969" s="1862"/>
      <c r="L1969" s="1862">
        <f t="shared" si="149"/>
        <v>0</v>
      </c>
      <c r="M1969" s="1862">
        <f>M1968+Tabla1[[#This Row],[Desbalance
TPL]]</f>
        <v>-673433.8428743222</v>
      </c>
    </row>
    <row r="1970" spans="2:13" x14ac:dyDescent="0.25">
      <c r="B1970" s="1859">
        <f t="shared" si="146"/>
        <v>2018</v>
      </c>
      <c r="C1970" s="1859">
        <f t="shared" si="147"/>
        <v>11</v>
      </c>
      <c r="D1970" s="1860">
        <f t="shared" si="148"/>
        <v>43429</v>
      </c>
      <c r="E1970" s="1861">
        <v>43429</v>
      </c>
      <c r="F1970" s="1862"/>
      <c r="G1970" s="1862"/>
      <c r="H1970" s="1862"/>
      <c r="I1970" s="1862">
        <f>Tabla1[[#This Row],[Extraccion
Norte II]]+Tabla1[[#This Row],[Extraccion
ENO]]</f>
        <v>0</v>
      </c>
      <c r="J1970" s="1862"/>
      <c r="K1970" s="1862"/>
      <c r="L1970" s="1862">
        <f t="shared" si="149"/>
        <v>0</v>
      </c>
      <c r="M1970" s="1862">
        <f>M1969+Tabla1[[#This Row],[Desbalance
TPL]]</f>
        <v>-673433.8428743222</v>
      </c>
    </row>
    <row r="1971" spans="2:13" x14ac:dyDescent="0.25">
      <c r="B1971" s="1859">
        <f t="shared" ref="B1971:B1973" si="150">YEAR(E1971)</f>
        <v>2018</v>
      </c>
      <c r="C1971" s="1859">
        <f t="shared" ref="C1971:C1973" si="151">MONTH(E1971)</f>
        <v>11</v>
      </c>
      <c r="D1971" s="1860">
        <f t="shared" ref="D1971:D1973" si="152">E1971</f>
        <v>43430</v>
      </c>
      <c r="E1971" s="1861">
        <v>43430</v>
      </c>
      <c r="F1971" s="1862"/>
      <c r="G1971" s="1862"/>
      <c r="H1971" s="1862"/>
      <c r="I1971" s="1862">
        <f>Tabla1[[#This Row],[Extraccion
Norte II]]+Tabla1[[#This Row],[Extraccion
ENO]]</f>
        <v>0</v>
      </c>
      <c r="J1971" s="1862"/>
      <c r="K1971" s="1862"/>
      <c r="L1971" s="1862">
        <f t="shared" si="149"/>
        <v>0</v>
      </c>
      <c r="M1971" s="1862">
        <f>M1970+Tabla1[[#This Row],[Desbalance
TPL]]</f>
        <v>-673433.8428743222</v>
      </c>
    </row>
    <row r="1972" spans="2:13" x14ac:dyDescent="0.25">
      <c r="B1972" s="1859">
        <f t="shared" si="150"/>
        <v>2018</v>
      </c>
      <c r="C1972" s="1859">
        <f t="shared" si="151"/>
        <v>11</v>
      </c>
      <c r="D1972" s="1860">
        <f t="shared" si="152"/>
        <v>43431</v>
      </c>
      <c r="E1972" s="1861">
        <v>43431</v>
      </c>
      <c r="F1972" s="1862"/>
      <c r="G1972" s="1862"/>
      <c r="H1972" s="1862"/>
      <c r="I1972" s="1862">
        <f>Tabla1[[#This Row],[Extraccion
Norte II]]+Tabla1[[#This Row],[Extraccion
ENO]]</f>
        <v>0</v>
      </c>
      <c r="J1972" s="1862"/>
      <c r="K1972" s="1862"/>
      <c r="L1972" s="1862">
        <f t="shared" si="149"/>
        <v>0</v>
      </c>
      <c r="M1972" s="1862">
        <f>M1971+Tabla1[[#This Row],[Desbalance
TPL]]</f>
        <v>-673433.8428743222</v>
      </c>
    </row>
    <row r="1973" spans="2:13" x14ac:dyDescent="0.25">
      <c r="B1973" s="1859">
        <f t="shared" si="150"/>
        <v>2018</v>
      </c>
      <c r="C1973" s="1859">
        <f t="shared" si="151"/>
        <v>11</v>
      </c>
      <c r="D1973" s="1860">
        <f t="shared" si="152"/>
        <v>43432</v>
      </c>
      <c r="E1973" s="1861">
        <v>43432</v>
      </c>
      <c r="F1973" s="1862"/>
      <c r="G1973" s="1862"/>
      <c r="H1973" s="1862"/>
      <c r="I1973" s="1862">
        <f>Tabla1[[#This Row],[Extraccion
Norte II]]+Tabla1[[#This Row],[Extraccion
ENO]]</f>
        <v>0</v>
      </c>
      <c r="J1973" s="1862"/>
      <c r="K1973" s="1862"/>
      <c r="L1973" s="1862">
        <f t="shared" si="149"/>
        <v>0</v>
      </c>
      <c r="M1973" s="1862">
        <f>M1972+Tabla1[[#This Row],[Desbalance
TPL]]</f>
        <v>-673433.8428743222</v>
      </c>
    </row>
  </sheetData>
  <pageMargins left="0.7" right="0.7" top="0.75" bottom="0.75" header="0.3" footer="0.3"/>
  <pageSetup orientation="portrait" verticalDpi="0" r:id="rId1"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6"/>
  <sheetViews>
    <sheetView workbookViewId="0"/>
  </sheetViews>
  <sheetFormatPr baseColWidth="10" defaultColWidth="11.125" defaultRowHeight="15" x14ac:dyDescent="0.2"/>
  <cols>
    <col min="1" max="1" width="11.125" style="479"/>
    <col min="2" max="2" width="5.5" style="479" bestFit="1" customWidth="1"/>
    <col min="3" max="3" width="3.125" style="479" bestFit="1" customWidth="1"/>
    <col min="4" max="4" width="8.125" style="479" bestFit="1" customWidth="1"/>
    <col min="5" max="5" width="13" style="479" bestFit="1" customWidth="1"/>
    <col min="6" max="6" width="14.125" style="479" bestFit="1" customWidth="1"/>
    <col min="7" max="7" width="12.625" style="479" bestFit="1" customWidth="1"/>
    <col min="8" max="8" width="13.125" style="479" bestFit="1" customWidth="1"/>
    <col min="9" max="9" width="5.625" style="479" customWidth="1"/>
    <col min="10" max="10" width="11.125" style="479" bestFit="1" customWidth="1"/>
    <col min="11" max="11" width="15.625" style="479" customWidth="1"/>
    <col min="12" max="12" width="3.625" style="479" customWidth="1"/>
    <col min="13" max="13" width="13" style="479" bestFit="1" customWidth="1"/>
    <col min="14" max="14" width="13.125" style="479" bestFit="1" customWidth="1"/>
    <col min="15" max="15" width="13.125" style="479" customWidth="1"/>
    <col min="16" max="16" width="11.125" style="479"/>
    <col min="17" max="17" width="12.625" style="479" bestFit="1" customWidth="1"/>
    <col min="18" max="19" width="13" style="479" bestFit="1" customWidth="1"/>
    <col min="20" max="16384" width="11.125" style="479"/>
  </cols>
  <sheetData>
    <row r="1" spans="1:19" ht="15.75" x14ac:dyDescent="0.2">
      <c r="B1" s="501"/>
      <c r="C1" s="501"/>
      <c r="D1" s="2205" t="s">
        <v>185</v>
      </c>
      <c r="E1" s="2205"/>
      <c r="F1" s="2205"/>
      <c r="G1" s="2205"/>
      <c r="H1" s="2205"/>
      <c r="I1" s="2206" t="s">
        <v>186</v>
      </c>
      <c r="J1" s="2206"/>
      <c r="K1" s="2206"/>
      <c r="L1" s="480"/>
      <c r="M1" s="480"/>
      <c r="N1" s="480"/>
      <c r="O1" s="480"/>
      <c r="P1" s="480"/>
      <c r="Q1" s="480"/>
      <c r="R1" s="480"/>
      <c r="S1" s="480"/>
    </row>
    <row r="2" spans="1:19" ht="15.75" x14ac:dyDescent="0.2">
      <c r="B2" s="501"/>
      <c r="C2" s="501"/>
      <c r="D2" s="2205"/>
      <c r="E2" s="2205"/>
      <c r="F2" s="2205"/>
      <c r="G2" s="2205"/>
      <c r="H2" s="2205"/>
      <c r="I2" s="2206" t="s">
        <v>187</v>
      </c>
      <c r="J2" s="2206"/>
      <c r="K2" s="2206"/>
      <c r="L2" s="480"/>
      <c r="M2" s="480"/>
      <c r="N2" s="480"/>
      <c r="O2" s="480"/>
      <c r="P2" s="480"/>
      <c r="Q2" s="480"/>
      <c r="R2" s="480"/>
      <c r="S2" s="480"/>
    </row>
    <row r="3" spans="1:19" ht="15.75" x14ac:dyDescent="0.2">
      <c r="B3" s="501"/>
      <c r="C3" s="501"/>
      <c r="D3" s="502"/>
      <c r="E3" s="502"/>
      <c r="F3" s="502"/>
      <c r="G3" s="502"/>
      <c r="H3" s="502"/>
      <c r="I3" s="2206" t="s">
        <v>188</v>
      </c>
      <c r="J3" s="2206"/>
      <c r="K3" s="2206"/>
      <c r="L3" s="480"/>
      <c r="M3" s="480"/>
      <c r="N3" s="480"/>
      <c r="O3" s="480"/>
      <c r="P3" s="480"/>
      <c r="Q3" s="480"/>
      <c r="R3" s="480"/>
      <c r="S3" s="480"/>
    </row>
    <row r="4" spans="1:19" x14ac:dyDescent="0.2">
      <c r="B4" s="503"/>
      <c r="C4" s="503"/>
      <c r="D4" s="503"/>
      <c r="E4" s="503"/>
      <c r="F4" s="503"/>
      <c r="G4" s="503"/>
      <c r="H4" s="503"/>
      <c r="I4" s="503"/>
      <c r="J4" s="503"/>
      <c r="K4" s="503"/>
      <c r="L4" s="480"/>
      <c r="M4" s="480"/>
      <c r="N4" s="480"/>
      <c r="O4" s="480"/>
      <c r="P4" s="480"/>
      <c r="Q4" s="480"/>
      <c r="R4" s="480"/>
      <c r="S4" s="480"/>
    </row>
    <row r="5" spans="1:19" ht="15.75" x14ac:dyDescent="0.25">
      <c r="B5" s="480"/>
      <c r="C5" s="480"/>
      <c r="D5" s="480"/>
      <c r="E5" s="480"/>
      <c r="F5" s="480"/>
      <c r="G5" s="480"/>
      <c r="H5" s="480"/>
      <c r="I5" s="480"/>
      <c r="J5" s="480"/>
      <c r="K5" s="480"/>
      <c r="L5" s="480"/>
      <c r="M5" s="480"/>
      <c r="N5" s="480"/>
      <c r="O5" s="480"/>
      <c r="P5" s="480"/>
      <c r="Q5" s="2202" t="s">
        <v>184</v>
      </c>
      <c r="R5" s="2202"/>
      <c r="S5" s="2202"/>
    </row>
    <row r="6" spans="1:19" ht="15.75" thickBot="1" x14ac:dyDescent="0.25">
      <c r="B6" s="480"/>
      <c r="C6" s="480"/>
      <c r="D6" s="480"/>
      <c r="E6" s="480"/>
      <c r="F6" s="480"/>
      <c r="G6" s="480"/>
      <c r="H6" s="480"/>
      <c r="I6" s="480"/>
      <c r="J6" s="480"/>
      <c r="K6" s="480"/>
      <c r="L6" s="480"/>
      <c r="M6" s="480"/>
      <c r="N6" s="480"/>
      <c r="O6" s="480"/>
      <c r="P6" s="480"/>
      <c r="Q6" s="480"/>
      <c r="R6" s="480"/>
      <c r="S6" s="480"/>
    </row>
    <row r="7" spans="1:19" ht="47.25" x14ac:dyDescent="0.2">
      <c r="B7" s="491"/>
      <c r="C7" s="492"/>
      <c r="D7" s="492"/>
      <c r="E7" s="482" t="s">
        <v>178</v>
      </c>
      <c r="F7" s="482" t="s">
        <v>179</v>
      </c>
      <c r="G7" s="482" t="s">
        <v>180</v>
      </c>
      <c r="H7" s="482" t="s">
        <v>181</v>
      </c>
      <c r="I7" s="493"/>
      <c r="J7" s="482" t="s">
        <v>182</v>
      </c>
      <c r="K7" s="494" t="s">
        <v>183</v>
      </c>
      <c r="L7" s="480"/>
      <c r="M7" s="480"/>
      <c r="N7" s="480"/>
      <c r="O7" s="480"/>
      <c r="P7" s="480"/>
      <c r="Q7" s="481" t="s">
        <v>176</v>
      </c>
      <c r="R7" s="482" t="s">
        <v>177</v>
      </c>
      <c r="S7" s="483" t="s">
        <v>112</v>
      </c>
    </row>
    <row r="8" spans="1:19" x14ac:dyDescent="0.2">
      <c r="B8" s="495">
        <f t="shared" ref="B8:B39" si="0">YEAR(D8)</f>
        <v>2013</v>
      </c>
      <c r="C8" s="487">
        <f t="shared" ref="C8:C39" si="1">MONTH(D8)</f>
        <v>8</v>
      </c>
      <c r="D8" s="496">
        <v>41487</v>
      </c>
      <c r="E8" s="485">
        <f>SUMIFS('Desbalance - Diario'!$H$28:$H$970,'Desbalance - Diario'!$B$28:$B$970,'Desbalance - Mensual'!B8,'Desbalance - Diario'!$C$28:$C$970,'Desbalance - Mensual'!C8)</f>
        <v>254280</v>
      </c>
      <c r="F8" s="485">
        <f>SUMIFS('Desbalance - Diario'!J$28:J$970,'Desbalance - Diario'!$B$28:$B$970,'Desbalance - Mensual'!$B8,'Desbalance - Diario'!$C$28:$C$970,'Desbalance - Mensual'!$C8)</f>
        <v>244700.27805738238</v>
      </c>
      <c r="G8" s="485">
        <f t="shared" ref="G8:G39" si="2">E8-F8</f>
        <v>9579.7219426176162</v>
      </c>
      <c r="H8" s="485">
        <f>G8</f>
        <v>9579.7219426176162</v>
      </c>
      <c r="I8" s="487"/>
      <c r="J8" s="505">
        <v>609375</v>
      </c>
      <c r="K8" s="486">
        <f t="shared" ref="K8:K39" si="3">E8-J8</f>
        <v>-355095</v>
      </c>
      <c r="L8" s="480"/>
      <c r="M8" s="506"/>
      <c r="N8" s="2203" t="s">
        <v>189</v>
      </c>
      <c r="O8" s="2203"/>
      <c r="P8" s="480"/>
      <c r="Q8" s="484">
        <v>637599.29399999999</v>
      </c>
      <c r="R8" s="485"/>
      <c r="S8" s="486">
        <f t="shared" ref="S8:S39" si="4">F8-R8</f>
        <v>244700.27805738238</v>
      </c>
    </row>
    <row r="9" spans="1:19" x14ac:dyDescent="0.2">
      <c r="B9" s="495">
        <f t="shared" si="0"/>
        <v>2013</v>
      </c>
      <c r="C9" s="487">
        <f t="shared" si="1"/>
        <v>9</v>
      </c>
      <c r="D9" s="496">
        <v>41518</v>
      </c>
      <c r="E9" s="485">
        <f>SUMIFS('Desbalance - Diario'!$H$28:$H$970,'Desbalance - Diario'!$B$28:$B$970,'Desbalance - Mensual'!B9,'Desbalance - Diario'!$C$28:$C$970,'Desbalance - Mensual'!C9)</f>
        <v>685528</v>
      </c>
      <c r="F9" s="485">
        <f>SUMIFS('Desbalance - Diario'!J$28:J$970,'Desbalance - Diario'!$B$28:$B$970,'Desbalance - Mensual'!$B9,'Desbalance - Diario'!$C$28:$C$970,'Desbalance - Mensual'!$C9)</f>
        <v>719323.65920655755</v>
      </c>
      <c r="G9" s="485">
        <f t="shared" si="2"/>
        <v>-33795.659206557553</v>
      </c>
      <c r="H9" s="485">
        <f t="shared" ref="H9:H40" si="5">G9+H8</f>
        <v>-24215.937263939937</v>
      </c>
      <c r="I9" s="487"/>
      <c r="J9" s="505">
        <v>685528</v>
      </c>
      <c r="K9" s="486">
        <f t="shared" si="3"/>
        <v>0</v>
      </c>
      <c r="L9" s="480"/>
      <c r="M9" s="507"/>
      <c r="N9" s="2204" t="s">
        <v>190</v>
      </c>
      <c r="O9" s="2204"/>
      <c r="P9" s="480"/>
      <c r="Q9" s="484">
        <v>758926.73300000001</v>
      </c>
      <c r="R9" s="485"/>
      <c r="S9" s="486">
        <f t="shared" si="4"/>
        <v>719323.65920655755</v>
      </c>
    </row>
    <row r="10" spans="1:19" x14ac:dyDescent="0.2">
      <c r="B10" s="495">
        <f t="shared" si="0"/>
        <v>2013</v>
      </c>
      <c r="C10" s="487">
        <f t="shared" si="1"/>
        <v>10</v>
      </c>
      <c r="D10" s="496">
        <v>41548</v>
      </c>
      <c r="E10" s="485">
        <f>SUMIFS('Desbalance - Diario'!$H$28:$H$970,'Desbalance - Diario'!$B$28:$B$970,'Desbalance - Mensual'!B10,'Desbalance - Diario'!$C$28:$C$970,'Desbalance - Mensual'!C10)</f>
        <v>711840</v>
      </c>
      <c r="F10" s="485">
        <f>SUMIFS('Desbalance - Diario'!J$28:J$970,'Desbalance - Diario'!$B$28:$B$970,'Desbalance - Mensual'!$B10,'Desbalance - Diario'!$C$28:$C$970,'Desbalance - Mensual'!$C10)</f>
        <v>704586.09057581157</v>
      </c>
      <c r="G10" s="485">
        <f t="shared" si="2"/>
        <v>7253.9094241884304</v>
      </c>
      <c r="H10" s="485">
        <f t="shared" si="5"/>
        <v>-16962.027839751507</v>
      </c>
      <c r="I10" s="487"/>
      <c r="J10" s="505">
        <v>711840</v>
      </c>
      <c r="K10" s="486">
        <f t="shared" si="3"/>
        <v>0</v>
      </c>
      <c r="L10" s="480"/>
      <c r="M10" s="480"/>
      <c r="N10" s="480"/>
      <c r="O10" s="480"/>
      <c r="P10" s="480"/>
      <c r="Q10" s="484">
        <v>743377.77300000004</v>
      </c>
      <c r="R10" s="485"/>
      <c r="S10" s="486">
        <f t="shared" si="4"/>
        <v>704586.09057581157</v>
      </c>
    </row>
    <row r="11" spans="1:19" x14ac:dyDescent="0.2">
      <c r="B11" s="495">
        <f t="shared" si="0"/>
        <v>2013</v>
      </c>
      <c r="C11" s="487">
        <f t="shared" si="1"/>
        <v>11</v>
      </c>
      <c r="D11" s="496">
        <v>41579</v>
      </c>
      <c r="E11" s="485">
        <f>SUMIFS('Desbalance - Diario'!$H$28:$H$970,'Desbalance - Diario'!$B$28:$B$970,'Desbalance - Mensual'!B11,'Desbalance - Diario'!$C$28:$C$970,'Desbalance - Mensual'!C11)</f>
        <v>316634</v>
      </c>
      <c r="F11" s="485">
        <f>SUMIFS('Desbalance - Diario'!J$28:J$970,'Desbalance - Diario'!$B$28:$B$970,'Desbalance - Mensual'!$B11,'Desbalance - Diario'!$C$28:$C$970,'Desbalance - Mensual'!$C11)</f>
        <v>304544.03758507414</v>
      </c>
      <c r="G11" s="485">
        <f t="shared" si="2"/>
        <v>12089.96241492586</v>
      </c>
      <c r="H11" s="485">
        <f t="shared" si="5"/>
        <v>-4872.0654248256469</v>
      </c>
      <c r="I11" s="487"/>
      <c r="J11" s="505">
        <v>316634</v>
      </c>
      <c r="K11" s="486">
        <f t="shared" si="3"/>
        <v>0</v>
      </c>
      <c r="L11" s="480"/>
      <c r="M11" s="480"/>
      <c r="N11" s="480"/>
      <c r="O11" s="480"/>
      <c r="P11" s="480"/>
      <c r="Q11" s="484">
        <v>321311</v>
      </c>
      <c r="R11" s="485"/>
      <c r="S11" s="486">
        <f t="shared" si="4"/>
        <v>304544.03758507414</v>
      </c>
    </row>
    <row r="12" spans="1:19" x14ac:dyDescent="0.2">
      <c r="B12" s="495">
        <f t="shared" si="0"/>
        <v>2013</v>
      </c>
      <c r="C12" s="487">
        <f t="shared" si="1"/>
        <v>12</v>
      </c>
      <c r="D12" s="496">
        <v>41609</v>
      </c>
      <c r="E12" s="485">
        <f>SUMIFS('Desbalance - Diario'!$H$28:$H$970,'Desbalance - Diario'!$B$28:$B$970,'Desbalance - Mensual'!B12,'Desbalance - Diario'!$C$28:$C$970,'Desbalance - Mensual'!C12)</f>
        <v>2021292</v>
      </c>
      <c r="F12" s="485">
        <f>SUMIFS('Desbalance - Diario'!J$28:J$970,'Desbalance - Diario'!$B$28:$B$970,'Desbalance - Mensual'!$B12,'Desbalance - Diario'!$C$28:$C$970,'Desbalance - Mensual'!$C12)</f>
        <v>1904038.194195522</v>
      </c>
      <c r="G12" s="485">
        <f t="shared" si="2"/>
        <v>117253.805804478</v>
      </c>
      <c r="H12" s="485">
        <f t="shared" si="5"/>
        <v>112381.74037965236</v>
      </c>
      <c r="I12" s="487"/>
      <c r="J12" s="505">
        <v>2021294</v>
      </c>
      <c r="K12" s="486">
        <f t="shared" si="3"/>
        <v>-2</v>
      </c>
      <c r="L12" s="480"/>
      <c r="M12" s="480"/>
      <c r="N12" s="480"/>
      <c r="O12" s="480"/>
      <c r="P12" s="480"/>
      <c r="Q12" s="484">
        <v>1185527.068</v>
      </c>
      <c r="R12" s="485"/>
      <c r="S12" s="486">
        <f t="shared" si="4"/>
        <v>1904038.194195522</v>
      </c>
    </row>
    <row r="13" spans="1:19" x14ac:dyDescent="0.2">
      <c r="A13" s="533"/>
      <c r="B13" s="495">
        <f t="shared" si="0"/>
        <v>2014</v>
      </c>
      <c r="C13" s="487">
        <f t="shared" si="1"/>
        <v>1</v>
      </c>
      <c r="D13" s="496">
        <v>41640</v>
      </c>
      <c r="E13" s="485">
        <f>SUMIFS('Desbalance - Diario'!$H$28:$H$970,'Desbalance - Diario'!$B$28:$B$970,'Desbalance - Mensual'!B13,'Desbalance - Diario'!$C$28:$C$970,'Desbalance - Mensual'!C13)</f>
        <v>1868005</v>
      </c>
      <c r="F13" s="485">
        <f>SUMIFS('Desbalance - Diario'!J$28:J$970,'Desbalance - Diario'!$B$28:$B$970,'Desbalance - Mensual'!$B13,'Desbalance - Diario'!$C$28:$C$970,'Desbalance - Mensual'!$C13)</f>
        <v>2134013.009048969</v>
      </c>
      <c r="G13" s="485">
        <f t="shared" si="2"/>
        <v>-266008.00904896902</v>
      </c>
      <c r="H13" s="485">
        <f t="shared" si="5"/>
        <v>-153626.26866931666</v>
      </c>
      <c r="I13" s="487"/>
      <c r="J13" s="505">
        <v>1855994</v>
      </c>
      <c r="K13" s="486">
        <f t="shared" si="3"/>
        <v>12011</v>
      </c>
      <c r="L13" s="480"/>
      <c r="M13" s="480"/>
      <c r="N13" s="480"/>
      <c r="O13" s="480"/>
      <c r="P13" s="480"/>
      <c r="Q13" s="484">
        <v>2251503.2009999999</v>
      </c>
      <c r="R13" s="485">
        <f t="shared" ref="R13:R44" si="6">Q13/1.055056</f>
        <v>2134012.9822492832</v>
      </c>
      <c r="S13" s="486">
        <f t="shared" si="4"/>
        <v>2.6799685787409544E-2</v>
      </c>
    </row>
    <row r="14" spans="1:19" x14ac:dyDescent="0.2">
      <c r="B14" s="495">
        <f t="shared" si="0"/>
        <v>2014</v>
      </c>
      <c r="C14" s="487">
        <f t="shared" si="1"/>
        <v>2</v>
      </c>
      <c r="D14" s="496">
        <v>41671</v>
      </c>
      <c r="E14" s="485">
        <f>SUMIFS('Desbalance - Diario'!$H$28:$H$970,'Desbalance - Diario'!$B$28:$B$970,'Desbalance - Mensual'!B14,'Desbalance - Diario'!$C$28:$C$970,'Desbalance - Mensual'!C14)</f>
        <v>1951838</v>
      </c>
      <c r="F14" s="485">
        <f>SUMIFS('Desbalance - Diario'!J$28:J$970,'Desbalance - Diario'!$B$28:$B$970,'Desbalance - Mensual'!$B14,'Desbalance - Diario'!$C$28:$C$970,'Desbalance - Mensual'!$C14)</f>
        <v>1886402.0358775198</v>
      </c>
      <c r="G14" s="485">
        <f t="shared" si="2"/>
        <v>65435.964122480247</v>
      </c>
      <c r="H14" s="485">
        <f t="shared" si="5"/>
        <v>-88190.304546836414</v>
      </c>
      <c r="I14" s="487"/>
      <c r="J14" s="505">
        <v>1951839</v>
      </c>
      <c r="K14" s="486">
        <f t="shared" si="3"/>
        <v>-1</v>
      </c>
      <c r="L14" s="480"/>
      <c r="M14" s="480"/>
      <c r="N14" s="480"/>
      <c r="O14" s="480"/>
      <c r="P14" s="480"/>
      <c r="Q14" s="484">
        <v>1984999.27</v>
      </c>
      <c r="R14" s="485">
        <f t="shared" si="6"/>
        <v>1881416.0291017729</v>
      </c>
      <c r="S14" s="486">
        <f t="shared" si="4"/>
        <v>4986.0067757468205</v>
      </c>
    </row>
    <row r="15" spans="1:19" x14ac:dyDescent="0.2">
      <c r="B15" s="495">
        <f t="shared" si="0"/>
        <v>2014</v>
      </c>
      <c r="C15" s="487">
        <f t="shared" si="1"/>
        <v>3</v>
      </c>
      <c r="D15" s="496">
        <v>41699</v>
      </c>
      <c r="E15" s="485">
        <f>SUMIFS('Desbalance - Diario'!$H$28:$H$970,'Desbalance - Diario'!$B$28:$B$970,'Desbalance - Mensual'!B15,'Desbalance - Diario'!$C$28:$C$970,'Desbalance - Mensual'!C15)</f>
        <v>2294718</v>
      </c>
      <c r="F15" s="485">
        <f>SUMIFS('Desbalance - Diario'!J$28:J$970,'Desbalance - Diario'!$B$28:$B$970,'Desbalance - Mensual'!$B15,'Desbalance - Diario'!$C$28:$C$970,'Desbalance - Mensual'!$C15)</f>
        <v>2189868.4411942605</v>
      </c>
      <c r="G15" s="485">
        <f t="shared" si="2"/>
        <v>104849.55880573951</v>
      </c>
      <c r="H15" s="485">
        <f t="shared" si="5"/>
        <v>16659.254258903093</v>
      </c>
      <c r="I15" s="487"/>
      <c r="J15" s="505">
        <v>2299802</v>
      </c>
      <c r="K15" s="486">
        <f t="shared" si="3"/>
        <v>-5084</v>
      </c>
      <c r="L15" s="480"/>
      <c r="M15" s="480"/>
      <c r="N15" s="480"/>
      <c r="O15" s="480"/>
      <c r="P15" s="480"/>
      <c r="Q15" s="484">
        <v>2310433.8089999999</v>
      </c>
      <c r="R15" s="485">
        <f t="shared" si="6"/>
        <v>2189868.4136197511</v>
      </c>
      <c r="S15" s="486">
        <f t="shared" si="4"/>
        <v>2.7574509382247925E-2</v>
      </c>
    </row>
    <row r="16" spans="1:19" x14ac:dyDescent="0.2">
      <c r="B16" s="495">
        <f t="shared" si="0"/>
        <v>2014</v>
      </c>
      <c r="C16" s="487">
        <f t="shared" si="1"/>
        <v>4</v>
      </c>
      <c r="D16" s="496">
        <v>41730</v>
      </c>
      <c r="E16" s="485">
        <f>SUMIFS('Desbalance - Diario'!$H$28:$H$970,'Desbalance - Diario'!$B$28:$B$970,'Desbalance - Mensual'!B16,'Desbalance - Diario'!$C$28:$C$970,'Desbalance - Mensual'!C16)</f>
        <v>1979535</v>
      </c>
      <c r="F16" s="485">
        <f>SUMIFS('Desbalance - Diario'!J$28:J$970,'Desbalance - Diario'!$B$28:$B$970,'Desbalance - Mensual'!$B16,'Desbalance - Diario'!$C$28:$C$970,'Desbalance - Mensual'!$C16)</f>
        <v>2034932.1868973095</v>
      </c>
      <c r="G16" s="485">
        <f t="shared" si="2"/>
        <v>-55397.186897309497</v>
      </c>
      <c r="H16" s="485">
        <f t="shared" si="5"/>
        <v>-38737.932638406404</v>
      </c>
      <c r="I16" s="487"/>
      <c r="J16" s="505">
        <v>1984395</v>
      </c>
      <c r="K16" s="486">
        <f t="shared" si="3"/>
        <v>-4860</v>
      </c>
      <c r="L16" s="480"/>
      <c r="M16" s="480"/>
      <c r="N16" s="480"/>
      <c r="O16" s="480"/>
      <c r="P16" s="480"/>
      <c r="Q16" s="484">
        <v>2146967.3859999999</v>
      </c>
      <c r="R16" s="485">
        <f t="shared" si="6"/>
        <v>2034932.160946907</v>
      </c>
      <c r="S16" s="486">
        <f t="shared" si="4"/>
        <v>2.5950402487069368E-2</v>
      </c>
    </row>
    <row r="17" spans="2:19" x14ac:dyDescent="0.2">
      <c r="B17" s="495">
        <f t="shared" si="0"/>
        <v>2014</v>
      </c>
      <c r="C17" s="487">
        <f t="shared" si="1"/>
        <v>5</v>
      </c>
      <c r="D17" s="496">
        <v>41760</v>
      </c>
      <c r="E17" s="485">
        <f>SUMIFS('Desbalance - Diario'!$H$28:$H$970,'Desbalance - Diario'!$B$28:$B$970,'Desbalance - Mensual'!B17,'Desbalance - Diario'!$C$28:$C$970,'Desbalance - Mensual'!C17)</f>
        <v>1965199</v>
      </c>
      <c r="F17" s="485">
        <f>SUMIFS('Desbalance - Diario'!J$28:J$970,'Desbalance - Diario'!$B$28:$B$970,'Desbalance - Mensual'!$B17,'Desbalance - Diario'!$C$28:$C$970,'Desbalance - Mensual'!$C17)</f>
        <v>2220385.9317924702</v>
      </c>
      <c r="G17" s="485">
        <f t="shared" si="2"/>
        <v>-255186.93179247016</v>
      </c>
      <c r="H17" s="485">
        <f t="shared" si="5"/>
        <v>-293924.86443087657</v>
      </c>
      <c r="I17" s="487"/>
      <c r="J17" s="505">
        <v>1960356</v>
      </c>
      <c r="K17" s="486">
        <f t="shared" si="3"/>
        <v>4843</v>
      </c>
      <c r="L17" s="480"/>
      <c r="M17" s="480"/>
      <c r="N17" s="480"/>
      <c r="O17" s="480"/>
      <c r="P17" s="480"/>
      <c r="Q17" s="484">
        <v>2342679.9980000001</v>
      </c>
      <c r="R17" s="485">
        <f t="shared" si="6"/>
        <v>2220431.8993494185</v>
      </c>
      <c r="S17" s="486">
        <f t="shared" si="4"/>
        <v>-45.967556948307902</v>
      </c>
    </row>
    <row r="18" spans="2:19" x14ac:dyDescent="0.2">
      <c r="B18" s="495">
        <f t="shared" si="0"/>
        <v>2014</v>
      </c>
      <c r="C18" s="487">
        <f t="shared" si="1"/>
        <v>6</v>
      </c>
      <c r="D18" s="496">
        <v>41791</v>
      </c>
      <c r="E18" s="485">
        <f>SUMIFS('Desbalance - Diario'!$H$28:$H$970,'Desbalance - Diario'!$B$28:$B$970,'Desbalance - Mensual'!B18,'Desbalance - Diario'!$C$28:$C$970,'Desbalance - Mensual'!C18)</f>
        <v>1884986</v>
      </c>
      <c r="F18" s="485">
        <f>SUMIFS('Desbalance - Diario'!J$28:J$970,'Desbalance - Diario'!$B$28:$B$970,'Desbalance - Mensual'!$B18,'Desbalance - Diario'!$C$28:$C$970,'Desbalance - Mensual'!$C18)</f>
        <v>1969014.8823297266</v>
      </c>
      <c r="G18" s="485">
        <f t="shared" si="2"/>
        <v>-84028.882329726592</v>
      </c>
      <c r="H18" s="485">
        <f t="shared" si="5"/>
        <v>-377953.74676060316</v>
      </c>
      <c r="I18" s="487"/>
      <c r="J18" s="505">
        <v>1879663</v>
      </c>
      <c r="K18" s="486">
        <f t="shared" si="3"/>
        <v>5323</v>
      </c>
      <c r="L18" s="480"/>
      <c r="M18" s="480"/>
      <c r="N18" s="480"/>
      <c r="O18" s="480"/>
      <c r="P18" s="480"/>
      <c r="Q18" s="484">
        <v>2077420.939</v>
      </c>
      <c r="R18" s="485">
        <f t="shared" si="6"/>
        <v>1969014.8570312855</v>
      </c>
      <c r="S18" s="486">
        <f t="shared" si="4"/>
        <v>2.5298441061750054E-2</v>
      </c>
    </row>
    <row r="19" spans="2:19" x14ac:dyDescent="0.2">
      <c r="B19" s="495">
        <f t="shared" si="0"/>
        <v>2014</v>
      </c>
      <c r="C19" s="487">
        <f t="shared" si="1"/>
        <v>7</v>
      </c>
      <c r="D19" s="496">
        <v>41821</v>
      </c>
      <c r="E19" s="485">
        <f>SUMIFS('Desbalance - Diario'!$H$28:$H$970,'Desbalance - Diario'!$B$28:$B$970,'Desbalance - Mensual'!B19,'Desbalance - Diario'!$C$28:$C$970,'Desbalance - Mensual'!C19)</f>
        <v>2189706</v>
      </c>
      <c r="F19" s="485">
        <f>SUMIFS('Desbalance - Diario'!J$28:J$970,'Desbalance - Diario'!$B$28:$B$970,'Desbalance - Mensual'!$B19,'Desbalance - Diario'!$C$28:$C$970,'Desbalance - Mensual'!$C19)</f>
        <v>2154473.31609549</v>
      </c>
      <c r="G19" s="485">
        <f t="shared" si="2"/>
        <v>35232.683904509991</v>
      </c>
      <c r="H19" s="485">
        <f t="shared" si="5"/>
        <v>-342721.06285609317</v>
      </c>
      <c r="I19" s="487"/>
      <c r="J19" s="505">
        <v>2176822</v>
      </c>
      <c r="K19" s="486">
        <f t="shared" si="3"/>
        <v>12884</v>
      </c>
      <c r="L19" s="480"/>
      <c r="M19" s="480"/>
      <c r="N19" s="480"/>
      <c r="O19" s="480"/>
      <c r="P19" s="480"/>
      <c r="Q19" s="484">
        <v>2273571.79</v>
      </c>
      <c r="R19" s="485">
        <f t="shared" si="6"/>
        <v>2154929.9658027631</v>
      </c>
      <c r="S19" s="486">
        <f t="shared" si="4"/>
        <v>-456.64970727311447</v>
      </c>
    </row>
    <row r="20" spans="2:19" x14ac:dyDescent="0.2">
      <c r="B20" s="495">
        <f t="shared" si="0"/>
        <v>2014</v>
      </c>
      <c r="C20" s="487">
        <f t="shared" si="1"/>
        <v>8</v>
      </c>
      <c r="D20" s="496">
        <v>41852</v>
      </c>
      <c r="E20" s="485">
        <f>SUMIFS('Desbalance - Diario'!$H$28:$H$970,'Desbalance - Diario'!$B$28:$B$970,'Desbalance - Mensual'!B20,'Desbalance - Diario'!$C$28:$C$970,'Desbalance - Mensual'!C20)</f>
        <v>2207515</v>
      </c>
      <c r="F20" s="485">
        <f>SUMIFS('Desbalance - Diario'!J$28:J$970,'Desbalance - Diario'!$B$28:$B$970,'Desbalance - Mensual'!$B20,'Desbalance - Diario'!$C$28:$C$970,'Desbalance - Mensual'!$C20)</f>
        <v>2172148.0044132629</v>
      </c>
      <c r="G20" s="485">
        <f t="shared" si="2"/>
        <v>35366.995586737059</v>
      </c>
      <c r="H20" s="485">
        <f t="shared" si="5"/>
        <v>-307354.06726935611</v>
      </c>
      <c r="I20" s="487"/>
      <c r="J20" s="505">
        <v>2214514</v>
      </c>
      <c r="K20" s="486">
        <f t="shared" si="3"/>
        <v>-6999</v>
      </c>
      <c r="L20" s="480"/>
      <c r="M20" s="480"/>
      <c r="N20" s="480"/>
      <c r="O20" s="480"/>
      <c r="P20" s="480"/>
      <c r="Q20" s="484">
        <v>2291737.7560000001</v>
      </c>
      <c r="R20" s="485">
        <f t="shared" si="6"/>
        <v>2172147.976979421</v>
      </c>
      <c r="S20" s="486">
        <f t="shared" si="4"/>
        <v>2.7433841954916716E-2</v>
      </c>
    </row>
    <row r="21" spans="2:19" x14ac:dyDescent="0.2">
      <c r="B21" s="495">
        <f t="shared" si="0"/>
        <v>2014</v>
      </c>
      <c r="C21" s="487">
        <f t="shared" si="1"/>
        <v>9</v>
      </c>
      <c r="D21" s="496">
        <v>41883</v>
      </c>
      <c r="E21" s="485">
        <f>SUMIFS('Desbalance - Diario'!$H$28:$H$970,'Desbalance - Diario'!$B$28:$B$970,'Desbalance - Mensual'!B21,'Desbalance - Diario'!$C$28:$C$970,'Desbalance - Mensual'!C21)</f>
        <v>2282110</v>
      </c>
      <c r="F21" s="485">
        <f>SUMIFS('Desbalance - Diario'!J$28:J$970,'Desbalance - Diario'!$B$28:$B$970,'Desbalance - Mensual'!$B21,'Desbalance - Diario'!$C$28:$C$970,'Desbalance - Mensual'!$C21)</f>
        <v>2029905.8860368589</v>
      </c>
      <c r="G21" s="485">
        <f t="shared" si="2"/>
        <v>252204.11396314111</v>
      </c>
      <c r="H21" s="485">
        <f t="shared" si="5"/>
        <v>-55149.953306215</v>
      </c>
      <c r="I21" s="487"/>
      <c r="J21" s="505">
        <v>2282007</v>
      </c>
      <c r="K21" s="486">
        <f t="shared" si="3"/>
        <v>103</v>
      </c>
      <c r="L21" s="480"/>
      <c r="M21" s="480"/>
      <c r="N21" s="480"/>
      <c r="O21" s="480"/>
      <c r="P21" s="480"/>
      <c r="Q21" s="484">
        <v>2139869.173</v>
      </c>
      <c r="R21" s="485">
        <f t="shared" si="6"/>
        <v>2028204.3540816791</v>
      </c>
      <c r="S21" s="486">
        <f t="shared" si="4"/>
        <v>1701.5319551797584</v>
      </c>
    </row>
    <row r="22" spans="2:19" x14ac:dyDescent="0.2">
      <c r="B22" s="495">
        <f t="shared" si="0"/>
        <v>2014</v>
      </c>
      <c r="C22" s="487">
        <f t="shared" si="1"/>
        <v>10</v>
      </c>
      <c r="D22" s="496">
        <v>41913</v>
      </c>
      <c r="E22" s="485">
        <f>SUMIFS('Desbalance - Diario'!$H$28:$H$970,'Desbalance - Diario'!$B$28:$B$970,'Desbalance - Mensual'!B22,'Desbalance - Diario'!$C$28:$C$970,'Desbalance - Mensual'!C22)</f>
        <v>2146496</v>
      </c>
      <c r="F22" s="485">
        <f>SUMIFS('Desbalance - Diario'!J$28:J$970,'Desbalance - Diario'!$B$28:$B$970,'Desbalance - Mensual'!$B22,'Desbalance - Diario'!$C$28:$C$970,'Desbalance - Mensual'!$C22)</f>
        <v>2053022.0431991387</v>
      </c>
      <c r="G22" s="485">
        <f t="shared" si="2"/>
        <v>93473.956800861284</v>
      </c>
      <c r="H22" s="485">
        <f t="shared" si="5"/>
        <v>38324.003494646284</v>
      </c>
      <c r="I22" s="487"/>
      <c r="J22" s="505"/>
      <c r="K22" s="486">
        <f t="shared" si="3"/>
        <v>2146496</v>
      </c>
      <c r="L22" s="480"/>
      <c r="M22" s="480"/>
      <c r="N22" s="480"/>
      <c r="O22" s="480"/>
      <c r="P22" s="480"/>
      <c r="Q22" s="484">
        <v>2166053.1970000002</v>
      </c>
      <c r="R22" s="485">
        <f t="shared" si="6"/>
        <v>2053022.0168408125</v>
      </c>
      <c r="S22" s="486">
        <f t="shared" si="4"/>
        <v>2.6358326198533177E-2</v>
      </c>
    </row>
    <row r="23" spans="2:19" x14ac:dyDescent="0.2">
      <c r="B23" s="495">
        <f t="shared" si="0"/>
        <v>2014</v>
      </c>
      <c r="C23" s="487">
        <f t="shared" si="1"/>
        <v>11</v>
      </c>
      <c r="D23" s="496">
        <v>41944</v>
      </c>
      <c r="E23" s="485">
        <f>SUMIFS('Desbalance - Diario'!$H$28:$H$970,'Desbalance - Diario'!$B$28:$B$970,'Desbalance - Mensual'!B23,'Desbalance - Diario'!$C$28:$C$970,'Desbalance - Mensual'!C23)</f>
        <v>2118866</v>
      </c>
      <c r="F23" s="485">
        <f>SUMIFS('Desbalance - Diario'!J$28:J$970,'Desbalance - Diario'!$B$28:$B$970,'Desbalance - Mensual'!$B23,'Desbalance - Diario'!$C$28:$C$970,'Desbalance - Mensual'!$C23)</f>
        <v>1895843.3282279014</v>
      </c>
      <c r="G23" s="485">
        <f t="shared" si="2"/>
        <v>223022.67177209863</v>
      </c>
      <c r="H23" s="485">
        <f t="shared" si="5"/>
        <v>261346.67526674492</v>
      </c>
      <c r="I23" s="487"/>
      <c r="J23" s="504">
        <v>2051357</v>
      </c>
      <c r="K23" s="486">
        <f t="shared" si="3"/>
        <v>67509</v>
      </c>
      <c r="L23" s="480"/>
      <c r="M23" s="480"/>
      <c r="N23" s="480"/>
      <c r="O23" s="480"/>
      <c r="P23" s="480"/>
      <c r="Q23" s="484">
        <v>2000220.8529999999</v>
      </c>
      <c r="R23" s="485">
        <f t="shared" si="6"/>
        <v>1895843.304052107</v>
      </c>
      <c r="S23" s="486">
        <f t="shared" si="4"/>
        <v>2.4175794329494238E-2</v>
      </c>
    </row>
    <row r="24" spans="2:19" x14ac:dyDescent="0.2">
      <c r="B24" s="495">
        <f t="shared" si="0"/>
        <v>2014</v>
      </c>
      <c r="C24" s="487">
        <f t="shared" si="1"/>
        <v>12</v>
      </c>
      <c r="D24" s="496">
        <v>41974</v>
      </c>
      <c r="E24" s="485">
        <f>SUMIFS('Desbalance - Diario'!$H$28:$H$970,'Desbalance - Diario'!$B$28:$B$970,'Desbalance - Mensual'!B24,'Desbalance - Diario'!$C$28:$C$970,'Desbalance - Mensual'!C24)</f>
        <v>1907000</v>
      </c>
      <c r="F24" s="485">
        <f>SUMIFS('Desbalance - Diario'!J$28:J$970,'Desbalance - Diario'!$B$28:$B$970,'Desbalance - Mensual'!$B24,'Desbalance - Diario'!$C$28:$C$970,'Desbalance - Mensual'!$C24)</f>
        <v>2044150.4029190401</v>
      </c>
      <c r="G24" s="485">
        <f t="shared" si="2"/>
        <v>-137150.40291904006</v>
      </c>
      <c r="H24" s="485">
        <f t="shared" si="5"/>
        <v>124196.27234770486</v>
      </c>
      <c r="I24" s="487"/>
      <c r="J24" s="504">
        <v>1907000</v>
      </c>
      <c r="K24" s="486">
        <f t="shared" si="3"/>
        <v>0</v>
      </c>
      <c r="L24" s="480"/>
      <c r="M24" s="480"/>
      <c r="N24" s="480"/>
      <c r="O24" s="480"/>
      <c r="P24" s="480"/>
      <c r="Q24" s="484">
        <v>2156693.12</v>
      </c>
      <c r="R24" s="485">
        <f t="shared" si="6"/>
        <v>2044150.3768520346</v>
      </c>
      <c r="S24" s="486">
        <f t="shared" si="4"/>
        <v>2.6067005470395088E-2</v>
      </c>
    </row>
    <row r="25" spans="2:19" x14ac:dyDescent="0.2">
      <c r="B25" s="495">
        <f t="shared" si="0"/>
        <v>2015</v>
      </c>
      <c r="C25" s="487">
        <f t="shared" si="1"/>
        <v>1</v>
      </c>
      <c r="D25" s="496">
        <v>42005</v>
      </c>
      <c r="E25" s="485">
        <f>SUMIFS('Desbalance - Diario'!$H$28:$H$970,'Desbalance - Diario'!$B$28:$B$970,'Desbalance - Mensual'!B25,'Desbalance - Diario'!$C$28:$C$970,'Desbalance - Mensual'!C25)</f>
        <v>1854701</v>
      </c>
      <c r="F25" s="485">
        <f>SUMIFS('Desbalance - Diario'!J$28:J$970,'Desbalance - Diario'!$B$28:$B$970,'Desbalance - Mensual'!$B25,'Desbalance - Diario'!$C$28:$C$970,'Desbalance - Mensual'!$C25)</f>
        <v>1970794.0118678145</v>
      </c>
      <c r="G25" s="485">
        <f t="shared" si="2"/>
        <v>-116093.01186781446</v>
      </c>
      <c r="H25" s="485">
        <f t="shared" si="5"/>
        <v>8103.2604798903922</v>
      </c>
      <c r="I25" s="487"/>
      <c r="J25" s="504">
        <v>1854701</v>
      </c>
      <c r="K25" s="486">
        <f t="shared" si="3"/>
        <v>0</v>
      </c>
      <c r="L25" s="480"/>
      <c r="M25" s="480"/>
      <c r="N25" s="480"/>
      <c r="O25" s="480"/>
      <c r="P25" s="480"/>
      <c r="Q25" s="484">
        <v>2079298.02</v>
      </c>
      <c r="R25" s="485">
        <f t="shared" si="6"/>
        <v>1970793.986290775</v>
      </c>
      <c r="S25" s="486">
        <f t="shared" si="4"/>
        <v>2.5577039457857609E-2</v>
      </c>
    </row>
    <row r="26" spans="2:19" x14ac:dyDescent="0.2">
      <c r="B26" s="495">
        <f t="shared" si="0"/>
        <v>2015</v>
      </c>
      <c r="C26" s="487">
        <f t="shared" si="1"/>
        <v>2</v>
      </c>
      <c r="D26" s="496">
        <v>42036</v>
      </c>
      <c r="E26" s="485">
        <f>SUMIFS('Desbalance - Diario'!$H$28:$H$970,'Desbalance - Diario'!$B$28:$B$970,'Desbalance - Mensual'!B26,'Desbalance - Diario'!$C$28:$C$970,'Desbalance - Mensual'!C26)</f>
        <v>1721945</v>
      </c>
      <c r="F26" s="485">
        <f>SUMIFS('Desbalance - Diario'!J$28:J$970,'Desbalance - Diario'!$B$28:$B$970,'Desbalance - Mensual'!$B26,'Desbalance - Diario'!$C$28:$C$970,'Desbalance - Mensual'!$C26)</f>
        <v>1829733.2425884181</v>
      </c>
      <c r="G26" s="485">
        <f t="shared" si="2"/>
        <v>-107788.24258841807</v>
      </c>
      <c r="H26" s="485">
        <f t="shared" si="5"/>
        <v>-99684.982108527678</v>
      </c>
      <c r="I26" s="487"/>
      <c r="J26" s="504">
        <v>1721945</v>
      </c>
      <c r="K26" s="486">
        <f t="shared" si="3"/>
        <v>0</v>
      </c>
      <c r="L26" s="480"/>
      <c r="M26" s="480"/>
      <c r="N26" s="480"/>
      <c r="O26" s="480"/>
      <c r="P26" s="480"/>
      <c r="Q26" s="484">
        <v>1930471.0109999999</v>
      </c>
      <c r="R26" s="485">
        <f t="shared" si="6"/>
        <v>1829733.2189002289</v>
      </c>
      <c r="S26" s="486">
        <f t="shared" si="4"/>
        <v>2.3688189219683409E-2</v>
      </c>
    </row>
    <row r="27" spans="2:19" x14ac:dyDescent="0.2">
      <c r="B27" s="495">
        <f t="shared" si="0"/>
        <v>2015</v>
      </c>
      <c r="C27" s="487">
        <f t="shared" si="1"/>
        <v>3</v>
      </c>
      <c r="D27" s="496">
        <v>42064</v>
      </c>
      <c r="E27" s="485">
        <f>SUMIFS('Desbalance - Diario'!$H$28:$H$970,'Desbalance - Diario'!$B$28:$B$970,'Desbalance - Mensual'!B27,'Desbalance - Diario'!$C$28:$C$970,'Desbalance - Mensual'!C27)</f>
        <v>1384128</v>
      </c>
      <c r="F27" s="485">
        <f>SUMIFS('Desbalance - Diario'!J$28:J$970,'Desbalance - Diario'!$B$28:$B$970,'Desbalance - Mensual'!$B27,'Desbalance - Diario'!$C$28:$C$970,'Desbalance - Mensual'!$C27)</f>
        <v>1568869.0127421478</v>
      </c>
      <c r="G27" s="485">
        <f t="shared" si="2"/>
        <v>-184741.01274214778</v>
      </c>
      <c r="H27" s="485">
        <f t="shared" si="5"/>
        <v>-284425.99485067546</v>
      </c>
      <c r="I27" s="487"/>
      <c r="J27" s="504">
        <v>1384128</v>
      </c>
      <c r="K27" s="486">
        <f t="shared" si="3"/>
        <v>0</v>
      </c>
      <c r="L27" s="480"/>
      <c r="M27" s="480"/>
      <c r="N27" s="480"/>
      <c r="O27" s="480"/>
      <c r="P27" s="480"/>
      <c r="Q27" s="484">
        <v>1655244.6440000001</v>
      </c>
      <c r="R27" s="485">
        <f t="shared" si="6"/>
        <v>1568868.9927359307</v>
      </c>
      <c r="S27" s="486">
        <f t="shared" si="4"/>
        <v>2.0006217062473297E-2</v>
      </c>
    </row>
    <row r="28" spans="2:19" x14ac:dyDescent="0.2">
      <c r="B28" s="495">
        <f t="shared" si="0"/>
        <v>2015</v>
      </c>
      <c r="C28" s="487">
        <f t="shared" si="1"/>
        <v>4</v>
      </c>
      <c r="D28" s="496">
        <v>42095</v>
      </c>
      <c r="E28" s="485">
        <f>SUMIFS('Desbalance - Diario'!$H$28:$H$970,'Desbalance - Diario'!$B$28:$B$970,'Desbalance - Mensual'!B28,'Desbalance - Diario'!$C$28:$C$970,'Desbalance - Mensual'!C28)</f>
        <v>2145208</v>
      </c>
      <c r="F28" s="485">
        <f>SUMIFS('Desbalance - Diario'!J$28:J$970,'Desbalance - Diario'!$B$28:$B$970,'Desbalance - Mensual'!$B28,'Desbalance - Diario'!$C$28:$C$970,'Desbalance - Mensual'!$C28)</f>
        <v>2117070.4068819308</v>
      </c>
      <c r="G28" s="485">
        <f t="shared" si="2"/>
        <v>28137.593118069228</v>
      </c>
      <c r="H28" s="485">
        <f t="shared" si="5"/>
        <v>-256288.40173260623</v>
      </c>
      <c r="I28" s="487"/>
      <c r="J28" s="504">
        <v>2145208</v>
      </c>
      <c r="K28" s="486">
        <f t="shared" si="3"/>
        <v>0</v>
      </c>
      <c r="L28" s="480"/>
      <c r="M28" s="480"/>
      <c r="N28" s="480"/>
      <c r="O28" s="480"/>
      <c r="P28" s="480"/>
      <c r="Q28" s="484">
        <v>2233627.807</v>
      </c>
      <c r="R28" s="485">
        <f t="shared" si="6"/>
        <v>2117070.3801504374</v>
      </c>
      <c r="S28" s="486">
        <f t="shared" si="4"/>
        <v>2.6731493417173624E-2</v>
      </c>
    </row>
    <row r="29" spans="2:19" x14ac:dyDescent="0.2">
      <c r="B29" s="495">
        <f t="shared" si="0"/>
        <v>2015</v>
      </c>
      <c r="C29" s="487">
        <f t="shared" si="1"/>
        <v>5</v>
      </c>
      <c r="D29" s="496">
        <v>42125</v>
      </c>
      <c r="E29" s="485">
        <f>SUMIFS('Desbalance - Diario'!$H$28:$H$970,'Desbalance - Diario'!$B$28:$B$970,'Desbalance - Mensual'!B29,'Desbalance - Diario'!$C$28:$C$970,'Desbalance - Mensual'!C29)</f>
        <v>2231000</v>
      </c>
      <c r="F29" s="485">
        <f>SUMIFS('Desbalance - Diario'!J$28:J$970,'Desbalance - Diario'!$B$28:$B$970,'Desbalance - Mensual'!$B29,'Desbalance - Diario'!$C$28:$C$970,'Desbalance - Mensual'!$C29)</f>
        <v>2263825.4457182125</v>
      </c>
      <c r="G29" s="485">
        <f t="shared" si="2"/>
        <v>-32825.445718212519</v>
      </c>
      <c r="H29" s="485">
        <f t="shared" si="5"/>
        <v>-289113.84745081875</v>
      </c>
      <c r="I29" s="487"/>
      <c r="J29" s="504">
        <v>2231000</v>
      </c>
      <c r="K29" s="486">
        <f t="shared" si="3"/>
        <v>0</v>
      </c>
      <c r="L29" s="480"/>
      <c r="M29" s="480"/>
      <c r="N29" s="480"/>
      <c r="O29" s="480"/>
      <c r="P29" s="480"/>
      <c r="Q29" s="484">
        <v>2388462.5890000002</v>
      </c>
      <c r="R29" s="485">
        <f t="shared" si="6"/>
        <v>2263825.4168499112</v>
      </c>
      <c r="S29" s="486">
        <f t="shared" si="4"/>
        <v>2.8868301305919886E-2</v>
      </c>
    </row>
    <row r="30" spans="2:19" x14ac:dyDescent="0.2">
      <c r="B30" s="495">
        <f t="shared" si="0"/>
        <v>2015</v>
      </c>
      <c r="C30" s="487">
        <f t="shared" si="1"/>
        <v>6</v>
      </c>
      <c r="D30" s="496">
        <v>42156</v>
      </c>
      <c r="E30" s="485">
        <f>SUMIFS('Desbalance - Diario'!$H$28:$H$970,'Desbalance - Diario'!$B$28:$B$970,'Desbalance - Mensual'!B30,'Desbalance - Diario'!$C$28:$C$970,'Desbalance - Mensual'!C30)</f>
        <v>2017612</v>
      </c>
      <c r="F30" s="485">
        <f>SUMIFS('Desbalance - Diario'!J$28:J$970,'Desbalance - Diario'!$B$28:$B$970,'Desbalance - Mensual'!$B30,'Desbalance - Diario'!$C$28:$C$970,'Desbalance - Mensual'!$C30)</f>
        <v>2168155.2374191713</v>
      </c>
      <c r="G30" s="485">
        <f t="shared" si="2"/>
        <v>-150543.23741917126</v>
      </c>
      <c r="H30" s="485">
        <f t="shared" si="5"/>
        <v>-439657.08486999001</v>
      </c>
      <c r="I30" s="487"/>
      <c r="J30" s="504">
        <v>2017611</v>
      </c>
      <c r="K30" s="486">
        <f t="shared" si="3"/>
        <v>1</v>
      </c>
      <c r="L30" s="480"/>
      <c r="M30" s="480"/>
      <c r="N30" s="480"/>
      <c r="O30" s="480"/>
      <c r="P30" s="480"/>
      <c r="Q30" s="484">
        <v>2287525.1630000002</v>
      </c>
      <c r="R30" s="485">
        <f t="shared" si="6"/>
        <v>2168155.209770856</v>
      </c>
      <c r="S30" s="486">
        <f t="shared" si="4"/>
        <v>2.764831529930234E-2</v>
      </c>
    </row>
    <row r="31" spans="2:19" x14ac:dyDescent="0.2">
      <c r="B31" s="495">
        <f t="shared" si="0"/>
        <v>2015</v>
      </c>
      <c r="C31" s="487">
        <f t="shared" si="1"/>
        <v>7</v>
      </c>
      <c r="D31" s="496">
        <v>42186</v>
      </c>
      <c r="E31" s="485">
        <f>SUMIFS('Desbalance - Diario'!$H$28:$H$970,'Desbalance - Diario'!$B$28:$B$970,'Desbalance - Mensual'!B31,'Desbalance - Diario'!$C$28:$C$970,'Desbalance - Mensual'!C31)</f>
        <v>2147999</v>
      </c>
      <c r="F31" s="485">
        <f>SUMIFS('Desbalance - Diario'!J$28:J$970,'Desbalance - Diario'!$B$28:$B$970,'Desbalance - Mensual'!$B31,'Desbalance - Diario'!$C$28:$C$970,'Desbalance - Mensual'!$C31)</f>
        <v>2231346.5825706902</v>
      </c>
      <c r="G31" s="485">
        <f t="shared" si="2"/>
        <v>-83347.582570690196</v>
      </c>
      <c r="H31" s="485">
        <f t="shared" si="5"/>
        <v>-523004.6674406802</v>
      </c>
      <c r="I31" s="487"/>
      <c r="J31" s="504">
        <v>2236000</v>
      </c>
      <c r="K31" s="486">
        <f t="shared" si="3"/>
        <v>-88001</v>
      </c>
      <c r="L31" s="480"/>
      <c r="M31" s="480"/>
      <c r="N31" s="480"/>
      <c r="O31" s="480"/>
      <c r="P31" s="480"/>
      <c r="Q31" s="484">
        <v>2324629.9049999998</v>
      </c>
      <c r="R31" s="485">
        <f t="shared" si="6"/>
        <v>2203323.714570601</v>
      </c>
      <c r="S31" s="486">
        <f t="shared" si="4"/>
        <v>28022.868000089191</v>
      </c>
    </row>
    <row r="32" spans="2:19" x14ac:dyDescent="0.2">
      <c r="B32" s="495">
        <f t="shared" si="0"/>
        <v>2015</v>
      </c>
      <c r="C32" s="487">
        <f t="shared" si="1"/>
        <v>8</v>
      </c>
      <c r="D32" s="496">
        <v>42217</v>
      </c>
      <c r="E32" s="485">
        <f>SUMIFS('Desbalance - Diario'!$H$28:$H$970,'Desbalance - Diario'!$B$28:$B$970,'Desbalance - Mensual'!B32,'Desbalance - Diario'!$C$28:$C$970,'Desbalance - Mensual'!C32)</f>
        <v>2147999</v>
      </c>
      <c r="F32" s="485">
        <f>SUMIFS('Desbalance - Diario'!J$28:J$970,'Desbalance - Diario'!$B$28:$B$970,'Desbalance - Mensual'!$B32,'Desbalance - Diario'!$C$28:$C$970,'Desbalance - Mensual'!$C32)</f>
        <v>2231346.5825706902</v>
      </c>
      <c r="G32" s="485">
        <f t="shared" si="2"/>
        <v>-83347.582570690196</v>
      </c>
      <c r="H32" s="485">
        <f t="shared" si="5"/>
        <v>-606352.2500113704</v>
      </c>
      <c r="I32" s="487"/>
      <c r="J32" s="504">
        <v>2147999</v>
      </c>
      <c r="K32" s="486">
        <f t="shared" si="3"/>
        <v>0</v>
      </c>
      <c r="L32" s="480"/>
      <c r="M32" s="480"/>
      <c r="N32" s="480"/>
      <c r="O32" s="480"/>
      <c r="P32" s="480"/>
      <c r="Q32" s="484">
        <v>2354195.5699999998</v>
      </c>
      <c r="R32" s="485">
        <f t="shared" si="6"/>
        <v>2231346.5541165587</v>
      </c>
      <c r="S32" s="486">
        <f t="shared" si="4"/>
        <v>2.8454131446778774E-2</v>
      </c>
    </row>
    <row r="33" spans="2:19" x14ac:dyDescent="0.2">
      <c r="B33" s="495">
        <f t="shared" si="0"/>
        <v>2015</v>
      </c>
      <c r="C33" s="487">
        <f t="shared" si="1"/>
        <v>9</v>
      </c>
      <c r="D33" s="496">
        <v>42248</v>
      </c>
      <c r="E33" s="485">
        <f>SUMIFS('Desbalance - Diario'!$H$28:$H$970,'Desbalance - Diario'!$B$28:$B$970,'Desbalance - Mensual'!B33,'Desbalance - Diario'!$C$28:$C$970,'Desbalance - Mensual'!C33)</f>
        <v>2152999</v>
      </c>
      <c r="F33" s="485">
        <f>SUMIFS('Desbalance - Diario'!J$28:J$970,'Desbalance - Diario'!$B$28:$B$970,'Desbalance - Mensual'!$B33,'Desbalance - Diario'!$C$28:$C$970,'Desbalance - Mensual'!$C33)</f>
        <v>2139973.3888924946</v>
      </c>
      <c r="G33" s="485">
        <f t="shared" si="2"/>
        <v>13025.611107505392</v>
      </c>
      <c r="H33" s="485">
        <f t="shared" si="5"/>
        <v>-593326.63890386501</v>
      </c>
      <c r="I33" s="487"/>
      <c r="J33" s="504">
        <v>2152999</v>
      </c>
      <c r="K33" s="486">
        <f t="shared" si="3"/>
        <v>0</v>
      </c>
      <c r="L33" s="480"/>
      <c r="M33" s="480"/>
      <c r="N33" s="480"/>
      <c r="O33" s="480"/>
      <c r="P33" s="480"/>
      <c r="Q33" s="484">
        <v>2257791.7349999999</v>
      </c>
      <c r="R33" s="485">
        <f t="shared" si="6"/>
        <v>2139973.3616035548</v>
      </c>
      <c r="S33" s="486">
        <f t="shared" si="4"/>
        <v>2.728893980383873E-2</v>
      </c>
    </row>
    <row r="34" spans="2:19" x14ac:dyDescent="0.2">
      <c r="B34" s="495">
        <f t="shared" si="0"/>
        <v>2015</v>
      </c>
      <c r="C34" s="487">
        <f t="shared" si="1"/>
        <v>10</v>
      </c>
      <c r="D34" s="496">
        <v>42278</v>
      </c>
      <c r="E34" s="485">
        <f>SUMIFS('Desbalance - Diario'!$H$28:$H$970,'Desbalance - Diario'!$B$28:$B$970,'Desbalance - Mensual'!B34,'Desbalance - Diario'!$C$28:$C$970,'Desbalance - Mensual'!C34)</f>
        <v>2150001</v>
      </c>
      <c r="F34" s="485">
        <f>SUMIFS('Desbalance - Diario'!J$28:J$970,'Desbalance - Diario'!$B$28:$B$970,'Desbalance - Mensual'!$B34,'Desbalance - Diario'!$C$28:$C$970,'Desbalance - Mensual'!$C34)</f>
        <v>2156586.7584420899</v>
      </c>
      <c r="G34" s="485">
        <f t="shared" si="2"/>
        <v>-6585.7584420898929</v>
      </c>
      <c r="H34" s="485">
        <f t="shared" si="5"/>
        <v>-599912.3973459549</v>
      </c>
      <c r="I34" s="487"/>
      <c r="J34" s="504">
        <v>2150001</v>
      </c>
      <c r="K34" s="486">
        <f t="shared" si="3"/>
        <v>0</v>
      </c>
      <c r="L34" s="480"/>
      <c r="M34" s="480"/>
      <c r="N34" s="480"/>
      <c r="O34" s="480"/>
      <c r="P34" s="480"/>
      <c r="Q34" s="484">
        <v>2275319.77</v>
      </c>
      <c r="R34" s="485">
        <f t="shared" si="6"/>
        <v>2156586.7309412961</v>
      </c>
      <c r="S34" s="486">
        <f t="shared" si="4"/>
        <v>2.7500793803483248E-2</v>
      </c>
    </row>
    <row r="35" spans="2:19" x14ac:dyDescent="0.2">
      <c r="B35" s="495">
        <f t="shared" si="0"/>
        <v>2015</v>
      </c>
      <c r="C35" s="487">
        <f t="shared" si="1"/>
        <v>11</v>
      </c>
      <c r="D35" s="496">
        <v>42309</v>
      </c>
      <c r="E35" s="485">
        <f>SUMIFS('Desbalance - Diario'!$H$28:$H$970,'Desbalance - Diario'!$B$28:$B$970,'Desbalance - Mensual'!B35,'Desbalance - Diario'!$C$28:$C$970,'Desbalance - Mensual'!C35)</f>
        <v>2023228</v>
      </c>
      <c r="F35" s="485">
        <f>SUMIFS('Desbalance - Diario'!J$28:J$970,'Desbalance - Diario'!$B$28:$B$970,'Desbalance - Mensual'!$B35,'Desbalance - Diario'!$C$28:$C$970,'Desbalance - Mensual'!$C35)</f>
        <v>2027811.1079244332</v>
      </c>
      <c r="G35" s="485">
        <f t="shared" si="2"/>
        <v>-4583.1079244331922</v>
      </c>
      <c r="H35" s="485">
        <f t="shared" si="5"/>
        <v>-604495.50527038809</v>
      </c>
      <c r="I35" s="487"/>
      <c r="J35" s="504">
        <v>2029228</v>
      </c>
      <c r="K35" s="486">
        <f t="shared" si="3"/>
        <v>-6000</v>
      </c>
      <c r="L35" s="480"/>
      <c r="M35" s="480"/>
      <c r="N35" s="480"/>
      <c r="O35" s="480"/>
      <c r="P35" s="480"/>
      <c r="Q35" s="484">
        <v>2139454.2489999998</v>
      </c>
      <c r="R35" s="485">
        <f t="shared" si="6"/>
        <v>2027811.082065786</v>
      </c>
      <c r="S35" s="486">
        <f t="shared" si="4"/>
        <v>2.5858647190034389E-2</v>
      </c>
    </row>
    <row r="36" spans="2:19" x14ac:dyDescent="0.2">
      <c r="B36" s="495">
        <f t="shared" si="0"/>
        <v>2015</v>
      </c>
      <c r="C36" s="487">
        <f t="shared" si="1"/>
        <v>12</v>
      </c>
      <c r="D36" s="496">
        <v>42339</v>
      </c>
      <c r="E36" s="485">
        <f>SUMIFS('Desbalance - Diario'!$H$28:$H$970,'Desbalance - Diario'!$B$28:$B$970,'Desbalance - Mensual'!B36,'Desbalance - Diario'!$C$28:$C$970,'Desbalance - Mensual'!C36)</f>
        <v>2110719</v>
      </c>
      <c r="F36" s="485">
        <f>SUMIFS('Desbalance - Diario'!J$28:J$970,'Desbalance - Diario'!$B$28:$B$970,'Desbalance - Mensual'!$B36,'Desbalance - Diario'!$C$28:$C$970,'Desbalance - Mensual'!$C36)</f>
        <v>2157056.9768241723</v>
      </c>
      <c r="G36" s="485">
        <f t="shared" si="2"/>
        <v>-46337.976824172307</v>
      </c>
      <c r="H36" s="485">
        <f t="shared" si="5"/>
        <v>-650833.4820945604</v>
      </c>
      <c r="I36" s="487"/>
      <c r="J36" s="504">
        <v>2110719</v>
      </c>
      <c r="K36" s="486">
        <f t="shared" si="3"/>
        <v>0</v>
      </c>
      <c r="L36" s="480"/>
      <c r="M36" s="480"/>
      <c r="N36" s="480"/>
      <c r="O36" s="480"/>
      <c r="P36" s="480"/>
      <c r="Q36" s="484">
        <v>2275815.8769999999</v>
      </c>
      <c r="R36" s="485">
        <f t="shared" si="6"/>
        <v>2157056.9495837186</v>
      </c>
      <c r="S36" s="486">
        <f t="shared" si="4"/>
        <v>2.7240453753620386E-2</v>
      </c>
    </row>
    <row r="37" spans="2:19" x14ac:dyDescent="0.2">
      <c r="B37" s="495">
        <f t="shared" si="0"/>
        <v>2016</v>
      </c>
      <c r="C37" s="487">
        <f t="shared" si="1"/>
        <v>1</v>
      </c>
      <c r="D37" s="496">
        <v>42370</v>
      </c>
      <c r="E37" s="485">
        <f>SUMIFS('Desbalance - Diario'!$H$28:$H$970,'Desbalance - Diario'!$B$28:$B$970,'Desbalance - Mensual'!B37,'Desbalance - Diario'!$C$28:$C$970,'Desbalance - Mensual'!C37)</f>
        <v>2077956</v>
      </c>
      <c r="F37" s="485">
        <f>SUMIFS('Desbalance - Diario'!J$28:J$970,'Desbalance - Diario'!$B$28:$B$970,'Desbalance - Mensual'!$B37,'Desbalance - Diario'!$C$28:$C$970,'Desbalance - Mensual'!$C37)</f>
        <v>2120084.8670817274</v>
      </c>
      <c r="G37" s="485">
        <f t="shared" si="2"/>
        <v>-42128.867081727367</v>
      </c>
      <c r="H37" s="485">
        <f t="shared" si="5"/>
        <v>-692962.34917628777</v>
      </c>
      <c r="I37" s="487"/>
      <c r="J37" s="504">
        <v>2077956</v>
      </c>
      <c r="K37" s="486">
        <f t="shared" si="3"/>
        <v>0</v>
      </c>
      <c r="L37" s="480"/>
      <c r="M37" s="480"/>
      <c r="N37" s="480"/>
      <c r="O37" s="480"/>
      <c r="P37" s="480"/>
      <c r="Q37" s="484"/>
      <c r="R37" s="485">
        <f t="shared" si="6"/>
        <v>0</v>
      </c>
      <c r="S37" s="486">
        <f t="shared" si="4"/>
        <v>2120084.8670817274</v>
      </c>
    </row>
    <row r="38" spans="2:19" x14ac:dyDescent="0.2">
      <c r="B38" s="495">
        <f t="shared" si="0"/>
        <v>2016</v>
      </c>
      <c r="C38" s="487">
        <f t="shared" si="1"/>
        <v>2</v>
      </c>
      <c r="D38" s="496">
        <v>42401</v>
      </c>
      <c r="E38" s="485">
        <f>SUMIFS('Desbalance - Diario'!$H$28:$H$970,'Desbalance - Diario'!$B$28:$B$970,'Desbalance - Mensual'!B38,'Desbalance - Diario'!$C$28:$C$970,'Desbalance - Mensual'!C38)</f>
        <v>1968779</v>
      </c>
      <c r="F38" s="485">
        <f>SUMIFS('Desbalance - Diario'!J$28:J$970,'Desbalance - Diario'!$B$28:$B$970,'Desbalance - Mensual'!$B38,'Desbalance - Diario'!$C$28:$C$970,'Desbalance - Mensual'!$C38)</f>
        <v>1972366.3905691863</v>
      </c>
      <c r="G38" s="485">
        <f t="shared" si="2"/>
        <v>-3587.3905691863038</v>
      </c>
      <c r="H38" s="485">
        <f t="shared" si="5"/>
        <v>-696549.73974547407</v>
      </c>
      <c r="I38" s="487"/>
      <c r="J38" s="497">
        <v>2172998</v>
      </c>
      <c r="K38" s="486">
        <f t="shared" si="3"/>
        <v>-204219</v>
      </c>
      <c r="L38" s="480"/>
      <c r="M38" s="480"/>
      <c r="N38" s="480"/>
      <c r="O38" s="480"/>
      <c r="P38" s="480"/>
      <c r="Q38" s="484"/>
      <c r="R38" s="485">
        <f t="shared" si="6"/>
        <v>0</v>
      </c>
      <c r="S38" s="486">
        <f t="shared" si="4"/>
        <v>1972366.3905691863</v>
      </c>
    </row>
    <row r="39" spans="2:19" x14ac:dyDescent="0.2">
      <c r="B39" s="495">
        <f t="shared" si="0"/>
        <v>2016</v>
      </c>
      <c r="C39" s="487">
        <f t="shared" si="1"/>
        <v>3</v>
      </c>
      <c r="D39" s="496">
        <v>42430</v>
      </c>
      <c r="E39" s="485">
        <f>SUMIFS('Desbalance - Diario'!$H$28:$H$970,'Desbalance - Diario'!$B$28:$B$970,'Desbalance - Mensual'!B39,'Desbalance - Diario'!$C$28:$C$970,'Desbalance - Mensual'!C39)</f>
        <v>0</v>
      </c>
      <c r="F39" s="485">
        <f>SUMIFS('Desbalance - Diario'!J$28:J$970,'Desbalance - Diario'!$B$28:$B$970,'Desbalance - Mensual'!$B39,'Desbalance - Diario'!$C$28:$C$970,'Desbalance - Mensual'!$C39)</f>
        <v>0</v>
      </c>
      <c r="G39" s="485">
        <f t="shared" si="2"/>
        <v>0</v>
      </c>
      <c r="H39" s="485">
        <f t="shared" si="5"/>
        <v>-696549.73974547407</v>
      </c>
      <c r="I39" s="487"/>
      <c r="J39" s="497" t="e">
        <v>#REF!</v>
      </c>
      <c r="K39" s="486" t="e">
        <f t="shared" si="3"/>
        <v>#REF!</v>
      </c>
      <c r="L39" s="480"/>
      <c r="M39" s="480"/>
      <c r="N39" s="480"/>
      <c r="O39" s="480"/>
      <c r="P39" s="480"/>
      <c r="Q39" s="484"/>
      <c r="R39" s="485">
        <f t="shared" si="6"/>
        <v>0</v>
      </c>
      <c r="S39" s="486">
        <f t="shared" si="4"/>
        <v>0</v>
      </c>
    </row>
    <row r="40" spans="2:19" x14ac:dyDescent="0.2">
      <c r="B40" s="495">
        <f t="shared" ref="B40:B71" si="7">YEAR(D40)</f>
        <v>2016</v>
      </c>
      <c r="C40" s="487">
        <f t="shared" ref="C40:C71" si="8">MONTH(D40)</f>
        <v>4</v>
      </c>
      <c r="D40" s="496">
        <v>42461</v>
      </c>
      <c r="E40" s="485">
        <f>SUMIFS('Desbalance - Diario'!$H$28:$H$970,'Desbalance - Diario'!$B$28:$B$970,'Desbalance - Mensual'!B40,'Desbalance - Diario'!$C$28:$C$970,'Desbalance - Mensual'!C40)</f>
        <v>0</v>
      </c>
      <c r="F40" s="485">
        <f>SUMIFS('Desbalance - Diario'!J$28:J$970,'Desbalance - Diario'!$B$28:$B$970,'Desbalance - Mensual'!$B40,'Desbalance - Diario'!$C$28:$C$970,'Desbalance - Mensual'!$C40)</f>
        <v>0</v>
      </c>
      <c r="G40" s="485">
        <f t="shared" ref="G40:G71" si="9">E40-F40</f>
        <v>0</v>
      </c>
      <c r="H40" s="485">
        <f t="shared" si="5"/>
        <v>-696549.73974547407</v>
      </c>
      <c r="I40" s="487"/>
      <c r="J40" s="487"/>
      <c r="K40" s="486">
        <f t="shared" ref="K40:K71" si="10">E40-J40</f>
        <v>0</v>
      </c>
      <c r="L40" s="480"/>
      <c r="M40" s="480"/>
      <c r="N40" s="480"/>
      <c r="O40" s="480"/>
      <c r="P40" s="480"/>
      <c r="Q40" s="484"/>
      <c r="R40" s="485">
        <f t="shared" si="6"/>
        <v>0</v>
      </c>
      <c r="S40" s="486">
        <f t="shared" ref="S40:S71" si="11">F40-R40</f>
        <v>0</v>
      </c>
    </row>
    <row r="41" spans="2:19" x14ac:dyDescent="0.2">
      <c r="B41" s="495">
        <f t="shared" si="7"/>
        <v>2016</v>
      </c>
      <c r="C41" s="487">
        <f t="shared" si="8"/>
        <v>5</v>
      </c>
      <c r="D41" s="496">
        <v>42491</v>
      </c>
      <c r="E41" s="485">
        <f>SUMIFS('Desbalance - Diario'!$H$28:$H$970,'Desbalance - Diario'!$B$28:$B$970,'Desbalance - Mensual'!B41,'Desbalance - Diario'!$C$28:$C$970,'Desbalance - Mensual'!C41)</f>
        <v>0</v>
      </c>
      <c r="F41" s="485">
        <f>SUMIFS('Desbalance - Diario'!J$28:J$970,'Desbalance - Diario'!$B$28:$B$970,'Desbalance - Mensual'!$B41,'Desbalance - Diario'!$C$28:$C$970,'Desbalance - Mensual'!$C41)</f>
        <v>0</v>
      </c>
      <c r="G41" s="485">
        <f t="shared" si="9"/>
        <v>0</v>
      </c>
      <c r="H41" s="485">
        <f t="shared" ref="H41:H72" si="12">G41+H40</f>
        <v>-696549.73974547407</v>
      </c>
      <c r="I41" s="487"/>
      <c r="J41" s="487"/>
      <c r="K41" s="486">
        <f t="shared" si="10"/>
        <v>0</v>
      </c>
      <c r="L41" s="480"/>
      <c r="M41" s="480"/>
      <c r="N41" s="480"/>
      <c r="O41" s="480"/>
      <c r="P41" s="480"/>
      <c r="Q41" s="484"/>
      <c r="R41" s="485">
        <f t="shared" si="6"/>
        <v>0</v>
      </c>
      <c r="S41" s="486">
        <f t="shared" si="11"/>
        <v>0</v>
      </c>
    </row>
    <row r="42" spans="2:19" x14ac:dyDescent="0.2">
      <c r="B42" s="495">
        <f t="shared" si="7"/>
        <v>2016</v>
      </c>
      <c r="C42" s="487">
        <f t="shared" si="8"/>
        <v>6</v>
      </c>
      <c r="D42" s="496">
        <v>42522</v>
      </c>
      <c r="E42" s="485">
        <f>SUMIFS('Desbalance - Diario'!$H$28:$H$970,'Desbalance - Diario'!$B$28:$B$970,'Desbalance - Mensual'!B42,'Desbalance - Diario'!$C$28:$C$970,'Desbalance - Mensual'!C42)</f>
        <v>0</v>
      </c>
      <c r="F42" s="485">
        <f>SUMIFS('Desbalance - Diario'!J$28:J$970,'Desbalance - Diario'!$B$28:$B$970,'Desbalance - Mensual'!$B42,'Desbalance - Diario'!$C$28:$C$970,'Desbalance - Mensual'!$C42)</f>
        <v>0</v>
      </c>
      <c r="G42" s="485">
        <f t="shared" si="9"/>
        <v>0</v>
      </c>
      <c r="H42" s="485">
        <f t="shared" si="12"/>
        <v>-696549.73974547407</v>
      </c>
      <c r="I42" s="487"/>
      <c r="J42" s="487"/>
      <c r="K42" s="486">
        <f t="shared" si="10"/>
        <v>0</v>
      </c>
      <c r="L42" s="480"/>
      <c r="M42" s="480"/>
      <c r="N42" s="480"/>
      <c r="O42" s="480"/>
      <c r="P42" s="480"/>
      <c r="Q42" s="484"/>
      <c r="R42" s="485">
        <f t="shared" si="6"/>
        <v>0</v>
      </c>
      <c r="S42" s="486">
        <f t="shared" si="11"/>
        <v>0</v>
      </c>
    </row>
    <row r="43" spans="2:19" x14ac:dyDescent="0.2">
      <c r="B43" s="495">
        <f t="shared" si="7"/>
        <v>2016</v>
      </c>
      <c r="C43" s="487">
        <f t="shared" si="8"/>
        <v>7</v>
      </c>
      <c r="D43" s="496">
        <v>42552</v>
      </c>
      <c r="E43" s="485">
        <f>SUMIFS('Desbalance - Diario'!$H$28:$H$970,'Desbalance - Diario'!$B$28:$B$970,'Desbalance - Mensual'!B43,'Desbalance - Diario'!$C$28:$C$970,'Desbalance - Mensual'!C43)</f>
        <v>0</v>
      </c>
      <c r="F43" s="485">
        <f>SUMIFS('Desbalance - Diario'!J$28:J$970,'Desbalance - Diario'!$B$28:$B$970,'Desbalance - Mensual'!$B43,'Desbalance - Diario'!$C$28:$C$970,'Desbalance - Mensual'!$C43)</f>
        <v>0</v>
      </c>
      <c r="G43" s="485">
        <f t="shared" si="9"/>
        <v>0</v>
      </c>
      <c r="H43" s="485">
        <f t="shared" si="12"/>
        <v>-696549.73974547407</v>
      </c>
      <c r="I43" s="487"/>
      <c r="J43" s="487"/>
      <c r="K43" s="486">
        <f t="shared" si="10"/>
        <v>0</v>
      </c>
      <c r="L43" s="480"/>
      <c r="M43" s="480"/>
      <c r="N43" s="480"/>
      <c r="O43" s="480"/>
      <c r="P43" s="480"/>
      <c r="Q43" s="484"/>
      <c r="R43" s="485">
        <f t="shared" si="6"/>
        <v>0</v>
      </c>
      <c r="S43" s="486">
        <f t="shared" si="11"/>
        <v>0</v>
      </c>
    </row>
    <row r="44" spans="2:19" x14ac:dyDescent="0.2">
      <c r="B44" s="495">
        <f t="shared" si="7"/>
        <v>2016</v>
      </c>
      <c r="C44" s="487">
        <f t="shared" si="8"/>
        <v>8</v>
      </c>
      <c r="D44" s="496">
        <v>42583</v>
      </c>
      <c r="E44" s="485">
        <f>SUMIFS('Desbalance - Diario'!$H$28:$H$970,'Desbalance - Diario'!$B$28:$B$970,'Desbalance - Mensual'!B44,'Desbalance - Diario'!$C$28:$C$970,'Desbalance - Mensual'!C44)</f>
        <v>0</v>
      </c>
      <c r="F44" s="485">
        <f>SUMIFS('Desbalance - Diario'!J$28:J$970,'Desbalance - Diario'!$B$28:$B$970,'Desbalance - Mensual'!$B44,'Desbalance - Diario'!$C$28:$C$970,'Desbalance - Mensual'!$C44)</f>
        <v>0</v>
      </c>
      <c r="G44" s="485">
        <f t="shared" si="9"/>
        <v>0</v>
      </c>
      <c r="H44" s="485">
        <f t="shared" si="12"/>
        <v>-696549.73974547407</v>
      </c>
      <c r="I44" s="487"/>
      <c r="J44" s="487"/>
      <c r="K44" s="486">
        <f t="shared" si="10"/>
        <v>0</v>
      </c>
      <c r="L44" s="480"/>
      <c r="M44" s="480"/>
      <c r="N44" s="480"/>
      <c r="O44" s="480"/>
      <c r="P44" s="480"/>
      <c r="Q44" s="484"/>
      <c r="R44" s="485">
        <f t="shared" si="6"/>
        <v>0</v>
      </c>
      <c r="S44" s="486">
        <f t="shared" si="11"/>
        <v>0</v>
      </c>
    </row>
    <row r="45" spans="2:19" x14ac:dyDescent="0.2">
      <c r="B45" s="495">
        <f t="shared" si="7"/>
        <v>2016</v>
      </c>
      <c r="C45" s="487">
        <f t="shared" si="8"/>
        <v>9</v>
      </c>
      <c r="D45" s="496">
        <v>42614</v>
      </c>
      <c r="E45" s="485">
        <f>SUMIFS('Desbalance - Diario'!$H$28:$H$970,'Desbalance - Diario'!$B$28:$B$970,'Desbalance - Mensual'!B45,'Desbalance - Diario'!$C$28:$C$970,'Desbalance - Mensual'!C45)</f>
        <v>0</v>
      </c>
      <c r="F45" s="485">
        <f>SUMIFS('Desbalance - Diario'!J$28:J$970,'Desbalance - Diario'!$B$28:$B$970,'Desbalance - Mensual'!$B45,'Desbalance - Diario'!$C$28:$C$970,'Desbalance - Mensual'!$C45)</f>
        <v>0</v>
      </c>
      <c r="G45" s="485">
        <f t="shared" si="9"/>
        <v>0</v>
      </c>
      <c r="H45" s="485">
        <f t="shared" si="12"/>
        <v>-696549.73974547407</v>
      </c>
      <c r="I45" s="487"/>
      <c r="J45" s="487"/>
      <c r="K45" s="486">
        <f t="shared" si="10"/>
        <v>0</v>
      </c>
      <c r="L45" s="480"/>
      <c r="M45" s="480"/>
      <c r="N45" s="480"/>
      <c r="O45" s="480"/>
      <c r="P45" s="480"/>
      <c r="Q45" s="484"/>
      <c r="R45" s="485">
        <f t="shared" ref="R45:R76" si="13">Q45/1.055056</f>
        <v>0</v>
      </c>
      <c r="S45" s="486">
        <f t="shared" si="11"/>
        <v>0</v>
      </c>
    </row>
    <row r="46" spans="2:19" x14ac:dyDescent="0.2">
      <c r="B46" s="495">
        <f t="shared" si="7"/>
        <v>2016</v>
      </c>
      <c r="C46" s="487">
        <f t="shared" si="8"/>
        <v>10</v>
      </c>
      <c r="D46" s="496">
        <v>42644</v>
      </c>
      <c r="E46" s="485">
        <f>SUMIFS('Desbalance - Diario'!$H$28:$H$970,'Desbalance - Diario'!$B$28:$B$970,'Desbalance - Mensual'!B46,'Desbalance - Diario'!$C$28:$C$970,'Desbalance - Mensual'!C46)</f>
        <v>0</v>
      </c>
      <c r="F46" s="485">
        <f>SUMIFS('Desbalance - Diario'!J$28:J$970,'Desbalance - Diario'!$B$28:$B$970,'Desbalance - Mensual'!$B46,'Desbalance - Diario'!$C$28:$C$970,'Desbalance - Mensual'!$C46)</f>
        <v>0</v>
      </c>
      <c r="G46" s="485">
        <f t="shared" si="9"/>
        <v>0</v>
      </c>
      <c r="H46" s="485">
        <f t="shared" si="12"/>
        <v>-696549.73974547407</v>
      </c>
      <c r="I46" s="487"/>
      <c r="J46" s="487"/>
      <c r="K46" s="486">
        <f t="shared" si="10"/>
        <v>0</v>
      </c>
      <c r="L46" s="480"/>
      <c r="M46" s="480"/>
      <c r="N46" s="480"/>
      <c r="O46" s="480"/>
      <c r="P46" s="480"/>
      <c r="Q46" s="484"/>
      <c r="R46" s="485">
        <f t="shared" si="13"/>
        <v>0</v>
      </c>
      <c r="S46" s="486">
        <f t="shared" si="11"/>
        <v>0</v>
      </c>
    </row>
    <row r="47" spans="2:19" x14ac:dyDescent="0.2">
      <c r="B47" s="495">
        <f t="shared" si="7"/>
        <v>2016</v>
      </c>
      <c r="C47" s="487">
        <f t="shared" si="8"/>
        <v>11</v>
      </c>
      <c r="D47" s="496">
        <v>42675</v>
      </c>
      <c r="E47" s="485">
        <f>SUMIFS('Desbalance - Diario'!$H$28:$H$970,'Desbalance - Diario'!$B$28:$B$970,'Desbalance - Mensual'!B47,'Desbalance - Diario'!$C$28:$C$970,'Desbalance - Mensual'!C47)</f>
        <v>0</v>
      </c>
      <c r="F47" s="485">
        <f>SUMIFS('Desbalance - Diario'!J$28:J$970,'Desbalance - Diario'!$B$28:$B$970,'Desbalance - Mensual'!$B47,'Desbalance - Diario'!$C$28:$C$970,'Desbalance - Mensual'!$C47)</f>
        <v>0</v>
      </c>
      <c r="G47" s="485">
        <f t="shared" si="9"/>
        <v>0</v>
      </c>
      <c r="H47" s="485">
        <f t="shared" si="12"/>
        <v>-696549.73974547407</v>
      </c>
      <c r="I47" s="487"/>
      <c r="J47" s="487"/>
      <c r="K47" s="486">
        <f t="shared" si="10"/>
        <v>0</v>
      </c>
      <c r="L47" s="480"/>
      <c r="M47" s="480"/>
      <c r="N47" s="480"/>
      <c r="O47" s="480"/>
      <c r="P47" s="480"/>
      <c r="Q47" s="484"/>
      <c r="R47" s="485">
        <f t="shared" si="13"/>
        <v>0</v>
      </c>
      <c r="S47" s="486">
        <f t="shared" si="11"/>
        <v>0</v>
      </c>
    </row>
    <row r="48" spans="2:19" x14ac:dyDescent="0.2">
      <c r="B48" s="495">
        <f t="shared" si="7"/>
        <v>2016</v>
      </c>
      <c r="C48" s="487">
        <f t="shared" si="8"/>
        <v>12</v>
      </c>
      <c r="D48" s="496">
        <v>42705</v>
      </c>
      <c r="E48" s="485">
        <f>SUMIFS('Desbalance - Diario'!$H$28:$H$970,'Desbalance - Diario'!$B$28:$B$970,'Desbalance - Mensual'!B48,'Desbalance - Diario'!$C$28:$C$970,'Desbalance - Mensual'!C48)</f>
        <v>0</v>
      </c>
      <c r="F48" s="485">
        <f>SUMIFS('Desbalance - Diario'!J$28:J$970,'Desbalance - Diario'!$B$28:$B$970,'Desbalance - Mensual'!$B48,'Desbalance - Diario'!$C$28:$C$970,'Desbalance - Mensual'!$C48)</f>
        <v>0</v>
      </c>
      <c r="G48" s="485">
        <f t="shared" si="9"/>
        <v>0</v>
      </c>
      <c r="H48" s="485">
        <f t="shared" si="12"/>
        <v>-696549.73974547407</v>
      </c>
      <c r="I48" s="487"/>
      <c r="J48" s="487"/>
      <c r="K48" s="486">
        <f t="shared" si="10"/>
        <v>0</v>
      </c>
      <c r="L48" s="480"/>
      <c r="M48" s="480"/>
      <c r="N48" s="480"/>
      <c r="O48" s="480"/>
      <c r="P48" s="480"/>
      <c r="Q48" s="484"/>
      <c r="R48" s="485">
        <f t="shared" si="13"/>
        <v>0</v>
      </c>
      <c r="S48" s="486">
        <f t="shared" si="11"/>
        <v>0</v>
      </c>
    </row>
    <row r="49" spans="2:19" x14ac:dyDescent="0.2">
      <c r="B49" s="495">
        <f t="shared" si="7"/>
        <v>2017</v>
      </c>
      <c r="C49" s="487">
        <f t="shared" si="8"/>
        <v>1</v>
      </c>
      <c r="D49" s="496">
        <v>42736</v>
      </c>
      <c r="E49" s="485">
        <f>SUMIFS('Desbalance - Diario'!$H$28:$H$970,'Desbalance - Diario'!$B$28:$B$970,'Desbalance - Mensual'!B49,'Desbalance - Diario'!$C$28:$C$970,'Desbalance - Mensual'!C49)</f>
        <v>0</v>
      </c>
      <c r="F49" s="485">
        <f>SUMIFS('Desbalance - Diario'!J$28:J$970,'Desbalance - Diario'!$B$28:$B$970,'Desbalance - Mensual'!$B49,'Desbalance - Diario'!$C$28:$C$970,'Desbalance - Mensual'!$C49)</f>
        <v>0</v>
      </c>
      <c r="G49" s="485">
        <f t="shared" si="9"/>
        <v>0</v>
      </c>
      <c r="H49" s="485">
        <f t="shared" si="12"/>
        <v>-696549.73974547407</v>
      </c>
      <c r="I49" s="487"/>
      <c r="J49" s="487"/>
      <c r="K49" s="486">
        <f t="shared" si="10"/>
        <v>0</v>
      </c>
      <c r="L49" s="480"/>
      <c r="M49" s="480"/>
      <c r="N49" s="480"/>
      <c r="O49" s="480"/>
      <c r="P49" s="480"/>
      <c r="Q49" s="484"/>
      <c r="R49" s="485">
        <f t="shared" si="13"/>
        <v>0</v>
      </c>
      <c r="S49" s="486">
        <f t="shared" si="11"/>
        <v>0</v>
      </c>
    </row>
    <row r="50" spans="2:19" x14ac:dyDescent="0.2">
      <c r="B50" s="495">
        <f t="shared" si="7"/>
        <v>2017</v>
      </c>
      <c r="C50" s="487">
        <f t="shared" si="8"/>
        <v>2</v>
      </c>
      <c r="D50" s="496">
        <v>42767</v>
      </c>
      <c r="E50" s="485">
        <f>SUMIFS('Desbalance - Diario'!$H$28:$H$970,'Desbalance - Diario'!$B$28:$B$970,'Desbalance - Mensual'!B50,'Desbalance - Diario'!$C$28:$C$970,'Desbalance - Mensual'!C50)</f>
        <v>0</v>
      </c>
      <c r="F50" s="485">
        <f>SUMIFS('Desbalance - Diario'!J$28:J$970,'Desbalance - Diario'!$B$28:$B$970,'Desbalance - Mensual'!$B50,'Desbalance - Diario'!$C$28:$C$970,'Desbalance - Mensual'!$C50)</f>
        <v>0</v>
      </c>
      <c r="G50" s="485">
        <f t="shared" si="9"/>
        <v>0</v>
      </c>
      <c r="H50" s="485">
        <f t="shared" si="12"/>
        <v>-696549.73974547407</v>
      </c>
      <c r="I50" s="487"/>
      <c r="J50" s="487"/>
      <c r="K50" s="486">
        <f t="shared" si="10"/>
        <v>0</v>
      </c>
      <c r="L50" s="480"/>
      <c r="M50" s="480"/>
      <c r="N50" s="480"/>
      <c r="O50" s="480"/>
      <c r="P50" s="480"/>
      <c r="Q50" s="484"/>
      <c r="R50" s="485">
        <f t="shared" si="13"/>
        <v>0</v>
      </c>
      <c r="S50" s="486">
        <f t="shared" si="11"/>
        <v>0</v>
      </c>
    </row>
    <row r="51" spans="2:19" x14ac:dyDescent="0.2">
      <c r="B51" s="495">
        <f t="shared" si="7"/>
        <v>2017</v>
      </c>
      <c r="C51" s="487">
        <f t="shared" si="8"/>
        <v>3</v>
      </c>
      <c r="D51" s="496">
        <v>42795</v>
      </c>
      <c r="E51" s="485">
        <f>SUMIFS('Desbalance - Diario'!$H$28:$H$970,'Desbalance - Diario'!$B$28:$B$970,'Desbalance - Mensual'!B51,'Desbalance - Diario'!$C$28:$C$970,'Desbalance - Mensual'!C51)</f>
        <v>0</v>
      </c>
      <c r="F51" s="485">
        <f>SUMIFS('Desbalance - Diario'!J$28:J$970,'Desbalance - Diario'!$B$28:$B$970,'Desbalance - Mensual'!$B51,'Desbalance - Diario'!$C$28:$C$970,'Desbalance - Mensual'!$C51)</f>
        <v>0</v>
      </c>
      <c r="G51" s="485">
        <f t="shared" si="9"/>
        <v>0</v>
      </c>
      <c r="H51" s="485">
        <f t="shared" si="12"/>
        <v>-696549.73974547407</v>
      </c>
      <c r="I51" s="487"/>
      <c r="J51" s="487"/>
      <c r="K51" s="486">
        <f t="shared" si="10"/>
        <v>0</v>
      </c>
      <c r="L51" s="480"/>
      <c r="M51" s="480"/>
      <c r="N51" s="480"/>
      <c r="O51" s="480"/>
      <c r="P51" s="480"/>
      <c r="Q51" s="484"/>
      <c r="R51" s="485">
        <f t="shared" si="13"/>
        <v>0</v>
      </c>
      <c r="S51" s="486">
        <f t="shared" si="11"/>
        <v>0</v>
      </c>
    </row>
    <row r="52" spans="2:19" x14ac:dyDescent="0.2">
      <c r="B52" s="495">
        <f t="shared" si="7"/>
        <v>2017</v>
      </c>
      <c r="C52" s="487">
        <f t="shared" si="8"/>
        <v>4</v>
      </c>
      <c r="D52" s="496">
        <v>42826</v>
      </c>
      <c r="E52" s="485">
        <f>SUMIFS('Desbalance - Diario'!$H$28:$H$970,'Desbalance - Diario'!$B$28:$B$970,'Desbalance - Mensual'!B52,'Desbalance - Diario'!$C$28:$C$970,'Desbalance - Mensual'!C52)</f>
        <v>0</v>
      </c>
      <c r="F52" s="485">
        <f>SUMIFS('Desbalance - Diario'!J$28:J$970,'Desbalance - Diario'!$B$28:$B$970,'Desbalance - Mensual'!$B52,'Desbalance - Diario'!$C$28:$C$970,'Desbalance - Mensual'!$C52)</f>
        <v>0</v>
      </c>
      <c r="G52" s="485">
        <f t="shared" si="9"/>
        <v>0</v>
      </c>
      <c r="H52" s="485">
        <f t="shared" si="12"/>
        <v>-696549.73974547407</v>
      </c>
      <c r="I52" s="487"/>
      <c r="J52" s="487"/>
      <c r="K52" s="486">
        <f t="shared" si="10"/>
        <v>0</v>
      </c>
      <c r="L52" s="480"/>
      <c r="M52" s="480"/>
      <c r="N52" s="480"/>
      <c r="O52" s="480"/>
      <c r="P52" s="480"/>
      <c r="Q52" s="484"/>
      <c r="R52" s="485">
        <f t="shared" si="13"/>
        <v>0</v>
      </c>
      <c r="S52" s="486">
        <f t="shared" si="11"/>
        <v>0</v>
      </c>
    </row>
    <row r="53" spans="2:19" x14ac:dyDescent="0.2">
      <c r="B53" s="495">
        <f t="shared" si="7"/>
        <v>2017</v>
      </c>
      <c r="C53" s="487">
        <f t="shared" si="8"/>
        <v>5</v>
      </c>
      <c r="D53" s="496">
        <v>42856</v>
      </c>
      <c r="E53" s="485">
        <f>SUMIFS('Desbalance - Diario'!$H$28:$H$970,'Desbalance - Diario'!$B$28:$B$970,'Desbalance - Mensual'!B53,'Desbalance - Diario'!$C$28:$C$970,'Desbalance - Mensual'!C53)</f>
        <v>0</v>
      </c>
      <c r="F53" s="485">
        <f>SUMIFS('Desbalance - Diario'!J$28:J$970,'Desbalance - Diario'!$B$28:$B$970,'Desbalance - Mensual'!$B53,'Desbalance - Diario'!$C$28:$C$970,'Desbalance - Mensual'!$C53)</f>
        <v>0</v>
      </c>
      <c r="G53" s="485">
        <f t="shared" si="9"/>
        <v>0</v>
      </c>
      <c r="H53" s="485">
        <f t="shared" si="12"/>
        <v>-696549.73974547407</v>
      </c>
      <c r="I53" s="487"/>
      <c r="J53" s="487"/>
      <c r="K53" s="486">
        <f t="shared" si="10"/>
        <v>0</v>
      </c>
      <c r="L53" s="480"/>
      <c r="M53" s="480"/>
      <c r="N53" s="480"/>
      <c r="O53" s="480"/>
      <c r="P53" s="480"/>
      <c r="Q53" s="484"/>
      <c r="R53" s="485">
        <f t="shared" si="13"/>
        <v>0</v>
      </c>
      <c r="S53" s="486">
        <f t="shared" si="11"/>
        <v>0</v>
      </c>
    </row>
    <row r="54" spans="2:19" x14ac:dyDescent="0.2">
      <c r="B54" s="495">
        <f t="shared" si="7"/>
        <v>2017</v>
      </c>
      <c r="C54" s="487">
        <f t="shared" si="8"/>
        <v>6</v>
      </c>
      <c r="D54" s="496">
        <v>42887</v>
      </c>
      <c r="E54" s="485">
        <f>SUMIFS('Desbalance - Diario'!$H$28:$H$970,'Desbalance - Diario'!$B$28:$B$970,'Desbalance - Mensual'!B54,'Desbalance - Diario'!$C$28:$C$970,'Desbalance - Mensual'!C54)</f>
        <v>0</v>
      </c>
      <c r="F54" s="485">
        <f>SUMIFS('Desbalance - Diario'!J$28:J$970,'Desbalance - Diario'!$B$28:$B$970,'Desbalance - Mensual'!$B54,'Desbalance - Diario'!$C$28:$C$970,'Desbalance - Mensual'!$C54)</f>
        <v>0</v>
      </c>
      <c r="G54" s="485">
        <f t="shared" si="9"/>
        <v>0</v>
      </c>
      <c r="H54" s="485">
        <f t="shared" si="12"/>
        <v>-696549.73974547407</v>
      </c>
      <c r="I54" s="487"/>
      <c r="J54" s="487"/>
      <c r="K54" s="486">
        <f t="shared" si="10"/>
        <v>0</v>
      </c>
      <c r="L54" s="480"/>
      <c r="M54" s="480"/>
      <c r="N54" s="480"/>
      <c r="O54" s="480"/>
      <c r="P54" s="480"/>
      <c r="Q54" s="484"/>
      <c r="R54" s="485">
        <f t="shared" si="13"/>
        <v>0</v>
      </c>
      <c r="S54" s="486">
        <f t="shared" si="11"/>
        <v>0</v>
      </c>
    </row>
    <row r="55" spans="2:19" x14ac:dyDescent="0.2">
      <c r="B55" s="495">
        <f t="shared" si="7"/>
        <v>2017</v>
      </c>
      <c r="C55" s="487">
        <f t="shared" si="8"/>
        <v>7</v>
      </c>
      <c r="D55" s="496">
        <v>42917</v>
      </c>
      <c r="E55" s="485">
        <f>SUMIFS('Desbalance - Diario'!$H$28:$H$970,'Desbalance - Diario'!$B$28:$B$970,'Desbalance - Mensual'!B55,'Desbalance - Diario'!$C$28:$C$970,'Desbalance - Mensual'!C55)</f>
        <v>0</v>
      </c>
      <c r="F55" s="485">
        <f>SUMIFS('Desbalance - Diario'!J$28:J$970,'Desbalance - Diario'!$B$28:$B$970,'Desbalance - Mensual'!$B55,'Desbalance - Diario'!$C$28:$C$970,'Desbalance - Mensual'!$C55)</f>
        <v>0</v>
      </c>
      <c r="G55" s="485">
        <f t="shared" si="9"/>
        <v>0</v>
      </c>
      <c r="H55" s="485">
        <f t="shared" si="12"/>
        <v>-696549.73974547407</v>
      </c>
      <c r="I55" s="487"/>
      <c r="J55" s="487"/>
      <c r="K55" s="486">
        <f t="shared" si="10"/>
        <v>0</v>
      </c>
      <c r="L55" s="480"/>
      <c r="M55" s="480"/>
      <c r="N55" s="480"/>
      <c r="O55" s="480"/>
      <c r="P55" s="480"/>
      <c r="Q55" s="484"/>
      <c r="R55" s="485">
        <f t="shared" si="13"/>
        <v>0</v>
      </c>
      <c r="S55" s="486">
        <f t="shared" si="11"/>
        <v>0</v>
      </c>
    </row>
    <row r="56" spans="2:19" x14ac:dyDescent="0.2">
      <c r="B56" s="495">
        <f t="shared" si="7"/>
        <v>2017</v>
      </c>
      <c r="C56" s="487">
        <f t="shared" si="8"/>
        <v>8</v>
      </c>
      <c r="D56" s="496">
        <v>42948</v>
      </c>
      <c r="E56" s="485">
        <f>SUMIFS('Desbalance - Diario'!$H$28:$H$970,'Desbalance - Diario'!$B$28:$B$970,'Desbalance - Mensual'!B56,'Desbalance - Diario'!$C$28:$C$970,'Desbalance - Mensual'!C56)</f>
        <v>0</v>
      </c>
      <c r="F56" s="485">
        <f>SUMIFS('Desbalance - Diario'!J$28:J$970,'Desbalance - Diario'!$B$28:$B$970,'Desbalance - Mensual'!$B56,'Desbalance - Diario'!$C$28:$C$970,'Desbalance - Mensual'!$C56)</f>
        <v>0</v>
      </c>
      <c r="G56" s="485">
        <f t="shared" si="9"/>
        <v>0</v>
      </c>
      <c r="H56" s="485">
        <f t="shared" si="12"/>
        <v>-696549.73974547407</v>
      </c>
      <c r="I56" s="487"/>
      <c r="J56" s="487"/>
      <c r="K56" s="486">
        <f t="shared" si="10"/>
        <v>0</v>
      </c>
      <c r="L56" s="480"/>
      <c r="M56" s="480"/>
      <c r="N56" s="480"/>
      <c r="O56" s="480"/>
      <c r="P56" s="480"/>
      <c r="Q56" s="484"/>
      <c r="R56" s="485">
        <f t="shared" si="13"/>
        <v>0</v>
      </c>
      <c r="S56" s="486">
        <f t="shared" si="11"/>
        <v>0</v>
      </c>
    </row>
    <row r="57" spans="2:19" x14ac:dyDescent="0.2">
      <c r="B57" s="495">
        <f t="shared" si="7"/>
        <v>2017</v>
      </c>
      <c r="C57" s="487">
        <f t="shared" si="8"/>
        <v>9</v>
      </c>
      <c r="D57" s="496">
        <v>42979</v>
      </c>
      <c r="E57" s="485">
        <f>SUMIFS('Desbalance - Diario'!$H$28:$H$970,'Desbalance - Diario'!$B$28:$B$970,'Desbalance - Mensual'!B57,'Desbalance - Diario'!$C$28:$C$970,'Desbalance - Mensual'!C57)</f>
        <v>0</v>
      </c>
      <c r="F57" s="485">
        <f>SUMIFS('Desbalance - Diario'!J$28:J$970,'Desbalance - Diario'!$B$28:$B$970,'Desbalance - Mensual'!$B57,'Desbalance - Diario'!$C$28:$C$970,'Desbalance - Mensual'!$C57)</f>
        <v>0</v>
      </c>
      <c r="G57" s="485">
        <f t="shared" si="9"/>
        <v>0</v>
      </c>
      <c r="H57" s="485">
        <f t="shared" si="12"/>
        <v>-696549.73974547407</v>
      </c>
      <c r="I57" s="487"/>
      <c r="J57" s="487"/>
      <c r="K57" s="486">
        <f t="shared" si="10"/>
        <v>0</v>
      </c>
      <c r="L57" s="480"/>
      <c r="M57" s="480"/>
      <c r="N57" s="480"/>
      <c r="O57" s="480"/>
      <c r="P57" s="480"/>
      <c r="Q57" s="484"/>
      <c r="R57" s="485">
        <f t="shared" si="13"/>
        <v>0</v>
      </c>
      <c r="S57" s="486">
        <f t="shared" si="11"/>
        <v>0</v>
      </c>
    </row>
    <row r="58" spans="2:19" x14ac:dyDescent="0.2">
      <c r="B58" s="495">
        <f t="shared" si="7"/>
        <v>2017</v>
      </c>
      <c r="C58" s="487">
        <f t="shared" si="8"/>
        <v>10</v>
      </c>
      <c r="D58" s="496">
        <v>43009</v>
      </c>
      <c r="E58" s="485">
        <f>SUMIFS('Desbalance - Diario'!$H$28:$H$970,'Desbalance - Diario'!$B$28:$B$970,'Desbalance - Mensual'!B58,'Desbalance - Diario'!$C$28:$C$970,'Desbalance - Mensual'!C58)</f>
        <v>0</v>
      </c>
      <c r="F58" s="485">
        <f>SUMIFS('Desbalance - Diario'!J$28:J$970,'Desbalance - Diario'!$B$28:$B$970,'Desbalance - Mensual'!$B58,'Desbalance - Diario'!$C$28:$C$970,'Desbalance - Mensual'!$C58)</f>
        <v>0</v>
      </c>
      <c r="G58" s="485">
        <f t="shared" si="9"/>
        <v>0</v>
      </c>
      <c r="H58" s="485">
        <f t="shared" si="12"/>
        <v>-696549.73974547407</v>
      </c>
      <c r="I58" s="487"/>
      <c r="J58" s="487"/>
      <c r="K58" s="486">
        <f t="shared" si="10"/>
        <v>0</v>
      </c>
      <c r="L58" s="480"/>
      <c r="M58" s="480"/>
      <c r="N58" s="480"/>
      <c r="O58" s="480"/>
      <c r="P58" s="480"/>
      <c r="Q58" s="484"/>
      <c r="R58" s="485">
        <f t="shared" si="13"/>
        <v>0</v>
      </c>
      <c r="S58" s="486">
        <f t="shared" si="11"/>
        <v>0</v>
      </c>
    </row>
    <row r="59" spans="2:19" x14ac:dyDescent="0.2">
      <c r="B59" s="495">
        <f t="shared" si="7"/>
        <v>2017</v>
      </c>
      <c r="C59" s="487">
        <f t="shared" si="8"/>
        <v>11</v>
      </c>
      <c r="D59" s="496">
        <v>43040</v>
      </c>
      <c r="E59" s="485">
        <f>SUMIFS('Desbalance - Diario'!$H$28:$H$970,'Desbalance - Diario'!$B$28:$B$970,'Desbalance - Mensual'!B59,'Desbalance - Diario'!$C$28:$C$970,'Desbalance - Mensual'!C59)</f>
        <v>0</v>
      </c>
      <c r="F59" s="485">
        <f>SUMIFS('Desbalance - Diario'!J$28:J$970,'Desbalance - Diario'!$B$28:$B$970,'Desbalance - Mensual'!$B59,'Desbalance - Diario'!$C$28:$C$970,'Desbalance - Mensual'!$C59)</f>
        <v>0</v>
      </c>
      <c r="G59" s="485">
        <f t="shared" si="9"/>
        <v>0</v>
      </c>
      <c r="H59" s="485">
        <f t="shared" si="12"/>
        <v>-696549.73974547407</v>
      </c>
      <c r="I59" s="487"/>
      <c r="J59" s="487"/>
      <c r="K59" s="486">
        <f t="shared" si="10"/>
        <v>0</v>
      </c>
      <c r="L59" s="480"/>
      <c r="M59" s="480"/>
      <c r="N59" s="480"/>
      <c r="O59" s="480"/>
      <c r="P59" s="480"/>
      <c r="Q59" s="484"/>
      <c r="R59" s="485">
        <f t="shared" si="13"/>
        <v>0</v>
      </c>
      <c r="S59" s="486">
        <f t="shared" si="11"/>
        <v>0</v>
      </c>
    </row>
    <row r="60" spans="2:19" x14ac:dyDescent="0.2">
      <c r="B60" s="495">
        <f t="shared" si="7"/>
        <v>2017</v>
      </c>
      <c r="C60" s="487">
        <f t="shared" si="8"/>
        <v>12</v>
      </c>
      <c r="D60" s="496">
        <v>43070</v>
      </c>
      <c r="E60" s="485">
        <f>SUMIFS('Desbalance - Diario'!$H$28:$H$970,'Desbalance - Diario'!$B$28:$B$970,'Desbalance - Mensual'!B60,'Desbalance - Diario'!$C$28:$C$970,'Desbalance - Mensual'!C60)</f>
        <v>0</v>
      </c>
      <c r="F60" s="485">
        <f>SUMIFS('Desbalance - Diario'!J$28:J$970,'Desbalance - Diario'!$B$28:$B$970,'Desbalance - Mensual'!$B60,'Desbalance - Diario'!$C$28:$C$970,'Desbalance - Mensual'!$C60)</f>
        <v>0</v>
      </c>
      <c r="G60" s="485">
        <f t="shared" si="9"/>
        <v>0</v>
      </c>
      <c r="H60" s="485">
        <f t="shared" si="12"/>
        <v>-696549.73974547407</v>
      </c>
      <c r="I60" s="487"/>
      <c r="J60" s="487"/>
      <c r="K60" s="486">
        <f t="shared" si="10"/>
        <v>0</v>
      </c>
      <c r="L60" s="480"/>
      <c r="M60" s="480"/>
      <c r="N60" s="480"/>
      <c r="O60" s="480"/>
      <c r="P60" s="480"/>
      <c r="Q60" s="484"/>
      <c r="R60" s="485">
        <f t="shared" si="13"/>
        <v>0</v>
      </c>
      <c r="S60" s="486">
        <f t="shared" si="11"/>
        <v>0</v>
      </c>
    </row>
    <row r="61" spans="2:19" x14ac:dyDescent="0.2">
      <c r="B61" s="495">
        <f t="shared" si="7"/>
        <v>2018</v>
      </c>
      <c r="C61" s="487">
        <f t="shared" si="8"/>
        <v>1</v>
      </c>
      <c r="D61" s="496">
        <v>43101</v>
      </c>
      <c r="E61" s="485">
        <f>SUMIFS('Desbalance - Diario'!$H$28:$H$970,'Desbalance - Diario'!$B$28:$B$970,'Desbalance - Mensual'!B61,'Desbalance - Diario'!$C$28:$C$970,'Desbalance - Mensual'!C61)</f>
        <v>0</v>
      </c>
      <c r="F61" s="485">
        <f>SUMIFS('Desbalance - Diario'!J$28:J$970,'Desbalance - Diario'!$B$28:$B$970,'Desbalance - Mensual'!$B61,'Desbalance - Diario'!$C$28:$C$970,'Desbalance - Mensual'!$C61)</f>
        <v>0</v>
      </c>
      <c r="G61" s="485">
        <f t="shared" si="9"/>
        <v>0</v>
      </c>
      <c r="H61" s="485">
        <f t="shared" si="12"/>
        <v>-696549.73974547407</v>
      </c>
      <c r="I61" s="487"/>
      <c r="J61" s="487"/>
      <c r="K61" s="486">
        <f t="shared" si="10"/>
        <v>0</v>
      </c>
      <c r="L61" s="480"/>
      <c r="M61" s="480"/>
      <c r="N61" s="480"/>
      <c r="O61" s="480"/>
      <c r="P61" s="480"/>
      <c r="Q61" s="484"/>
      <c r="R61" s="485">
        <f t="shared" si="13"/>
        <v>0</v>
      </c>
      <c r="S61" s="486">
        <f t="shared" si="11"/>
        <v>0</v>
      </c>
    </row>
    <row r="62" spans="2:19" x14ac:dyDescent="0.2">
      <c r="B62" s="495">
        <f t="shared" si="7"/>
        <v>2018</v>
      </c>
      <c r="C62" s="487">
        <f t="shared" si="8"/>
        <v>2</v>
      </c>
      <c r="D62" s="496">
        <v>43132</v>
      </c>
      <c r="E62" s="485">
        <f>SUMIFS('Desbalance - Diario'!$H$28:$H$970,'Desbalance - Diario'!$B$28:$B$970,'Desbalance - Mensual'!B62,'Desbalance - Diario'!$C$28:$C$970,'Desbalance - Mensual'!C62)</f>
        <v>0</v>
      </c>
      <c r="F62" s="485">
        <f>SUMIFS('Desbalance - Diario'!J$28:J$970,'Desbalance - Diario'!$B$28:$B$970,'Desbalance - Mensual'!$B62,'Desbalance - Diario'!$C$28:$C$970,'Desbalance - Mensual'!$C62)</f>
        <v>0</v>
      </c>
      <c r="G62" s="485">
        <f t="shared" si="9"/>
        <v>0</v>
      </c>
      <c r="H62" s="485">
        <f t="shared" si="12"/>
        <v>-696549.73974547407</v>
      </c>
      <c r="I62" s="487"/>
      <c r="J62" s="487"/>
      <c r="K62" s="486">
        <f t="shared" si="10"/>
        <v>0</v>
      </c>
      <c r="L62" s="480"/>
      <c r="M62" s="480"/>
      <c r="N62" s="480"/>
      <c r="O62" s="480"/>
      <c r="P62" s="480"/>
      <c r="Q62" s="484"/>
      <c r="R62" s="485">
        <f t="shared" si="13"/>
        <v>0</v>
      </c>
      <c r="S62" s="486">
        <f t="shared" si="11"/>
        <v>0</v>
      </c>
    </row>
    <row r="63" spans="2:19" x14ac:dyDescent="0.2">
      <c r="B63" s="495">
        <f t="shared" si="7"/>
        <v>2018</v>
      </c>
      <c r="C63" s="487">
        <f t="shared" si="8"/>
        <v>3</v>
      </c>
      <c r="D63" s="496">
        <v>43160</v>
      </c>
      <c r="E63" s="485">
        <f>SUMIFS('Desbalance - Diario'!$H$28:$H$970,'Desbalance - Diario'!$B$28:$B$970,'Desbalance - Mensual'!B63,'Desbalance - Diario'!$C$28:$C$970,'Desbalance - Mensual'!C63)</f>
        <v>0</v>
      </c>
      <c r="F63" s="485">
        <f>SUMIFS('Desbalance - Diario'!J$28:J$970,'Desbalance - Diario'!$B$28:$B$970,'Desbalance - Mensual'!$B63,'Desbalance - Diario'!$C$28:$C$970,'Desbalance - Mensual'!$C63)</f>
        <v>0</v>
      </c>
      <c r="G63" s="485">
        <f t="shared" si="9"/>
        <v>0</v>
      </c>
      <c r="H63" s="485">
        <f t="shared" si="12"/>
        <v>-696549.73974547407</v>
      </c>
      <c r="I63" s="487"/>
      <c r="J63" s="487"/>
      <c r="K63" s="486">
        <f t="shared" si="10"/>
        <v>0</v>
      </c>
      <c r="L63" s="480"/>
      <c r="M63" s="480"/>
      <c r="N63" s="480"/>
      <c r="O63" s="480"/>
      <c r="P63" s="480"/>
      <c r="Q63" s="484"/>
      <c r="R63" s="485">
        <f t="shared" si="13"/>
        <v>0</v>
      </c>
      <c r="S63" s="486">
        <f t="shared" si="11"/>
        <v>0</v>
      </c>
    </row>
    <row r="64" spans="2:19" x14ac:dyDescent="0.2">
      <c r="B64" s="495">
        <f t="shared" si="7"/>
        <v>2018</v>
      </c>
      <c r="C64" s="487">
        <f t="shared" si="8"/>
        <v>4</v>
      </c>
      <c r="D64" s="496">
        <v>43191</v>
      </c>
      <c r="E64" s="485">
        <f>SUMIFS('Desbalance - Diario'!$H$28:$H$970,'Desbalance - Diario'!$B$28:$B$970,'Desbalance - Mensual'!B64,'Desbalance - Diario'!$C$28:$C$970,'Desbalance - Mensual'!C64)</f>
        <v>0</v>
      </c>
      <c r="F64" s="485">
        <f>SUMIFS('Desbalance - Diario'!J$28:J$970,'Desbalance - Diario'!$B$28:$B$970,'Desbalance - Mensual'!$B64,'Desbalance - Diario'!$C$28:$C$970,'Desbalance - Mensual'!$C64)</f>
        <v>0</v>
      </c>
      <c r="G64" s="485">
        <f t="shared" si="9"/>
        <v>0</v>
      </c>
      <c r="H64" s="485">
        <f t="shared" si="12"/>
        <v>-696549.73974547407</v>
      </c>
      <c r="I64" s="487"/>
      <c r="J64" s="487"/>
      <c r="K64" s="486">
        <f t="shared" si="10"/>
        <v>0</v>
      </c>
      <c r="L64" s="480"/>
      <c r="M64" s="480"/>
      <c r="N64" s="480"/>
      <c r="O64" s="480"/>
      <c r="P64" s="480"/>
      <c r="Q64" s="484"/>
      <c r="R64" s="485">
        <f t="shared" si="13"/>
        <v>0</v>
      </c>
      <c r="S64" s="486">
        <f t="shared" si="11"/>
        <v>0</v>
      </c>
    </row>
    <row r="65" spans="2:19" x14ac:dyDescent="0.2">
      <c r="B65" s="495">
        <f t="shared" si="7"/>
        <v>2018</v>
      </c>
      <c r="C65" s="487">
        <f t="shared" si="8"/>
        <v>5</v>
      </c>
      <c r="D65" s="496">
        <v>43221</v>
      </c>
      <c r="E65" s="485">
        <f>SUMIFS('Desbalance - Diario'!$H$28:$H$970,'Desbalance - Diario'!$B$28:$B$970,'Desbalance - Mensual'!B65,'Desbalance - Diario'!$C$28:$C$970,'Desbalance - Mensual'!C65)</f>
        <v>0</v>
      </c>
      <c r="F65" s="485">
        <f>SUMIFS('Desbalance - Diario'!J$28:J$970,'Desbalance - Diario'!$B$28:$B$970,'Desbalance - Mensual'!$B65,'Desbalance - Diario'!$C$28:$C$970,'Desbalance - Mensual'!$C65)</f>
        <v>0</v>
      </c>
      <c r="G65" s="485">
        <f t="shared" si="9"/>
        <v>0</v>
      </c>
      <c r="H65" s="485">
        <f t="shared" si="12"/>
        <v>-696549.73974547407</v>
      </c>
      <c r="I65" s="487"/>
      <c r="J65" s="487"/>
      <c r="K65" s="486">
        <f t="shared" si="10"/>
        <v>0</v>
      </c>
      <c r="L65" s="480"/>
      <c r="M65" s="480"/>
      <c r="N65" s="480"/>
      <c r="O65" s="480"/>
      <c r="P65" s="480"/>
      <c r="Q65" s="484"/>
      <c r="R65" s="485">
        <f t="shared" si="13"/>
        <v>0</v>
      </c>
      <c r="S65" s="486">
        <f t="shared" si="11"/>
        <v>0</v>
      </c>
    </row>
    <row r="66" spans="2:19" x14ac:dyDescent="0.2">
      <c r="B66" s="495">
        <f t="shared" si="7"/>
        <v>2018</v>
      </c>
      <c r="C66" s="487">
        <f t="shared" si="8"/>
        <v>6</v>
      </c>
      <c r="D66" s="496">
        <v>43252</v>
      </c>
      <c r="E66" s="485">
        <f>SUMIFS('Desbalance - Diario'!$H$28:$H$970,'Desbalance - Diario'!$B$28:$B$970,'Desbalance - Mensual'!B66,'Desbalance - Diario'!$C$28:$C$970,'Desbalance - Mensual'!C66)</f>
        <v>0</v>
      </c>
      <c r="F66" s="485">
        <f>SUMIFS('Desbalance - Diario'!J$28:J$970,'Desbalance - Diario'!$B$28:$B$970,'Desbalance - Mensual'!$B66,'Desbalance - Diario'!$C$28:$C$970,'Desbalance - Mensual'!$C66)</f>
        <v>0</v>
      </c>
      <c r="G66" s="485">
        <f t="shared" si="9"/>
        <v>0</v>
      </c>
      <c r="H66" s="485">
        <f t="shared" si="12"/>
        <v>-696549.73974547407</v>
      </c>
      <c r="I66" s="487"/>
      <c r="J66" s="487"/>
      <c r="K66" s="486">
        <f t="shared" si="10"/>
        <v>0</v>
      </c>
      <c r="L66" s="480"/>
      <c r="M66" s="480"/>
      <c r="N66" s="480"/>
      <c r="O66" s="480"/>
      <c r="P66" s="480"/>
      <c r="Q66" s="484"/>
      <c r="R66" s="485">
        <f t="shared" si="13"/>
        <v>0</v>
      </c>
      <c r="S66" s="486">
        <f t="shared" si="11"/>
        <v>0</v>
      </c>
    </row>
    <row r="67" spans="2:19" x14ac:dyDescent="0.2">
      <c r="B67" s="495">
        <f t="shared" si="7"/>
        <v>2018</v>
      </c>
      <c r="C67" s="487">
        <f t="shared" si="8"/>
        <v>7</v>
      </c>
      <c r="D67" s="496">
        <v>43282</v>
      </c>
      <c r="E67" s="485">
        <f>SUMIFS('Desbalance - Diario'!$H$28:$H$970,'Desbalance - Diario'!$B$28:$B$970,'Desbalance - Mensual'!B67,'Desbalance - Diario'!$C$28:$C$970,'Desbalance - Mensual'!C67)</f>
        <v>0</v>
      </c>
      <c r="F67" s="485">
        <f>SUMIFS('Desbalance - Diario'!J$28:J$970,'Desbalance - Diario'!$B$28:$B$970,'Desbalance - Mensual'!$B67,'Desbalance - Diario'!$C$28:$C$970,'Desbalance - Mensual'!$C67)</f>
        <v>0</v>
      </c>
      <c r="G67" s="485">
        <f t="shared" si="9"/>
        <v>0</v>
      </c>
      <c r="H67" s="485">
        <f t="shared" si="12"/>
        <v>-696549.73974547407</v>
      </c>
      <c r="I67" s="487"/>
      <c r="J67" s="487"/>
      <c r="K67" s="486">
        <f t="shared" si="10"/>
        <v>0</v>
      </c>
      <c r="L67" s="480"/>
      <c r="M67" s="480"/>
      <c r="N67" s="480"/>
      <c r="O67" s="480"/>
      <c r="P67" s="480"/>
      <c r="Q67" s="484"/>
      <c r="R67" s="485">
        <f t="shared" si="13"/>
        <v>0</v>
      </c>
      <c r="S67" s="486">
        <f t="shared" si="11"/>
        <v>0</v>
      </c>
    </row>
    <row r="68" spans="2:19" x14ac:dyDescent="0.2">
      <c r="B68" s="495">
        <f t="shared" si="7"/>
        <v>2018</v>
      </c>
      <c r="C68" s="487">
        <f t="shared" si="8"/>
        <v>8</v>
      </c>
      <c r="D68" s="496">
        <v>43313</v>
      </c>
      <c r="E68" s="485">
        <f>SUMIFS('Desbalance - Diario'!$H$28:$H$970,'Desbalance - Diario'!$B$28:$B$970,'Desbalance - Mensual'!B68,'Desbalance - Diario'!$C$28:$C$970,'Desbalance - Mensual'!C68)</f>
        <v>0</v>
      </c>
      <c r="F68" s="485">
        <f>SUMIFS('Desbalance - Diario'!J$28:J$970,'Desbalance - Diario'!$B$28:$B$970,'Desbalance - Mensual'!$B68,'Desbalance - Diario'!$C$28:$C$970,'Desbalance - Mensual'!$C68)</f>
        <v>0</v>
      </c>
      <c r="G68" s="485">
        <f t="shared" si="9"/>
        <v>0</v>
      </c>
      <c r="H68" s="485">
        <f t="shared" si="12"/>
        <v>-696549.73974547407</v>
      </c>
      <c r="I68" s="487"/>
      <c r="J68" s="487"/>
      <c r="K68" s="486">
        <f t="shared" si="10"/>
        <v>0</v>
      </c>
      <c r="L68" s="480"/>
      <c r="M68" s="480"/>
      <c r="N68" s="480"/>
      <c r="O68" s="480"/>
      <c r="P68" s="480"/>
      <c r="Q68" s="484"/>
      <c r="R68" s="485">
        <f t="shared" si="13"/>
        <v>0</v>
      </c>
      <c r="S68" s="486">
        <f t="shared" si="11"/>
        <v>0</v>
      </c>
    </row>
    <row r="69" spans="2:19" x14ac:dyDescent="0.2">
      <c r="B69" s="495">
        <f t="shared" si="7"/>
        <v>2018</v>
      </c>
      <c r="C69" s="487">
        <f t="shared" si="8"/>
        <v>9</v>
      </c>
      <c r="D69" s="496">
        <v>43344</v>
      </c>
      <c r="E69" s="485">
        <f>SUMIFS('Desbalance - Diario'!$H$28:$H$970,'Desbalance - Diario'!$B$28:$B$970,'Desbalance - Mensual'!B69,'Desbalance - Diario'!$C$28:$C$970,'Desbalance - Mensual'!C69)</f>
        <v>0</v>
      </c>
      <c r="F69" s="485">
        <f>SUMIFS('Desbalance - Diario'!J$28:J$970,'Desbalance - Diario'!$B$28:$B$970,'Desbalance - Mensual'!$B69,'Desbalance - Diario'!$C$28:$C$970,'Desbalance - Mensual'!$C69)</f>
        <v>0</v>
      </c>
      <c r="G69" s="485">
        <f t="shared" si="9"/>
        <v>0</v>
      </c>
      <c r="H69" s="485">
        <f t="shared" si="12"/>
        <v>-696549.73974547407</v>
      </c>
      <c r="I69" s="487"/>
      <c r="J69" s="487"/>
      <c r="K69" s="486">
        <f t="shared" si="10"/>
        <v>0</v>
      </c>
      <c r="L69" s="480"/>
      <c r="M69" s="480"/>
      <c r="N69" s="480"/>
      <c r="O69" s="480"/>
      <c r="P69" s="480"/>
      <c r="Q69" s="484"/>
      <c r="R69" s="485">
        <f t="shared" si="13"/>
        <v>0</v>
      </c>
      <c r="S69" s="486">
        <f t="shared" si="11"/>
        <v>0</v>
      </c>
    </row>
    <row r="70" spans="2:19" x14ac:dyDescent="0.2">
      <c r="B70" s="495">
        <f t="shared" si="7"/>
        <v>2018</v>
      </c>
      <c r="C70" s="487">
        <f t="shared" si="8"/>
        <v>10</v>
      </c>
      <c r="D70" s="496">
        <v>43374</v>
      </c>
      <c r="E70" s="485">
        <f>SUMIFS('Desbalance - Diario'!$H$28:$H$970,'Desbalance - Diario'!$B$28:$B$970,'Desbalance - Mensual'!B70,'Desbalance - Diario'!$C$28:$C$970,'Desbalance - Mensual'!C70)</f>
        <v>0</v>
      </c>
      <c r="F70" s="485">
        <f>SUMIFS('Desbalance - Diario'!J$28:J$970,'Desbalance - Diario'!$B$28:$B$970,'Desbalance - Mensual'!$B70,'Desbalance - Diario'!$C$28:$C$970,'Desbalance - Mensual'!$C70)</f>
        <v>0</v>
      </c>
      <c r="G70" s="485">
        <f t="shared" si="9"/>
        <v>0</v>
      </c>
      <c r="H70" s="485">
        <f t="shared" si="12"/>
        <v>-696549.73974547407</v>
      </c>
      <c r="I70" s="487"/>
      <c r="J70" s="487"/>
      <c r="K70" s="486">
        <f t="shared" si="10"/>
        <v>0</v>
      </c>
      <c r="L70" s="480"/>
      <c r="M70" s="480"/>
      <c r="N70" s="480"/>
      <c r="O70" s="480"/>
      <c r="P70" s="480"/>
      <c r="Q70" s="484"/>
      <c r="R70" s="485">
        <f t="shared" si="13"/>
        <v>0</v>
      </c>
      <c r="S70" s="486">
        <f t="shared" si="11"/>
        <v>0</v>
      </c>
    </row>
    <row r="71" spans="2:19" x14ac:dyDescent="0.2">
      <c r="B71" s="495">
        <f t="shared" si="7"/>
        <v>2018</v>
      </c>
      <c r="C71" s="487">
        <f t="shared" si="8"/>
        <v>11</v>
      </c>
      <c r="D71" s="496">
        <v>43405</v>
      </c>
      <c r="E71" s="485">
        <f>SUMIFS('Desbalance - Diario'!$H$28:$H$970,'Desbalance - Diario'!$B$28:$B$970,'Desbalance - Mensual'!B71,'Desbalance - Diario'!$C$28:$C$970,'Desbalance - Mensual'!C71)</f>
        <v>0</v>
      </c>
      <c r="F71" s="485">
        <f>SUMIFS('Desbalance - Diario'!J$28:J$970,'Desbalance - Diario'!$B$28:$B$970,'Desbalance - Mensual'!$B71,'Desbalance - Diario'!$C$28:$C$970,'Desbalance - Mensual'!$C71)</f>
        <v>0</v>
      </c>
      <c r="G71" s="485">
        <f t="shared" si="9"/>
        <v>0</v>
      </c>
      <c r="H71" s="485">
        <f t="shared" si="12"/>
        <v>-696549.73974547407</v>
      </c>
      <c r="I71" s="487"/>
      <c r="J71" s="487"/>
      <c r="K71" s="486">
        <f t="shared" si="10"/>
        <v>0</v>
      </c>
      <c r="L71" s="480"/>
      <c r="M71" s="480"/>
      <c r="N71" s="480"/>
      <c r="O71" s="480"/>
      <c r="P71" s="480"/>
      <c r="Q71" s="484"/>
      <c r="R71" s="485">
        <f t="shared" si="13"/>
        <v>0</v>
      </c>
      <c r="S71" s="486">
        <f t="shared" si="11"/>
        <v>0</v>
      </c>
    </row>
    <row r="72" spans="2:19" x14ac:dyDescent="0.2">
      <c r="B72" s="495">
        <f t="shared" ref="B72:B103" si="14">YEAR(D72)</f>
        <v>2018</v>
      </c>
      <c r="C72" s="487">
        <f t="shared" ref="C72:C103" si="15">MONTH(D72)</f>
        <v>12</v>
      </c>
      <c r="D72" s="496">
        <v>43435</v>
      </c>
      <c r="E72" s="485">
        <f>SUMIFS('Desbalance - Diario'!$H$28:$H$970,'Desbalance - Diario'!$B$28:$B$970,'Desbalance - Mensual'!B72,'Desbalance - Diario'!$C$28:$C$970,'Desbalance - Mensual'!C72)</f>
        <v>0</v>
      </c>
      <c r="F72" s="485">
        <f>SUMIFS('Desbalance - Diario'!J$28:J$970,'Desbalance - Diario'!$B$28:$B$970,'Desbalance - Mensual'!$B72,'Desbalance - Diario'!$C$28:$C$970,'Desbalance - Mensual'!$C72)</f>
        <v>0</v>
      </c>
      <c r="G72" s="485">
        <f t="shared" ref="G72:G103" si="16">E72-F72</f>
        <v>0</v>
      </c>
      <c r="H72" s="485">
        <f t="shared" si="12"/>
        <v>-696549.73974547407</v>
      </c>
      <c r="I72" s="487"/>
      <c r="J72" s="487"/>
      <c r="K72" s="486">
        <f t="shared" ref="K72:K103" si="17">E72-J72</f>
        <v>0</v>
      </c>
      <c r="L72" s="480"/>
      <c r="M72" s="480"/>
      <c r="N72" s="480"/>
      <c r="O72" s="480"/>
      <c r="P72" s="480"/>
      <c r="Q72" s="484"/>
      <c r="R72" s="485">
        <f t="shared" si="13"/>
        <v>0</v>
      </c>
      <c r="S72" s="486">
        <f t="shared" ref="S72:S103" si="18">F72-R72</f>
        <v>0</v>
      </c>
    </row>
    <row r="73" spans="2:19" x14ac:dyDescent="0.2">
      <c r="B73" s="495">
        <f t="shared" si="14"/>
        <v>2019</v>
      </c>
      <c r="C73" s="487">
        <f t="shared" si="15"/>
        <v>1</v>
      </c>
      <c r="D73" s="496">
        <v>43466</v>
      </c>
      <c r="E73" s="485">
        <f>SUMIFS('Desbalance - Diario'!$H$28:$H$970,'Desbalance - Diario'!$B$28:$B$970,'Desbalance - Mensual'!B73,'Desbalance - Diario'!$C$28:$C$970,'Desbalance - Mensual'!C73)</f>
        <v>0</v>
      </c>
      <c r="F73" s="485">
        <f>SUMIFS('Desbalance - Diario'!J$28:J$970,'Desbalance - Diario'!$B$28:$B$970,'Desbalance - Mensual'!$B73,'Desbalance - Diario'!$C$28:$C$970,'Desbalance - Mensual'!$C73)</f>
        <v>0</v>
      </c>
      <c r="G73" s="485">
        <f t="shared" si="16"/>
        <v>0</v>
      </c>
      <c r="H73" s="485">
        <f t="shared" ref="H73:H104" si="19">G73+H72</f>
        <v>-696549.73974547407</v>
      </c>
      <c r="I73" s="487"/>
      <c r="J73" s="487"/>
      <c r="K73" s="486">
        <f t="shared" si="17"/>
        <v>0</v>
      </c>
      <c r="L73" s="480"/>
      <c r="M73" s="480"/>
      <c r="N73" s="480"/>
      <c r="O73" s="480"/>
      <c r="P73" s="480"/>
      <c r="Q73" s="484"/>
      <c r="R73" s="485">
        <f t="shared" si="13"/>
        <v>0</v>
      </c>
      <c r="S73" s="486">
        <f t="shared" si="18"/>
        <v>0</v>
      </c>
    </row>
    <row r="74" spans="2:19" x14ac:dyDescent="0.2">
      <c r="B74" s="495">
        <f t="shared" si="14"/>
        <v>2019</v>
      </c>
      <c r="C74" s="487">
        <f t="shared" si="15"/>
        <v>2</v>
      </c>
      <c r="D74" s="496">
        <v>43497</v>
      </c>
      <c r="E74" s="485">
        <f>SUMIFS('Desbalance - Diario'!$H$28:$H$970,'Desbalance - Diario'!$B$28:$B$970,'Desbalance - Mensual'!B74,'Desbalance - Diario'!$C$28:$C$970,'Desbalance - Mensual'!C74)</f>
        <v>0</v>
      </c>
      <c r="F74" s="485">
        <f>SUMIFS('Desbalance - Diario'!J$28:J$970,'Desbalance - Diario'!$B$28:$B$970,'Desbalance - Mensual'!$B74,'Desbalance - Diario'!$C$28:$C$970,'Desbalance - Mensual'!$C74)</f>
        <v>0</v>
      </c>
      <c r="G74" s="485">
        <f t="shared" si="16"/>
        <v>0</v>
      </c>
      <c r="H74" s="485">
        <f t="shared" si="19"/>
        <v>-696549.73974547407</v>
      </c>
      <c r="I74" s="487"/>
      <c r="J74" s="487"/>
      <c r="K74" s="486">
        <f t="shared" si="17"/>
        <v>0</v>
      </c>
      <c r="L74" s="480"/>
      <c r="M74" s="480"/>
      <c r="N74" s="480"/>
      <c r="O74" s="480"/>
      <c r="P74" s="480"/>
      <c r="Q74" s="484"/>
      <c r="R74" s="485">
        <f t="shared" si="13"/>
        <v>0</v>
      </c>
      <c r="S74" s="486">
        <f t="shared" si="18"/>
        <v>0</v>
      </c>
    </row>
    <row r="75" spans="2:19" x14ac:dyDescent="0.2">
      <c r="B75" s="495">
        <f t="shared" si="14"/>
        <v>2019</v>
      </c>
      <c r="C75" s="487">
        <f t="shared" si="15"/>
        <v>3</v>
      </c>
      <c r="D75" s="496">
        <v>43525</v>
      </c>
      <c r="E75" s="485">
        <f>SUMIFS('Desbalance - Diario'!$H$28:$H$970,'Desbalance - Diario'!$B$28:$B$970,'Desbalance - Mensual'!B75,'Desbalance - Diario'!$C$28:$C$970,'Desbalance - Mensual'!C75)</f>
        <v>0</v>
      </c>
      <c r="F75" s="485">
        <f>SUMIFS('Desbalance - Diario'!J$28:J$970,'Desbalance - Diario'!$B$28:$B$970,'Desbalance - Mensual'!$B75,'Desbalance - Diario'!$C$28:$C$970,'Desbalance - Mensual'!$C75)</f>
        <v>0</v>
      </c>
      <c r="G75" s="485">
        <f t="shared" si="16"/>
        <v>0</v>
      </c>
      <c r="H75" s="485">
        <f t="shared" si="19"/>
        <v>-696549.73974547407</v>
      </c>
      <c r="I75" s="487"/>
      <c r="J75" s="487"/>
      <c r="K75" s="486">
        <f t="shared" si="17"/>
        <v>0</v>
      </c>
      <c r="L75" s="480"/>
      <c r="M75" s="480"/>
      <c r="N75" s="480"/>
      <c r="O75" s="480"/>
      <c r="P75" s="480"/>
      <c r="Q75" s="484"/>
      <c r="R75" s="485">
        <f t="shared" si="13"/>
        <v>0</v>
      </c>
      <c r="S75" s="486">
        <f t="shared" si="18"/>
        <v>0</v>
      </c>
    </row>
    <row r="76" spans="2:19" x14ac:dyDescent="0.2">
      <c r="B76" s="495">
        <f t="shared" si="14"/>
        <v>2019</v>
      </c>
      <c r="C76" s="487">
        <f t="shared" si="15"/>
        <v>4</v>
      </c>
      <c r="D76" s="496">
        <v>43556</v>
      </c>
      <c r="E76" s="485">
        <f>SUMIFS('Desbalance - Diario'!$H$28:$H$970,'Desbalance - Diario'!$B$28:$B$970,'Desbalance - Mensual'!B76,'Desbalance - Diario'!$C$28:$C$970,'Desbalance - Mensual'!C76)</f>
        <v>0</v>
      </c>
      <c r="F76" s="485">
        <f>SUMIFS('Desbalance - Diario'!J$28:J$970,'Desbalance - Diario'!$B$28:$B$970,'Desbalance - Mensual'!$B76,'Desbalance - Diario'!$C$28:$C$970,'Desbalance - Mensual'!$C76)</f>
        <v>0</v>
      </c>
      <c r="G76" s="485">
        <f t="shared" si="16"/>
        <v>0</v>
      </c>
      <c r="H76" s="485">
        <f t="shared" si="19"/>
        <v>-696549.73974547407</v>
      </c>
      <c r="I76" s="487"/>
      <c r="J76" s="487"/>
      <c r="K76" s="486">
        <f t="shared" si="17"/>
        <v>0</v>
      </c>
      <c r="L76" s="480"/>
      <c r="M76" s="480"/>
      <c r="N76" s="480"/>
      <c r="O76" s="480"/>
      <c r="P76" s="480"/>
      <c r="Q76" s="484"/>
      <c r="R76" s="485">
        <f t="shared" si="13"/>
        <v>0</v>
      </c>
      <c r="S76" s="486">
        <f t="shared" si="18"/>
        <v>0</v>
      </c>
    </row>
    <row r="77" spans="2:19" x14ac:dyDescent="0.2">
      <c r="B77" s="495">
        <f t="shared" si="14"/>
        <v>2019</v>
      </c>
      <c r="C77" s="487">
        <f t="shared" si="15"/>
        <v>5</v>
      </c>
      <c r="D77" s="496">
        <v>43586</v>
      </c>
      <c r="E77" s="485">
        <f>SUMIFS('Desbalance - Diario'!$H$28:$H$970,'Desbalance - Diario'!$B$28:$B$970,'Desbalance - Mensual'!B77,'Desbalance - Diario'!$C$28:$C$970,'Desbalance - Mensual'!C77)</f>
        <v>0</v>
      </c>
      <c r="F77" s="485">
        <f>SUMIFS('Desbalance - Diario'!J$28:J$970,'Desbalance - Diario'!$B$28:$B$970,'Desbalance - Mensual'!$B77,'Desbalance - Diario'!$C$28:$C$970,'Desbalance - Mensual'!$C77)</f>
        <v>0</v>
      </c>
      <c r="G77" s="485">
        <f t="shared" si="16"/>
        <v>0</v>
      </c>
      <c r="H77" s="485">
        <f t="shared" si="19"/>
        <v>-696549.73974547407</v>
      </c>
      <c r="I77" s="487"/>
      <c r="J77" s="487"/>
      <c r="K77" s="486">
        <f t="shared" si="17"/>
        <v>0</v>
      </c>
      <c r="L77" s="480"/>
      <c r="M77" s="480"/>
      <c r="N77" s="480"/>
      <c r="O77" s="480"/>
      <c r="P77" s="480"/>
      <c r="Q77" s="484"/>
      <c r="R77" s="485">
        <f t="shared" ref="R77:R108" si="20">Q77/1.055056</f>
        <v>0</v>
      </c>
      <c r="S77" s="486">
        <f t="shared" si="18"/>
        <v>0</v>
      </c>
    </row>
    <row r="78" spans="2:19" x14ac:dyDescent="0.2">
      <c r="B78" s="495">
        <f t="shared" si="14"/>
        <v>2019</v>
      </c>
      <c r="C78" s="487">
        <f t="shared" si="15"/>
        <v>6</v>
      </c>
      <c r="D78" s="496">
        <v>43617</v>
      </c>
      <c r="E78" s="485">
        <f>SUMIFS('Desbalance - Diario'!$H$28:$H$970,'Desbalance - Diario'!$B$28:$B$970,'Desbalance - Mensual'!B78,'Desbalance - Diario'!$C$28:$C$970,'Desbalance - Mensual'!C78)</f>
        <v>0</v>
      </c>
      <c r="F78" s="485">
        <f>SUMIFS('Desbalance - Diario'!J$28:J$970,'Desbalance - Diario'!$B$28:$B$970,'Desbalance - Mensual'!$B78,'Desbalance - Diario'!$C$28:$C$970,'Desbalance - Mensual'!$C78)</f>
        <v>0</v>
      </c>
      <c r="G78" s="485">
        <f t="shared" si="16"/>
        <v>0</v>
      </c>
      <c r="H78" s="485">
        <f t="shared" si="19"/>
        <v>-696549.73974547407</v>
      </c>
      <c r="I78" s="487"/>
      <c r="J78" s="487"/>
      <c r="K78" s="486">
        <f t="shared" si="17"/>
        <v>0</v>
      </c>
      <c r="L78" s="480"/>
      <c r="M78" s="480"/>
      <c r="N78" s="480"/>
      <c r="O78" s="480"/>
      <c r="P78" s="480"/>
      <c r="Q78" s="484"/>
      <c r="R78" s="485">
        <f t="shared" si="20"/>
        <v>0</v>
      </c>
      <c r="S78" s="486">
        <f t="shared" si="18"/>
        <v>0</v>
      </c>
    </row>
    <row r="79" spans="2:19" x14ac:dyDescent="0.2">
      <c r="B79" s="495">
        <f t="shared" si="14"/>
        <v>2019</v>
      </c>
      <c r="C79" s="487">
        <f t="shared" si="15"/>
        <v>7</v>
      </c>
      <c r="D79" s="496">
        <v>43647</v>
      </c>
      <c r="E79" s="485">
        <f>SUMIFS('Desbalance - Diario'!$H$28:$H$970,'Desbalance - Diario'!$B$28:$B$970,'Desbalance - Mensual'!B79,'Desbalance - Diario'!$C$28:$C$970,'Desbalance - Mensual'!C79)</f>
        <v>0</v>
      </c>
      <c r="F79" s="485">
        <f>SUMIFS('Desbalance - Diario'!J$28:J$970,'Desbalance - Diario'!$B$28:$B$970,'Desbalance - Mensual'!$B79,'Desbalance - Diario'!$C$28:$C$970,'Desbalance - Mensual'!$C79)</f>
        <v>0</v>
      </c>
      <c r="G79" s="485">
        <f t="shared" si="16"/>
        <v>0</v>
      </c>
      <c r="H79" s="485">
        <f t="shared" si="19"/>
        <v>-696549.73974547407</v>
      </c>
      <c r="I79" s="487"/>
      <c r="J79" s="487"/>
      <c r="K79" s="486">
        <f t="shared" si="17"/>
        <v>0</v>
      </c>
      <c r="L79" s="480"/>
      <c r="M79" s="480"/>
      <c r="N79" s="480"/>
      <c r="O79" s="480"/>
      <c r="P79" s="480"/>
      <c r="Q79" s="484"/>
      <c r="R79" s="485">
        <f t="shared" si="20"/>
        <v>0</v>
      </c>
      <c r="S79" s="486">
        <f t="shared" si="18"/>
        <v>0</v>
      </c>
    </row>
    <row r="80" spans="2:19" x14ac:dyDescent="0.2">
      <c r="B80" s="495">
        <f t="shared" si="14"/>
        <v>2019</v>
      </c>
      <c r="C80" s="487">
        <f t="shared" si="15"/>
        <v>8</v>
      </c>
      <c r="D80" s="496">
        <v>43678</v>
      </c>
      <c r="E80" s="485">
        <f>SUMIFS('Desbalance - Diario'!$H$28:$H$970,'Desbalance - Diario'!$B$28:$B$970,'Desbalance - Mensual'!B80,'Desbalance - Diario'!$C$28:$C$970,'Desbalance - Mensual'!C80)</f>
        <v>0</v>
      </c>
      <c r="F80" s="485">
        <f>SUMIFS('Desbalance - Diario'!J$28:J$970,'Desbalance - Diario'!$B$28:$B$970,'Desbalance - Mensual'!$B80,'Desbalance - Diario'!$C$28:$C$970,'Desbalance - Mensual'!$C80)</f>
        <v>0</v>
      </c>
      <c r="G80" s="485">
        <f t="shared" si="16"/>
        <v>0</v>
      </c>
      <c r="H80" s="485">
        <f t="shared" si="19"/>
        <v>-696549.73974547407</v>
      </c>
      <c r="I80" s="487"/>
      <c r="J80" s="487"/>
      <c r="K80" s="486">
        <f t="shared" si="17"/>
        <v>0</v>
      </c>
      <c r="L80" s="480"/>
      <c r="M80" s="480"/>
      <c r="N80" s="480"/>
      <c r="O80" s="480"/>
      <c r="P80" s="480"/>
      <c r="Q80" s="484"/>
      <c r="R80" s="485">
        <f t="shared" si="20"/>
        <v>0</v>
      </c>
      <c r="S80" s="486">
        <f t="shared" si="18"/>
        <v>0</v>
      </c>
    </row>
    <row r="81" spans="2:19" x14ac:dyDescent="0.2">
      <c r="B81" s="495">
        <f t="shared" si="14"/>
        <v>2019</v>
      </c>
      <c r="C81" s="487">
        <f t="shared" si="15"/>
        <v>9</v>
      </c>
      <c r="D81" s="496">
        <v>43709</v>
      </c>
      <c r="E81" s="485">
        <f>SUMIFS('Desbalance - Diario'!$H$28:$H$970,'Desbalance - Diario'!$B$28:$B$970,'Desbalance - Mensual'!B81,'Desbalance - Diario'!$C$28:$C$970,'Desbalance - Mensual'!C81)</f>
        <v>0</v>
      </c>
      <c r="F81" s="485">
        <f>SUMIFS('Desbalance - Diario'!J$28:J$970,'Desbalance - Diario'!$B$28:$B$970,'Desbalance - Mensual'!$B81,'Desbalance - Diario'!$C$28:$C$970,'Desbalance - Mensual'!$C81)</f>
        <v>0</v>
      </c>
      <c r="G81" s="485">
        <f t="shared" si="16"/>
        <v>0</v>
      </c>
      <c r="H81" s="485">
        <f t="shared" si="19"/>
        <v>-696549.73974547407</v>
      </c>
      <c r="I81" s="487"/>
      <c r="J81" s="487"/>
      <c r="K81" s="486">
        <f t="shared" si="17"/>
        <v>0</v>
      </c>
      <c r="L81" s="480"/>
      <c r="M81" s="480"/>
      <c r="N81" s="480"/>
      <c r="O81" s="480"/>
      <c r="P81" s="480"/>
      <c r="Q81" s="484"/>
      <c r="R81" s="485">
        <f t="shared" si="20"/>
        <v>0</v>
      </c>
      <c r="S81" s="486">
        <f t="shared" si="18"/>
        <v>0</v>
      </c>
    </row>
    <row r="82" spans="2:19" x14ac:dyDescent="0.2">
      <c r="B82" s="495">
        <f t="shared" si="14"/>
        <v>2019</v>
      </c>
      <c r="C82" s="487">
        <f t="shared" si="15"/>
        <v>10</v>
      </c>
      <c r="D82" s="496">
        <v>43739</v>
      </c>
      <c r="E82" s="485">
        <f>SUMIFS('Desbalance - Diario'!$H$28:$H$970,'Desbalance - Diario'!$B$28:$B$970,'Desbalance - Mensual'!B82,'Desbalance - Diario'!$C$28:$C$970,'Desbalance - Mensual'!C82)</f>
        <v>0</v>
      </c>
      <c r="F82" s="485">
        <f>SUMIFS('Desbalance - Diario'!J$28:J$970,'Desbalance - Diario'!$B$28:$B$970,'Desbalance - Mensual'!$B82,'Desbalance - Diario'!$C$28:$C$970,'Desbalance - Mensual'!$C82)</f>
        <v>0</v>
      </c>
      <c r="G82" s="485">
        <f t="shared" si="16"/>
        <v>0</v>
      </c>
      <c r="H82" s="485">
        <f t="shared" si="19"/>
        <v>-696549.73974547407</v>
      </c>
      <c r="I82" s="487"/>
      <c r="J82" s="487"/>
      <c r="K82" s="486">
        <f t="shared" si="17"/>
        <v>0</v>
      </c>
      <c r="L82" s="480"/>
      <c r="M82" s="480"/>
      <c r="N82" s="480"/>
      <c r="O82" s="480"/>
      <c r="P82" s="480"/>
      <c r="Q82" s="484"/>
      <c r="R82" s="485">
        <f t="shared" si="20"/>
        <v>0</v>
      </c>
      <c r="S82" s="486">
        <f t="shared" si="18"/>
        <v>0</v>
      </c>
    </row>
    <row r="83" spans="2:19" x14ac:dyDescent="0.2">
      <c r="B83" s="495">
        <f t="shared" si="14"/>
        <v>2019</v>
      </c>
      <c r="C83" s="487">
        <f t="shared" si="15"/>
        <v>11</v>
      </c>
      <c r="D83" s="496">
        <v>43770</v>
      </c>
      <c r="E83" s="485">
        <f>SUMIFS('Desbalance - Diario'!$H$28:$H$970,'Desbalance - Diario'!$B$28:$B$970,'Desbalance - Mensual'!B83,'Desbalance - Diario'!$C$28:$C$970,'Desbalance - Mensual'!C83)</f>
        <v>0</v>
      </c>
      <c r="F83" s="485">
        <f>SUMIFS('Desbalance - Diario'!J$28:J$970,'Desbalance - Diario'!$B$28:$B$970,'Desbalance - Mensual'!$B83,'Desbalance - Diario'!$C$28:$C$970,'Desbalance - Mensual'!$C83)</f>
        <v>0</v>
      </c>
      <c r="G83" s="485">
        <f t="shared" si="16"/>
        <v>0</v>
      </c>
      <c r="H83" s="485">
        <f t="shared" si="19"/>
        <v>-696549.73974547407</v>
      </c>
      <c r="I83" s="487"/>
      <c r="J83" s="487"/>
      <c r="K83" s="486">
        <f t="shared" si="17"/>
        <v>0</v>
      </c>
      <c r="L83" s="480"/>
      <c r="M83" s="480"/>
      <c r="N83" s="480"/>
      <c r="O83" s="480"/>
      <c r="P83" s="480"/>
      <c r="Q83" s="484"/>
      <c r="R83" s="485">
        <f t="shared" si="20"/>
        <v>0</v>
      </c>
      <c r="S83" s="486">
        <f t="shared" si="18"/>
        <v>0</v>
      </c>
    </row>
    <row r="84" spans="2:19" x14ac:dyDescent="0.2">
      <c r="B84" s="495">
        <f t="shared" si="14"/>
        <v>2019</v>
      </c>
      <c r="C84" s="487">
        <f t="shared" si="15"/>
        <v>12</v>
      </c>
      <c r="D84" s="496">
        <v>43800</v>
      </c>
      <c r="E84" s="485">
        <f>SUMIFS('Desbalance - Diario'!$H$28:$H$970,'Desbalance - Diario'!$B$28:$B$970,'Desbalance - Mensual'!B84,'Desbalance - Diario'!$C$28:$C$970,'Desbalance - Mensual'!C84)</f>
        <v>0</v>
      </c>
      <c r="F84" s="485">
        <f>SUMIFS('Desbalance - Diario'!J$28:J$970,'Desbalance - Diario'!$B$28:$B$970,'Desbalance - Mensual'!$B84,'Desbalance - Diario'!$C$28:$C$970,'Desbalance - Mensual'!$C84)</f>
        <v>0</v>
      </c>
      <c r="G84" s="485">
        <f t="shared" si="16"/>
        <v>0</v>
      </c>
      <c r="H84" s="485">
        <f t="shared" si="19"/>
        <v>-696549.73974547407</v>
      </c>
      <c r="I84" s="487"/>
      <c r="J84" s="487"/>
      <c r="K84" s="486">
        <f t="shared" si="17"/>
        <v>0</v>
      </c>
      <c r="L84" s="480"/>
      <c r="M84" s="480"/>
      <c r="N84" s="480"/>
      <c r="O84" s="480"/>
      <c r="P84" s="480"/>
      <c r="Q84" s="484"/>
      <c r="R84" s="485">
        <f t="shared" si="20"/>
        <v>0</v>
      </c>
      <c r="S84" s="486">
        <f t="shared" si="18"/>
        <v>0</v>
      </c>
    </row>
    <row r="85" spans="2:19" x14ac:dyDescent="0.2">
      <c r="B85" s="495">
        <f t="shared" si="14"/>
        <v>2020</v>
      </c>
      <c r="C85" s="487">
        <f t="shared" si="15"/>
        <v>1</v>
      </c>
      <c r="D85" s="496">
        <v>43831</v>
      </c>
      <c r="E85" s="485">
        <f>SUMIFS('Desbalance - Diario'!$H$28:$H$970,'Desbalance - Diario'!$B$28:$B$970,'Desbalance - Mensual'!B85,'Desbalance - Diario'!$C$28:$C$970,'Desbalance - Mensual'!C85)</f>
        <v>0</v>
      </c>
      <c r="F85" s="485">
        <f>SUMIFS('Desbalance - Diario'!J$28:J$970,'Desbalance - Diario'!$B$28:$B$970,'Desbalance - Mensual'!$B85,'Desbalance - Diario'!$C$28:$C$970,'Desbalance - Mensual'!$C85)</f>
        <v>0</v>
      </c>
      <c r="G85" s="485">
        <f t="shared" si="16"/>
        <v>0</v>
      </c>
      <c r="H85" s="485">
        <f t="shared" si="19"/>
        <v>-696549.73974547407</v>
      </c>
      <c r="I85" s="487"/>
      <c r="J85" s="487"/>
      <c r="K85" s="486">
        <f t="shared" si="17"/>
        <v>0</v>
      </c>
      <c r="L85" s="480"/>
      <c r="M85" s="480"/>
      <c r="N85" s="480"/>
      <c r="O85" s="480"/>
      <c r="P85" s="480"/>
      <c r="Q85" s="484"/>
      <c r="R85" s="485">
        <f t="shared" si="20"/>
        <v>0</v>
      </c>
      <c r="S85" s="486">
        <f t="shared" si="18"/>
        <v>0</v>
      </c>
    </row>
    <row r="86" spans="2:19" x14ac:dyDescent="0.2">
      <c r="B86" s="495">
        <f t="shared" si="14"/>
        <v>2020</v>
      </c>
      <c r="C86" s="487">
        <f t="shared" si="15"/>
        <v>2</v>
      </c>
      <c r="D86" s="496">
        <v>43862</v>
      </c>
      <c r="E86" s="485">
        <f>SUMIFS('Desbalance - Diario'!$H$28:$H$970,'Desbalance - Diario'!$B$28:$B$970,'Desbalance - Mensual'!B86,'Desbalance - Diario'!$C$28:$C$970,'Desbalance - Mensual'!C86)</f>
        <v>0</v>
      </c>
      <c r="F86" s="485">
        <f>SUMIFS('Desbalance - Diario'!J$28:J$970,'Desbalance - Diario'!$B$28:$B$970,'Desbalance - Mensual'!$B86,'Desbalance - Diario'!$C$28:$C$970,'Desbalance - Mensual'!$C86)</f>
        <v>0</v>
      </c>
      <c r="G86" s="485">
        <f t="shared" si="16"/>
        <v>0</v>
      </c>
      <c r="H86" s="485">
        <f t="shared" si="19"/>
        <v>-696549.73974547407</v>
      </c>
      <c r="I86" s="487"/>
      <c r="J86" s="487"/>
      <c r="K86" s="486">
        <f t="shared" si="17"/>
        <v>0</v>
      </c>
      <c r="L86" s="480"/>
      <c r="M86" s="480"/>
      <c r="N86" s="480"/>
      <c r="O86" s="480"/>
      <c r="P86" s="480"/>
      <c r="Q86" s="484"/>
      <c r="R86" s="485">
        <f t="shared" si="20"/>
        <v>0</v>
      </c>
      <c r="S86" s="486">
        <f t="shared" si="18"/>
        <v>0</v>
      </c>
    </row>
    <row r="87" spans="2:19" x14ac:dyDescent="0.2">
      <c r="B87" s="495">
        <f t="shared" si="14"/>
        <v>2020</v>
      </c>
      <c r="C87" s="487">
        <f t="shared" si="15"/>
        <v>3</v>
      </c>
      <c r="D87" s="496">
        <v>43891</v>
      </c>
      <c r="E87" s="485">
        <f>SUMIFS('Desbalance - Diario'!$H$28:$H$970,'Desbalance - Diario'!$B$28:$B$970,'Desbalance - Mensual'!B87,'Desbalance - Diario'!$C$28:$C$970,'Desbalance - Mensual'!C87)</f>
        <v>0</v>
      </c>
      <c r="F87" s="485">
        <f>SUMIFS('Desbalance - Diario'!J$28:J$970,'Desbalance - Diario'!$B$28:$B$970,'Desbalance - Mensual'!$B87,'Desbalance - Diario'!$C$28:$C$970,'Desbalance - Mensual'!$C87)</f>
        <v>0</v>
      </c>
      <c r="G87" s="485">
        <f t="shared" si="16"/>
        <v>0</v>
      </c>
      <c r="H87" s="485">
        <f t="shared" si="19"/>
        <v>-696549.73974547407</v>
      </c>
      <c r="I87" s="487"/>
      <c r="J87" s="487"/>
      <c r="K87" s="486">
        <f t="shared" si="17"/>
        <v>0</v>
      </c>
      <c r="L87" s="480"/>
      <c r="M87" s="480"/>
      <c r="N87" s="480"/>
      <c r="O87" s="480"/>
      <c r="P87" s="480"/>
      <c r="Q87" s="484"/>
      <c r="R87" s="485">
        <f t="shared" si="20"/>
        <v>0</v>
      </c>
      <c r="S87" s="486">
        <f t="shared" si="18"/>
        <v>0</v>
      </c>
    </row>
    <row r="88" spans="2:19" x14ac:dyDescent="0.2">
      <c r="B88" s="495">
        <f t="shared" si="14"/>
        <v>2020</v>
      </c>
      <c r="C88" s="487">
        <f t="shared" si="15"/>
        <v>4</v>
      </c>
      <c r="D88" s="496">
        <v>43922</v>
      </c>
      <c r="E88" s="485">
        <f>SUMIFS('Desbalance - Diario'!$H$28:$H$970,'Desbalance - Diario'!$B$28:$B$970,'Desbalance - Mensual'!B88,'Desbalance - Diario'!$C$28:$C$970,'Desbalance - Mensual'!C88)</f>
        <v>0</v>
      </c>
      <c r="F88" s="485">
        <f>SUMIFS('Desbalance - Diario'!J$28:J$970,'Desbalance - Diario'!$B$28:$B$970,'Desbalance - Mensual'!$B88,'Desbalance - Diario'!$C$28:$C$970,'Desbalance - Mensual'!$C88)</f>
        <v>0</v>
      </c>
      <c r="G88" s="485">
        <f t="shared" si="16"/>
        <v>0</v>
      </c>
      <c r="H88" s="485">
        <f t="shared" si="19"/>
        <v>-696549.73974547407</v>
      </c>
      <c r="I88" s="487"/>
      <c r="J88" s="487"/>
      <c r="K88" s="486">
        <f t="shared" si="17"/>
        <v>0</v>
      </c>
      <c r="L88" s="480"/>
      <c r="M88" s="480"/>
      <c r="N88" s="480"/>
      <c r="O88" s="480"/>
      <c r="P88" s="480"/>
      <c r="Q88" s="484"/>
      <c r="R88" s="485">
        <f t="shared" si="20"/>
        <v>0</v>
      </c>
      <c r="S88" s="486">
        <f t="shared" si="18"/>
        <v>0</v>
      </c>
    </row>
    <row r="89" spans="2:19" x14ac:dyDescent="0.2">
      <c r="B89" s="495">
        <f t="shared" si="14"/>
        <v>2020</v>
      </c>
      <c r="C89" s="487">
        <f t="shared" si="15"/>
        <v>5</v>
      </c>
      <c r="D89" s="496">
        <v>43952</v>
      </c>
      <c r="E89" s="485">
        <f>SUMIFS('Desbalance - Diario'!$H$28:$H$970,'Desbalance - Diario'!$B$28:$B$970,'Desbalance - Mensual'!B89,'Desbalance - Diario'!$C$28:$C$970,'Desbalance - Mensual'!C89)</f>
        <v>0</v>
      </c>
      <c r="F89" s="485">
        <f>SUMIFS('Desbalance - Diario'!J$28:J$970,'Desbalance - Diario'!$B$28:$B$970,'Desbalance - Mensual'!$B89,'Desbalance - Diario'!$C$28:$C$970,'Desbalance - Mensual'!$C89)</f>
        <v>0</v>
      </c>
      <c r="G89" s="485">
        <f t="shared" si="16"/>
        <v>0</v>
      </c>
      <c r="H89" s="485">
        <f t="shared" si="19"/>
        <v>-696549.73974547407</v>
      </c>
      <c r="I89" s="487"/>
      <c r="J89" s="487"/>
      <c r="K89" s="486">
        <f t="shared" si="17"/>
        <v>0</v>
      </c>
      <c r="L89" s="480"/>
      <c r="M89" s="480"/>
      <c r="N89" s="480"/>
      <c r="O89" s="480"/>
      <c r="P89" s="480"/>
      <c r="Q89" s="484"/>
      <c r="R89" s="485">
        <f t="shared" si="20"/>
        <v>0</v>
      </c>
      <c r="S89" s="486">
        <f t="shared" si="18"/>
        <v>0</v>
      </c>
    </row>
    <row r="90" spans="2:19" x14ac:dyDescent="0.2">
      <c r="B90" s="495">
        <f t="shared" si="14"/>
        <v>2020</v>
      </c>
      <c r="C90" s="487">
        <f t="shared" si="15"/>
        <v>6</v>
      </c>
      <c r="D90" s="496">
        <v>43983</v>
      </c>
      <c r="E90" s="485">
        <f>SUMIFS('Desbalance - Diario'!$H$28:$H$970,'Desbalance - Diario'!$B$28:$B$970,'Desbalance - Mensual'!B90,'Desbalance - Diario'!$C$28:$C$970,'Desbalance - Mensual'!C90)</f>
        <v>0</v>
      </c>
      <c r="F90" s="485">
        <f>SUMIFS('Desbalance - Diario'!J$28:J$970,'Desbalance - Diario'!$B$28:$B$970,'Desbalance - Mensual'!$B90,'Desbalance - Diario'!$C$28:$C$970,'Desbalance - Mensual'!$C90)</f>
        <v>0</v>
      </c>
      <c r="G90" s="485">
        <f t="shared" si="16"/>
        <v>0</v>
      </c>
      <c r="H90" s="485">
        <f t="shared" si="19"/>
        <v>-696549.73974547407</v>
      </c>
      <c r="I90" s="487"/>
      <c r="J90" s="487"/>
      <c r="K90" s="486">
        <f t="shared" si="17"/>
        <v>0</v>
      </c>
      <c r="L90" s="480"/>
      <c r="M90" s="480"/>
      <c r="N90" s="480"/>
      <c r="O90" s="480"/>
      <c r="P90" s="480"/>
      <c r="Q90" s="484"/>
      <c r="R90" s="485">
        <f t="shared" si="20"/>
        <v>0</v>
      </c>
      <c r="S90" s="486">
        <f t="shared" si="18"/>
        <v>0</v>
      </c>
    </row>
    <row r="91" spans="2:19" x14ac:dyDescent="0.2">
      <c r="B91" s="495">
        <f t="shared" si="14"/>
        <v>2020</v>
      </c>
      <c r="C91" s="487">
        <f t="shared" si="15"/>
        <v>7</v>
      </c>
      <c r="D91" s="496">
        <v>44013</v>
      </c>
      <c r="E91" s="485">
        <f>SUMIFS('Desbalance - Diario'!$H$28:$H$970,'Desbalance - Diario'!$B$28:$B$970,'Desbalance - Mensual'!B91,'Desbalance - Diario'!$C$28:$C$970,'Desbalance - Mensual'!C91)</f>
        <v>0</v>
      </c>
      <c r="F91" s="485">
        <f>SUMIFS('Desbalance - Diario'!J$28:J$970,'Desbalance - Diario'!$B$28:$B$970,'Desbalance - Mensual'!$B91,'Desbalance - Diario'!$C$28:$C$970,'Desbalance - Mensual'!$C91)</f>
        <v>0</v>
      </c>
      <c r="G91" s="485">
        <f t="shared" si="16"/>
        <v>0</v>
      </c>
      <c r="H91" s="485">
        <f t="shared" si="19"/>
        <v>-696549.73974547407</v>
      </c>
      <c r="I91" s="487"/>
      <c r="J91" s="487"/>
      <c r="K91" s="486">
        <f t="shared" si="17"/>
        <v>0</v>
      </c>
      <c r="L91" s="480"/>
      <c r="M91" s="480"/>
      <c r="N91" s="480"/>
      <c r="O91" s="480"/>
      <c r="P91" s="480"/>
      <c r="Q91" s="484"/>
      <c r="R91" s="485">
        <f t="shared" si="20"/>
        <v>0</v>
      </c>
      <c r="S91" s="486">
        <f t="shared" si="18"/>
        <v>0</v>
      </c>
    </row>
    <row r="92" spans="2:19" x14ac:dyDescent="0.2">
      <c r="B92" s="495">
        <f t="shared" si="14"/>
        <v>2020</v>
      </c>
      <c r="C92" s="487">
        <f t="shared" si="15"/>
        <v>8</v>
      </c>
      <c r="D92" s="496">
        <v>44044</v>
      </c>
      <c r="E92" s="485">
        <f>SUMIFS('Desbalance - Diario'!$H$28:$H$970,'Desbalance - Diario'!$B$28:$B$970,'Desbalance - Mensual'!B92,'Desbalance - Diario'!$C$28:$C$970,'Desbalance - Mensual'!C92)</f>
        <v>0</v>
      </c>
      <c r="F92" s="485">
        <f>SUMIFS('Desbalance - Diario'!J$28:J$970,'Desbalance - Diario'!$B$28:$B$970,'Desbalance - Mensual'!$B92,'Desbalance - Diario'!$C$28:$C$970,'Desbalance - Mensual'!$C92)</f>
        <v>0</v>
      </c>
      <c r="G92" s="485">
        <f t="shared" si="16"/>
        <v>0</v>
      </c>
      <c r="H92" s="485">
        <f t="shared" si="19"/>
        <v>-696549.73974547407</v>
      </c>
      <c r="I92" s="487"/>
      <c r="J92" s="487"/>
      <c r="K92" s="486">
        <f t="shared" si="17"/>
        <v>0</v>
      </c>
      <c r="L92" s="480"/>
      <c r="M92" s="480"/>
      <c r="N92" s="480"/>
      <c r="O92" s="480"/>
      <c r="P92" s="480"/>
      <c r="Q92" s="484"/>
      <c r="R92" s="485">
        <f t="shared" si="20"/>
        <v>0</v>
      </c>
      <c r="S92" s="486">
        <f t="shared" si="18"/>
        <v>0</v>
      </c>
    </row>
    <row r="93" spans="2:19" x14ac:dyDescent="0.2">
      <c r="B93" s="495">
        <f t="shared" si="14"/>
        <v>2020</v>
      </c>
      <c r="C93" s="487">
        <f t="shared" si="15"/>
        <v>9</v>
      </c>
      <c r="D93" s="496">
        <v>44075</v>
      </c>
      <c r="E93" s="485">
        <f>SUMIFS('Desbalance - Diario'!$H$28:$H$970,'Desbalance - Diario'!$B$28:$B$970,'Desbalance - Mensual'!B93,'Desbalance - Diario'!$C$28:$C$970,'Desbalance - Mensual'!C93)</f>
        <v>0</v>
      </c>
      <c r="F93" s="485">
        <f>SUMIFS('Desbalance - Diario'!J$28:J$970,'Desbalance - Diario'!$B$28:$B$970,'Desbalance - Mensual'!$B93,'Desbalance - Diario'!$C$28:$C$970,'Desbalance - Mensual'!$C93)</f>
        <v>0</v>
      </c>
      <c r="G93" s="485">
        <f t="shared" si="16"/>
        <v>0</v>
      </c>
      <c r="H93" s="485">
        <f t="shared" si="19"/>
        <v>-696549.73974547407</v>
      </c>
      <c r="I93" s="487"/>
      <c r="J93" s="487"/>
      <c r="K93" s="486">
        <f t="shared" si="17"/>
        <v>0</v>
      </c>
      <c r="L93" s="480"/>
      <c r="M93" s="480"/>
      <c r="N93" s="480"/>
      <c r="O93" s="480"/>
      <c r="P93" s="480"/>
      <c r="Q93" s="484"/>
      <c r="R93" s="485">
        <f t="shared" si="20"/>
        <v>0</v>
      </c>
      <c r="S93" s="486">
        <f t="shared" si="18"/>
        <v>0</v>
      </c>
    </row>
    <row r="94" spans="2:19" x14ac:dyDescent="0.2">
      <c r="B94" s="495">
        <f t="shared" si="14"/>
        <v>2020</v>
      </c>
      <c r="C94" s="487">
        <f t="shared" si="15"/>
        <v>10</v>
      </c>
      <c r="D94" s="496">
        <v>44105</v>
      </c>
      <c r="E94" s="485">
        <f>SUMIFS('Desbalance - Diario'!$H$28:$H$970,'Desbalance - Diario'!$B$28:$B$970,'Desbalance - Mensual'!B94,'Desbalance - Diario'!$C$28:$C$970,'Desbalance - Mensual'!C94)</f>
        <v>0</v>
      </c>
      <c r="F94" s="485">
        <f>SUMIFS('Desbalance - Diario'!J$28:J$970,'Desbalance - Diario'!$B$28:$B$970,'Desbalance - Mensual'!$B94,'Desbalance - Diario'!$C$28:$C$970,'Desbalance - Mensual'!$C94)</f>
        <v>0</v>
      </c>
      <c r="G94" s="485">
        <f t="shared" si="16"/>
        <v>0</v>
      </c>
      <c r="H94" s="485">
        <f t="shared" si="19"/>
        <v>-696549.73974547407</v>
      </c>
      <c r="I94" s="487"/>
      <c r="J94" s="487"/>
      <c r="K94" s="486">
        <f t="shared" si="17"/>
        <v>0</v>
      </c>
      <c r="L94" s="480"/>
      <c r="M94" s="480"/>
      <c r="N94" s="480"/>
      <c r="O94" s="480"/>
      <c r="P94" s="480"/>
      <c r="Q94" s="484"/>
      <c r="R94" s="485">
        <f t="shared" si="20"/>
        <v>0</v>
      </c>
      <c r="S94" s="486">
        <f t="shared" si="18"/>
        <v>0</v>
      </c>
    </row>
    <row r="95" spans="2:19" x14ac:dyDescent="0.2">
      <c r="B95" s="495">
        <f t="shared" si="14"/>
        <v>2020</v>
      </c>
      <c r="C95" s="487">
        <f t="shared" si="15"/>
        <v>11</v>
      </c>
      <c r="D95" s="496">
        <v>44136</v>
      </c>
      <c r="E95" s="485">
        <f>SUMIFS('Desbalance - Diario'!$H$28:$H$970,'Desbalance - Diario'!$B$28:$B$970,'Desbalance - Mensual'!B95,'Desbalance - Diario'!$C$28:$C$970,'Desbalance - Mensual'!C95)</f>
        <v>0</v>
      </c>
      <c r="F95" s="485">
        <f>SUMIFS('Desbalance - Diario'!J$28:J$970,'Desbalance - Diario'!$B$28:$B$970,'Desbalance - Mensual'!$B95,'Desbalance - Diario'!$C$28:$C$970,'Desbalance - Mensual'!$C95)</f>
        <v>0</v>
      </c>
      <c r="G95" s="485">
        <f t="shared" si="16"/>
        <v>0</v>
      </c>
      <c r="H95" s="485">
        <f t="shared" si="19"/>
        <v>-696549.73974547407</v>
      </c>
      <c r="I95" s="487"/>
      <c r="J95" s="487"/>
      <c r="K95" s="486">
        <f t="shared" si="17"/>
        <v>0</v>
      </c>
      <c r="L95" s="480"/>
      <c r="M95" s="480"/>
      <c r="N95" s="480"/>
      <c r="O95" s="480"/>
      <c r="P95" s="480"/>
      <c r="Q95" s="484"/>
      <c r="R95" s="485">
        <f t="shared" si="20"/>
        <v>0</v>
      </c>
      <c r="S95" s="486">
        <f t="shared" si="18"/>
        <v>0</v>
      </c>
    </row>
    <row r="96" spans="2:19" x14ac:dyDescent="0.2">
      <c r="B96" s="495">
        <f t="shared" si="14"/>
        <v>2020</v>
      </c>
      <c r="C96" s="487">
        <f t="shared" si="15"/>
        <v>12</v>
      </c>
      <c r="D96" s="496">
        <v>44166</v>
      </c>
      <c r="E96" s="485">
        <f>SUMIFS('Desbalance - Diario'!$H$28:$H$970,'Desbalance - Diario'!$B$28:$B$970,'Desbalance - Mensual'!B96,'Desbalance - Diario'!$C$28:$C$970,'Desbalance - Mensual'!C96)</f>
        <v>0</v>
      </c>
      <c r="F96" s="485">
        <f>SUMIFS('Desbalance - Diario'!J$28:J$970,'Desbalance - Diario'!$B$28:$B$970,'Desbalance - Mensual'!$B96,'Desbalance - Diario'!$C$28:$C$970,'Desbalance - Mensual'!$C96)</f>
        <v>0</v>
      </c>
      <c r="G96" s="485">
        <f t="shared" si="16"/>
        <v>0</v>
      </c>
      <c r="H96" s="485">
        <f t="shared" si="19"/>
        <v>-696549.73974547407</v>
      </c>
      <c r="I96" s="487"/>
      <c r="J96" s="487"/>
      <c r="K96" s="486">
        <f t="shared" si="17"/>
        <v>0</v>
      </c>
      <c r="L96" s="480"/>
      <c r="M96" s="480"/>
      <c r="N96" s="480"/>
      <c r="O96" s="480"/>
      <c r="P96" s="480"/>
      <c r="Q96" s="484"/>
      <c r="R96" s="485">
        <f t="shared" si="20"/>
        <v>0</v>
      </c>
      <c r="S96" s="486">
        <f t="shared" si="18"/>
        <v>0</v>
      </c>
    </row>
    <row r="97" spans="2:19" x14ac:dyDescent="0.2">
      <c r="B97" s="495">
        <f t="shared" si="14"/>
        <v>2021</v>
      </c>
      <c r="C97" s="487">
        <f t="shared" si="15"/>
        <v>1</v>
      </c>
      <c r="D97" s="496">
        <v>44197</v>
      </c>
      <c r="E97" s="485">
        <f>SUMIFS('Desbalance - Diario'!$H$28:$H$970,'Desbalance - Diario'!$B$28:$B$970,'Desbalance - Mensual'!B97,'Desbalance - Diario'!$C$28:$C$970,'Desbalance - Mensual'!C97)</f>
        <v>0</v>
      </c>
      <c r="F97" s="485">
        <f>SUMIFS('Desbalance - Diario'!J$28:J$970,'Desbalance - Diario'!$B$28:$B$970,'Desbalance - Mensual'!$B97,'Desbalance - Diario'!$C$28:$C$970,'Desbalance - Mensual'!$C97)</f>
        <v>0</v>
      </c>
      <c r="G97" s="485">
        <f t="shared" si="16"/>
        <v>0</v>
      </c>
      <c r="H97" s="485">
        <f t="shared" si="19"/>
        <v>-696549.73974547407</v>
      </c>
      <c r="I97" s="487"/>
      <c r="J97" s="487"/>
      <c r="K97" s="486">
        <f t="shared" si="17"/>
        <v>0</v>
      </c>
      <c r="L97" s="480"/>
      <c r="M97" s="480"/>
      <c r="N97" s="480"/>
      <c r="O97" s="480"/>
      <c r="P97" s="480"/>
      <c r="Q97" s="484"/>
      <c r="R97" s="485">
        <f t="shared" si="20"/>
        <v>0</v>
      </c>
      <c r="S97" s="486">
        <f t="shared" si="18"/>
        <v>0</v>
      </c>
    </row>
    <row r="98" spans="2:19" x14ac:dyDescent="0.2">
      <c r="B98" s="495">
        <f t="shared" si="14"/>
        <v>2021</v>
      </c>
      <c r="C98" s="487">
        <f t="shared" si="15"/>
        <v>2</v>
      </c>
      <c r="D98" s="496">
        <v>44228</v>
      </c>
      <c r="E98" s="485">
        <f>SUMIFS('Desbalance - Diario'!$H$28:$H$970,'Desbalance - Diario'!$B$28:$B$970,'Desbalance - Mensual'!B98,'Desbalance - Diario'!$C$28:$C$970,'Desbalance - Mensual'!C98)</f>
        <v>0</v>
      </c>
      <c r="F98" s="485">
        <f>SUMIFS('Desbalance - Diario'!J$28:J$970,'Desbalance - Diario'!$B$28:$B$970,'Desbalance - Mensual'!$B98,'Desbalance - Diario'!$C$28:$C$970,'Desbalance - Mensual'!$C98)</f>
        <v>0</v>
      </c>
      <c r="G98" s="485">
        <f t="shared" si="16"/>
        <v>0</v>
      </c>
      <c r="H98" s="485">
        <f t="shared" si="19"/>
        <v>-696549.73974547407</v>
      </c>
      <c r="I98" s="487"/>
      <c r="J98" s="487"/>
      <c r="K98" s="486">
        <f t="shared" si="17"/>
        <v>0</v>
      </c>
      <c r="L98" s="480"/>
      <c r="M98" s="480"/>
      <c r="N98" s="480"/>
      <c r="O98" s="480"/>
      <c r="P98" s="480"/>
      <c r="Q98" s="484"/>
      <c r="R98" s="485">
        <f t="shared" si="20"/>
        <v>0</v>
      </c>
      <c r="S98" s="486">
        <f t="shared" si="18"/>
        <v>0</v>
      </c>
    </row>
    <row r="99" spans="2:19" x14ac:dyDescent="0.2">
      <c r="B99" s="495">
        <f t="shared" si="14"/>
        <v>2021</v>
      </c>
      <c r="C99" s="487">
        <f t="shared" si="15"/>
        <v>3</v>
      </c>
      <c r="D99" s="496">
        <v>44256</v>
      </c>
      <c r="E99" s="485">
        <f>SUMIFS('Desbalance - Diario'!$H$28:$H$970,'Desbalance - Diario'!$B$28:$B$970,'Desbalance - Mensual'!B99,'Desbalance - Diario'!$C$28:$C$970,'Desbalance - Mensual'!C99)</f>
        <v>0</v>
      </c>
      <c r="F99" s="485">
        <f>SUMIFS('Desbalance - Diario'!J$28:J$970,'Desbalance - Diario'!$B$28:$B$970,'Desbalance - Mensual'!$B99,'Desbalance - Diario'!$C$28:$C$970,'Desbalance - Mensual'!$C99)</f>
        <v>0</v>
      </c>
      <c r="G99" s="485">
        <f t="shared" si="16"/>
        <v>0</v>
      </c>
      <c r="H99" s="485">
        <f t="shared" si="19"/>
        <v>-696549.73974547407</v>
      </c>
      <c r="I99" s="487"/>
      <c r="J99" s="487"/>
      <c r="K99" s="486">
        <f t="shared" si="17"/>
        <v>0</v>
      </c>
      <c r="L99" s="480"/>
      <c r="M99" s="480"/>
      <c r="N99" s="480"/>
      <c r="O99" s="480"/>
      <c r="P99" s="480"/>
      <c r="Q99" s="484"/>
      <c r="R99" s="485">
        <f t="shared" si="20"/>
        <v>0</v>
      </c>
      <c r="S99" s="486">
        <f t="shared" si="18"/>
        <v>0</v>
      </c>
    </row>
    <row r="100" spans="2:19" x14ac:dyDescent="0.2">
      <c r="B100" s="495">
        <f t="shared" si="14"/>
        <v>2021</v>
      </c>
      <c r="C100" s="487">
        <f t="shared" si="15"/>
        <v>4</v>
      </c>
      <c r="D100" s="496">
        <v>44287</v>
      </c>
      <c r="E100" s="485">
        <f>SUMIFS('Desbalance - Diario'!$H$28:$H$970,'Desbalance - Diario'!$B$28:$B$970,'Desbalance - Mensual'!B100,'Desbalance - Diario'!$C$28:$C$970,'Desbalance - Mensual'!C100)</f>
        <v>0</v>
      </c>
      <c r="F100" s="485">
        <f>SUMIFS('Desbalance - Diario'!J$28:J$970,'Desbalance - Diario'!$B$28:$B$970,'Desbalance - Mensual'!$B100,'Desbalance - Diario'!$C$28:$C$970,'Desbalance - Mensual'!$C100)</f>
        <v>0</v>
      </c>
      <c r="G100" s="485">
        <f t="shared" si="16"/>
        <v>0</v>
      </c>
      <c r="H100" s="485">
        <f t="shared" si="19"/>
        <v>-696549.73974547407</v>
      </c>
      <c r="I100" s="487"/>
      <c r="J100" s="487"/>
      <c r="K100" s="486">
        <f t="shared" si="17"/>
        <v>0</v>
      </c>
      <c r="L100" s="480"/>
      <c r="M100" s="480"/>
      <c r="N100" s="480"/>
      <c r="O100" s="480"/>
      <c r="P100" s="480"/>
      <c r="Q100" s="484"/>
      <c r="R100" s="485">
        <f t="shared" si="20"/>
        <v>0</v>
      </c>
      <c r="S100" s="486">
        <f t="shared" si="18"/>
        <v>0</v>
      </c>
    </row>
    <row r="101" spans="2:19" x14ac:dyDescent="0.2">
      <c r="B101" s="495">
        <f t="shared" si="14"/>
        <v>2021</v>
      </c>
      <c r="C101" s="487">
        <f t="shared" si="15"/>
        <v>5</v>
      </c>
      <c r="D101" s="496">
        <v>44317</v>
      </c>
      <c r="E101" s="485">
        <f>SUMIFS('Desbalance - Diario'!$H$28:$H$970,'Desbalance - Diario'!$B$28:$B$970,'Desbalance - Mensual'!B101,'Desbalance - Diario'!$C$28:$C$970,'Desbalance - Mensual'!C101)</f>
        <v>0</v>
      </c>
      <c r="F101" s="485">
        <f>SUMIFS('Desbalance - Diario'!J$28:J$970,'Desbalance - Diario'!$B$28:$B$970,'Desbalance - Mensual'!$B101,'Desbalance - Diario'!$C$28:$C$970,'Desbalance - Mensual'!$C101)</f>
        <v>0</v>
      </c>
      <c r="G101" s="485">
        <f t="shared" si="16"/>
        <v>0</v>
      </c>
      <c r="H101" s="485">
        <f t="shared" si="19"/>
        <v>-696549.73974547407</v>
      </c>
      <c r="I101" s="487"/>
      <c r="J101" s="487"/>
      <c r="K101" s="486">
        <f t="shared" si="17"/>
        <v>0</v>
      </c>
      <c r="L101" s="480"/>
      <c r="M101" s="480"/>
      <c r="N101" s="480"/>
      <c r="O101" s="480"/>
      <c r="P101" s="480"/>
      <c r="Q101" s="484"/>
      <c r="R101" s="485">
        <f t="shared" si="20"/>
        <v>0</v>
      </c>
      <c r="S101" s="486">
        <f t="shared" si="18"/>
        <v>0</v>
      </c>
    </row>
    <row r="102" spans="2:19" x14ac:dyDescent="0.2">
      <c r="B102" s="495">
        <f t="shared" si="14"/>
        <v>2021</v>
      </c>
      <c r="C102" s="487">
        <f t="shared" si="15"/>
        <v>6</v>
      </c>
      <c r="D102" s="496">
        <v>44348</v>
      </c>
      <c r="E102" s="485">
        <f>SUMIFS('Desbalance - Diario'!$H$28:$H$970,'Desbalance - Diario'!$B$28:$B$970,'Desbalance - Mensual'!B102,'Desbalance - Diario'!$C$28:$C$970,'Desbalance - Mensual'!C102)</f>
        <v>0</v>
      </c>
      <c r="F102" s="485">
        <f>SUMIFS('Desbalance - Diario'!J$28:J$970,'Desbalance - Diario'!$B$28:$B$970,'Desbalance - Mensual'!$B102,'Desbalance - Diario'!$C$28:$C$970,'Desbalance - Mensual'!$C102)</f>
        <v>0</v>
      </c>
      <c r="G102" s="485">
        <f t="shared" si="16"/>
        <v>0</v>
      </c>
      <c r="H102" s="485">
        <f t="shared" si="19"/>
        <v>-696549.73974547407</v>
      </c>
      <c r="I102" s="487"/>
      <c r="J102" s="487"/>
      <c r="K102" s="486">
        <f t="shared" si="17"/>
        <v>0</v>
      </c>
      <c r="L102" s="480"/>
      <c r="M102" s="480"/>
      <c r="N102" s="480"/>
      <c r="O102" s="480"/>
      <c r="P102" s="480"/>
      <c r="Q102" s="484"/>
      <c r="R102" s="485">
        <f t="shared" si="20"/>
        <v>0</v>
      </c>
      <c r="S102" s="486">
        <f t="shared" si="18"/>
        <v>0</v>
      </c>
    </row>
    <row r="103" spans="2:19" x14ac:dyDescent="0.2">
      <c r="B103" s="495">
        <f t="shared" si="14"/>
        <v>2021</v>
      </c>
      <c r="C103" s="487">
        <f t="shared" si="15"/>
        <v>7</v>
      </c>
      <c r="D103" s="496">
        <v>44378</v>
      </c>
      <c r="E103" s="485">
        <f>SUMIFS('Desbalance - Diario'!$H$28:$H$970,'Desbalance - Diario'!$B$28:$B$970,'Desbalance - Mensual'!B103,'Desbalance - Diario'!$C$28:$C$970,'Desbalance - Mensual'!C103)</f>
        <v>0</v>
      </c>
      <c r="F103" s="485">
        <f>SUMIFS('Desbalance - Diario'!J$28:J$970,'Desbalance - Diario'!$B$28:$B$970,'Desbalance - Mensual'!$B103,'Desbalance - Diario'!$C$28:$C$970,'Desbalance - Mensual'!$C103)</f>
        <v>0</v>
      </c>
      <c r="G103" s="485">
        <f t="shared" si="16"/>
        <v>0</v>
      </c>
      <c r="H103" s="485">
        <f t="shared" si="19"/>
        <v>-696549.73974547407</v>
      </c>
      <c r="I103" s="487"/>
      <c r="J103" s="487"/>
      <c r="K103" s="486">
        <f t="shared" si="17"/>
        <v>0</v>
      </c>
      <c r="L103" s="480"/>
      <c r="M103" s="480"/>
      <c r="N103" s="480"/>
      <c r="O103" s="480"/>
      <c r="P103" s="480"/>
      <c r="Q103" s="484"/>
      <c r="R103" s="485">
        <f t="shared" si="20"/>
        <v>0</v>
      </c>
      <c r="S103" s="486">
        <f t="shared" si="18"/>
        <v>0</v>
      </c>
    </row>
    <row r="104" spans="2:19" x14ac:dyDescent="0.2">
      <c r="B104" s="495">
        <f t="shared" ref="B104:B116" si="21">YEAR(D104)</f>
        <v>2021</v>
      </c>
      <c r="C104" s="487">
        <f t="shared" ref="C104:C116" si="22">MONTH(D104)</f>
        <v>8</v>
      </c>
      <c r="D104" s="496">
        <v>44409</v>
      </c>
      <c r="E104" s="485">
        <f>SUMIFS('Desbalance - Diario'!$H$28:$H$970,'Desbalance - Diario'!$B$28:$B$970,'Desbalance - Mensual'!B104,'Desbalance - Diario'!$C$28:$C$970,'Desbalance - Mensual'!C104)</f>
        <v>0</v>
      </c>
      <c r="F104" s="485">
        <f>SUMIFS('Desbalance - Diario'!J$28:J$970,'Desbalance - Diario'!$B$28:$B$970,'Desbalance - Mensual'!$B104,'Desbalance - Diario'!$C$28:$C$970,'Desbalance - Mensual'!$C104)</f>
        <v>0</v>
      </c>
      <c r="G104" s="485">
        <f t="shared" ref="G104:G116" si="23">E104-F104</f>
        <v>0</v>
      </c>
      <c r="H104" s="485">
        <f t="shared" si="19"/>
        <v>-696549.73974547407</v>
      </c>
      <c r="I104" s="487"/>
      <c r="J104" s="487"/>
      <c r="K104" s="486">
        <f t="shared" ref="K104:K116" si="24">E104-J104</f>
        <v>0</v>
      </c>
      <c r="L104" s="480"/>
      <c r="M104" s="480"/>
      <c r="N104" s="480"/>
      <c r="O104" s="480"/>
      <c r="P104" s="480"/>
      <c r="Q104" s="484"/>
      <c r="R104" s="485">
        <f t="shared" si="20"/>
        <v>0</v>
      </c>
      <c r="S104" s="486">
        <f t="shared" ref="S104:S116" si="25">F104-R104</f>
        <v>0</v>
      </c>
    </row>
    <row r="105" spans="2:19" x14ac:dyDescent="0.2">
      <c r="B105" s="495">
        <f t="shared" si="21"/>
        <v>2021</v>
      </c>
      <c r="C105" s="487">
        <f t="shared" si="22"/>
        <v>9</v>
      </c>
      <c r="D105" s="496">
        <v>44440</v>
      </c>
      <c r="E105" s="485">
        <f>SUMIFS('Desbalance - Diario'!$H$28:$H$970,'Desbalance - Diario'!$B$28:$B$970,'Desbalance - Mensual'!B105,'Desbalance - Diario'!$C$28:$C$970,'Desbalance - Mensual'!C105)</f>
        <v>0</v>
      </c>
      <c r="F105" s="485">
        <f>SUMIFS('Desbalance - Diario'!J$28:J$970,'Desbalance - Diario'!$B$28:$B$970,'Desbalance - Mensual'!$B105,'Desbalance - Diario'!$C$28:$C$970,'Desbalance - Mensual'!$C105)</f>
        <v>0</v>
      </c>
      <c r="G105" s="485">
        <f t="shared" si="23"/>
        <v>0</v>
      </c>
      <c r="H105" s="485">
        <f t="shared" ref="H105:H116" si="26">G105+H104</f>
        <v>-696549.73974547407</v>
      </c>
      <c r="I105" s="487"/>
      <c r="J105" s="487"/>
      <c r="K105" s="486">
        <f t="shared" si="24"/>
        <v>0</v>
      </c>
      <c r="L105" s="480"/>
      <c r="M105" s="480"/>
      <c r="N105" s="480"/>
      <c r="O105" s="480"/>
      <c r="P105" s="480"/>
      <c r="Q105" s="484"/>
      <c r="R105" s="485">
        <f t="shared" si="20"/>
        <v>0</v>
      </c>
      <c r="S105" s="486">
        <f t="shared" si="25"/>
        <v>0</v>
      </c>
    </row>
    <row r="106" spans="2:19" x14ac:dyDescent="0.2">
      <c r="B106" s="495">
        <f t="shared" si="21"/>
        <v>2021</v>
      </c>
      <c r="C106" s="487">
        <f t="shared" si="22"/>
        <v>10</v>
      </c>
      <c r="D106" s="496">
        <v>44470</v>
      </c>
      <c r="E106" s="485">
        <f>SUMIFS('Desbalance - Diario'!$H$28:$H$970,'Desbalance - Diario'!$B$28:$B$970,'Desbalance - Mensual'!B106,'Desbalance - Diario'!$C$28:$C$970,'Desbalance - Mensual'!C106)</f>
        <v>0</v>
      </c>
      <c r="F106" s="485">
        <f>SUMIFS('Desbalance - Diario'!J$28:J$970,'Desbalance - Diario'!$B$28:$B$970,'Desbalance - Mensual'!$B106,'Desbalance - Diario'!$C$28:$C$970,'Desbalance - Mensual'!$C106)</f>
        <v>0</v>
      </c>
      <c r="G106" s="485">
        <f t="shared" si="23"/>
        <v>0</v>
      </c>
      <c r="H106" s="485">
        <f t="shared" si="26"/>
        <v>-696549.73974547407</v>
      </c>
      <c r="I106" s="487"/>
      <c r="J106" s="487"/>
      <c r="K106" s="486">
        <f t="shared" si="24"/>
        <v>0</v>
      </c>
      <c r="L106" s="480"/>
      <c r="M106" s="480"/>
      <c r="N106" s="480"/>
      <c r="O106" s="480"/>
      <c r="P106" s="480"/>
      <c r="Q106" s="484"/>
      <c r="R106" s="485">
        <f t="shared" si="20"/>
        <v>0</v>
      </c>
      <c r="S106" s="486">
        <f t="shared" si="25"/>
        <v>0</v>
      </c>
    </row>
    <row r="107" spans="2:19" x14ac:dyDescent="0.2">
      <c r="B107" s="495">
        <f t="shared" si="21"/>
        <v>2021</v>
      </c>
      <c r="C107" s="487">
        <f t="shared" si="22"/>
        <v>11</v>
      </c>
      <c r="D107" s="496">
        <v>44501</v>
      </c>
      <c r="E107" s="485">
        <f>SUMIFS('Desbalance - Diario'!$H$28:$H$970,'Desbalance - Diario'!$B$28:$B$970,'Desbalance - Mensual'!B107,'Desbalance - Diario'!$C$28:$C$970,'Desbalance - Mensual'!C107)</f>
        <v>0</v>
      </c>
      <c r="F107" s="485">
        <f>SUMIFS('Desbalance - Diario'!J$28:J$970,'Desbalance - Diario'!$B$28:$B$970,'Desbalance - Mensual'!$B107,'Desbalance - Diario'!$C$28:$C$970,'Desbalance - Mensual'!$C107)</f>
        <v>0</v>
      </c>
      <c r="G107" s="485">
        <f t="shared" si="23"/>
        <v>0</v>
      </c>
      <c r="H107" s="485">
        <f t="shared" si="26"/>
        <v>-696549.73974547407</v>
      </c>
      <c r="I107" s="487"/>
      <c r="J107" s="487"/>
      <c r="K107" s="486">
        <f t="shared" si="24"/>
        <v>0</v>
      </c>
      <c r="L107" s="480"/>
      <c r="M107" s="480"/>
      <c r="N107" s="480"/>
      <c r="O107" s="480"/>
      <c r="P107" s="480"/>
      <c r="Q107" s="484"/>
      <c r="R107" s="485">
        <f t="shared" si="20"/>
        <v>0</v>
      </c>
      <c r="S107" s="486">
        <f t="shared" si="25"/>
        <v>0</v>
      </c>
    </row>
    <row r="108" spans="2:19" x14ac:dyDescent="0.2">
      <c r="B108" s="495">
        <f t="shared" si="21"/>
        <v>2021</v>
      </c>
      <c r="C108" s="487">
        <f t="shared" si="22"/>
        <v>12</v>
      </c>
      <c r="D108" s="496">
        <v>44531</v>
      </c>
      <c r="E108" s="485">
        <f>SUMIFS('Desbalance - Diario'!$H$28:$H$970,'Desbalance - Diario'!$B$28:$B$970,'Desbalance - Mensual'!B108,'Desbalance - Diario'!$C$28:$C$970,'Desbalance - Mensual'!C108)</f>
        <v>0</v>
      </c>
      <c r="F108" s="485">
        <f>SUMIFS('Desbalance - Diario'!J$28:J$970,'Desbalance - Diario'!$B$28:$B$970,'Desbalance - Mensual'!$B108,'Desbalance - Diario'!$C$28:$C$970,'Desbalance - Mensual'!$C108)</f>
        <v>0</v>
      </c>
      <c r="G108" s="485">
        <f t="shared" si="23"/>
        <v>0</v>
      </c>
      <c r="H108" s="485">
        <f t="shared" si="26"/>
        <v>-696549.73974547407</v>
      </c>
      <c r="I108" s="487"/>
      <c r="J108" s="487"/>
      <c r="K108" s="486">
        <f t="shared" si="24"/>
        <v>0</v>
      </c>
      <c r="L108" s="480"/>
      <c r="M108" s="480"/>
      <c r="N108" s="480"/>
      <c r="O108" s="480"/>
      <c r="P108" s="480"/>
      <c r="Q108" s="484"/>
      <c r="R108" s="485">
        <f t="shared" si="20"/>
        <v>0</v>
      </c>
      <c r="S108" s="486">
        <f t="shared" si="25"/>
        <v>0</v>
      </c>
    </row>
    <row r="109" spans="2:19" x14ac:dyDescent="0.2">
      <c r="B109" s="495">
        <f t="shared" si="21"/>
        <v>2022</v>
      </c>
      <c r="C109" s="487">
        <f t="shared" si="22"/>
        <v>1</v>
      </c>
      <c r="D109" s="496">
        <v>44562</v>
      </c>
      <c r="E109" s="485">
        <f>SUMIFS('Desbalance - Diario'!$H$28:$H$970,'Desbalance - Diario'!$B$28:$B$970,'Desbalance - Mensual'!B109,'Desbalance - Diario'!$C$28:$C$970,'Desbalance - Mensual'!C109)</f>
        <v>0</v>
      </c>
      <c r="F109" s="485">
        <f>SUMIFS('Desbalance - Diario'!J$28:J$970,'Desbalance - Diario'!$B$28:$B$970,'Desbalance - Mensual'!$B109,'Desbalance - Diario'!$C$28:$C$970,'Desbalance - Mensual'!$C109)</f>
        <v>0</v>
      </c>
      <c r="G109" s="485">
        <f t="shared" si="23"/>
        <v>0</v>
      </c>
      <c r="H109" s="485">
        <f t="shared" si="26"/>
        <v>-696549.73974547407</v>
      </c>
      <c r="I109" s="487"/>
      <c r="J109" s="487"/>
      <c r="K109" s="486">
        <f t="shared" si="24"/>
        <v>0</v>
      </c>
      <c r="L109" s="480"/>
      <c r="M109" s="480"/>
      <c r="N109" s="480"/>
      <c r="O109" s="480"/>
      <c r="P109" s="480"/>
      <c r="Q109" s="484"/>
      <c r="R109" s="485">
        <f t="shared" ref="R109:R116" si="27">Q109/1.055056</f>
        <v>0</v>
      </c>
      <c r="S109" s="486">
        <f t="shared" si="25"/>
        <v>0</v>
      </c>
    </row>
    <row r="110" spans="2:19" x14ac:dyDescent="0.2">
      <c r="B110" s="495">
        <f t="shared" si="21"/>
        <v>2022</v>
      </c>
      <c r="C110" s="487">
        <f t="shared" si="22"/>
        <v>2</v>
      </c>
      <c r="D110" s="496">
        <v>44593</v>
      </c>
      <c r="E110" s="485">
        <f>SUMIFS('Desbalance - Diario'!$H$28:$H$970,'Desbalance - Diario'!$B$28:$B$970,'Desbalance - Mensual'!B110,'Desbalance - Diario'!$C$28:$C$970,'Desbalance - Mensual'!C110)</f>
        <v>0</v>
      </c>
      <c r="F110" s="485">
        <f>SUMIFS('Desbalance - Diario'!J$28:J$970,'Desbalance - Diario'!$B$28:$B$970,'Desbalance - Mensual'!$B110,'Desbalance - Diario'!$C$28:$C$970,'Desbalance - Mensual'!$C110)</f>
        <v>0</v>
      </c>
      <c r="G110" s="485">
        <f t="shared" si="23"/>
        <v>0</v>
      </c>
      <c r="H110" s="485">
        <f t="shared" si="26"/>
        <v>-696549.73974547407</v>
      </c>
      <c r="I110" s="487"/>
      <c r="J110" s="487"/>
      <c r="K110" s="486">
        <f t="shared" si="24"/>
        <v>0</v>
      </c>
      <c r="L110" s="480"/>
      <c r="M110" s="480"/>
      <c r="N110" s="480"/>
      <c r="O110" s="480"/>
      <c r="P110" s="480"/>
      <c r="Q110" s="484"/>
      <c r="R110" s="485">
        <f t="shared" si="27"/>
        <v>0</v>
      </c>
      <c r="S110" s="486">
        <f t="shared" si="25"/>
        <v>0</v>
      </c>
    </row>
    <row r="111" spans="2:19" x14ac:dyDescent="0.2">
      <c r="B111" s="495">
        <f t="shared" si="21"/>
        <v>2022</v>
      </c>
      <c r="C111" s="487">
        <f t="shared" si="22"/>
        <v>3</v>
      </c>
      <c r="D111" s="496">
        <v>44621</v>
      </c>
      <c r="E111" s="485">
        <f>SUMIFS('Desbalance - Diario'!$H$28:$H$970,'Desbalance - Diario'!$B$28:$B$970,'Desbalance - Mensual'!B111,'Desbalance - Diario'!$C$28:$C$970,'Desbalance - Mensual'!C111)</f>
        <v>0</v>
      </c>
      <c r="F111" s="485">
        <f>SUMIFS('Desbalance - Diario'!J$28:J$970,'Desbalance - Diario'!$B$28:$B$970,'Desbalance - Mensual'!$B111,'Desbalance - Diario'!$C$28:$C$970,'Desbalance - Mensual'!$C111)</f>
        <v>0</v>
      </c>
      <c r="G111" s="485">
        <f t="shared" si="23"/>
        <v>0</v>
      </c>
      <c r="H111" s="485">
        <f t="shared" si="26"/>
        <v>-696549.73974547407</v>
      </c>
      <c r="I111" s="487"/>
      <c r="J111" s="487"/>
      <c r="K111" s="486">
        <f t="shared" si="24"/>
        <v>0</v>
      </c>
      <c r="L111" s="480"/>
      <c r="M111" s="480"/>
      <c r="N111" s="480"/>
      <c r="O111" s="480"/>
      <c r="P111" s="480"/>
      <c r="Q111" s="484"/>
      <c r="R111" s="485">
        <f t="shared" si="27"/>
        <v>0</v>
      </c>
      <c r="S111" s="486">
        <f t="shared" si="25"/>
        <v>0</v>
      </c>
    </row>
    <row r="112" spans="2:19" x14ac:dyDescent="0.2">
      <c r="B112" s="495">
        <f t="shared" si="21"/>
        <v>2022</v>
      </c>
      <c r="C112" s="487">
        <f t="shared" si="22"/>
        <v>4</v>
      </c>
      <c r="D112" s="496">
        <v>44652</v>
      </c>
      <c r="E112" s="485">
        <f>SUMIFS('Desbalance - Diario'!$H$28:$H$970,'Desbalance - Diario'!$B$28:$B$970,'Desbalance - Mensual'!B112,'Desbalance - Diario'!$C$28:$C$970,'Desbalance - Mensual'!C112)</f>
        <v>0</v>
      </c>
      <c r="F112" s="485">
        <f>SUMIFS('Desbalance - Diario'!J$28:J$970,'Desbalance - Diario'!$B$28:$B$970,'Desbalance - Mensual'!$B112,'Desbalance - Diario'!$C$28:$C$970,'Desbalance - Mensual'!$C112)</f>
        <v>0</v>
      </c>
      <c r="G112" s="485">
        <f t="shared" si="23"/>
        <v>0</v>
      </c>
      <c r="H112" s="485">
        <f t="shared" si="26"/>
        <v>-696549.73974547407</v>
      </c>
      <c r="I112" s="487"/>
      <c r="J112" s="487"/>
      <c r="K112" s="486">
        <f t="shared" si="24"/>
        <v>0</v>
      </c>
      <c r="L112" s="480"/>
      <c r="M112" s="480"/>
      <c r="N112" s="480"/>
      <c r="O112" s="480"/>
      <c r="P112" s="480"/>
      <c r="Q112" s="484"/>
      <c r="R112" s="485">
        <f t="shared" si="27"/>
        <v>0</v>
      </c>
      <c r="S112" s="486">
        <f t="shared" si="25"/>
        <v>0</v>
      </c>
    </row>
    <row r="113" spans="2:19" x14ac:dyDescent="0.2">
      <c r="B113" s="495">
        <f t="shared" si="21"/>
        <v>2022</v>
      </c>
      <c r="C113" s="487">
        <f t="shared" si="22"/>
        <v>5</v>
      </c>
      <c r="D113" s="496">
        <v>44682</v>
      </c>
      <c r="E113" s="485">
        <f>SUMIFS('Desbalance - Diario'!$H$28:$H$970,'Desbalance - Diario'!$B$28:$B$970,'Desbalance - Mensual'!B113,'Desbalance - Diario'!$C$28:$C$970,'Desbalance - Mensual'!C113)</f>
        <v>0</v>
      </c>
      <c r="F113" s="485">
        <f>SUMIFS('Desbalance - Diario'!J$28:J$970,'Desbalance - Diario'!$B$28:$B$970,'Desbalance - Mensual'!$B113,'Desbalance - Diario'!$C$28:$C$970,'Desbalance - Mensual'!$C113)</f>
        <v>0</v>
      </c>
      <c r="G113" s="485">
        <f t="shared" si="23"/>
        <v>0</v>
      </c>
      <c r="H113" s="485">
        <f t="shared" si="26"/>
        <v>-696549.73974547407</v>
      </c>
      <c r="I113" s="487"/>
      <c r="J113" s="487"/>
      <c r="K113" s="486">
        <f t="shared" si="24"/>
        <v>0</v>
      </c>
      <c r="L113" s="480"/>
      <c r="M113" s="480"/>
      <c r="N113" s="480"/>
      <c r="O113" s="480"/>
      <c r="P113" s="480"/>
      <c r="Q113" s="484"/>
      <c r="R113" s="485">
        <f t="shared" si="27"/>
        <v>0</v>
      </c>
      <c r="S113" s="486">
        <f t="shared" si="25"/>
        <v>0</v>
      </c>
    </row>
    <row r="114" spans="2:19" x14ac:dyDescent="0.2">
      <c r="B114" s="495">
        <f t="shared" si="21"/>
        <v>2022</v>
      </c>
      <c r="C114" s="487">
        <f t="shared" si="22"/>
        <v>6</v>
      </c>
      <c r="D114" s="496">
        <v>44713</v>
      </c>
      <c r="E114" s="485">
        <f>SUMIFS('Desbalance - Diario'!$H$28:$H$970,'Desbalance - Diario'!$B$28:$B$970,'Desbalance - Mensual'!B114,'Desbalance - Diario'!$C$28:$C$970,'Desbalance - Mensual'!C114)</f>
        <v>0</v>
      </c>
      <c r="F114" s="485">
        <f>SUMIFS('Desbalance - Diario'!J$28:J$970,'Desbalance - Diario'!$B$28:$B$970,'Desbalance - Mensual'!$B114,'Desbalance - Diario'!$C$28:$C$970,'Desbalance - Mensual'!$C114)</f>
        <v>0</v>
      </c>
      <c r="G114" s="485">
        <f t="shared" si="23"/>
        <v>0</v>
      </c>
      <c r="H114" s="485">
        <f t="shared" si="26"/>
        <v>-696549.73974547407</v>
      </c>
      <c r="I114" s="487"/>
      <c r="J114" s="487"/>
      <c r="K114" s="486">
        <f t="shared" si="24"/>
        <v>0</v>
      </c>
      <c r="L114" s="480"/>
      <c r="M114" s="480"/>
      <c r="N114" s="480"/>
      <c r="O114" s="480"/>
      <c r="P114" s="480"/>
      <c r="Q114" s="484"/>
      <c r="R114" s="485">
        <f t="shared" si="27"/>
        <v>0</v>
      </c>
      <c r="S114" s="486">
        <f t="shared" si="25"/>
        <v>0</v>
      </c>
    </row>
    <row r="115" spans="2:19" x14ac:dyDescent="0.2">
      <c r="B115" s="495">
        <f t="shared" si="21"/>
        <v>2022</v>
      </c>
      <c r="C115" s="487">
        <f t="shared" si="22"/>
        <v>7</v>
      </c>
      <c r="D115" s="496">
        <v>44743</v>
      </c>
      <c r="E115" s="485">
        <f>SUMIFS('Desbalance - Diario'!$H$28:$H$970,'Desbalance - Diario'!$B$28:$B$970,'Desbalance - Mensual'!B115,'Desbalance - Diario'!$C$28:$C$970,'Desbalance - Mensual'!C115)</f>
        <v>0</v>
      </c>
      <c r="F115" s="485">
        <f>SUMIFS('Desbalance - Diario'!J$28:J$970,'Desbalance - Diario'!$B$28:$B$970,'Desbalance - Mensual'!$B115,'Desbalance - Diario'!$C$28:$C$970,'Desbalance - Mensual'!$C115)</f>
        <v>0</v>
      </c>
      <c r="G115" s="485">
        <f t="shared" si="23"/>
        <v>0</v>
      </c>
      <c r="H115" s="485">
        <f t="shared" si="26"/>
        <v>-696549.73974547407</v>
      </c>
      <c r="I115" s="487"/>
      <c r="J115" s="487"/>
      <c r="K115" s="486">
        <f t="shared" si="24"/>
        <v>0</v>
      </c>
      <c r="L115" s="480"/>
      <c r="M115" s="480"/>
      <c r="N115" s="480"/>
      <c r="O115" s="480"/>
      <c r="P115" s="480"/>
      <c r="Q115" s="484"/>
      <c r="R115" s="485">
        <f t="shared" si="27"/>
        <v>0</v>
      </c>
      <c r="S115" s="486">
        <f t="shared" si="25"/>
        <v>0</v>
      </c>
    </row>
    <row r="116" spans="2:19" ht="15.75" thickBot="1" x14ac:dyDescent="0.25">
      <c r="B116" s="498">
        <f t="shared" si="21"/>
        <v>2022</v>
      </c>
      <c r="C116" s="489">
        <f t="shared" si="22"/>
        <v>8</v>
      </c>
      <c r="D116" s="499">
        <v>44774</v>
      </c>
      <c r="E116" s="500">
        <f>SUMIFS('Desbalance - Diario'!$H$28:$H$970,'Desbalance - Diario'!$B$28:$B$970,'Desbalance - Mensual'!B116,'Desbalance - Diario'!$C$28:$C$970,'Desbalance - Mensual'!C116)</f>
        <v>0</v>
      </c>
      <c r="F116" s="500">
        <f>SUMIFS('Desbalance - Diario'!J$28:J$970,'Desbalance - Diario'!$B$28:$B$970,'Desbalance - Mensual'!$B116,'Desbalance - Diario'!$C$28:$C$970,'Desbalance - Mensual'!$C116)</f>
        <v>0</v>
      </c>
      <c r="G116" s="500">
        <f t="shared" si="23"/>
        <v>0</v>
      </c>
      <c r="H116" s="500">
        <f t="shared" si="26"/>
        <v>-696549.73974547407</v>
      </c>
      <c r="I116" s="489"/>
      <c r="J116" s="489"/>
      <c r="K116" s="490">
        <f t="shared" si="24"/>
        <v>0</v>
      </c>
      <c r="L116" s="480"/>
      <c r="M116" s="480"/>
      <c r="N116" s="480"/>
      <c r="O116" s="480"/>
      <c r="P116" s="480"/>
      <c r="Q116" s="488"/>
      <c r="R116" s="500">
        <f t="shared" si="27"/>
        <v>0</v>
      </c>
      <c r="S116" s="490">
        <f t="shared" si="25"/>
        <v>0</v>
      </c>
    </row>
  </sheetData>
  <mergeCells count="7">
    <mergeCell ref="Q5:S5"/>
    <mergeCell ref="N8:O8"/>
    <mergeCell ref="N9:O9"/>
    <mergeCell ref="D1:H2"/>
    <mergeCell ref="I1:K1"/>
    <mergeCell ref="I2:K2"/>
    <mergeCell ref="I3:K3"/>
  </mergeCells>
  <pageMargins left="0.7" right="0.7" top="0.75" bottom="0.75" header="0.3" footer="0.3"/>
  <pageSetup orientation="portrait" verticalDpi="0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7"/>
  <sheetViews>
    <sheetView workbookViewId="0"/>
  </sheetViews>
  <sheetFormatPr baseColWidth="10" defaultColWidth="11" defaultRowHeight="15" x14ac:dyDescent="0.25"/>
  <cols>
    <col min="1" max="1" width="11" style="2"/>
    <col min="2" max="2" width="2.875" style="2" customWidth="1"/>
    <col min="3" max="8" width="5.625" style="2" customWidth="1"/>
    <col min="9" max="9" width="8.375" style="2" customWidth="1"/>
    <col min="10" max="10" width="11" style="2" customWidth="1"/>
    <col min="11" max="11" width="4.125" style="6" customWidth="1"/>
    <col min="12" max="12" width="39.625" style="3" bestFit="1" customWidth="1"/>
    <col min="13" max="16384" width="11" style="3"/>
  </cols>
  <sheetData>
    <row r="2" spans="2:12" x14ac:dyDescent="0.25">
      <c r="B2" s="1"/>
      <c r="C2" s="1"/>
      <c r="D2" s="1"/>
      <c r="E2" s="1"/>
      <c r="F2" s="1"/>
      <c r="G2" s="1"/>
      <c r="H2" s="1"/>
      <c r="I2" s="1"/>
      <c r="J2" s="1"/>
    </row>
    <row r="3" spans="2:12" ht="15.75" thickBot="1" x14ac:dyDescent="0.3">
      <c r="B3" s="1"/>
      <c r="C3" s="7" t="s">
        <v>5</v>
      </c>
      <c r="D3" s="8"/>
      <c r="E3" s="8"/>
      <c r="F3" s="8"/>
      <c r="G3" s="8"/>
      <c r="H3" s="8"/>
      <c r="I3" s="8"/>
      <c r="J3" s="8"/>
    </row>
    <row r="4" spans="2:12" x14ac:dyDescent="0.25">
      <c r="B4" s="1"/>
      <c r="C4" s="11" t="s">
        <v>6</v>
      </c>
      <c r="D4" s="12"/>
      <c r="E4" s="12"/>
      <c r="F4" s="12"/>
      <c r="G4" s="12"/>
      <c r="H4" s="12"/>
      <c r="I4" s="12"/>
      <c r="J4" s="12"/>
      <c r="L4" s="38"/>
    </row>
    <row r="5" spans="2:12" ht="26.25" customHeight="1" x14ac:dyDescent="0.25">
      <c r="B5" s="1"/>
      <c r="C5" s="2213"/>
      <c r="D5" s="2214"/>
      <c r="E5" s="2214"/>
      <c r="F5" s="2214"/>
      <c r="G5" s="2214"/>
      <c r="H5" s="2214"/>
      <c r="I5" s="2214"/>
      <c r="J5" s="2215"/>
      <c r="L5" s="3" t="s">
        <v>63</v>
      </c>
    </row>
    <row r="6" spans="2:12" x14ac:dyDescent="0.25">
      <c r="B6" s="1"/>
      <c r="C6" s="2213"/>
      <c r="D6" s="2214"/>
      <c r="E6" s="2214"/>
      <c r="F6" s="2214"/>
      <c r="G6" s="2214"/>
      <c r="H6" s="2214"/>
      <c r="I6" s="2214"/>
      <c r="J6" s="2215"/>
      <c r="L6" s="38"/>
    </row>
    <row r="7" spans="2:12" x14ac:dyDescent="0.25">
      <c r="B7" s="1"/>
      <c r="C7" s="2213"/>
      <c r="D7" s="2214"/>
      <c r="E7" s="2214"/>
      <c r="F7" s="2214"/>
      <c r="G7" s="2214"/>
      <c r="H7" s="2214"/>
      <c r="I7" s="2214"/>
      <c r="J7" s="2215"/>
      <c r="L7" s="38"/>
    </row>
    <row r="8" spans="2:12" ht="15.75" thickBot="1" x14ac:dyDescent="0.3">
      <c r="B8" s="1"/>
      <c r="C8" s="2210"/>
      <c r="D8" s="2211"/>
      <c r="E8" s="2211"/>
      <c r="F8" s="2211"/>
      <c r="G8" s="2211"/>
      <c r="H8" s="2211"/>
      <c r="I8" s="2211"/>
      <c r="J8" s="2212"/>
      <c r="L8" s="304"/>
    </row>
    <row r="9" spans="2:12" x14ac:dyDescent="0.25">
      <c r="B9" s="1"/>
      <c r="C9" s="17"/>
      <c r="D9" s="18"/>
      <c r="E9" s="18"/>
      <c r="F9" s="18"/>
      <c r="G9" s="18"/>
      <c r="H9" s="18"/>
      <c r="I9" s="18"/>
      <c r="J9" s="18"/>
      <c r="L9" s="36"/>
    </row>
    <row r="10" spans="2:12" x14ac:dyDescent="0.25">
      <c r="B10" s="1"/>
      <c r="C10" s="17"/>
      <c r="D10" s="18"/>
      <c r="E10" s="18"/>
      <c r="F10" s="18"/>
      <c r="G10" s="18"/>
      <c r="H10" s="18"/>
      <c r="I10" s="18"/>
      <c r="J10" s="18"/>
      <c r="L10" s="36"/>
    </row>
    <row r="11" spans="2:12" ht="15.75" thickBot="1" x14ac:dyDescent="0.3">
      <c r="B11" s="1"/>
      <c r="C11" s="7" t="s">
        <v>10</v>
      </c>
      <c r="D11" s="8"/>
      <c r="E11" s="8"/>
      <c r="F11" s="8"/>
      <c r="G11" s="8"/>
      <c r="H11" s="8"/>
      <c r="I11" s="8"/>
      <c r="J11" s="8"/>
    </row>
    <row r="12" spans="2:12" ht="22.5" customHeight="1" x14ac:dyDescent="0.25">
      <c r="B12" s="1"/>
      <c r="C12" s="11" t="s">
        <v>6</v>
      </c>
      <c r="D12" s="12"/>
      <c r="E12" s="12"/>
      <c r="F12" s="12"/>
      <c r="G12" s="12"/>
      <c r="H12" s="12"/>
      <c r="I12" s="12"/>
      <c r="J12" s="12"/>
    </row>
    <row r="13" spans="2:12" ht="21.75" customHeight="1" x14ac:dyDescent="0.25">
      <c r="B13" s="1"/>
      <c r="C13" s="2213"/>
      <c r="D13" s="2214"/>
      <c r="E13" s="2214"/>
      <c r="F13" s="2214"/>
      <c r="G13" s="2214"/>
      <c r="H13" s="2214"/>
      <c r="I13" s="2214"/>
      <c r="J13" s="2215"/>
      <c r="L13" s="3" t="s">
        <v>63</v>
      </c>
    </row>
    <row r="14" spans="2:12" ht="15" customHeight="1" x14ac:dyDescent="0.25">
      <c r="B14" s="1"/>
      <c r="C14" s="2213"/>
      <c r="D14" s="2214"/>
      <c r="E14" s="2214"/>
      <c r="F14" s="2214"/>
      <c r="G14" s="2214"/>
      <c r="H14" s="2214"/>
      <c r="I14" s="2214"/>
      <c r="J14" s="2215"/>
      <c r="L14" s="3" t="s">
        <v>62</v>
      </c>
    </row>
    <row r="15" spans="2:12" ht="21.75" customHeight="1" x14ac:dyDescent="0.25">
      <c r="B15" s="1"/>
      <c r="C15" s="2216"/>
      <c r="D15" s="2217"/>
      <c r="E15" s="2217"/>
      <c r="F15" s="2217"/>
      <c r="G15" s="2217"/>
      <c r="H15" s="2217"/>
      <c r="I15" s="2217"/>
      <c r="J15" s="2218"/>
      <c r="L15" s="3" t="s">
        <v>67</v>
      </c>
    </row>
    <row r="16" spans="2:12" x14ac:dyDescent="0.25">
      <c r="B16" s="1"/>
      <c r="C16" s="19"/>
      <c r="D16" s="20"/>
      <c r="E16" s="20"/>
      <c r="F16" s="20"/>
      <c r="G16" s="20"/>
      <c r="H16" s="20"/>
      <c r="I16" s="20"/>
      <c r="J16" s="21"/>
    </row>
    <row r="17" spans="2:12" ht="15.75" thickBot="1" x14ac:dyDescent="0.3">
      <c r="B17" s="1"/>
      <c r="C17" s="2207"/>
      <c r="D17" s="2208"/>
      <c r="E17" s="2208"/>
      <c r="F17" s="2208"/>
      <c r="G17" s="2208"/>
      <c r="H17" s="2208"/>
      <c r="I17" s="2208"/>
      <c r="J17" s="2209"/>
      <c r="L17" s="37" t="s">
        <v>66</v>
      </c>
    </row>
  </sheetData>
  <mergeCells count="8">
    <mergeCell ref="C17:J17"/>
    <mergeCell ref="C8:J8"/>
    <mergeCell ref="C13:J13"/>
    <mergeCell ref="C5:J5"/>
    <mergeCell ref="C6:J6"/>
    <mergeCell ref="C7:J7"/>
    <mergeCell ref="C14:J14"/>
    <mergeCell ref="C15:J15"/>
  </mergeCells>
  <pageMargins left="0.7" right="0.7" top="0.93" bottom="0.75" header="0.3" footer="0.3"/>
  <pageSetup scale="93" fitToHeight="0" orientation="portrait" r:id="rId1"/>
  <headerFooter>
    <oddHeader>&amp;L&amp;G&amp;R&amp;"Arial,Negrita"Direccion de Operacion&amp;"Arial,Normal"
Subdireccion de Energeticos
Subgerencia Regional de Energeticos</oddHeader>
  </headerFooter>
  <drawing r:id="rId2"/>
  <legacyDrawingHF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45"/>
  <sheetViews>
    <sheetView workbookViewId="0"/>
  </sheetViews>
  <sheetFormatPr baseColWidth="10" defaultColWidth="11" defaultRowHeight="15" x14ac:dyDescent="0.25"/>
  <cols>
    <col min="1" max="1" width="11" style="2"/>
    <col min="2" max="2" width="2.875" style="2" customWidth="1"/>
    <col min="3" max="8" width="5.625" style="2" customWidth="1"/>
    <col min="9" max="9" width="8.375" style="2" customWidth="1"/>
    <col min="10" max="10" width="11" style="2" customWidth="1"/>
    <col min="11" max="11" width="5.375" style="2" customWidth="1"/>
    <col min="12" max="12" width="7.625" style="2" bestFit="1" customWidth="1"/>
    <col min="13" max="13" width="10.5" style="2" bestFit="1" customWidth="1"/>
    <col min="14" max="14" width="4.125" style="6" customWidth="1"/>
    <col min="15" max="15" width="39.625" style="3" bestFit="1" customWidth="1"/>
    <col min="16" max="16384" width="11" style="3"/>
  </cols>
  <sheetData>
    <row r="2" spans="2:15" ht="15.75" thickBot="1" x14ac:dyDescent="0.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2:15" ht="15" customHeight="1" x14ac:dyDescent="0.25">
      <c r="B3" s="1"/>
      <c r="C3" s="2250" t="s">
        <v>0</v>
      </c>
      <c r="D3" s="2251"/>
      <c r="E3" s="2251"/>
      <c r="F3" s="2251"/>
      <c r="G3" s="2251"/>
      <c r="H3" s="2251"/>
      <c r="I3" s="2251"/>
      <c r="J3" s="2251"/>
      <c r="K3" s="2251"/>
      <c r="L3" s="2251"/>
      <c r="M3" s="2252"/>
    </row>
    <row r="4" spans="2:15" ht="15" customHeight="1" x14ac:dyDescent="0.25">
      <c r="B4" s="1"/>
      <c r="C4" s="2253"/>
      <c r="D4" s="2254"/>
      <c r="E4" s="2254"/>
      <c r="F4" s="2254"/>
      <c r="G4" s="2254"/>
      <c r="H4" s="2254"/>
      <c r="I4" s="2254"/>
      <c r="J4" s="2254"/>
      <c r="K4" s="2254"/>
      <c r="L4" s="2254"/>
      <c r="M4" s="2255"/>
    </row>
    <row r="5" spans="2:15" x14ac:dyDescent="0.25">
      <c r="B5" s="1"/>
      <c r="C5" s="2256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8"/>
    </row>
    <row r="6" spans="2:15" x14ac:dyDescent="0.25">
      <c r="B6" s="1"/>
      <c r="C6" s="2256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8"/>
    </row>
    <row r="7" spans="2:15" ht="15" customHeight="1" x14ac:dyDescent="0.25">
      <c r="B7" s="1"/>
      <c r="C7" s="2259" t="s">
        <v>3</v>
      </c>
      <c r="D7" s="2260"/>
      <c r="E7" s="2260"/>
      <c r="F7" s="2260"/>
      <c r="G7" s="2260"/>
      <c r="H7" s="207">
        <v>1</v>
      </c>
      <c r="I7" s="478">
        <f>VLOOKUP(H7,Tarifas!D4:H303,2)</f>
        <v>41487</v>
      </c>
      <c r="J7" s="296"/>
      <c r="K7" s="296"/>
      <c r="L7" s="296"/>
      <c r="M7" s="297"/>
      <c r="O7" s="3" t="s">
        <v>64</v>
      </c>
    </row>
    <row r="8" spans="2:15" x14ac:dyDescent="0.25">
      <c r="B8" s="1"/>
      <c r="C8" s="2259" t="s">
        <v>4</v>
      </c>
      <c r="D8" s="2260"/>
      <c r="E8" s="2260"/>
      <c r="F8" s="2260"/>
      <c r="G8" s="2260"/>
      <c r="H8" s="207">
        <v>2</v>
      </c>
      <c r="I8" s="296"/>
      <c r="J8" s="296"/>
      <c r="K8" s="296"/>
      <c r="L8" s="296"/>
      <c r="M8" s="297"/>
    </row>
    <row r="9" spans="2:15" x14ac:dyDescent="0.25">
      <c r="B9" s="1"/>
      <c r="C9" s="4"/>
      <c r="D9" s="5"/>
      <c r="E9" s="5"/>
      <c r="F9" s="5"/>
      <c r="G9" s="5"/>
      <c r="H9" s="5"/>
      <c r="I9" s="5"/>
      <c r="J9" s="5"/>
      <c r="K9" s="2248" t="s">
        <v>73</v>
      </c>
      <c r="L9" s="2248"/>
      <c r="M9" s="2249"/>
    </row>
    <row r="10" spans="2:15" ht="15.75" thickBot="1" x14ac:dyDescent="0.3">
      <c r="B10" s="1"/>
      <c r="C10" s="7" t="s">
        <v>5</v>
      </c>
      <c r="D10" s="8"/>
      <c r="E10" s="8"/>
      <c r="F10" s="8"/>
      <c r="G10" s="8"/>
      <c r="H10" s="8"/>
      <c r="I10" s="8"/>
      <c r="J10" s="8"/>
      <c r="K10" s="9"/>
      <c r="L10" s="9"/>
      <c r="M10" s="10"/>
    </row>
    <row r="11" spans="2:15" x14ac:dyDescent="0.25">
      <c r="B11" s="1"/>
      <c r="C11" s="11" t="s">
        <v>6</v>
      </c>
      <c r="D11" s="12"/>
      <c r="E11" s="12"/>
      <c r="F11" s="12"/>
      <c r="G11" s="12"/>
      <c r="H11" s="12"/>
      <c r="I11" s="12"/>
      <c r="J11" s="12"/>
      <c r="K11" s="2244"/>
      <c r="L11" s="2245"/>
      <c r="M11" s="13"/>
      <c r="O11" s="38"/>
    </row>
    <row r="12" spans="2:15" ht="26.25" customHeight="1" x14ac:dyDescent="0.25">
      <c r="B12" s="1"/>
      <c r="C12" s="2213"/>
      <c r="D12" s="2214"/>
      <c r="E12" s="2214"/>
      <c r="F12" s="2214"/>
      <c r="G12" s="2214"/>
      <c r="H12" s="2214"/>
      <c r="I12" s="2214"/>
      <c r="J12" s="2215"/>
      <c r="K12" s="2241">
        <f>VLOOKUP(H7,Tarifas!D4:H303,3)</f>
        <v>8.2000000000000003E-2</v>
      </c>
      <c r="L12" s="2240"/>
      <c r="M12" s="13"/>
      <c r="O12" s="3" t="s">
        <v>63</v>
      </c>
    </row>
    <row r="13" spans="2:15" x14ac:dyDescent="0.25">
      <c r="B13" s="1"/>
      <c r="C13" s="2213"/>
      <c r="D13" s="2214"/>
      <c r="E13" s="2214"/>
      <c r="F13" s="2214"/>
      <c r="G13" s="2214"/>
      <c r="H13" s="2214"/>
      <c r="I13" s="2214"/>
      <c r="J13" s="2215"/>
      <c r="K13" s="2241">
        <v>850</v>
      </c>
      <c r="L13" s="2240"/>
      <c r="M13" s="13" t="s">
        <v>7</v>
      </c>
      <c r="O13" s="38"/>
    </row>
    <row r="14" spans="2:15" x14ac:dyDescent="0.25">
      <c r="B14" s="1"/>
      <c r="C14" s="2213"/>
      <c r="D14" s="2214"/>
      <c r="E14" s="2214"/>
      <c r="F14" s="2214"/>
      <c r="G14" s="2214"/>
      <c r="H14" s="2214"/>
      <c r="I14" s="2214"/>
      <c r="J14" s="2215"/>
      <c r="K14" s="2241">
        <v>850</v>
      </c>
      <c r="L14" s="2240"/>
      <c r="M14" s="13" t="s">
        <v>7</v>
      </c>
      <c r="O14" s="38"/>
    </row>
    <row r="15" spans="2:15" ht="15.75" thickBot="1" x14ac:dyDescent="0.3">
      <c r="B15" s="1"/>
      <c r="C15" s="2210"/>
      <c r="D15" s="2211"/>
      <c r="E15" s="2211"/>
      <c r="F15" s="2211"/>
      <c r="G15" s="2211"/>
      <c r="H15" s="2211"/>
      <c r="I15" s="2211"/>
      <c r="J15" s="2212"/>
      <c r="K15" s="2242">
        <v>31482640</v>
      </c>
      <c r="L15" s="2243"/>
      <c r="M15" s="13" t="s">
        <v>8</v>
      </c>
      <c r="O15" s="304"/>
    </row>
    <row r="16" spans="2:15" x14ac:dyDescent="0.25">
      <c r="B16" s="3"/>
      <c r="C16" s="14" t="s">
        <v>9</v>
      </c>
      <c r="D16" s="15"/>
      <c r="E16" s="15"/>
      <c r="F16" s="15"/>
      <c r="G16" s="15"/>
      <c r="H16" s="15"/>
      <c r="I16" s="15"/>
      <c r="J16" s="15"/>
      <c r="K16" s="2235"/>
      <c r="L16" s="2235"/>
      <c r="M16" s="16">
        <f>+K12*(K13/K14)*K15</f>
        <v>2581576.48</v>
      </c>
      <c r="O16" s="36"/>
    </row>
    <row r="17" spans="2:15" x14ac:dyDescent="0.25">
      <c r="B17" s="1"/>
      <c r="C17" s="17"/>
      <c r="D17" s="18"/>
      <c r="E17" s="18"/>
      <c r="F17" s="18"/>
      <c r="G17" s="18"/>
      <c r="H17" s="18"/>
      <c r="I17" s="18"/>
      <c r="J17" s="18"/>
      <c r="K17" s="18"/>
      <c r="L17" s="18" t="s">
        <v>75</v>
      </c>
      <c r="M17" s="305">
        <v>2753681.58</v>
      </c>
      <c r="O17" s="36"/>
    </row>
    <row r="18" spans="2:15" x14ac:dyDescent="0.25">
      <c r="B18" s="1"/>
      <c r="C18" s="17"/>
      <c r="D18" s="18"/>
      <c r="E18" s="18"/>
      <c r="F18" s="18"/>
      <c r="G18" s="18"/>
      <c r="H18" s="18"/>
      <c r="I18" s="18"/>
      <c r="J18" s="18"/>
      <c r="K18" s="18"/>
      <c r="L18" s="18" t="s">
        <v>74</v>
      </c>
      <c r="M18" s="299">
        <f>M16-M17</f>
        <v>-172105.10000000009</v>
      </c>
      <c r="O18" s="36"/>
    </row>
    <row r="19" spans="2:15" ht="15.75" thickBot="1" x14ac:dyDescent="0.3">
      <c r="B19" s="1"/>
      <c r="C19" s="7" t="s">
        <v>10</v>
      </c>
      <c r="D19" s="8"/>
      <c r="E19" s="8"/>
      <c r="F19" s="8"/>
      <c r="G19" s="8"/>
      <c r="H19" s="8"/>
      <c r="I19" s="8"/>
      <c r="J19" s="8"/>
      <c r="K19" s="9"/>
      <c r="L19" s="9"/>
      <c r="M19" s="10"/>
    </row>
    <row r="20" spans="2:15" ht="22.5" customHeight="1" x14ac:dyDescent="0.25">
      <c r="B20" s="1"/>
      <c r="C20" s="11" t="s">
        <v>6</v>
      </c>
      <c r="D20" s="12"/>
      <c r="E20" s="12"/>
      <c r="F20" s="12"/>
      <c r="G20" s="12"/>
      <c r="H20" s="12"/>
      <c r="I20" s="12"/>
      <c r="J20" s="12"/>
      <c r="K20" s="2244"/>
      <c r="L20" s="2245"/>
      <c r="M20" s="13"/>
    </row>
    <row r="21" spans="2:15" ht="21.75" customHeight="1" x14ac:dyDescent="0.25">
      <c r="B21" s="1"/>
      <c r="C21" s="2213"/>
      <c r="D21" s="2214"/>
      <c r="E21" s="2214"/>
      <c r="F21" s="2214"/>
      <c r="G21" s="2214"/>
      <c r="H21" s="2214"/>
      <c r="I21" s="2214"/>
      <c r="J21" s="2215"/>
      <c r="K21" s="2241">
        <f>VLOOKUP(H7,Tarifas!D4:H303,5)</f>
        <v>1E-3</v>
      </c>
      <c r="L21" s="2240"/>
      <c r="M21" s="13" t="s">
        <v>11</v>
      </c>
      <c r="O21" s="3" t="s">
        <v>63</v>
      </c>
    </row>
    <row r="22" spans="2:15" ht="15" customHeight="1" x14ac:dyDescent="0.25">
      <c r="B22" s="1"/>
      <c r="C22" s="2213"/>
      <c r="D22" s="2214"/>
      <c r="E22" s="2214"/>
      <c r="F22" s="2214"/>
      <c r="G22" s="2214"/>
      <c r="H22" s="2214"/>
      <c r="I22" s="2214"/>
      <c r="J22" s="2215"/>
      <c r="K22" s="2246">
        <v>201.4</v>
      </c>
      <c r="L22" s="2247"/>
      <c r="M22" s="13" t="s">
        <v>12</v>
      </c>
      <c r="O22" s="3" t="s">
        <v>62</v>
      </c>
    </row>
    <row r="23" spans="2:15" ht="21.75" customHeight="1" x14ac:dyDescent="0.25">
      <c r="B23" s="1"/>
      <c r="C23" s="2216"/>
      <c r="D23" s="2217"/>
      <c r="E23" s="2217"/>
      <c r="F23" s="2217"/>
      <c r="G23" s="2217"/>
      <c r="H23" s="2217"/>
      <c r="I23" s="2217"/>
      <c r="J23" s="2218"/>
      <c r="K23" s="2246">
        <v>204.6</v>
      </c>
      <c r="L23" s="2247"/>
      <c r="M23" s="13" t="s">
        <v>12</v>
      </c>
      <c r="O23" s="3" t="s">
        <v>67</v>
      </c>
    </row>
    <row r="24" spans="2:15" x14ac:dyDescent="0.25">
      <c r="B24" s="1"/>
      <c r="C24" s="19"/>
      <c r="D24" s="20"/>
      <c r="E24" s="20"/>
      <c r="F24" s="20"/>
      <c r="G24" s="20"/>
      <c r="H24" s="20"/>
      <c r="I24" s="20"/>
      <c r="J24" s="21"/>
      <c r="K24" s="2239">
        <f>IFERROR(K23/K22,0)</f>
        <v>1.0158887785501489</v>
      </c>
      <c r="L24" s="2240"/>
      <c r="M24" s="13"/>
    </row>
    <row r="25" spans="2:15" ht="15.75" thickBot="1" x14ac:dyDescent="0.3">
      <c r="B25" s="1"/>
      <c r="C25" s="2207"/>
      <c r="D25" s="2208"/>
      <c r="E25" s="2208"/>
      <c r="F25" s="2208"/>
      <c r="G25" s="2208"/>
      <c r="H25" s="2208"/>
      <c r="I25" s="2208"/>
      <c r="J25" s="2209"/>
      <c r="K25" s="2233">
        <v>637599.29399999999</v>
      </c>
      <c r="L25" s="2234"/>
      <c r="M25" s="13" t="s">
        <v>8</v>
      </c>
      <c r="O25" s="37" t="s">
        <v>66</v>
      </c>
    </row>
    <row r="26" spans="2:15" x14ac:dyDescent="0.25">
      <c r="B26" s="1"/>
      <c r="C26" s="14" t="s">
        <v>13</v>
      </c>
      <c r="D26" s="15"/>
      <c r="E26" s="15"/>
      <c r="F26" s="15"/>
      <c r="G26" s="15"/>
      <c r="H26" s="15"/>
      <c r="I26" s="15"/>
      <c r="J26" s="15"/>
      <c r="K26" s="2235"/>
      <c r="L26" s="2235"/>
      <c r="M26" s="16">
        <f>+K21*K24*K25</f>
        <v>647.72996798609734</v>
      </c>
      <c r="O26" s="38"/>
    </row>
    <row r="27" spans="2:15" x14ac:dyDescent="0.25">
      <c r="B27" s="1"/>
      <c r="C27" s="306"/>
      <c r="D27" s="307"/>
      <c r="E27" s="307"/>
      <c r="F27" s="307"/>
      <c r="G27" s="307"/>
      <c r="H27" s="307"/>
      <c r="I27" s="307"/>
      <c r="J27" s="307"/>
      <c r="K27" s="308"/>
      <c r="L27" s="310" t="s">
        <v>75</v>
      </c>
      <c r="M27" s="309">
        <v>647.73</v>
      </c>
      <c r="O27" s="38"/>
    </row>
    <row r="28" spans="2:15" x14ac:dyDescent="0.25">
      <c r="B28" s="1"/>
      <c r="C28" s="306"/>
      <c r="D28" s="307"/>
      <c r="E28" s="307"/>
      <c r="F28" s="307"/>
      <c r="G28" s="307"/>
      <c r="H28" s="307"/>
      <c r="I28" s="307"/>
      <c r="J28" s="307"/>
      <c r="K28" s="308"/>
      <c r="L28" s="310" t="s">
        <v>74</v>
      </c>
      <c r="M28" s="309">
        <f>M26-M27</f>
        <v>-3.2013902682592743E-5</v>
      </c>
      <c r="O28" s="38"/>
    </row>
    <row r="29" spans="2:15" x14ac:dyDescent="0.25">
      <c r="B29" s="1"/>
      <c r="C29" s="306"/>
      <c r="D29" s="307"/>
      <c r="E29" s="307"/>
      <c r="F29" s="307"/>
      <c r="G29" s="307"/>
      <c r="H29" s="307"/>
      <c r="I29" s="307"/>
      <c r="J29" s="307"/>
      <c r="K29" s="308"/>
      <c r="L29" s="308"/>
      <c r="M29" s="309"/>
      <c r="O29" s="38"/>
    </row>
    <row r="30" spans="2:15" ht="15" customHeight="1" x14ac:dyDescent="0.25">
      <c r="B30" s="1"/>
      <c r="C30" s="22" t="s">
        <v>70</v>
      </c>
      <c r="D30" s="23"/>
      <c r="E30" s="23"/>
      <c r="F30" s="23"/>
      <c r="G30" s="23"/>
      <c r="H30" s="23"/>
      <c r="I30" s="23"/>
      <c r="J30" s="23"/>
      <c r="K30" s="24"/>
      <c r="L30" s="24"/>
      <c r="M30" s="16">
        <f>+M16+M26</f>
        <v>2582224.2099679862</v>
      </c>
      <c r="O30" s="298"/>
    </row>
    <row r="31" spans="2:15" ht="15" customHeight="1" x14ac:dyDescent="0.25">
      <c r="B31" s="1"/>
      <c r="C31" s="22" t="str">
        <f>"% de Impuestos del mes: "&amp;H7</f>
        <v>% de Impuestos del mes: 1</v>
      </c>
      <c r="D31" s="23"/>
      <c r="E31" s="23"/>
      <c r="F31" s="23"/>
      <c r="G31" s="300" t="str">
        <f>"("&amp;VLOOKUP(H7,Tarifas!D4:H303,4)&amp;")"</f>
        <v>(2.779%)</v>
      </c>
      <c r="H31" s="23"/>
      <c r="I31" s="301"/>
      <c r="J31" s="302"/>
      <c r="K31" s="24"/>
      <c r="L31" s="24"/>
      <c r="M31" s="13"/>
      <c r="O31" s="38"/>
    </row>
    <row r="32" spans="2:15" x14ac:dyDescent="0.25">
      <c r="B32" s="1"/>
      <c r="C32" s="25" t="s">
        <v>14</v>
      </c>
      <c r="D32" s="26"/>
      <c r="E32" s="26"/>
      <c r="F32" s="26"/>
      <c r="G32" s="26"/>
      <c r="H32" s="26"/>
      <c r="I32" s="26"/>
      <c r="J32" s="18"/>
      <c r="K32" s="208"/>
      <c r="L32" s="18"/>
      <c r="M32" s="16">
        <f>+M30*0.16</f>
        <v>413155.87359487778</v>
      </c>
      <c r="O32" s="36"/>
    </row>
    <row r="33" spans="2:16" x14ac:dyDescent="0.25">
      <c r="B33" s="1"/>
      <c r="C33" s="27" t="s">
        <v>15</v>
      </c>
      <c r="D33" s="28"/>
      <c r="E33" s="28"/>
      <c r="F33" s="28"/>
      <c r="G33" s="28"/>
      <c r="H33" s="28"/>
      <c r="I33" s="28"/>
      <c r="J33" s="29"/>
      <c r="K33" s="30"/>
      <c r="L33" s="30"/>
      <c r="M33" s="16">
        <f>+M32+M30</f>
        <v>2995380.083562864</v>
      </c>
      <c r="O33" s="36"/>
    </row>
    <row r="34" spans="2:16" x14ac:dyDescent="0.25">
      <c r="B34" s="1"/>
      <c r="C34" s="17"/>
      <c r="D34" s="18"/>
      <c r="E34" s="18"/>
      <c r="F34" s="18"/>
      <c r="G34" s="18"/>
      <c r="H34" s="18"/>
      <c r="I34" s="18"/>
      <c r="J34" s="18"/>
      <c r="K34" s="18"/>
      <c r="L34" s="18"/>
      <c r="M34" s="13"/>
    </row>
    <row r="35" spans="2:16" x14ac:dyDescent="0.25">
      <c r="B35" s="1"/>
      <c r="C35" s="17" t="s">
        <v>71</v>
      </c>
      <c r="D35" s="18"/>
      <c r="E35" s="18"/>
      <c r="F35" s="18"/>
      <c r="G35" s="18"/>
      <c r="H35" s="18"/>
      <c r="I35" s="18"/>
      <c r="J35" s="18"/>
      <c r="K35" s="18"/>
      <c r="L35" s="18"/>
      <c r="M35" s="299">
        <f>(M16*1.16)</f>
        <v>2994628.7167999996</v>
      </c>
      <c r="O35" s="36"/>
      <c r="P35" s="36"/>
    </row>
    <row r="36" spans="2:16" x14ac:dyDescent="0.25">
      <c r="B36" s="1"/>
      <c r="C36" s="17" t="s">
        <v>72</v>
      </c>
      <c r="D36" s="18"/>
      <c r="E36" s="18"/>
      <c r="F36" s="18"/>
      <c r="G36" s="18"/>
      <c r="H36" s="18"/>
      <c r="I36" s="18"/>
      <c r="J36" s="18"/>
      <c r="K36" s="18"/>
      <c r="L36" s="18"/>
      <c r="M36" s="299">
        <f>(M26*1.16)+M31</f>
        <v>751.36676286387285</v>
      </c>
      <c r="O36" s="36"/>
      <c r="P36" s="36"/>
    </row>
    <row r="37" spans="2:16" x14ac:dyDescent="0.25">
      <c r="B37" s="1"/>
      <c r="C37" s="17"/>
      <c r="D37" s="18"/>
      <c r="E37" s="18"/>
      <c r="F37" s="18"/>
      <c r="G37" s="18"/>
      <c r="H37" s="18"/>
      <c r="I37" s="18"/>
      <c r="J37" s="18"/>
      <c r="K37" s="18"/>
      <c r="L37" s="18"/>
      <c r="M37" s="13"/>
    </row>
    <row r="38" spans="2:16" x14ac:dyDescent="0.25">
      <c r="B38" s="1"/>
      <c r="C38" s="7" t="s">
        <v>16</v>
      </c>
      <c r="D38" s="8"/>
      <c r="E38" s="8"/>
      <c r="F38" s="8"/>
      <c r="G38" s="8"/>
      <c r="H38" s="8"/>
      <c r="I38" s="8"/>
      <c r="J38" s="8"/>
      <c r="K38" s="9"/>
      <c r="L38" s="9"/>
      <c r="M38" s="10"/>
    </row>
    <row r="39" spans="2:16" x14ac:dyDescent="0.25">
      <c r="B39" s="1"/>
      <c r="C39" s="31" t="s">
        <v>17</v>
      </c>
      <c r="D39" s="32" t="s">
        <v>18</v>
      </c>
      <c r="E39" s="32" t="s">
        <v>19</v>
      </c>
      <c r="F39" s="2236" t="s">
        <v>20</v>
      </c>
      <c r="G39" s="2237"/>
      <c r="H39" s="2238" t="s">
        <v>1</v>
      </c>
      <c r="I39" s="2238"/>
      <c r="J39" s="2238" t="s">
        <v>21</v>
      </c>
      <c r="K39" s="2238"/>
      <c r="L39" s="18"/>
      <c r="M39" s="13"/>
    </row>
    <row r="40" spans="2:16" x14ac:dyDescent="0.25">
      <c r="B40" s="1"/>
      <c r="C40" s="33">
        <v>2044</v>
      </c>
      <c r="D40" s="34">
        <v>2044</v>
      </c>
      <c r="E40" s="34" t="s">
        <v>22</v>
      </c>
      <c r="F40" s="2224" t="s">
        <v>23</v>
      </c>
      <c r="G40" s="2224"/>
      <c r="H40" s="2225"/>
      <c r="I40" s="2225"/>
      <c r="J40" s="2226"/>
      <c r="K40" s="2226"/>
      <c r="L40" s="18"/>
      <c r="M40" s="13"/>
      <c r="N40" s="1"/>
    </row>
    <row r="41" spans="2:16" x14ac:dyDescent="0.25">
      <c r="B41" s="1"/>
      <c r="C41" s="33"/>
      <c r="D41" s="35"/>
      <c r="E41" s="35" t="s">
        <v>25</v>
      </c>
      <c r="F41" s="2227"/>
      <c r="G41" s="2228"/>
      <c r="H41" s="2229"/>
      <c r="I41" s="2230"/>
      <c r="J41" s="2231"/>
      <c r="K41" s="2232"/>
      <c r="L41" s="18"/>
      <c r="M41" s="13"/>
      <c r="N41" s="1"/>
    </row>
    <row r="42" spans="2:16" x14ac:dyDescent="0.25">
      <c r="B42" s="1"/>
      <c r="C42" s="33"/>
      <c r="D42" s="35"/>
      <c r="E42" s="35" t="s">
        <v>26</v>
      </c>
      <c r="F42" s="2227"/>
      <c r="G42" s="2228"/>
      <c r="H42" s="2229"/>
      <c r="I42" s="2230"/>
      <c r="J42" s="2231"/>
      <c r="K42" s="2232"/>
      <c r="L42" s="18"/>
      <c r="M42" s="13"/>
      <c r="N42" s="1"/>
    </row>
    <row r="43" spans="2:16" x14ac:dyDescent="0.25">
      <c r="B43" s="1"/>
      <c r="C43" s="33">
        <v>2044</v>
      </c>
      <c r="D43" s="34">
        <v>2044</v>
      </c>
      <c r="E43" s="34" t="s">
        <v>27</v>
      </c>
      <c r="F43" s="2224" t="s">
        <v>28</v>
      </c>
      <c r="G43" s="2224"/>
      <c r="H43" s="2225"/>
      <c r="I43" s="2225"/>
      <c r="J43" s="2226"/>
      <c r="K43" s="2226"/>
      <c r="L43" s="18"/>
      <c r="M43" s="13"/>
      <c r="N43" s="1"/>
    </row>
    <row r="44" spans="2:16" x14ac:dyDescent="0.25">
      <c r="B44" s="1"/>
      <c r="C44" s="2219" t="s">
        <v>24</v>
      </c>
      <c r="D44" s="2220"/>
      <c r="E44" s="2220"/>
      <c r="F44" s="2220"/>
      <c r="G44" s="2221"/>
      <c r="H44" s="2222">
        <f>SUM(H40:H43)</f>
        <v>0</v>
      </c>
      <c r="I44" s="2223"/>
      <c r="J44" s="3"/>
      <c r="K44" s="3"/>
      <c r="L44" s="18"/>
      <c r="M44" s="13"/>
      <c r="N44" s="1"/>
    </row>
    <row r="45" spans="2:16" x14ac:dyDescent="0.25">
      <c r="B45" s="1"/>
      <c r="C45" s="17"/>
      <c r="D45" s="18"/>
      <c r="E45" s="18"/>
      <c r="F45" s="18"/>
      <c r="G45" s="18"/>
      <c r="H45" s="18"/>
      <c r="I45" s="18"/>
      <c r="J45" s="18"/>
      <c r="K45" s="18"/>
      <c r="L45" s="18"/>
      <c r="M45" s="13"/>
    </row>
  </sheetData>
  <mergeCells count="44">
    <mergeCell ref="K9:M9"/>
    <mergeCell ref="C3:M4"/>
    <mergeCell ref="C5:M5"/>
    <mergeCell ref="C6:M6"/>
    <mergeCell ref="C7:G7"/>
    <mergeCell ref="C8:G8"/>
    <mergeCell ref="K11:L11"/>
    <mergeCell ref="C22:J22"/>
    <mergeCell ref="K22:L22"/>
    <mergeCell ref="C23:J23"/>
    <mergeCell ref="K23:L23"/>
    <mergeCell ref="C12:J12"/>
    <mergeCell ref="K12:L12"/>
    <mergeCell ref="C13:J13"/>
    <mergeCell ref="K13:L13"/>
    <mergeCell ref="K21:L21"/>
    <mergeCell ref="K20:L20"/>
    <mergeCell ref="C14:J14"/>
    <mergeCell ref="K24:L24"/>
    <mergeCell ref="K14:L14"/>
    <mergeCell ref="C15:J15"/>
    <mergeCell ref="K15:L15"/>
    <mergeCell ref="K16:L16"/>
    <mergeCell ref="C21:J21"/>
    <mergeCell ref="C25:J25"/>
    <mergeCell ref="K25:L25"/>
    <mergeCell ref="K26:L26"/>
    <mergeCell ref="F39:G39"/>
    <mergeCell ref="H39:I39"/>
    <mergeCell ref="J39:K39"/>
    <mergeCell ref="C44:G44"/>
    <mergeCell ref="H44:I44"/>
    <mergeCell ref="F40:G40"/>
    <mergeCell ref="H40:I40"/>
    <mergeCell ref="J40:K40"/>
    <mergeCell ref="F43:G43"/>
    <mergeCell ref="H43:I43"/>
    <mergeCell ref="J43:K43"/>
    <mergeCell ref="F41:G41"/>
    <mergeCell ref="F42:G42"/>
    <mergeCell ref="H41:I41"/>
    <mergeCell ref="H42:I42"/>
    <mergeCell ref="J41:K41"/>
    <mergeCell ref="J42:K42"/>
  </mergeCells>
  <pageMargins left="0.7" right="0.7" top="0.93" bottom="0.75" header="0.3" footer="0.3"/>
  <pageSetup scale="93" fitToHeight="0" orientation="portrait" r:id="rId1"/>
  <headerFooter>
    <oddHeader>&amp;L&amp;G&amp;R&amp;"Arial,Negrita"Direccion de Operacion&amp;"Arial,Normal"
Subdireccion de Energeticos
Subgerencia Regional de Energeticos</oddHeader>
  </headerFooter>
  <drawing r:id="rId2"/>
  <legacyDrawingHF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45"/>
  <sheetViews>
    <sheetView workbookViewId="0"/>
  </sheetViews>
  <sheetFormatPr baseColWidth="10" defaultColWidth="11" defaultRowHeight="15" x14ac:dyDescent="0.25"/>
  <cols>
    <col min="1" max="1" width="11" style="2"/>
    <col min="2" max="2" width="2.875" style="2" customWidth="1"/>
    <col min="3" max="9" width="5.625" style="2" customWidth="1"/>
    <col min="10" max="10" width="11" style="2" customWidth="1"/>
    <col min="11" max="11" width="5.375" style="2" customWidth="1"/>
    <col min="12" max="12" width="7.625" style="2" bestFit="1" customWidth="1"/>
    <col min="13" max="13" width="10.5" style="2" bestFit="1" customWidth="1"/>
    <col min="14" max="14" width="4.125" style="6" customWidth="1"/>
    <col min="15" max="15" width="39.625" style="3" bestFit="1" customWidth="1"/>
    <col min="16" max="16384" width="11" style="3"/>
  </cols>
  <sheetData>
    <row r="2" spans="2:15" ht="15.75" thickBot="1" x14ac:dyDescent="0.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2:15" ht="15" customHeight="1" x14ac:dyDescent="0.25">
      <c r="B3" s="1"/>
      <c r="C3" s="2250" t="s">
        <v>0</v>
      </c>
      <c r="D3" s="2251"/>
      <c r="E3" s="2251"/>
      <c r="F3" s="2251"/>
      <c r="G3" s="2251"/>
      <c r="H3" s="2251"/>
      <c r="I3" s="2251"/>
      <c r="J3" s="2251"/>
      <c r="K3" s="2251"/>
      <c r="L3" s="2251"/>
      <c r="M3" s="2252"/>
    </row>
    <row r="4" spans="2:15" ht="15" customHeight="1" x14ac:dyDescent="0.25">
      <c r="B4" s="1"/>
      <c r="C4" s="2253"/>
      <c r="D4" s="2254"/>
      <c r="E4" s="2254"/>
      <c r="F4" s="2254"/>
      <c r="G4" s="2254"/>
      <c r="H4" s="2254"/>
      <c r="I4" s="2254"/>
      <c r="J4" s="2254"/>
      <c r="K4" s="2254"/>
      <c r="L4" s="2254"/>
      <c r="M4" s="2255"/>
    </row>
    <row r="5" spans="2:15" x14ac:dyDescent="0.25">
      <c r="B5" s="1"/>
      <c r="C5" s="2256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8"/>
    </row>
    <row r="6" spans="2:15" x14ac:dyDescent="0.25">
      <c r="B6" s="1"/>
      <c r="C6" s="2256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8"/>
    </row>
    <row r="7" spans="2:15" ht="15" customHeight="1" x14ac:dyDescent="0.25">
      <c r="B7" s="1"/>
      <c r="C7" s="2259" t="s">
        <v>3</v>
      </c>
      <c r="D7" s="2260"/>
      <c r="E7" s="2260"/>
      <c r="F7" s="2260"/>
      <c r="G7" s="2260"/>
      <c r="H7" s="207">
        <v>2</v>
      </c>
      <c r="I7" s="296">
        <f>VLOOKUP(H7,Tarifas!D4:H303,2)</f>
        <v>41518</v>
      </c>
      <c r="J7" s="296"/>
      <c r="K7" s="296"/>
      <c r="L7" s="296"/>
      <c r="M7" s="297"/>
      <c r="O7" s="3" t="s">
        <v>64</v>
      </c>
    </row>
    <row r="8" spans="2:15" x14ac:dyDescent="0.25">
      <c r="B8" s="1"/>
      <c r="C8" s="2259" t="s">
        <v>4</v>
      </c>
      <c r="D8" s="2260"/>
      <c r="E8" s="2260"/>
      <c r="F8" s="2260"/>
      <c r="G8" s="2260"/>
      <c r="H8" s="207">
        <v>3</v>
      </c>
      <c r="I8" s="296"/>
      <c r="J8" s="296"/>
      <c r="K8" s="296"/>
      <c r="L8" s="296"/>
      <c r="M8" s="297"/>
    </row>
    <row r="9" spans="2:15" x14ac:dyDescent="0.25">
      <c r="B9" s="1"/>
      <c r="C9" s="4"/>
      <c r="D9" s="5"/>
      <c r="E9" s="5"/>
      <c r="F9" s="5"/>
      <c r="G9" s="5"/>
      <c r="H9" s="5"/>
      <c r="I9" s="5"/>
      <c r="J9" s="5"/>
      <c r="K9" s="2248" t="s">
        <v>73</v>
      </c>
      <c r="L9" s="2248"/>
      <c r="M9" s="2249"/>
    </row>
    <row r="10" spans="2:15" ht="15.75" thickBot="1" x14ac:dyDescent="0.3">
      <c r="B10" s="1"/>
      <c r="C10" s="7" t="s">
        <v>5</v>
      </c>
      <c r="D10" s="8"/>
      <c r="E10" s="8"/>
      <c r="F10" s="8"/>
      <c r="G10" s="8"/>
      <c r="H10" s="8"/>
      <c r="I10" s="8"/>
      <c r="J10" s="8"/>
      <c r="K10" s="9"/>
      <c r="L10" s="9"/>
      <c r="M10" s="10"/>
    </row>
    <row r="11" spans="2:15" x14ac:dyDescent="0.25">
      <c r="B11" s="1"/>
      <c r="C11" s="11" t="s">
        <v>6</v>
      </c>
      <c r="D11" s="12"/>
      <c r="E11" s="12"/>
      <c r="F11" s="12"/>
      <c r="G11" s="12"/>
      <c r="H11" s="12"/>
      <c r="I11" s="12"/>
      <c r="J11" s="12"/>
      <c r="K11" s="2244"/>
      <c r="L11" s="2245"/>
      <c r="M11" s="13"/>
      <c r="O11" s="38"/>
    </row>
    <row r="12" spans="2:15" ht="26.25" customHeight="1" x14ac:dyDescent="0.25">
      <c r="B12" s="1"/>
      <c r="C12" s="2213"/>
      <c r="D12" s="2214"/>
      <c r="E12" s="2214"/>
      <c r="F12" s="2214"/>
      <c r="G12" s="2214"/>
      <c r="H12" s="2214"/>
      <c r="I12" s="2214"/>
      <c r="J12" s="2215"/>
      <c r="K12" s="2241">
        <f>VLOOKUP(H7,Tarifas!D4:H303,3)</f>
        <v>8.2000000000000003E-2</v>
      </c>
      <c r="L12" s="2240"/>
      <c r="M12" s="13"/>
      <c r="O12" s="3" t="s">
        <v>63</v>
      </c>
    </row>
    <row r="13" spans="2:15" x14ac:dyDescent="0.25">
      <c r="B13" s="1"/>
      <c r="C13" s="2213"/>
      <c r="D13" s="2214"/>
      <c r="E13" s="2214"/>
      <c r="F13" s="2214"/>
      <c r="G13" s="2214"/>
      <c r="H13" s="2214"/>
      <c r="I13" s="2214"/>
      <c r="J13" s="2215"/>
      <c r="K13" s="2241">
        <v>850</v>
      </c>
      <c r="L13" s="2240"/>
      <c r="M13" s="13" t="s">
        <v>7</v>
      </c>
      <c r="O13" s="38"/>
    </row>
    <row r="14" spans="2:15" x14ac:dyDescent="0.25">
      <c r="B14" s="1"/>
      <c r="C14" s="2213"/>
      <c r="D14" s="2214"/>
      <c r="E14" s="2214"/>
      <c r="F14" s="2214"/>
      <c r="G14" s="2214"/>
      <c r="H14" s="2214"/>
      <c r="I14" s="2214"/>
      <c r="J14" s="2215"/>
      <c r="K14" s="2241">
        <v>850</v>
      </c>
      <c r="L14" s="2240"/>
      <c r="M14" s="13" t="s">
        <v>7</v>
      </c>
      <c r="O14" s="38"/>
    </row>
    <row r="15" spans="2:15" ht="15.75" thickBot="1" x14ac:dyDescent="0.3">
      <c r="B15" s="1"/>
      <c r="C15" s="2210"/>
      <c r="D15" s="2211"/>
      <c r="E15" s="2211"/>
      <c r="F15" s="2211"/>
      <c r="G15" s="2211"/>
      <c r="H15" s="2211"/>
      <c r="I15" s="2211"/>
      <c r="J15" s="2212"/>
      <c r="K15" s="2242">
        <v>31482640</v>
      </c>
      <c r="L15" s="2243"/>
      <c r="M15" s="13" t="s">
        <v>8</v>
      </c>
      <c r="O15" s="304"/>
    </row>
    <row r="16" spans="2:15" x14ac:dyDescent="0.25">
      <c r="B16" s="3"/>
      <c r="C16" s="14" t="s">
        <v>9</v>
      </c>
      <c r="D16" s="15"/>
      <c r="E16" s="15"/>
      <c r="F16" s="15"/>
      <c r="G16" s="15"/>
      <c r="H16" s="15"/>
      <c r="I16" s="15"/>
      <c r="J16" s="15"/>
      <c r="K16" s="2235"/>
      <c r="L16" s="2235"/>
      <c r="M16" s="16">
        <f>+K12*(K13/K14)*K15</f>
        <v>2581576.48</v>
      </c>
      <c r="O16" s="36"/>
    </row>
    <row r="17" spans="2:15" x14ac:dyDescent="0.25">
      <c r="B17" s="1"/>
      <c r="C17" s="17"/>
      <c r="D17" s="18"/>
      <c r="E17" s="18"/>
      <c r="F17" s="18"/>
      <c r="G17" s="18"/>
      <c r="H17" s="18"/>
      <c r="I17" s="18"/>
      <c r="J17" s="18"/>
      <c r="K17" s="18"/>
      <c r="L17" s="18" t="s">
        <v>75</v>
      </c>
      <c r="M17" s="305">
        <v>2581576.48</v>
      </c>
      <c r="O17" s="36"/>
    </row>
    <row r="18" spans="2:15" x14ac:dyDescent="0.25">
      <c r="B18" s="1"/>
      <c r="C18" s="17"/>
      <c r="D18" s="18"/>
      <c r="E18" s="18"/>
      <c r="F18" s="18"/>
      <c r="G18" s="18"/>
      <c r="H18" s="18"/>
      <c r="I18" s="18"/>
      <c r="J18" s="18"/>
      <c r="K18" s="18"/>
      <c r="L18" s="18" t="s">
        <v>74</v>
      </c>
      <c r="M18" s="299">
        <f>M16-M17</f>
        <v>0</v>
      </c>
      <c r="O18" s="36"/>
    </row>
    <row r="19" spans="2:15" ht="15.75" thickBot="1" x14ac:dyDescent="0.3">
      <c r="B19" s="1"/>
      <c r="C19" s="7" t="s">
        <v>10</v>
      </c>
      <c r="D19" s="8"/>
      <c r="E19" s="8"/>
      <c r="F19" s="8"/>
      <c r="G19" s="8"/>
      <c r="H19" s="8"/>
      <c r="I19" s="8"/>
      <c r="J19" s="8"/>
      <c r="K19" s="9"/>
      <c r="L19" s="9"/>
      <c r="M19" s="10"/>
    </row>
    <row r="20" spans="2:15" ht="22.5" customHeight="1" x14ac:dyDescent="0.25">
      <c r="B20" s="1"/>
      <c r="C20" s="11" t="s">
        <v>6</v>
      </c>
      <c r="D20" s="12"/>
      <c r="E20" s="12"/>
      <c r="F20" s="12"/>
      <c r="G20" s="12"/>
      <c r="H20" s="12"/>
      <c r="I20" s="12"/>
      <c r="J20" s="12"/>
      <c r="K20" s="2244"/>
      <c r="L20" s="2245"/>
      <c r="M20" s="13"/>
    </row>
    <row r="21" spans="2:15" ht="21.75" customHeight="1" x14ac:dyDescent="0.25">
      <c r="B21" s="1"/>
      <c r="C21" s="2213"/>
      <c r="D21" s="2214"/>
      <c r="E21" s="2214"/>
      <c r="F21" s="2214"/>
      <c r="G21" s="2214"/>
      <c r="H21" s="2214"/>
      <c r="I21" s="2214"/>
      <c r="J21" s="2215"/>
      <c r="K21" s="2241">
        <f>VLOOKUP(H7,Tarifas!D4:H303,5)</f>
        <v>1E-3</v>
      </c>
      <c r="L21" s="2240"/>
      <c r="M21" s="13" t="s">
        <v>11</v>
      </c>
      <c r="O21" s="3" t="s">
        <v>63</v>
      </c>
    </row>
    <row r="22" spans="2:15" ht="15" customHeight="1" x14ac:dyDescent="0.25">
      <c r="B22" s="1"/>
      <c r="C22" s="2213"/>
      <c r="D22" s="2214"/>
      <c r="E22" s="2214"/>
      <c r="F22" s="2214"/>
      <c r="G22" s="2214"/>
      <c r="H22" s="2214"/>
      <c r="I22" s="2214"/>
      <c r="J22" s="2215"/>
      <c r="K22" s="2246">
        <v>201.4</v>
      </c>
      <c r="L22" s="2247"/>
      <c r="M22" s="13" t="s">
        <v>12</v>
      </c>
      <c r="O22" s="3" t="s">
        <v>62</v>
      </c>
    </row>
    <row r="23" spans="2:15" ht="21.75" customHeight="1" x14ac:dyDescent="0.25">
      <c r="B23" s="1"/>
      <c r="C23" s="2216"/>
      <c r="D23" s="2217"/>
      <c r="E23" s="2217"/>
      <c r="F23" s="2217"/>
      <c r="G23" s="2217"/>
      <c r="H23" s="2217"/>
      <c r="I23" s="2217"/>
      <c r="J23" s="2218"/>
      <c r="K23" s="2246">
        <v>204.3</v>
      </c>
      <c r="L23" s="2247"/>
      <c r="M23" s="13" t="s">
        <v>12</v>
      </c>
      <c r="O23" s="3" t="s">
        <v>67</v>
      </c>
    </row>
    <row r="24" spans="2:15" x14ac:dyDescent="0.25">
      <c r="B24" s="1"/>
      <c r="C24" s="19"/>
      <c r="D24" s="20"/>
      <c r="E24" s="20"/>
      <c r="F24" s="20"/>
      <c r="G24" s="20"/>
      <c r="H24" s="20"/>
      <c r="I24" s="20"/>
      <c r="J24" s="21"/>
      <c r="K24" s="2239">
        <f>IFERROR(K23/K22,0)</f>
        <v>1.0143992055610724</v>
      </c>
      <c r="L24" s="2240"/>
      <c r="M24" s="13"/>
    </row>
    <row r="25" spans="2:15" ht="15.75" thickBot="1" x14ac:dyDescent="0.3">
      <c r="B25" s="1"/>
      <c r="C25" s="2207"/>
      <c r="D25" s="2208"/>
      <c r="E25" s="2208"/>
      <c r="F25" s="2208"/>
      <c r="G25" s="2208"/>
      <c r="H25" s="2208"/>
      <c r="I25" s="2208"/>
      <c r="J25" s="2209"/>
      <c r="K25" s="2233">
        <v>758926.73300000001</v>
      </c>
      <c r="L25" s="2234"/>
      <c r="M25" s="13" t="s">
        <v>8</v>
      </c>
      <c r="O25" s="37" t="s">
        <v>66</v>
      </c>
    </row>
    <row r="26" spans="2:15" x14ac:dyDescent="0.25">
      <c r="B26" s="1"/>
      <c r="C26" s="14" t="s">
        <v>13</v>
      </c>
      <c r="D26" s="15"/>
      <c r="E26" s="15"/>
      <c r="F26" s="15"/>
      <c r="G26" s="15"/>
      <c r="H26" s="15"/>
      <c r="I26" s="15"/>
      <c r="J26" s="15"/>
      <c r="K26" s="2235"/>
      <c r="L26" s="2235"/>
      <c r="M26" s="16">
        <f>+K21*K24*K25</f>
        <v>769.85467503426025</v>
      </c>
      <c r="O26" s="38"/>
    </row>
    <row r="27" spans="2:15" x14ac:dyDescent="0.25">
      <c r="B27" s="1"/>
      <c r="C27" s="306"/>
      <c r="D27" s="307"/>
      <c r="E27" s="307"/>
      <c r="F27" s="307"/>
      <c r="G27" s="307"/>
      <c r="H27" s="307"/>
      <c r="I27" s="307"/>
      <c r="J27" s="307"/>
      <c r="K27" s="308"/>
      <c r="L27" s="310" t="s">
        <v>75</v>
      </c>
      <c r="M27" s="309">
        <v>769.85</v>
      </c>
      <c r="O27" s="38"/>
    </row>
    <row r="28" spans="2:15" x14ac:dyDescent="0.25">
      <c r="B28" s="1"/>
      <c r="C28" s="306"/>
      <c r="D28" s="307"/>
      <c r="E28" s="307"/>
      <c r="F28" s="307"/>
      <c r="G28" s="307"/>
      <c r="H28" s="307"/>
      <c r="I28" s="307"/>
      <c r="J28" s="307"/>
      <c r="K28" s="308"/>
      <c r="L28" s="310" t="s">
        <v>74</v>
      </c>
      <c r="M28" s="309">
        <f>M26-M27</f>
        <v>4.6750342602308592E-3</v>
      </c>
      <c r="O28" s="38"/>
    </row>
    <row r="29" spans="2:15" x14ac:dyDescent="0.25">
      <c r="B29" s="1"/>
      <c r="C29" s="306"/>
      <c r="D29" s="307"/>
      <c r="E29" s="307"/>
      <c r="F29" s="307"/>
      <c r="G29" s="307"/>
      <c r="H29" s="307"/>
      <c r="I29" s="307"/>
      <c r="J29" s="307"/>
      <c r="K29" s="308"/>
      <c r="L29" s="308"/>
      <c r="M29" s="309"/>
      <c r="O29" s="38"/>
    </row>
    <row r="30" spans="2:15" ht="15" customHeight="1" x14ac:dyDescent="0.25">
      <c r="B30" s="1"/>
      <c r="C30" s="22" t="s">
        <v>70</v>
      </c>
      <c r="D30" s="23"/>
      <c r="E30" s="23"/>
      <c r="F30" s="23"/>
      <c r="G30" s="23"/>
      <c r="H30" s="23"/>
      <c r="I30" s="23"/>
      <c r="J30" s="23"/>
      <c r="K30" s="24"/>
      <c r="L30" s="24"/>
      <c r="M30" s="16">
        <f>+M16+M26</f>
        <v>2582346.334675034</v>
      </c>
      <c r="O30" s="298"/>
    </row>
    <row r="31" spans="2:15" ht="15" customHeight="1" x14ac:dyDescent="0.25">
      <c r="B31" s="1"/>
      <c r="C31" s="22" t="str">
        <f>"% de Impuestos del mes: "&amp;H7</f>
        <v>% de Impuestos del mes: 2</v>
      </c>
      <c r="D31" s="23"/>
      <c r="E31" s="23"/>
      <c r="F31" s="23"/>
      <c r="G31" s="300" t="str">
        <f>"("&amp;VLOOKUP(H7,Tarifas!D4:H303,4)&amp;")"</f>
        <v>(2.779%)</v>
      </c>
      <c r="H31" s="23"/>
      <c r="I31" s="301"/>
      <c r="J31" s="302"/>
      <c r="K31" s="24"/>
      <c r="L31" s="24"/>
      <c r="M31" s="13"/>
      <c r="O31" s="38"/>
    </row>
    <row r="32" spans="2:15" x14ac:dyDescent="0.25">
      <c r="B32" s="1"/>
      <c r="C32" s="25" t="s">
        <v>14</v>
      </c>
      <c r="D32" s="26"/>
      <c r="E32" s="26"/>
      <c r="F32" s="26"/>
      <c r="G32" s="26"/>
      <c r="H32" s="26"/>
      <c r="I32" s="26"/>
      <c r="J32" s="18"/>
      <c r="K32" s="208"/>
      <c r="L32" s="18"/>
      <c r="M32" s="16">
        <f>+M30*0.16</f>
        <v>413175.41354800545</v>
      </c>
      <c r="O32" s="36"/>
    </row>
    <row r="33" spans="2:16" x14ac:dyDescent="0.25">
      <c r="B33" s="1"/>
      <c r="C33" s="27" t="s">
        <v>15</v>
      </c>
      <c r="D33" s="28"/>
      <c r="E33" s="28"/>
      <c r="F33" s="28"/>
      <c r="G33" s="28"/>
      <c r="H33" s="28"/>
      <c r="I33" s="28"/>
      <c r="J33" s="29"/>
      <c r="K33" s="30"/>
      <c r="L33" s="30"/>
      <c r="M33" s="16">
        <f>+M32+M30</f>
        <v>2995521.7482230393</v>
      </c>
      <c r="O33" s="36"/>
    </row>
    <row r="34" spans="2:16" x14ac:dyDescent="0.25">
      <c r="B34" s="1"/>
      <c r="C34" s="17"/>
      <c r="D34" s="18"/>
      <c r="E34" s="18"/>
      <c r="F34" s="18"/>
      <c r="G34" s="18"/>
      <c r="H34" s="18"/>
      <c r="I34" s="18"/>
      <c r="J34" s="18"/>
      <c r="K34" s="18"/>
      <c r="L34" s="18"/>
      <c r="M34" s="13"/>
    </row>
    <row r="35" spans="2:16" x14ac:dyDescent="0.25">
      <c r="B35" s="1"/>
      <c r="C35" s="17" t="s">
        <v>71</v>
      </c>
      <c r="D35" s="18"/>
      <c r="E35" s="18"/>
      <c r="F35" s="18"/>
      <c r="G35" s="18"/>
      <c r="H35" s="18"/>
      <c r="I35" s="18"/>
      <c r="J35" s="18"/>
      <c r="K35" s="18"/>
      <c r="L35" s="18"/>
      <c r="M35" s="299">
        <f>(M16*1.16)</f>
        <v>2994628.7167999996</v>
      </c>
      <c r="O35" s="36"/>
      <c r="P35" s="36"/>
    </row>
    <row r="36" spans="2:16" x14ac:dyDescent="0.25">
      <c r="B36" s="1"/>
      <c r="C36" s="17" t="s">
        <v>72</v>
      </c>
      <c r="D36" s="18"/>
      <c r="E36" s="18"/>
      <c r="F36" s="18"/>
      <c r="G36" s="18"/>
      <c r="H36" s="18"/>
      <c r="I36" s="18"/>
      <c r="J36" s="18"/>
      <c r="K36" s="18"/>
      <c r="L36" s="18"/>
      <c r="M36" s="299">
        <f>(M26*1.16)+M31</f>
        <v>893.03142303974187</v>
      </c>
      <c r="O36" s="36"/>
      <c r="P36" s="36"/>
    </row>
    <row r="37" spans="2:16" x14ac:dyDescent="0.25">
      <c r="B37" s="1"/>
      <c r="C37" s="17"/>
      <c r="D37" s="18"/>
      <c r="E37" s="18"/>
      <c r="F37" s="18"/>
      <c r="G37" s="18"/>
      <c r="H37" s="18"/>
      <c r="I37" s="18"/>
      <c r="J37" s="18"/>
      <c r="K37" s="18"/>
      <c r="L37" s="18"/>
      <c r="M37" s="13"/>
    </row>
    <row r="38" spans="2:16" x14ac:dyDescent="0.25">
      <c r="B38" s="1"/>
      <c r="C38" s="7" t="s">
        <v>16</v>
      </c>
      <c r="D38" s="8"/>
      <c r="E38" s="8"/>
      <c r="F38" s="8"/>
      <c r="G38" s="8"/>
      <c r="H38" s="8"/>
      <c r="I38" s="8"/>
      <c r="J38" s="8"/>
      <c r="K38" s="9"/>
      <c r="L38" s="9"/>
      <c r="M38" s="10"/>
    </row>
    <row r="39" spans="2:16" x14ac:dyDescent="0.25">
      <c r="B39" s="1"/>
      <c r="C39" s="31" t="s">
        <v>17</v>
      </c>
      <c r="D39" s="32" t="s">
        <v>18</v>
      </c>
      <c r="E39" s="32" t="s">
        <v>19</v>
      </c>
      <c r="F39" s="2236" t="s">
        <v>20</v>
      </c>
      <c r="G39" s="2237"/>
      <c r="H39" s="2238" t="s">
        <v>1</v>
      </c>
      <c r="I39" s="2238"/>
      <c r="J39" s="2238" t="s">
        <v>21</v>
      </c>
      <c r="K39" s="2238"/>
      <c r="L39" s="18"/>
      <c r="M39" s="13"/>
    </row>
    <row r="40" spans="2:16" x14ac:dyDescent="0.25">
      <c r="B40" s="1"/>
      <c r="C40" s="33">
        <v>2044</v>
      </c>
      <c r="D40" s="303">
        <v>2044</v>
      </c>
      <c r="E40" s="303" t="s">
        <v>22</v>
      </c>
      <c r="F40" s="2224" t="s">
        <v>23</v>
      </c>
      <c r="G40" s="2224"/>
      <c r="H40" s="2225"/>
      <c r="I40" s="2225"/>
      <c r="J40" s="2226"/>
      <c r="K40" s="2226"/>
      <c r="L40" s="18"/>
      <c r="M40" s="13"/>
      <c r="N40" s="1"/>
    </row>
    <row r="41" spans="2:16" x14ac:dyDescent="0.25">
      <c r="B41" s="1"/>
      <c r="C41" s="33"/>
      <c r="D41" s="303"/>
      <c r="E41" s="303" t="s">
        <v>25</v>
      </c>
      <c r="F41" s="2227"/>
      <c r="G41" s="2228"/>
      <c r="H41" s="2229"/>
      <c r="I41" s="2230"/>
      <c r="J41" s="2231"/>
      <c r="K41" s="2232"/>
      <c r="L41" s="18"/>
      <c r="M41" s="13"/>
      <c r="N41" s="1"/>
    </row>
    <row r="42" spans="2:16" x14ac:dyDescent="0.25">
      <c r="B42" s="1"/>
      <c r="C42" s="33"/>
      <c r="D42" s="303"/>
      <c r="E42" s="303" t="s">
        <v>26</v>
      </c>
      <c r="F42" s="2227"/>
      <c r="G42" s="2228"/>
      <c r="H42" s="2229"/>
      <c r="I42" s="2230"/>
      <c r="J42" s="2231"/>
      <c r="K42" s="2232"/>
      <c r="L42" s="18"/>
      <c r="M42" s="13"/>
      <c r="N42" s="1"/>
    </row>
    <row r="43" spans="2:16" x14ac:dyDescent="0.25">
      <c r="B43" s="1"/>
      <c r="C43" s="33">
        <v>2044</v>
      </c>
      <c r="D43" s="303">
        <v>2044</v>
      </c>
      <c r="E43" s="303" t="s">
        <v>27</v>
      </c>
      <c r="F43" s="2224" t="s">
        <v>28</v>
      </c>
      <c r="G43" s="2224"/>
      <c r="H43" s="2225"/>
      <c r="I43" s="2225"/>
      <c r="J43" s="2226"/>
      <c r="K43" s="2226"/>
      <c r="L43" s="18"/>
      <c r="M43" s="13"/>
      <c r="N43" s="1"/>
    </row>
    <row r="44" spans="2:16" x14ac:dyDescent="0.25">
      <c r="B44" s="1"/>
      <c r="C44" s="2219" t="s">
        <v>24</v>
      </c>
      <c r="D44" s="2220"/>
      <c r="E44" s="2220"/>
      <c r="F44" s="2220"/>
      <c r="G44" s="2221"/>
      <c r="H44" s="2222">
        <f>SUM(H40:H43)</f>
        <v>0</v>
      </c>
      <c r="I44" s="2223"/>
      <c r="J44" s="3"/>
      <c r="K44" s="3"/>
      <c r="L44" s="18"/>
      <c r="M44" s="13"/>
      <c r="N44" s="1"/>
    </row>
    <row r="45" spans="2:16" x14ac:dyDescent="0.25">
      <c r="B45" s="1"/>
      <c r="C45" s="17"/>
      <c r="D45" s="18"/>
      <c r="E45" s="18"/>
      <c r="F45" s="18"/>
      <c r="G45" s="18"/>
      <c r="H45" s="18"/>
      <c r="I45" s="18"/>
      <c r="J45" s="18"/>
      <c r="K45" s="18"/>
      <c r="L45" s="18"/>
      <c r="M45" s="13"/>
    </row>
  </sheetData>
  <mergeCells count="44">
    <mergeCell ref="F41:G41"/>
    <mergeCell ref="H41:I41"/>
    <mergeCell ref="J41:K41"/>
    <mergeCell ref="C44:G44"/>
    <mergeCell ref="H44:I44"/>
    <mergeCell ref="F42:G42"/>
    <mergeCell ref="H42:I42"/>
    <mergeCell ref="J42:K42"/>
    <mergeCell ref="F43:G43"/>
    <mergeCell ref="H43:I43"/>
    <mergeCell ref="J43:K43"/>
    <mergeCell ref="C23:J23"/>
    <mergeCell ref="K23:L23"/>
    <mergeCell ref="F40:G40"/>
    <mergeCell ref="H40:I40"/>
    <mergeCell ref="J40:K40"/>
    <mergeCell ref="K26:L26"/>
    <mergeCell ref="F39:G39"/>
    <mergeCell ref="H39:I39"/>
    <mergeCell ref="J39:K39"/>
    <mergeCell ref="K24:L24"/>
    <mergeCell ref="C25:J25"/>
    <mergeCell ref="K25:L25"/>
    <mergeCell ref="K9:M9"/>
    <mergeCell ref="K11:L11"/>
    <mergeCell ref="C12:J12"/>
    <mergeCell ref="K12:L12"/>
    <mergeCell ref="C13:J13"/>
    <mergeCell ref="K13:L13"/>
    <mergeCell ref="C14:J14"/>
    <mergeCell ref="K14:L14"/>
    <mergeCell ref="K21:L21"/>
    <mergeCell ref="C22:J22"/>
    <mergeCell ref="K22:L22"/>
    <mergeCell ref="C15:J15"/>
    <mergeCell ref="K15:L15"/>
    <mergeCell ref="K16:L16"/>
    <mergeCell ref="K20:L20"/>
    <mergeCell ref="C21:J21"/>
    <mergeCell ref="C3:M4"/>
    <mergeCell ref="C5:M5"/>
    <mergeCell ref="C6:M6"/>
    <mergeCell ref="C7:G7"/>
    <mergeCell ref="C8:G8"/>
  </mergeCells>
  <pageMargins left="0.7" right="0.7" top="0.93" bottom="0.75" header="0.3" footer="0.3"/>
  <pageSetup scale="93" fitToHeight="0" orientation="portrait" r:id="rId1"/>
  <headerFooter>
    <oddHeader>&amp;L&amp;G&amp;R&amp;"Arial,Negrita"Direccion de Operacion&amp;"Arial,Normal"
Subdireccion de Energeticos
Subgerencia Regional de Energeticos</oddHeader>
  </headerFooter>
  <drawing r:id="rId2"/>
  <legacyDrawingHF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45"/>
  <sheetViews>
    <sheetView workbookViewId="0"/>
  </sheetViews>
  <sheetFormatPr baseColWidth="10" defaultColWidth="11" defaultRowHeight="15" x14ac:dyDescent="0.25"/>
  <cols>
    <col min="1" max="1" width="11" style="2"/>
    <col min="2" max="2" width="2.875" style="2" customWidth="1"/>
    <col min="3" max="9" width="5.625" style="2" customWidth="1"/>
    <col min="10" max="10" width="11" style="2" customWidth="1"/>
    <col min="11" max="11" width="5.375" style="2" customWidth="1"/>
    <col min="12" max="12" width="7.625" style="2" bestFit="1" customWidth="1"/>
    <col min="13" max="13" width="10.5" style="2" bestFit="1" customWidth="1"/>
    <col min="14" max="14" width="4.125" style="6" customWidth="1"/>
    <col min="15" max="15" width="39.625" style="3" bestFit="1" customWidth="1"/>
    <col min="16" max="16384" width="11" style="3"/>
  </cols>
  <sheetData>
    <row r="2" spans="2:15" ht="15.75" thickBot="1" x14ac:dyDescent="0.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2:15" ht="15" customHeight="1" x14ac:dyDescent="0.25">
      <c r="B3" s="1"/>
      <c r="C3" s="2250" t="s">
        <v>0</v>
      </c>
      <c r="D3" s="2251"/>
      <c r="E3" s="2251"/>
      <c r="F3" s="2251"/>
      <c r="G3" s="2251"/>
      <c r="H3" s="2251"/>
      <c r="I3" s="2251"/>
      <c r="J3" s="2251"/>
      <c r="K3" s="2251"/>
      <c r="L3" s="2251"/>
      <c r="M3" s="2252"/>
    </row>
    <row r="4" spans="2:15" ht="15" customHeight="1" x14ac:dyDescent="0.25">
      <c r="B4" s="1"/>
      <c r="C4" s="2253"/>
      <c r="D4" s="2254"/>
      <c r="E4" s="2254"/>
      <c r="F4" s="2254"/>
      <c r="G4" s="2254"/>
      <c r="H4" s="2254"/>
      <c r="I4" s="2254"/>
      <c r="J4" s="2254"/>
      <c r="K4" s="2254"/>
      <c r="L4" s="2254"/>
      <c r="M4" s="2255"/>
    </row>
    <row r="5" spans="2:15" x14ac:dyDescent="0.25">
      <c r="B5" s="1"/>
      <c r="C5" s="2256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8"/>
    </row>
    <row r="6" spans="2:15" x14ac:dyDescent="0.25">
      <c r="B6" s="1"/>
      <c r="C6" s="2256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8"/>
    </row>
    <row r="7" spans="2:15" ht="15" customHeight="1" x14ac:dyDescent="0.25">
      <c r="B7" s="1"/>
      <c r="C7" s="2259" t="s">
        <v>3</v>
      </c>
      <c r="D7" s="2260"/>
      <c r="E7" s="2260"/>
      <c r="F7" s="2260"/>
      <c r="G7" s="2260"/>
      <c r="H7" s="207">
        <v>3</v>
      </c>
      <c r="I7" s="296">
        <f>VLOOKUP(H7,Tarifas!D4:H303,2)</f>
        <v>41548</v>
      </c>
      <c r="J7" s="296"/>
      <c r="K7" s="296"/>
      <c r="L7" s="296"/>
      <c r="M7" s="297"/>
      <c r="O7" s="3" t="s">
        <v>64</v>
      </c>
    </row>
    <row r="8" spans="2:15" x14ac:dyDescent="0.25">
      <c r="B8" s="1"/>
      <c r="C8" s="2259" t="s">
        <v>4</v>
      </c>
      <c r="D8" s="2260"/>
      <c r="E8" s="2260"/>
      <c r="F8" s="2260"/>
      <c r="G8" s="2260"/>
      <c r="H8" s="207">
        <v>5</v>
      </c>
      <c r="I8" s="296"/>
      <c r="J8" s="296"/>
      <c r="K8" s="296"/>
      <c r="L8" s="296"/>
      <c r="M8" s="297"/>
    </row>
    <row r="9" spans="2:15" x14ac:dyDescent="0.25">
      <c r="B9" s="1"/>
      <c r="C9" s="4"/>
      <c r="D9" s="5"/>
      <c r="E9" s="5"/>
      <c r="F9" s="5"/>
      <c r="G9" s="5"/>
      <c r="H9" s="5"/>
      <c r="I9" s="5"/>
      <c r="J9" s="5"/>
      <c r="K9" s="2248" t="s">
        <v>73</v>
      </c>
      <c r="L9" s="2248"/>
      <c r="M9" s="2249"/>
    </row>
    <row r="10" spans="2:15" ht="15.75" thickBot="1" x14ac:dyDescent="0.3">
      <c r="B10" s="1"/>
      <c r="C10" s="7" t="s">
        <v>5</v>
      </c>
      <c r="D10" s="8"/>
      <c r="E10" s="8"/>
      <c r="F10" s="8"/>
      <c r="G10" s="8"/>
      <c r="H10" s="8"/>
      <c r="I10" s="8"/>
      <c r="J10" s="8"/>
      <c r="K10" s="9"/>
      <c r="L10" s="9"/>
      <c r="M10" s="10"/>
    </row>
    <row r="11" spans="2:15" x14ac:dyDescent="0.25">
      <c r="B11" s="1"/>
      <c r="C11" s="11" t="s">
        <v>6</v>
      </c>
      <c r="D11" s="12"/>
      <c r="E11" s="12"/>
      <c r="F11" s="12"/>
      <c r="G11" s="12"/>
      <c r="H11" s="12"/>
      <c r="I11" s="12"/>
      <c r="J11" s="12"/>
      <c r="K11" s="2244"/>
      <c r="L11" s="2245"/>
      <c r="M11" s="13"/>
      <c r="O11" s="38"/>
    </row>
    <row r="12" spans="2:15" ht="26.25" customHeight="1" x14ac:dyDescent="0.25">
      <c r="B12" s="1"/>
      <c r="C12" s="2213"/>
      <c r="D12" s="2214"/>
      <c r="E12" s="2214"/>
      <c r="F12" s="2214"/>
      <c r="G12" s="2214"/>
      <c r="H12" s="2214"/>
      <c r="I12" s="2214"/>
      <c r="J12" s="2215"/>
      <c r="K12" s="2241">
        <f>VLOOKUP(H7,Tarifas!D4:H303,3)</f>
        <v>8.2000000000000003E-2</v>
      </c>
      <c r="L12" s="2240"/>
      <c r="M12" s="13"/>
      <c r="O12" s="3" t="s">
        <v>63</v>
      </c>
    </row>
    <row r="13" spans="2:15" x14ac:dyDescent="0.25">
      <c r="B13" s="1"/>
      <c r="C13" s="2213"/>
      <c r="D13" s="2214"/>
      <c r="E13" s="2214"/>
      <c r="F13" s="2214"/>
      <c r="G13" s="2214"/>
      <c r="H13" s="2214"/>
      <c r="I13" s="2214"/>
      <c r="J13" s="2215"/>
      <c r="K13" s="2241">
        <v>850</v>
      </c>
      <c r="L13" s="2240"/>
      <c r="M13" s="13" t="s">
        <v>7</v>
      </c>
      <c r="O13" s="38"/>
    </row>
    <row r="14" spans="2:15" x14ac:dyDescent="0.25">
      <c r="B14" s="1"/>
      <c r="C14" s="2213"/>
      <c r="D14" s="2214"/>
      <c r="E14" s="2214"/>
      <c r="F14" s="2214"/>
      <c r="G14" s="2214"/>
      <c r="H14" s="2214"/>
      <c r="I14" s="2214"/>
      <c r="J14" s="2215"/>
      <c r="K14" s="2241">
        <v>850</v>
      </c>
      <c r="L14" s="2240"/>
      <c r="M14" s="13" t="s">
        <v>7</v>
      </c>
      <c r="O14" s="38"/>
    </row>
    <row r="15" spans="2:15" ht="15.75" thickBot="1" x14ac:dyDescent="0.3">
      <c r="B15" s="1"/>
      <c r="C15" s="2210"/>
      <c r="D15" s="2211"/>
      <c r="E15" s="2211"/>
      <c r="F15" s="2211"/>
      <c r="G15" s="2211"/>
      <c r="H15" s="2211"/>
      <c r="I15" s="2211"/>
      <c r="J15" s="2212"/>
      <c r="K15" s="2242">
        <v>31482640</v>
      </c>
      <c r="L15" s="2243"/>
      <c r="M15" s="13" t="s">
        <v>8</v>
      </c>
      <c r="O15" s="304"/>
    </row>
    <row r="16" spans="2:15" x14ac:dyDescent="0.25">
      <c r="B16" s="3"/>
      <c r="C16" s="14" t="s">
        <v>9</v>
      </c>
      <c r="D16" s="15"/>
      <c r="E16" s="15"/>
      <c r="F16" s="15"/>
      <c r="G16" s="15"/>
      <c r="H16" s="15"/>
      <c r="I16" s="15"/>
      <c r="J16" s="15"/>
      <c r="K16" s="2235"/>
      <c r="L16" s="2235"/>
      <c r="M16" s="16">
        <f>+K12*(K13/K14)*K15</f>
        <v>2581576.48</v>
      </c>
      <c r="O16" s="36"/>
    </row>
    <row r="17" spans="2:15" x14ac:dyDescent="0.25">
      <c r="B17" s="1"/>
      <c r="C17" s="17"/>
      <c r="D17" s="18"/>
      <c r="E17" s="18"/>
      <c r="F17" s="18"/>
      <c r="G17" s="18"/>
      <c r="H17" s="18"/>
      <c r="I17" s="18"/>
      <c r="J17" s="18"/>
      <c r="K17" s="18"/>
      <c r="L17" s="18" t="s">
        <v>75</v>
      </c>
      <c r="M17" s="305">
        <v>2667629.0299999998</v>
      </c>
      <c r="O17" s="36"/>
    </row>
    <row r="18" spans="2:15" x14ac:dyDescent="0.25">
      <c r="B18" s="1"/>
      <c r="C18" s="17"/>
      <c r="D18" s="18"/>
      <c r="E18" s="18"/>
      <c r="F18" s="18"/>
      <c r="G18" s="18"/>
      <c r="H18" s="18"/>
      <c r="I18" s="18"/>
      <c r="J18" s="18"/>
      <c r="K18" s="18"/>
      <c r="L18" s="18" t="s">
        <v>74</v>
      </c>
      <c r="M18" s="299">
        <f>M16-M17</f>
        <v>-86052.549999999814</v>
      </c>
      <c r="O18" s="36"/>
    </row>
    <row r="19" spans="2:15" ht="15.75" thickBot="1" x14ac:dyDescent="0.3">
      <c r="B19" s="1"/>
      <c r="C19" s="7" t="s">
        <v>10</v>
      </c>
      <c r="D19" s="8"/>
      <c r="E19" s="8"/>
      <c r="F19" s="8"/>
      <c r="G19" s="8"/>
      <c r="H19" s="8"/>
      <c r="I19" s="8"/>
      <c r="J19" s="8"/>
      <c r="K19" s="9"/>
      <c r="L19" s="9"/>
      <c r="M19" s="10"/>
    </row>
    <row r="20" spans="2:15" ht="22.5" customHeight="1" x14ac:dyDescent="0.25">
      <c r="B20" s="1"/>
      <c r="C20" s="11" t="s">
        <v>6</v>
      </c>
      <c r="D20" s="12"/>
      <c r="E20" s="12"/>
      <c r="F20" s="12"/>
      <c r="G20" s="12"/>
      <c r="H20" s="12"/>
      <c r="I20" s="12"/>
      <c r="J20" s="12"/>
      <c r="K20" s="2244"/>
      <c r="L20" s="2245"/>
      <c r="M20" s="13"/>
    </row>
    <row r="21" spans="2:15" ht="21.75" customHeight="1" x14ac:dyDescent="0.25">
      <c r="B21" s="1"/>
      <c r="C21" s="2213"/>
      <c r="D21" s="2214"/>
      <c r="E21" s="2214"/>
      <c r="F21" s="2214"/>
      <c r="G21" s="2214"/>
      <c r="H21" s="2214"/>
      <c r="I21" s="2214"/>
      <c r="J21" s="2215"/>
      <c r="K21" s="2241">
        <f>VLOOKUP(H7,Tarifas!D4:H303,5)</f>
        <v>1E-3</v>
      </c>
      <c r="L21" s="2240"/>
      <c r="M21" s="13" t="s">
        <v>11</v>
      </c>
      <c r="O21" s="3" t="s">
        <v>63</v>
      </c>
    </row>
    <row r="22" spans="2:15" ht="15" customHeight="1" x14ac:dyDescent="0.25">
      <c r="B22" s="1"/>
      <c r="C22" s="2213"/>
      <c r="D22" s="2214"/>
      <c r="E22" s="2214"/>
      <c r="F22" s="2214"/>
      <c r="G22" s="2214"/>
      <c r="H22" s="2214"/>
      <c r="I22" s="2214"/>
      <c r="J22" s="2215"/>
      <c r="K22" s="2246">
        <v>201.4</v>
      </c>
      <c r="L22" s="2247"/>
      <c r="M22" s="13" t="s">
        <v>12</v>
      </c>
      <c r="O22" s="3" t="s">
        <v>62</v>
      </c>
    </row>
    <row r="23" spans="2:15" ht="21.75" customHeight="1" x14ac:dyDescent="0.25">
      <c r="B23" s="1"/>
      <c r="C23" s="2216"/>
      <c r="D23" s="2217"/>
      <c r="E23" s="2217"/>
      <c r="F23" s="2217"/>
      <c r="G23" s="2217"/>
      <c r="H23" s="2217"/>
      <c r="I23" s="2217"/>
      <c r="J23" s="2218"/>
      <c r="K23" s="2246">
        <v>204</v>
      </c>
      <c r="L23" s="2247"/>
      <c r="M23" s="13" t="s">
        <v>12</v>
      </c>
      <c r="O23" s="3" t="s">
        <v>67</v>
      </c>
    </row>
    <row r="24" spans="2:15" x14ac:dyDescent="0.25">
      <c r="B24" s="1"/>
      <c r="C24" s="19"/>
      <c r="D24" s="20"/>
      <c r="E24" s="20"/>
      <c r="F24" s="20"/>
      <c r="G24" s="20"/>
      <c r="H24" s="20"/>
      <c r="I24" s="20"/>
      <c r="J24" s="21"/>
      <c r="K24" s="2239">
        <f>IFERROR(K23/K22,0)</f>
        <v>1.012909632571996</v>
      </c>
      <c r="L24" s="2240"/>
      <c r="M24" s="13"/>
    </row>
    <row r="25" spans="2:15" ht="15.75" thickBot="1" x14ac:dyDescent="0.3">
      <c r="B25" s="1"/>
      <c r="C25" s="2207"/>
      <c r="D25" s="2208"/>
      <c r="E25" s="2208"/>
      <c r="F25" s="2208"/>
      <c r="G25" s="2208"/>
      <c r="H25" s="2208"/>
      <c r="I25" s="2208"/>
      <c r="J25" s="2209"/>
      <c r="K25" s="2233">
        <v>743378</v>
      </c>
      <c r="L25" s="2234"/>
      <c r="M25" s="13" t="s">
        <v>8</v>
      </c>
      <c r="O25" s="37" t="s">
        <v>66</v>
      </c>
    </row>
    <row r="26" spans="2:15" x14ac:dyDescent="0.25">
      <c r="B26" s="1"/>
      <c r="C26" s="14" t="s">
        <v>13</v>
      </c>
      <c r="D26" s="15"/>
      <c r="E26" s="15"/>
      <c r="F26" s="15"/>
      <c r="G26" s="15"/>
      <c r="H26" s="15"/>
      <c r="I26" s="15"/>
      <c r="J26" s="15"/>
      <c r="K26" s="2235"/>
      <c r="L26" s="2235"/>
      <c r="M26" s="16">
        <f>+K21*K24*K25</f>
        <v>752.97473684210524</v>
      </c>
      <c r="O26" s="38"/>
    </row>
    <row r="27" spans="2:15" x14ac:dyDescent="0.25">
      <c r="B27" s="1"/>
      <c r="C27" s="306"/>
      <c r="D27" s="307"/>
      <c r="E27" s="307"/>
      <c r="F27" s="307"/>
      <c r="G27" s="307"/>
      <c r="H27" s="307"/>
      <c r="I27" s="307"/>
      <c r="J27" s="307"/>
      <c r="K27" s="308"/>
      <c r="L27" s="310" t="s">
        <v>75</v>
      </c>
      <c r="M27" s="309">
        <v>752.97</v>
      </c>
      <c r="O27" s="38"/>
    </row>
    <row r="28" spans="2:15" x14ac:dyDescent="0.25">
      <c r="B28" s="1"/>
      <c r="C28" s="306"/>
      <c r="D28" s="307"/>
      <c r="E28" s="307"/>
      <c r="F28" s="307"/>
      <c r="G28" s="307"/>
      <c r="H28" s="307"/>
      <c r="I28" s="307"/>
      <c r="J28" s="307"/>
      <c r="K28" s="308"/>
      <c r="L28" s="310" t="s">
        <v>74</v>
      </c>
      <c r="M28" s="309">
        <f>M26-M27</f>
        <v>4.7368421052169651E-3</v>
      </c>
      <c r="O28" s="38"/>
    </row>
    <row r="29" spans="2:15" x14ac:dyDescent="0.25">
      <c r="B29" s="1"/>
      <c r="C29" s="306"/>
      <c r="D29" s="307"/>
      <c r="E29" s="307"/>
      <c r="F29" s="307"/>
      <c r="G29" s="307"/>
      <c r="H29" s="307"/>
      <c r="I29" s="307"/>
      <c r="J29" s="307"/>
      <c r="K29" s="308"/>
      <c r="L29" s="308"/>
      <c r="M29" s="309"/>
      <c r="O29" s="38"/>
    </row>
    <row r="30" spans="2:15" ht="15" customHeight="1" x14ac:dyDescent="0.25">
      <c r="B30" s="1"/>
      <c r="C30" s="22" t="s">
        <v>70</v>
      </c>
      <c r="D30" s="23"/>
      <c r="E30" s="23"/>
      <c r="F30" s="23"/>
      <c r="G30" s="23"/>
      <c r="H30" s="23"/>
      <c r="I30" s="23"/>
      <c r="J30" s="23"/>
      <c r="K30" s="24"/>
      <c r="L30" s="24"/>
      <c r="M30" s="16">
        <f>+M16+M26</f>
        <v>2582329.4547368423</v>
      </c>
      <c r="O30" s="298"/>
    </row>
    <row r="31" spans="2:15" ht="15" customHeight="1" x14ac:dyDescent="0.25">
      <c r="B31" s="1"/>
      <c r="C31" s="22" t="str">
        <f>"% de Impuestos del mes: "&amp;H7</f>
        <v>% de Impuestos del mes: 3</v>
      </c>
      <c r="D31" s="23"/>
      <c r="E31" s="23"/>
      <c r="F31" s="23"/>
      <c r="G31" s="300" t="str">
        <f>"("&amp;VLOOKUP(H7,Tarifas!D4:H303,4)&amp;")"</f>
        <v>(2.779%)</v>
      </c>
      <c r="H31" s="23"/>
      <c r="I31" s="301"/>
      <c r="J31" s="302"/>
      <c r="K31" s="24"/>
      <c r="L31" s="24"/>
      <c r="M31" s="13"/>
      <c r="O31" s="38"/>
    </row>
    <row r="32" spans="2:15" x14ac:dyDescent="0.25">
      <c r="B32" s="1"/>
      <c r="C32" s="25" t="s">
        <v>14</v>
      </c>
      <c r="D32" s="26"/>
      <c r="E32" s="26"/>
      <c r="F32" s="26"/>
      <c r="G32" s="26"/>
      <c r="H32" s="26"/>
      <c r="I32" s="26"/>
      <c r="J32" s="18"/>
      <c r="K32" s="208"/>
      <c r="L32" s="18"/>
      <c r="M32" s="16">
        <f>+M30*0.16</f>
        <v>413172.71275789477</v>
      </c>
      <c r="O32" s="36"/>
    </row>
    <row r="33" spans="2:16" x14ac:dyDescent="0.25">
      <c r="B33" s="1"/>
      <c r="C33" s="27" t="s">
        <v>15</v>
      </c>
      <c r="D33" s="28"/>
      <c r="E33" s="28"/>
      <c r="F33" s="28"/>
      <c r="G33" s="28"/>
      <c r="H33" s="28"/>
      <c r="I33" s="28"/>
      <c r="J33" s="29"/>
      <c r="K33" s="30"/>
      <c r="L33" s="30"/>
      <c r="M33" s="16">
        <f>+M32+M30</f>
        <v>2995502.1674947371</v>
      </c>
      <c r="O33" s="36"/>
    </row>
    <row r="34" spans="2:16" x14ac:dyDescent="0.25">
      <c r="B34" s="1"/>
      <c r="C34" s="17"/>
      <c r="D34" s="18"/>
      <c r="E34" s="18"/>
      <c r="F34" s="18"/>
      <c r="G34" s="18"/>
      <c r="H34" s="18"/>
      <c r="I34" s="18"/>
      <c r="J34" s="18"/>
      <c r="K34" s="18"/>
      <c r="L34" s="18"/>
      <c r="M34" s="13"/>
    </row>
    <row r="35" spans="2:16" x14ac:dyDescent="0.25">
      <c r="B35" s="1"/>
      <c r="C35" s="17" t="s">
        <v>71</v>
      </c>
      <c r="D35" s="18"/>
      <c r="E35" s="18"/>
      <c r="F35" s="18"/>
      <c r="G35" s="18"/>
      <c r="H35" s="18"/>
      <c r="I35" s="18"/>
      <c r="J35" s="18"/>
      <c r="K35" s="18"/>
      <c r="L35" s="18"/>
      <c r="M35" s="299">
        <f>(M16*1.16)</f>
        <v>2994628.7167999996</v>
      </c>
      <c r="O35" s="36"/>
      <c r="P35" s="36"/>
    </row>
    <row r="36" spans="2:16" x14ac:dyDescent="0.25">
      <c r="B36" s="1"/>
      <c r="C36" s="17" t="s">
        <v>72</v>
      </c>
      <c r="D36" s="18"/>
      <c r="E36" s="18"/>
      <c r="F36" s="18"/>
      <c r="G36" s="18"/>
      <c r="H36" s="18"/>
      <c r="I36" s="18"/>
      <c r="J36" s="18"/>
      <c r="K36" s="18"/>
      <c r="L36" s="18"/>
      <c r="M36" s="299">
        <f>(M26*1.16)+M31</f>
        <v>873.45069473684202</v>
      </c>
      <c r="O36" s="36"/>
      <c r="P36" s="36"/>
    </row>
    <row r="37" spans="2:16" x14ac:dyDescent="0.25">
      <c r="B37" s="1"/>
      <c r="C37" s="17"/>
      <c r="D37" s="18"/>
      <c r="E37" s="18"/>
      <c r="F37" s="18"/>
      <c r="G37" s="18"/>
      <c r="H37" s="18"/>
      <c r="I37" s="18"/>
      <c r="J37" s="18"/>
      <c r="K37" s="18"/>
      <c r="L37" s="18"/>
      <c r="M37" s="13"/>
    </row>
    <row r="38" spans="2:16" x14ac:dyDescent="0.25">
      <c r="B38" s="1"/>
      <c r="C38" s="7" t="s">
        <v>16</v>
      </c>
      <c r="D38" s="8"/>
      <c r="E38" s="8"/>
      <c r="F38" s="8"/>
      <c r="G38" s="8"/>
      <c r="H38" s="8"/>
      <c r="I38" s="8"/>
      <c r="J38" s="8"/>
      <c r="K38" s="9"/>
      <c r="L38" s="9"/>
      <c r="M38" s="10"/>
    </row>
    <row r="39" spans="2:16" x14ac:dyDescent="0.25">
      <c r="B39" s="1"/>
      <c r="C39" s="31" t="s">
        <v>17</v>
      </c>
      <c r="D39" s="32" t="s">
        <v>18</v>
      </c>
      <c r="E39" s="32" t="s">
        <v>19</v>
      </c>
      <c r="F39" s="2236" t="s">
        <v>20</v>
      </c>
      <c r="G39" s="2237"/>
      <c r="H39" s="2238" t="s">
        <v>1</v>
      </c>
      <c r="I39" s="2238"/>
      <c r="J39" s="2238" t="s">
        <v>21</v>
      </c>
      <c r="K39" s="2238"/>
      <c r="L39" s="18"/>
      <c r="M39" s="13"/>
    </row>
    <row r="40" spans="2:16" x14ac:dyDescent="0.25">
      <c r="B40" s="1"/>
      <c r="C40" s="33">
        <v>2044</v>
      </c>
      <c r="D40" s="303">
        <v>2044</v>
      </c>
      <c r="E40" s="303" t="s">
        <v>22</v>
      </c>
      <c r="F40" s="2224" t="s">
        <v>23</v>
      </c>
      <c r="G40" s="2224"/>
      <c r="H40" s="2225"/>
      <c r="I40" s="2225"/>
      <c r="J40" s="2226"/>
      <c r="K40" s="2226"/>
      <c r="L40" s="18"/>
      <c r="M40" s="13"/>
      <c r="N40" s="1"/>
    </row>
    <row r="41" spans="2:16" x14ac:dyDescent="0.25">
      <c r="B41" s="1"/>
      <c r="C41" s="33"/>
      <c r="D41" s="303"/>
      <c r="E41" s="303" t="s">
        <v>25</v>
      </c>
      <c r="F41" s="2227"/>
      <c r="G41" s="2228"/>
      <c r="H41" s="2229"/>
      <c r="I41" s="2230"/>
      <c r="J41" s="2231"/>
      <c r="K41" s="2232"/>
      <c r="L41" s="18"/>
      <c r="M41" s="13"/>
      <c r="N41" s="1"/>
    </row>
    <row r="42" spans="2:16" x14ac:dyDescent="0.25">
      <c r="B42" s="1"/>
      <c r="C42" s="33"/>
      <c r="D42" s="303"/>
      <c r="E42" s="303" t="s">
        <v>26</v>
      </c>
      <c r="F42" s="2227"/>
      <c r="G42" s="2228"/>
      <c r="H42" s="2229"/>
      <c r="I42" s="2230"/>
      <c r="J42" s="2231"/>
      <c r="K42" s="2232"/>
      <c r="L42" s="18"/>
      <c r="M42" s="13"/>
      <c r="N42" s="1"/>
    </row>
    <row r="43" spans="2:16" x14ac:dyDescent="0.25">
      <c r="B43" s="1"/>
      <c r="C43" s="33">
        <v>2044</v>
      </c>
      <c r="D43" s="303">
        <v>2044</v>
      </c>
      <c r="E43" s="303" t="s">
        <v>27</v>
      </c>
      <c r="F43" s="2224" t="s">
        <v>28</v>
      </c>
      <c r="G43" s="2224"/>
      <c r="H43" s="2225"/>
      <c r="I43" s="2225"/>
      <c r="J43" s="2226"/>
      <c r="K43" s="2226"/>
      <c r="L43" s="18"/>
      <c r="M43" s="13"/>
      <c r="N43" s="1"/>
    </row>
    <row r="44" spans="2:16" x14ac:dyDescent="0.25">
      <c r="B44" s="1"/>
      <c r="C44" s="2219" t="s">
        <v>24</v>
      </c>
      <c r="D44" s="2220"/>
      <c r="E44" s="2220"/>
      <c r="F44" s="2220"/>
      <c r="G44" s="2221"/>
      <c r="H44" s="2222">
        <f>SUM(H40:H43)</f>
        <v>0</v>
      </c>
      <c r="I44" s="2223"/>
      <c r="J44" s="3"/>
      <c r="K44" s="3"/>
      <c r="L44" s="18"/>
      <c r="M44" s="13"/>
      <c r="N44" s="1"/>
    </row>
    <row r="45" spans="2:16" x14ac:dyDescent="0.25">
      <c r="B45" s="1"/>
      <c r="C45" s="17"/>
      <c r="D45" s="18"/>
      <c r="E45" s="18"/>
      <c r="F45" s="18"/>
      <c r="G45" s="18"/>
      <c r="H45" s="18"/>
      <c r="I45" s="18"/>
      <c r="J45" s="18"/>
      <c r="K45" s="18"/>
      <c r="L45" s="18"/>
      <c r="M45" s="13"/>
    </row>
  </sheetData>
  <mergeCells count="44">
    <mergeCell ref="F41:G41"/>
    <mergeCell ref="H41:I41"/>
    <mergeCell ref="J41:K41"/>
    <mergeCell ref="C44:G44"/>
    <mergeCell ref="H44:I44"/>
    <mergeCell ref="F42:G42"/>
    <mergeCell ref="H42:I42"/>
    <mergeCell ref="J42:K42"/>
    <mergeCell ref="F43:G43"/>
    <mergeCell ref="H43:I43"/>
    <mergeCell ref="J43:K43"/>
    <mergeCell ref="C23:J23"/>
    <mergeCell ref="K23:L23"/>
    <mergeCell ref="F40:G40"/>
    <mergeCell ref="H40:I40"/>
    <mergeCell ref="J40:K40"/>
    <mergeCell ref="K26:L26"/>
    <mergeCell ref="F39:G39"/>
    <mergeCell ref="H39:I39"/>
    <mergeCell ref="J39:K39"/>
    <mergeCell ref="K24:L24"/>
    <mergeCell ref="C25:J25"/>
    <mergeCell ref="K25:L25"/>
    <mergeCell ref="K9:M9"/>
    <mergeCell ref="K11:L11"/>
    <mergeCell ref="C12:J12"/>
    <mergeCell ref="K12:L12"/>
    <mergeCell ref="C13:J13"/>
    <mergeCell ref="K13:L13"/>
    <mergeCell ref="C14:J14"/>
    <mergeCell ref="K14:L14"/>
    <mergeCell ref="K21:L21"/>
    <mergeCell ref="C22:J22"/>
    <mergeCell ref="K22:L22"/>
    <mergeCell ref="C15:J15"/>
    <mergeCell ref="K15:L15"/>
    <mergeCell ref="K16:L16"/>
    <mergeCell ref="K20:L20"/>
    <mergeCell ref="C21:J21"/>
    <mergeCell ref="C3:M4"/>
    <mergeCell ref="C5:M5"/>
    <mergeCell ref="C6:M6"/>
    <mergeCell ref="C7:G7"/>
    <mergeCell ref="C8:G8"/>
  </mergeCells>
  <pageMargins left="0.7" right="0.7" top="0.93" bottom="0.75" header="0.3" footer="0.3"/>
  <pageSetup scale="93" fitToHeight="0" orientation="portrait" r:id="rId1"/>
  <headerFooter>
    <oddHeader>&amp;L&amp;G&amp;R&amp;"Arial,Negrita"Direccion de Operacion&amp;"Arial,Normal"
Subdireccion de Energeticos
Subgerencia Regional de Energeticos</oddHeader>
  </headerFooter>
  <drawing r:id="rId2"/>
  <legacyDrawingHF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45"/>
  <sheetViews>
    <sheetView workbookViewId="0"/>
  </sheetViews>
  <sheetFormatPr baseColWidth="10" defaultColWidth="11" defaultRowHeight="15" x14ac:dyDescent="0.25"/>
  <cols>
    <col min="1" max="1" width="11" style="2"/>
    <col min="2" max="2" width="2.875" style="2" customWidth="1"/>
    <col min="3" max="9" width="5.625" style="2" customWidth="1"/>
    <col min="10" max="10" width="11" style="2" customWidth="1"/>
    <col min="11" max="11" width="5.375" style="2" customWidth="1"/>
    <col min="12" max="12" width="7.625" style="2" bestFit="1" customWidth="1"/>
    <col min="13" max="13" width="10.5" style="2" bestFit="1" customWidth="1"/>
    <col min="14" max="14" width="4.125" style="6" customWidth="1"/>
    <col min="15" max="15" width="39.625" style="3" bestFit="1" customWidth="1"/>
    <col min="16" max="16384" width="11" style="3"/>
  </cols>
  <sheetData>
    <row r="2" spans="2:15" ht="15.75" thickBot="1" x14ac:dyDescent="0.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2:15" ht="15" customHeight="1" x14ac:dyDescent="0.25">
      <c r="B3" s="1"/>
      <c r="C3" s="2250" t="s">
        <v>0</v>
      </c>
      <c r="D3" s="2251"/>
      <c r="E3" s="2251"/>
      <c r="F3" s="2251"/>
      <c r="G3" s="2251"/>
      <c r="H3" s="2251"/>
      <c r="I3" s="2251"/>
      <c r="J3" s="2251"/>
      <c r="K3" s="2251"/>
      <c r="L3" s="2251"/>
      <c r="M3" s="2252"/>
    </row>
    <row r="4" spans="2:15" ht="15" customHeight="1" x14ac:dyDescent="0.25">
      <c r="B4" s="1"/>
      <c r="C4" s="2253"/>
      <c r="D4" s="2254"/>
      <c r="E4" s="2254"/>
      <c r="F4" s="2254"/>
      <c r="G4" s="2254"/>
      <c r="H4" s="2254"/>
      <c r="I4" s="2254"/>
      <c r="J4" s="2254"/>
      <c r="K4" s="2254"/>
      <c r="L4" s="2254"/>
      <c r="M4" s="2255"/>
    </row>
    <row r="5" spans="2:15" x14ac:dyDescent="0.25">
      <c r="B5" s="1"/>
      <c r="C5" s="2256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8"/>
    </row>
    <row r="6" spans="2:15" x14ac:dyDescent="0.25">
      <c r="B6" s="1"/>
      <c r="C6" s="2256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8"/>
    </row>
    <row r="7" spans="2:15" ht="15" customHeight="1" x14ac:dyDescent="0.25">
      <c r="B7" s="1"/>
      <c r="C7" s="2259" t="s">
        <v>3</v>
      </c>
      <c r="D7" s="2260"/>
      <c r="E7" s="2260"/>
      <c r="F7" s="2260"/>
      <c r="G7" s="2260"/>
      <c r="H7" s="207">
        <v>4</v>
      </c>
      <c r="I7" s="296">
        <f>VLOOKUP(H7,Tarifas!D4:H303,2)</f>
        <v>41579</v>
      </c>
      <c r="J7" s="296"/>
      <c r="K7" s="296"/>
      <c r="L7" s="296"/>
      <c r="M7" s="297"/>
      <c r="O7" s="3" t="s">
        <v>64</v>
      </c>
    </row>
    <row r="8" spans="2:15" x14ac:dyDescent="0.25">
      <c r="B8" s="1"/>
      <c r="C8" s="2259" t="s">
        <v>4</v>
      </c>
      <c r="D8" s="2260"/>
      <c r="E8" s="2260"/>
      <c r="F8" s="2260"/>
      <c r="G8" s="2260"/>
      <c r="H8" s="207">
        <v>7</v>
      </c>
      <c r="I8" s="296"/>
      <c r="J8" s="296"/>
      <c r="K8" s="296"/>
      <c r="L8" s="296"/>
      <c r="M8" s="297"/>
    </row>
    <row r="9" spans="2:15" x14ac:dyDescent="0.25">
      <c r="B9" s="1"/>
      <c r="C9" s="4"/>
      <c r="D9" s="5"/>
      <c r="E9" s="5"/>
      <c r="F9" s="5"/>
      <c r="G9" s="5"/>
      <c r="H9" s="5"/>
      <c r="I9" s="5"/>
      <c r="J9" s="5"/>
      <c r="K9" s="2248" t="s">
        <v>73</v>
      </c>
      <c r="L9" s="2248"/>
      <c r="M9" s="2249"/>
    </row>
    <row r="10" spans="2:15" ht="15.75" thickBot="1" x14ac:dyDescent="0.3">
      <c r="B10" s="1"/>
      <c r="C10" s="7" t="s">
        <v>5</v>
      </c>
      <c r="D10" s="8"/>
      <c r="E10" s="8"/>
      <c r="F10" s="8"/>
      <c r="G10" s="8"/>
      <c r="H10" s="8"/>
      <c r="I10" s="8"/>
      <c r="J10" s="8"/>
      <c r="K10" s="9"/>
      <c r="L10" s="9"/>
      <c r="M10" s="10"/>
    </row>
    <row r="11" spans="2:15" x14ac:dyDescent="0.25">
      <c r="B11" s="1"/>
      <c r="C11" s="11" t="s">
        <v>6</v>
      </c>
      <c r="D11" s="12"/>
      <c r="E11" s="12"/>
      <c r="F11" s="12"/>
      <c r="G11" s="12"/>
      <c r="H11" s="12"/>
      <c r="I11" s="12"/>
      <c r="J11" s="12"/>
      <c r="K11" s="2244"/>
      <c r="L11" s="2245"/>
      <c r="M11" s="13"/>
      <c r="O11" s="38"/>
    </row>
    <row r="12" spans="2:15" ht="26.25" customHeight="1" x14ac:dyDescent="0.25">
      <c r="B12" s="1"/>
      <c r="C12" s="2213"/>
      <c r="D12" s="2214"/>
      <c r="E12" s="2214"/>
      <c r="F12" s="2214"/>
      <c r="G12" s="2214"/>
      <c r="H12" s="2214"/>
      <c r="I12" s="2214"/>
      <c r="J12" s="2215"/>
      <c r="K12" s="2241">
        <f>VLOOKUP(H7,Tarifas!D4:H303,3)</f>
        <v>8.2000000000000003E-2</v>
      </c>
      <c r="L12" s="2240"/>
      <c r="M12" s="13"/>
      <c r="O12" s="3" t="s">
        <v>63</v>
      </c>
    </row>
    <row r="13" spans="2:15" x14ac:dyDescent="0.25">
      <c r="B13" s="1"/>
      <c r="C13" s="2213"/>
      <c r="D13" s="2214"/>
      <c r="E13" s="2214"/>
      <c r="F13" s="2214"/>
      <c r="G13" s="2214"/>
      <c r="H13" s="2214"/>
      <c r="I13" s="2214"/>
      <c r="J13" s="2215"/>
      <c r="K13" s="2241">
        <v>850</v>
      </c>
      <c r="L13" s="2240"/>
      <c r="M13" s="13" t="s">
        <v>7</v>
      </c>
      <c r="O13" s="38"/>
    </row>
    <row r="14" spans="2:15" x14ac:dyDescent="0.25">
      <c r="B14" s="1"/>
      <c r="C14" s="2213"/>
      <c r="D14" s="2214"/>
      <c r="E14" s="2214"/>
      <c r="F14" s="2214"/>
      <c r="G14" s="2214"/>
      <c r="H14" s="2214"/>
      <c r="I14" s="2214"/>
      <c r="J14" s="2215"/>
      <c r="K14" s="2241">
        <v>850</v>
      </c>
      <c r="L14" s="2240"/>
      <c r="M14" s="13" t="s">
        <v>7</v>
      </c>
      <c r="O14" s="38"/>
    </row>
    <row r="15" spans="2:15" ht="15.75" thickBot="1" x14ac:dyDescent="0.3">
      <c r="B15" s="1"/>
      <c r="C15" s="2210"/>
      <c r="D15" s="2211"/>
      <c r="E15" s="2211"/>
      <c r="F15" s="2211"/>
      <c r="G15" s="2211"/>
      <c r="H15" s="2211"/>
      <c r="I15" s="2211"/>
      <c r="J15" s="2212"/>
      <c r="K15" s="2242">
        <v>31482640</v>
      </c>
      <c r="L15" s="2243"/>
      <c r="M15" s="13" t="s">
        <v>8</v>
      </c>
      <c r="O15" s="304"/>
    </row>
    <row r="16" spans="2:15" x14ac:dyDescent="0.25">
      <c r="B16" s="3"/>
      <c r="C16" s="14" t="s">
        <v>9</v>
      </c>
      <c r="D16" s="15"/>
      <c r="E16" s="15"/>
      <c r="F16" s="15"/>
      <c r="G16" s="15"/>
      <c r="H16" s="15"/>
      <c r="I16" s="15"/>
      <c r="J16" s="15"/>
      <c r="K16" s="2235"/>
      <c r="L16" s="2235"/>
      <c r="M16" s="16">
        <f>+K12*(K13/K14)*K15</f>
        <v>2581576.48</v>
      </c>
      <c r="O16" s="36"/>
    </row>
    <row r="17" spans="2:15" x14ac:dyDescent="0.25">
      <c r="B17" s="1"/>
      <c r="C17" s="17"/>
      <c r="D17" s="18"/>
      <c r="E17" s="18"/>
      <c r="F17" s="18"/>
      <c r="G17" s="18"/>
      <c r="H17" s="18"/>
      <c r="I17" s="18"/>
      <c r="J17" s="18"/>
      <c r="K17" s="18"/>
      <c r="L17" s="18" t="s">
        <v>75</v>
      </c>
      <c r="M17" s="305">
        <v>2581576.48</v>
      </c>
      <c r="O17" s="36"/>
    </row>
    <row r="18" spans="2:15" x14ac:dyDescent="0.25">
      <c r="B18" s="1"/>
      <c r="C18" s="17"/>
      <c r="D18" s="18"/>
      <c r="E18" s="18"/>
      <c r="F18" s="18"/>
      <c r="G18" s="18"/>
      <c r="H18" s="18"/>
      <c r="I18" s="18"/>
      <c r="J18" s="18"/>
      <c r="K18" s="18"/>
      <c r="L18" s="18" t="s">
        <v>74</v>
      </c>
      <c r="M18" s="299">
        <f>M16-M17</f>
        <v>0</v>
      </c>
      <c r="O18" s="36"/>
    </row>
    <row r="19" spans="2:15" ht="15.75" thickBot="1" x14ac:dyDescent="0.3">
      <c r="B19" s="1"/>
      <c r="C19" s="7" t="s">
        <v>10</v>
      </c>
      <c r="D19" s="8"/>
      <c r="E19" s="8"/>
      <c r="F19" s="8"/>
      <c r="G19" s="8"/>
      <c r="H19" s="8"/>
      <c r="I19" s="8"/>
      <c r="J19" s="8"/>
      <c r="K19" s="9"/>
      <c r="L19" s="9"/>
      <c r="M19" s="10"/>
    </row>
    <row r="20" spans="2:15" ht="22.5" customHeight="1" x14ac:dyDescent="0.25">
      <c r="B20" s="1"/>
      <c r="C20" s="11" t="s">
        <v>6</v>
      </c>
      <c r="D20" s="12"/>
      <c r="E20" s="12"/>
      <c r="F20" s="12"/>
      <c r="G20" s="12"/>
      <c r="H20" s="12"/>
      <c r="I20" s="12"/>
      <c r="J20" s="12"/>
      <c r="K20" s="2244"/>
      <c r="L20" s="2245"/>
      <c r="M20" s="13"/>
    </row>
    <row r="21" spans="2:15" ht="21.75" customHeight="1" x14ac:dyDescent="0.25">
      <c r="B21" s="1"/>
      <c r="C21" s="2213"/>
      <c r="D21" s="2214"/>
      <c r="E21" s="2214"/>
      <c r="F21" s="2214"/>
      <c r="G21" s="2214"/>
      <c r="H21" s="2214"/>
      <c r="I21" s="2214"/>
      <c r="J21" s="2215"/>
      <c r="K21" s="2241">
        <f>VLOOKUP(H7,Tarifas!D4:H303,5)</f>
        <v>1E-3</v>
      </c>
      <c r="L21" s="2240"/>
      <c r="M21" s="13" t="s">
        <v>11</v>
      </c>
      <c r="O21" s="3" t="s">
        <v>63</v>
      </c>
    </row>
    <row r="22" spans="2:15" ht="15" customHeight="1" x14ac:dyDescent="0.25">
      <c r="B22" s="1"/>
      <c r="C22" s="2213"/>
      <c r="D22" s="2214"/>
      <c r="E22" s="2214"/>
      <c r="F22" s="2214"/>
      <c r="G22" s="2214"/>
      <c r="H22" s="2214"/>
      <c r="I22" s="2214"/>
      <c r="J22" s="2215"/>
      <c r="K22" s="2246">
        <v>201.4</v>
      </c>
      <c r="L22" s="2247"/>
      <c r="M22" s="13" t="s">
        <v>12</v>
      </c>
      <c r="O22" s="3" t="s">
        <v>62</v>
      </c>
    </row>
    <row r="23" spans="2:15" ht="21.75" customHeight="1" x14ac:dyDescent="0.25">
      <c r="B23" s="1"/>
      <c r="C23" s="2216"/>
      <c r="D23" s="2217"/>
      <c r="E23" s="2217"/>
      <c r="F23" s="2217"/>
      <c r="G23" s="2217"/>
      <c r="H23" s="2217"/>
      <c r="I23" s="2217"/>
      <c r="J23" s="2218"/>
      <c r="K23" s="2246">
        <v>202.5</v>
      </c>
      <c r="L23" s="2247"/>
      <c r="M23" s="13" t="s">
        <v>12</v>
      </c>
      <c r="O23" s="3" t="s">
        <v>67</v>
      </c>
    </row>
    <row r="24" spans="2:15" x14ac:dyDescent="0.25">
      <c r="B24" s="1"/>
      <c r="C24" s="19"/>
      <c r="D24" s="20"/>
      <c r="E24" s="20"/>
      <c r="F24" s="20"/>
      <c r="G24" s="20"/>
      <c r="H24" s="20"/>
      <c r="I24" s="20"/>
      <c r="J24" s="21"/>
      <c r="K24" s="2239">
        <f>IFERROR(K23/K22,0)</f>
        <v>1.0054617676266138</v>
      </c>
      <c r="L24" s="2240"/>
      <c r="M24" s="13"/>
    </row>
    <row r="25" spans="2:15" ht="15.75" thickBot="1" x14ac:dyDescent="0.3">
      <c r="B25" s="1"/>
      <c r="C25" s="2207"/>
      <c r="D25" s="2208"/>
      <c r="E25" s="2208"/>
      <c r="F25" s="2208"/>
      <c r="G25" s="2208"/>
      <c r="H25" s="2208"/>
      <c r="I25" s="2208"/>
      <c r="J25" s="2209"/>
      <c r="K25" s="2233">
        <v>321311.01001999999</v>
      </c>
      <c r="L25" s="2234"/>
      <c r="M25" s="13" t="s">
        <v>8</v>
      </c>
      <c r="O25" s="37" t="s">
        <v>66</v>
      </c>
    </row>
    <row r="26" spans="2:15" x14ac:dyDescent="0.25">
      <c r="B26" s="1"/>
      <c r="C26" s="14" t="s">
        <v>13</v>
      </c>
      <c r="D26" s="15"/>
      <c r="E26" s="15"/>
      <c r="F26" s="15"/>
      <c r="G26" s="15"/>
      <c r="H26" s="15"/>
      <c r="I26" s="15"/>
      <c r="J26" s="15"/>
      <c r="K26" s="2235"/>
      <c r="L26" s="2235"/>
      <c r="M26" s="16">
        <f>+K21*K24*K25</f>
        <v>323.06593609260182</v>
      </c>
      <c r="O26" s="38"/>
    </row>
    <row r="27" spans="2:15" x14ac:dyDescent="0.25">
      <c r="B27" s="1"/>
      <c r="C27" s="306"/>
      <c r="D27" s="307"/>
      <c r="E27" s="307"/>
      <c r="F27" s="307"/>
      <c r="G27" s="307"/>
      <c r="H27" s="307"/>
      <c r="I27" s="307"/>
      <c r="J27" s="307"/>
      <c r="K27" s="308"/>
      <c r="L27" s="310" t="s">
        <v>75</v>
      </c>
      <c r="M27" s="309">
        <v>323.07</v>
      </c>
      <c r="O27" s="38"/>
    </row>
    <row r="28" spans="2:15" x14ac:dyDescent="0.25">
      <c r="B28" s="1"/>
      <c r="C28" s="306"/>
      <c r="D28" s="307"/>
      <c r="E28" s="307"/>
      <c r="F28" s="307"/>
      <c r="G28" s="307"/>
      <c r="H28" s="307"/>
      <c r="I28" s="307"/>
      <c r="J28" s="307"/>
      <c r="K28" s="308"/>
      <c r="L28" s="310" t="s">
        <v>74</v>
      </c>
      <c r="M28" s="309">
        <f>M26-M27</f>
        <v>-4.063907398176525E-3</v>
      </c>
      <c r="O28" s="38"/>
    </row>
    <row r="29" spans="2:15" x14ac:dyDescent="0.25">
      <c r="B29" s="1"/>
      <c r="C29" s="306"/>
      <c r="D29" s="307"/>
      <c r="E29" s="307"/>
      <c r="F29" s="307"/>
      <c r="G29" s="307"/>
      <c r="H29" s="307"/>
      <c r="I29" s="307"/>
      <c r="J29" s="307"/>
      <c r="K29" s="308"/>
      <c r="L29" s="308"/>
      <c r="M29" s="309"/>
      <c r="O29" s="38"/>
    </row>
    <row r="30" spans="2:15" ht="15" customHeight="1" x14ac:dyDescent="0.25">
      <c r="B30" s="1"/>
      <c r="C30" s="22" t="s">
        <v>70</v>
      </c>
      <c r="D30" s="23"/>
      <c r="E30" s="23"/>
      <c r="F30" s="23"/>
      <c r="G30" s="23"/>
      <c r="H30" s="23"/>
      <c r="I30" s="23"/>
      <c r="J30" s="23"/>
      <c r="K30" s="24"/>
      <c r="L30" s="24"/>
      <c r="M30" s="16">
        <f>+M16+M26</f>
        <v>2581899.5459360927</v>
      </c>
      <c r="O30" s="298"/>
    </row>
    <row r="31" spans="2:15" ht="15" customHeight="1" x14ac:dyDescent="0.25">
      <c r="B31" s="1"/>
      <c r="C31" s="22" t="str">
        <f>"% de Impuestos del mes: "&amp;H7</f>
        <v>% de Impuestos del mes: 4</v>
      </c>
      <c r="D31" s="23"/>
      <c r="E31" s="23"/>
      <c r="F31" s="23"/>
      <c r="G31" s="300" t="str">
        <f>"("&amp;VLOOKUP(H7,Tarifas!D4:H303,4)&amp;")"</f>
        <v>(2.779%)</v>
      </c>
      <c r="H31" s="23"/>
      <c r="I31" s="301"/>
      <c r="J31" s="302"/>
      <c r="K31" s="24"/>
      <c r="L31" s="24"/>
      <c r="M31" s="13"/>
      <c r="O31" s="38"/>
    </row>
    <row r="32" spans="2:15" x14ac:dyDescent="0.25">
      <c r="B32" s="1"/>
      <c r="C32" s="25" t="s">
        <v>14</v>
      </c>
      <c r="D32" s="26"/>
      <c r="E32" s="26"/>
      <c r="F32" s="26"/>
      <c r="G32" s="26"/>
      <c r="H32" s="26"/>
      <c r="I32" s="26"/>
      <c r="J32" s="18"/>
      <c r="K32" s="208"/>
      <c r="L32" s="18"/>
      <c r="M32" s="16">
        <f>+M30*0.16</f>
        <v>413103.92734977487</v>
      </c>
      <c r="O32" s="36"/>
    </row>
    <row r="33" spans="2:16" x14ac:dyDescent="0.25">
      <c r="B33" s="1"/>
      <c r="C33" s="27" t="s">
        <v>15</v>
      </c>
      <c r="D33" s="28"/>
      <c r="E33" s="28"/>
      <c r="F33" s="28"/>
      <c r="G33" s="28"/>
      <c r="H33" s="28"/>
      <c r="I33" s="28"/>
      <c r="J33" s="29"/>
      <c r="K33" s="30"/>
      <c r="L33" s="30"/>
      <c r="M33" s="16">
        <f>+M32+M30</f>
        <v>2995003.4732858678</v>
      </c>
      <c r="O33" s="36"/>
    </row>
    <row r="34" spans="2:16" x14ac:dyDescent="0.25">
      <c r="B34" s="1"/>
      <c r="C34" s="17"/>
      <c r="D34" s="18"/>
      <c r="E34" s="18"/>
      <c r="F34" s="18"/>
      <c r="G34" s="18"/>
      <c r="H34" s="18"/>
      <c r="I34" s="18"/>
      <c r="J34" s="18"/>
      <c r="K34" s="18"/>
      <c r="L34" s="18"/>
      <c r="M34" s="13"/>
    </row>
    <row r="35" spans="2:16" x14ac:dyDescent="0.25">
      <c r="B35" s="1"/>
      <c r="C35" s="17" t="s">
        <v>71</v>
      </c>
      <c r="D35" s="18"/>
      <c r="E35" s="18"/>
      <c r="F35" s="18"/>
      <c r="G35" s="18"/>
      <c r="H35" s="18"/>
      <c r="I35" s="18"/>
      <c r="J35" s="18"/>
      <c r="K35" s="18"/>
      <c r="L35" s="18"/>
      <c r="M35" s="299">
        <f>(M16*1.16)</f>
        <v>2994628.7167999996</v>
      </c>
      <c r="O35" s="36"/>
      <c r="P35" s="36"/>
    </row>
    <row r="36" spans="2:16" x14ac:dyDescent="0.25">
      <c r="B36" s="1"/>
      <c r="C36" s="17" t="s">
        <v>72</v>
      </c>
      <c r="D36" s="18"/>
      <c r="E36" s="18"/>
      <c r="F36" s="18"/>
      <c r="G36" s="18"/>
      <c r="H36" s="18"/>
      <c r="I36" s="18"/>
      <c r="J36" s="18"/>
      <c r="K36" s="18"/>
      <c r="L36" s="18"/>
      <c r="M36" s="299">
        <f>(M26*1.16)+M31</f>
        <v>374.75648586741806</v>
      </c>
      <c r="O36" s="36"/>
      <c r="P36" s="36"/>
    </row>
    <row r="37" spans="2:16" x14ac:dyDescent="0.25">
      <c r="B37" s="1"/>
      <c r="C37" s="17"/>
      <c r="D37" s="18"/>
      <c r="E37" s="18"/>
      <c r="F37" s="18"/>
      <c r="G37" s="18"/>
      <c r="H37" s="18"/>
      <c r="I37" s="18"/>
      <c r="J37" s="18"/>
      <c r="K37" s="18"/>
      <c r="L37" s="18"/>
      <c r="M37" s="13"/>
    </row>
    <row r="38" spans="2:16" x14ac:dyDescent="0.25">
      <c r="B38" s="1"/>
      <c r="C38" s="7" t="s">
        <v>16</v>
      </c>
      <c r="D38" s="8"/>
      <c r="E38" s="8"/>
      <c r="F38" s="8"/>
      <c r="G38" s="8"/>
      <c r="H38" s="8"/>
      <c r="I38" s="8"/>
      <c r="J38" s="8"/>
      <c r="K38" s="9"/>
      <c r="L38" s="9"/>
      <c r="M38" s="10"/>
    </row>
    <row r="39" spans="2:16" x14ac:dyDescent="0.25">
      <c r="B39" s="1"/>
      <c r="C39" s="31" t="s">
        <v>17</v>
      </c>
      <c r="D39" s="32" t="s">
        <v>18</v>
      </c>
      <c r="E39" s="32" t="s">
        <v>19</v>
      </c>
      <c r="F39" s="2236" t="s">
        <v>20</v>
      </c>
      <c r="G39" s="2237"/>
      <c r="H39" s="2238" t="s">
        <v>1</v>
      </c>
      <c r="I39" s="2238"/>
      <c r="J39" s="2238" t="s">
        <v>21</v>
      </c>
      <c r="K39" s="2238"/>
      <c r="L39" s="18"/>
      <c r="M39" s="13"/>
    </row>
    <row r="40" spans="2:16" x14ac:dyDescent="0.25">
      <c r="B40" s="1"/>
      <c r="C40" s="33">
        <v>2044</v>
      </c>
      <c r="D40" s="303">
        <v>2044</v>
      </c>
      <c r="E40" s="303" t="s">
        <v>22</v>
      </c>
      <c r="F40" s="2224" t="s">
        <v>23</v>
      </c>
      <c r="G40" s="2224"/>
      <c r="H40" s="2225"/>
      <c r="I40" s="2225"/>
      <c r="J40" s="2226"/>
      <c r="K40" s="2226"/>
      <c r="L40" s="18"/>
      <c r="M40" s="13"/>
      <c r="N40" s="1"/>
    </row>
    <row r="41" spans="2:16" x14ac:dyDescent="0.25">
      <c r="B41" s="1"/>
      <c r="C41" s="33"/>
      <c r="D41" s="303"/>
      <c r="E41" s="303" t="s">
        <v>25</v>
      </c>
      <c r="F41" s="2227"/>
      <c r="G41" s="2228"/>
      <c r="H41" s="2229"/>
      <c r="I41" s="2230"/>
      <c r="J41" s="2231"/>
      <c r="K41" s="2232"/>
      <c r="L41" s="18"/>
      <c r="M41" s="13"/>
      <c r="N41" s="1"/>
    </row>
    <row r="42" spans="2:16" x14ac:dyDescent="0.25">
      <c r="B42" s="1"/>
      <c r="C42" s="33"/>
      <c r="D42" s="303"/>
      <c r="E42" s="303" t="s">
        <v>26</v>
      </c>
      <c r="F42" s="2227"/>
      <c r="G42" s="2228"/>
      <c r="H42" s="2229"/>
      <c r="I42" s="2230"/>
      <c r="J42" s="2231"/>
      <c r="K42" s="2232"/>
      <c r="L42" s="18"/>
      <c r="M42" s="13"/>
      <c r="N42" s="1"/>
    </row>
    <row r="43" spans="2:16" x14ac:dyDescent="0.25">
      <c r="B43" s="1"/>
      <c r="C43" s="33">
        <v>2044</v>
      </c>
      <c r="D43" s="303">
        <v>2044</v>
      </c>
      <c r="E43" s="303" t="s">
        <v>27</v>
      </c>
      <c r="F43" s="2224" t="s">
        <v>28</v>
      </c>
      <c r="G43" s="2224"/>
      <c r="H43" s="2225"/>
      <c r="I43" s="2225"/>
      <c r="J43" s="2226"/>
      <c r="K43" s="2226"/>
      <c r="L43" s="18"/>
      <c r="M43" s="13"/>
      <c r="N43" s="1"/>
    </row>
    <row r="44" spans="2:16" x14ac:dyDescent="0.25">
      <c r="B44" s="1"/>
      <c r="C44" s="2219" t="s">
        <v>24</v>
      </c>
      <c r="D44" s="2220"/>
      <c r="E44" s="2220"/>
      <c r="F44" s="2220"/>
      <c r="G44" s="2221"/>
      <c r="H44" s="2222">
        <f>SUM(H40:H43)</f>
        <v>0</v>
      </c>
      <c r="I44" s="2223"/>
      <c r="J44" s="3"/>
      <c r="K44" s="3"/>
      <c r="L44" s="18"/>
      <c r="M44" s="13"/>
      <c r="N44" s="1"/>
    </row>
    <row r="45" spans="2:16" x14ac:dyDescent="0.25">
      <c r="B45" s="1"/>
      <c r="C45" s="17"/>
      <c r="D45" s="18"/>
      <c r="E45" s="18"/>
      <c r="F45" s="18"/>
      <c r="G45" s="18"/>
      <c r="H45" s="18"/>
      <c r="I45" s="18"/>
      <c r="J45" s="18"/>
      <c r="K45" s="18"/>
      <c r="L45" s="18"/>
      <c r="M45" s="13"/>
    </row>
  </sheetData>
  <mergeCells count="44">
    <mergeCell ref="F41:G41"/>
    <mergeCell ref="H41:I41"/>
    <mergeCell ref="J41:K41"/>
    <mergeCell ref="C44:G44"/>
    <mergeCell ref="H44:I44"/>
    <mergeCell ref="F42:G42"/>
    <mergeCell ref="H42:I42"/>
    <mergeCell ref="J42:K42"/>
    <mergeCell ref="F43:G43"/>
    <mergeCell ref="H43:I43"/>
    <mergeCell ref="J43:K43"/>
    <mergeCell ref="C23:J23"/>
    <mergeCell ref="K23:L23"/>
    <mergeCell ref="F40:G40"/>
    <mergeCell ref="H40:I40"/>
    <mergeCell ref="J40:K40"/>
    <mergeCell ref="K26:L26"/>
    <mergeCell ref="F39:G39"/>
    <mergeCell ref="H39:I39"/>
    <mergeCell ref="J39:K39"/>
    <mergeCell ref="K24:L24"/>
    <mergeCell ref="C25:J25"/>
    <mergeCell ref="K25:L25"/>
    <mergeCell ref="K9:M9"/>
    <mergeCell ref="K11:L11"/>
    <mergeCell ref="C12:J12"/>
    <mergeCell ref="K12:L12"/>
    <mergeCell ref="C13:J13"/>
    <mergeCell ref="K13:L13"/>
    <mergeCell ref="C14:J14"/>
    <mergeCell ref="K14:L14"/>
    <mergeCell ref="K21:L21"/>
    <mergeCell ref="C22:J22"/>
    <mergeCell ref="K22:L22"/>
    <mergeCell ref="C15:J15"/>
    <mergeCell ref="K15:L15"/>
    <mergeCell ref="K16:L16"/>
    <mergeCell ref="K20:L20"/>
    <mergeCell ref="C21:J21"/>
    <mergeCell ref="C3:M4"/>
    <mergeCell ref="C5:M5"/>
    <mergeCell ref="C6:M6"/>
    <mergeCell ref="C7:G7"/>
    <mergeCell ref="C8:G8"/>
  </mergeCells>
  <pageMargins left="0.7" right="0.7" top="0.93" bottom="0.75" header="0.3" footer="0.3"/>
  <pageSetup scale="93" fitToHeight="0" orientation="portrait" r:id="rId1"/>
  <headerFooter>
    <oddHeader>&amp;L&amp;G&amp;R&amp;"Arial,Negrita"Direccion de Operacion&amp;"Arial,Normal"
Subdireccion de Energeticos
Subgerencia Regional de Energeticos</oddHeader>
  </headerFooter>
  <drawing r:id="rId2"/>
  <legacyDrawingHF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45"/>
  <sheetViews>
    <sheetView workbookViewId="0"/>
  </sheetViews>
  <sheetFormatPr baseColWidth="10" defaultColWidth="11" defaultRowHeight="15" x14ac:dyDescent="0.25"/>
  <cols>
    <col min="1" max="1" width="11" style="2"/>
    <col min="2" max="2" width="2.875" style="2" customWidth="1"/>
    <col min="3" max="9" width="5.625" style="2" customWidth="1"/>
    <col min="10" max="10" width="11" style="2" customWidth="1"/>
    <col min="11" max="11" width="5.375" style="2" customWidth="1"/>
    <col min="12" max="12" width="7.625" style="2" bestFit="1" customWidth="1"/>
    <col min="13" max="13" width="10.5" style="2" bestFit="1" customWidth="1"/>
    <col min="14" max="14" width="4.125" style="6" customWidth="1"/>
    <col min="15" max="15" width="39.625" style="3" bestFit="1" customWidth="1"/>
    <col min="16" max="16384" width="11" style="3"/>
  </cols>
  <sheetData>
    <row r="2" spans="2:15" ht="15.75" thickBot="1" x14ac:dyDescent="0.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2:15" ht="15" customHeight="1" x14ac:dyDescent="0.25">
      <c r="B3" s="1"/>
      <c r="C3" s="2250" t="s">
        <v>0</v>
      </c>
      <c r="D3" s="2251"/>
      <c r="E3" s="2251"/>
      <c r="F3" s="2251"/>
      <c r="G3" s="2251"/>
      <c r="H3" s="2251"/>
      <c r="I3" s="2251"/>
      <c r="J3" s="2251"/>
      <c r="K3" s="2251"/>
      <c r="L3" s="2251"/>
      <c r="M3" s="2252"/>
    </row>
    <row r="4" spans="2:15" ht="15" customHeight="1" x14ac:dyDescent="0.25">
      <c r="B4" s="1"/>
      <c r="C4" s="2253"/>
      <c r="D4" s="2254"/>
      <c r="E4" s="2254"/>
      <c r="F4" s="2254"/>
      <c r="G4" s="2254"/>
      <c r="H4" s="2254"/>
      <c r="I4" s="2254"/>
      <c r="J4" s="2254"/>
      <c r="K4" s="2254"/>
      <c r="L4" s="2254"/>
      <c r="M4" s="2255"/>
    </row>
    <row r="5" spans="2:15" x14ac:dyDescent="0.25">
      <c r="B5" s="1"/>
      <c r="C5" s="2256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8"/>
    </row>
    <row r="6" spans="2:15" x14ac:dyDescent="0.25">
      <c r="B6" s="1"/>
      <c r="C6" s="2256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8"/>
    </row>
    <row r="7" spans="2:15" ht="15" customHeight="1" x14ac:dyDescent="0.25">
      <c r="B7" s="1"/>
      <c r="C7" s="2259" t="s">
        <v>3</v>
      </c>
      <c r="D7" s="2260"/>
      <c r="E7" s="2260"/>
      <c r="F7" s="2260"/>
      <c r="G7" s="2260"/>
      <c r="H7" s="207">
        <v>5</v>
      </c>
      <c r="I7" s="296">
        <f>VLOOKUP(H7,Tarifas!D4:H303,2)</f>
        <v>41609</v>
      </c>
      <c r="J7" s="296"/>
      <c r="K7" s="296"/>
      <c r="L7" s="296"/>
      <c r="M7" s="297"/>
      <c r="O7" s="3" t="s">
        <v>64</v>
      </c>
    </row>
    <row r="8" spans="2:15" x14ac:dyDescent="0.25">
      <c r="B8" s="1"/>
      <c r="C8" s="2259" t="s">
        <v>4</v>
      </c>
      <c r="D8" s="2260"/>
      <c r="E8" s="2260"/>
      <c r="F8" s="2260"/>
      <c r="G8" s="2260"/>
      <c r="H8" s="207">
        <v>10</v>
      </c>
      <c r="I8" s="296"/>
      <c r="J8" s="296"/>
      <c r="K8" s="296"/>
      <c r="L8" s="296"/>
      <c r="M8" s="297"/>
    </row>
    <row r="9" spans="2:15" x14ac:dyDescent="0.25">
      <c r="B9" s="1"/>
      <c r="C9" s="4"/>
      <c r="D9" s="5"/>
      <c r="E9" s="5"/>
      <c r="F9" s="5"/>
      <c r="G9" s="5"/>
      <c r="H9" s="5"/>
      <c r="I9" s="5"/>
      <c r="J9" s="5"/>
      <c r="K9" s="2248" t="s">
        <v>73</v>
      </c>
      <c r="L9" s="2248"/>
      <c r="M9" s="2249"/>
    </row>
    <row r="10" spans="2:15" ht="15.75" thickBot="1" x14ac:dyDescent="0.3">
      <c r="B10" s="1"/>
      <c r="C10" s="7" t="s">
        <v>5</v>
      </c>
      <c r="D10" s="8"/>
      <c r="E10" s="8"/>
      <c r="F10" s="8"/>
      <c r="G10" s="8"/>
      <c r="H10" s="8"/>
      <c r="I10" s="8"/>
      <c r="J10" s="8"/>
      <c r="K10" s="9"/>
      <c r="L10" s="9"/>
      <c r="M10" s="10"/>
    </row>
    <row r="11" spans="2:15" x14ac:dyDescent="0.25">
      <c r="B11" s="1"/>
      <c r="C11" s="11" t="s">
        <v>6</v>
      </c>
      <c r="D11" s="12"/>
      <c r="E11" s="12"/>
      <c r="F11" s="12"/>
      <c r="G11" s="12"/>
      <c r="H11" s="12"/>
      <c r="I11" s="12"/>
      <c r="J11" s="12"/>
      <c r="K11" s="2244"/>
      <c r="L11" s="2245"/>
      <c r="M11" s="13"/>
      <c r="O11" s="38"/>
    </row>
    <row r="12" spans="2:15" ht="26.25" customHeight="1" x14ac:dyDescent="0.25">
      <c r="B12" s="1"/>
      <c r="C12" s="2213"/>
      <c r="D12" s="2214"/>
      <c r="E12" s="2214"/>
      <c r="F12" s="2214"/>
      <c r="G12" s="2214"/>
      <c r="H12" s="2214"/>
      <c r="I12" s="2214"/>
      <c r="J12" s="2215"/>
      <c r="K12" s="2241">
        <f>VLOOKUP(H7,Tarifas!D4:H303,3)</f>
        <v>8.2000000000000003E-2</v>
      </c>
      <c r="L12" s="2240"/>
      <c r="M12" s="13"/>
      <c r="O12" s="3" t="s">
        <v>63</v>
      </c>
    </row>
    <row r="13" spans="2:15" x14ac:dyDescent="0.25">
      <c r="B13" s="1"/>
      <c r="C13" s="2213"/>
      <c r="D13" s="2214"/>
      <c r="E13" s="2214"/>
      <c r="F13" s="2214"/>
      <c r="G13" s="2214"/>
      <c r="H13" s="2214"/>
      <c r="I13" s="2214"/>
      <c r="J13" s="2215"/>
      <c r="K13" s="2241">
        <v>850</v>
      </c>
      <c r="L13" s="2240"/>
      <c r="M13" s="13" t="s">
        <v>7</v>
      </c>
      <c r="O13" s="38"/>
    </row>
    <row r="14" spans="2:15" x14ac:dyDescent="0.25">
      <c r="B14" s="1"/>
      <c r="C14" s="2213"/>
      <c r="D14" s="2214"/>
      <c r="E14" s="2214"/>
      <c r="F14" s="2214"/>
      <c r="G14" s="2214"/>
      <c r="H14" s="2214"/>
      <c r="I14" s="2214"/>
      <c r="J14" s="2215"/>
      <c r="K14" s="2241">
        <v>850</v>
      </c>
      <c r="L14" s="2240"/>
      <c r="M14" s="13" t="s">
        <v>7</v>
      </c>
      <c r="O14" s="38"/>
    </row>
    <row r="15" spans="2:15" ht="15.75" thickBot="1" x14ac:dyDescent="0.3">
      <c r="B15" s="1"/>
      <c r="C15" s="2210"/>
      <c r="D15" s="2211"/>
      <c r="E15" s="2211"/>
      <c r="F15" s="2211"/>
      <c r="G15" s="2211"/>
      <c r="H15" s="2211"/>
      <c r="I15" s="2211"/>
      <c r="J15" s="2212"/>
      <c r="K15" s="2242">
        <v>31482640</v>
      </c>
      <c r="L15" s="2243"/>
      <c r="M15" s="13" t="s">
        <v>8</v>
      </c>
      <c r="O15" s="304"/>
    </row>
    <row r="16" spans="2:15" x14ac:dyDescent="0.25">
      <c r="B16" s="3"/>
      <c r="C16" s="14" t="s">
        <v>9</v>
      </c>
      <c r="D16" s="15"/>
      <c r="E16" s="15"/>
      <c r="F16" s="15"/>
      <c r="G16" s="15"/>
      <c r="H16" s="15"/>
      <c r="I16" s="15"/>
      <c r="J16" s="15"/>
      <c r="K16" s="2235"/>
      <c r="L16" s="2235"/>
      <c r="M16" s="16">
        <f>+K12*(K13/K14)*K15</f>
        <v>2581576.48</v>
      </c>
      <c r="O16" s="36"/>
    </row>
    <row r="17" spans="2:15" x14ac:dyDescent="0.25">
      <c r="B17" s="1"/>
      <c r="C17" s="17"/>
      <c r="D17" s="18"/>
      <c r="E17" s="18"/>
      <c r="F17" s="18"/>
      <c r="G17" s="18"/>
      <c r="H17" s="18"/>
      <c r="I17" s="18"/>
      <c r="J17" s="18"/>
      <c r="K17" s="18"/>
      <c r="L17" s="18" t="s">
        <v>75</v>
      </c>
      <c r="M17" s="305">
        <v>2667629.0299999998</v>
      </c>
      <c r="O17" s="36"/>
    </row>
    <row r="18" spans="2:15" x14ac:dyDescent="0.25">
      <c r="B18" s="1"/>
      <c r="C18" s="17"/>
      <c r="D18" s="18"/>
      <c r="E18" s="18"/>
      <c r="F18" s="18"/>
      <c r="G18" s="18"/>
      <c r="H18" s="18"/>
      <c r="I18" s="18"/>
      <c r="J18" s="18"/>
      <c r="K18" s="18"/>
      <c r="L18" s="18" t="s">
        <v>74</v>
      </c>
      <c r="M18" s="299">
        <f>M16-M17</f>
        <v>-86052.549999999814</v>
      </c>
      <c r="O18" s="36"/>
    </row>
    <row r="19" spans="2:15" ht="15.75" thickBot="1" x14ac:dyDescent="0.3">
      <c r="B19" s="1"/>
      <c r="C19" s="7" t="s">
        <v>10</v>
      </c>
      <c r="D19" s="8"/>
      <c r="E19" s="8"/>
      <c r="F19" s="8"/>
      <c r="G19" s="8"/>
      <c r="H19" s="8"/>
      <c r="I19" s="8"/>
      <c r="J19" s="8"/>
      <c r="K19" s="9"/>
      <c r="L19" s="9"/>
      <c r="M19" s="10"/>
    </row>
    <row r="20" spans="2:15" ht="22.5" customHeight="1" x14ac:dyDescent="0.25">
      <c r="B20" s="1"/>
      <c r="C20" s="11" t="s">
        <v>6</v>
      </c>
      <c r="D20" s="12"/>
      <c r="E20" s="12"/>
      <c r="F20" s="12"/>
      <c r="G20" s="12"/>
      <c r="H20" s="12"/>
      <c r="I20" s="12"/>
      <c r="J20" s="12"/>
      <c r="K20" s="2244"/>
      <c r="L20" s="2245"/>
      <c r="M20" s="13"/>
    </row>
    <row r="21" spans="2:15" ht="21.75" customHeight="1" x14ac:dyDescent="0.25">
      <c r="B21" s="1"/>
      <c r="C21" s="2213"/>
      <c r="D21" s="2214"/>
      <c r="E21" s="2214"/>
      <c r="F21" s="2214"/>
      <c r="G21" s="2214"/>
      <c r="H21" s="2214"/>
      <c r="I21" s="2214"/>
      <c r="J21" s="2215"/>
      <c r="K21" s="2241">
        <f>VLOOKUP(H7,Tarifas!D4:H303,5)</f>
        <v>1E-3</v>
      </c>
      <c r="L21" s="2240"/>
      <c r="M21" s="13" t="s">
        <v>11</v>
      </c>
      <c r="O21" s="3" t="s">
        <v>63</v>
      </c>
    </row>
    <row r="22" spans="2:15" ht="15" customHeight="1" x14ac:dyDescent="0.25">
      <c r="B22" s="1"/>
      <c r="C22" s="2213"/>
      <c r="D22" s="2214"/>
      <c r="E22" s="2214"/>
      <c r="F22" s="2214"/>
      <c r="G22" s="2214"/>
      <c r="H22" s="2214"/>
      <c r="I22" s="2214"/>
      <c r="J22" s="2215"/>
      <c r="K22" s="2246">
        <v>201.4</v>
      </c>
      <c r="L22" s="2247"/>
      <c r="M22" s="13" t="s">
        <v>12</v>
      </c>
      <c r="O22" s="3" t="s">
        <v>62</v>
      </c>
    </row>
    <row r="23" spans="2:15" ht="21.75" customHeight="1" x14ac:dyDescent="0.25">
      <c r="B23" s="1"/>
      <c r="C23" s="2216"/>
      <c r="D23" s="2217"/>
      <c r="E23" s="2217"/>
      <c r="F23" s="2217"/>
      <c r="G23" s="2217"/>
      <c r="H23" s="2217"/>
      <c r="I23" s="2217"/>
      <c r="J23" s="2218"/>
      <c r="K23" s="2246">
        <v>201</v>
      </c>
      <c r="L23" s="2247"/>
      <c r="M23" s="13" t="s">
        <v>12</v>
      </c>
      <c r="O23" s="3" t="s">
        <v>67</v>
      </c>
    </row>
    <row r="24" spans="2:15" x14ac:dyDescent="0.25">
      <c r="B24" s="1"/>
      <c r="C24" s="19"/>
      <c r="D24" s="20"/>
      <c r="E24" s="20"/>
      <c r="F24" s="20"/>
      <c r="G24" s="20"/>
      <c r="H24" s="20"/>
      <c r="I24" s="20"/>
      <c r="J24" s="21"/>
      <c r="K24" s="2239">
        <f>IFERROR(K23/K22,0)</f>
        <v>0.99801390268123136</v>
      </c>
      <c r="L24" s="2240"/>
      <c r="M24" s="13"/>
    </row>
    <row r="25" spans="2:15" ht="15.75" thickBot="1" x14ac:dyDescent="0.3">
      <c r="B25" s="1"/>
      <c r="C25" s="2207"/>
      <c r="D25" s="2208"/>
      <c r="E25" s="2208"/>
      <c r="F25" s="2208"/>
      <c r="G25" s="2208"/>
      <c r="H25" s="2208"/>
      <c r="I25" s="2208"/>
      <c r="J25" s="2209"/>
      <c r="K25" s="2233">
        <v>2008866.895</v>
      </c>
      <c r="L25" s="2234"/>
      <c r="M25" s="13" t="s">
        <v>8</v>
      </c>
      <c r="O25" s="37" t="s">
        <v>66</v>
      </c>
    </row>
    <row r="26" spans="2:15" x14ac:dyDescent="0.25">
      <c r="B26" s="1"/>
      <c r="C26" s="14" t="s">
        <v>13</v>
      </c>
      <c r="D26" s="15"/>
      <c r="E26" s="15"/>
      <c r="F26" s="15"/>
      <c r="G26" s="15"/>
      <c r="H26" s="15"/>
      <c r="I26" s="15"/>
      <c r="J26" s="15"/>
      <c r="K26" s="2235"/>
      <c r="L26" s="2235"/>
      <c r="M26" s="16">
        <f>+K21*K24*K25</f>
        <v>2004.8770898460778</v>
      </c>
      <c r="O26" s="38"/>
    </row>
    <row r="27" spans="2:15" x14ac:dyDescent="0.25">
      <c r="B27" s="1"/>
      <c r="C27" s="306"/>
      <c r="D27" s="307"/>
      <c r="E27" s="307"/>
      <c r="F27" s="307"/>
      <c r="G27" s="307"/>
      <c r="H27" s="307"/>
      <c r="I27" s="307"/>
      <c r="J27" s="307"/>
      <c r="K27" s="308"/>
      <c r="L27" s="310" t="s">
        <v>75</v>
      </c>
      <c r="M27" s="309">
        <v>2004.88</v>
      </c>
      <c r="O27" s="38"/>
    </row>
    <row r="28" spans="2:15" x14ac:dyDescent="0.25">
      <c r="B28" s="1"/>
      <c r="C28" s="306"/>
      <c r="D28" s="307"/>
      <c r="E28" s="307"/>
      <c r="F28" s="307"/>
      <c r="G28" s="307"/>
      <c r="H28" s="307"/>
      <c r="I28" s="307"/>
      <c r="J28" s="307"/>
      <c r="K28" s="308"/>
      <c r="L28" s="310" t="s">
        <v>74</v>
      </c>
      <c r="M28" s="309">
        <f>M26-M27</f>
        <v>-2.9101539223574946E-3</v>
      </c>
      <c r="O28" s="38"/>
    </row>
    <row r="29" spans="2:15" x14ac:dyDescent="0.25">
      <c r="B29" s="1"/>
      <c r="C29" s="306"/>
      <c r="D29" s="307"/>
      <c r="E29" s="307"/>
      <c r="F29" s="307"/>
      <c r="G29" s="307"/>
      <c r="H29" s="307"/>
      <c r="I29" s="307"/>
      <c r="J29" s="307"/>
      <c r="K29" s="308"/>
      <c r="L29" s="308"/>
      <c r="M29" s="309"/>
      <c r="O29" s="38"/>
    </row>
    <row r="30" spans="2:15" ht="15" customHeight="1" x14ac:dyDescent="0.25">
      <c r="B30" s="1"/>
      <c r="C30" s="22" t="s">
        <v>70</v>
      </c>
      <c r="D30" s="23"/>
      <c r="E30" s="23"/>
      <c r="F30" s="23"/>
      <c r="G30" s="23"/>
      <c r="H30" s="23"/>
      <c r="I30" s="23"/>
      <c r="J30" s="23"/>
      <c r="K30" s="24"/>
      <c r="L30" s="24"/>
      <c r="M30" s="16">
        <f>+M16+M26</f>
        <v>2583581.3570898459</v>
      </c>
      <c r="O30" s="298"/>
    </row>
    <row r="31" spans="2:15" ht="15" customHeight="1" x14ac:dyDescent="0.25">
      <c r="B31" s="1"/>
      <c r="C31" s="22" t="str">
        <f>"% de Impuestos del mes: "&amp;H7</f>
        <v>% de Impuestos del mes: 5</v>
      </c>
      <c r="D31" s="23"/>
      <c r="E31" s="23"/>
      <c r="F31" s="23"/>
      <c r="G31" s="300" t="str">
        <f>"("&amp;VLOOKUP(H7,Tarifas!D4:H303,4)&amp;")"</f>
        <v>(2.779%)</v>
      </c>
      <c r="H31" s="23"/>
      <c r="I31" s="301"/>
      <c r="J31" s="302"/>
      <c r="K31" s="24"/>
      <c r="L31" s="24"/>
      <c r="M31" s="13"/>
      <c r="O31" s="38"/>
    </row>
    <row r="32" spans="2:15" x14ac:dyDescent="0.25">
      <c r="B32" s="1"/>
      <c r="C32" s="25" t="s">
        <v>14</v>
      </c>
      <c r="D32" s="26"/>
      <c r="E32" s="26"/>
      <c r="F32" s="26"/>
      <c r="G32" s="26"/>
      <c r="H32" s="26"/>
      <c r="I32" s="26"/>
      <c r="J32" s="18"/>
      <c r="K32" s="208"/>
      <c r="L32" s="18"/>
      <c r="M32" s="16">
        <f>+M30*0.16</f>
        <v>413373.01713437535</v>
      </c>
      <c r="O32" s="36"/>
    </row>
    <row r="33" spans="2:16" x14ac:dyDescent="0.25">
      <c r="B33" s="1"/>
      <c r="C33" s="27" t="s">
        <v>15</v>
      </c>
      <c r="D33" s="28"/>
      <c r="E33" s="28"/>
      <c r="F33" s="28"/>
      <c r="G33" s="28"/>
      <c r="H33" s="28"/>
      <c r="I33" s="28"/>
      <c r="J33" s="29"/>
      <c r="K33" s="30"/>
      <c r="L33" s="30"/>
      <c r="M33" s="16">
        <f>+M32+M30</f>
        <v>2996954.3742242213</v>
      </c>
      <c r="O33" s="36"/>
    </row>
    <row r="34" spans="2:16" x14ac:dyDescent="0.25">
      <c r="B34" s="1"/>
      <c r="C34" s="17"/>
      <c r="D34" s="18"/>
      <c r="E34" s="18"/>
      <c r="F34" s="18"/>
      <c r="G34" s="18"/>
      <c r="H34" s="18"/>
      <c r="I34" s="18"/>
      <c r="J34" s="18"/>
      <c r="K34" s="18"/>
      <c r="L34" s="18"/>
      <c r="M34" s="13"/>
    </row>
    <row r="35" spans="2:16" x14ac:dyDescent="0.25">
      <c r="B35" s="1"/>
      <c r="C35" s="17" t="s">
        <v>71</v>
      </c>
      <c r="D35" s="18"/>
      <c r="E35" s="18"/>
      <c r="F35" s="18"/>
      <c r="G35" s="18"/>
      <c r="H35" s="18"/>
      <c r="I35" s="18"/>
      <c r="J35" s="18"/>
      <c r="K35" s="18"/>
      <c r="L35" s="18"/>
      <c r="M35" s="299">
        <f>(M16*1.16)</f>
        <v>2994628.7167999996</v>
      </c>
      <c r="O35" s="36"/>
      <c r="P35" s="36"/>
    </row>
    <row r="36" spans="2:16" x14ac:dyDescent="0.25">
      <c r="B36" s="1"/>
      <c r="C36" s="17" t="s">
        <v>72</v>
      </c>
      <c r="D36" s="18"/>
      <c r="E36" s="18"/>
      <c r="F36" s="18"/>
      <c r="G36" s="18"/>
      <c r="H36" s="18"/>
      <c r="I36" s="18"/>
      <c r="J36" s="18"/>
      <c r="K36" s="18"/>
      <c r="L36" s="18"/>
      <c r="M36" s="299">
        <f>(M26*1.16)+M31</f>
        <v>2325.6574242214501</v>
      </c>
      <c r="O36" s="36"/>
      <c r="P36" s="36"/>
    </row>
    <row r="37" spans="2:16" x14ac:dyDescent="0.25">
      <c r="B37" s="1"/>
      <c r="C37" s="17"/>
      <c r="D37" s="18"/>
      <c r="E37" s="18"/>
      <c r="F37" s="18"/>
      <c r="G37" s="18"/>
      <c r="H37" s="18"/>
      <c r="I37" s="18"/>
      <c r="J37" s="18"/>
      <c r="K37" s="18"/>
      <c r="L37" s="18"/>
      <c r="M37" s="13"/>
    </row>
    <row r="38" spans="2:16" x14ac:dyDescent="0.25">
      <c r="B38" s="1"/>
      <c r="C38" s="7" t="s">
        <v>16</v>
      </c>
      <c r="D38" s="8"/>
      <c r="E38" s="8"/>
      <c r="F38" s="8"/>
      <c r="G38" s="8"/>
      <c r="H38" s="8"/>
      <c r="I38" s="8"/>
      <c r="J38" s="8"/>
      <c r="K38" s="9"/>
      <c r="L38" s="9"/>
      <c r="M38" s="10"/>
    </row>
    <row r="39" spans="2:16" x14ac:dyDescent="0.25">
      <c r="B39" s="1"/>
      <c r="C39" s="31" t="s">
        <v>17</v>
      </c>
      <c r="D39" s="32" t="s">
        <v>18</v>
      </c>
      <c r="E39" s="32" t="s">
        <v>19</v>
      </c>
      <c r="F39" s="2236" t="s">
        <v>20</v>
      </c>
      <c r="G39" s="2237"/>
      <c r="H39" s="2238" t="s">
        <v>1</v>
      </c>
      <c r="I39" s="2238"/>
      <c r="J39" s="2238" t="s">
        <v>21</v>
      </c>
      <c r="K39" s="2238"/>
      <c r="L39" s="18"/>
      <c r="M39" s="13"/>
    </row>
    <row r="40" spans="2:16" x14ac:dyDescent="0.25">
      <c r="B40" s="1"/>
      <c r="C40" s="33">
        <v>2044</v>
      </c>
      <c r="D40" s="303">
        <v>2044</v>
      </c>
      <c r="E40" s="303" t="s">
        <v>22</v>
      </c>
      <c r="F40" s="2224" t="s">
        <v>23</v>
      </c>
      <c r="G40" s="2224"/>
      <c r="H40" s="2225"/>
      <c r="I40" s="2225"/>
      <c r="J40" s="2226"/>
      <c r="K40" s="2226"/>
      <c r="L40" s="18"/>
      <c r="M40" s="13"/>
      <c r="N40" s="1"/>
    </row>
    <row r="41" spans="2:16" x14ac:dyDescent="0.25">
      <c r="B41" s="1"/>
      <c r="C41" s="33"/>
      <c r="D41" s="303"/>
      <c r="E41" s="303" t="s">
        <v>25</v>
      </c>
      <c r="F41" s="2227"/>
      <c r="G41" s="2228"/>
      <c r="H41" s="2229"/>
      <c r="I41" s="2230"/>
      <c r="J41" s="2231"/>
      <c r="K41" s="2232"/>
      <c r="L41" s="18"/>
      <c r="M41" s="13"/>
      <c r="N41" s="1"/>
    </row>
    <row r="42" spans="2:16" x14ac:dyDescent="0.25">
      <c r="B42" s="1"/>
      <c r="C42" s="33"/>
      <c r="D42" s="303"/>
      <c r="E42" s="303" t="s">
        <v>26</v>
      </c>
      <c r="F42" s="2227"/>
      <c r="G42" s="2228"/>
      <c r="H42" s="2229"/>
      <c r="I42" s="2230"/>
      <c r="J42" s="2231"/>
      <c r="K42" s="2232"/>
      <c r="L42" s="18"/>
      <c r="M42" s="13"/>
      <c r="N42" s="1"/>
    </row>
    <row r="43" spans="2:16" x14ac:dyDescent="0.25">
      <c r="B43" s="1"/>
      <c r="C43" s="33">
        <v>2044</v>
      </c>
      <c r="D43" s="303">
        <v>2044</v>
      </c>
      <c r="E43" s="303" t="s">
        <v>27</v>
      </c>
      <c r="F43" s="2224" t="s">
        <v>28</v>
      </c>
      <c r="G43" s="2224"/>
      <c r="H43" s="2225"/>
      <c r="I43" s="2225"/>
      <c r="J43" s="2226"/>
      <c r="K43" s="2226"/>
      <c r="L43" s="18"/>
      <c r="M43" s="13"/>
      <c r="N43" s="1"/>
    </row>
    <row r="44" spans="2:16" x14ac:dyDescent="0.25">
      <c r="B44" s="1"/>
      <c r="C44" s="2219" t="s">
        <v>24</v>
      </c>
      <c r="D44" s="2220"/>
      <c r="E44" s="2220"/>
      <c r="F44" s="2220"/>
      <c r="G44" s="2221"/>
      <c r="H44" s="2222">
        <f>SUM(H40:H43)</f>
        <v>0</v>
      </c>
      <c r="I44" s="2223"/>
      <c r="J44" s="3"/>
      <c r="K44" s="3"/>
      <c r="L44" s="18"/>
      <c r="M44" s="13"/>
      <c r="N44" s="1"/>
    </row>
    <row r="45" spans="2:16" x14ac:dyDescent="0.25">
      <c r="B45" s="1"/>
      <c r="C45" s="17"/>
      <c r="D45" s="18"/>
      <c r="E45" s="18"/>
      <c r="F45" s="18"/>
      <c r="G45" s="18"/>
      <c r="H45" s="18"/>
      <c r="I45" s="18"/>
      <c r="J45" s="18"/>
      <c r="K45" s="18"/>
      <c r="L45" s="18"/>
      <c r="M45" s="13"/>
    </row>
  </sheetData>
  <mergeCells count="44">
    <mergeCell ref="F41:G41"/>
    <mergeCell ref="H41:I41"/>
    <mergeCell ref="J41:K41"/>
    <mergeCell ref="C44:G44"/>
    <mergeCell ref="H44:I44"/>
    <mergeCell ref="F42:G42"/>
    <mergeCell ref="H42:I42"/>
    <mergeCell ref="J42:K42"/>
    <mergeCell ref="F43:G43"/>
    <mergeCell ref="H43:I43"/>
    <mergeCell ref="J43:K43"/>
    <mergeCell ref="C23:J23"/>
    <mergeCell ref="K23:L23"/>
    <mergeCell ref="F40:G40"/>
    <mergeCell ref="H40:I40"/>
    <mergeCell ref="J40:K40"/>
    <mergeCell ref="K26:L26"/>
    <mergeCell ref="F39:G39"/>
    <mergeCell ref="H39:I39"/>
    <mergeCell ref="J39:K39"/>
    <mergeCell ref="K24:L24"/>
    <mergeCell ref="C25:J25"/>
    <mergeCell ref="K25:L25"/>
    <mergeCell ref="K9:M9"/>
    <mergeCell ref="K11:L11"/>
    <mergeCell ref="C12:J12"/>
    <mergeCell ref="K12:L12"/>
    <mergeCell ref="C13:J13"/>
    <mergeCell ref="K13:L13"/>
    <mergeCell ref="C14:J14"/>
    <mergeCell ref="K14:L14"/>
    <mergeCell ref="K21:L21"/>
    <mergeCell ref="C22:J22"/>
    <mergeCell ref="K22:L22"/>
    <mergeCell ref="C15:J15"/>
    <mergeCell ref="K15:L15"/>
    <mergeCell ref="K16:L16"/>
    <mergeCell ref="K20:L20"/>
    <mergeCell ref="C21:J21"/>
    <mergeCell ref="C3:M4"/>
    <mergeCell ref="C5:M5"/>
    <mergeCell ref="C6:M6"/>
    <mergeCell ref="C7:G7"/>
    <mergeCell ref="C8:G8"/>
  </mergeCells>
  <pageMargins left="0.7" right="0.7" top="0.93" bottom="0.75" header="0.3" footer="0.3"/>
  <pageSetup scale="93" fitToHeight="0" orientation="portrait" r:id="rId1"/>
  <headerFooter>
    <oddHeader>&amp;L&amp;G&amp;R&amp;"Arial,Negrita"Direccion de Operacion&amp;"Arial,Normal"
Subdireccion de Energeticos
Subgerencia Regional de Energeticos</oddHeader>
  </headerFooter>
  <drawing r:id="rId2"/>
  <legacyDrawingHF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45"/>
  <sheetViews>
    <sheetView workbookViewId="0"/>
  </sheetViews>
  <sheetFormatPr baseColWidth="10" defaultColWidth="11" defaultRowHeight="15" x14ac:dyDescent="0.25"/>
  <cols>
    <col min="1" max="1" width="11" style="2"/>
    <col min="2" max="2" width="2.875" style="2" customWidth="1"/>
    <col min="3" max="9" width="5.625" style="2" customWidth="1"/>
    <col min="10" max="10" width="11" style="2" customWidth="1"/>
    <col min="11" max="11" width="5.375" style="2" customWidth="1"/>
    <col min="12" max="12" width="7.625" style="2" bestFit="1" customWidth="1"/>
    <col min="13" max="13" width="10.5" style="2" bestFit="1" customWidth="1"/>
    <col min="14" max="14" width="4.125" style="6" customWidth="1"/>
    <col min="15" max="15" width="39.625" style="3" bestFit="1" customWidth="1"/>
    <col min="16" max="16384" width="11" style="3"/>
  </cols>
  <sheetData>
    <row r="2" spans="2:15" ht="15.75" thickBot="1" x14ac:dyDescent="0.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2:15" ht="15" customHeight="1" x14ac:dyDescent="0.25">
      <c r="B3" s="1"/>
      <c r="C3" s="2250" t="s">
        <v>0</v>
      </c>
      <c r="D3" s="2251"/>
      <c r="E3" s="2251"/>
      <c r="F3" s="2251"/>
      <c r="G3" s="2251"/>
      <c r="H3" s="2251"/>
      <c r="I3" s="2251"/>
      <c r="J3" s="2251"/>
      <c r="K3" s="2251"/>
      <c r="L3" s="2251"/>
      <c r="M3" s="2252"/>
    </row>
    <row r="4" spans="2:15" ht="15" customHeight="1" x14ac:dyDescent="0.25">
      <c r="B4" s="1"/>
      <c r="C4" s="2253"/>
      <c r="D4" s="2254"/>
      <c r="E4" s="2254"/>
      <c r="F4" s="2254"/>
      <c r="G4" s="2254"/>
      <c r="H4" s="2254"/>
      <c r="I4" s="2254"/>
      <c r="J4" s="2254"/>
      <c r="K4" s="2254"/>
      <c r="L4" s="2254"/>
      <c r="M4" s="2255"/>
    </row>
    <row r="5" spans="2:15" x14ac:dyDescent="0.25">
      <c r="B5" s="1"/>
      <c r="C5" s="2256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8"/>
    </row>
    <row r="6" spans="2:15" x14ac:dyDescent="0.25">
      <c r="B6" s="1"/>
      <c r="C6" s="2256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8"/>
    </row>
    <row r="7" spans="2:15" ht="15" customHeight="1" x14ac:dyDescent="0.25">
      <c r="B7" s="1"/>
      <c r="C7" s="2259" t="s">
        <v>3</v>
      </c>
      <c r="D7" s="2260"/>
      <c r="E7" s="2260"/>
      <c r="F7" s="2260"/>
      <c r="G7" s="2260"/>
      <c r="H7" s="207">
        <v>6</v>
      </c>
      <c r="I7" s="296">
        <f>VLOOKUP(H7,Tarifas!D4:H303,2)</f>
        <v>41640</v>
      </c>
      <c r="J7" s="296"/>
      <c r="K7" s="296"/>
      <c r="L7" s="296"/>
      <c r="M7" s="297"/>
      <c r="O7" s="3" t="s">
        <v>64</v>
      </c>
    </row>
    <row r="8" spans="2:15" x14ac:dyDescent="0.25">
      <c r="B8" s="1"/>
      <c r="C8" s="2259" t="s">
        <v>4</v>
      </c>
      <c r="D8" s="2260"/>
      <c r="E8" s="2260"/>
      <c r="F8" s="2260"/>
      <c r="G8" s="2260"/>
      <c r="H8" s="207">
        <v>11</v>
      </c>
      <c r="I8" s="296"/>
      <c r="J8" s="296"/>
      <c r="K8" s="296"/>
      <c r="L8" s="296"/>
      <c r="M8" s="297"/>
    </row>
    <row r="9" spans="2:15" x14ac:dyDescent="0.25">
      <c r="B9" s="1"/>
      <c r="C9" s="4"/>
      <c r="D9" s="5"/>
      <c r="E9" s="5"/>
      <c r="F9" s="5"/>
      <c r="G9" s="5"/>
      <c r="H9" s="5"/>
      <c r="I9" s="5"/>
      <c r="J9" s="5"/>
      <c r="K9" s="2248" t="s">
        <v>73</v>
      </c>
      <c r="L9" s="2248"/>
      <c r="M9" s="2249"/>
    </row>
    <row r="10" spans="2:15" ht="15.75" thickBot="1" x14ac:dyDescent="0.3">
      <c r="B10" s="1"/>
      <c r="C10" s="7" t="s">
        <v>5</v>
      </c>
      <c r="D10" s="8"/>
      <c r="E10" s="8"/>
      <c r="F10" s="8"/>
      <c r="G10" s="8"/>
      <c r="H10" s="8"/>
      <c r="I10" s="8"/>
      <c r="J10" s="8"/>
      <c r="K10" s="9"/>
      <c r="L10" s="9"/>
      <c r="M10" s="10"/>
    </row>
    <row r="11" spans="2:15" x14ac:dyDescent="0.25">
      <c r="B11" s="1"/>
      <c r="C11" s="11" t="s">
        <v>6</v>
      </c>
      <c r="D11" s="12"/>
      <c r="E11" s="12"/>
      <c r="F11" s="12"/>
      <c r="G11" s="12"/>
      <c r="H11" s="12"/>
      <c r="I11" s="12"/>
      <c r="J11" s="12"/>
      <c r="K11" s="2244"/>
      <c r="L11" s="2245"/>
      <c r="M11" s="13"/>
      <c r="O11" s="38"/>
    </row>
    <row r="12" spans="2:15" ht="26.25" customHeight="1" x14ac:dyDescent="0.25">
      <c r="B12" s="1"/>
      <c r="C12" s="2213"/>
      <c r="D12" s="2214"/>
      <c r="E12" s="2214"/>
      <c r="F12" s="2214"/>
      <c r="G12" s="2214"/>
      <c r="H12" s="2214"/>
      <c r="I12" s="2214"/>
      <c r="J12" s="2215"/>
      <c r="K12" s="2241">
        <f>VLOOKUP(H7,Tarifas!D4:H303,3)</f>
        <v>0.13900000000000001</v>
      </c>
      <c r="L12" s="2240"/>
      <c r="M12" s="13"/>
      <c r="O12" s="3" t="s">
        <v>63</v>
      </c>
    </row>
    <row r="13" spans="2:15" x14ac:dyDescent="0.25">
      <c r="B13" s="1"/>
      <c r="C13" s="2213"/>
      <c r="D13" s="2214"/>
      <c r="E13" s="2214"/>
      <c r="F13" s="2214"/>
      <c r="G13" s="2214"/>
      <c r="H13" s="2214"/>
      <c r="I13" s="2214"/>
      <c r="J13" s="2215"/>
      <c r="K13" s="2241">
        <v>850</v>
      </c>
      <c r="L13" s="2240"/>
      <c r="M13" s="13" t="s">
        <v>7</v>
      </c>
      <c r="O13" s="38"/>
    </row>
    <row r="14" spans="2:15" x14ac:dyDescent="0.25">
      <c r="B14" s="1"/>
      <c r="C14" s="2213"/>
      <c r="D14" s="2214"/>
      <c r="E14" s="2214"/>
      <c r="F14" s="2214"/>
      <c r="G14" s="2214"/>
      <c r="H14" s="2214"/>
      <c r="I14" s="2214"/>
      <c r="J14" s="2215"/>
      <c r="K14" s="2241">
        <v>850</v>
      </c>
      <c r="L14" s="2240"/>
      <c r="M14" s="13" t="s">
        <v>7</v>
      </c>
      <c r="O14" s="38"/>
    </row>
    <row r="15" spans="2:15" ht="15.75" thickBot="1" x14ac:dyDescent="0.3">
      <c r="B15" s="1"/>
      <c r="C15" s="2210"/>
      <c r="D15" s="2211"/>
      <c r="E15" s="2211"/>
      <c r="F15" s="2211"/>
      <c r="G15" s="2211"/>
      <c r="H15" s="2211"/>
      <c r="I15" s="2211"/>
      <c r="J15" s="2212"/>
      <c r="K15" s="2242">
        <v>31482640</v>
      </c>
      <c r="L15" s="2243"/>
      <c r="M15" s="13" t="s">
        <v>8</v>
      </c>
      <c r="O15" s="304"/>
    </row>
    <row r="16" spans="2:15" x14ac:dyDescent="0.25">
      <c r="B16" s="3"/>
      <c r="C16" s="14" t="s">
        <v>9</v>
      </c>
      <c r="D16" s="15"/>
      <c r="E16" s="15"/>
      <c r="F16" s="15"/>
      <c r="G16" s="15"/>
      <c r="H16" s="15"/>
      <c r="I16" s="15"/>
      <c r="J16" s="15"/>
      <c r="K16" s="2235"/>
      <c r="L16" s="2235"/>
      <c r="M16" s="16">
        <f>+K12*(K13/K14)*K15</f>
        <v>4376086.96</v>
      </c>
      <c r="O16" s="36"/>
    </row>
    <row r="17" spans="2:15" x14ac:dyDescent="0.25">
      <c r="B17" s="1"/>
      <c r="C17" s="17"/>
      <c r="D17" s="18"/>
      <c r="E17" s="18"/>
      <c r="F17" s="18"/>
      <c r="G17" s="18"/>
      <c r="H17" s="18"/>
      <c r="I17" s="18"/>
      <c r="J17" s="18"/>
      <c r="K17" s="18"/>
      <c r="L17" s="18" t="s">
        <v>75</v>
      </c>
      <c r="M17" s="305">
        <v>4521956.53</v>
      </c>
      <c r="O17" s="36"/>
    </row>
    <row r="18" spans="2:15" x14ac:dyDescent="0.25">
      <c r="B18" s="1"/>
      <c r="C18" s="17"/>
      <c r="D18" s="18"/>
      <c r="E18" s="18"/>
      <c r="F18" s="18"/>
      <c r="G18" s="18"/>
      <c r="H18" s="18"/>
      <c r="I18" s="18"/>
      <c r="J18" s="18"/>
      <c r="K18" s="18"/>
      <c r="L18" s="18" t="s">
        <v>74</v>
      </c>
      <c r="M18" s="299">
        <f>M16-M17</f>
        <v>-145869.5700000003</v>
      </c>
      <c r="O18" s="36"/>
    </row>
    <row r="19" spans="2:15" ht="15.75" thickBot="1" x14ac:dyDescent="0.3">
      <c r="B19" s="1"/>
      <c r="C19" s="7" t="s">
        <v>10</v>
      </c>
      <c r="D19" s="8"/>
      <c r="E19" s="8"/>
      <c r="F19" s="8"/>
      <c r="G19" s="8"/>
      <c r="H19" s="8"/>
      <c r="I19" s="8"/>
      <c r="J19" s="8"/>
      <c r="K19" s="9"/>
      <c r="L19" s="9"/>
      <c r="M19" s="10"/>
    </row>
    <row r="20" spans="2:15" ht="22.5" customHeight="1" x14ac:dyDescent="0.25">
      <c r="B20" s="1"/>
      <c r="C20" s="11" t="s">
        <v>6</v>
      </c>
      <c r="D20" s="12"/>
      <c r="E20" s="12"/>
      <c r="F20" s="12"/>
      <c r="G20" s="12"/>
      <c r="H20" s="12"/>
      <c r="I20" s="12"/>
      <c r="J20" s="12"/>
      <c r="K20" s="2244"/>
      <c r="L20" s="2245"/>
      <c r="M20" s="13"/>
    </row>
    <row r="21" spans="2:15" ht="21.75" customHeight="1" x14ac:dyDescent="0.25">
      <c r="B21" s="1"/>
      <c r="C21" s="2213"/>
      <c r="D21" s="2214"/>
      <c r="E21" s="2214"/>
      <c r="F21" s="2214"/>
      <c r="G21" s="2214"/>
      <c r="H21" s="2214"/>
      <c r="I21" s="2214"/>
      <c r="J21" s="2215"/>
      <c r="K21" s="2241">
        <f>VLOOKUP(H7,Tarifas!D4:H303,5)</f>
        <v>1E-3</v>
      </c>
      <c r="L21" s="2240"/>
      <c r="M21" s="13" t="s">
        <v>11</v>
      </c>
      <c r="O21" s="3" t="s">
        <v>63</v>
      </c>
    </row>
    <row r="22" spans="2:15" ht="15" customHeight="1" x14ac:dyDescent="0.25">
      <c r="B22" s="1"/>
      <c r="C22" s="2213"/>
      <c r="D22" s="2214"/>
      <c r="E22" s="2214"/>
      <c r="F22" s="2214"/>
      <c r="G22" s="2214"/>
      <c r="H22" s="2214"/>
      <c r="I22" s="2214"/>
      <c r="J22" s="2215"/>
      <c r="K22" s="2246">
        <v>201.4</v>
      </c>
      <c r="L22" s="2247"/>
      <c r="M22" s="13" t="s">
        <v>12</v>
      </c>
      <c r="O22" s="3" t="s">
        <v>62</v>
      </c>
    </row>
    <row r="23" spans="2:15" ht="21.75" customHeight="1" x14ac:dyDescent="0.25">
      <c r="B23" s="1"/>
      <c r="C23" s="2216"/>
      <c r="D23" s="2217"/>
      <c r="E23" s="2217"/>
      <c r="F23" s="2217"/>
      <c r="G23" s="2217"/>
      <c r="H23" s="2217"/>
      <c r="I23" s="2217"/>
      <c r="J23" s="2218"/>
      <c r="K23" s="2246">
        <v>201.8</v>
      </c>
      <c r="L23" s="2247"/>
      <c r="M23" s="13" t="s">
        <v>12</v>
      </c>
      <c r="O23" s="3" t="s">
        <v>67</v>
      </c>
    </row>
    <row r="24" spans="2:15" x14ac:dyDescent="0.25">
      <c r="B24" s="1"/>
      <c r="C24" s="19"/>
      <c r="D24" s="20"/>
      <c r="E24" s="20"/>
      <c r="F24" s="20"/>
      <c r="G24" s="20"/>
      <c r="H24" s="20"/>
      <c r="I24" s="20"/>
      <c r="J24" s="21"/>
      <c r="K24" s="2239">
        <f>IFERROR(K23/K22,0)</f>
        <v>1.0019860973187686</v>
      </c>
      <c r="L24" s="2240"/>
      <c r="M24" s="13"/>
    </row>
    <row r="25" spans="2:15" ht="15.75" thickBot="1" x14ac:dyDescent="0.3">
      <c r="B25" s="1"/>
      <c r="C25" s="2207"/>
      <c r="D25" s="2208"/>
      <c r="E25" s="2208"/>
      <c r="F25" s="2208"/>
      <c r="G25" s="2208"/>
      <c r="H25" s="2208"/>
      <c r="I25" s="2208"/>
      <c r="J25" s="2209"/>
      <c r="K25" s="2233">
        <v>2251503.2009999999</v>
      </c>
      <c r="L25" s="2234"/>
      <c r="M25" s="13" t="s">
        <v>8</v>
      </c>
      <c r="O25" s="37" t="s">
        <v>66</v>
      </c>
    </row>
    <row r="26" spans="2:15" x14ac:dyDescent="0.25">
      <c r="B26" s="1"/>
      <c r="C26" s="14" t="s">
        <v>13</v>
      </c>
      <c r="D26" s="15"/>
      <c r="E26" s="15"/>
      <c r="F26" s="15"/>
      <c r="G26" s="15"/>
      <c r="H26" s="15"/>
      <c r="I26" s="15"/>
      <c r="J26" s="15"/>
      <c r="K26" s="2235"/>
      <c r="L26" s="2235"/>
      <c r="M26" s="16">
        <f>+K21*K24*K25</f>
        <v>2255.9749054707049</v>
      </c>
      <c r="O26" s="38"/>
    </row>
    <row r="27" spans="2:15" x14ac:dyDescent="0.25">
      <c r="B27" s="1"/>
      <c r="C27" s="306"/>
      <c r="D27" s="307"/>
      <c r="E27" s="307"/>
      <c r="F27" s="307"/>
      <c r="G27" s="307"/>
      <c r="H27" s="307"/>
      <c r="I27" s="307"/>
      <c r="J27" s="307"/>
      <c r="K27" s="308"/>
      <c r="L27" s="310" t="s">
        <v>75</v>
      </c>
      <c r="M27" s="309">
        <v>2255.9699999999998</v>
      </c>
      <c r="O27" s="38"/>
    </row>
    <row r="28" spans="2:15" x14ac:dyDescent="0.25">
      <c r="B28" s="1"/>
      <c r="C28" s="306"/>
      <c r="D28" s="307"/>
      <c r="E28" s="307"/>
      <c r="F28" s="307"/>
      <c r="G28" s="307"/>
      <c r="H28" s="307"/>
      <c r="I28" s="307"/>
      <c r="J28" s="307"/>
      <c r="K28" s="308"/>
      <c r="L28" s="310" t="s">
        <v>74</v>
      </c>
      <c r="M28" s="309">
        <f>M26-M27</f>
        <v>4.9054707051254809E-3</v>
      </c>
      <c r="O28" s="38"/>
    </row>
    <row r="29" spans="2:15" x14ac:dyDescent="0.25">
      <c r="B29" s="1"/>
      <c r="C29" s="306"/>
      <c r="D29" s="307"/>
      <c r="E29" s="307"/>
      <c r="F29" s="307"/>
      <c r="G29" s="307"/>
      <c r="H29" s="307"/>
      <c r="I29" s="307"/>
      <c r="J29" s="307"/>
      <c r="K29" s="308"/>
      <c r="L29" s="308"/>
      <c r="M29" s="309"/>
      <c r="O29" s="38"/>
    </row>
    <row r="30" spans="2:15" ht="15" customHeight="1" x14ac:dyDescent="0.25">
      <c r="B30" s="1"/>
      <c r="C30" s="22" t="s">
        <v>70</v>
      </c>
      <c r="D30" s="23"/>
      <c r="E30" s="23"/>
      <c r="F30" s="23"/>
      <c r="G30" s="23"/>
      <c r="H30" s="23"/>
      <c r="I30" s="23"/>
      <c r="J30" s="23"/>
      <c r="K30" s="24"/>
      <c r="L30" s="24"/>
      <c r="M30" s="16">
        <f>+M16+M26</f>
        <v>4378342.9349054703</v>
      </c>
      <c r="O30" s="298"/>
    </row>
    <row r="31" spans="2:15" ht="15" customHeight="1" x14ac:dyDescent="0.25">
      <c r="B31" s="1"/>
      <c r="C31" s="22" t="str">
        <f>"% de Impuestos del mes: "&amp;H7</f>
        <v>% de Impuestos del mes: 6</v>
      </c>
      <c r="D31" s="23"/>
      <c r="E31" s="23"/>
      <c r="F31" s="23"/>
      <c r="G31" s="300" t="str">
        <f>"("&amp;VLOOKUP(H7,Tarifas!D4:H303,4)&amp;")"</f>
        <v>(2.057%)</v>
      </c>
      <c r="H31" s="23"/>
      <c r="I31" s="301"/>
      <c r="J31" s="302"/>
      <c r="K31" s="24"/>
      <c r="L31" s="24"/>
      <c r="M31" s="13"/>
      <c r="O31" s="38"/>
    </row>
    <row r="32" spans="2:15" x14ac:dyDescent="0.25">
      <c r="B32" s="1"/>
      <c r="C32" s="25" t="s">
        <v>14</v>
      </c>
      <c r="D32" s="26"/>
      <c r="E32" s="26"/>
      <c r="F32" s="26"/>
      <c r="G32" s="26"/>
      <c r="H32" s="26"/>
      <c r="I32" s="26"/>
      <c r="J32" s="18"/>
      <c r="K32" s="208"/>
      <c r="L32" s="18"/>
      <c r="M32" s="16">
        <f>+M30*0.16</f>
        <v>700534.8695848753</v>
      </c>
      <c r="O32" s="36"/>
    </row>
    <row r="33" spans="2:16" x14ac:dyDescent="0.25">
      <c r="B33" s="1"/>
      <c r="C33" s="27" t="s">
        <v>15</v>
      </c>
      <c r="D33" s="28"/>
      <c r="E33" s="28"/>
      <c r="F33" s="28"/>
      <c r="G33" s="28"/>
      <c r="H33" s="28"/>
      <c r="I33" s="28"/>
      <c r="J33" s="29"/>
      <c r="K33" s="30"/>
      <c r="L33" s="30"/>
      <c r="M33" s="16">
        <f>+M32+M30</f>
        <v>5078877.8044903455</v>
      </c>
      <c r="O33" s="36"/>
    </row>
    <row r="34" spans="2:16" x14ac:dyDescent="0.25">
      <c r="B34" s="1"/>
      <c r="C34" s="17"/>
      <c r="D34" s="18"/>
      <c r="E34" s="18"/>
      <c r="F34" s="18"/>
      <c r="G34" s="18"/>
      <c r="H34" s="18"/>
      <c r="I34" s="18"/>
      <c r="J34" s="18"/>
      <c r="K34" s="18"/>
      <c r="L34" s="18"/>
      <c r="M34" s="13"/>
    </row>
    <row r="35" spans="2:16" x14ac:dyDescent="0.25">
      <c r="B35" s="1"/>
      <c r="C35" s="17" t="s">
        <v>71</v>
      </c>
      <c r="D35" s="18"/>
      <c r="E35" s="18"/>
      <c r="F35" s="18"/>
      <c r="G35" s="18"/>
      <c r="H35" s="18"/>
      <c r="I35" s="18"/>
      <c r="J35" s="18"/>
      <c r="K35" s="18"/>
      <c r="L35" s="18"/>
      <c r="M35" s="299">
        <f>(M16*1.16)</f>
        <v>5076260.8735999996</v>
      </c>
      <c r="O35" s="36"/>
      <c r="P35" s="36"/>
    </row>
    <row r="36" spans="2:16" x14ac:dyDescent="0.25">
      <c r="B36" s="1"/>
      <c r="C36" s="17" t="s">
        <v>72</v>
      </c>
      <c r="D36" s="18"/>
      <c r="E36" s="18"/>
      <c r="F36" s="18"/>
      <c r="G36" s="18"/>
      <c r="H36" s="18"/>
      <c r="I36" s="18"/>
      <c r="J36" s="18"/>
      <c r="K36" s="18"/>
      <c r="L36" s="18"/>
      <c r="M36" s="299">
        <f>(M26*1.16)+M31</f>
        <v>2616.9308903460173</v>
      </c>
      <c r="O36" s="36"/>
      <c r="P36" s="36"/>
    </row>
    <row r="37" spans="2:16" x14ac:dyDescent="0.25">
      <c r="B37" s="1"/>
      <c r="C37" s="17"/>
      <c r="D37" s="18"/>
      <c r="E37" s="18"/>
      <c r="F37" s="18"/>
      <c r="G37" s="18"/>
      <c r="H37" s="18"/>
      <c r="I37" s="18"/>
      <c r="J37" s="18"/>
      <c r="K37" s="18"/>
      <c r="L37" s="18"/>
      <c r="M37" s="13"/>
    </row>
    <row r="38" spans="2:16" x14ac:dyDescent="0.25">
      <c r="B38" s="1"/>
      <c r="C38" s="7" t="s">
        <v>16</v>
      </c>
      <c r="D38" s="8"/>
      <c r="E38" s="8"/>
      <c r="F38" s="8"/>
      <c r="G38" s="8"/>
      <c r="H38" s="8"/>
      <c r="I38" s="8"/>
      <c r="J38" s="8"/>
      <c r="K38" s="9"/>
      <c r="L38" s="9"/>
      <c r="M38" s="10"/>
    </row>
    <row r="39" spans="2:16" x14ac:dyDescent="0.25">
      <c r="B39" s="1"/>
      <c r="C39" s="31" t="s">
        <v>17</v>
      </c>
      <c r="D39" s="32" t="s">
        <v>18</v>
      </c>
      <c r="E39" s="32" t="s">
        <v>19</v>
      </c>
      <c r="F39" s="2236" t="s">
        <v>20</v>
      </c>
      <c r="G39" s="2237"/>
      <c r="H39" s="2238" t="s">
        <v>1</v>
      </c>
      <c r="I39" s="2238"/>
      <c r="J39" s="2238" t="s">
        <v>21</v>
      </c>
      <c r="K39" s="2238"/>
      <c r="L39" s="18"/>
      <c r="M39" s="13"/>
    </row>
    <row r="40" spans="2:16" x14ac:dyDescent="0.25">
      <c r="B40" s="1"/>
      <c r="C40" s="33">
        <v>2044</v>
      </c>
      <c r="D40" s="303">
        <v>2044</v>
      </c>
      <c r="E40" s="303" t="s">
        <v>22</v>
      </c>
      <c r="F40" s="2224" t="s">
        <v>23</v>
      </c>
      <c r="G40" s="2224"/>
      <c r="H40" s="2225"/>
      <c r="I40" s="2225"/>
      <c r="J40" s="2226"/>
      <c r="K40" s="2226"/>
      <c r="L40" s="18"/>
      <c r="M40" s="13"/>
      <c r="N40" s="1"/>
    </row>
    <row r="41" spans="2:16" x14ac:dyDescent="0.25">
      <c r="B41" s="1"/>
      <c r="C41" s="33"/>
      <c r="D41" s="303"/>
      <c r="E41" s="303" t="s">
        <v>25</v>
      </c>
      <c r="F41" s="2227"/>
      <c r="G41" s="2228"/>
      <c r="H41" s="2229"/>
      <c r="I41" s="2230"/>
      <c r="J41" s="2231"/>
      <c r="K41" s="2232"/>
      <c r="L41" s="18"/>
      <c r="M41" s="13"/>
      <c r="N41" s="1"/>
    </row>
    <row r="42" spans="2:16" x14ac:dyDescent="0.25">
      <c r="B42" s="1"/>
      <c r="C42" s="33"/>
      <c r="D42" s="303"/>
      <c r="E42" s="303" t="s">
        <v>26</v>
      </c>
      <c r="F42" s="2227"/>
      <c r="G42" s="2228"/>
      <c r="H42" s="2229"/>
      <c r="I42" s="2230"/>
      <c r="J42" s="2231"/>
      <c r="K42" s="2232"/>
      <c r="L42" s="18"/>
      <c r="M42" s="13"/>
      <c r="N42" s="1"/>
    </row>
    <row r="43" spans="2:16" x14ac:dyDescent="0.25">
      <c r="B43" s="1"/>
      <c r="C43" s="33">
        <v>2044</v>
      </c>
      <c r="D43" s="303">
        <v>2044</v>
      </c>
      <c r="E43" s="303" t="s">
        <v>27</v>
      </c>
      <c r="F43" s="2224" t="s">
        <v>28</v>
      </c>
      <c r="G43" s="2224"/>
      <c r="H43" s="2225"/>
      <c r="I43" s="2225"/>
      <c r="J43" s="2226"/>
      <c r="K43" s="2226"/>
      <c r="L43" s="18"/>
      <c r="M43" s="13"/>
      <c r="N43" s="1"/>
    </row>
    <row r="44" spans="2:16" x14ac:dyDescent="0.25">
      <c r="B44" s="1"/>
      <c r="C44" s="2219" t="s">
        <v>24</v>
      </c>
      <c r="D44" s="2220"/>
      <c r="E44" s="2220"/>
      <c r="F44" s="2220"/>
      <c r="G44" s="2221"/>
      <c r="H44" s="2222">
        <f>SUM(H40:H43)</f>
        <v>0</v>
      </c>
      <c r="I44" s="2223"/>
      <c r="J44" s="3"/>
      <c r="K44" s="3"/>
      <c r="L44" s="18"/>
      <c r="M44" s="13"/>
      <c r="N44" s="1"/>
    </row>
    <row r="45" spans="2:16" x14ac:dyDescent="0.25">
      <c r="B45" s="1"/>
      <c r="C45" s="17"/>
      <c r="D45" s="18"/>
      <c r="E45" s="18"/>
      <c r="F45" s="18"/>
      <c r="G45" s="18"/>
      <c r="H45" s="18"/>
      <c r="I45" s="18"/>
      <c r="J45" s="18"/>
      <c r="K45" s="18"/>
      <c r="L45" s="18"/>
      <c r="M45" s="13"/>
    </row>
  </sheetData>
  <mergeCells count="44">
    <mergeCell ref="F41:G41"/>
    <mergeCell ref="H41:I41"/>
    <mergeCell ref="J41:K41"/>
    <mergeCell ref="C44:G44"/>
    <mergeCell ref="H44:I44"/>
    <mergeCell ref="F42:G42"/>
    <mergeCell ref="H42:I42"/>
    <mergeCell ref="J42:K42"/>
    <mergeCell ref="F43:G43"/>
    <mergeCell ref="H43:I43"/>
    <mergeCell ref="J43:K43"/>
    <mergeCell ref="C23:J23"/>
    <mergeCell ref="K23:L23"/>
    <mergeCell ref="F40:G40"/>
    <mergeCell ref="H40:I40"/>
    <mergeCell ref="J40:K40"/>
    <mergeCell ref="K26:L26"/>
    <mergeCell ref="F39:G39"/>
    <mergeCell ref="H39:I39"/>
    <mergeCell ref="J39:K39"/>
    <mergeCell ref="K24:L24"/>
    <mergeCell ref="C25:J25"/>
    <mergeCell ref="K25:L25"/>
    <mergeCell ref="K9:M9"/>
    <mergeCell ref="K11:L11"/>
    <mergeCell ref="C12:J12"/>
    <mergeCell ref="K12:L12"/>
    <mergeCell ref="C13:J13"/>
    <mergeCell ref="K13:L13"/>
    <mergeCell ref="C14:J14"/>
    <mergeCell ref="K14:L14"/>
    <mergeCell ref="K21:L21"/>
    <mergeCell ref="C22:J22"/>
    <mergeCell ref="K22:L22"/>
    <mergeCell ref="C15:J15"/>
    <mergeCell ref="K15:L15"/>
    <mergeCell ref="K16:L16"/>
    <mergeCell ref="K20:L20"/>
    <mergeCell ref="C21:J21"/>
    <mergeCell ref="C3:M4"/>
    <mergeCell ref="C5:M5"/>
    <mergeCell ref="C6:M6"/>
    <mergeCell ref="C7:G7"/>
    <mergeCell ref="C8:G8"/>
  </mergeCells>
  <pageMargins left="0.7" right="0.7" top="0.93" bottom="0.75" header="0.3" footer="0.3"/>
  <pageSetup scale="93" fitToHeight="0" orientation="portrait" r:id="rId1"/>
  <headerFooter>
    <oddHeader>&amp;L&amp;G&amp;R&amp;"Arial,Negrita"Direccion de Operacion&amp;"Arial,Normal"
Subdireccion de Energeticos
Subgerencia Regional de Energeticos</oddHeader>
  </headerFooter>
  <drawing r:id="rId2"/>
  <legacyDrawingHF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45"/>
  <sheetViews>
    <sheetView workbookViewId="0"/>
  </sheetViews>
  <sheetFormatPr baseColWidth="10" defaultColWidth="11" defaultRowHeight="15" x14ac:dyDescent="0.25"/>
  <cols>
    <col min="1" max="1" width="11" style="2"/>
    <col min="2" max="2" width="2.875" style="2" customWidth="1"/>
    <col min="3" max="9" width="5.625" style="2" customWidth="1"/>
    <col min="10" max="10" width="11" style="2" customWidth="1"/>
    <col min="11" max="11" width="5.375" style="2" customWidth="1"/>
    <col min="12" max="12" width="7.625" style="2" bestFit="1" customWidth="1"/>
    <col min="13" max="13" width="10.5" style="2" bestFit="1" customWidth="1"/>
    <col min="14" max="14" width="4.125" style="6" customWidth="1"/>
    <col min="15" max="15" width="39.625" style="3" bestFit="1" customWidth="1"/>
    <col min="16" max="16384" width="11" style="3"/>
  </cols>
  <sheetData>
    <row r="2" spans="2:15" ht="15.75" thickBot="1" x14ac:dyDescent="0.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2:15" ht="15" customHeight="1" x14ac:dyDescent="0.25">
      <c r="B3" s="1"/>
      <c r="C3" s="2250" t="s">
        <v>0</v>
      </c>
      <c r="D3" s="2251"/>
      <c r="E3" s="2251"/>
      <c r="F3" s="2251"/>
      <c r="G3" s="2251"/>
      <c r="H3" s="2251"/>
      <c r="I3" s="2251"/>
      <c r="J3" s="2251"/>
      <c r="K3" s="2251"/>
      <c r="L3" s="2251"/>
      <c r="M3" s="2252"/>
    </row>
    <row r="4" spans="2:15" ht="15" customHeight="1" x14ac:dyDescent="0.25">
      <c r="B4" s="1"/>
      <c r="C4" s="2253"/>
      <c r="D4" s="2254"/>
      <c r="E4" s="2254"/>
      <c r="F4" s="2254"/>
      <c r="G4" s="2254"/>
      <c r="H4" s="2254"/>
      <c r="I4" s="2254"/>
      <c r="J4" s="2254"/>
      <c r="K4" s="2254"/>
      <c r="L4" s="2254"/>
      <c r="M4" s="2255"/>
    </row>
    <row r="5" spans="2:15" x14ac:dyDescent="0.25">
      <c r="B5" s="1"/>
      <c r="C5" s="2256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8"/>
    </row>
    <row r="6" spans="2:15" x14ac:dyDescent="0.25">
      <c r="B6" s="1"/>
      <c r="C6" s="2256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8"/>
    </row>
    <row r="7" spans="2:15" ht="15" customHeight="1" x14ac:dyDescent="0.25">
      <c r="B7" s="1"/>
      <c r="C7" s="2259" t="s">
        <v>3</v>
      </c>
      <c r="D7" s="2260"/>
      <c r="E7" s="2260"/>
      <c r="F7" s="2260"/>
      <c r="G7" s="2260"/>
      <c r="H7" s="207">
        <v>7</v>
      </c>
      <c r="I7" s="296">
        <f>VLOOKUP(H7,Tarifas!D4:H303,2)</f>
        <v>41671</v>
      </c>
      <c r="J7" s="296"/>
      <c r="K7" s="296"/>
      <c r="L7" s="296"/>
      <c r="M7" s="297"/>
      <c r="O7" s="3" t="s">
        <v>64</v>
      </c>
    </row>
    <row r="8" spans="2:15" x14ac:dyDescent="0.25">
      <c r="B8" s="1"/>
      <c r="C8" s="2259" t="s">
        <v>4</v>
      </c>
      <c r="D8" s="2260"/>
      <c r="E8" s="2260"/>
      <c r="F8" s="2260"/>
      <c r="G8" s="2260"/>
      <c r="H8" s="207">
        <v>12</v>
      </c>
      <c r="I8" s="296"/>
      <c r="J8" s="296"/>
      <c r="K8" s="296"/>
      <c r="L8" s="296"/>
      <c r="M8" s="297"/>
    </row>
    <row r="9" spans="2:15" x14ac:dyDescent="0.25">
      <c r="B9" s="1"/>
      <c r="C9" s="4"/>
      <c r="D9" s="5"/>
      <c r="E9" s="5"/>
      <c r="F9" s="5"/>
      <c r="G9" s="5"/>
      <c r="H9" s="5"/>
      <c r="I9" s="5"/>
      <c r="J9" s="5"/>
      <c r="K9" s="2248" t="s">
        <v>73</v>
      </c>
      <c r="L9" s="2248"/>
      <c r="M9" s="2249"/>
    </row>
    <row r="10" spans="2:15" ht="15.75" thickBot="1" x14ac:dyDescent="0.3">
      <c r="B10" s="1"/>
      <c r="C10" s="7" t="s">
        <v>5</v>
      </c>
      <c r="D10" s="8"/>
      <c r="E10" s="8"/>
      <c r="F10" s="8"/>
      <c r="G10" s="8"/>
      <c r="H10" s="8"/>
      <c r="I10" s="8"/>
      <c r="J10" s="8"/>
      <c r="K10" s="9"/>
      <c r="L10" s="9"/>
      <c r="M10" s="10"/>
    </row>
    <row r="11" spans="2:15" x14ac:dyDescent="0.25">
      <c r="B11" s="1"/>
      <c r="C11" s="11" t="s">
        <v>6</v>
      </c>
      <c r="D11" s="12"/>
      <c r="E11" s="12"/>
      <c r="F11" s="12"/>
      <c r="G11" s="12"/>
      <c r="H11" s="12"/>
      <c r="I11" s="12"/>
      <c r="J11" s="12"/>
      <c r="K11" s="2244"/>
      <c r="L11" s="2245"/>
      <c r="M11" s="13"/>
      <c r="O11" s="38"/>
    </row>
    <row r="12" spans="2:15" ht="26.25" customHeight="1" x14ac:dyDescent="0.25">
      <c r="B12" s="1"/>
      <c r="C12" s="2213"/>
      <c r="D12" s="2214"/>
      <c r="E12" s="2214"/>
      <c r="F12" s="2214"/>
      <c r="G12" s="2214"/>
      <c r="H12" s="2214"/>
      <c r="I12" s="2214"/>
      <c r="J12" s="2215"/>
      <c r="K12" s="2241">
        <f>VLOOKUP(H7,Tarifas!D4:H303,3)</f>
        <v>0.13900000000000001</v>
      </c>
      <c r="L12" s="2240"/>
      <c r="M12" s="13"/>
      <c r="O12" s="3" t="s">
        <v>63</v>
      </c>
    </row>
    <row r="13" spans="2:15" x14ac:dyDescent="0.25">
      <c r="B13" s="1"/>
      <c r="C13" s="2213"/>
      <c r="D13" s="2214"/>
      <c r="E13" s="2214"/>
      <c r="F13" s="2214"/>
      <c r="G13" s="2214"/>
      <c r="H13" s="2214"/>
      <c r="I13" s="2214"/>
      <c r="J13" s="2215"/>
      <c r="K13" s="2241">
        <v>850</v>
      </c>
      <c r="L13" s="2240"/>
      <c r="M13" s="13" t="s">
        <v>7</v>
      </c>
      <c r="O13" s="38"/>
    </row>
    <row r="14" spans="2:15" x14ac:dyDescent="0.25">
      <c r="B14" s="1"/>
      <c r="C14" s="2213"/>
      <c r="D14" s="2214"/>
      <c r="E14" s="2214"/>
      <c r="F14" s="2214"/>
      <c r="G14" s="2214"/>
      <c r="H14" s="2214"/>
      <c r="I14" s="2214"/>
      <c r="J14" s="2215"/>
      <c r="K14" s="2241">
        <v>850</v>
      </c>
      <c r="L14" s="2240"/>
      <c r="M14" s="13" t="s">
        <v>7</v>
      </c>
      <c r="O14" s="38"/>
    </row>
    <row r="15" spans="2:15" ht="15.75" thickBot="1" x14ac:dyDescent="0.3">
      <c r="B15" s="1"/>
      <c r="C15" s="2210"/>
      <c r="D15" s="2211"/>
      <c r="E15" s="2211"/>
      <c r="F15" s="2211"/>
      <c r="G15" s="2211"/>
      <c r="H15" s="2211"/>
      <c r="I15" s="2211"/>
      <c r="J15" s="2212"/>
      <c r="K15" s="2242">
        <v>31482640</v>
      </c>
      <c r="L15" s="2243"/>
      <c r="M15" s="13" t="s">
        <v>8</v>
      </c>
      <c r="O15" s="304"/>
    </row>
    <row r="16" spans="2:15" x14ac:dyDescent="0.25">
      <c r="B16" s="3"/>
      <c r="C16" s="14" t="s">
        <v>9</v>
      </c>
      <c r="D16" s="15"/>
      <c r="E16" s="15"/>
      <c r="F16" s="15"/>
      <c r="G16" s="15"/>
      <c r="H16" s="15"/>
      <c r="I16" s="15"/>
      <c r="J16" s="15"/>
      <c r="K16" s="2235"/>
      <c r="L16" s="2235"/>
      <c r="M16" s="16">
        <f>+K12*(K13/K14)*K15</f>
        <v>4376086.96</v>
      </c>
      <c r="O16" s="36"/>
    </row>
    <row r="17" spans="2:15" x14ac:dyDescent="0.25">
      <c r="B17" s="1"/>
      <c r="C17" s="17"/>
      <c r="D17" s="18"/>
      <c r="E17" s="18"/>
      <c r="F17" s="18"/>
      <c r="G17" s="18"/>
      <c r="H17" s="18"/>
      <c r="I17" s="18"/>
      <c r="J17" s="18"/>
      <c r="K17" s="18"/>
      <c r="L17" s="18" t="s">
        <v>75</v>
      </c>
      <c r="M17" s="305">
        <v>4084347.83</v>
      </c>
      <c r="O17" s="36"/>
    </row>
    <row r="18" spans="2:15" x14ac:dyDescent="0.25">
      <c r="B18" s="1"/>
      <c r="C18" s="17"/>
      <c r="D18" s="18"/>
      <c r="E18" s="18"/>
      <c r="F18" s="18"/>
      <c r="G18" s="18"/>
      <c r="H18" s="18"/>
      <c r="I18" s="18"/>
      <c r="J18" s="18"/>
      <c r="K18" s="18"/>
      <c r="L18" s="18" t="s">
        <v>74</v>
      </c>
      <c r="M18" s="299">
        <f>M16-M17</f>
        <v>291739.12999999989</v>
      </c>
      <c r="O18" s="36"/>
    </row>
    <row r="19" spans="2:15" ht="15.75" thickBot="1" x14ac:dyDescent="0.3">
      <c r="B19" s="1"/>
      <c r="C19" s="7" t="s">
        <v>10</v>
      </c>
      <c r="D19" s="8"/>
      <c r="E19" s="8"/>
      <c r="F19" s="8"/>
      <c r="G19" s="8"/>
      <c r="H19" s="8"/>
      <c r="I19" s="8"/>
      <c r="J19" s="8"/>
      <c r="K19" s="9"/>
      <c r="L19" s="9"/>
      <c r="M19" s="10"/>
    </row>
    <row r="20" spans="2:15" ht="22.5" customHeight="1" x14ac:dyDescent="0.25">
      <c r="B20" s="1"/>
      <c r="C20" s="11" t="s">
        <v>6</v>
      </c>
      <c r="D20" s="12"/>
      <c r="E20" s="12"/>
      <c r="F20" s="12"/>
      <c r="G20" s="12"/>
      <c r="H20" s="12"/>
      <c r="I20" s="12"/>
      <c r="J20" s="12"/>
      <c r="K20" s="2244"/>
      <c r="L20" s="2245"/>
      <c r="M20" s="13"/>
    </row>
    <row r="21" spans="2:15" ht="21.75" customHeight="1" x14ac:dyDescent="0.25">
      <c r="B21" s="1"/>
      <c r="C21" s="2213"/>
      <c r="D21" s="2214"/>
      <c r="E21" s="2214"/>
      <c r="F21" s="2214"/>
      <c r="G21" s="2214"/>
      <c r="H21" s="2214"/>
      <c r="I21" s="2214"/>
      <c r="J21" s="2215"/>
      <c r="K21" s="2241">
        <f>VLOOKUP(H7,Tarifas!D4:H303,5)</f>
        <v>1E-3</v>
      </c>
      <c r="L21" s="2240"/>
      <c r="M21" s="13" t="s">
        <v>11</v>
      </c>
      <c r="O21" s="3" t="s">
        <v>63</v>
      </c>
    </row>
    <row r="22" spans="2:15" ht="15" customHeight="1" x14ac:dyDescent="0.25">
      <c r="B22" s="1"/>
      <c r="C22" s="2213"/>
      <c r="D22" s="2214"/>
      <c r="E22" s="2214"/>
      <c r="F22" s="2214"/>
      <c r="G22" s="2214"/>
      <c r="H22" s="2214"/>
      <c r="I22" s="2214"/>
      <c r="J22" s="2215"/>
      <c r="K22" s="2246">
        <v>201.4</v>
      </c>
      <c r="L22" s="2247"/>
      <c r="M22" s="13" t="s">
        <v>12</v>
      </c>
      <c r="O22" s="3" t="s">
        <v>62</v>
      </c>
    </row>
    <row r="23" spans="2:15" ht="21.75" customHeight="1" x14ac:dyDescent="0.25">
      <c r="B23" s="1"/>
      <c r="C23" s="2216"/>
      <c r="D23" s="2217"/>
      <c r="E23" s="2217"/>
      <c r="F23" s="2217"/>
      <c r="G23" s="2217"/>
      <c r="H23" s="2217"/>
      <c r="I23" s="2217"/>
      <c r="J23" s="2218"/>
      <c r="K23" s="2246">
        <v>203.5</v>
      </c>
      <c r="L23" s="2247"/>
      <c r="M23" s="13" t="s">
        <v>12</v>
      </c>
      <c r="O23" s="3" t="s">
        <v>67</v>
      </c>
    </row>
    <row r="24" spans="2:15" x14ac:dyDescent="0.25">
      <c r="B24" s="1"/>
      <c r="C24" s="19"/>
      <c r="D24" s="20"/>
      <c r="E24" s="20"/>
      <c r="F24" s="20"/>
      <c r="G24" s="20"/>
      <c r="H24" s="20"/>
      <c r="I24" s="20"/>
      <c r="J24" s="21"/>
      <c r="K24" s="2239">
        <f>IFERROR(K23/K22,0)</f>
        <v>1.0104270109235352</v>
      </c>
      <c r="L24" s="2240"/>
      <c r="M24" s="13"/>
    </row>
    <row r="25" spans="2:15" ht="15.75" thickBot="1" x14ac:dyDescent="0.3">
      <c r="B25" s="1"/>
      <c r="C25" s="2207"/>
      <c r="D25" s="2208"/>
      <c r="E25" s="2208"/>
      <c r="F25" s="2208"/>
      <c r="G25" s="2208"/>
      <c r="H25" s="2208"/>
      <c r="I25" s="2208"/>
      <c r="J25" s="2209"/>
      <c r="K25" s="2233">
        <v>1984999.27</v>
      </c>
      <c r="L25" s="2234"/>
      <c r="M25" s="13" t="s">
        <v>8</v>
      </c>
      <c r="O25" s="37" t="s">
        <v>66</v>
      </c>
    </row>
    <row r="26" spans="2:15" x14ac:dyDescent="0.25">
      <c r="B26" s="1"/>
      <c r="C26" s="14" t="s">
        <v>13</v>
      </c>
      <c r="D26" s="15"/>
      <c r="E26" s="15"/>
      <c r="F26" s="15"/>
      <c r="G26" s="15"/>
      <c r="H26" s="15"/>
      <c r="I26" s="15"/>
      <c r="J26" s="15"/>
      <c r="K26" s="2235"/>
      <c r="L26" s="2235"/>
      <c r="M26" s="16">
        <f>+K21*K24*K25</f>
        <v>2005.6968790714996</v>
      </c>
      <c r="O26" s="38"/>
    </row>
    <row r="27" spans="2:15" x14ac:dyDescent="0.25">
      <c r="B27" s="1"/>
      <c r="C27" s="306"/>
      <c r="D27" s="307"/>
      <c r="E27" s="307"/>
      <c r="F27" s="307"/>
      <c r="G27" s="307"/>
      <c r="H27" s="307"/>
      <c r="I27" s="307"/>
      <c r="J27" s="307"/>
      <c r="K27" s="308"/>
      <c r="L27" s="310" t="s">
        <v>75</v>
      </c>
      <c r="M27" s="309">
        <v>2005.7</v>
      </c>
      <c r="O27" s="38"/>
    </row>
    <row r="28" spans="2:15" x14ac:dyDescent="0.25">
      <c r="B28" s="1"/>
      <c r="C28" s="306"/>
      <c r="D28" s="307"/>
      <c r="E28" s="307"/>
      <c r="F28" s="307"/>
      <c r="G28" s="307"/>
      <c r="H28" s="307"/>
      <c r="I28" s="307"/>
      <c r="J28" s="307"/>
      <c r="K28" s="308"/>
      <c r="L28" s="310" t="s">
        <v>74</v>
      </c>
      <c r="M28" s="309">
        <f>M26-M27</f>
        <v>-3.1209285004933918E-3</v>
      </c>
      <c r="O28" s="38"/>
    </row>
    <row r="29" spans="2:15" x14ac:dyDescent="0.25">
      <c r="B29" s="1"/>
      <c r="C29" s="306"/>
      <c r="D29" s="307"/>
      <c r="E29" s="307"/>
      <c r="F29" s="307"/>
      <c r="G29" s="307"/>
      <c r="H29" s="307"/>
      <c r="I29" s="307"/>
      <c r="J29" s="307"/>
      <c r="K29" s="308"/>
      <c r="L29" s="308"/>
      <c r="M29" s="309"/>
      <c r="O29" s="38"/>
    </row>
    <row r="30" spans="2:15" ht="15" customHeight="1" x14ac:dyDescent="0.25">
      <c r="B30" s="1"/>
      <c r="C30" s="22" t="s">
        <v>70</v>
      </c>
      <c r="D30" s="23"/>
      <c r="E30" s="23"/>
      <c r="F30" s="23"/>
      <c r="G30" s="23"/>
      <c r="H30" s="23"/>
      <c r="I30" s="23"/>
      <c r="J30" s="23"/>
      <c r="K30" s="24"/>
      <c r="L30" s="24"/>
      <c r="M30" s="16">
        <f>+M16+M26</f>
        <v>4378092.6568790711</v>
      </c>
      <c r="O30" s="298"/>
    </row>
    <row r="31" spans="2:15" ht="15" customHeight="1" x14ac:dyDescent="0.25">
      <c r="B31" s="1"/>
      <c r="C31" s="22" t="str">
        <f>"% de Impuestos del mes: "&amp;H7</f>
        <v>% de Impuestos del mes: 7</v>
      </c>
      <c r="D31" s="23"/>
      <c r="E31" s="23"/>
      <c r="F31" s="23"/>
      <c r="G31" s="300" t="str">
        <f>"("&amp;VLOOKUP(H7,Tarifas!D4:H303,4)&amp;")"</f>
        <v>(2.057%)</v>
      </c>
      <c r="H31" s="23"/>
      <c r="I31" s="301"/>
      <c r="J31" s="302"/>
      <c r="K31" s="24"/>
      <c r="L31" s="24"/>
      <c r="M31" s="13"/>
      <c r="O31" s="38"/>
    </row>
    <row r="32" spans="2:15" x14ac:dyDescent="0.25">
      <c r="B32" s="1"/>
      <c r="C32" s="25" t="s">
        <v>14</v>
      </c>
      <c r="D32" s="26"/>
      <c r="E32" s="26"/>
      <c r="F32" s="26"/>
      <c r="G32" s="26"/>
      <c r="H32" s="26"/>
      <c r="I32" s="26"/>
      <c r="J32" s="18"/>
      <c r="K32" s="208"/>
      <c r="L32" s="18"/>
      <c r="M32" s="16">
        <f>+M30*0.16</f>
        <v>700494.82510065136</v>
      </c>
      <c r="O32" s="36"/>
    </row>
    <row r="33" spans="2:16" x14ac:dyDescent="0.25">
      <c r="B33" s="1"/>
      <c r="C33" s="27" t="s">
        <v>15</v>
      </c>
      <c r="D33" s="28"/>
      <c r="E33" s="28"/>
      <c r="F33" s="28"/>
      <c r="G33" s="28"/>
      <c r="H33" s="28"/>
      <c r="I33" s="28"/>
      <c r="J33" s="29"/>
      <c r="K33" s="30"/>
      <c r="L33" s="30"/>
      <c r="M33" s="16">
        <f>+M32+M30</f>
        <v>5078587.4819797222</v>
      </c>
      <c r="O33" s="36"/>
    </row>
    <row r="34" spans="2:16" x14ac:dyDescent="0.25">
      <c r="B34" s="1"/>
      <c r="C34" s="17"/>
      <c r="D34" s="18"/>
      <c r="E34" s="18"/>
      <c r="F34" s="18"/>
      <c r="G34" s="18"/>
      <c r="H34" s="18"/>
      <c r="I34" s="18"/>
      <c r="J34" s="18"/>
      <c r="K34" s="18"/>
      <c r="L34" s="18"/>
      <c r="M34" s="13"/>
    </row>
    <row r="35" spans="2:16" x14ac:dyDescent="0.25">
      <c r="B35" s="1"/>
      <c r="C35" s="17" t="s">
        <v>71</v>
      </c>
      <c r="D35" s="18"/>
      <c r="E35" s="18"/>
      <c r="F35" s="18"/>
      <c r="G35" s="18"/>
      <c r="H35" s="18"/>
      <c r="I35" s="18"/>
      <c r="J35" s="18"/>
      <c r="K35" s="18"/>
      <c r="L35" s="18"/>
      <c r="M35" s="299">
        <f>(M16*1.16)</f>
        <v>5076260.8735999996</v>
      </c>
      <c r="O35" s="36"/>
      <c r="P35" s="36"/>
    </row>
    <row r="36" spans="2:16" x14ac:dyDescent="0.25">
      <c r="B36" s="1"/>
      <c r="C36" s="17" t="s">
        <v>72</v>
      </c>
      <c r="D36" s="18"/>
      <c r="E36" s="18"/>
      <c r="F36" s="18"/>
      <c r="G36" s="18"/>
      <c r="H36" s="18"/>
      <c r="I36" s="18"/>
      <c r="J36" s="18"/>
      <c r="K36" s="18"/>
      <c r="L36" s="18"/>
      <c r="M36" s="299">
        <f>(M26*1.16)+M31</f>
        <v>2326.6083797229394</v>
      </c>
      <c r="O36" s="36"/>
      <c r="P36" s="36"/>
    </row>
    <row r="37" spans="2:16" x14ac:dyDescent="0.25">
      <c r="B37" s="1"/>
      <c r="C37" s="17"/>
      <c r="D37" s="18"/>
      <c r="E37" s="18"/>
      <c r="F37" s="18"/>
      <c r="G37" s="18"/>
      <c r="H37" s="18"/>
      <c r="I37" s="18"/>
      <c r="J37" s="18"/>
      <c r="K37" s="18"/>
      <c r="L37" s="18"/>
      <c r="M37" s="13"/>
    </row>
    <row r="38" spans="2:16" x14ac:dyDescent="0.25">
      <c r="B38" s="1"/>
      <c r="C38" s="7" t="s">
        <v>16</v>
      </c>
      <c r="D38" s="8"/>
      <c r="E38" s="8"/>
      <c r="F38" s="8"/>
      <c r="G38" s="8"/>
      <c r="H38" s="8"/>
      <c r="I38" s="8"/>
      <c r="J38" s="8"/>
      <c r="K38" s="9"/>
      <c r="L38" s="9"/>
      <c r="M38" s="10"/>
    </row>
    <row r="39" spans="2:16" x14ac:dyDescent="0.25">
      <c r="B39" s="1"/>
      <c r="C39" s="31" t="s">
        <v>17</v>
      </c>
      <c r="D39" s="32" t="s">
        <v>18</v>
      </c>
      <c r="E39" s="32" t="s">
        <v>19</v>
      </c>
      <c r="F39" s="2236" t="s">
        <v>20</v>
      </c>
      <c r="G39" s="2237"/>
      <c r="H39" s="2238" t="s">
        <v>1</v>
      </c>
      <c r="I39" s="2238"/>
      <c r="J39" s="2238" t="s">
        <v>21</v>
      </c>
      <c r="K39" s="2238"/>
      <c r="L39" s="18"/>
      <c r="M39" s="13"/>
    </row>
    <row r="40" spans="2:16" x14ac:dyDescent="0.25">
      <c r="B40" s="1"/>
      <c r="C40" s="33">
        <v>2044</v>
      </c>
      <c r="D40" s="303">
        <v>2044</v>
      </c>
      <c r="E40" s="303" t="s">
        <v>22</v>
      </c>
      <c r="F40" s="2224" t="s">
        <v>23</v>
      </c>
      <c r="G40" s="2224"/>
      <c r="H40" s="2225"/>
      <c r="I40" s="2225"/>
      <c r="J40" s="2226"/>
      <c r="K40" s="2226"/>
      <c r="L40" s="18"/>
      <c r="M40" s="13"/>
      <c r="N40" s="1"/>
    </row>
    <row r="41" spans="2:16" x14ac:dyDescent="0.25">
      <c r="B41" s="1"/>
      <c r="C41" s="33"/>
      <c r="D41" s="303"/>
      <c r="E41" s="303" t="s">
        <v>25</v>
      </c>
      <c r="F41" s="2227"/>
      <c r="G41" s="2228"/>
      <c r="H41" s="2229"/>
      <c r="I41" s="2230"/>
      <c r="J41" s="2231"/>
      <c r="K41" s="2232"/>
      <c r="L41" s="18"/>
      <c r="M41" s="13"/>
      <c r="N41" s="1"/>
    </row>
    <row r="42" spans="2:16" x14ac:dyDescent="0.25">
      <c r="B42" s="1"/>
      <c r="C42" s="33"/>
      <c r="D42" s="303"/>
      <c r="E42" s="303" t="s">
        <v>26</v>
      </c>
      <c r="F42" s="2227"/>
      <c r="G42" s="2228"/>
      <c r="H42" s="2229"/>
      <c r="I42" s="2230"/>
      <c r="J42" s="2231"/>
      <c r="K42" s="2232"/>
      <c r="L42" s="18"/>
      <c r="M42" s="13"/>
      <c r="N42" s="1"/>
    </row>
    <row r="43" spans="2:16" x14ac:dyDescent="0.25">
      <c r="B43" s="1"/>
      <c r="C43" s="33">
        <v>2044</v>
      </c>
      <c r="D43" s="303">
        <v>2044</v>
      </c>
      <c r="E43" s="303" t="s">
        <v>27</v>
      </c>
      <c r="F43" s="2224" t="s">
        <v>28</v>
      </c>
      <c r="G43" s="2224"/>
      <c r="H43" s="2225"/>
      <c r="I43" s="2225"/>
      <c r="J43" s="2226"/>
      <c r="K43" s="2226"/>
      <c r="L43" s="18"/>
      <c r="M43" s="13"/>
      <c r="N43" s="1"/>
    </row>
    <row r="44" spans="2:16" x14ac:dyDescent="0.25">
      <c r="B44" s="1"/>
      <c r="C44" s="2219" t="s">
        <v>24</v>
      </c>
      <c r="D44" s="2220"/>
      <c r="E44" s="2220"/>
      <c r="F44" s="2220"/>
      <c r="G44" s="2221"/>
      <c r="H44" s="2222">
        <f>SUM(H40:H43)</f>
        <v>0</v>
      </c>
      <c r="I44" s="2223"/>
      <c r="J44" s="3"/>
      <c r="K44" s="3"/>
      <c r="L44" s="18"/>
      <c r="M44" s="13"/>
      <c r="N44" s="1"/>
    </row>
    <row r="45" spans="2:16" x14ac:dyDescent="0.25">
      <c r="B45" s="1"/>
      <c r="C45" s="17"/>
      <c r="D45" s="18"/>
      <c r="E45" s="18"/>
      <c r="F45" s="18"/>
      <c r="G45" s="18"/>
      <c r="H45" s="18"/>
      <c r="I45" s="18"/>
      <c r="J45" s="18"/>
      <c r="K45" s="18"/>
      <c r="L45" s="18"/>
      <c r="M45" s="13"/>
    </row>
  </sheetData>
  <mergeCells count="44">
    <mergeCell ref="F41:G41"/>
    <mergeCell ref="H41:I41"/>
    <mergeCell ref="J41:K41"/>
    <mergeCell ref="C44:G44"/>
    <mergeCell ref="H44:I44"/>
    <mergeCell ref="F42:G42"/>
    <mergeCell ref="H42:I42"/>
    <mergeCell ref="J42:K42"/>
    <mergeCell ref="F43:G43"/>
    <mergeCell ref="H43:I43"/>
    <mergeCell ref="J43:K43"/>
    <mergeCell ref="C23:J23"/>
    <mergeCell ref="K23:L23"/>
    <mergeCell ref="F40:G40"/>
    <mergeCell ref="H40:I40"/>
    <mergeCell ref="J40:K40"/>
    <mergeCell ref="K26:L26"/>
    <mergeCell ref="F39:G39"/>
    <mergeCell ref="H39:I39"/>
    <mergeCell ref="J39:K39"/>
    <mergeCell ref="K24:L24"/>
    <mergeCell ref="C25:J25"/>
    <mergeCell ref="K25:L25"/>
    <mergeCell ref="K9:M9"/>
    <mergeCell ref="K11:L11"/>
    <mergeCell ref="C12:J12"/>
    <mergeCell ref="K12:L12"/>
    <mergeCell ref="C13:J13"/>
    <mergeCell ref="K13:L13"/>
    <mergeCell ref="C14:J14"/>
    <mergeCell ref="K14:L14"/>
    <mergeCell ref="K21:L21"/>
    <mergeCell ref="C22:J22"/>
    <mergeCell ref="K22:L22"/>
    <mergeCell ref="C15:J15"/>
    <mergeCell ref="K15:L15"/>
    <mergeCell ref="K16:L16"/>
    <mergeCell ref="K20:L20"/>
    <mergeCell ref="C21:J21"/>
    <mergeCell ref="C3:M4"/>
    <mergeCell ref="C5:M5"/>
    <mergeCell ref="C6:M6"/>
    <mergeCell ref="C7:G7"/>
    <mergeCell ref="C8:G8"/>
  </mergeCells>
  <pageMargins left="0.7" right="0.7" top="0.93" bottom="0.75" header="0.3" footer="0.3"/>
  <pageSetup scale="93" fitToHeight="0" orientation="portrait" r:id="rId1"/>
  <headerFooter>
    <oddHeader>&amp;L&amp;G&amp;R&amp;"Arial,Negrita"Direccion de Operacion&amp;"Arial,Normal"
Subdireccion de Energeticos
Subgerencia Regional de Energeticos</oddHeader>
  </headerFooter>
  <drawing r:id="rId2"/>
  <legacyDrawingHF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45"/>
  <sheetViews>
    <sheetView workbookViewId="0"/>
  </sheetViews>
  <sheetFormatPr baseColWidth="10" defaultColWidth="11" defaultRowHeight="15" x14ac:dyDescent="0.25"/>
  <cols>
    <col min="1" max="1" width="11" style="2"/>
    <col min="2" max="2" width="2.875" style="2" customWidth="1"/>
    <col min="3" max="9" width="5.625" style="2" customWidth="1"/>
    <col min="10" max="10" width="11" style="2" customWidth="1"/>
    <col min="11" max="11" width="5.375" style="2" customWidth="1"/>
    <col min="12" max="12" width="7.625" style="2" bestFit="1" customWidth="1"/>
    <col min="13" max="13" width="10.5" style="2" bestFit="1" customWidth="1"/>
    <col min="14" max="14" width="4.125" style="6" customWidth="1"/>
    <col min="15" max="15" width="39.625" style="3" bestFit="1" customWidth="1"/>
    <col min="16" max="16384" width="11" style="3"/>
  </cols>
  <sheetData>
    <row r="2" spans="2:15" ht="15.75" thickBot="1" x14ac:dyDescent="0.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2:15" ht="15" customHeight="1" x14ac:dyDescent="0.25">
      <c r="B3" s="1"/>
      <c r="C3" s="2250" t="s">
        <v>0</v>
      </c>
      <c r="D3" s="2251"/>
      <c r="E3" s="2251"/>
      <c r="F3" s="2251"/>
      <c r="G3" s="2251"/>
      <c r="H3" s="2251"/>
      <c r="I3" s="2251"/>
      <c r="J3" s="2251"/>
      <c r="K3" s="2251"/>
      <c r="L3" s="2251"/>
      <c r="M3" s="2252"/>
    </row>
    <row r="4" spans="2:15" ht="15" customHeight="1" x14ac:dyDescent="0.25">
      <c r="B4" s="1"/>
      <c r="C4" s="2253"/>
      <c r="D4" s="2254"/>
      <c r="E4" s="2254"/>
      <c r="F4" s="2254"/>
      <c r="G4" s="2254"/>
      <c r="H4" s="2254"/>
      <c r="I4" s="2254"/>
      <c r="J4" s="2254"/>
      <c r="K4" s="2254"/>
      <c r="L4" s="2254"/>
      <c r="M4" s="2255"/>
    </row>
    <row r="5" spans="2:15" x14ac:dyDescent="0.25">
      <c r="B5" s="1"/>
      <c r="C5" s="2256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8"/>
    </row>
    <row r="6" spans="2:15" x14ac:dyDescent="0.25">
      <c r="B6" s="1"/>
      <c r="C6" s="2256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8"/>
    </row>
    <row r="7" spans="2:15" ht="15" customHeight="1" x14ac:dyDescent="0.25">
      <c r="B7" s="1"/>
      <c r="C7" s="2259" t="s">
        <v>3</v>
      </c>
      <c r="D7" s="2260"/>
      <c r="E7" s="2260"/>
      <c r="F7" s="2260"/>
      <c r="G7" s="2260"/>
      <c r="H7" s="207">
        <v>8</v>
      </c>
      <c r="I7" s="296">
        <f>VLOOKUP(H7,Tarifas!D4:H303,2)</f>
        <v>41699</v>
      </c>
      <c r="J7" s="296"/>
      <c r="K7" s="296"/>
      <c r="L7" s="296"/>
      <c r="M7" s="297"/>
      <c r="O7" s="3" t="s">
        <v>64</v>
      </c>
    </row>
    <row r="8" spans="2:15" x14ac:dyDescent="0.25">
      <c r="B8" s="1"/>
      <c r="C8" s="2259" t="s">
        <v>4</v>
      </c>
      <c r="D8" s="2260"/>
      <c r="E8" s="2260"/>
      <c r="F8" s="2260"/>
      <c r="G8" s="2260"/>
      <c r="H8" s="207">
        <v>13</v>
      </c>
      <c r="I8" s="296"/>
      <c r="J8" s="296"/>
      <c r="K8" s="296"/>
      <c r="L8" s="296"/>
      <c r="M8" s="297"/>
    </row>
    <row r="9" spans="2:15" x14ac:dyDescent="0.25">
      <c r="B9" s="1"/>
      <c r="C9" s="4"/>
      <c r="D9" s="5"/>
      <c r="E9" s="5"/>
      <c r="F9" s="5"/>
      <c r="G9" s="5"/>
      <c r="H9" s="5"/>
      <c r="I9" s="5"/>
      <c r="J9" s="5"/>
      <c r="K9" s="2248" t="s">
        <v>73</v>
      </c>
      <c r="L9" s="2248"/>
      <c r="M9" s="2249"/>
    </row>
    <row r="10" spans="2:15" ht="15.75" thickBot="1" x14ac:dyDescent="0.3">
      <c r="B10" s="1"/>
      <c r="C10" s="7" t="s">
        <v>5</v>
      </c>
      <c r="D10" s="8"/>
      <c r="E10" s="8"/>
      <c r="F10" s="8"/>
      <c r="G10" s="8"/>
      <c r="H10" s="8"/>
      <c r="I10" s="8"/>
      <c r="J10" s="8"/>
      <c r="K10" s="9"/>
      <c r="L10" s="9"/>
      <c r="M10" s="10"/>
    </row>
    <row r="11" spans="2:15" x14ac:dyDescent="0.25">
      <c r="B11" s="1"/>
      <c r="C11" s="11" t="s">
        <v>6</v>
      </c>
      <c r="D11" s="12"/>
      <c r="E11" s="12"/>
      <c r="F11" s="12"/>
      <c r="G11" s="12"/>
      <c r="H11" s="12"/>
      <c r="I11" s="12"/>
      <c r="J11" s="12"/>
      <c r="K11" s="2244"/>
      <c r="L11" s="2245"/>
      <c r="M11" s="13"/>
      <c r="O11" s="38"/>
    </row>
    <row r="12" spans="2:15" ht="26.25" customHeight="1" x14ac:dyDescent="0.25">
      <c r="B12" s="1"/>
      <c r="C12" s="2213"/>
      <c r="D12" s="2214"/>
      <c r="E12" s="2214"/>
      <c r="F12" s="2214"/>
      <c r="G12" s="2214"/>
      <c r="H12" s="2214"/>
      <c r="I12" s="2214"/>
      <c r="J12" s="2215"/>
      <c r="K12" s="2241">
        <f>VLOOKUP(H7,Tarifas!D4:H303,3)</f>
        <v>0.13900000000000001</v>
      </c>
      <c r="L12" s="2240"/>
      <c r="M12" s="13"/>
      <c r="O12" s="3" t="s">
        <v>63</v>
      </c>
    </row>
    <row r="13" spans="2:15" x14ac:dyDescent="0.25">
      <c r="B13" s="1"/>
      <c r="C13" s="2213"/>
      <c r="D13" s="2214"/>
      <c r="E13" s="2214"/>
      <c r="F13" s="2214"/>
      <c r="G13" s="2214"/>
      <c r="H13" s="2214"/>
      <c r="I13" s="2214"/>
      <c r="J13" s="2215"/>
      <c r="K13" s="2241">
        <v>850</v>
      </c>
      <c r="L13" s="2240"/>
      <c r="M13" s="13" t="s">
        <v>7</v>
      </c>
      <c r="O13" s="38"/>
    </row>
    <row r="14" spans="2:15" x14ac:dyDescent="0.25">
      <c r="B14" s="1"/>
      <c r="C14" s="2213"/>
      <c r="D14" s="2214"/>
      <c r="E14" s="2214"/>
      <c r="F14" s="2214"/>
      <c r="G14" s="2214"/>
      <c r="H14" s="2214"/>
      <c r="I14" s="2214"/>
      <c r="J14" s="2215"/>
      <c r="K14" s="2241">
        <v>850</v>
      </c>
      <c r="L14" s="2240"/>
      <c r="M14" s="13" t="s">
        <v>7</v>
      </c>
      <c r="O14" s="38"/>
    </row>
    <row r="15" spans="2:15" ht="15.75" thickBot="1" x14ac:dyDescent="0.3">
      <c r="B15" s="1"/>
      <c r="C15" s="2210"/>
      <c r="D15" s="2211"/>
      <c r="E15" s="2211"/>
      <c r="F15" s="2211"/>
      <c r="G15" s="2211"/>
      <c r="H15" s="2211"/>
      <c r="I15" s="2211"/>
      <c r="J15" s="2212"/>
      <c r="K15" s="2242">
        <v>31482640</v>
      </c>
      <c r="L15" s="2243"/>
      <c r="M15" s="13" t="s">
        <v>8</v>
      </c>
      <c r="O15" s="304"/>
    </row>
    <row r="16" spans="2:15" x14ac:dyDescent="0.25">
      <c r="B16" s="3"/>
      <c r="C16" s="14" t="s">
        <v>9</v>
      </c>
      <c r="D16" s="15"/>
      <c r="E16" s="15"/>
      <c r="F16" s="15"/>
      <c r="G16" s="15"/>
      <c r="H16" s="15"/>
      <c r="I16" s="15"/>
      <c r="J16" s="15"/>
      <c r="K16" s="2235"/>
      <c r="L16" s="2235"/>
      <c r="M16" s="16">
        <f>+K12*(K13/K14)*K15</f>
        <v>4376086.96</v>
      </c>
      <c r="O16" s="36"/>
    </row>
    <row r="17" spans="2:15" x14ac:dyDescent="0.25">
      <c r="B17" s="1"/>
      <c r="C17" s="17"/>
      <c r="D17" s="18"/>
      <c r="E17" s="18"/>
      <c r="F17" s="18"/>
      <c r="G17" s="18"/>
      <c r="H17" s="18"/>
      <c r="I17" s="18"/>
      <c r="J17" s="18"/>
      <c r="K17" s="18"/>
      <c r="L17" s="18" t="s">
        <v>75</v>
      </c>
      <c r="M17" s="305">
        <v>4521956.53</v>
      </c>
      <c r="O17" s="36"/>
    </row>
    <row r="18" spans="2:15" x14ac:dyDescent="0.25">
      <c r="B18" s="1"/>
      <c r="C18" s="17"/>
      <c r="D18" s="18"/>
      <c r="E18" s="18"/>
      <c r="F18" s="18"/>
      <c r="G18" s="18"/>
      <c r="H18" s="18"/>
      <c r="I18" s="18"/>
      <c r="J18" s="18"/>
      <c r="K18" s="18"/>
      <c r="L18" s="18" t="s">
        <v>74</v>
      </c>
      <c r="M18" s="299">
        <f>M16-M17</f>
        <v>-145869.5700000003</v>
      </c>
      <c r="O18" s="36"/>
    </row>
    <row r="19" spans="2:15" ht="15.75" thickBot="1" x14ac:dyDescent="0.3">
      <c r="B19" s="1"/>
      <c r="C19" s="7" t="s">
        <v>10</v>
      </c>
      <c r="D19" s="8"/>
      <c r="E19" s="8"/>
      <c r="F19" s="8"/>
      <c r="G19" s="8"/>
      <c r="H19" s="8"/>
      <c r="I19" s="8"/>
      <c r="J19" s="8"/>
      <c r="K19" s="9"/>
      <c r="L19" s="9"/>
      <c r="M19" s="10"/>
    </row>
    <row r="20" spans="2:15" ht="22.5" customHeight="1" x14ac:dyDescent="0.25">
      <c r="B20" s="1"/>
      <c r="C20" s="11" t="s">
        <v>6</v>
      </c>
      <c r="D20" s="12"/>
      <c r="E20" s="12"/>
      <c r="F20" s="12"/>
      <c r="G20" s="12"/>
      <c r="H20" s="12"/>
      <c r="I20" s="12"/>
      <c r="J20" s="12"/>
      <c r="K20" s="2244"/>
      <c r="L20" s="2245"/>
      <c r="M20" s="13"/>
    </row>
    <row r="21" spans="2:15" ht="21.75" customHeight="1" x14ac:dyDescent="0.25">
      <c r="B21" s="1"/>
      <c r="C21" s="2213"/>
      <c r="D21" s="2214"/>
      <c r="E21" s="2214"/>
      <c r="F21" s="2214"/>
      <c r="G21" s="2214"/>
      <c r="H21" s="2214"/>
      <c r="I21" s="2214"/>
      <c r="J21" s="2215"/>
      <c r="K21" s="2241">
        <f>VLOOKUP(H7,Tarifas!D4:H303,5)</f>
        <v>1E-3</v>
      </c>
      <c r="L21" s="2240"/>
      <c r="M21" s="13" t="s">
        <v>11</v>
      </c>
      <c r="O21" s="3" t="s">
        <v>63</v>
      </c>
    </row>
    <row r="22" spans="2:15" ht="15" customHeight="1" x14ac:dyDescent="0.25">
      <c r="B22" s="1"/>
      <c r="C22" s="2213"/>
      <c r="D22" s="2214"/>
      <c r="E22" s="2214"/>
      <c r="F22" s="2214"/>
      <c r="G22" s="2214"/>
      <c r="H22" s="2214"/>
      <c r="I22" s="2214"/>
      <c r="J22" s="2215"/>
      <c r="K22" s="2246">
        <v>201.4</v>
      </c>
      <c r="L22" s="2247"/>
      <c r="M22" s="13" t="s">
        <v>12</v>
      </c>
      <c r="O22" s="3" t="s">
        <v>62</v>
      </c>
    </row>
    <row r="23" spans="2:15" ht="21.75" customHeight="1" x14ac:dyDescent="0.25">
      <c r="B23" s="1"/>
      <c r="C23" s="2216"/>
      <c r="D23" s="2217"/>
      <c r="E23" s="2217"/>
      <c r="F23" s="2217"/>
      <c r="G23" s="2217"/>
      <c r="H23" s="2217"/>
      <c r="I23" s="2217"/>
      <c r="J23" s="2218"/>
      <c r="K23" s="2246">
        <v>206</v>
      </c>
      <c r="L23" s="2247"/>
      <c r="M23" s="13" t="s">
        <v>12</v>
      </c>
      <c r="O23" s="3" t="s">
        <v>67</v>
      </c>
    </row>
    <row r="24" spans="2:15" x14ac:dyDescent="0.25">
      <c r="B24" s="1"/>
      <c r="C24" s="19"/>
      <c r="D24" s="20"/>
      <c r="E24" s="20"/>
      <c r="F24" s="20"/>
      <c r="G24" s="20"/>
      <c r="H24" s="20"/>
      <c r="I24" s="20"/>
      <c r="J24" s="21"/>
      <c r="K24" s="2239">
        <f>IFERROR(K23/K22,0)</f>
        <v>1.0228401191658392</v>
      </c>
      <c r="L24" s="2240"/>
      <c r="M24" s="13"/>
    </row>
    <row r="25" spans="2:15" ht="15.75" thickBot="1" x14ac:dyDescent="0.3">
      <c r="B25" s="1"/>
      <c r="C25" s="2207"/>
      <c r="D25" s="2208"/>
      <c r="E25" s="2208"/>
      <c r="F25" s="2208"/>
      <c r="G25" s="2208"/>
      <c r="H25" s="2208"/>
      <c r="I25" s="2208"/>
      <c r="J25" s="2209"/>
      <c r="K25" s="2233">
        <v>2310433.8089999999</v>
      </c>
      <c r="L25" s="2234"/>
      <c r="M25" s="13" t="s">
        <v>8</v>
      </c>
      <c r="O25" s="37" t="s">
        <v>66</v>
      </c>
    </row>
    <row r="26" spans="2:15" x14ac:dyDescent="0.25">
      <c r="B26" s="1"/>
      <c r="C26" s="14" t="s">
        <v>13</v>
      </c>
      <c r="D26" s="15"/>
      <c r="E26" s="15"/>
      <c r="F26" s="15"/>
      <c r="G26" s="15"/>
      <c r="H26" s="15"/>
      <c r="I26" s="15"/>
      <c r="J26" s="15"/>
      <c r="K26" s="2235"/>
      <c r="L26" s="2235"/>
      <c r="M26" s="16">
        <f>+K21*K24*K25</f>
        <v>2363.2043925223438</v>
      </c>
      <c r="O26" s="38"/>
    </row>
    <row r="27" spans="2:15" x14ac:dyDescent="0.25">
      <c r="B27" s="1"/>
      <c r="C27" s="306"/>
      <c r="D27" s="307"/>
      <c r="E27" s="307"/>
      <c r="F27" s="307"/>
      <c r="G27" s="307"/>
      <c r="H27" s="307"/>
      <c r="I27" s="307"/>
      <c r="J27" s="307"/>
      <c r="K27" s="308"/>
      <c r="L27" s="310" t="s">
        <v>75</v>
      </c>
      <c r="M27" s="309">
        <v>2363.1999999999998</v>
      </c>
      <c r="O27" s="38"/>
    </row>
    <row r="28" spans="2:15" x14ac:dyDescent="0.25">
      <c r="B28" s="1"/>
      <c r="C28" s="306"/>
      <c r="D28" s="307"/>
      <c r="E28" s="307"/>
      <c r="F28" s="307"/>
      <c r="G28" s="307"/>
      <c r="H28" s="307"/>
      <c r="I28" s="307"/>
      <c r="J28" s="307"/>
      <c r="K28" s="308"/>
      <c r="L28" s="310" t="s">
        <v>74</v>
      </c>
      <c r="M28" s="309">
        <f>M26-M27</f>
        <v>4.3925223440055561E-3</v>
      </c>
      <c r="O28" s="38"/>
    </row>
    <row r="29" spans="2:15" x14ac:dyDescent="0.25">
      <c r="B29" s="1"/>
      <c r="C29" s="306"/>
      <c r="D29" s="307"/>
      <c r="E29" s="307"/>
      <c r="F29" s="307"/>
      <c r="G29" s="307"/>
      <c r="H29" s="307"/>
      <c r="I29" s="307"/>
      <c r="J29" s="307"/>
      <c r="K29" s="308"/>
      <c r="L29" s="308"/>
      <c r="M29" s="309"/>
      <c r="O29" s="38"/>
    </row>
    <row r="30" spans="2:15" ht="15" customHeight="1" x14ac:dyDescent="0.25">
      <c r="B30" s="1"/>
      <c r="C30" s="22" t="s">
        <v>70</v>
      </c>
      <c r="D30" s="23"/>
      <c r="E30" s="23"/>
      <c r="F30" s="23"/>
      <c r="G30" s="23"/>
      <c r="H30" s="23"/>
      <c r="I30" s="23"/>
      <c r="J30" s="23"/>
      <c r="K30" s="24"/>
      <c r="L30" s="24"/>
      <c r="M30" s="16">
        <f>+M16+M26</f>
        <v>4378450.1643925225</v>
      </c>
      <c r="O30" s="298"/>
    </row>
    <row r="31" spans="2:15" ht="15" customHeight="1" x14ac:dyDescent="0.25">
      <c r="B31" s="1"/>
      <c r="C31" s="22" t="str">
        <f>"% de Impuestos del mes: "&amp;H7</f>
        <v>% de Impuestos del mes: 8</v>
      </c>
      <c r="D31" s="23"/>
      <c r="E31" s="23"/>
      <c r="F31" s="23"/>
      <c r="G31" s="300" t="str">
        <f>"("&amp;VLOOKUP(H7,Tarifas!D4:H303,4)&amp;")"</f>
        <v>(2.057%)</v>
      </c>
      <c r="H31" s="23"/>
      <c r="I31" s="301"/>
      <c r="J31" s="302"/>
      <c r="K31" s="24"/>
      <c r="L31" s="24"/>
      <c r="M31" s="13"/>
      <c r="O31" s="38"/>
    </row>
    <row r="32" spans="2:15" x14ac:dyDescent="0.25">
      <c r="B32" s="1"/>
      <c r="C32" s="25" t="s">
        <v>14</v>
      </c>
      <c r="D32" s="26"/>
      <c r="E32" s="26"/>
      <c r="F32" s="26"/>
      <c r="G32" s="26"/>
      <c r="H32" s="26"/>
      <c r="I32" s="26"/>
      <c r="J32" s="18"/>
      <c r="K32" s="208"/>
      <c r="L32" s="18"/>
      <c r="M32" s="16">
        <f>+M30*0.16</f>
        <v>700552.02630280366</v>
      </c>
      <c r="O32" s="36"/>
    </row>
    <row r="33" spans="2:16" x14ac:dyDescent="0.25">
      <c r="B33" s="1"/>
      <c r="C33" s="27" t="s">
        <v>15</v>
      </c>
      <c r="D33" s="28"/>
      <c r="E33" s="28"/>
      <c r="F33" s="28"/>
      <c r="G33" s="28"/>
      <c r="H33" s="28"/>
      <c r="I33" s="28"/>
      <c r="J33" s="29"/>
      <c r="K33" s="30"/>
      <c r="L33" s="30"/>
      <c r="M33" s="16">
        <f>+M32+M30</f>
        <v>5079002.1906953258</v>
      </c>
      <c r="O33" s="36"/>
    </row>
    <row r="34" spans="2:16" x14ac:dyDescent="0.25">
      <c r="B34" s="1"/>
      <c r="C34" s="17"/>
      <c r="D34" s="18"/>
      <c r="E34" s="18"/>
      <c r="F34" s="18"/>
      <c r="G34" s="18"/>
      <c r="H34" s="18"/>
      <c r="I34" s="18"/>
      <c r="J34" s="18"/>
      <c r="K34" s="18"/>
      <c r="L34" s="18"/>
      <c r="M34" s="13"/>
    </row>
    <row r="35" spans="2:16" x14ac:dyDescent="0.25">
      <c r="B35" s="1"/>
      <c r="C35" s="17" t="s">
        <v>71</v>
      </c>
      <c r="D35" s="18"/>
      <c r="E35" s="18"/>
      <c r="F35" s="18"/>
      <c r="G35" s="18"/>
      <c r="H35" s="18"/>
      <c r="I35" s="18"/>
      <c r="J35" s="18"/>
      <c r="K35" s="18"/>
      <c r="L35" s="18"/>
      <c r="M35" s="299">
        <f>(M16*1.16)</f>
        <v>5076260.8735999996</v>
      </c>
      <c r="O35" s="36"/>
      <c r="P35" s="36"/>
    </row>
    <row r="36" spans="2:16" x14ac:dyDescent="0.25">
      <c r="B36" s="1"/>
      <c r="C36" s="17" t="s">
        <v>72</v>
      </c>
      <c r="D36" s="18"/>
      <c r="E36" s="18"/>
      <c r="F36" s="18"/>
      <c r="G36" s="18"/>
      <c r="H36" s="18"/>
      <c r="I36" s="18"/>
      <c r="J36" s="18"/>
      <c r="K36" s="18"/>
      <c r="L36" s="18"/>
      <c r="M36" s="299">
        <f>(M26*1.16)+M31</f>
        <v>2741.3170953259187</v>
      </c>
      <c r="O36" s="36"/>
      <c r="P36" s="36"/>
    </row>
    <row r="37" spans="2:16" x14ac:dyDescent="0.25">
      <c r="B37" s="1"/>
      <c r="C37" s="17"/>
      <c r="D37" s="18"/>
      <c r="E37" s="18"/>
      <c r="F37" s="18"/>
      <c r="G37" s="18"/>
      <c r="H37" s="18"/>
      <c r="I37" s="18"/>
      <c r="J37" s="18"/>
      <c r="K37" s="18"/>
      <c r="L37" s="18"/>
      <c r="M37" s="13"/>
    </row>
    <row r="38" spans="2:16" x14ac:dyDescent="0.25">
      <c r="B38" s="1"/>
      <c r="C38" s="7" t="s">
        <v>16</v>
      </c>
      <c r="D38" s="8"/>
      <c r="E38" s="8"/>
      <c r="F38" s="8"/>
      <c r="G38" s="8"/>
      <c r="H38" s="8"/>
      <c r="I38" s="8"/>
      <c r="J38" s="8"/>
      <c r="K38" s="9"/>
      <c r="L38" s="9"/>
      <c r="M38" s="10"/>
    </row>
    <row r="39" spans="2:16" x14ac:dyDescent="0.25">
      <c r="B39" s="1"/>
      <c r="C39" s="31" t="s">
        <v>17</v>
      </c>
      <c r="D39" s="32" t="s">
        <v>18</v>
      </c>
      <c r="E39" s="32" t="s">
        <v>19</v>
      </c>
      <c r="F39" s="2236" t="s">
        <v>20</v>
      </c>
      <c r="G39" s="2237"/>
      <c r="H39" s="2238" t="s">
        <v>1</v>
      </c>
      <c r="I39" s="2238"/>
      <c r="J39" s="2238" t="s">
        <v>21</v>
      </c>
      <c r="K39" s="2238"/>
      <c r="L39" s="18"/>
      <c r="M39" s="13"/>
    </row>
    <row r="40" spans="2:16" x14ac:dyDescent="0.25">
      <c r="B40" s="1"/>
      <c r="C40" s="33">
        <v>2044</v>
      </c>
      <c r="D40" s="303">
        <v>2044</v>
      </c>
      <c r="E40" s="303" t="s">
        <v>22</v>
      </c>
      <c r="F40" s="2224" t="s">
        <v>23</v>
      </c>
      <c r="G40" s="2224"/>
      <c r="H40" s="2225"/>
      <c r="I40" s="2225"/>
      <c r="J40" s="2226"/>
      <c r="K40" s="2226"/>
      <c r="L40" s="18"/>
      <c r="M40" s="13"/>
      <c r="N40" s="1"/>
    </row>
    <row r="41" spans="2:16" x14ac:dyDescent="0.25">
      <c r="B41" s="1"/>
      <c r="C41" s="33"/>
      <c r="D41" s="303"/>
      <c r="E41" s="303" t="s">
        <v>25</v>
      </c>
      <c r="F41" s="2227"/>
      <c r="G41" s="2228"/>
      <c r="H41" s="2229"/>
      <c r="I41" s="2230"/>
      <c r="J41" s="2231"/>
      <c r="K41" s="2232"/>
      <c r="L41" s="18"/>
      <c r="M41" s="13"/>
      <c r="N41" s="1"/>
    </row>
    <row r="42" spans="2:16" x14ac:dyDescent="0.25">
      <c r="B42" s="1"/>
      <c r="C42" s="33"/>
      <c r="D42" s="303"/>
      <c r="E42" s="303" t="s">
        <v>26</v>
      </c>
      <c r="F42" s="2227"/>
      <c r="G42" s="2228"/>
      <c r="H42" s="2229"/>
      <c r="I42" s="2230"/>
      <c r="J42" s="2231"/>
      <c r="K42" s="2232"/>
      <c r="L42" s="18"/>
      <c r="M42" s="13"/>
      <c r="N42" s="1"/>
    </row>
    <row r="43" spans="2:16" x14ac:dyDescent="0.25">
      <c r="B43" s="1"/>
      <c r="C43" s="33">
        <v>2044</v>
      </c>
      <c r="D43" s="303">
        <v>2044</v>
      </c>
      <c r="E43" s="303" t="s">
        <v>27</v>
      </c>
      <c r="F43" s="2224" t="s">
        <v>28</v>
      </c>
      <c r="G43" s="2224"/>
      <c r="H43" s="2225"/>
      <c r="I43" s="2225"/>
      <c r="J43" s="2226"/>
      <c r="K43" s="2226"/>
      <c r="L43" s="18"/>
      <c r="M43" s="13"/>
      <c r="N43" s="1"/>
    </row>
    <row r="44" spans="2:16" x14ac:dyDescent="0.25">
      <c r="B44" s="1"/>
      <c r="C44" s="2219" t="s">
        <v>24</v>
      </c>
      <c r="D44" s="2220"/>
      <c r="E44" s="2220"/>
      <c r="F44" s="2220"/>
      <c r="G44" s="2221"/>
      <c r="H44" s="2222">
        <f>SUM(H40:H43)</f>
        <v>0</v>
      </c>
      <c r="I44" s="2223"/>
      <c r="J44" s="3"/>
      <c r="K44" s="3"/>
      <c r="L44" s="18"/>
      <c r="M44" s="13"/>
      <c r="N44" s="1"/>
    </row>
    <row r="45" spans="2:16" x14ac:dyDescent="0.25">
      <c r="B45" s="1"/>
      <c r="C45" s="17"/>
      <c r="D45" s="18"/>
      <c r="E45" s="18"/>
      <c r="F45" s="18"/>
      <c r="G45" s="18"/>
      <c r="H45" s="18"/>
      <c r="I45" s="18"/>
      <c r="J45" s="18"/>
      <c r="K45" s="18"/>
      <c r="L45" s="18"/>
      <c r="M45" s="13"/>
    </row>
  </sheetData>
  <mergeCells count="44">
    <mergeCell ref="F41:G41"/>
    <mergeCell ref="H41:I41"/>
    <mergeCell ref="J41:K41"/>
    <mergeCell ref="C44:G44"/>
    <mergeCell ref="H44:I44"/>
    <mergeCell ref="F42:G42"/>
    <mergeCell ref="H42:I42"/>
    <mergeCell ref="J42:K42"/>
    <mergeCell ref="F43:G43"/>
    <mergeCell ref="H43:I43"/>
    <mergeCell ref="J43:K43"/>
    <mergeCell ref="C23:J23"/>
    <mergeCell ref="K23:L23"/>
    <mergeCell ref="F40:G40"/>
    <mergeCell ref="H40:I40"/>
    <mergeCell ref="J40:K40"/>
    <mergeCell ref="K26:L26"/>
    <mergeCell ref="F39:G39"/>
    <mergeCell ref="H39:I39"/>
    <mergeCell ref="J39:K39"/>
    <mergeCell ref="K24:L24"/>
    <mergeCell ref="C25:J25"/>
    <mergeCell ref="K25:L25"/>
    <mergeCell ref="K9:M9"/>
    <mergeCell ref="K11:L11"/>
    <mergeCell ref="C12:J12"/>
    <mergeCell ref="K12:L12"/>
    <mergeCell ref="C13:J13"/>
    <mergeCell ref="K13:L13"/>
    <mergeCell ref="C14:J14"/>
    <mergeCell ref="K14:L14"/>
    <mergeCell ref="K21:L21"/>
    <mergeCell ref="C22:J22"/>
    <mergeCell ref="K22:L22"/>
    <mergeCell ref="C15:J15"/>
    <mergeCell ref="K15:L15"/>
    <mergeCell ref="K16:L16"/>
    <mergeCell ref="K20:L20"/>
    <mergeCell ref="C21:J21"/>
    <mergeCell ref="C3:M4"/>
    <mergeCell ref="C5:M5"/>
    <mergeCell ref="C6:M6"/>
    <mergeCell ref="C7:G7"/>
    <mergeCell ref="C8:G8"/>
  </mergeCells>
  <pageMargins left="0.7" right="0.7" top="0.93" bottom="0.75" header="0.3" footer="0.3"/>
  <pageSetup scale="93" fitToHeight="0" orientation="portrait" r:id="rId1"/>
  <headerFooter>
    <oddHeader>&amp;L&amp;G&amp;R&amp;"Arial,Negrita"Direccion de Operacion&amp;"Arial,Normal"
Subdireccion de Energeticos
Subgerencia Regional de Energeticos</oddHeader>
  </headerFooter>
  <drawing r:id="rId2"/>
  <legacyDrawingHF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45"/>
  <sheetViews>
    <sheetView workbookViewId="0"/>
  </sheetViews>
  <sheetFormatPr baseColWidth="10" defaultColWidth="11" defaultRowHeight="15" x14ac:dyDescent="0.25"/>
  <cols>
    <col min="1" max="1" width="11" style="2"/>
    <col min="2" max="2" width="2.875" style="2" customWidth="1"/>
    <col min="3" max="9" width="5.625" style="2" customWidth="1"/>
    <col min="10" max="10" width="11" style="2" customWidth="1"/>
    <col min="11" max="11" width="5.375" style="2" customWidth="1"/>
    <col min="12" max="12" width="7.625" style="2" bestFit="1" customWidth="1"/>
    <col min="13" max="13" width="10.5" style="2" bestFit="1" customWidth="1"/>
    <col min="14" max="14" width="4.125" style="6" customWidth="1"/>
    <col min="15" max="15" width="39.625" style="3" bestFit="1" customWidth="1"/>
    <col min="16" max="16384" width="11" style="3"/>
  </cols>
  <sheetData>
    <row r="2" spans="2:15" ht="15.75" thickBot="1" x14ac:dyDescent="0.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2:15" ht="15" customHeight="1" x14ac:dyDescent="0.25">
      <c r="B3" s="1"/>
      <c r="C3" s="2250" t="s">
        <v>0</v>
      </c>
      <c r="D3" s="2251"/>
      <c r="E3" s="2251"/>
      <c r="F3" s="2251"/>
      <c r="G3" s="2251"/>
      <c r="H3" s="2251"/>
      <c r="I3" s="2251"/>
      <c r="J3" s="2251"/>
      <c r="K3" s="2251"/>
      <c r="L3" s="2251"/>
      <c r="M3" s="2252"/>
    </row>
    <row r="4" spans="2:15" ht="15" customHeight="1" x14ac:dyDescent="0.25">
      <c r="B4" s="1"/>
      <c r="C4" s="2253"/>
      <c r="D4" s="2254"/>
      <c r="E4" s="2254"/>
      <c r="F4" s="2254"/>
      <c r="G4" s="2254"/>
      <c r="H4" s="2254"/>
      <c r="I4" s="2254"/>
      <c r="J4" s="2254"/>
      <c r="K4" s="2254"/>
      <c r="L4" s="2254"/>
      <c r="M4" s="2255"/>
    </row>
    <row r="5" spans="2:15" x14ac:dyDescent="0.25">
      <c r="B5" s="1"/>
      <c r="C5" s="2256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8"/>
    </row>
    <row r="6" spans="2:15" x14ac:dyDescent="0.25">
      <c r="B6" s="1"/>
      <c r="C6" s="2256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8"/>
    </row>
    <row r="7" spans="2:15" ht="15" customHeight="1" x14ac:dyDescent="0.25">
      <c r="B7" s="1"/>
      <c r="C7" s="2259" t="s">
        <v>3</v>
      </c>
      <c r="D7" s="2260"/>
      <c r="E7" s="2260"/>
      <c r="F7" s="2260"/>
      <c r="G7" s="2260"/>
      <c r="H7" s="207">
        <v>9</v>
      </c>
      <c r="I7" s="296">
        <f>VLOOKUP(H7,Tarifas!D4:H303,2)</f>
        <v>41730</v>
      </c>
      <c r="J7" s="296"/>
      <c r="K7" s="296"/>
      <c r="L7" s="296"/>
      <c r="M7" s="297"/>
      <c r="O7" s="3" t="s">
        <v>64</v>
      </c>
    </row>
    <row r="8" spans="2:15" x14ac:dyDescent="0.25">
      <c r="B8" s="1"/>
      <c r="C8" s="2259" t="s">
        <v>4</v>
      </c>
      <c r="D8" s="2260"/>
      <c r="E8" s="2260"/>
      <c r="F8" s="2260"/>
      <c r="G8" s="2260"/>
      <c r="H8" s="207">
        <v>14</v>
      </c>
      <c r="I8" s="296"/>
      <c r="J8" s="296"/>
      <c r="K8" s="296"/>
      <c r="L8" s="296"/>
      <c r="M8" s="297"/>
    </row>
    <row r="9" spans="2:15" x14ac:dyDescent="0.25">
      <c r="B9" s="1"/>
      <c r="C9" s="4"/>
      <c r="D9" s="5"/>
      <c r="E9" s="5"/>
      <c r="F9" s="5"/>
      <c r="G9" s="5"/>
      <c r="H9" s="5"/>
      <c r="I9" s="5"/>
      <c r="J9" s="5"/>
      <c r="K9" s="2248" t="s">
        <v>73</v>
      </c>
      <c r="L9" s="2248"/>
      <c r="M9" s="2249"/>
    </row>
    <row r="10" spans="2:15" ht="15.75" thickBot="1" x14ac:dyDescent="0.3">
      <c r="B10" s="1"/>
      <c r="C10" s="7" t="s">
        <v>5</v>
      </c>
      <c r="D10" s="8"/>
      <c r="E10" s="8"/>
      <c r="F10" s="8"/>
      <c r="G10" s="8"/>
      <c r="H10" s="8"/>
      <c r="I10" s="8"/>
      <c r="J10" s="8"/>
      <c r="K10" s="9"/>
      <c r="L10" s="9"/>
      <c r="M10" s="10"/>
    </row>
    <row r="11" spans="2:15" x14ac:dyDescent="0.25">
      <c r="B11" s="1"/>
      <c r="C11" s="11" t="s">
        <v>6</v>
      </c>
      <c r="D11" s="12"/>
      <c r="E11" s="12"/>
      <c r="F11" s="12"/>
      <c r="G11" s="12"/>
      <c r="H11" s="12"/>
      <c r="I11" s="12"/>
      <c r="J11" s="12"/>
      <c r="K11" s="2244"/>
      <c r="L11" s="2245"/>
      <c r="M11" s="13"/>
      <c r="O11" s="38"/>
    </row>
    <row r="12" spans="2:15" ht="26.25" customHeight="1" x14ac:dyDescent="0.25">
      <c r="B12" s="1"/>
      <c r="C12" s="2213"/>
      <c r="D12" s="2214"/>
      <c r="E12" s="2214"/>
      <c r="F12" s="2214"/>
      <c r="G12" s="2214"/>
      <c r="H12" s="2214"/>
      <c r="I12" s="2214"/>
      <c r="J12" s="2215"/>
      <c r="K12" s="2241">
        <f>VLOOKUP(H7,Tarifas!D4:H303,3)</f>
        <v>0.13900000000000001</v>
      </c>
      <c r="L12" s="2240"/>
      <c r="M12" s="13"/>
      <c r="O12" s="3" t="s">
        <v>63</v>
      </c>
    </row>
    <row r="13" spans="2:15" x14ac:dyDescent="0.25">
      <c r="B13" s="1"/>
      <c r="C13" s="2213"/>
      <c r="D13" s="2214"/>
      <c r="E13" s="2214"/>
      <c r="F13" s="2214"/>
      <c r="G13" s="2214"/>
      <c r="H13" s="2214"/>
      <c r="I13" s="2214"/>
      <c r="J13" s="2215"/>
      <c r="K13" s="2241">
        <v>850</v>
      </c>
      <c r="L13" s="2240"/>
      <c r="M13" s="13" t="s">
        <v>7</v>
      </c>
      <c r="O13" s="38"/>
    </row>
    <row r="14" spans="2:15" x14ac:dyDescent="0.25">
      <c r="B14" s="1"/>
      <c r="C14" s="2213"/>
      <c r="D14" s="2214"/>
      <c r="E14" s="2214"/>
      <c r="F14" s="2214"/>
      <c r="G14" s="2214"/>
      <c r="H14" s="2214"/>
      <c r="I14" s="2214"/>
      <c r="J14" s="2215"/>
      <c r="K14" s="2241">
        <v>850</v>
      </c>
      <c r="L14" s="2240"/>
      <c r="M14" s="13" t="s">
        <v>7</v>
      </c>
      <c r="O14" s="38"/>
    </row>
    <row r="15" spans="2:15" ht="15.75" thickBot="1" x14ac:dyDescent="0.3">
      <c r="B15" s="1"/>
      <c r="C15" s="2210"/>
      <c r="D15" s="2211"/>
      <c r="E15" s="2211"/>
      <c r="F15" s="2211"/>
      <c r="G15" s="2211"/>
      <c r="H15" s="2211"/>
      <c r="I15" s="2211"/>
      <c r="J15" s="2212"/>
      <c r="K15" s="2242">
        <v>31482640</v>
      </c>
      <c r="L15" s="2243"/>
      <c r="M15" s="13" t="s">
        <v>8</v>
      </c>
      <c r="O15" s="304"/>
    </row>
    <row r="16" spans="2:15" x14ac:dyDescent="0.25">
      <c r="B16" s="3"/>
      <c r="C16" s="14" t="s">
        <v>9</v>
      </c>
      <c r="D16" s="15"/>
      <c r="E16" s="15"/>
      <c r="F16" s="15"/>
      <c r="G16" s="15"/>
      <c r="H16" s="15"/>
      <c r="I16" s="15"/>
      <c r="J16" s="15"/>
      <c r="K16" s="2235"/>
      <c r="L16" s="2235"/>
      <c r="M16" s="16">
        <f>+K12*(K13/K14)*K15</f>
        <v>4376086.96</v>
      </c>
      <c r="O16" s="36"/>
    </row>
    <row r="17" spans="2:15" x14ac:dyDescent="0.25">
      <c r="B17" s="1"/>
      <c r="C17" s="17"/>
      <c r="D17" s="18"/>
      <c r="E17" s="18"/>
      <c r="F17" s="18"/>
      <c r="G17" s="18"/>
      <c r="H17" s="18"/>
      <c r="I17" s="18"/>
      <c r="J17" s="18"/>
      <c r="K17" s="18"/>
      <c r="L17" s="18" t="s">
        <v>75</v>
      </c>
      <c r="M17" s="305">
        <v>4376086.96</v>
      </c>
      <c r="O17" s="36"/>
    </row>
    <row r="18" spans="2:15" x14ac:dyDescent="0.25">
      <c r="B18" s="1"/>
      <c r="C18" s="17"/>
      <c r="D18" s="18"/>
      <c r="E18" s="18"/>
      <c r="F18" s="18"/>
      <c r="G18" s="18"/>
      <c r="H18" s="18"/>
      <c r="I18" s="18"/>
      <c r="J18" s="18"/>
      <c r="K18" s="18"/>
      <c r="L18" s="18" t="s">
        <v>74</v>
      </c>
      <c r="M18" s="299">
        <f>M16-M17</f>
        <v>0</v>
      </c>
      <c r="O18" s="36"/>
    </row>
    <row r="19" spans="2:15" ht="15.75" thickBot="1" x14ac:dyDescent="0.3">
      <c r="B19" s="1"/>
      <c r="C19" s="7" t="s">
        <v>10</v>
      </c>
      <c r="D19" s="8"/>
      <c r="E19" s="8"/>
      <c r="F19" s="8"/>
      <c r="G19" s="8"/>
      <c r="H19" s="8"/>
      <c r="I19" s="8"/>
      <c r="J19" s="8"/>
      <c r="K19" s="9"/>
      <c r="L19" s="9"/>
      <c r="M19" s="10"/>
    </row>
    <row r="20" spans="2:15" ht="22.5" customHeight="1" x14ac:dyDescent="0.25">
      <c r="B20" s="1"/>
      <c r="C20" s="11" t="s">
        <v>6</v>
      </c>
      <c r="D20" s="12"/>
      <c r="E20" s="12"/>
      <c r="F20" s="12"/>
      <c r="G20" s="12"/>
      <c r="H20" s="12"/>
      <c r="I20" s="12"/>
      <c r="J20" s="12"/>
      <c r="K20" s="2244"/>
      <c r="L20" s="2245"/>
      <c r="M20" s="13"/>
    </row>
    <row r="21" spans="2:15" ht="21.75" customHeight="1" x14ac:dyDescent="0.25">
      <c r="B21" s="1"/>
      <c r="C21" s="2213"/>
      <c r="D21" s="2214"/>
      <c r="E21" s="2214"/>
      <c r="F21" s="2214"/>
      <c r="G21" s="2214"/>
      <c r="H21" s="2214"/>
      <c r="I21" s="2214"/>
      <c r="J21" s="2215"/>
      <c r="K21" s="2241">
        <f>VLOOKUP(H7,Tarifas!D4:H303,5)</f>
        <v>1E-3</v>
      </c>
      <c r="L21" s="2240"/>
      <c r="M21" s="13" t="s">
        <v>11</v>
      </c>
      <c r="O21" s="3" t="s">
        <v>63</v>
      </c>
    </row>
    <row r="22" spans="2:15" ht="15" customHeight="1" x14ac:dyDescent="0.25">
      <c r="B22" s="1"/>
      <c r="C22" s="2213"/>
      <c r="D22" s="2214"/>
      <c r="E22" s="2214"/>
      <c r="F22" s="2214"/>
      <c r="G22" s="2214"/>
      <c r="H22" s="2214"/>
      <c r="I22" s="2214"/>
      <c r="J22" s="2215"/>
      <c r="K22" s="2246">
        <v>201.4</v>
      </c>
      <c r="L22" s="2247"/>
      <c r="M22" s="13" t="s">
        <v>12</v>
      </c>
      <c r="O22" s="3" t="s">
        <v>62</v>
      </c>
    </row>
    <row r="23" spans="2:15" ht="21.75" customHeight="1" x14ac:dyDescent="0.25">
      <c r="B23" s="1"/>
      <c r="C23" s="2216"/>
      <c r="D23" s="2217"/>
      <c r="E23" s="2217"/>
      <c r="F23" s="2217"/>
      <c r="G23" s="2217"/>
      <c r="H23" s="2217"/>
      <c r="I23" s="2217"/>
      <c r="J23" s="2218"/>
      <c r="K23" s="2246">
        <v>207</v>
      </c>
      <c r="L23" s="2247"/>
      <c r="M23" s="13" t="s">
        <v>12</v>
      </c>
      <c r="O23" s="3" t="s">
        <v>67</v>
      </c>
    </row>
    <row r="24" spans="2:15" x14ac:dyDescent="0.25">
      <c r="B24" s="1"/>
      <c r="C24" s="19"/>
      <c r="D24" s="20"/>
      <c r="E24" s="20"/>
      <c r="F24" s="20"/>
      <c r="G24" s="20"/>
      <c r="H24" s="20"/>
      <c r="I24" s="20"/>
      <c r="J24" s="21"/>
      <c r="K24" s="2239">
        <f>IFERROR(K23/K22,0)</f>
        <v>1.0278053624627606</v>
      </c>
      <c r="L24" s="2240"/>
      <c r="M24" s="13"/>
    </row>
    <row r="25" spans="2:15" ht="15.75" thickBot="1" x14ac:dyDescent="0.3">
      <c r="B25" s="1"/>
      <c r="C25" s="2207"/>
      <c r="D25" s="2208"/>
      <c r="E25" s="2208"/>
      <c r="F25" s="2208"/>
      <c r="G25" s="2208"/>
      <c r="H25" s="2208"/>
      <c r="I25" s="2208"/>
      <c r="J25" s="2209"/>
      <c r="K25" s="2233">
        <v>2146967.3859999999</v>
      </c>
      <c r="L25" s="2234"/>
      <c r="M25" s="13" t="s">
        <v>8</v>
      </c>
      <c r="O25" s="37" t="s">
        <v>66</v>
      </c>
    </row>
    <row r="26" spans="2:15" x14ac:dyDescent="0.25">
      <c r="B26" s="1"/>
      <c r="C26" s="14" t="s">
        <v>13</v>
      </c>
      <c r="D26" s="15"/>
      <c r="E26" s="15"/>
      <c r="F26" s="15"/>
      <c r="G26" s="15"/>
      <c r="H26" s="15"/>
      <c r="I26" s="15"/>
      <c r="J26" s="15"/>
      <c r="K26" s="2235"/>
      <c r="L26" s="2235"/>
      <c r="M26" s="16">
        <f>+K21*K24*K25</f>
        <v>2206.6645923634555</v>
      </c>
      <c r="O26" s="38"/>
    </row>
    <row r="27" spans="2:15" x14ac:dyDescent="0.25">
      <c r="B27" s="1"/>
      <c r="C27" s="306"/>
      <c r="D27" s="307"/>
      <c r="E27" s="307"/>
      <c r="F27" s="307"/>
      <c r="G27" s="307"/>
      <c r="H27" s="307"/>
      <c r="I27" s="307"/>
      <c r="J27" s="307"/>
      <c r="K27" s="308"/>
      <c r="L27" s="310" t="s">
        <v>75</v>
      </c>
      <c r="M27" s="309">
        <v>2206.66</v>
      </c>
      <c r="O27" s="38"/>
    </row>
    <row r="28" spans="2:15" x14ac:dyDescent="0.25">
      <c r="B28" s="1"/>
      <c r="C28" s="306"/>
      <c r="D28" s="307"/>
      <c r="E28" s="307"/>
      <c r="F28" s="307"/>
      <c r="G28" s="307"/>
      <c r="H28" s="307"/>
      <c r="I28" s="307"/>
      <c r="J28" s="307"/>
      <c r="K28" s="308"/>
      <c r="L28" s="310" t="s">
        <v>74</v>
      </c>
      <c r="M28" s="309">
        <f>M26-M27</f>
        <v>4.5923634556856996E-3</v>
      </c>
      <c r="O28" s="38"/>
    </row>
    <row r="29" spans="2:15" x14ac:dyDescent="0.25">
      <c r="B29" s="1"/>
      <c r="C29" s="306"/>
      <c r="D29" s="307"/>
      <c r="E29" s="307"/>
      <c r="F29" s="307"/>
      <c r="G29" s="307"/>
      <c r="H29" s="307"/>
      <c r="I29" s="307"/>
      <c r="J29" s="307"/>
      <c r="K29" s="308"/>
      <c r="L29" s="308"/>
      <c r="M29" s="309"/>
      <c r="O29" s="38"/>
    </row>
    <row r="30" spans="2:15" ht="15" customHeight="1" x14ac:dyDescent="0.25">
      <c r="B30" s="1"/>
      <c r="C30" s="22" t="s">
        <v>70</v>
      </c>
      <c r="D30" s="23"/>
      <c r="E30" s="23"/>
      <c r="F30" s="23"/>
      <c r="G30" s="23"/>
      <c r="H30" s="23"/>
      <c r="I30" s="23"/>
      <c r="J30" s="23"/>
      <c r="K30" s="24"/>
      <c r="L30" s="24"/>
      <c r="M30" s="16">
        <f>+M16+M26</f>
        <v>4378293.6245923638</v>
      </c>
      <c r="O30" s="298"/>
    </row>
    <row r="31" spans="2:15" ht="15" customHeight="1" x14ac:dyDescent="0.25">
      <c r="B31" s="1"/>
      <c r="C31" s="22" t="str">
        <f>"% de Impuestos del mes: "&amp;H7</f>
        <v>% de Impuestos del mes: 9</v>
      </c>
      <c r="D31" s="23"/>
      <c r="E31" s="23"/>
      <c r="F31" s="23"/>
      <c r="G31" s="300" t="str">
        <f>"("&amp;VLOOKUP(H7,Tarifas!D4:H303,4)&amp;")"</f>
        <v>(2.057%)</v>
      </c>
      <c r="H31" s="23"/>
      <c r="I31" s="301"/>
      <c r="J31" s="302"/>
      <c r="K31" s="24"/>
      <c r="L31" s="24"/>
      <c r="M31" s="13"/>
      <c r="O31" s="38"/>
    </row>
    <row r="32" spans="2:15" x14ac:dyDescent="0.25">
      <c r="B32" s="1"/>
      <c r="C32" s="25" t="s">
        <v>14</v>
      </c>
      <c r="D32" s="26"/>
      <c r="E32" s="26"/>
      <c r="F32" s="26"/>
      <c r="G32" s="26"/>
      <c r="H32" s="26"/>
      <c r="I32" s="26"/>
      <c r="J32" s="18"/>
      <c r="K32" s="208"/>
      <c r="L32" s="18"/>
      <c r="M32" s="16">
        <f>+M30*0.16</f>
        <v>700526.97993477818</v>
      </c>
      <c r="O32" s="36"/>
    </row>
    <row r="33" spans="2:16" x14ac:dyDescent="0.25">
      <c r="B33" s="1"/>
      <c r="C33" s="27" t="s">
        <v>15</v>
      </c>
      <c r="D33" s="28"/>
      <c r="E33" s="28"/>
      <c r="F33" s="28"/>
      <c r="G33" s="28"/>
      <c r="H33" s="28"/>
      <c r="I33" s="28"/>
      <c r="J33" s="29"/>
      <c r="K33" s="30"/>
      <c r="L33" s="30"/>
      <c r="M33" s="16">
        <f>+M32+M30</f>
        <v>5078820.6045271419</v>
      </c>
      <c r="O33" s="36"/>
    </row>
    <row r="34" spans="2:16" x14ac:dyDescent="0.25">
      <c r="B34" s="1"/>
      <c r="C34" s="17"/>
      <c r="D34" s="18"/>
      <c r="E34" s="18"/>
      <c r="F34" s="18"/>
      <c r="G34" s="18"/>
      <c r="H34" s="18"/>
      <c r="I34" s="18"/>
      <c r="J34" s="18"/>
      <c r="K34" s="18"/>
      <c r="L34" s="18"/>
      <c r="M34" s="13"/>
    </row>
    <row r="35" spans="2:16" x14ac:dyDescent="0.25">
      <c r="B35" s="1"/>
      <c r="C35" s="17" t="s">
        <v>71</v>
      </c>
      <c r="D35" s="18"/>
      <c r="E35" s="18"/>
      <c r="F35" s="18"/>
      <c r="G35" s="18"/>
      <c r="H35" s="18"/>
      <c r="I35" s="18"/>
      <c r="J35" s="18"/>
      <c r="K35" s="18"/>
      <c r="L35" s="18"/>
      <c r="M35" s="299">
        <f>(M16*1.16)</f>
        <v>5076260.8735999996</v>
      </c>
      <c r="O35" s="36"/>
      <c r="P35" s="36"/>
    </row>
    <row r="36" spans="2:16" x14ac:dyDescent="0.25">
      <c r="B36" s="1"/>
      <c r="C36" s="17" t="s">
        <v>72</v>
      </c>
      <c r="D36" s="18"/>
      <c r="E36" s="18"/>
      <c r="F36" s="18"/>
      <c r="G36" s="18"/>
      <c r="H36" s="18"/>
      <c r="I36" s="18"/>
      <c r="J36" s="18"/>
      <c r="K36" s="18"/>
      <c r="L36" s="18"/>
      <c r="M36" s="299">
        <f>(M26*1.16)+M31</f>
        <v>2559.7309271416084</v>
      </c>
      <c r="O36" s="36"/>
      <c r="P36" s="36"/>
    </row>
    <row r="37" spans="2:16" x14ac:dyDescent="0.25">
      <c r="B37" s="1"/>
      <c r="C37" s="17"/>
      <c r="D37" s="18"/>
      <c r="E37" s="18"/>
      <c r="F37" s="18"/>
      <c r="G37" s="18"/>
      <c r="H37" s="18"/>
      <c r="I37" s="18"/>
      <c r="J37" s="18"/>
      <c r="K37" s="18"/>
      <c r="L37" s="18"/>
      <c r="M37" s="13"/>
    </row>
    <row r="38" spans="2:16" x14ac:dyDescent="0.25">
      <c r="B38" s="1"/>
      <c r="C38" s="7" t="s">
        <v>16</v>
      </c>
      <c r="D38" s="8"/>
      <c r="E38" s="8"/>
      <c r="F38" s="8"/>
      <c r="G38" s="8"/>
      <c r="H38" s="8"/>
      <c r="I38" s="8"/>
      <c r="J38" s="8"/>
      <c r="K38" s="9"/>
      <c r="L38" s="9"/>
      <c r="M38" s="10"/>
    </row>
    <row r="39" spans="2:16" x14ac:dyDescent="0.25">
      <c r="B39" s="1"/>
      <c r="C39" s="31" t="s">
        <v>17</v>
      </c>
      <c r="D39" s="32" t="s">
        <v>18</v>
      </c>
      <c r="E39" s="32" t="s">
        <v>19</v>
      </c>
      <c r="F39" s="2236" t="s">
        <v>20</v>
      </c>
      <c r="G39" s="2237"/>
      <c r="H39" s="2238" t="s">
        <v>1</v>
      </c>
      <c r="I39" s="2238"/>
      <c r="J39" s="2238" t="s">
        <v>21</v>
      </c>
      <c r="K39" s="2238"/>
      <c r="L39" s="18"/>
      <c r="M39" s="13"/>
    </row>
    <row r="40" spans="2:16" x14ac:dyDescent="0.25">
      <c r="B40" s="1"/>
      <c r="C40" s="33">
        <v>2044</v>
      </c>
      <c r="D40" s="303">
        <v>2044</v>
      </c>
      <c r="E40" s="303" t="s">
        <v>22</v>
      </c>
      <c r="F40" s="2224" t="s">
        <v>23</v>
      </c>
      <c r="G40" s="2224"/>
      <c r="H40" s="2225"/>
      <c r="I40" s="2225"/>
      <c r="J40" s="2226"/>
      <c r="K40" s="2226"/>
      <c r="L40" s="18"/>
      <c r="M40" s="13"/>
      <c r="N40" s="1"/>
    </row>
    <row r="41" spans="2:16" x14ac:dyDescent="0.25">
      <c r="B41" s="1"/>
      <c r="C41" s="33"/>
      <c r="D41" s="303"/>
      <c r="E41" s="303" t="s">
        <v>25</v>
      </c>
      <c r="F41" s="2227"/>
      <c r="G41" s="2228"/>
      <c r="H41" s="2229"/>
      <c r="I41" s="2230"/>
      <c r="J41" s="2231"/>
      <c r="K41" s="2232"/>
      <c r="L41" s="18"/>
      <c r="M41" s="13"/>
      <c r="N41" s="1"/>
    </row>
    <row r="42" spans="2:16" x14ac:dyDescent="0.25">
      <c r="B42" s="1"/>
      <c r="C42" s="33"/>
      <c r="D42" s="303"/>
      <c r="E42" s="303" t="s">
        <v>26</v>
      </c>
      <c r="F42" s="2227"/>
      <c r="G42" s="2228"/>
      <c r="H42" s="2229"/>
      <c r="I42" s="2230"/>
      <c r="J42" s="2231"/>
      <c r="K42" s="2232"/>
      <c r="L42" s="18"/>
      <c r="M42" s="13"/>
      <c r="N42" s="1"/>
    </row>
    <row r="43" spans="2:16" x14ac:dyDescent="0.25">
      <c r="B43" s="1"/>
      <c r="C43" s="33">
        <v>2044</v>
      </c>
      <c r="D43" s="303">
        <v>2044</v>
      </c>
      <c r="E43" s="303" t="s">
        <v>27</v>
      </c>
      <c r="F43" s="2224" t="s">
        <v>28</v>
      </c>
      <c r="G43" s="2224"/>
      <c r="H43" s="2225"/>
      <c r="I43" s="2225"/>
      <c r="J43" s="2226"/>
      <c r="K43" s="2226"/>
      <c r="L43" s="18"/>
      <c r="M43" s="13"/>
      <c r="N43" s="1"/>
    </row>
    <row r="44" spans="2:16" x14ac:dyDescent="0.25">
      <c r="B44" s="1"/>
      <c r="C44" s="2219" t="s">
        <v>24</v>
      </c>
      <c r="D44" s="2220"/>
      <c r="E44" s="2220"/>
      <c r="F44" s="2220"/>
      <c r="G44" s="2221"/>
      <c r="H44" s="2222">
        <f>SUM(H40:H43)</f>
        <v>0</v>
      </c>
      <c r="I44" s="2223"/>
      <c r="J44" s="3"/>
      <c r="K44" s="3"/>
      <c r="L44" s="18"/>
      <c r="M44" s="13"/>
      <c r="N44" s="1"/>
    </row>
    <row r="45" spans="2:16" x14ac:dyDescent="0.25">
      <c r="B45" s="1"/>
      <c r="C45" s="17"/>
      <c r="D45" s="18"/>
      <c r="E45" s="18"/>
      <c r="F45" s="18"/>
      <c r="G45" s="18"/>
      <c r="H45" s="18"/>
      <c r="I45" s="18"/>
      <c r="J45" s="18"/>
      <c r="K45" s="18"/>
      <c r="L45" s="18"/>
      <c r="M45" s="13"/>
    </row>
  </sheetData>
  <mergeCells count="44">
    <mergeCell ref="F41:G41"/>
    <mergeCell ref="H41:I41"/>
    <mergeCell ref="J41:K41"/>
    <mergeCell ref="C44:G44"/>
    <mergeCell ref="H44:I44"/>
    <mergeCell ref="F42:G42"/>
    <mergeCell ref="H42:I42"/>
    <mergeCell ref="J42:K42"/>
    <mergeCell ref="F43:G43"/>
    <mergeCell ref="H43:I43"/>
    <mergeCell ref="J43:K43"/>
    <mergeCell ref="C23:J23"/>
    <mergeCell ref="K23:L23"/>
    <mergeCell ref="F40:G40"/>
    <mergeCell ref="H40:I40"/>
    <mergeCell ref="J40:K40"/>
    <mergeCell ref="K26:L26"/>
    <mergeCell ref="F39:G39"/>
    <mergeCell ref="H39:I39"/>
    <mergeCell ref="J39:K39"/>
    <mergeCell ref="K24:L24"/>
    <mergeCell ref="C25:J25"/>
    <mergeCell ref="K25:L25"/>
    <mergeCell ref="K9:M9"/>
    <mergeCell ref="K11:L11"/>
    <mergeCell ref="C12:J12"/>
    <mergeCell ref="K12:L12"/>
    <mergeCell ref="C13:J13"/>
    <mergeCell ref="K13:L13"/>
    <mergeCell ref="C14:J14"/>
    <mergeCell ref="K14:L14"/>
    <mergeCell ref="K21:L21"/>
    <mergeCell ref="C22:J22"/>
    <mergeCell ref="K22:L22"/>
    <mergeCell ref="C15:J15"/>
    <mergeCell ref="K15:L15"/>
    <mergeCell ref="K16:L16"/>
    <mergeCell ref="K20:L20"/>
    <mergeCell ref="C21:J21"/>
    <mergeCell ref="C3:M4"/>
    <mergeCell ref="C5:M5"/>
    <mergeCell ref="C6:M6"/>
    <mergeCell ref="C7:G7"/>
    <mergeCell ref="C8:G8"/>
  </mergeCells>
  <pageMargins left="0.7" right="0.7" top="0.93" bottom="0.75" header="0.3" footer="0.3"/>
  <pageSetup scale="93" fitToHeight="0" orientation="portrait" r:id="rId1"/>
  <headerFooter>
    <oddHeader>&amp;L&amp;G&amp;R&amp;"Arial,Negrita"Direccion de Operacion&amp;"Arial,Normal"
Subdireccion de Energeticos
Subgerencia Regional de Energeticos</oddHeader>
  </headerFooter>
  <drawing r:id="rId2"/>
  <legacyDrawingHF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45"/>
  <sheetViews>
    <sheetView workbookViewId="0"/>
  </sheetViews>
  <sheetFormatPr baseColWidth="10" defaultColWidth="11" defaultRowHeight="15" x14ac:dyDescent="0.25"/>
  <cols>
    <col min="1" max="1" width="11" style="2"/>
    <col min="2" max="2" width="2.875" style="2" customWidth="1"/>
    <col min="3" max="9" width="5.625" style="2" customWidth="1"/>
    <col min="10" max="10" width="11" style="2" customWidth="1"/>
    <col min="11" max="11" width="5.375" style="2" customWidth="1"/>
    <col min="12" max="12" width="7.625" style="2" bestFit="1" customWidth="1"/>
    <col min="13" max="13" width="10.5" style="2" bestFit="1" customWidth="1"/>
    <col min="14" max="14" width="4.125" style="6" customWidth="1"/>
    <col min="15" max="15" width="39.625" style="3" bestFit="1" customWidth="1"/>
    <col min="16" max="16384" width="11" style="3"/>
  </cols>
  <sheetData>
    <row r="2" spans="2:15" ht="15.75" thickBot="1" x14ac:dyDescent="0.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2:15" ht="15" customHeight="1" x14ac:dyDescent="0.25">
      <c r="B3" s="1"/>
      <c r="C3" s="2250" t="s">
        <v>0</v>
      </c>
      <c r="D3" s="2251"/>
      <c r="E3" s="2251"/>
      <c r="F3" s="2251"/>
      <c r="G3" s="2251"/>
      <c r="H3" s="2251"/>
      <c r="I3" s="2251"/>
      <c r="J3" s="2251"/>
      <c r="K3" s="2251"/>
      <c r="L3" s="2251"/>
      <c r="M3" s="2252"/>
    </row>
    <row r="4" spans="2:15" ht="15" customHeight="1" x14ac:dyDescent="0.25">
      <c r="B4" s="1"/>
      <c r="C4" s="2253"/>
      <c r="D4" s="2254"/>
      <c r="E4" s="2254"/>
      <c r="F4" s="2254"/>
      <c r="G4" s="2254"/>
      <c r="H4" s="2254"/>
      <c r="I4" s="2254"/>
      <c r="J4" s="2254"/>
      <c r="K4" s="2254"/>
      <c r="L4" s="2254"/>
      <c r="M4" s="2255"/>
    </row>
    <row r="5" spans="2:15" x14ac:dyDescent="0.25">
      <c r="B5" s="1"/>
      <c r="C5" s="2256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8"/>
    </row>
    <row r="6" spans="2:15" x14ac:dyDescent="0.25">
      <c r="B6" s="1"/>
      <c r="C6" s="2256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8"/>
    </row>
    <row r="7" spans="2:15" ht="15" customHeight="1" x14ac:dyDescent="0.25">
      <c r="B7" s="1"/>
      <c r="C7" s="2259" t="s">
        <v>3</v>
      </c>
      <c r="D7" s="2260"/>
      <c r="E7" s="2260"/>
      <c r="F7" s="2260"/>
      <c r="G7" s="2260"/>
      <c r="H7" s="207">
        <v>10</v>
      </c>
      <c r="I7" s="296">
        <f>VLOOKUP(H7,Tarifas!D4:H303,2)</f>
        <v>41760</v>
      </c>
      <c r="J7" s="296"/>
      <c r="K7" s="296"/>
      <c r="L7" s="296"/>
      <c r="M7" s="297"/>
      <c r="O7" s="3" t="s">
        <v>64</v>
      </c>
    </row>
    <row r="8" spans="2:15" x14ac:dyDescent="0.25">
      <c r="B8" s="1"/>
      <c r="C8" s="2259" t="s">
        <v>4</v>
      </c>
      <c r="D8" s="2260"/>
      <c r="E8" s="2260"/>
      <c r="F8" s="2260"/>
      <c r="G8" s="2260"/>
      <c r="H8" s="207">
        <v>15</v>
      </c>
      <c r="I8" s="296"/>
      <c r="J8" s="296"/>
      <c r="K8" s="296"/>
      <c r="L8" s="296"/>
      <c r="M8" s="297"/>
    </row>
    <row r="9" spans="2:15" x14ac:dyDescent="0.25">
      <c r="B9" s="1"/>
      <c r="C9" s="4"/>
      <c r="D9" s="5"/>
      <c r="E9" s="5"/>
      <c r="F9" s="5"/>
      <c r="G9" s="5"/>
      <c r="H9" s="5"/>
      <c r="I9" s="5"/>
      <c r="J9" s="5"/>
      <c r="K9" s="2248" t="s">
        <v>73</v>
      </c>
      <c r="L9" s="2248"/>
      <c r="M9" s="2249"/>
    </row>
    <row r="10" spans="2:15" ht="15.75" thickBot="1" x14ac:dyDescent="0.3">
      <c r="B10" s="1"/>
      <c r="C10" s="7" t="s">
        <v>5</v>
      </c>
      <c r="D10" s="8"/>
      <c r="E10" s="8"/>
      <c r="F10" s="8"/>
      <c r="G10" s="8"/>
      <c r="H10" s="8"/>
      <c r="I10" s="8"/>
      <c r="J10" s="8"/>
      <c r="K10" s="9"/>
      <c r="L10" s="9"/>
      <c r="M10" s="10"/>
    </row>
    <row r="11" spans="2:15" x14ac:dyDescent="0.25">
      <c r="B11" s="1"/>
      <c r="C11" s="11" t="s">
        <v>6</v>
      </c>
      <c r="D11" s="12"/>
      <c r="E11" s="12"/>
      <c r="F11" s="12"/>
      <c r="G11" s="12"/>
      <c r="H11" s="12"/>
      <c r="I11" s="12"/>
      <c r="J11" s="12"/>
      <c r="K11" s="2244"/>
      <c r="L11" s="2245"/>
      <c r="M11" s="13"/>
      <c r="O11" s="38"/>
    </row>
    <row r="12" spans="2:15" ht="26.25" customHeight="1" x14ac:dyDescent="0.25">
      <c r="B12" s="1"/>
      <c r="C12" s="2213"/>
      <c r="D12" s="2214"/>
      <c r="E12" s="2214"/>
      <c r="F12" s="2214"/>
      <c r="G12" s="2214"/>
      <c r="H12" s="2214"/>
      <c r="I12" s="2214"/>
      <c r="J12" s="2215"/>
      <c r="K12" s="2241">
        <f>VLOOKUP(H7,Tarifas!D4:H303,3)</f>
        <v>0.13900000000000001</v>
      </c>
      <c r="L12" s="2240"/>
      <c r="M12" s="13"/>
      <c r="O12" s="3" t="s">
        <v>63</v>
      </c>
    </row>
    <row r="13" spans="2:15" x14ac:dyDescent="0.25">
      <c r="B13" s="1"/>
      <c r="C13" s="2213"/>
      <c r="D13" s="2214"/>
      <c r="E13" s="2214"/>
      <c r="F13" s="2214"/>
      <c r="G13" s="2214"/>
      <c r="H13" s="2214"/>
      <c r="I13" s="2214"/>
      <c r="J13" s="2215"/>
      <c r="K13" s="2241">
        <v>850</v>
      </c>
      <c r="L13" s="2240"/>
      <c r="M13" s="13" t="s">
        <v>7</v>
      </c>
      <c r="O13" s="38"/>
    </row>
    <row r="14" spans="2:15" x14ac:dyDescent="0.25">
      <c r="B14" s="1"/>
      <c r="C14" s="2213"/>
      <c r="D14" s="2214"/>
      <c r="E14" s="2214"/>
      <c r="F14" s="2214"/>
      <c r="G14" s="2214"/>
      <c r="H14" s="2214"/>
      <c r="I14" s="2214"/>
      <c r="J14" s="2215"/>
      <c r="K14" s="2241">
        <v>850</v>
      </c>
      <c r="L14" s="2240"/>
      <c r="M14" s="13" t="s">
        <v>7</v>
      </c>
      <c r="O14" s="38"/>
    </row>
    <row r="15" spans="2:15" ht="15.75" thickBot="1" x14ac:dyDescent="0.3">
      <c r="B15" s="1"/>
      <c r="C15" s="2210"/>
      <c r="D15" s="2211"/>
      <c r="E15" s="2211"/>
      <c r="F15" s="2211"/>
      <c r="G15" s="2211"/>
      <c r="H15" s="2211"/>
      <c r="I15" s="2211"/>
      <c r="J15" s="2212"/>
      <c r="K15" s="2242">
        <v>31482640</v>
      </c>
      <c r="L15" s="2243"/>
      <c r="M15" s="13" t="s">
        <v>8</v>
      </c>
      <c r="O15" s="304"/>
    </row>
    <row r="16" spans="2:15" x14ac:dyDescent="0.25">
      <c r="B16" s="3"/>
      <c r="C16" s="14" t="s">
        <v>9</v>
      </c>
      <c r="D16" s="15"/>
      <c r="E16" s="15"/>
      <c r="F16" s="15"/>
      <c r="G16" s="15"/>
      <c r="H16" s="15"/>
      <c r="I16" s="15"/>
      <c r="J16" s="15"/>
      <c r="K16" s="2235"/>
      <c r="L16" s="2235"/>
      <c r="M16" s="16">
        <f>+K12*(K13/K14)*K15</f>
        <v>4376086.96</v>
      </c>
      <c r="O16" s="36"/>
    </row>
    <row r="17" spans="2:15" x14ac:dyDescent="0.25">
      <c r="B17" s="1"/>
      <c r="C17" s="17"/>
      <c r="D17" s="18"/>
      <c r="E17" s="18"/>
      <c r="F17" s="18"/>
      <c r="G17" s="18"/>
      <c r="H17" s="18"/>
      <c r="I17" s="18"/>
      <c r="J17" s="18"/>
      <c r="K17" s="18"/>
      <c r="L17" s="18" t="s">
        <v>75</v>
      </c>
      <c r="M17" s="305">
        <v>4521956.53</v>
      </c>
      <c r="O17" s="36"/>
    </row>
    <row r="18" spans="2:15" x14ac:dyDescent="0.25">
      <c r="B18" s="1"/>
      <c r="C18" s="17"/>
      <c r="D18" s="18"/>
      <c r="E18" s="18"/>
      <c r="F18" s="18"/>
      <c r="G18" s="18"/>
      <c r="H18" s="18"/>
      <c r="I18" s="18"/>
      <c r="J18" s="18"/>
      <c r="K18" s="18"/>
      <c r="L18" s="18" t="s">
        <v>74</v>
      </c>
      <c r="M18" s="299">
        <f>M16-M17</f>
        <v>-145869.5700000003</v>
      </c>
      <c r="O18" s="36"/>
    </row>
    <row r="19" spans="2:15" ht="15.75" thickBot="1" x14ac:dyDescent="0.3">
      <c r="B19" s="1"/>
      <c r="C19" s="7" t="s">
        <v>10</v>
      </c>
      <c r="D19" s="8"/>
      <c r="E19" s="8"/>
      <c r="F19" s="8"/>
      <c r="G19" s="8"/>
      <c r="H19" s="8"/>
      <c r="I19" s="8"/>
      <c r="J19" s="8"/>
      <c r="K19" s="9"/>
      <c r="L19" s="9"/>
      <c r="M19" s="10"/>
    </row>
    <row r="20" spans="2:15" ht="22.5" customHeight="1" x14ac:dyDescent="0.25">
      <c r="B20" s="1"/>
      <c r="C20" s="11" t="s">
        <v>6</v>
      </c>
      <c r="D20" s="12"/>
      <c r="E20" s="12"/>
      <c r="F20" s="12"/>
      <c r="G20" s="12"/>
      <c r="H20" s="12"/>
      <c r="I20" s="12"/>
      <c r="J20" s="12"/>
      <c r="K20" s="2244"/>
      <c r="L20" s="2245"/>
      <c r="M20" s="13"/>
    </row>
    <row r="21" spans="2:15" ht="21.75" customHeight="1" x14ac:dyDescent="0.25">
      <c r="B21" s="1"/>
      <c r="C21" s="2213"/>
      <c r="D21" s="2214"/>
      <c r="E21" s="2214"/>
      <c r="F21" s="2214"/>
      <c r="G21" s="2214"/>
      <c r="H21" s="2214"/>
      <c r="I21" s="2214"/>
      <c r="J21" s="2215"/>
      <c r="K21" s="2241">
        <f>VLOOKUP(H7,Tarifas!D4:H303,5)</f>
        <v>1E-3</v>
      </c>
      <c r="L21" s="2240"/>
      <c r="M21" s="13" t="s">
        <v>11</v>
      </c>
      <c r="O21" s="3" t="s">
        <v>63</v>
      </c>
    </row>
    <row r="22" spans="2:15" ht="15" customHeight="1" x14ac:dyDescent="0.25">
      <c r="B22" s="1"/>
      <c r="C22" s="2213"/>
      <c r="D22" s="2214"/>
      <c r="E22" s="2214"/>
      <c r="F22" s="2214"/>
      <c r="G22" s="2214"/>
      <c r="H22" s="2214"/>
      <c r="I22" s="2214"/>
      <c r="J22" s="2215"/>
      <c r="K22" s="2246">
        <v>201.4</v>
      </c>
      <c r="L22" s="2247"/>
      <c r="M22" s="13" t="s">
        <v>12</v>
      </c>
      <c r="O22" s="3" t="s">
        <v>62</v>
      </c>
    </row>
    <row r="23" spans="2:15" ht="21.75" customHeight="1" x14ac:dyDescent="0.25">
      <c r="B23" s="1"/>
      <c r="C23" s="2216"/>
      <c r="D23" s="2217"/>
      <c r="E23" s="2217"/>
      <c r="F23" s="2217"/>
      <c r="G23" s="2217"/>
      <c r="H23" s="2217"/>
      <c r="I23" s="2217"/>
      <c r="J23" s="2218"/>
      <c r="K23" s="2246">
        <v>208.4</v>
      </c>
      <c r="L23" s="2247"/>
      <c r="M23" s="13" t="s">
        <v>12</v>
      </c>
      <c r="O23" s="3" t="s">
        <v>67</v>
      </c>
    </row>
    <row r="24" spans="2:15" x14ac:dyDescent="0.25">
      <c r="B24" s="1"/>
      <c r="C24" s="19"/>
      <c r="D24" s="20"/>
      <c r="E24" s="20"/>
      <c r="F24" s="20"/>
      <c r="G24" s="20"/>
      <c r="H24" s="20"/>
      <c r="I24" s="20"/>
      <c r="J24" s="21"/>
      <c r="K24" s="2239">
        <f>IFERROR(K23/K22,0)</f>
        <v>1.0347567030784508</v>
      </c>
      <c r="L24" s="2240"/>
      <c r="M24" s="13"/>
    </row>
    <row r="25" spans="2:15" ht="15.75" thickBot="1" x14ac:dyDescent="0.3">
      <c r="B25" s="1"/>
      <c r="C25" s="2207"/>
      <c r="D25" s="2208"/>
      <c r="E25" s="2208"/>
      <c r="F25" s="2208"/>
      <c r="G25" s="2208"/>
      <c r="H25" s="2208"/>
      <c r="I25" s="2208"/>
      <c r="J25" s="2209"/>
      <c r="K25" s="2233">
        <v>2342679.9980000001</v>
      </c>
      <c r="L25" s="2234"/>
      <c r="M25" s="13" t="s">
        <v>8</v>
      </c>
      <c r="O25" s="37" t="s">
        <v>66</v>
      </c>
    </row>
    <row r="26" spans="2:15" x14ac:dyDescent="0.25">
      <c r="B26" s="1"/>
      <c r="C26" s="14" t="s">
        <v>13</v>
      </c>
      <c r="D26" s="15"/>
      <c r="E26" s="15"/>
      <c r="F26" s="15"/>
      <c r="G26" s="15"/>
      <c r="H26" s="15"/>
      <c r="I26" s="15"/>
      <c r="J26" s="15"/>
      <c r="K26" s="2235"/>
      <c r="L26" s="2235"/>
      <c r="M26" s="16">
        <f>+K21*K24*K25</f>
        <v>2424.1038310983122</v>
      </c>
      <c r="O26" s="38"/>
    </row>
    <row r="27" spans="2:15" x14ac:dyDescent="0.25">
      <c r="B27" s="1"/>
      <c r="C27" s="306"/>
      <c r="D27" s="307"/>
      <c r="E27" s="307"/>
      <c r="F27" s="307"/>
      <c r="G27" s="307"/>
      <c r="H27" s="307"/>
      <c r="I27" s="307"/>
      <c r="J27" s="307"/>
      <c r="K27" s="308"/>
      <c r="L27" s="310" t="s">
        <v>75</v>
      </c>
      <c r="M27" s="309">
        <v>2424.1</v>
      </c>
      <c r="O27" s="38"/>
    </row>
    <row r="28" spans="2:15" x14ac:dyDescent="0.25">
      <c r="B28" s="1"/>
      <c r="C28" s="306"/>
      <c r="D28" s="307"/>
      <c r="E28" s="307"/>
      <c r="F28" s="307"/>
      <c r="G28" s="307"/>
      <c r="H28" s="307"/>
      <c r="I28" s="307"/>
      <c r="J28" s="307"/>
      <c r="K28" s="308"/>
      <c r="L28" s="310" t="s">
        <v>74</v>
      </c>
      <c r="M28" s="309">
        <f>M26-M27</f>
        <v>3.8310983122755715E-3</v>
      </c>
      <c r="O28" s="38"/>
    </row>
    <row r="29" spans="2:15" x14ac:dyDescent="0.25">
      <c r="B29" s="1"/>
      <c r="C29" s="306"/>
      <c r="D29" s="307"/>
      <c r="E29" s="307"/>
      <c r="F29" s="307"/>
      <c r="G29" s="307"/>
      <c r="H29" s="307"/>
      <c r="I29" s="307"/>
      <c r="J29" s="307"/>
      <c r="K29" s="308"/>
      <c r="L29" s="308"/>
      <c r="M29" s="309"/>
      <c r="O29" s="38"/>
    </row>
    <row r="30" spans="2:15" ht="15" customHeight="1" x14ac:dyDescent="0.25">
      <c r="B30" s="1"/>
      <c r="C30" s="22" t="s">
        <v>70</v>
      </c>
      <c r="D30" s="23"/>
      <c r="E30" s="23"/>
      <c r="F30" s="23"/>
      <c r="G30" s="23"/>
      <c r="H30" s="23"/>
      <c r="I30" s="23"/>
      <c r="J30" s="23"/>
      <c r="K30" s="24"/>
      <c r="L30" s="24"/>
      <c r="M30" s="16">
        <f>+M16+M26</f>
        <v>4378511.0638310984</v>
      </c>
      <c r="O30" s="298"/>
    </row>
    <row r="31" spans="2:15" ht="15" customHeight="1" x14ac:dyDescent="0.25">
      <c r="B31" s="1"/>
      <c r="C31" s="22" t="str">
        <f>"% de Impuestos del mes: "&amp;H7</f>
        <v>% de Impuestos del mes: 10</v>
      </c>
      <c r="D31" s="23"/>
      <c r="E31" s="23"/>
      <c r="F31" s="23"/>
      <c r="G31" s="300" t="str">
        <f>"("&amp;VLOOKUP(H7,Tarifas!D4:H303,4)&amp;")"</f>
        <v>(2.057%)</v>
      </c>
      <c r="H31" s="23"/>
      <c r="I31" s="301"/>
      <c r="J31" s="302"/>
      <c r="K31" s="24"/>
      <c r="L31" s="24"/>
      <c r="M31" s="13"/>
      <c r="O31" s="38"/>
    </row>
    <row r="32" spans="2:15" x14ac:dyDescent="0.25">
      <c r="B32" s="1"/>
      <c r="C32" s="25" t="s">
        <v>14</v>
      </c>
      <c r="D32" s="26"/>
      <c r="E32" s="26"/>
      <c r="F32" s="26"/>
      <c r="G32" s="26"/>
      <c r="H32" s="26"/>
      <c r="I32" s="26"/>
      <c r="J32" s="18"/>
      <c r="K32" s="208"/>
      <c r="L32" s="18"/>
      <c r="M32" s="16">
        <f>+M30*0.16</f>
        <v>700561.7702129758</v>
      </c>
      <c r="O32" s="36"/>
    </row>
    <row r="33" spans="2:16" x14ac:dyDescent="0.25">
      <c r="B33" s="1"/>
      <c r="C33" s="27" t="s">
        <v>15</v>
      </c>
      <c r="D33" s="28"/>
      <c r="E33" s="28"/>
      <c r="F33" s="28"/>
      <c r="G33" s="28"/>
      <c r="H33" s="28"/>
      <c r="I33" s="28"/>
      <c r="J33" s="29"/>
      <c r="K33" s="30"/>
      <c r="L33" s="30"/>
      <c r="M33" s="16">
        <f>+M32+M30</f>
        <v>5079072.8340440746</v>
      </c>
      <c r="O33" s="36"/>
    </row>
    <row r="34" spans="2:16" x14ac:dyDescent="0.25">
      <c r="B34" s="1"/>
      <c r="C34" s="17"/>
      <c r="D34" s="18"/>
      <c r="E34" s="18"/>
      <c r="F34" s="18"/>
      <c r="G34" s="18"/>
      <c r="H34" s="18"/>
      <c r="I34" s="18"/>
      <c r="J34" s="18"/>
      <c r="K34" s="18"/>
      <c r="L34" s="18"/>
      <c r="M34" s="13"/>
    </row>
    <row r="35" spans="2:16" x14ac:dyDescent="0.25">
      <c r="B35" s="1"/>
      <c r="C35" s="17" t="s">
        <v>71</v>
      </c>
      <c r="D35" s="18"/>
      <c r="E35" s="18"/>
      <c r="F35" s="18"/>
      <c r="G35" s="18"/>
      <c r="H35" s="18"/>
      <c r="I35" s="18"/>
      <c r="J35" s="18"/>
      <c r="K35" s="18"/>
      <c r="L35" s="18"/>
      <c r="M35" s="299">
        <f>(M16*1.16)</f>
        <v>5076260.8735999996</v>
      </c>
      <c r="O35" s="36"/>
      <c r="P35" s="36"/>
    </row>
    <row r="36" spans="2:16" x14ac:dyDescent="0.25">
      <c r="B36" s="1"/>
      <c r="C36" s="17" t="s">
        <v>72</v>
      </c>
      <c r="D36" s="18"/>
      <c r="E36" s="18"/>
      <c r="F36" s="18"/>
      <c r="G36" s="18"/>
      <c r="H36" s="18"/>
      <c r="I36" s="18"/>
      <c r="J36" s="18"/>
      <c r="K36" s="18"/>
      <c r="L36" s="18"/>
      <c r="M36" s="299">
        <f>(M26*1.16)+M31</f>
        <v>2811.9604440740418</v>
      </c>
      <c r="O36" s="36"/>
      <c r="P36" s="36"/>
    </row>
    <row r="37" spans="2:16" x14ac:dyDescent="0.25">
      <c r="B37" s="1"/>
      <c r="C37" s="17"/>
      <c r="D37" s="18"/>
      <c r="E37" s="18"/>
      <c r="F37" s="18"/>
      <c r="G37" s="18"/>
      <c r="H37" s="18"/>
      <c r="I37" s="18"/>
      <c r="J37" s="18"/>
      <c r="K37" s="18"/>
      <c r="L37" s="18"/>
      <c r="M37" s="13"/>
    </row>
    <row r="38" spans="2:16" x14ac:dyDescent="0.25">
      <c r="B38" s="1"/>
      <c r="C38" s="7" t="s">
        <v>16</v>
      </c>
      <c r="D38" s="8"/>
      <c r="E38" s="8"/>
      <c r="F38" s="8"/>
      <c r="G38" s="8"/>
      <c r="H38" s="8"/>
      <c r="I38" s="8"/>
      <c r="J38" s="8"/>
      <c r="K38" s="9"/>
      <c r="L38" s="9"/>
      <c r="M38" s="10"/>
    </row>
    <row r="39" spans="2:16" x14ac:dyDescent="0.25">
      <c r="B39" s="1"/>
      <c r="C39" s="31" t="s">
        <v>17</v>
      </c>
      <c r="D39" s="32" t="s">
        <v>18</v>
      </c>
      <c r="E39" s="32" t="s">
        <v>19</v>
      </c>
      <c r="F39" s="2236" t="s">
        <v>20</v>
      </c>
      <c r="G39" s="2237"/>
      <c r="H39" s="2238" t="s">
        <v>1</v>
      </c>
      <c r="I39" s="2238"/>
      <c r="J39" s="2238" t="s">
        <v>21</v>
      </c>
      <c r="K39" s="2238"/>
      <c r="L39" s="18"/>
      <c r="M39" s="13"/>
    </row>
    <row r="40" spans="2:16" x14ac:dyDescent="0.25">
      <c r="B40" s="1"/>
      <c r="C40" s="33">
        <v>2044</v>
      </c>
      <c r="D40" s="303">
        <v>2044</v>
      </c>
      <c r="E40" s="303" t="s">
        <v>22</v>
      </c>
      <c r="F40" s="2224" t="s">
        <v>23</v>
      </c>
      <c r="G40" s="2224"/>
      <c r="H40" s="2225"/>
      <c r="I40" s="2225"/>
      <c r="J40" s="2226"/>
      <c r="K40" s="2226"/>
      <c r="L40" s="18"/>
      <c r="M40" s="13"/>
      <c r="N40" s="1"/>
    </row>
    <row r="41" spans="2:16" x14ac:dyDescent="0.25">
      <c r="B41" s="1"/>
      <c r="C41" s="33"/>
      <c r="D41" s="303"/>
      <c r="E41" s="303" t="s">
        <v>25</v>
      </c>
      <c r="F41" s="2227"/>
      <c r="G41" s="2228"/>
      <c r="H41" s="2229"/>
      <c r="I41" s="2230"/>
      <c r="J41" s="2231"/>
      <c r="K41" s="2232"/>
      <c r="L41" s="18"/>
      <c r="M41" s="13"/>
      <c r="N41" s="1"/>
    </row>
    <row r="42" spans="2:16" x14ac:dyDescent="0.25">
      <c r="B42" s="1"/>
      <c r="C42" s="33"/>
      <c r="D42" s="303"/>
      <c r="E42" s="303" t="s">
        <v>26</v>
      </c>
      <c r="F42" s="2227"/>
      <c r="G42" s="2228"/>
      <c r="H42" s="2229"/>
      <c r="I42" s="2230"/>
      <c r="J42" s="2231"/>
      <c r="K42" s="2232"/>
      <c r="L42" s="18"/>
      <c r="M42" s="13"/>
      <c r="N42" s="1"/>
    </row>
    <row r="43" spans="2:16" x14ac:dyDescent="0.25">
      <c r="B43" s="1"/>
      <c r="C43" s="33">
        <v>2044</v>
      </c>
      <c r="D43" s="303">
        <v>2044</v>
      </c>
      <c r="E43" s="303" t="s">
        <v>27</v>
      </c>
      <c r="F43" s="2224" t="s">
        <v>28</v>
      </c>
      <c r="G43" s="2224"/>
      <c r="H43" s="2225"/>
      <c r="I43" s="2225"/>
      <c r="J43" s="2226"/>
      <c r="K43" s="2226"/>
      <c r="L43" s="18"/>
      <c r="M43" s="13"/>
      <c r="N43" s="1"/>
    </row>
    <row r="44" spans="2:16" x14ac:dyDescent="0.25">
      <c r="B44" s="1"/>
      <c r="C44" s="2219" t="s">
        <v>24</v>
      </c>
      <c r="D44" s="2220"/>
      <c r="E44" s="2220"/>
      <c r="F44" s="2220"/>
      <c r="G44" s="2221"/>
      <c r="H44" s="2222">
        <f>SUM(H40:H43)</f>
        <v>0</v>
      </c>
      <c r="I44" s="2223"/>
      <c r="J44" s="3"/>
      <c r="K44" s="3"/>
      <c r="L44" s="18"/>
      <c r="M44" s="13"/>
      <c r="N44" s="1"/>
    </row>
    <row r="45" spans="2:16" x14ac:dyDescent="0.25">
      <c r="B45" s="1"/>
      <c r="C45" s="17"/>
      <c r="D45" s="18"/>
      <c r="E45" s="18"/>
      <c r="F45" s="18"/>
      <c r="G45" s="18"/>
      <c r="H45" s="18"/>
      <c r="I45" s="18"/>
      <c r="J45" s="18"/>
      <c r="K45" s="18"/>
      <c r="L45" s="18"/>
      <c r="M45" s="13"/>
    </row>
  </sheetData>
  <mergeCells count="44">
    <mergeCell ref="F41:G41"/>
    <mergeCell ref="H41:I41"/>
    <mergeCell ref="J41:K41"/>
    <mergeCell ref="C44:G44"/>
    <mergeCell ref="H44:I44"/>
    <mergeCell ref="F42:G42"/>
    <mergeCell ref="H42:I42"/>
    <mergeCell ref="J42:K42"/>
    <mergeCell ref="F43:G43"/>
    <mergeCell ref="H43:I43"/>
    <mergeCell ref="J43:K43"/>
    <mergeCell ref="C23:J23"/>
    <mergeCell ref="K23:L23"/>
    <mergeCell ref="F40:G40"/>
    <mergeCell ref="H40:I40"/>
    <mergeCell ref="J40:K40"/>
    <mergeCell ref="K26:L26"/>
    <mergeCell ref="F39:G39"/>
    <mergeCell ref="H39:I39"/>
    <mergeCell ref="J39:K39"/>
    <mergeCell ref="K24:L24"/>
    <mergeCell ref="C25:J25"/>
    <mergeCell ref="K25:L25"/>
    <mergeCell ref="K9:M9"/>
    <mergeCell ref="K11:L11"/>
    <mergeCell ref="C12:J12"/>
    <mergeCell ref="K12:L12"/>
    <mergeCell ref="C13:J13"/>
    <mergeCell ref="K13:L13"/>
    <mergeCell ref="C14:J14"/>
    <mergeCell ref="K14:L14"/>
    <mergeCell ref="K21:L21"/>
    <mergeCell ref="C22:J22"/>
    <mergeCell ref="K22:L22"/>
    <mergeCell ref="C15:J15"/>
    <mergeCell ref="K15:L15"/>
    <mergeCell ref="K16:L16"/>
    <mergeCell ref="K20:L20"/>
    <mergeCell ref="C21:J21"/>
    <mergeCell ref="C3:M4"/>
    <mergeCell ref="C5:M5"/>
    <mergeCell ref="C6:M6"/>
    <mergeCell ref="C7:G7"/>
    <mergeCell ref="C8:G8"/>
  </mergeCells>
  <pageMargins left="0.7" right="0.7" top="0.93" bottom="0.75" header="0.3" footer="0.3"/>
  <pageSetup scale="93" fitToHeight="0" orientation="portrait" r:id="rId1"/>
  <headerFooter>
    <oddHeader>&amp;L&amp;G&amp;R&amp;"Arial,Negrita"Direccion de Operacion&amp;"Arial,Normal"
Subdireccion de Energeticos
Subgerencia Regional de Energeticos</oddHeader>
  </headerFooter>
  <drawing r:id="rId2"/>
  <legacyDrawingHF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45"/>
  <sheetViews>
    <sheetView workbookViewId="0"/>
  </sheetViews>
  <sheetFormatPr baseColWidth="10" defaultColWidth="11" defaultRowHeight="15" x14ac:dyDescent="0.25"/>
  <cols>
    <col min="1" max="1" width="11" style="2"/>
    <col min="2" max="2" width="2.875" style="2" customWidth="1"/>
    <col min="3" max="9" width="5.625" style="2" customWidth="1"/>
    <col min="10" max="10" width="11" style="2" customWidth="1"/>
    <col min="11" max="11" width="5.375" style="2" customWidth="1"/>
    <col min="12" max="12" width="7.625" style="2" bestFit="1" customWidth="1"/>
    <col min="13" max="13" width="10.5" style="2" bestFit="1" customWidth="1"/>
    <col min="14" max="14" width="4.125" style="6" customWidth="1"/>
    <col min="15" max="15" width="39.625" style="3" bestFit="1" customWidth="1"/>
    <col min="16" max="16384" width="11" style="3"/>
  </cols>
  <sheetData>
    <row r="2" spans="2:15" ht="15.75" thickBot="1" x14ac:dyDescent="0.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2:15" ht="15" customHeight="1" x14ac:dyDescent="0.25">
      <c r="B3" s="1"/>
      <c r="C3" s="2250" t="s">
        <v>0</v>
      </c>
      <c r="D3" s="2251"/>
      <c r="E3" s="2251"/>
      <c r="F3" s="2251"/>
      <c r="G3" s="2251"/>
      <c r="H3" s="2251"/>
      <c r="I3" s="2251"/>
      <c r="J3" s="2251"/>
      <c r="K3" s="2251"/>
      <c r="L3" s="2251"/>
      <c r="M3" s="2252"/>
    </row>
    <row r="4" spans="2:15" ht="15" customHeight="1" x14ac:dyDescent="0.25">
      <c r="B4" s="1"/>
      <c r="C4" s="2253"/>
      <c r="D4" s="2254"/>
      <c r="E4" s="2254"/>
      <c r="F4" s="2254"/>
      <c r="G4" s="2254"/>
      <c r="H4" s="2254"/>
      <c r="I4" s="2254"/>
      <c r="J4" s="2254"/>
      <c r="K4" s="2254"/>
      <c r="L4" s="2254"/>
      <c r="M4" s="2255"/>
    </row>
    <row r="5" spans="2:15" x14ac:dyDescent="0.25">
      <c r="B5" s="1"/>
      <c r="C5" s="2256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8"/>
    </row>
    <row r="6" spans="2:15" x14ac:dyDescent="0.25">
      <c r="B6" s="1"/>
      <c r="C6" s="2256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8"/>
    </row>
    <row r="7" spans="2:15" ht="15" customHeight="1" x14ac:dyDescent="0.25">
      <c r="B7" s="1"/>
      <c r="C7" s="2259" t="s">
        <v>3</v>
      </c>
      <c r="D7" s="2260"/>
      <c r="E7" s="2260"/>
      <c r="F7" s="2260"/>
      <c r="G7" s="2260"/>
      <c r="H7" s="207">
        <v>11</v>
      </c>
      <c r="I7" s="296">
        <f>VLOOKUP(H7,Tarifas!D4:H303,2)</f>
        <v>41791</v>
      </c>
      <c r="J7" s="296"/>
      <c r="K7" s="296"/>
      <c r="L7" s="296"/>
      <c r="M7" s="297"/>
      <c r="O7" s="3" t="s">
        <v>64</v>
      </c>
    </row>
    <row r="8" spans="2:15" x14ac:dyDescent="0.25">
      <c r="B8" s="1"/>
      <c r="C8" s="2259" t="s">
        <v>4</v>
      </c>
      <c r="D8" s="2260"/>
      <c r="E8" s="2260"/>
      <c r="F8" s="2260"/>
      <c r="G8" s="2260"/>
      <c r="H8" s="207">
        <v>16</v>
      </c>
      <c r="I8" s="296"/>
      <c r="J8" s="296"/>
      <c r="K8" s="296"/>
      <c r="L8" s="296"/>
      <c r="M8" s="297"/>
    </row>
    <row r="9" spans="2:15" x14ac:dyDescent="0.25">
      <c r="B9" s="1"/>
      <c r="C9" s="4"/>
      <c r="D9" s="5"/>
      <c r="E9" s="5"/>
      <c r="F9" s="5"/>
      <c r="G9" s="5"/>
      <c r="H9" s="5"/>
      <c r="I9" s="5"/>
      <c r="J9" s="5"/>
      <c r="K9" s="2248" t="s">
        <v>73</v>
      </c>
      <c r="L9" s="2248"/>
      <c r="M9" s="2249"/>
    </row>
    <row r="10" spans="2:15" ht="15.75" thickBot="1" x14ac:dyDescent="0.3">
      <c r="B10" s="1"/>
      <c r="C10" s="7" t="s">
        <v>5</v>
      </c>
      <c r="D10" s="8"/>
      <c r="E10" s="8"/>
      <c r="F10" s="8"/>
      <c r="G10" s="8"/>
      <c r="H10" s="8"/>
      <c r="I10" s="8"/>
      <c r="J10" s="8"/>
      <c r="K10" s="9"/>
      <c r="L10" s="9"/>
      <c r="M10" s="10"/>
    </row>
    <row r="11" spans="2:15" x14ac:dyDescent="0.25">
      <c r="B11" s="1"/>
      <c r="C11" s="11" t="s">
        <v>6</v>
      </c>
      <c r="D11" s="12"/>
      <c r="E11" s="12"/>
      <c r="F11" s="12"/>
      <c r="G11" s="12"/>
      <c r="H11" s="12"/>
      <c r="I11" s="12"/>
      <c r="J11" s="12"/>
      <c r="K11" s="2244"/>
      <c r="L11" s="2245"/>
      <c r="M11" s="13"/>
      <c r="O11" s="38"/>
    </row>
    <row r="12" spans="2:15" ht="26.25" customHeight="1" x14ac:dyDescent="0.25">
      <c r="B12" s="1"/>
      <c r="C12" s="2213"/>
      <c r="D12" s="2214"/>
      <c r="E12" s="2214"/>
      <c r="F12" s="2214"/>
      <c r="G12" s="2214"/>
      <c r="H12" s="2214"/>
      <c r="I12" s="2214"/>
      <c r="J12" s="2215"/>
      <c r="K12" s="2241">
        <f>VLOOKUP(H7,Tarifas!D4:H303,3)</f>
        <v>0.13900000000000001</v>
      </c>
      <c r="L12" s="2240"/>
      <c r="M12" s="13"/>
      <c r="O12" s="3" t="s">
        <v>63</v>
      </c>
    </row>
    <row r="13" spans="2:15" x14ac:dyDescent="0.25">
      <c r="B13" s="1"/>
      <c r="C13" s="2213"/>
      <c r="D13" s="2214"/>
      <c r="E13" s="2214"/>
      <c r="F13" s="2214"/>
      <c r="G13" s="2214"/>
      <c r="H13" s="2214"/>
      <c r="I13" s="2214"/>
      <c r="J13" s="2215"/>
      <c r="K13" s="2241">
        <v>850</v>
      </c>
      <c r="L13" s="2240"/>
      <c r="M13" s="13" t="s">
        <v>7</v>
      </c>
      <c r="O13" s="38"/>
    </row>
    <row r="14" spans="2:15" x14ac:dyDescent="0.25">
      <c r="B14" s="1"/>
      <c r="C14" s="2213"/>
      <c r="D14" s="2214"/>
      <c r="E14" s="2214"/>
      <c r="F14" s="2214"/>
      <c r="G14" s="2214"/>
      <c r="H14" s="2214"/>
      <c r="I14" s="2214"/>
      <c r="J14" s="2215"/>
      <c r="K14" s="2241">
        <v>850</v>
      </c>
      <c r="L14" s="2240"/>
      <c r="M14" s="13" t="s">
        <v>7</v>
      </c>
      <c r="O14" s="38"/>
    </row>
    <row r="15" spans="2:15" ht="15.75" thickBot="1" x14ac:dyDescent="0.3">
      <c r="B15" s="1"/>
      <c r="C15" s="2210"/>
      <c r="D15" s="2211"/>
      <c r="E15" s="2211"/>
      <c r="F15" s="2211"/>
      <c r="G15" s="2211"/>
      <c r="H15" s="2211"/>
      <c r="I15" s="2211"/>
      <c r="J15" s="2212"/>
      <c r="K15" s="2242">
        <v>31482640</v>
      </c>
      <c r="L15" s="2243"/>
      <c r="M15" s="13" t="s">
        <v>8</v>
      </c>
      <c r="O15" s="304"/>
    </row>
    <row r="16" spans="2:15" x14ac:dyDescent="0.25">
      <c r="B16" s="3"/>
      <c r="C16" s="14" t="s">
        <v>9</v>
      </c>
      <c r="D16" s="15"/>
      <c r="E16" s="15"/>
      <c r="F16" s="15"/>
      <c r="G16" s="15"/>
      <c r="H16" s="15"/>
      <c r="I16" s="15"/>
      <c r="J16" s="15"/>
      <c r="K16" s="2235"/>
      <c r="L16" s="2235"/>
      <c r="M16" s="16">
        <f>+K12*(K13/K14)*K15</f>
        <v>4376086.96</v>
      </c>
      <c r="O16" s="36"/>
    </row>
    <row r="17" spans="2:15" x14ac:dyDescent="0.25">
      <c r="B17" s="1"/>
      <c r="C17" s="17"/>
      <c r="D17" s="18"/>
      <c r="E17" s="18"/>
      <c r="F17" s="18"/>
      <c r="G17" s="18"/>
      <c r="H17" s="18"/>
      <c r="I17" s="18"/>
      <c r="J17" s="18"/>
      <c r="K17" s="18"/>
      <c r="L17" s="18" t="s">
        <v>75</v>
      </c>
      <c r="M17" s="305">
        <v>4376086.96</v>
      </c>
      <c r="O17" s="36"/>
    </row>
    <row r="18" spans="2:15" x14ac:dyDescent="0.25">
      <c r="B18" s="1"/>
      <c r="C18" s="17"/>
      <c r="D18" s="18"/>
      <c r="E18" s="18"/>
      <c r="F18" s="18"/>
      <c r="G18" s="18"/>
      <c r="H18" s="18"/>
      <c r="I18" s="18"/>
      <c r="J18" s="18"/>
      <c r="K18" s="18"/>
      <c r="L18" s="18" t="s">
        <v>74</v>
      </c>
      <c r="M18" s="299">
        <f>M16-M17</f>
        <v>0</v>
      </c>
      <c r="O18" s="36"/>
    </row>
    <row r="19" spans="2:15" ht="15.75" thickBot="1" x14ac:dyDescent="0.3">
      <c r="B19" s="1"/>
      <c r="C19" s="7" t="s">
        <v>10</v>
      </c>
      <c r="D19" s="8"/>
      <c r="E19" s="8"/>
      <c r="F19" s="8"/>
      <c r="G19" s="8"/>
      <c r="H19" s="8"/>
      <c r="I19" s="8"/>
      <c r="J19" s="8"/>
      <c r="K19" s="9"/>
      <c r="L19" s="9"/>
      <c r="M19" s="10"/>
    </row>
    <row r="20" spans="2:15" ht="22.5" customHeight="1" x14ac:dyDescent="0.25">
      <c r="B20" s="1"/>
      <c r="C20" s="11" t="s">
        <v>6</v>
      </c>
      <c r="D20" s="12"/>
      <c r="E20" s="12"/>
      <c r="F20" s="12"/>
      <c r="G20" s="12"/>
      <c r="H20" s="12"/>
      <c r="I20" s="12"/>
      <c r="J20" s="12"/>
      <c r="K20" s="2244"/>
      <c r="L20" s="2245"/>
      <c r="M20" s="13"/>
    </row>
    <row r="21" spans="2:15" ht="21.75" customHeight="1" x14ac:dyDescent="0.25">
      <c r="B21" s="1"/>
      <c r="C21" s="2213"/>
      <c r="D21" s="2214"/>
      <c r="E21" s="2214"/>
      <c r="F21" s="2214"/>
      <c r="G21" s="2214"/>
      <c r="H21" s="2214"/>
      <c r="I21" s="2214"/>
      <c r="J21" s="2215"/>
      <c r="K21" s="2241">
        <f>VLOOKUP(H7,Tarifas!D4:H303,5)</f>
        <v>1E-3</v>
      </c>
      <c r="L21" s="2240"/>
      <c r="M21" s="13" t="s">
        <v>11</v>
      </c>
      <c r="O21" s="3" t="s">
        <v>63</v>
      </c>
    </row>
    <row r="22" spans="2:15" ht="15" customHeight="1" x14ac:dyDescent="0.25">
      <c r="B22" s="1"/>
      <c r="C22" s="2213"/>
      <c r="D22" s="2214"/>
      <c r="E22" s="2214"/>
      <c r="F22" s="2214"/>
      <c r="G22" s="2214"/>
      <c r="H22" s="2214"/>
      <c r="I22" s="2214"/>
      <c r="J22" s="2215"/>
      <c r="K22" s="2246">
        <v>201.4</v>
      </c>
      <c r="L22" s="2247"/>
      <c r="M22" s="13" t="s">
        <v>12</v>
      </c>
      <c r="O22" s="3" t="s">
        <v>62</v>
      </c>
    </row>
    <row r="23" spans="2:15" ht="21.75" customHeight="1" x14ac:dyDescent="0.25">
      <c r="B23" s="1"/>
      <c r="C23" s="2216"/>
      <c r="D23" s="2217"/>
      <c r="E23" s="2217"/>
      <c r="F23" s="2217"/>
      <c r="G23" s="2217"/>
      <c r="H23" s="2217"/>
      <c r="I23" s="2217"/>
      <c r="J23" s="2218"/>
      <c r="K23" s="2246">
        <v>208</v>
      </c>
      <c r="L23" s="2247"/>
      <c r="M23" s="13" t="s">
        <v>12</v>
      </c>
      <c r="O23" s="3" t="s">
        <v>67</v>
      </c>
    </row>
    <row r="24" spans="2:15" x14ac:dyDescent="0.25">
      <c r="B24" s="1"/>
      <c r="C24" s="19"/>
      <c r="D24" s="20"/>
      <c r="E24" s="20"/>
      <c r="F24" s="20"/>
      <c r="G24" s="20"/>
      <c r="H24" s="20"/>
      <c r="I24" s="20"/>
      <c r="J24" s="21"/>
      <c r="K24" s="2239">
        <f>IFERROR(K23/K22,0)</f>
        <v>1.0327706057596822</v>
      </c>
      <c r="L24" s="2240"/>
      <c r="M24" s="13"/>
    </row>
    <row r="25" spans="2:15" ht="15.75" thickBot="1" x14ac:dyDescent="0.3">
      <c r="B25" s="1"/>
      <c r="C25" s="2207"/>
      <c r="D25" s="2208"/>
      <c r="E25" s="2208"/>
      <c r="F25" s="2208"/>
      <c r="G25" s="2208"/>
      <c r="H25" s="2208"/>
      <c r="I25" s="2208"/>
      <c r="J25" s="2209"/>
      <c r="K25" s="2233">
        <v>2077420.939</v>
      </c>
      <c r="L25" s="2234"/>
      <c r="M25" s="13" t="s">
        <v>8</v>
      </c>
      <c r="O25" s="37" t="s">
        <v>66</v>
      </c>
    </row>
    <row r="26" spans="2:15" x14ac:dyDescent="0.25">
      <c r="B26" s="1"/>
      <c r="C26" s="14" t="s">
        <v>13</v>
      </c>
      <c r="D26" s="15"/>
      <c r="E26" s="15"/>
      <c r="F26" s="15"/>
      <c r="G26" s="15"/>
      <c r="H26" s="15"/>
      <c r="I26" s="15"/>
      <c r="J26" s="15"/>
      <c r="K26" s="2235"/>
      <c r="L26" s="2235"/>
      <c r="M26" s="16">
        <f>+K21*K24*K25</f>
        <v>2145.4992815888777</v>
      </c>
      <c r="O26" s="38"/>
    </row>
    <row r="27" spans="2:15" x14ac:dyDescent="0.25">
      <c r="B27" s="1"/>
      <c r="C27" s="306"/>
      <c r="D27" s="307"/>
      <c r="E27" s="307"/>
      <c r="F27" s="307"/>
      <c r="G27" s="307"/>
      <c r="H27" s="307"/>
      <c r="I27" s="307"/>
      <c r="J27" s="307"/>
      <c r="K27" s="308"/>
      <c r="L27" s="310" t="s">
        <v>75</v>
      </c>
      <c r="M27" s="309">
        <v>2145.5</v>
      </c>
      <c r="O27" s="38"/>
    </row>
    <row r="28" spans="2:15" x14ac:dyDescent="0.25">
      <c r="B28" s="1"/>
      <c r="C28" s="306"/>
      <c r="D28" s="307"/>
      <c r="E28" s="307"/>
      <c r="F28" s="307"/>
      <c r="G28" s="307"/>
      <c r="H28" s="307"/>
      <c r="I28" s="307"/>
      <c r="J28" s="307"/>
      <c r="K28" s="308"/>
      <c r="L28" s="310" t="s">
        <v>74</v>
      </c>
      <c r="M28" s="309">
        <f>M26-M27</f>
        <v>-7.1841112230686122E-4</v>
      </c>
      <c r="O28" s="38"/>
    </row>
    <row r="29" spans="2:15" x14ac:dyDescent="0.25">
      <c r="B29" s="1"/>
      <c r="C29" s="306"/>
      <c r="D29" s="307"/>
      <c r="E29" s="307"/>
      <c r="F29" s="307"/>
      <c r="G29" s="307"/>
      <c r="H29" s="307"/>
      <c r="I29" s="307"/>
      <c r="J29" s="307"/>
      <c r="K29" s="308"/>
      <c r="L29" s="308"/>
      <c r="M29" s="309"/>
      <c r="O29" s="38"/>
    </row>
    <row r="30" spans="2:15" ht="15" customHeight="1" x14ac:dyDescent="0.25">
      <c r="B30" s="1"/>
      <c r="C30" s="22" t="s">
        <v>70</v>
      </c>
      <c r="D30" s="23"/>
      <c r="E30" s="23"/>
      <c r="F30" s="23"/>
      <c r="G30" s="23"/>
      <c r="H30" s="23"/>
      <c r="I30" s="23"/>
      <c r="J30" s="23"/>
      <c r="K30" s="24"/>
      <c r="L30" s="24"/>
      <c r="M30" s="16">
        <f>+M16+M26</f>
        <v>4378232.4592815889</v>
      </c>
      <c r="O30" s="298"/>
    </row>
    <row r="31" spans="2:15" ht="15" customHeight="1" x14ac:dyDescent="0.25">
      <c r="B31" s="1"/>
      <c r="C31" s="22" t="str">
        <f>"% de Impuestos del mes: "&amp;H7</f>
        <v>% de Impuestos del mes: 11</v>
      </c>
      <c r="D31" s="23"/>
      <c r="E31" s="23"/>
      <c r="F31" s="23"/>
      <c r="G31" s="300" t="str">
        <f>"("&amp;VLOOKUP(H7,Tarifas!D4:H303,4)&amp;")"</f>
        <v>(2.057%)</v>
      </c>
      <c r="H31" s="23"/>
      <c r="I31" s="301"/>
      <c r="J31" s="302"/>
      <c r="K31" s="24"/>
      <c r="L31" s="24"/>
      <c r="M31" s="13"/>
      <c r="O31" s="38"/>
    </row>
    <row r="32" spans="2:15" x14ac:dyDescent="0.25">
      <c r="B32" s="1"/>
      <c r="C32" s="25" t="s">
        <v>14</v>
      </c>
      <c r="D32" s="26"/>
      <c r="E32" s="26"/>
      <c r="F32" s="26"/>
      <c r="G32" s="26"/>
      <c r="H32" s="26"/>
      <c r="I32" s="26"/>
      <c r="J32" s="18"/>
      <c r="K32" s="208"/>
      <c r="L32" s="18"/>
      <c r="M32" s="16">
        <f>+M30*0.16</f>
        <v>700517.19348505419</v>
      </c>
      <c r="O32" s="36"/>
    </row>
    <row r="33" spans="2:16" x14ac:dyDescent="0.25">
      <c r="B33" s="1"/>
      <c r="C33" s="27" t="s">
        <v>15</v>
      </c>
      <c r="D33" s="28"/>
      <c r="E33" s="28"/>
      <c r="F33" s="28"/>
      <c r="G33" s="28"/>
      <c r="H33" s="28"/>
      <c r="I33" s="28"/>
      <c r="J33" s="29"/>
      <c r="K33" s="30"/>
      <c r="L33" s="30"/>
      <c r="M33" s="16">
        <f>+M32+M30</f>
        <v>5078749.6527666431</v>
      </c>
      <c r="O33" s="36"/>
    </row>
    <row r="34" spans="2:16" x14ac:dyDescent="0.25">
      <c r="B34" s="1"/>
      <c r="C34" s="17"/>
      <c r="D34" s="18"/>
      <c r="E34" s="18"/>
      <c r="F34" s="18"/>
      <c r="G34" s="18"/>
      <c r="H34" s="18"/>
      <c r="I34" s="18"/>
      <c r="J34" s="18"/>
      <c r="K34" s="18"/>
      <c r="L34" s="18"/>
      <c r="M34" s="13"/>
    </row>
    <row r="35" spans="2:16" x14ac:dyDescent="0.25">
      <c r="B35" s="1"/>
      <c r="C35" s="17" t="s">
        <v>71</v>
      </c>
      <c r="D35" s="18"/>
      <c r="E35" s="18"/>
      <c r="F35" s="18"/>
      <c r="G35" s="18"/>
      <c r="H35" s="18"/>
      <c r="I35" s="18"/>
      <c r="J35" s="18"/>
      <c r="K35" s="18"/>
      <c r="L35" s="18"/>
      <c r="M35" s="299">
        <f>(M16*1.16)</f>
        <v>5076260.8735999996</v>
      </c>
      <c r="O35" s="36"/>
      <c r="P35" s="36"/>
    </row>
    <row r="36" spans="2:16" x14ac:dyDescent="0.25">
      <c r="B36" s="1"/>
      <c r="C36" s="17" t="s">
        <v>72</v>
      </c>
      <c r="D36" s="18"/>
      <c r="E36" s="18"/>
      <c r="F36" s="18"/>
      <c r="G36" s="18"/>
      <c r="H36" s="18"/>
      <c r="I36" s="18"/>
      <c r="J36" s="18"/>
      <c r="K36" s="18"/>
      <c r="L36" s="18"/>
      <c r="M36" s="299">
        <f>(M26*1.16)+M31</f>
        <v>2488.7791666430981</v>
      </c>
      <c r="O36" s="36"/>
      <c r="P36" s="36"/>
    </row>
    <row r="37" spans="2:16" x14ac:dyDescent="0.25">
      <c r="B37" s="1"/>
      <c r="C37" s="17"/>
      <c r="D37" s="18"/>
      <c r="E37" s="18"/>
      <c r="F37" s="18"/>
      <c r="G37" s="18"/>
      <c r="H37" s="18"/>
      <c r="I37" s="18"/>
      <c r="J37" s="18"/>
      <c r="K37" s="18"/>
      <c r="L37" s="18"/>
      <c r="M37" s="13"/>
    </row>
    <row r="38" spans="2:16" x14ac:dyDescent="0.25">
      <c r="B38" s="1"/>
      <c r="C38" s="7" t="s">
        <v>16</v>
      </c>
      <c r="D38" s="8"/>
      <c r="E38" s="8"/>
      <c r="F38" s="8"/>
      <c r="G38" s="8"/>
      <c r="H38" s="8"/>
      <c r="I38" s="8"/>
      <c r="J38" s="8"/>
      <c r="K38" s="9"/>
      <c r="L38" s="9"/>
      <c r="M38" s="10"/>
    </row>
    <row r="39" spans="2:16" x14ac:dyDescent="0.25">
      <c r="B39" s="1"/>
      <c r="C39" s="31" t="s">
        <v>17</v>
      </c>
      <c r="D39" s="32" t="s">
        <v>18</v>
      </c>
      <c r="E39" s="32" t="s">
        <v>19</v>
      </c>
      <c r="F39" s="2236" t="s">
        <v>20</v>
      </c>
      <c r="G39" s="2237"/>
      <c r="H39" s="2238" t="s">
        <v>1</v>
      </c>
      <c r="I39" s="2238"/>
      <c r="J39" s="2238" t="s">
        <v>21</v>
      </c>
      <c r="K39" s="2238"/>
      <c r="L39" s="18"/>
      <c r="M39" s="13"/>
    </row>
    <row r="40" spans="2:16" x14ac:dyDescent="0.25">
      <c r="B40" s="1"/>
      <c r="C40" s="33">
        <v>2044</v>
      </c>
      <c r="D40" s="303">
        <v>2044</v>
      </c>
      <c r="E40" s="303" t="s">
        <v>22</v>
      </c>
      <c r="F40" s="2224" t="s">
        <v>23</v>
      </c>
      <c r="G40" s="2224"/>
      <c r="H40" s="2225"/>
      <c r="I40" s="2225"/>
      <c r="J40" s="2226"/>
      <c r="K40" s="2226"/>
      <c r="L40" s="18"/>
      <c r="M40" s="13"/>
      <c r="N40" s="1"/>
    </row>
    <row r="41" spans="2:16" x14ac:dyDescent="0.25">
      <c r="B41" s="1"/>
      <c r="C41" s="33"/>
      <c r="D41" s="303"/>
      <c r="E41" s="303" t="s">
        <v>25</v>
      </c>
      <c r="F41" s="2227"/>
      <c r="G41" s="2228"/>
      <c r="H41" s="2229"/>
      <c r="I41" s="2230"/>
      <c r="J41" s="2231"/>
      <c r="K41" s="2232"/>
      <c r="L41" s="18"/>
      <c r="M41" s="13"/>
      <c r="N41" s="1"/>
    </row>
    <row r="42" spans="2:16" x14ac:dyDescent="0.25">
      <c r="B42" s="1"/>
      <c r="C42" s="33"/>
      <c r="D42" s="303"/>
      <c r="E42" s="303" t="s">
        <v>26</v>
      </c>
      <c r="F42" s="2227"/>
      <c r="G42" s="2228"/>
      <c r="H42" s="2229"/>
      <c r="I42" s="2230"/>
      <c r="J42" s="2231"/>
      <c r="K42" s="2232"/>
      <c r="L42" s="18"/>
      <c r="M42" s="13"/>
      <c r="N42" s="1"/>
    </row>
    <row r="43" spans="2:16" x14ac:dyDescent="0.25">
      <c r="B43" s="1"/>
      <c r="C43" s="33">
        <v>2044</v>
      </c>
      <c r="D43" s="303">
        <v>2044</v>
      </c>
      <c r="E43" s="303" t="s">
        <v>27</v>
      </c>
      <c r="F43" s="2224" t="s">
        <v>28</v>
      </c>
      <c r="G43" s="2224"/>
      <c r="H43" s="2225"/>
      <c r="I43" s="2225"/>
      <c r="J43" s="2226"/>
      <c r="K43" s="2226"/>
      <c r="L43" s="18"/>
      <c r="M43" s="13"/>
      <c r="N43" s="1"/>
    </row>
    <row r="44" spans="2:16" x14ac:dyDescent="0.25">
      <c r="B44" s="1"/>
      <c r="C44" s="2219" t="s">
        <v>24</v>
      </c>
      <c r="D44" s="2220"/>
      <c r="E44" s="2220"/>
      <c r="F44" s="2220"/>
      <c r="G44" s="2221"/>
      <c r="H44" s="2222">
        <f>SUM(H40:H43)</f>
        <v>0</v>
      </c>
      <c r="I44" s="2223"/>
      <c r="J44" s="3"/>
      <c r="K44" s="3"/>
      <c r="L44" s="18"/>
      <c r="M44" s="13"/>
      <c r="N44" s="1"/>
    </row>
    <row r="45" spans="2:16" x14ac:dyDescent="0.25">
      <c r="B45" s="1"/>
      <c r="C45" s="17"/>
      <c r="D45" s="18"/>
      <c r="E45" s="18"/>
      <c r="F45" s="18"/>
      <c r="G45" s="18"/>
      <c r="H45" s="18"/>
      <c r="I45" s="18"/>
      <c r="J45" s="18"/>
      <c r="K45" s="18"/>
      <c r="L45" s="18"/>
      <c r="M45" s="13"/>
    </row>
  </sheetData>
  <mergeCells count="44">
    <mergeCell ref="F41:G41"/>
    <mergeCell ref="H41:I41"/>
    <mergeCell ref="J41:K41"/>
    <mergeCell ref="C44:G44"/>
    <mergeCell ref="H44:I44"/>
    <mergeCell ref="F42:G42"/>
    <mergeCell ref="H42:I42"/>
    <mergeCell ref="J42:K42"/>
    <mergeCell ref="F43:G43"/>
    <mergeCell ref="H43:I43"/>
    <mergeCell ref="J43:K43"/>
    <mergeCell ref="C23:J23"/>
    <mergeCell ref="K23:L23"/>
    <mergeCell ref="F40:G40"/>
    <mergeCell ref="H40:I40"/>
    <mergeCell ref="J40:K40"/>
    <mergeCell ref="K26:L26"/>
    <mergeCell ref="F39:G39"/>
    <mergeCell ref="H39:I39"/>
    <mergeCell ref="J39:K39"/>
    <mergeCell ref="K24:L24"/>
    <mergeCell ref="C25:J25"/>
    <mergeCell ref="K25:L25"/>
    <mergeCell ref="K9:M9"/>
    <mergeCell ref="K11:L11"/>
    <mergeCell ref="C12:J12"/>
    <mergeCell ref="K12:L12"/>
    <mergeCell ref="C13:J13"/>
    <mergeCell ref="K13:L13"/>
    <mergeCell ref="C14:J14"/>
    <mergeCell ref="K14:L14"/>
    <mergeCell ref="K21:L21"/>
    <mergeCell ref="C22:J22"/>
    <mergeCell ref="K22:L22"/>
    <mergeCell ref="C15:J15"/>
    <mergeCell ref="K15:L15"/>
    <mergeCell ref="K16:L16"/>
    <mergeCell ref="K20:L20"/>
    <mergeCell ref="C21:J21"/>
    <mergeCell ref="C3:M4"/>
    <mergeCell ref="C5:M5"/>
    <mergeCell ref="C6:M6"/>
    <mergeCell ref="C7:G7"/>
    <mergeCell ref="C8:G8"/>
  </mergeCells>
  <pageMargins left="0.7" right="0.7" top="0.93" bottom="0.75" header="0.3" footer="0.3"/>
  <pageSetup scale="93" fitToHeight="0" orientation="portrait" r:id="rId1"/>
  <headerFooter>
    <oddHeader>&amp;L&amp;G&amp;R&amp;"Arial,Negrita"Direccion de Operacion&amp;"Arial,Normal"
Subdireccion de Energeticos
Subgerencia Regional de Energeticos</oddHeader>
  </headerFooter>
  <drawing r:id="rId2"/>
  <legacyDrawingHF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45"/>
  <sheetViews>
    <sheetView workbookViewId="0"/>
  </sheetViews>
  <sheetFormatPr baseColWidth="10" defaultColWidth="11" defaultRowHeight="15" x14ac:dyDescent="0.25"/>
  <cols>
    <col min="1" max="1" width="11" style="2"/>
    <col min="2" max="2" width="2.875" style="2" customWidth="1"/>
    <col min="3" max="9" width="5.625" style="2" customWidth="1"/>
    <col min="10" max="10" width="11" style="2" customWidth="1"/>
    <col min="11" max="11" width="5.375" style="2" customWidth="1"/>
    <col min="12" max="12" width="7.625" style="2" bestFit="1" customWidth="1"/>
    <col min="13" max="13" width="10.5" style="2" bestFit="1" customWidth="1"/>
    <col min="14" max="14" width="4.125" style="6" customWidth="1"/>
    <col min="15" max="15" width="39.625" style="3" bestFit="1" customWidth="1"/>
    <col min="16" max="16384" width="11" style="3"/>
  </cols>
  <sheetData>
    <row r="2" spans="2:15" ht="15.75" thickBot="1" x14ac:dyDescent="0.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2:15" ht="15" customHeight="1" x14ac:dyDescent="0.25">
      <c r="B3" s="1"/>
      <c r="C3" s="2250" t="s">
        <v>0</v>
      </c>
      <c r="D3" s="2251"/>
      <c r="E3" s="2251"/>
      <c r="F3" s="2251"/>
      <c r="G3" s="2251"/>
      <c r="H3" s="2251"/>
      <c r="I3" s="2251"/>
      <c r="J3" s="2251"/>
      <c r="K3" s="2251"/>
      <c r="L3" s="2251"/>
      <c r="M3" s="2252"/>
    </row>
    <row r="4" spans="2:15" ht="15" customHeight="1" x14ac:dyDescent="0.25">
      <c r="B4" s="1"/>
      <c r="C4" s="2253"/>
      <c r="D4" s="2254"/>
      <c r="E4" s="2254"/>
      <c r="F4" s="2254"/>
      <c r="G4" s="2254"/>
      <c r="H4" s="2254"/>
      <c r="I4" s="2254"/>
      <c r="J4" s="2254"/>
      <c r="K4" s="2254"/>
      <c r="L4" s="2254"/>
      <c r="M4" s="2255"/>
    </row>
    <row r="5" spans="2:15" x14ac:dyDescent="0.25">
      <c r="B5" s="1"/>
      <c r="C5" s="2256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8"/>
    </row>
    <row r="6" spans="2:15" x14ac:dyDescent="0.25">
      <c r="B6" s="1"/>
      <c r="C6" s="2256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8"/>
    </row>
    <row r="7" spans="2:15" ht="15" customHeight="1" x14ac:dyDescent="0.25">
      <c r="B7" s="1"/>
      <c r="C7" s="2259" t="s">
        <v>3</v>
      </c>
      <c r="D7" s="2260"/>
      <c r="E7" s="2260"/>
      <c r="F7" s="2260"/>
      <c r="G7" s="2260"/>
      <c r="H7" s="207">
        <v>12</v>
      </c>
      <c r="I7" s="296">
        <f>VLOOKUP(H7,Tarifas!D4:H303,2)</f>
        <v>41821</v>
      </c>
      <c r="J7" s="296"/>
      <c r="K7" s="296"/>
      <c r="L7" s="296"/>
      <c r="M7" s="297"/>
      <c r="O7" s="3" t="s">
        <v>64</v>
      </c>
    </row>
    <row r="8" spans="2:15" x14ac:dyDescent="0.25">
      <c r="B8" s="1"/>
      <c r="C8" s="2259" t="s">
        <v>4</v>
      </c>
      <c r="D8" s="2260"/>
      <c r="E8" s="2260"/>
      <c r="F8" s="2260"/>
      <c r="G8" s="2260"/>
      <c r="H8" s="207">
        <v>17</v>
      </c>
      <c r="I8" s="296"/>
      <c r="J8" s="296"/>
      <c r="K8" s="296"/>
      <c r="L8" s="296"/>
      <c r="M8" s="297"/>
    </row>
    <row r="9" spans="2:15" x14ac:dyDescent="0.25">
      <c r="B9" s="1"/>
      <c r="C9" s="4"/>
      <c r="D9" s="5"/>
      <c r="E9" s="5"/>
      <c r="F9" s="5"/>
      <c r="G9" s="5"/>
      <c r="H9" s="5"/>
      <c r="I9" s="5"/>
      <c r="J9" s="5"/>
      <c r="K9" s="2248" t="s">
        <v>73</v>
      </c>
      <c r="L9" s="2248"/>
      <c r="M9" s="2249"/>
    </row>
    <row r="10" spans="2:15" ht="15.75" thickBot="1" x14ac:dyDescent="0.3">
      <c r="B10" s="1"/>
      <c r="C10" s="7" t="s">
        <v>5</v>
      </c>
      <c r="D10" s="8"/>
      <c r="E10" s="8"/>
      <c r="F10" s="8"/>
      <c r="G10" s="8"/>
      <c r="H10" s="8"/>
      <c r="I10" s="8"/>
      <c r="J10" s="8"/>
      <c r="K10" s="9"/>
      <c r="L10" s="9"/>
      <c r="M10" s="10"/>
    </row>
    <row r="11" spans="2:15" x14ac:dyDescent="0.25">
      <c r="B11" s="1"/>
      <c r="C11" s="11" t="s">
        <v>6</v>
      </c>
      <c r="D11" s="12"/>
      <c r="E11" s="12"/>
      <c r="F11" s="12"/>
      <c r="G11" s="12"/>
      <c r="H11" s="12"/>
      <c r="I11" s="12"/>
      <c r="J11" s="12"/>
      <c r="K11" s="2244"/>
      <c r="L11" s="2245"/>
      <c r="M11" s="13"/>
      <c r="O11" s="38"/>
    </row>
    <row r="12" spans="2:15" ht="26.25" customHeight="1" x14ac:dyDescent="0.25">
      <c r="B12" s="1"/>
      <c r="C12" s="2213"/>
      <c r="D12" s="2214"/>
      <c r="E12" s="2214"/>
      <c r="F12" s="2214"/>
      <c r="G12" s="2214"/>
      <c r="H12" s="2214"/>
      <c r="I12" s="2214"/>
      <c r="J12" s="2215"/>
      <c r="K12" s="2241">
        <f>VLOOKUP(H7,Tarifas!D4:H303,3)</f>
        <v>0.13900000000000001</v>
      </c>
      <c r="L12" s="2240"/>
      <c r="M12" s="13"/>
      <c r="O12" s="3" t="s">
        <v>63</v>
      </c>
    </row>
    <row r="13" spans="2:15" x14ac:dyDescent="0.25">
      <c r="B13" s="1"/>
      <c r="C13" s="2213"/>
      <c r="D13" s="2214"/>
      <c r="E13" s="2214"/>
      <c r="F13" s="2214"/>
      <c r="G13" s="2214"/>
      <c r="H13" s="2214"/>
      <c r="I13" s="2214"/>
      <c r="J13" s="2215"/>
      <c r="K13" s="2241">
        <v>850</v>
      </c>
      <c r="L13" s="2240"/>
      <c r="M13" s="13" t="s">
        <v>7</v>
      </c>
      <c r="O13" s="38"/>
    </row>
    <row r="14" spans="2:15" x14ac:dyDescent="0.25">
      <c r="B14" s="1"/>
      <c r="C14" s="2213"/>
      <c r="D14" s="2214"/>
      <c r="E14" s="2214"/>
      <c r="F14" s="2214"/>
      <c r="G14" s="2214"/>
      <c r="H14" s="2214"/>
      <c r="I14" s="2214"/>
      <c r="J14" s="2215"/>
      <c r="K14" s="2241">
        <v>850</v>
      </c>
      <c r="L14" s="2240"/>
      <c r="M14" s="13" t="s">
        <v>7</v>
      </c>
      <c r="O14" s="38"/>
    </row>
    <row r="15" spans="2:15" ht="15.75" thickBot="1" x14ac:dyDescent="0.3">
      <c r="B15" s="1"/>
      <c r="C15" s="2210"/>
      <c r="D15" s="2211"/>
      <c r="E15" s="2211"/>
      <c r="F15" s="2211"/>
      <c r="G15" s="2211"/>
      <c r="H15" s="2211"/>
      <c r="I15" s="2211"/>
      <c r="J15" s="2212"/>
      <c r="K15" s="2242">
        <v>31482640</v>
      </c>
      <c r="L15" s="2243"/>
      <c r="M15" s="13" t="s">
        <v>8</v>
      </c>
      <c r="O15" s="304"/>
    </row>
    <row r="16" spans="2:15" x14ac:dyDescent="0.25">
      <c r="B16" s="3"/>
      <c r="C16" s="14" t="s">
        <v>9</v>
      </c>
      <c r="D16" s="15"/>
      <c r="E16" s="15"/>
      <c r="F16" s="15"/>
      <c r="G16" s="15"/>
      <c r="H16" s="15"/>
      <c r="I16" s="15"/>
      <c r="J16" s="15"/>
      <c r="K16" s="2235"/>
      <c r="L16" s="2235"/>
      <c r="M16" s="16">
        <f>+K12*(K13/K14)*K15</f>
        <v>4376086.96</v>
      </c>
      <c r="O16" s="36"/>
    </row>
    <row r="17" spans="2:15" x14ac:dyDescent="0.25">
      <c r="B17" s="1"/>
      <c r="C17" s="17"/>
      <c r="D17" s="18"/>
      <c r="E17" s="18"/>
      <c r="F17" s="18"/>
      <c r="G17" s="18"/>
      <c r="H17" s="18"/>
      <c r="I17" s="18"/>
      <c r="J17" s="18"/>
      <c r="K17" s="18"/>
      <c r="L17" s="18" t="s">
        <v>75</v>
      </c>
      <c r="M17" s="305">
        <v>4521956.53</v>
      </c>
      <c r="O17" s="36"/>
    </row>
    <row r="18" spans="2:15" x14ac:dyDescent="0.25">
      <c r="B18" s="1"/>
      <c r="C18" s="17"/>
      <c r="D18" s="18"/>
      <c r="E18" s="18"/>
      <c r="F18" s="18"/>
      <c r="G18" s="18"/>
      <c r="H18" s="18"/>
      <c r="I18" s="18"/>
      <c r="J18" s="18"/>
      <c r="K18" s="18"/>
      <c r="L18" s="18" t="s">
        <v>74</v>
      </c>
      <c r="M18" s="299">
        <f>M16-M17</f>
        <v>-145869.5700000003</v>
      </c>
      <c r="O18" s="36"/>
    </row>
    <row r="19" spans="2:15" ht="15.75" thickBot="1" x14ac:dyDescent="0.3">
      <c r="B19" s="1"/>
      <c r="C19" s="7" t="s">
        <v>10</v>
      </c>
      <c r="D19" s="8"/>
      <c r="E19" s="8"/>
      <c r="F19" s="8"/>
      <c r="G19" s="8"/>
      <c r="H19" s="8"/>
      <c r="I19" s="8"/>
      <c r="J19" s="8"/>
      <c r="K19" s="9"/>
      <c r="L19" s="9"/>
      <c r="M19" s="10"/>
    </row>
    <row r="20" spans="2:15" ht="22.5" customHeight="1" x14ac:dyDescent="0.25">
      <c r="B20" s="1"/>
      <c r="C20" s="11" t="s">
        <v>6</v>
      </c>
      <c r="D20" s="12"/>
      <c r="E20" s="12"/>
      <c r="F20" s="12"/>
      <c r="G20" s="12"/>
      <c r="H20" s="12"/>
      <c r="I20" s="12"/>
      <c r="J20" s="12"/>
      <c r="K20" s="2244"/>
      <c r="L20" s="2245"/>
      <c r="M20" s="13"/>
    </row>
    <row r="21" spans="2:15" ht="21.75" customHeight="1" x14ac:dyDescent="0.25">
      <c r="B21" s="1"/>
      <c r="C21" s="2213"/>
      <c r="D21" s="2214"/>
      <c r="E21" s="2214"/>
      <c r="F21" s="2214"/>
      <c r="G21" s="2214"/>
      <c r="H21" s="2214"/>
      <c r="I21" s="2214"/>
      <c r="J21" s="2215"/>
      <c r="K21" s="2241">
        <f>VLOOKUP(H7,Tarifas!D4:H303,5)</f>
        <v>1E-3</v>
      </c>
      <c r="L21" s="2240"/>
      <c r="M21" s="13" t="s">
        <v>11</v>
      </c>
      <c r="O21" s="3" t="s">
        <v>63</v>
      </c>
    </row>
    <row r="22" spans="2:15" ht="15" customHeight="1" x14ac:dyDescent="0.25">
      <c r="B22" s="1"/>
      <c r="C22" s="2213"/>
      <c r="D22" s="2214"/>
      <c r="E22" s="2214"/>
      <c r="F22" s="2214"/>
      <c r="G22" s="2214"/>
      <c r="H22" s="2214"/>
      <c r="I22" s="2214"/>
      <c r="J22" s="2215"/>
      <c r="K22" s="2246">
        <v>201.4</v>
      </c>
      <c r="L22" s="2247"/>
      <c r="M22" s="13" t="s">
        <v>12</v>
      </c>
      <c r="O22" s="3" t="s">
        <v>62</v>
      </c>
    </row>
    <row r="23" spans="2:15" ht="21.75" customHeight="1" x14ac:dyDescent="0.25">
      <c r="B23" s="1"/>
      <c r="C23" s="2216"/>
      <c r="D23" s="2217"/>
      <c r="E23" s="2217"/>
      <c r="F23" s="2217"/>
      <c r="G23" s="2217"/>
      <c r="H23" s="2217"/>
      <c r="I23" s="2217"/>
      <c r="J23" s="2218"/>
      <c r="K23" s="2246">
        <v>208.3</v>
      </c>
      <c r="L23" s="2247"/>
      <c r="M23" s="13" t="s">
        <v>12</v>
      </c>
      <c r="O23" s="3" t="s">
        <v>67</v>
      </c>
    </row>
    <row r="24" spans="2:15" x14ac:dyDescent="0.25">
      <c r="B24" s="1"/>
      <c r="C24" s="19"/>
      <c r="D24" s="20"/>
      <c r="E24" s="20"/>
      <c r="F24" s="20"/>
      <c r="G24" s="20"/>
      <c r="H24" s="20"/>
      <c r="I24" s="20"/>
      <c r="J24" s="21"/>
      <c r="K24" s="2239">
        <f>IFERROR(K23/K22,0)</f>
        <v>1.0342601787487586</v>
      </c>
      <c r="L24" s="2240"/>
      <c r="M24" s="13"/>
    </row>
    <row r="25" spans="2:15" ht="15.75" thickBot="1" x14ac:dyDescent="0.3">
      <c r="B25" s="1"/>
      <c r="C25" s="2207"/>
      <c r="D25" s="2208"/>
      <c r="E25" s="2208"/>
      <c r="F25" s="2208"/>
      <c r="G25" s="2208"/>
      <c r="H25" s="2208"/>
      <c r="I25" s="2208"/>
      <c r="J25" s="2209"/>
      <c r="K25" s="2233">
        <v>2273089.9700000002</v>
      </c>
      <c r="L25" s="2234"/>
      <c r="M25" s="13" t="s">
        <v>8</v>
      </c>
      <c r="O25" s="37" t="s">
        <v>66</v>
      </c>
    </row>
    <row r="26" spans="2:15" x14ac:dyDescent="0.25">
      <c r="B26" s="1"/>
      <c r="C26" s="14" t="s">
        <v>13</v>
      </c>
      <c r="D26" s="15"/>
      <c r="E26" s="15"/>
      <c r="F26" s="15"/>
      <c r="G26" s="15"/>
      <c r="H26" s="15"/>
      <c r="I26" s="15"/>
      <c r="J26" s="15"/>
      <c r="K26" s="2235"/>
      <c r="L26" s="2235"/>
      <c r="M26" s="16">
        <f>+K21*K24*K25</f>
        <v>2350.9664386842105</v>
      </c>
      <c r="O26" s="38"/>
    </row>
    <row r="27" spans="2:15" x14ac:dyDescent="0.25">
      <c r="B27" s="1"/>
      <c r="C27" s="306"/>
      <c r="D27" s="307"/>
      <c r="E27" s="307"/>
      <c r="F27" s="307"/>
      <c r="G27" s="307"/>
      <c r="H27" s="307"/>
      <c r="I27" s="307"/>
      <c r="J27" s="307"/>
      <c r="K27" s="308"/>
      <c r="L27" s="310" t="s">
        <v>75</v>
      </c>
      <c r="M27" s="309">
        <v>2350.9699999999998</v>
      </c>
      <c r="O27" s="38"/>
    </row>
    <row r="28" spans="2:15" x14ac:dyDescent="0.25">
      <c r="B28" s="1"/>
      <c r="C28" s="306"/>
      <c r="D28" s="307"/>
      <c r="E28" s="307"/>
      <c r="F28" s="307"/>
      <c r="G28" s="307"/>
      <c r="H28" s="307"/>
      <c r="I28" s="307"/>
      <c r="J28" s="307"/>
      <c r="K28" s="308"/>
      <c r="L28" s="310" t="s">
        <v>74</v>
      </c>
      <c r="M28" s="309">
        <f>M26-M27</f>
        <v>-3.5613157892839808E-3</v>
      </c>
      <c r="O28" s="38"/>
    </row>
    <row r="29" spans="2:15" x14ac:dyDescent="0.25">
      <c r="B29" s="1"/>
      <c r="C29" s="306"/>
      <c r="D29" s="307"/>
      <c r="E29" s="307"/>
      <c r="F29" s="307"/>
      <c r="G29" s="307"/>
      <c r="H29" s="307"/>
      <c r="I29" s="307"/>
      <c r="J29" s="307"/>
      <c r="K29" s="308"/>
      <c r="L29" s="308"/>
      <c r="M29" s="309"/>
      <c r="O29" s="38"/>
    </row>
    <row r="30" spans="2:15" ht="15" customHeight="1" x14ac:dyDescent="0.25">
      <c r="B30" s="1"/>
      <c r="C30" s="22" t="s">
        <v>70</v>
      </c>
      <c r="D30" s="23"/>
      <c r="E30" s="23"/>
      <c r="F30" s="23"/>
      <c r="G30" s="23"/>
      <c r="H30" s="23"/>
      <c r="I30" s="23"/>
      <c r="J30" s="23"/>
      <c r="K30" s="24"/>
      <c r="L30" s="24"/>
      <c r="M30" s="16">
        <f>+M16+M26</f>
        <v>4378437.9264386846</v>
      </c>
      <c r="O30" s="298"/>
    </row>
    <row r="31" spans="2:15" ht="15" customHeight="1" x14ac:dyDescent="0.25">
      <c r="B31" s="1"/>
      <c r="C31" s="22" t="str">
        <f>"% de Impuestos del mes: "&amp;H7</f>
        <v>% de Impuestos del mes: 12</v>
      </c>
      <c r="D31" s="23"/>
      <c r="E31" s="23"/>
      <c r="F31" s="23"/>
      <c r="G31" s="300" t="str">
        <f>"("&amp;VLOOKUP(H7,Tarifas!D4:H303,4)&amp;")"</f>
        <v>(2.057%)</v>
      </c>
      <c r="H31" s="23"/>
      <c r="I31" s="301"/>
      <c r="J31" s="302"/>
      <c r="K31" s="24"/>
      <c r="L31" s="24"/>
      <c r="M31" s="13"/>
      <c r="O31" s="38"/>
    </row>
    <row r="32" spans="2:15" x14ac:dyDescent="0.25">
      <c r="B32" s="1"/>
      <c r="C32" s="25" t="s">
        <v>14</v>
      </c>
      <c r="D32" s="26"/>
      <c r="E32" s="26"/>
      <c r="F32" s="26"/>
      <c r="G32" s="26"/>
      <c r="H32" s="26"/>
      <c r="I32" s="26"/>
      <c r="J32" s="18"/>
      <c r="K32" s="208"/>
      <c r="L32" s="18"/>
      <c r="M32" s="16">
        <f>+M30*0.16</f>
        <v>700550.0682301895</v>
      </c>
      <c r="O32" s="36"/>
    </row>
    <row r="33" spans="2:16" x14ac:dyDescent="0.25">
      <c r="B33" s="1"/>
      <c r="C33" s="27" t="s">
        <v>15</v>
      </c>
      <c r="D33" s="28"/>
      <c r="E33" s="28"/>
      <c r="F33" s="28"/>
      <c r="G33" s="28"/>
      <c r="H33" s="28"/>
      <c r="I33" s="28"/>
      <c r="J33" s="29"/>
      <c r="K33" s="30"/>
      <c r="L33" s="30"/>
      <c r="M33" s="16">
        <f>+M32+M30</f>
        <v>5078987.994668874</v>
      </c>
      <c r="O33" s="36"/>
    </row>
    <row r="34" spans="2:16" x14ac:dyDescent="0.25">
      <c r="B34" s="1"/>
      <c r="C34" s="17"/>
      <c r="D34" s="18"/>
      <c r="E34" s="18"/>
      <c r="F34" s="18"/>
      <c r="G34" s="18"/>
      <c r="H34" s="18"/>
      <c r="I34" s="18"/>
      <c r="J34" s="18"/>
      <c r="K34" s="18"/>
      <c r="L34" s="18"/>
      <c r="M34" s="13"/>
    </row>
    <row r="35" spans="2:16" x14ac:dyDescent="0.25">
      <c r="B35" s="1"/>
      <c r="C35" s="17" t="s">
        <v>71</v>
      </c>
      <c r="D35" s="18"/>
      <c r="E35" s="18"/>
      <c r="F35" s="18"/>
      <c r="G35" s="18"/>
      <c r="H35" s="18"/>
      <c r="I35" s="18"/>
      <c r="J35" s="18"/>
      <c r="K35" s="18"/>
      <c r="L35" s="18"/>
      <c r="M35" s="299">
        <f>(M16*1.16)</f>
        <v>5076260.8735999996</v>
      </c>
      <c r="O35" s="36"/>
      <c r="P35" s="36"/>
    </row>
    <row r="36" spans="2:16" x14ac:dyDescent="0.25">
      <c r="B36" s="1"/>
      <c r="C36" s="17" t="s">
        <v>72</v>
      </c>
      <c r="D36" s="18"/>
      <c r="E36" s="18"/>
      <c r="F36" s="18"/>
      <c r="G36" s="18"/>
      <c r="H36" s="18"/>
      <c r="I36" s="18"/>
      <c r="J36" s="18"/>
      <c r="K36" s="18"/>
      <c r="L36" s="18"/>
      <c r="M36" s="299">
        <f>(M26*1.16)+M31</f>
        <v>2727.1210688736842</v>
      </c>
      <c r="O36" s="36"/>
      <c r="P36" s="36"/>
    </row>
    <row r="37" spans="2:16" x14ac:dyDescent="0.25">
      <c r="B37" s="1"/>
      <c r="C37" s="17"/>
      <c r="D37" s="18"/>
      <c r="E37" s="18"/>
      <c r="F37" s="18"/>
      <c r="G37" s="18"/>
      <c r="H37" s="18"/>
      <c r="I37" s="18"/>
      <c r="J37" s="18"/>
      <c r="K37" s="18"/>
      <c r="L37" s="18"/>
      <c r="M37" s="13"/>
    </row>
    <row r="38" spans="2:16" x14ac:dyDescent="0.25">
      <c r="B38" s="1"/>
      <c r="C38" s="7" t="s">
        <v>16</v>
      </c>
      <c r="D38" s="8"/>
      <c r="E38" s="8"/>
      <c r="F38" s="8"/>
      <c r="G38" s="8"/>
      <c r="H38" s="8"/>
      <c r="I38" s="8"/>
      <c r="J38" s="8"/>
      <c r="K38" s="9"/>
      <c r="L38" s="9"/>
      <c r="M38" s="10"/>
    </row>
    <row r="39" spans="2:16" x14ac:dyDescent="0.25">
      <c r="B39" s="1"/>
      <c r="C39" s="31" t="s">
        <v>17</v>
      </c>
      <c r="D39" s="32" t="s">
        <v>18</v>
      </c>
      <c r="E39" s="32" t="s">
        <v>19</v>
      </c>
      <c r="F39" s="2236" t="s">
        <v>20</v>
      </c>
      <c r="G39" s="2237"/>
      <c r="H39" s="2238" t="s">
        <v>1</v>
      </c>
      <c r="I39" s="2238"/>
      <c r="J39" s="2238" t="s">
        <v>21</v>
      </c>
      <c r="K39" s="2238"/>
      <c r="L39" s="18"/>
      <c r="M39" s="13"/>
    </row>
    <row r="40" spans="2:16" x14ac:dyDescent="0.25">
      <c r="B40" s="1"/>
      <c r="C40" s="33">
        <v>2044</v>
      </c>
      <c r="D40" s="303">
        <v>2044</v>
      </c>
      <c r="E40" s="303" t="s">
        <v>22</v>
      </c>
      <c r="F40" s="2224" t="s">
        <v>23</v>
      </c>
      <c r="G40" s="2224"/>
      <c r="H40" s="2225"/>
      <c r="I40" s="2225"/>
      <c r="J40" s="2226"/>
      <c r="K40" s="2226"/>
      <c r="L40" s="18"/>
      <c r="M40" s="13"/>
      <c r="N40" s="1"/>
    </row>
    <row r="41" spans="2:16" x14ac:dyDescent="0.25">
      <c r="B41" s="1"/>
      <c r="C41" s="33"/>
      <c r="D41" s="303"/>
      <c r="E41" s="303" t="s">
        <v>25</v>
      </c>
      <c r="F41" s="2227"/>
      <c r="G41" s="2228"/>
      <c r="H41" s="2229"/>
      <c r="I41" s="2230"/>
      <c r="J41" s="2231"/>
      <c r="K41" s="2232"/>
      <c r="L41" s="18"/>
      <c r="M41" s="13"/>
      <c r="N41" s="1"/>
    </row>
    <row r="42" spans="2:16" x14ac:dyDescent="0.25">
      <c r="B42" s="1"/>
      <c r="C42" s="33"/>
      <c r="D42" s="303"/>
      <c r="E42" s="303" t="s">
        <v>26</v>
      </c>
      <c r="F42" s="2227"/>
      <c r="G42" s="2228"/>
      <c r="H42" s="2229"/>
      <c r="I42" s="2230"/>
      <c r="J42" s="2231"/>
      <c r="K42" s="2232"/>
      <c r="L42" s="18"/>
      <c r="M42" s="13"/>
      <c r="N42" s="1"/>
    </row>
    <row r="43" spans="2:16" x14ac:dyDescent="0.25">
      <c r="B43" s="1"/>
      <c r="C43" s="33">
        <v>2044</v>
      </c>
      <c r="D43" s="303">
        <v>2044</v>
      </c>
      <c r="E43" s="303" t="s">
        <v>27</v>
      </c>
      <c r="F43" s="2224" t="s">
        <v>28</v>
      </c>
      <c r="G43" s="2224"/>
      <c r="H43" s="2225"/>
      <c r="I43" s="2225"/>
      <c r="J43" s="2226"/>
      <c r="K43" s="2226"/>
      <c r="L43" s="18"/>
      <c r="M43" s="13"/>
      <c r="N43" s="1"/>
    </row>
    <row r="44" spans="2:16" x14ac:dyDescent="0.25">
      <c r="B44" s="1"/>
      <c r="C44" s="2219" t="s">
        <v>24</v>
      </c>
      <c r="D44" s="2220"/>
      <c r="E44" s="2220"/>
      <c r="F44" s="2220"/>
      <c r="G44" s="2221"/>
      <c r="H44" s="2222">
        <f>SUM(H40:H43)</f>
        <v>0</v>
      </c>
      <c r="I44" s="2223"/>
      <c r="J44" s="3"/>
      <c r="K44" s="3"/>
      <c r="L44" s="18"/>
      <c r="M44" s="13"/>
      <c r="N44" s="1"/>
    </row>
    <row r="45" spans="2:16" x14ac:dyDescent="0.25">
      <c r="B45" s="1"/>
      <c r="C45" s="17"/>
      <c r="D45" s="18"/>
      <c r="E45" s="18"/>
      <c r="F45" s="18"/>
      <c r="G45" s="18"/>
      <c r="H45" s="18"/>
      <c r="I45" s="18"/>
      <c r="J45" s="18"/>
      <c r="K45" s="18"/>
      <c r="L45" s="18"/>
      <c r="M45" s="13"/>
    </row>
  </sheetData>
  <mergeCells count="44">
    <mergeCell ref="F41:G41"/>
    <mergeCell ref="H41:I41"/>
    <mergeCell ref="J41:K41"/>
    <mergeCell ref="C44:G44"/>
    <mergeCell ref="H44:I44"/>
    <mergeCell ref="F42:G42"/>
    <mergeCell ref="H42:I42"/>
    <mergeCell ref="J42:K42"/>
    <mergeCell ref="F43:G43"/>
    <mergeCell ref="H43:I43"/>
    <mergeCell ref="J43:K43"/>
    <mergeCell ref="C23:J23"/>
    <mergeCell ref="K23:L23"/>
    <mergeCell ref="F40:G40"/>
    <mergeCell ref="H40:I40"/>
    <mergeCell ref="J40:K40"/>
    <mergeCell ref="K26:L26"/>
    <mergeCell ref="F39:G39"/>
    <mergeCell ref="H39:I39"/>
    <mergeCell ref="J39:K39"/>
    <mergeCell ref="K24:L24"/>
    <mergeCell ref="C25:J25"/>
    <mergeCell ref="K25:L25"/>
    <mergeCell ref="K9:M9"/>
    <mergeCell ref="K11:L11"/>
    <mergeCell ref="C12:J12"/>
    <mergeCell ref="K12:L12"/>
    <mergeCell ref="C13:J13"/>
    <mergeCell ref="K13:L13"/>
    <mergeCell ref="C14:J14"/>
    <mergeCell ref="K14:L14"/>
    <mergeCell ref="K21:L21"/>
    <mergeCell ref="C22:J22"/>
    <mergeCell ref="K22:L22"/>
    <mergeCell ref="C15:J15"/>
    <mergeCell ref="K15:L15"/>
    <mergeCell ref="K16:L16"/>
    <mergeCell ref="K20:L20"/>
    <mergeCell ref="C21:J21"/>
    <mergeCell ref="C3:M4"/>
    <mergeCell ref="C5:M5"/>
    <mergeCell ref="C6:M6"/>
    <mergeCell ref="C7:G7"/>
    <mergeCell ref="C8:G8"/>
  </mergeCells>
  <pageMargins left="0.7" right="0.7" top="0.93" bottom="0.75" header="0.3" footer="0.3"/>
  <pageSetup scale="93" fitToHeight="0" orientation="portrait" r:id="rId1"/>
  <headerFooter>
    <oddHeader>&amp;L&amp;G&amp;R&amp;"Arial,Negrita"Direccion de Operacion&amp;"Arial,Normal"
Subdireccion de Energeticos
Subgerencia Regional de Energeticos</oddHeader>
  </headerFooter>
  <drawing r:id="rId2"/>
  <legacyDrawingHF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45"/>
  <sheetViews>
    <sheetView workbookViewId="0"/>
  </sheetViews>
  <sheetFormatPr baseColWidth="10" defaultColWidth="11" defaultRowHeight="15" x14ac:dyDescent="0.25"/>
  <cols>
    <col min="1" max="1" width="11" style="2"/>
    <col min="2" max="2" width="2.875" style="2" customWidth="1"/>
    <col min="3" max="9" width="5.625" style="2" customWidth="1"/>
    <col min="10" max="10" width="11" style="2" customWidth="1"/>
    <col min="11" max="11" width="5.375" style="2" customWidth="1"/>
    <col min="12" max="12" width="7.625" style="2" bestFit="1" customWidth="1"/>
    <col min="13" max="13" width="10.5" style="2" bestFit="1" customWidth="1"/>
    <col min="14" max="14" width="4.125" style="6" customWidth="1"/>
    <col min="15" max="15" width="39.625" style="3" bestFit="1" customWidth="1"/>
    <col min="16" max="16384" width="11" style="3"/>
  </cols>
  <sheetData>
    <row r="2" spans="2:15" ht="15.75" thickBot="1" x14ac:dyDescent="0.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2:15" ht="15" customHeight="1" x14ac:dyDescent="0.25">
      <c r="B3" s="1"/>
      <c r="C3" s="2250" t="s">
        <v>0</v>
      </c>
      <c r="D3" s="2251"/>
      <c r="E3" s="2251"/>
      <c r="F3" s="2251"/>
      <c r="G3" s="2251"/>
      <c r="H3" s="2251"/>
      <c r="I3" s="2251"/>
      <c r="J3" s="2251"/>
      <c r="K3" s="2251"/>
      <c r="L3" s="2251"/>
      <c r="M3" s="2252"/>
    </row>
    <row r="4" spans="2:15" ht="15" customHeight="1" x14ac:dyDescent="0.25">
      <c r="B4" s="1"/>
      <c r="C4" s="2253"/>
      <c r="D4" s="2254"/>
      <c r="E4" s="2254"/>
      <c r="F4" s="2254"/>
      <c r="G4" s="2254"/>
      <c r="H4" s="2254"/>
      <c r="I4" s="2254"/>
      <c r="J4" s="2254"/>
      <c r="K4" s="2254"/>
      <c r="L4" s="2254"/>
      <c r="M4" s="2255"/>
    </row>
    <row r="5" spans="2:15" x14ac:dyDescent="0.25">
      <c r="B5" s="1"/>
      <c r="C5" s="2256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8"/>
    </row>
    <row r="6" spans="2:15" x14ac:dyDescent="0.25">
      <c r="B6" s="1"/>
      <c r="C6" s="2256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8"/>
    </row>
    <row r="7" spans="2:15" ht="15" customHeight="1" x14ac:dyDescent="0.25">
      <c r="B7" s="1"/>
      <c r="C7" s="2259" t="s">
        <v>3</v>
      </c>
      <c r="D7" s="2260"/>
      <c r="E7" s="2260"/>
      <c r="F7" s="2260"/>
      <c r="G7" s="2260"/>
      <c r="H7" s="207">
        <v>13</v>
      </c>
      <c r="I7" s="296">
        <f>VLOOKUP(H7,Tarifas!D4:H303,2)</f>
        <v>41852</v>
      </c>
      <c r="J7" s="296"/>
      <c r="K7" s="296"/>
      <c r="L7" s="296"/>
      <c r="M7" s="297"/>
      <c r="O7" s="3" t="s">
        <v>64</v>
      </c>
    </row>
    <row r="8" spans="2:15" x14ac:dyDescent="0.25">
      <c r="B8" s="1"/>
      <c r="C8" s="2259" t="s">
        <v>4</v>
      </c>
      <c r="D8" s="2260"/>
      <c r="E8" s="2260"/>
      <c r="F8" s="2260"/>
      <c r="G8" s="2260"/>
      <c r="H8" s="207">
        <v>20</v>
      </c>
      <c r="I8" s="296"/>
      <c r="J8" s="296"/>
      <c r="K8" s="296"/>
      <c r="L8" s="296"/>
      <c r="M8" s="297"/>
    </row>
    <row r="9" spans="2:15" x14ac:dyDescent="0.25">
      <c r="B9" s="1"/>
      <c r="C9" s="4"/>
      <c r="D9" s="5"/>
      <c r="E9" s="5"/>
      <c r="F9" s="5"/>
      <c r="G9" s="5"/>
      <c r="H9" s="5"/>
      <c r="I9" s="5"/>
      <c r="J9" s="5"/>
      <c r="K9" s="2248" t="s">
        <v>73</v>
      </c>
      <c r="L9" s="2248"/>
      <c r="M9" s="2249"/>
    </row>
    <row r="10" spans="2:15" ht="15.75" thickBot="1" x14ac:dyDescent="0.3">
      <c r="B10" s="1"/>
      <c r="C10" s="7" t="s">
        <v>5</v>
      </c>
      <c r="D10" s="8"/>
      <c r="E10" s="8"/>
      <c r="F10" s="8"/>
      <c r="G10" s="8"/>
      <c r="H10" s="8"/>
      <c r="I10" s="8"/>
      <c r="J10" s="8"/>
      <c r="K10" s="9"/>
      <c r="L10" s="9"/>
      <c r="M10" s="10"/>
    </row>
    <row r="11" spans="2:15" x14ac:dyDescent="0.25">
      <c r="B11" s="1"/>
      <c r="C11" s="11" t="s">
        <v>6</v>
      </c>
      <c r="D11" s="12"/>
      <c r="E11" s="12"/>
      <c r="F11" s="12"/>
      <c r="G11" s="12"/>
      <c r="H11" s="12"/>
      <c r="I11" s="12"/>
      <c r="J11" s="12"/>
      <c r="K11" s="2244"/>
      <c r="L11" s="2245"/>
      <c r="M11" s="13"/>
      <c r="O11" s="38"/>
    </row>
    <row r="12" spans="2:15" ht="26.25" customHeight="1" x14ac:dyDescent="0.25">
      <c r="B12" s="1"/>
      <c r="C12" s="2213"/>
      <c r="D12" s="2214"/>
      <c r="E12" s="2214"/>
      <c r="F12" s="2214"/>
      <c r="G12" s="2214"/>
      <c r="H12" s="2214"/>
      <c r="I12" s="2214"/>
      <c r="J12" s="2215"/>
      <c r="K12" s="2241">
        <f>VLOOKUP(H7,Tarifas!D4:H303,3)</f>
        <v>0.13900000000000001</v>
      </c>
      <c r="L12" s="2240"/>
      <c r="M12" s="13"/>
      <c r="O12" s="3" t="s">
        <v>63</v>
      </c>
    </row>
    <row r="13" spans="2:15" x14ac:dyDescent="0.25">
      <c r="B13" s="1"/>
      <c r="C13" s="2213"/>
      <c r="D13" s="2214"/>
      <c r="E13" s="2214"/>
      <c r="F13" s="2214"/>
      <c r="G13" s="2214"/>
      <c r="H13" s="2214"/>
      <c r="I13" s="2214"/>
      <c r="J13" s="2215"/>
      <c r="K13" s="2241">
        <v>850</v>
      </c>
      <c r="L13" s="2240"/>
      <c r="M13" s="13" t="s">
        <v>7</v>
      </c>
      <c r="O13" s="38"/>
    </row>
    <row r="14" spans="2:15" x14ac:dyDescent="0.25">
      <c r="B14" s="1"/>
      <c r="C14" s="2213"/>
      <c r="D14" s="2214"/>
      <c r="E14" s="2214"/>
      <c r="F14" s="2214"/>
      <c r="G14" s="2214"/>
      <c r="H14" s="2214"/>
      <c r="I14" s="2214"/>
      <c r="J14" s="2215"/>
      <c r="K14" s="2241">
        <v>850</v>
      </c>
      <c r="L14" s="2240"/>
      <c r="M14" s="13" t="s">
        <v>7</v>
      </c>
      <c r="O14" s="38"/>
    </row>
    <row r="15" spans="2:15" ht="15.75" thickBot="1" x14ac:dyDescent="0.3">
      <c r="B15" s="1"/>
      <c r="C15" s="2210"/>
      <c r="D15" s="2211"/>
      <c r="E15" s="2211"/>
      <c r="F15" s="2211"/>
      <c r="G15" s="2211"/>
      <c r="H15" s="2211"/>
      <c r="I15" s="2211"/>
      <c r="J15" s="2212"/>
      <c r="K15" s="2242">
        <v>31482640</v>
      </c>
      <c r="L15" s="2243"/>
      <c r="M15" s="13" t="s">
        <v>8</v>
      </c>
      <c r="O15" s="304"/>
    </row>
    <row r="16" spans="2:15" x14ac:dyDescent="0.25">
      <c r="B16" s="3"/>
      <c r="C16" s="14" t="s">
        <v>9</v>
      </c>
      <c r="D16" s="15"/>
      <c r="E16" s="15"/>
      <c r="F16" s="15"/>
      <c r="G16" s="15"/>
      <c r="H16" s="15"/>
      <c r="I16" s="15"/>
      <c r="J16" s="15"/>
      <c r="K16" s="2235"/>
      <c r="L16" s="2235"/>
      <c r="M16" s="16">
        <f>+K12*(K13/K14)*K15</f>
        <v>4376086.96</v>
      </c>
      <c r="O16" s="36"/>
    </row>
    <row r="17" spans="2:15" x14ac:dyDescent="0.25">
      <c r="B17" s="1"/>
      <c r="C17" s="17"/>
      <c r="D17" s="18"/>
      <c r="E17" s="18"/>
      <c r="F17" s="18"/>
      <c r="G17" s="18"/>
      <c r="H17" s="18"/>
      <c r="I17" s="18"/>
      <c r="J17" s="18"/>
      <c r="K17" s="18"/>
      <c r="L17" s="18" t="s">
        <v>75</v>
      </c>
      <c r="M17" s="305">
        <v>4521956.53</v>
      </c>
      <c r="O17" s="36"/>
    </row>
    <row r="18" spans="2:15" x14ac:dyDescent="0.25">
      <c r="B18" s="1"/>
      <c r="C18" s="17"/>
      <c r="D18" s="18"/>
      <c r="E18" s="18"/>
      <c r="F18" s="18"/>
      <c r="G18" s="18"/>
      <c r="H18" s="18"/>
      <c r="I18" s="18"/>
      <c r="J18" s="18"/>
      <c r="K18" s="18"/>
      <c r="L18" s="18" t="s">
        <v>74</v>
      </c>
      <c r="M18" s="299">
        <f>M16-M17</f>
        <v>-145869.5700000003</v>
      </c>
      <c r="O18" s="36"/>
    </row>
    <row r="19" spans="2:15" ht="15.75" thickBot="1" x14ac:dyDescent="0.3">
      <c r="B19" s="1"/>
      <c r="C19" s="7" t="s">
        <v>10</v>
      </c>
      <c r="D19" s="8"/>
      <c r="E19" s="8"/>
      <c r="F19" s="8"/>
      <c r="G19" s="8"/>
      <c r="H19" s="8"/>
      <c r="I19" s="8"/>
      <c r="J19" s="8"/>
      <c r="K19" s="9"/>
      <c r="L19" s="9"/>
      <c r="M19" s="10"/>
    </row>
    <row r="20" spans="2:15" ht="22.5" customHeight="1" x14ac:dyDescent="0.25">
      <c r="B20" s="1"/>
      <c r="C20" s="11" t="s">
        <v>6</v>
      </c>
      <c r="D20" s="12"/>
      <c r="E20" s="12"/>
      <c r="F20" s="12"/>
      <c r="G20" s="12"/>
      <c r="H20" s="12"/>
      <c r="I20" s="12"/>
      <c r="J20" s="12"/>
      <c r="K20" s="2244"/>
      <c r="L20" s="2245"/>
      <c r="M20" s="13"/>
    </row>
    <row r="21" spans="2:15" ht="21.75" customHeight="1" x14ac:dyDescent="0.25">
      <c r="B21" s="1"/>
      <c r="C21" s="2213"/>
      <c r="D21" s="2214"/>
      <c r="E21" s="2214"/>
      <c r="F21" s="2214"/>
      <c r="G21" s="2214"/>
      <c r="H21" s="2214"/>
      <c r="I21" s="2214"/>
      <c r="J21" s="2215"/>
      <c r="K21" s="2241">
        <f>VLOOKUP(H7,Tarifas!D4:H303,5)</f>
        <v>1E-3</v>
      </c>
      <c r="L21" s="2240"/>
      <c r="M21" s="13" t="s">
        <v>11</v>
      </c>
      <c r="O21" s="3" t="s">
        <v>63</v>
      </c>
    </row>
    <row r="22" spans="2:15" ht="15" customHeight="1" x14ac:dyDescent="0.25">
      <c r="B22" s="1"/>
      <c r="C22" s="2213"/>
      <c r="D22" s="2214"/>
      <c r="E22" s="2214"/>
      <c r="F22" s="2214"/>
      <c r="G22" s="2214"/>
      <c r="H22" s="2214"/>
      <c r="I22" s="2214"/>
      <c r="J22" s="2215"/>
      <c r="K22" s="2246">
        <v>201.4</v>
      </c>
      <c r="L22" s="2247"/>
      <c r="M22" s="13" t="s">
        <v>12</v>
      </c>
      <c r="O22" s="3" t="s">
        <v>62</v>
      </c>
    </row>
    <row r="23" spans="2:15" ht="21.75" customHeight="1" x14ac:dyDescent="0.25">
      <c r="B23" s="1"/>
      <c r="C23" s="2216"/>
      <c r="D23" s="2217"/>
      <c r="E23" s="2217"/>
      <c r="F23" s="2217"/>
      <c r="G23" s="2217"/>
      <c r="H23" s="2217"/>
      <c r="I23" s="2217"/>
      <c r="J23" s="2218"/>
      <c r="K23" s="2246">
        <v>208</v>
      </c>
      <c r="L23" s="2247"/>
      <c r="M23" s="13" t="s">
        <v>12</v>
      </c>
      <c r="O23" s="3" t="s">
        <v>67</v>
      </c>
    </row>
    <row r="24" spans="2:15" x14ac:dyDescent="0.25">
      <c r="B24" s="1"/>
      <c r="C24" s="19"/>
      <c r="D24" s="20"/>
      <c r="E24" s="20"/>
      <c r="F24" s="20"/>
      <c r="G24" s="20"/>
      <c r="H24" s="20"/>
      <c r="I24" s="20"/>
      <c r="J24" s="21"/>
      <c r="K24" s="2239">
        <f>IFERROR(K23/K22,0)</f>
        <v>1.0327706057596822</v>
      </c>
      <c r="L24" s="2240"/>
      <c r="M24" s="13"/>
    </row>
    <row r="25" spans="2:15" ht="15.75" thickBot="1" x14ac:dyDescent="0.3">
      <c r="B25" s="1"/>
      <c r="C25" s="2207"/>
      <c r="D25" s="2208"/>
      <c r="E25" s="2208"/>
      <c r="F25" s="2208"/>
      <c r="G25" s="2208"/>
      <c r="H25" s="2208"/>
      <c r="I25" s="2208"/>
      <c r="J25" s="2209"/>
      <c r="K25" s="2233">
        <v>2291737.7560000001</v>
      </c>
      <c r="L25" s="2234"/>
      <c r="M25" s="13" t="s">
        <v>8</v>
      </c>
      <c r="O25" s="37" t="s">
        <v>66</v>
      </c>
    </row>
    <row r="26" spans="2:15" x14ac:dyDescent="0.25">
      <c r="B26" s="1"/>
      <c r="C26" s="14" t="s">
        <v>13</v>
      </c>
      <c r="D26" s="15"/>
      <c r="E26" s="15"/>
      <c r="F26" s="15"/>
      <c r="G26" s="15"/>
      <c r="H26" s="15"/>
      <c r="I26" s="15"/>
      <c r="J26" s="15"/>
      <c r="K26" s="2235"/>
      <c r="L26" s="2235"/>
      <c r="M26" s="16">
        <f>+K21*K24*K25</f>
        <v>2366.8393905064545</v>
      </c>
      <c r="O26" s="38"/>
    </row>
    <row r="27" spans="2:15" x14ac:dyDescent="0.25">
      <c r="B27" s="1"/>
      <c r="C27" s="306"/>
      <c r="D27" s="307"/>
      <c r="E27" s="307"/>
      <c r="F27" s="307"/>
      <c r="G27" s="307"/>
      <c r="H27" s="307"/>
      <c r="I27" s="307"/>
      <c r="J27" s="307"/>
      <c r="K27" s="308"/>
      <c r="L27" s="310" t="s">
        <v>75</v>
      </c>
      <c r="M27" s="309">
        <v>2366.84</v>
      </c>
      <c r="O27" s="38"/>
    </row>
    <row r="28" spans="2:15" x14ac:dyDescent="0.25">
      <c r="B28" s="1"/>
      <c r="C28" s="306"/>
      <c r="D28" s="307"/>
      <c r="E28" s="307"/>
      <c r="F28" s="307"/>
      <c r="G28" s="307"/>
      <c r="H28" s="307"/>
      <c r="I28" s="307"/>
      <c r="J28" s="307"/>
      <c r="K28" s="308"/>
      <c r="L28" s="310" t="s">
        <v>74</v>
      </c>
      <c r="M28" s="309">
        <f>M26-M27</f>
        <v>-6.0949354565309477E-4</v>
      </c>
      <c r="O28" s="38"/>
    </row>
    <row r="29" spans="2:15" x14ac:dyDescent="0.25">
      <c r="B29" s="1"/>
      <c r="C29" s="306"/>
      <c r="D29" s="307"/>
      <c r="E29" s="307"/>
      <c r="F29" s="307"/>
      <c r="G29" s="307"/>
      <c r="H29" s="307"/>
      <c r="I29" s="307"/>
      <c r="J29" s="307"/>
      <c r="K29" s="308"/>
      <c r="L29" s="308"/>
      <c r="M29" s="309"/>
      <c r="O29" s="38"/>
    </row>
    <row r="30" spans="2:15" ht="15" customHeight="1" x14ac:dyDescent="0.25">
      <c r="B30" s="1"/>
      <c r="C30" s="22" t="s">
        <v>70</v>
      </c>
      <c r="D30" s="23"/>
      <c r="E30" s="23"/>
      <c r="F30" s="23"/>
      <c r="G30" s="23"/>
      <c r="H30" s="23"/>
      <c r="I30" s="23"/>
      <c r="J30" s="23"/>
      <c r="K30" s="24"/>
      <c r="L30" s="24"/>
      <c r="M30" s="16">
        <f>+M16+M26</f>
        <v>4378453.799390506</v>
      </c>
      <c r="O30" s="298"/>
    </row>
    <row r="31" spans="2:15" ht="15" customHeight="1" x14ac:dyDescent="0.25">
      <c r="B31" s="1"/>
      <c r="C31" s="22" t="str">
        <f>"% de Impuestos del mes: "&amp;H7</f>
        <v>% de Impuestos del mes: 13</v>
      </c>
      <c r="D31" s="23"/>
      <c r="E31" s="23"/>
      <c r="F31" s="23"/>
      <c r="G31" s="300" t="str">
        <f>"("&amp;VLOOKUP(H7,Tarifas!D4:H303,4)&amp;")"</f>
        <v>(2.057%)</v>
      </c>
      <c r="H31" s="23"/>
      <c r="I31" s="301"/>
      <c r="J31" s="302"/>
      <c r="K31" s="24"/>
      <c r="L31" s="24"/>
      <c r="M31" s="13"/>
      <c r="O31" s="38"/>
    </row>
    <row r="32" spans="2:15" x14ac:dyDescent="0.25">
      <c r="B32" s="1"/>
      <c r="C32" s="25" t="s">
        <v>14</v>
      </c>
      <c r="D32" s="26"/>
      <c r="E32" s="26"/>
      <c r="F32" s="26"/>
      <c r="G32" s="26"/>
      <c r="H32" s="26"/>
      <c r="I32" s="26"/>
      <c r="J32" s="18"/>
      <c r="K32" s="208"/>
      <c r="L32" s="18"/>
      <c r="M32" s="16">
        <f>+M30*0.16</f>
        <v>700552.60790248099</v>
      </c>
      <c r="O32" s="36"/>
    </row>
    <row r="33" spans="2:16" x14ac:dyDescent="0.25">
      <c r="B33" s="1"/>
      <c r="C33" s="27" t="s">
        <v>15</v>
      </c>
      <c r="D33" s="28"/>
      <c r="E33" s="28"/>
      <c r="F33" s="28"/>
      <c r="G33" s="28"/>
      <c r="H33" s="28"/>
      <c r="I33" s="28"/>
      <c r="J33" s="29"/>
      <c r="K33" s="30"/>
      <c r="L33" s="30"/>
      <c r="M33" s="16">
        <f>+M32+M30</f>
        <v>5079006.4072929872</v>
      </c>
      <c r="O33" s="36"/>
    </row>
    <row r="34" spans="2:16" x14ac:dyDescent="0.25">
      <c r="B34" s="1"/>
      <c r="C34" s="17"/>
      <c r="D34" s="18"/>
      <c r="E34" s="18"/>
      <c r="F34" s="18"/>
      <c r="G34" s="18"/>
      <c r="H34" s="18"/>
      <c r="I34" s="18"/>
      <c r="J34" s="18"/>
      <c r="K34" s="18"/>
      <c r="L34" s="18"/>
      <c r="M34" s="13"/>
    </row>
    <row r="35" spans="2:16" x14ac:dyDescent="0.25">
      <c r="B35" s="1"/>
      <c r="C35" s="17" t="s">
        <v>71</v>
      </c>
      <c r="D35" s="18"/>
      <c r="E35" s="18"/>
      <c r="F35" s="18"/>
      <c r="G35" s="18"/>
      <c r="H35" s="18"/>
      <c r="I35" s="18"/>
      <c r="J35" s="18"/>
      <c r="K35" s="18"/>
      <c r="L35" s="18"/>
      <c r="M35" s="299">
        <f>(M16*1.16)</f>
        <v>5076260.8735999996</v>
      </c>
      <c r="O35" s="36"/>
      <c r="P35" s="36"/>
    </row>
    <row r="36" spans="2:16" x14ac:dyDescent="0.25">
      <c r="B36" s="1"/>
      <c r="C36" s="17" t="s">
        <v>72</v>
      </c>
      <c r="D36" s="18"/>
      <c r="E36" s="18"/>
      <c r="F36" s="18"/>
      <c r="G36" s="18"/>
      <c r="H36" s="18"/>
      <c r="I36" s="18"/>
      <c r="J36" s="18"/>
      <c r="K36" s="18"/>
      <c r="L36" s="18"/>
      <c r="M36" s="299">
        <f>(M26*1.16)+M31</f>
        <v>2745.533692987487</v>
      </c>
      <c r="O36" s="36"/>
      <c r="P36" s="36"/>
    </row>
    <row r="37" spans="2:16" x14ac:dyDescent="0.25">
      <c r="B37" s="1"/>
      <c r="C37" s="17"/>
      <c r="D37" s="18"/>
      <c r="E37" s="18"/>
      <c r="F37" s="18"/>
      <c r="G37" s="18"/>
      <c r="H37" s="18"/>
      <c r="I37" s="18"/>
      <c r="J37" s="18"/>
      <c r="K37" s="18"/>
      <c r="L37" s="18"/>
      <c r="M37" s="13"/>
    </row>
    <row r="38" spans="2:16" x14ac:dyDescent="0.25">
      <c r="B38" s="1"/>
      <c r="C38" s="7" t="s">
        <v>16</v>
      </c>
      <c r="D38" s="8"/>
      <c r="E38" s="8"/>
      <c r="F38" s="8"/>
      <c r="G38" s="8"/>
      <c r="H38" s="8"/>
      <c r="I38" s="8"/>
      <c r="J38" s="8"/>
      <c r="K38" s="9"/>
      <c r="L38" s="9"/>
      <c r="M38" s="10"/>
    </row>
    <row r="39" spans="2:16" x14ac:dyDescent="0.25">
      <c r="B39" s="1"/>
      <c r="C39" s="31" t="s">
        <v>17</v>
      </c>
      <c r="D39" s="32" t="s">
        <v>18</v>
      </c>
      <c r="E39" s="32" t="s">
        <v>19</v>
      </c>
      <c r="F39" s="2236" t="s">
        <v>20</v>
      </c>
      <c r="G39" s="2237"/>
      <c r="H39" s="2238" t="s">
        <v>1</v>
      </c>
      <c r="I39" s="2238"/>
      <c r="J39" s="2238" t="s">
        <v>21</v>
      </c>
      <c r="K39" s="2238"/>
      <c r="L39" s="18"/>
      <c r="M39" s="13"/>
    </row>
    <row r="40" spans="2:16" x14ac:dyDescent="0.25">
      <c r="B40" s="1"/>
      <c r="C40" s="33">
        <v>2044</v>
      </c>
      <c r="D40" s="303">
        <v>2044</v>
      </c>
      <c r="E40" s="303" t="s">
        <v>22</v>
      </c>
      <c r="F40" s="2224" t="s">
        <v>23</v>
      </c>
      <c r="G40" s="2224"/>
      <c r="H40" s="2225"/>
      <c r="I40" s="2225"/>
      <c r="J40" s="2226"/>
      <c r="K40" s="2226"/>
      <c r="L40" s="18"/>
      <c r="M40" s="13"/>
      <c r="N40" s="1"/>
    </row>
    <row r="41" spans="2:16" x14ac:dyDescent="0.25">
      <c r="B41" s="1"/>
      <c r="C41" s="33"/>
      <c r="D41" s="303"/>
      <c r="E41" s="303" t="s">
        <v>25</v>
      </c>
      <c r="F41" s="2227"/>
      <c r="G41" s="2228"/>
      <c r="H41" s="2229"/>
      <c r="I41" s="2230"/>
      <c r="J41" s="2231"/>
      <c r="K41" s="2232"/>
      <c r="L41" s="18"/>
      <c r="M41" s="13"/>
      <c r="N41" s="1"/>
    </row>
    <row r="42" spans="2:16" x14ac:dyDescent="0.25">
      <c r="B42" s="1"/>
      <c r="C42" s="33"/>
      <c r="D42" s="303"/>
      <c r="E42" s="303" t="s">
        <v>26</v>
      </c>
      <c r="F42" s="2227"/>
      <c r="G42" s="2228"/>
      <c r="H42" s="2229"/>
      <c r="I42" s="2230"/>
      <c r="J42" s="2231"/>
      <c r="K42" s="2232"/>
      <c r="L42" s="18"/>
      <c r="M42" s="13"/>
      <c r="N42" s="1"/>
    </row>
    <row r="43" spans="2:16" x14ac:dyDescent="0.25">
      <c r="B43" s="1"/>
      <c r="C43" s="33">
        <v>2044</v>
      </c>
      <c r="D43" s="303">
        <v>2044</v>
      </c>
      <c r="E43" s="303" t="s">
        <v>27</v>
      </c>
      <c r="F43" s="2224" t="s">
        <v>28</v>
      </c>
      <c r="G43" s="2224"/>
      <c r="H43" s="2225"/>
      <c r="I43" s="2225"/>
      <c r="J43" s="2226"/>
      <c r="K43" s="2226"/>
      <c r="L43" s="18"/>
      <c r="M43" s="13"/>
      <c r="N43" s="1"/>
    </row>
    <row r="44" spans="2:16" x14ac:dyDescent="0.25">
      <c r="B44" s="1"/>
      <c r="C44" s="2219" t="s">
        <v>24</v>
      </c>
      <c r="D44" s="2220"/>
      <c r="E44" s="2220"/>
      <c r="F44" s="2220"/>
      <c r="G44" s="2221"/>
      <c r="H44" s="2222">
        <f>SUM(H40:H43)</f>
        <v>0</v>
      </c>
      <c r="I44" s="2223"/>
      <c r="J44" s="3"/>
      <c r="K44" s="3"/>
      <c r="L44" s="18"/>
      <c r="M44" s="13"/>
      <c r="N44" s="1"/>
    </row>
    <row r="45" spans="2:16" x14ac:dyDescent="0.25">
      <c r="B45" s="1"/>
      <c r="C45" s="17"/>
      <c r="D45" s="18"/>
      <c r="E45" s="18"/>
      <c r="F45" s="18"/>
      <c r="G45" s="18"/>
      <c r="H45" s="18"/>
      <c r="I45" s="18"/>
      <c r="J45" s="18"/>
      <c r="K45" s="18"/>
      <c r="L45" s="18"/>
      <c r="M45" s="13"/>
    </row>
  </sheetData>
  <mergeCells count="44">
    <mergeCell ref="F41:G41"/>
    <mergeCell ref="H41:I41"/>
    <mergeCell ref="J41:K41"/>
    <mergeCell ref="C44:G44"/>
    <mergeCell ref="H44:I44"/>
    <mergeCell ref="F42:G42"/>
    <mergeCell ref="H42:I42"/>
    <mergeCell ref="J42:K42"/>
    <mergeCell ref="F43:G43"/>
    <mergeCell ref="H43:I43"/>
    <mergeCell ref="J43:K43"/>
    <mergeCell ref="C23:J23"/>
    <mergeCell ref="K23:L23"/>
    <mergeCell ref="F40:G40"/>
    <mergeCell ref="H40:I40"/>
    <mergeCell ref="J40:K40"/>
    <mergeCell ref="K26:L26"/>
    <mergeCell ref="F39:G39"/>
    <mergeCell ref="H39:I39"/>
    <mergeCell ref="J39:K39"/>
    <mergeCell ref="K24:L24"/>
    <mergeCell ref="C25:J25"/>
    <mergeCell ref="K25:L25"/>
    <mergeCell ref="K9:M9"/>
    <mergeCell ref="K11:L11"/>
    <mergeCell ref="C12:J12"/>
    <mergeCell ref="K12:L12"/>
    <mergeCell ref="C13:J13"/>
    <mergeCell ref="K13:L13"/>
    <mergeCell ref="C14:J14"/>
    <mergeCell ref="K14:L14"/>
    <mergeCell ref="K21:L21"/>
    <mergeCell ref="C22:J22"/>
    <mergeCell ref="K22:L22"/>
    <mergeCell ref="C15:J15"/>
    <mergeCell ref="K15:L15"/>
    <mergeCell ref="K16:L16"/>
    <mergeCell ref="K20:L20"/>
    <mergeCell ref="C21:J21"/>
    <mergeCell ref="C3:M4"/>
    <mergeCell ref="C5:M5"/>
    <mergeCell ref="C6:M6"/>
    <mergeCell ref="C7:G7"/>
    <mergeCell ref="C8:G8"/>
  </mergeCells>
  <pageMargins left="0.7" right="0.7" top="0.93" bottom="0.75" header="0.3" footer="0.3"/>
  <pageSetup scale="93" fitToHeight="0" orientation="portrait" r:id="rId1"/>
  <headerFooter>
    <oddHeader>&amp;L&amp;G&amp;R&amp;"Arial,Negrita"Direccion de Operacion&amp;"Arial,Normal"
Subdireccion de Energeticos
Subgerencia Regional de Energeticos</oddHeader>
  </headerFooter>
  <drawing r:id="rId2"/>
  <legacyDrawingHF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45"/>
  <sheetViews>
    <sheetView workbookViewId="0"/>
  </sheetViews>
  <sheetFormatPr baseColWidth="10" defaultColWidth="11" defaultRowHeight="15" x14ac:dyDescent="0.25"/>
  <cols>
    <col min="1" max="1" width="11" style="2"/>
    <col min="2" max="2" width="2.875" style="2" customWidth="1"/>
    <col min="3" max="9" width="5.625" style="2" customWidth="1"/>
    <col min="10" max="10" width="11" style="2" customWidth="1"/>
    <col min="11" max="11" width="5.375" style="2" customWidth="1"/>
    <col min="12" max="12" width="7.625" style="2" bestFit="1" customWidth="1"/>
    <col min="13" max="13" width="10.5" style="2" bestFit="1" customWidth="1"/>
    <col min="14" max="14" width="4.125" style="6" customWidth="1"/>
    <col min="15" max="15" width="39.625" style="3" bestFit="1" customWidth="1"/>
    <col min="16" max="16384" width="11" style="3"/>
  </cols>
  <sheetData>
    <row r="2" spans="2:15" ht="15.75" thickBot="1" x14ac:dyDescent="0.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2:15" ht="15" customHeight="1" x14ac:dyDescent="0.25">
      <c r="B3" s="1"/>
      <c r="C3" s="2250" t="s">
        <v>0</v>
      </c>
      <c r="D3" s="2251"/>
      <c r="E3" s="2251"/>
      <c r="F3" s="2251"/>
      <c r="G3" s="2251"/>
      <c r="H3" s="2251"/>
      <c r="I3" s="2251"/>
      <c r="J3" s="2251"/>
      <c r="K3" s="2251"/>
      <c r="L3" s="2251"/>
      <c r="M3" s="2252"/>
    </row>
    <row r="4" spans="2:15" ht="15" customHeight="1" x14ac:dyDescent="0.25">
      <c r="B4" s="1"/>
      <c r="C4" s="2253"/>
      <c r="D4" s="2254"/>
      <c r="E4" s="2254"/>
      <c r="F4" s="2254"/>
      <c r="G4" s="2254"/>
      <c r="H4" s="2254"/>
      <c r="I4" s="2254"/>
      <c r="J4" s="2254"/>
      <c r="K4" s="2254"/>
      <c r="L4" s="2254"/>
      <c r="M4" s="2255"/>
    </row>
    <row r="5" spans="2:15" x14ac:dyDescent="0.25">
      <c r="B5" s="1"/>
      <c r="C5" s="2256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8"/>
    </row>
    <row r="6" spans="2:15" x14ac:dyDescent="0.25">
      <c r="B6" s="1"/>
      <c r="C6" s="2256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8"/>
    </row>
    <row r="7" spans="2:15" ht="15" customHeight="1" x14ac:dyDescent="0.25">
      <c r="B7" s="1"/>
      <c r="C7" s="2259" t="s">
        <v>3</v>
      </c>
      <c r="D7" s="2260"/>
      <c r="E7" s="2260"/>
      <c r="F7" s="2260"/>
      <c r="G7" s="2260"/>
      <c r="H7" s="207">
        <v>14</v>
      </c>
      <c r="I7" s="296">
        <f>VLOOKUP(H7,Tarifas!D4:H303,2)</f>
        <v>41883</v>
      </c>
      <c r="J7" s="296"/>
      <c r="K7" s="296"/>
      <c r="L7" s="296"/>
      <c r="M7" s="297"/>
      <c r="O7" s="3" t="s">
        <v>64</v>
      </c>
    </row>
    <row r="8" spans="2:15" x14ac:dyDescent="0.25">
      <c r="B8" s="1"/>
      <c r="C8" s="2259" t="s">
        <v>4</v>
      </c>
      <c r="D8" s="2260"/>
      <c r="E8" s="2260"/>
      <c r="F8" s="2260"/>
      <c r="G8" s="2260"/>
      <c r="H8" s="207">
        <v>21</v>
      </c>
      <c r="I8" s="296"/>
      <c r="J8" s="296"/>
      <c r="K8" s="296"/>
      <c r="L8" s="296"/>
      <c r="M8" s="297"/>
    </row>
    <row r="9" spans="2:15" x14ac:dyDescent="0.25">
      <c r="B9" s="1"/>
      <c r="C9" s="4"/>
      <c r="D9" s="5"/>
      <c r="E9" s="5"/>
      <c r="F9" s="5"/>
      <c r="G9" s="5"/>
      <c r="H9" s="5"/>
      <c r="I9" s="5"/>
      <c r="J9" s="5"/>
      <c r="K9" s="2248" t="s">
        <v>73</v>
      </c>
      <c r="L9" s="2248"/>
      <c r="M9" s="2249"/>
    </row>
    <row r="10" spans="2:15" ht="15.75" thickBot="1" x14ac:dyDescent="0.3">
      <c r="B10" s="1"/>
      <c r="C10" s="7" t="s">
        <v>5</v>
      </c>
      <c r="D10" s="8"/>
      <c r="E10" s="8"/>
      <c r="F10" s="8"/>
      <c r="G10" s="8"/>
      <c r="H10" s="8"/>
      <c r="I10" s="8"/>
      <c r="J10" s="8"/>
      <c r="K10" s="9"/>
      <c r="L10" s="9"/>
      <c r="M10" s="10"/>
    </row>
    <row r="11" spans="2:15" x14ac:dyDescent="0.25">
      <c r="B11" s="1"/>
      <c r="C11" s="11" t="s">
        <v>6</v>
      </c>
      <c r="D11" s="12"/>
      <c r="E11" s="12"/>
      <c r="F11" s="12"/>
      <c r="G11" s="12"/>
      <c r="H11" s="12"/>
      <c r="I11" s="12"/>
      <c r="J11" s="12"/>
      <c r="K11" s="2244"/>
      <c r="L11" s="2245"/>
      <c r="M11" s="13"/>
      <c r="O11" s="38"/>
    </row>
    <row r="12" spans="2:15" ht="26.25" customHeight="1" x14ac:dyDescent="0.25">
      <c r="B12" s="1"/>
      <c r="C12" s="2213"/>
      <c r="D12" s="2214"/>
      <c r="E12" s="2214"/>
      <c r="F12" s="2214"/>
      <c r="G12" s="2214"/>
      <c r="H12" s="2214"/>
      <c r="I12" s="2214"/>
      <c r="J12" s="2215"/>
      <c r="K12" s="2241">
        <f>VLOOKUP(H7,Tarifas!D4:H303,3)</f>
        <v>0.13900000000000001</v>
      </c>
      <c r="L12" s="2240"/>
      <c r="M12" s="13"/>
      <c r="O12" s="3" t="s">
        <v>63</v>
      </c>
    </row>
    <row r="13" spans="2:15" x14ac:dyDescent="0.25">
      <c r="B13" s="1"/>
      <c r="C13" s="2213"/>
      <c r="D13" s="2214"/>
      <c r="E13" s="2214"/>
      <c r="F13" s="2214"/>
      <c r="G13" s="2214"/>
      <c r="H13" s="2214"/>
      <c r="I13" s="2214"/>
      <c r="J13" s="2215"/>
      <c r="K13" s="2241">
        <v>850</v>
      </c>
      <c r="L13" s="2240"/>
      <c r="M13" s="13" t="s">
        <v>7</v>
      </c>
      <c r="O13" s="38"/>
    </row>
    <row r="14" spans="2:15" x14ac:dyDescent="0.25">
      <c r="B14" s="1"/>
      <c r="C14" s="2213"/>
      <c r="D14" s="2214"/>
      <c r="E14" s="2214"/>
      <c r="F14" s="2214"/>
      <c r="G14" s="2214"/>
      <c r="H14" s="2214"/>
      <c r="I14" s="2214"/>
      <c r="J14" s="2215"/>
      <c r="K14" s="2241">
        <v>850</v>
      </c>
      <c r="L14" s="2240"/>
      <c r="M14" s="13" t="s">
        <v>7</v>
      </c>
      <c r="O14" s="38"/>
    </row>
    <row r="15" spans="2:15" ht="15.75" thickBot="1" x14ac:dyDescent="0.3">
      <c r="B15" s="1"/>
      <c r="C15" s="2210"/>
      <c r="D15" s="2211"/>
      <c r="E15" s="2211"/>
      <c r="F15" s="2211"/>
      <c r="G15" s="2211"/>
      <c r="H15" s="2211"/>
      <c r="I15" s="2211"/>
      <c r="J15" s="2212"/>
      <c r="K15" s="2242">
        <v>31482640</v>
      </c>
      <c r="L15" s="2243"/>
      <c r="M15" s="13" t="s">
        <v>8</v>
      </c>
      <c r="O15" s="304"/>
    </row>
    <row r="16" spans="2:15" x14ac:dyDescent="0.25">
      <c r="B16" s="3"/>
      <c r="C16" s="14" t="s">
        <v>9</v>
      </c>
      <c r="D16" s="15"/>
      <c r="E16" s="15"/>
      <c r="F16" s="15"/>
      <c r="G16" s="15"/>
      <c r="H16" s="15"/>
      <c r="I16" s="15"/>
      <c r="J16" s="15"/>
      <c r="K16" s="2235"/>
      <c r="L16" s="2235"/>
      <c r="M16" s="16">
        <f>+K12*(K13/K14)*K15</f>
        <v>4376086.96</v>
      </c>
      <c r="O16" s="36"/>
    </row>
    <row r="17" spans="2:15" x14ac:dyDescent="0.25">
      <c r="B17" s="1"/>
      <c r="C17" s="17"/>
      <c r="D17" s="18"/>
      <c r="E17" s="18"/>
      <c r="F17" s="18"/>
      <c r="G17" s="18"/>
      <c r="H17" s="18"/>
      <c r="I17" s="18"/>
      <c r="J17" s="18"/>
      <c r="K17" s="18"/>
      <c r="L17" s="18" t="s">
        <v>75</v>
      </c>
      <c r="M17" s="305">
        <v>4376086.96</v>
      </c>
      <c r="O17" s="36"/>
    </row>
    <row r="18" spans="2:15" x14ac:dyDescent="0.25">
      <c r="B18" s="1"/>
      <c r="C18" s="17"/>
      <c r="D18" s="18"/>
      <c r="E18" s="18"/>
      <c r="F18" s="18"/>
      <c r="G18" s="18"/>
      <c r="H18" s="18"/>
      <c r="I18" s="18"/>
      <c r="J18" s="18"/>
      <c r="K18" s="18"/>
      <c r="L18" s="18" t="s">
        <v>74</v>
      </c>
      <c r="M18" s="299">
        <f>M16-M17</f>
        <v>0</v>
      </c>
      <c r="O18" s="36"/>
    </row>
    <row r="19" spans="2:15" ht="15.75" thickBot="1" x14ac:dyDescent="0.3">
      <c r="B19" s="1"/>
      <c r="C19" s="7" t="s">
        <v>10</v>
      </c>
      <c r="D19" s="8"/>
      <c r="E19" s="8"/>
      <c r="F19" s="8"/>
      <c r="G19" s="8"/>
      <c r="H19" s="8"/>
      <c r="I19" s="8"/>
      <c r="J19" s="8"/>
      <c r="K19" s="9"/>
      <c r="L19" s="9"/>
      <c r="M19" s="10"/>
    </row>
    <row r="20" spans="2:15" ht="22.5" customHeight="1" x14ac:dyDescent="0.25">
      <c r="B20" s="1"/>
      <c r="C20" s="11" t="s">
        <v>6</v>
      </c>
      <c r="D20" s="12"/>
      <c r="E20" s="12"/>
      <c r="F20" s="12"/>
      <c r="G20" s="12"/>
      <c r="H20" s="12"/>
      <c r="I20" s="12"/>
      <c r="J20" s="12"/>
      <c r="K20" s="2244"/>
      <c r="L20" s="2245"/>
      <c r="M20" s="13"/>
    </row>
    <row r="21" spans="2:15" ht="21.75" customHeight="1" x14ac:dyDescent="0.25">
      <c r="B21" s="1"/>
      <c r="C21" s="2213"/>
      <c r="D21" s="2214"/>
      <c r="E21" s="2214"/>
      <c r="F21" s="2214"/>
      <c r="G21" s="2214"/>
      <c r="H21" s="2214"/>
      <c r="I21" s="2214"/>
      <c r="J21" s="2215"/>
      <c r="K21" s="2241">
        <f>VLOOKUP(H7,Tarifas!D4:H303,5)</f>
        <v>1E-3</v>
      </c>
      <c r="L21" s="2240"/>
      <c r="M21" s="13" t="s">
        <v>11</v>
      </c>
      <c r="O21" s="3" t="s">
        <v>63</v>
      </c>
    </row>
    <row r="22" spans="2:15" ht="15" customHeight="1" x14ac:dyDescent="0.25">
      <c r="B22" s="1"/>
      <c r="C22" s="2213"/>
      <c r="D22" s="2214"/>
      <c r="E22" s="2214"/>
      <c r="F22" s="2214"/>
      <c r="G22" s="2214"/>
      <c r="H22" s="2214"/>
      <c r="I22" s="2214"/>
      <c r="J22" s="2215"/>
      <c r="K22" s="2246">
        <v>201.4</v>
      </c>
      <c r="L22" s="2247"/>
      <c r="M22" s="13" t="s">
        <v>12</v>
      </c>
      <c r="O22" s="3" t="s">
        <v>62</v>
      </c>
    </row>
    <row r="23" spans="2:15" ht="21.75" customHeight="1" x14ac:dyDescent="0.25">
      <c r="B23" s="1"/>
      <c r="C23" s="2216"/>
      <c r="D23" s="2217"/>
      <c r="E23" s="2217"/>
      <c r="F23" s="2217"/>
      <c r="G23" s="2217"/>
      <c r="H23" s="2217"/>
      <c r="I23" s="2217"/>
      <c r="J23" s="2218"/>
      <c r="K23" s="2246">
        <v>206.8</v>
      </c>
      <c r="L23" s="2247"/>
      <c r="M23" s="13" t="s">
        <v>12</v>
      </c>
      <c r="O23" s="3" t="s">
        <v>67</v>
      </c>
    </row>
    <row r="24" spans="2:15" x14ac:dyDescent="0.25">
      <c r="B24" s="1"/>
      <c r="C24" s="19"/>
      <c r="D24" s="20"/>
      <c r="E24" s="20"/>
      <c r="F24" s="20"/>
      <c r="G24" s="20"/>
      <c r="H24" s="20"/>
      <c r="I24" s="20"/>
      <c r="J24" s="21"/>
      <c r="K24" s="2239">
        <f>IFERROR(K23/K22,0)</f>
        <v>1.0268123138033765</v>
      </c>
      <c r="L24" s="2240"/>
      <c r="M24" s="13"/>
    </row>
    <row r="25" spans="2:15" ht="15.75" thickBot="1" x14ac:dyDescent="0.3">
      <c r="B25" s="1"/>
      <c r="C25" s="2207"/>
      <c r="D25" s="2208"/>
      <c r="E25" s="2208"/>
      <c r="F25" s="2208"/>
      <c r="G25" s="2208"/>
      <c r="H25" s="2208"/>
      <c r="I25" s="2208"/>
      <c r="J25" s="2209"/>
      <c r="K25" s="2233">
        <v>2141664.3569999998</v>
      </c>
      <c r="L25" s="2234"/>
      <c r="M25" s="13" t="s">
        <v>8</v>
      </c>
      <c r="O25" s="37" t="s">
        <v>66</v>
      </c>
    </row>
    <row r="26" spans="2:15" x14ac:dyDescent="0.25">
      <c r="B26" s="1"/>
      <c r="C26" s="14" t="s">
        <v>13</v>
      </c>
      <c r="D26" s="15"/>
      <c r="E26" s="15"/>
      <c r="F26" s="15"/>
      <c r="G26" s="15"/>
      <c r="H26" s="15"/>
      <c r="I26" s="15"/>
      <c r="J26" s="15"/>
      <c r="K26" s="2235"/>
      <c r="L26" s="2235"/>
      <c r="M26" s="16">
        <f>+K21*K24*K25</f>
        <v>2199.0873338013903</v>
      </c>
      <c r="O26" s="38"/>
    </row>
    <row r="27" spans="2:15" x14ac:dyDescent="0.25">
      <c r="B27" s="1"/>
      <c r="C27" s="306"/>
      <c r="D27" s="307"/>
      <c r="E27" s="307"/>
      <c r="F27" s="307"/>
      <c r="G27" s="307"/>
      <c r="H27" s="307"/>
      <c r="I27" s="307"/>
      <c r="J27" s="307"/>
      <c r="K27" s="308"/>
      <c r="L27" s="310" t="s">
        <v>75</v>
      </c>
      <c r="M27" s="309">
        <v>2199.09</v>
      </c>
      <c r="O27" s="38"/>
    </row>
    <row r="28" spans="2:15" x14ac:dyDescent="0.25">
      <c r="B28" s="1"/>
      <c r="C28" s="306"/>
      <c r="D28" s="307"/>
      <c r="E28" s="307"/>
      <c r="F28" s="307"/>
      <c r="G28" s="307"/>
      <c r="H28" s="307"/>
      <c r="I28" s="307"/>
      <c r="J28" s="307"/>
      <c r="K28" s="308"/>
      <c r="L28" s="310" t="s">
        <v>74</v>
      </c>
      <c r="M28" s="309">
        <f>M26-M27</f>
        <v>-2.6661986098588386E-3</v>
      </c>
      <c r="O28" s="38"/>
    </row>
    <row r="29" spans="2:15" x14ac:dyDescent="0.25">
      <c r="B29" s="1"/>
      <c r="C29" s="306"/>
      <c r="D29" s="307"/>
      <c r="E29" s="307"/>
      <c r="F29" s="307"/>
      <c r="G29" s="307"/>
      <c r="H29" s="307"/>
      <c r="I29" s="307"/>
      <c r="J29" s="307"/>
      <c r="K29" s="308"/>
      <c r="L29" s="308"/>
      <c r="M29" s="309"/>
      <c r="O29" s="38"/>
    </row>
    <row r="30" spans="2:15" ht="15" customHeight="1" x14ac:dyDescent="0.25">
      <c r="B30" s="1"/>
      <c r="C30" s="22" t="s">
        <v>70</v>
      </c>
      <c r="D30" s="23"/>
      <c r="E30" s="23"/>
      <c r="F30" s="23"/>
      <c r="G30" s="23"/>
      <c r="H30" s="23"/>
      <c r="I30" s="23"/>
      <c r="J30" s="23"/>
      <c r="K30" s="24"/>
      <c r="L30" s="24"/>
      <c r="M30" s="16">
        <f>+M16+M26</f>
        <v>4378286.0473338012</v>
      </c>
      <c r="O30" s="298"/>
    </row>
    <row r="31" spans="2:15" ht="15" customHeight="1" x14ac:dyDescent="0.25">
      <c r="B31" s="1"/>
      <c r="C31" s="22" t="str">
        <f>"% de Impuestos del mes: "&amp;H7</f>
        <v>% de Impuestos del mes: 14</v>
      </c>
      <c r="D31" s="23"/>
      <c r="E31" s="23"/>
      <c r="F31" s="23"/>
      <c r="G31" s="300" t="str">
        <f>"("&amp;VLOOKUP(H7,Tarifas!D4:H303,4)&amp;")"</f>
        <v>(2.057%)</v>
      </c>
      <c r="H31" s="23"/>
      <c r="I31" s="301"/>
      <c r="J31" s="302"/>
      <c r="K31" s="24"/>
      <c r="L31" s="24"/>
      <c r="M31" s="13"/>
      <c r="O31" s="38"/>
    </row>
    <row r="32" spans="2:15" x14ac:dyDescent="0.25">
      <c r="B32" s="1"/>
      <c r="C32" s="25" t="s">
        <v>14</v>
      </c>
      <c r="D32" s="26"/>
      <c r="E32" s="26"/>
      <c r="F32" s="26"/>
      <c r="G32" s="26"/>
      <c r="H32" s="26"/>
      <c r="I32" s="26"/>
      <c r="J32" s="18"/>
      <c r="K32" s="208"/>
      <c r="L32" s="18"/>
      <c r="M32" s="16">
        <f>+M30*0.16</f>
        <v>700525.7675734082</v>
      </c>
      <c r="O32" s="36"/>
    </row>
    <row r="33" spans="2:16" x14ac:dyDescent="0.25">
      <c r="B33" s="1"/>
      <c r="C33" s="27" t="s">
        <v>15</v>
      </c>
      <c r="D33" s="28"/>
      <c r="E33" s="28"/>
      <c r="F33" s="28"/>
      <c r="G33" s="28"/>
      <c r="H33" s="28"/>
      <c r="I33" s="28"/>
      <c r="J33" s="29"/>
      <c r="K33" s="30"/>
      <c r="L33" s="30"/>
      <c r="M33" s="16">
        <f>+M32+M30</f>
        <v>5078811.814907209</v>
      </c>
      <c r="O33" s="36"/>
    </row>
    <row r="34" spans="2:16" x14ac:dyDescent="0.25">
      <c r="B34" s="1"/>
      <c r="C34" s="17"/>
      <c r="D34" s="18"/>
      <c r="E34" s="18"/>
      <c r="F34" s="18"/>
      <c r="G34" s="18"/>
      <c r="H34" s="18"/>
      <c r="I34" s="18"/>
      <c r="J34" s="18"/>
      <c r="K34" s="18"/>
      <c r="L34" s="18"/>
      <c r="M34" s="13"/>
    </row>
    <row r="35" spans="2:16" x14ac:dyDescent="0.25">
      <c r="B35" s="1"/>
      <c r="C35" s="17" t="s">
        <v>71</v>
      </c>
      <c r="D35" s="18"/>
      <c r="E35" s="18"/>
      <c r="F35" s="18"/>
      <c r="G35" s="18"/>
      <c r="H35" s="18"/>
      <c r="I35" s="18"/>
      <c r="J35" s="18"/>
      <c r="K35" s="18"/>
      <c r="L35" s="18"/>
      <c r="M35" s="299">
        <f>(M16*1.16)</f>
        <v>5076260.8735999996</v>
      </c>
      <c r="O35" s="36"/>
      <c r="P35" s="36"/>
    </row>
    <row r="36" spans="2:16" x14ac:dyDescent="0.25">
      <c r="B36" s="1"/>
      <c r="C36" s="17" t="s">
        <v>72</v>
      </c>
      <c r="D36" s="18"/>
      <c r="E36" s="18"/>
      <c r="F36" s="18"/>
      <c r="G36" s="18"/>
      <c r="H36" s="18"/>
      <c r="I36" s="18"/>
      <c r="J36" s="18"/>
      <c r="K36" s="18"/>
      <c r="L36" s="18"/>
      <c r="M36" s="299">
        <f>(M26*1.16)+M31</f>
        <v>2550.9413072096127</v>
      </c>
      <c r="O36" s="36"/>
      <c r="P36" s="36"/>
    </row>
    <row r="37" spans="2:16" x14ac:dyDescent="0.25">
      <c r="B37" s="1"/>
      <c r="C37" s="17"/>
      <c r="D37" s="18"/>
      <c r="E37" s="18"/>
      <c r="F37" s="18"/>
      <c r="G37" s="18"/>
      <c r="H37" s="18"/>
      <c r="I37" s="18"/>
      <c r="J37" s="18"/>
      <c r="K37" s="18"/>
      <c r="L37" s="18"/>
      <c r="M37" s="13"/>
    </row>
    <row r="38" spans="2:16" x14ac:dyDescent="0.25">
      <c r="B38" s="1"/>
      <c r="C38" s="7" t="s">
        <v>16</v>
      </c>
      <c r="D38" s="8"/>
      <c r="E38" s="8"/>
      <c r="F38" s="8"/>
      <c r="G38" s="8"/>
      <c r="H38" s="8"/>
      <c r="I38" s="8"/>
      <c r="J38" s="8"/>
      <c r="K38" s="9"/>
      <c r="L38" s="9"/>
      <c r="M38" s="10"/>
    </row>
    <row r="39" spans="2:16" x14ac:dyDescent="0.25">
      <c r="B39" s="1"/>
      <c r="C39" s="31" t="s">
        <v>17</v>
      </c>
      <c r="D39" s="32" t="s">
        <v>18</v>
      </c>
      <c r="E39" s="32" t="s">
        <v>19</v>
      </c>
      <c r="F39" s="2236" t="s">
        <v>20</v>
      </c>
      <c r="G39" s="2237"/>
      <c r="H39" s="2238" t="s">
        <v>1</v>
      </c>
      <c r="I39" s="2238"/>
      <c r="J39" s="2238" t="s">
        <v>21</v>
      </c>
      <c r="K39" s="2238"/>
      <c r="L39" s="18"/>
      <c r="M39" s="13"/>
    </row>
    <row r="40" spans="2:16" x14ac:dyDescent="0.25">
      <c r="B40" s="1"/>
      <c r="C40" s="33">
        <v>2044</v>
      </c>
      <c r="D40" s="303">
        <v>2044</v>
      </c>
      <c r="E40" s="303" t="s">
        <v>22</v>
      </c>
      <c r="F40" s="2224" t="s">
        <v>23</v>
      </c>
      <c r="G40" s="2224"/>
      <c r="H40" s="2225"/>
      <c r="I40" s="2225"/>
      <c r="J40" s="2226"/>
      <c r="K40" s="2226"/>
      <c r="L40" s="18"/>
      <c r="M40" s="13"/>
      <c r="N40" s="1"/>
    </row>
    <row r="41" spans="2:16" x14ac:dyDescent="0.25">
      <c r="B41" s="1"/>
      <c r="C41" s="33"/>
      <c r="D41" s="303"/>
      <c r="E41" s="303" t="s">
        <v>25</v>
      </c>
      <c r="F41" s="2227"/>
      <c r="G41" s="2228"/>
      <c r="H41" s="2229"/>
      <c r="I41" s="2230"/>
      <c r="J41" s="2231"/>
      <c r="K41" s="2232"/>
      <c r="L41" s="18"/>
      <c r="M41" s="13"/>
      <c r="N41" s="1"/>
    </row>
    <row r="42" spans="2:16" x14ac:dyDescent="0.25">
      <c r="B42" s="1"/>
      <c r="C42" s="33"/>
      <c r="D42" s="303"/>
      <c r="E42" s="303" t="s">
        <v>26</v>
      </c>
      <c r="F42" s="2227"/>
      <c r="G42" s="2228"/>
      <c r="H42" s="2229"/>
      <c r="I42" s="2230"/>
      <c r="J42" s="2231"/>
      <c r="K42" s="2232"/>
      <c r="L42" s="18"/>
      <c r="M42" s="13"/>
      <c r="N42" s="1"/>
    </row>
    <row r="43" spans="2:16" x14ac:dyDescent="0.25">
      <c r="B43" s="1"/>
      <c r="C43" s="33">
        <v>2044</v>
      </c>
      <c r="D43" s="303">
        <v>2044</v>
      </c>
      <c r="E43" s="303" t="s">
        <v>27</v>
      </c>
      <c r="F43" s="2224" t="s">
        <v>28</v>
      </c>
      <c r="G43" s="2224"/>
      <c r="H43" s="2225"/>
      <c r="I43" s="2225"/>
      <c r="J43" s="2226"/>
      <c r="K43" s="2226"/>
      <c r="L43" s="18"/>
      <c r="M43" s="13"/>
      <c r="N43" s="1"/>
    </row>
    <row r="44" spans="2:16" x14ac:dyDescent="0.25">
      <c r="B44" s="1"/>
      <c r="C44" s="2219" t="s">
        <v>24</v>
      </c>
      <c r="D44" s="2220"/>
      <c r="E44" s="2220"/>
      <c r="F44" s="2220"/>
      <c r="G44" s="2221"/>
      <c r="H44" s="2222">
        <f>SUM(H40:H43)</f>
        <v>0</v>
      </c>
      <c r="I44" s="2223"/>
      <c r="J44" s="3"/>
      <c r="K44" s="3"/>
      <c r="L44" s="18"/>
      <c r="M44" s="13"/>
      <c r="N44" s="1"/>
    </row>
    <row r="45" spans="2:16" x14ac:dyDescent="0.25">
      <c r="B45" s="1"/>
      <c r="C45" s="17"/>
      <c r="D45" s="18"/>
      <c r="E45" s="18"/>
      <c r="F45" s="18"/>
      <c r="G45" s="18"/>
      <c r="H45" s="18"/>
      <c r="I45" s="18"/>
      <c r="J45" s="18"/>
      <c r="K45" s="18"/>
      <c r="L45" s="18"/>
      <c r="M45" s="13"/>
    </row>
  </sheetData>
  <mergeCells count="44">
    <mergeCell ref="F41:G41"/>
    <mergeCell ref="H41:I41"/>
    <mergeCell ref="J41:K41"/>
    <mergeCell ref="C44:G44"/>
    <mergeCell ref="H44:I44"/>
    <mergeCell ref="F42:G42"/>
    <mergeCell ref="H42:I42"/>
    <mergeCell ref="J42:K42"/>
    <mergeCell ref="F43:G43"/>
    <mergeCell ref="H43:I43"/>
    <mergeCell ref="J43:K43"/>
    <mergeCell ref="C23:J23"/>
    <mergeCell ref="K23:L23"/>
    <mergeCell ref="F40:G40"/>
    <mergeCell ref="H40:I40"/>
    <mergeCell ref="J40:K40"/>
    <mergeCell ref="K26:L26"/>
    <mergeCell ref="F39:G39"/>
    <mergeCell ref="H39:I39"/>
    <mergeCell ref="J39:K39"/>
    <mergeCell ref="K24:L24"/>
    <mergeCell ref="C25:J25"/>
    <mergeCell ref="K25:L25"/>
    <mergeCell ref="K9:M9"/>
    <mergeCell ref="K11:L11"/>
    <mergeCell ref="C12:J12"/>
    <mergeCell ref="K12:L12"/>
    <mergeCell ref="C13:J13"/>
    <mergeCell ref="K13:L13"/>
    <mergeCell ref="C14:J14"/>
    <mergeCell ref="K14:L14"/>
    <mergeCell ref="K21:L21"/>
    <mergeCell ref="C22:J22"/>
    <mergeCell ref="K22:L22"/>
    <mergeCell ref="C15:J15"/>
    <mergeCell ref="K15:L15"/>
    <mergeCell ref="K16:L16"/>
    <mergeCell ref="K20:L20"/>
    <mergeCell ref="C21:J21"/>
    <mergeCell ref="C3:M4"/>
    <mergeCell ref="C5:M5"/>
    <mergeCell ref="C6:M6"/>
    <mergeCell ref="C7:G7"/>
    <mergeCell ref="C8:G8"/>
  </mergeCells>
  <pageMargins left="0.7" right="0.7" top="0.93" bottom="0.75" header="0.3" footer="0.3"/>
  <pageSetup scale="93" fitToHeight="0" orientation="portrait" r:id="rId1"/>
  <headerFooter>
    <oddHeader>&amp;L&amp;G&amp;R&amp;"Arial,Negrita"Direccion de Operacion&amp;"Arial,Normal"
Subdireccion de Energeticos
Subgerencia Regional de Energeticos</oddHeader>
  </headerFooter>
  <drawing r:id="rId2"/>
  <legacyDrawingHF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45"/>
  <sheetViews>
    <sheetView workbookViewId="0"/>
  </sheetViews>
  <sheetFormatPr baseColWidth="10" defaultColWidth="11" defaultRowHeight="15" x14ac:dyDescent="0.25"/>
  <cols>
    <col min="1" max="1" width="11" style="2"/>
    <col min="2" max="2" width="2.875" style="2" customWidth="1"/>
    <col min="3" max="9" width="5.625" style="2" customWidth="1"/>
    <col min="10" max="10" width="11" style="2" customWidth="1"/>
    <col min="11" max="11" width="5.375" style="2" customWidth="1"/>
    <col min="12" max="12" width="7.625" style="2" bestFit="1" customWidth="1"/>
    <col min="13" max="13" width="10.5" style="2" bestFit="1" customWidth="1"/>
    <col min="14" max="14" width="4.125" style="6" customWidth="1"/>
    <col min="15" max="15" width="39.625" style="3" bestFit="1" customWidth="1"/>
    <col min="16" max="16384" width="11" style="3"/>
  </cols>
  <sheetData>
    <row r="2" spans="2:15" ht="15.75" thickBot="1" x14ac:dyDescent="0.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2:15" ht="15" customHeight="1" x14ac:dyDescent="0.25">
      <c r="B3" s="1"/>
      <c r="C3" s="2250" t="s">
        <v>0</v>
      </c>
      <c r="D3" s="2251"/>
      <c r="E3" s="2251"/>
      <c r="F3" s="2251"/>
      <c r="G3" s="2251"/>
      <c r="H3" s="2251"/>
      <c r="I3" s="2251"/>
      <c r="J3" s="2251"/>
      <c r="K3" s="2251"/>
      <c r="L3" s="2251"/>
      <c r="M3" s="2252"/>
    </row>
    <row r="4" spans="2:15" ht="15" customHeight="1" x14ac:dyDescent="0.25">
      <c r="B4" s="1"/>
      <c r="C4" s="2253"/>
      <c r="D4" s="2254"/>
      <c r="E4" s="2254"/>
      <c r="F4" s="2254"/>
      <c r="G4" s="2254"/>
      <c r="H4" s="2254"/>
      <c r="I4" s="2254"/>
      <c r="J4" s="2254"/>
      <c r="K4" s="2254"/>
      <c r="L4" s="2254"/>
      <c r="M4" s="2255"/>
    </row>
    <row r="5" spans="2:15" x14ac:dyDescent="0.25">
      <c r="B5" s="1"/>
      <c r="C5" s="2256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8"/>
    </row>
    <row r="6" spans="2:15" x14ac:dyDescent="0.25">
      <c r="B6" s="1"/>
      <c r="C6" s="2256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8"/>
    </row>
    <row r="7" spans="2:15" ht="15" customHeight="1" x14ac:dyDescent="0.25">
      <c r="B7" s="1"/>
      <c r="C7" s="2259" t="s">
        <v>3</v>
      </c>
      <c r="D7" s="2260"/>
      <c r="E7" s="2260"/>
      <c r="F7" s="2260"/>
      <c r="G7" s="2260"/>
      <c r="H7" s="207">
        <v>15</v>
      </c>
      <c r="I7" s="296">
        <f>VLOOKUP(H7,Tarifas!D4:H303,2)</f>
        <v>41913</v>
      </c>
      <c r="J7" s="296"/>
      <c r="K7" s="296"/>
      <c r="L7" s="296"/>
      <c r="M7" s="297"/>
      <c r="O7" s="3" t="s">
        <v>64</v>
      </c>
    </row>
    <row r="8" spans="2:15" x14ac:dyDescent="0.25">
      <c r="B8" s="1"/>
      <c r="C8" s="2259" t="s">
        <v>4</v>
      </c>
      <c r="D8" s="2260"/>
      <c r="E8" s="2260"/>
      <c r="F8" s="2260"/>
      <c r="G8" s="2260"/>
      <c r="H8" s="207">
        <v>22</v>
      </c>
      <c r="I8" s="296"/>
      <c r="J8" s="296"/>
      <c r="K8" s="296"/>
      <c r="L8" s="296"/>
      <c r="M8" s="297"/>
    </row>
    <row r="9" spans="2:15" x14ac:dyDescent="0.25">
      <c r="B9" s="1"/>
      <c r="C9" s="4"/>
      <c r="D9" s="5"/>
      <c r="E9" s="5"/>
      <c r="F9" s="5"/>
      <c r="G9" s="5"/>
      <c r="H9" s="5"/>
      <c r="I9" s="5"/>
      <c r="J9" s="5"/>
      <c r="K9" s="2248" t="s">
        <v>73</v>
      </c>
      <c r="L9" s="2248"/>
      <c r="M9" s="2249"/>
    </row>
    <row r="10" spans="2:15" ht="15.75" thickBot="1" x14ac:dyDescent="0.3">
      <c r="B10" s="1"/>
      <c r="C10" s="7" t="s">
        <v>5</v>
      </c>
      <c r="D10" s="8"/>
      <c r="E10" s="8"/>
      <c r="F10" s="8"/>
      <c r="G10" s="8"/>
      <c r="H10" s="8"/>
      <c r="I10" s="8"/>
      <c r="J10" s="8"/>
      <c r="K10" s="9"/>
      <c r="L10" s="9"/>
      <c r="M10" s="10"/>
    </row>
    <row r="11" spans="2:15" x14ac:dyDescent="0.25">
      <c r="B11" s="1"/>
      <c r="C11" s="11" t="s">
        <v>6</v>
      </c>
      <c r="D11" s="12"/>
      <c r="E11" s="12"/>
      <c r="F11" s="12"/>
      <c r="G11" s="12"/>
      <c r="H11" s="12"/>
      <c r="I11" s="12"/>
      <c r="J11" s="12"/>
      <c r="K11" s="2244"/>
      <c r="L11" s="2245"/>
      <c r="M11" s="13"/>
      <c r="O11" s="38"/>
    </row>
    <row r="12" spans="2:15" ht="26.25" customHeight="1" x14ac:dyDescent="0.25">
      <c r="B12" s="1"/>
      <c r="C12" s="2213"/>
      <c r="D12" s="2214"/>
      <c r="E12" s="2214"/>
      <c r="F12" s="2214"/>
      <c r="G12" s="2214"/>
      <c r="H12" s="2214"/>
      <c r="I12" s="2214"/>
      <c r="J12" s="2215"/>
      <c r="K12" s="2241">
        <f>VLOOKUP(H7,Tarifas!D4:H303,3)</f>
        <v>0.13900000000000001</v>
      </c>
      <c r="L12" s="2240"/>
      <c r="M12" s="13"/>
      <c r="O12" s="3" t="s">
        <v>63</v>
      </c>
    </row>
    <row r="13" spans="2:15" x14ac:dyDescent="0.25">
      <c r="B13" s="1"/>
      <c r="C13" s="2213"/>
      <c r="D13" s="2214"/>
      <c r="E13" s="2214"/>
      <c r="F13" s="2214"/>
      <c r="G13" s="2214"/>
      <c r="H13" s="2214"/>
      <c r="I13" s="2214"/>
      <c r="J13" s="2215"/>
      <c r="K13" s="2241">
        <v>850</v>
      </c>
      <c r="L13" s="2240"/>
      <c r="M13" s="13" t="s">
        <v>7</v>
      </c>
      <c r="O13" s="38"/>
    </row>
    <row r="14" spans="2:15" x14ac:dyDescent="0.25">
      <c r="B14" s="1"/>
      <c r="C14" s="2213"/>
      <c r="D14" s="2214"/>
      <c r="E14" s="2214"/>
      <c r="F14" s="2214"/>
      <c r="G14" s="2214"/>
      <c r="H14" s="2214"/>
      <c r="I14" s="2214"/>
      <c r="J14" s="2215"/>
      <c r="K14" s="2241">
        <v>850</v>
      </c>
      <c r="L14" s="2240"/>
      <c r="M14" s="13" t="s">
        <v>7</v>
      </c>
      <c r="O14" s="38"/>
    </row>
    <row r="15" spans="2:15" ht="15.75" thickBot="1" x14ac:dyDescent="0.3">
      <c r="B15" s="1"/>
      <c r="C15" s="2210"/>
      <c r="D15" s="2211"/>
      <c r="E15" s="2211"/>
      <c r="F15" s="2211"/>
      <c r="G15" s="2211"/>
      <c r="H15" s="2211"/>
      <c r="I15" s="2211"/>
      <c r="J15" s="2212"/>
      <c r="K15" s="2242">
        <v>31482640</v>
      </c>
      <c r="L15" s="2243"/>
      <c r="M15" s="13" t="s">
        <v>8</v>
      </c>
      <c r="O15" s="304"/>
    </row>
    <row r="16" spans="2:15" x14ac:dyDescent="0.25">
      <c r="B16" s="3"/>
      <c r="C16" s="14" t="s">
        <v>9</v>
      </c>
      <c r="D16" s="15"/>
      <c r="E16" s="15"/>
      <c r="F16" s="15"/>
      <c r="G16" s="15"/>
      <c r="H16" s="15"/>
      <c r="I16" s="15"/>
      <c r="J16" s="15"/>
      <c r="K16" s="2235"/>
      <c r="L16" s="2235"/>
      <c r="M16" s="16">
        <f>+K12*(K13/K14)*K15</f>
        <v>4376086.96</v>
      </c>
      <c r="O16" s="36"/>
    </row>
    <row r="17" spans="2:15" x14ac:dyDescent="0.25">
      <c r="B17" s="1"/>
      <c r="C17" s="17"/>
      <c r="D17" s="18"/>
      <c r="E17" s="18"/>
      <c r="F17" s="18"/>
      <c r="G17" s="18"/>
      <c r="H17" s="18"/>
      <c r="I17" s="18"/>
      <c r="J17" s="18"/>
      <c r="K17" s="18"/>
      <c r="L17" s="18" t="s">
        <v>75</v>
      </c>
      <c r="M17" s="305">
        <v>4521956.53</v>
      </c>
      <c r="O17" s="36"/>
    </row>
    <row r="18" spans="2:15" x14ac:dyDescent="0.25">
      <c r="B18" s="1"/>
      <c r="C18" s="17"/>
      <c r="D18" s="18"/>
      <c r="E18" s="18"/>
      <c r="F18" s="18"/>
      <c r="G18" s="18"/>
      <c r="H18" s="18"/>
      <c r="I18" s="18"/>
      <c r="J18" s="18"/>
      <c r="K18" s="18"/>
      <c r="L18" s="18" t="s">
        <v>74</v>
      </c>
      <c r="M18" s="299">
        <f>M16-M17</f>
        <v>-145869.5700000003</v>
      </c>
      <c r="O18" s="36"/>
    </row>
    <row r="19" spans="2:15" ht="15.75" thickBot="1" x14ac:dyDescent="0.3">
      <c r="B19" s="1"/>
      <c r="C19" s="7" t="s">
        <v>10</v>
      </c>
      <c r="D19" s="8"/>
      <c r="E19" s="8"/>
      <c r="F19" s="8"/>
      <c r="G19" s="8"/>
      <c r="H19" s="8"/>
      <c r="I19" s="8"/>
      <c r="J19" s="8"/>
      <c r="K19" s="9"/>
      <c r="L19" s="9"/>
      <c r="M19" s="10"/>
    </row>
    <row r="20" spans="2:15" ht="22.5" customHeight="1" x14ac:dyDescent="0.25">
      <c r="B20" s="1"/>
      <c r="C20" s="11" t="s">
        <v>6</v>
      </c>
      <c r="D20" s="12"/>
      <c r="E20" s="12"/>
      <c r="F20" s="12"/>
      <c r="G20" s="12"/>
      <c r="H20" s="12"/>
      <c r="I20" s="12"/>
      <c r="J20" s="12"/>
      <c r="K20" s="2244"/>
      <c r="L20" s="2245"/>
      <c r="M20" s="13"/>
    </row>
    <row r="21" spans="2:15" ht="21.75" customHeight="1" x14ac:dyDescent="0.25">
      <c r="B21" s="1"/>
      <c r="C21" s="2213"/>
      <c r="D21" s="2214"/>
      <c r="E21" s="2214"/>
      <c r="F21" s="2214"/>
      <c r="G21" s="2214"/>
      <c r="H21" s="2214"/>
      <c r="I21" s="2214"/>
      <c r="J21" s="2215"/>
      <c r="K21" s="2241">
        <f>VLOOKUP(H7,Tarifas!D4:H303,5)</f>
        <v>1E-3</v>
      </c>
      <c r="L21" s="2240"/>
      <c r="M21" s="13" t="s">
        <v>11</v>
      </c>
      <c r="O21" s="3" t="s">
        <v>63</v>
      </c>
    </row>
    <row r="22" spans="2:15" ht="15" customHeight="1" x14ac:dyDescent="0.25">
      <c r="B22" s="1"/>
      <c r="C22" s="2213"/>
      <c r="D22" s="2214"/>
      <c r="E22" s="2214"/>
      <c r="F22" s="2214"/>
      <c r="G22" s="2214"/>
      <c r="H22" s="2214"/>
      <c r="I22" s="2214"/>
      <c r="J22" s="2215"/>
      <c r="K22" s="2246">
        <v>201.4</v>
      </c>
      <c r="L22" s="2247"/>
      <c r="M22" s="13" t="s">
        <v>12</v>
      </c>
      <c r="O22" s="3" t="s">
        <v>62</v>
      </c>
    </row>
    <row r="23" spans="2:15" ht="21.75" customHeight="1" x14ac:dyDescent="0.25">
      <c r="B23" s="1"/>
      <c r="C23" s="2216"/>
      <c r="D23" s="2217"/>
      <c r="E23" s="2217"/>
      <c r="F23" s="2217"/>
      <c r="G23" s="2217"/>
      <c r="H23" s="2217"/>
      <c r="I23" s="2217"/>
      <c r="J23" s="2218"/>
      <c r="K23" s="2246">
        <v>206.5</v>
      </c>
      <c r="L23" s="2247"/>
      <c r="M23" s="13" t="s">
        <v>12</v>
      </c>
      <c r="O23" s="3" t="s">
        <v>67</v>
      </c>
    </row>
    <row r="24" spans="2:15" x14ac:dyDescent="0.25">
      <c r="B24" s="1"/>
      <c r="C24" s="19"/>
      <c r="D24" s="20"/>
      <c r="E24" s="20"/>
      <c r="F24" s="20"/>
      <c r="G24" s="20"/>
      <c r="H24" s="20"/>
      <c r="I24" s="20"/>
      <c r="J24" s="21"/>
      <c r="K24" s="2239">
        <f>IFERROR(K23/K22,0)</f>
        <v>1.0253227408143</v>
      </c>
      <c r="L24" s="2240"/>
      <c r="M24" s="13"/>
    </row>
    <row r="25" spans="2:15" ht="15.75" thickBot="1" x14ac:dyDescent="0.3">
      <c r="B25" s="1"/>
      <c r="C25" s="2207"/>
      <c r="D25" s="2208"/>
      <c r="E25" s="2208"/>
      <c r="F25" s="2208"/>
      <c r="G25" s="2208"/>
      <c r="H25" s="2208"/>
      <c r="I25" s="2208"/>
      <c r="J25" s="2209"/>
      <c r="K25" s="2233">
        <v>2166053.1970000002</v>
      </c>
      <c r="L25" s="2234"/>
      <c r="M25" s="13" t="s">
        <v>8</v>
      </c>
      <c r="O25" s="37" t="s">
        <v>66</v>
      </c>
    </row>
    <row r="26" spans="2:15" x14ac:dyDescent="0.25">
      <c r="B26" s="1"/>
      <c r="C26" s="14" t="s">
        <v>13</v>
      </c>
      <c r="D26" s="15"/>
      <c r="E26" s="15"/>
      <c r="F26" s="15"/>
      <c r="G26" s="15"/>
      <c r="H26" s="15"/>
      <c r="I26" s="15"/>
      <c r="J26" s="15"/>
      <c r="K26" s="2235"/>
      <c r="L26" s="2235"/>
      <c r="M26" s="16">
        <f>+K21*K24*K25</f>
        <v>2220.9036006976171</v>
      </c>
      <c r="O26" s="38"/>
    </row>
    <row r="27" spans="2:15" x14ac:dyDescent="0.25">
      <c r="B27" s="1"/>
      <c r="C27" s="306"/>
      <c r="D27" s="307"/>
      <c r="E27" s="307"/>
      <c r="F27" s="307"/>
      <c r="G27" s="307"/>
      <c r="H27" s="307"/>
      <c r="I27" s="307"/>
      <c r="J27" s="307"/>
      <c r="K27" s="308"/>
      <c r="L27" s="310" t="s">
        <v>75</v>
      </c>
      <c r="M27" s="309">
        <v>2220.9</v>
      </c>
      <c r="O27" s="38"/>
    </row>
    <row r="28" spans="2:15" x14ac:dyDescent="0.25">
      <c r="B28" s="1"/>
      <c r="C28" s="306"/>
      <c r="D28" s="307"/>
      <c r="E28" s="307"/>
      <c r="F28" s="307"/>
      <c r="G28" s="307"/>
      <c r="H28" s="307"/>
      <c r="I28" s="307"/>
      <c r="J28" s="307"/>
      <c r="K28" s="308"/>
      <c r="L28" s="310" t="s">
        <v>74</v>
      </c>
      <c r="M28" s="309">
        <f>M26-M27</f>
        <v>3.6006976170028793E-3</v>
      </c>
      <c r="O28" s="38"/>
    </row>
    <row r="29" spans="2:15" x14ac:dyDescent="0.25">
      <c r="B29" s="1"/>
      <c r="C29" s="306"/>
      <c r="D29" s="307"/>
      <c r="E29" s="307"/>
      <c r="F29" s="307"/>
      <c r="G29" s="307"/>
      <c r="H29" s="307"/>
      <c r="I29" s="307"/>
      <c r="J29" s="307"/>
      <c r="K29" s="308"/>
      <c r="L29" s="308"/>
      <c r="M29" s="309"/>
      <c r="O29" s="38"/>
    </row>
    <row r="30" spans="2:15" ht="15" customHeight="1" x14ac:dyDescent="0.25">
      <c r="B30" s="1"/>
      <c r="C30" s="22" t="s">
        <v>70</v>
      </c>
      <c r="D30" s="23"/>
      <c r="E30" s="23"/>
      <c r="F30" s="23"/>
      <c r="G30" s="23"/>
      <c r="H30" s="23"/>
      <c r="I30" s="23"/>
      <c r="J30" s="23"/>
      <c r="K30" s="24"/>
      <c r="L30" s="24"/>
      <c r="M30" s="16">
        <f>+M16+M26</f>
        <v>4378307.8636006974</v>
      </c>
      <c r="O30" s="298"/>
    </row>
    <row r="31" spans="2:15" ht="15" customHeight="1" x14ac:dyDescent="0.25">
      <c r="B31" s="1"/>
      <c r="C31" s="22" t="str">
        <f>"% de Impuestos del mes: "&amp;H7</f>
        <v>% de Impuestos del mes: 15</v>
      </c>
      <c r="D31" s="23"/>
      <c r="E31" s="23"/>
      <c r="F31" s="23"/>
      <c r="G31" s="300" t="str">
        <f>"("&amp;VLOOKUP(H7,Tarifas!D4:H303,4)&amp;")"</f>
        <v>(2.057%)</v>
      </c>
      <c r="H31" s="23"/>
      <c r="I31" s="301"/>
      <c r="J31" s="302"/>
      <c r="K31" s="24"/>
      <c r="L31" s="24"/>
      <c r="M31" s="13"/>
      <c r="O31" s="38"/>
    </row>
    <row r="32" spans="2:15" x14ac:dyDescent="0.25">
      <c r="B32" s="1"/>
      <c r="C32" s="25" t="s">
        <v>14</v>
      </c>
      <c r="D32" s="26"/>
      <c r="E32" s="26"/>
      <c r="F32" s="26"/>
      <c r="G32" s="26"/>
      <c r="H32" s="26"/>
      <c r="I32" s="26"/>
      <c r="J32" s="18"/>
      <c r="K32" s="208"/>
      <c r="L32" s="18"/>
      <c r="M32" s="16">
        <f>+M30*0.16</f>
        <v>700529.25817611162</v>
      </c>
      <c r="O32" s="36"/>
    </row>
    <row r="33" spans="2:16" x14ac:dyDescent="0.25">
      <c r="B33" s="1"/>
      <c r="C33" s="27" t="s">
        <v>15</v>
      </c>
      <c r="D33" s="28"/>
      <c r="E33" s="28"/>
      <c r="F33" s="28"/>
      <c r="G33" s="28"/>
      <c r="H33" s="28"/>
      <c r="I33" s="28"/>
      <c r="J33" s="29"/>
      <c r="K33" s="30"/>
      <c r="L33" s="30"/>
      <c r="M33" s="16">
        <f>+M32+M30</f>
        <v>5078837.121776809</v>
      </c>
      <c r="O33" s="36"/>
    </row>
    <row r="34" spans="2:16" x14ac:dyDescent="0.25">
      <c r="B34" s="1"/>
      <c r="C34" s="17"/>
      <c r="D34" s="18"/>
      <c r="E34" s="18"/>
      <c r="F34" s="18"/>
      <c r="G34" s="18"/>
      <c r="H34" s="18"/>
      <c r="I34" s="18"/>
      <c r="J34" s="18"/>
      <c r="K34" s="18"/>
      <c r="L34" s="18"/>
      <c r="M34" s="13"/>
    </row>
    <row r="35" spans="2:16" x14ac:dyDescent="0.25">
      <c r="B35" s="1"/>
      <c r="C35" s="17" t="s">
        <v>71</v>
      </c>
      <c r="D35" s="18"/>
      <c r="E35" s="18"/>
      <c r="F35" s="18"/>
      <c r="G35" s="18"/>
      <c r="H35" s="18"/>
      <c r="I35" s="18"/>
      <c r="J35" s="18"/>
      <c r="K35" s="18"/>
      <c r="L35" s="18"/>
      <c r="M35" s="299">
        <f>(M16*1.16)</f>
        <v>5076260.8735999996</v>
      </c>
      <c r="O35" s="36"/>
      <c r="P35" s="36"/>
    </row>
    <row r="36" spans="2:16" x14ac:dyDescent="0.25">
      <c r="B36" s="1"/>
      <c r="C36" s="17" t="s">
        <v>72</v>
      </c>
      <c r="D36" s="18"/>
      <c r="E36" s="18"/>
      <c r="F36" s="18"/>
      <c r="G36" s="18"/>
      <c r="H36" s="18"/>
      <c r="I36" s="18"/>
      <c r="J36" s="18"/>
      <c r="K36" s="18"/>
      <c r="L36" s="18"/>
      <c r="M36" s="299">
        <f>(M26*1.16)+M31</f>
        <v>2576.2481768092357</v>
      </c>
      <c r="O36" s="36"/>
      <c r="P36" s="36"/>
    </row>
    <row r="37" spans="2:16" x14ac:dyDescent="0.25">
      <c r="B37" s="1"/>
      <c r="C37" s="17"/>
      <c r="D37" s="18"/>
      <c r="E37" s="18"/>
      <c r="F37" s="18"/>
      <c r="G37" s="18"/>
      <c r="H37" s="18"/>
      <c r="I37" s="18"/>
      <c r="J37" s="18"/>
      <c r="K37" s="18"/>
      <c r="L37" s="18"/>
      <c r="M37" s="13"/>
    </row>
    <row r="38" spans="2:16" x14ac:dyDescent="0.25">
      <c r="B38" s="1"/>
      <c r="C38" s="7" t="s">
        <v>16</v>
      </c>
      <c r="D38" s="8"/>
      <c r="E38" s="8"/>
      <c r="F38" s="8"/>
      <c r="G38" s="8"/>
      <c r="H38" s="8"/>
      <c r="I38" s="8"/>
      <c r="J38" s="8"/>
      <c r="K38" s="9"/>
      <c r="L38" s="9"/>
      <c r="M38" s="10"/>
    </row>
    <row r="39" spans="2:16" x14ac:dyDescent="0.25">
      <c r="B39" s="1"/>
      <c r="C39" s="31" t="s">
        <v>17</v>
      </c>
      <c r="D39" s="32" t="s">
        <v>18</v>
      </c>
      <c r="E39" s="32" t="s">
        <v>19</v>
      </c>
      <c r="F39" s="2236" t="s">
        <v>20</v>
      </c>
      <c r="G39" s="2237"/>
      <c r="H39" s="2238" t="s">
        <v>1</v>
      </c>
      <c r="I39" s="2238"/>
      <c r="J39" s="2238" t="s">
        <v>21</v>
      </c>
      <c r="K39" s="2238"/>
      <c r="L39" s="18"/>
      <c r="M39" s="13"/>
    </row>
    <row r="40" spans="2:16" x14ac:dyDescent="0.25">
      <c r="B40" s="1"/>
      <c r="C40" s="33">
        <v>2044</v>
      </c>
      <c r="D40" s="303">
        <v>2044</v>
      </c>
      <c r="E40" s="303" t="s">
        <v>22</v>
      </c>
      <c r="F40" s="2224" t="s">
        <v>23</v>
      </c>
      <c r="G40" s="2224"/>
      <c r="H40" s="2225"/>
      <c r="I40" s="2225"/>
      <c r="J40" s="2226"/>
      <c r="K40" s="2226"/>
      <c r="L40" s="18"/>
      <c r="M40" s="13"/>
      <c r="N40" s="1"/>
    </row>
    <row r="41" spans="2:16" x14ac:dyDescent="0.25">
      <c r="B41" s="1"/>
      <c r="C41" s="33"/>
      <c r="D41" s="303"/>
      <c r="E41" s="303" t="s">
        <v>25</v>
      </c>
      <c r="F41" s="2227"/>
      <c r="G41" s="2228"/>
      <c r="H41" s="2229"/>
      <c r="I41" s="2230"/>
      <c r="J41" s="2231"/>
      <c r="K41" s="2232"/>
      <c r="L41" s="18"/>
      <c r="M41" s="13"/>
      <c r="N41" s="1"/>
    </row>
    <row r="42" spans="2:16" x14ac:dyDescent="0.25">
      <c r="B42" s="1"/>
      <c r="C42" s="33"/>
      <c r="D42" s="303"/>
      <c r="E42" s="303" t="s">
        <v>26</v>
      </c>
      <c r="F42" s="2227"/>
      <c r="G42" s="2228"/>
      <c r="H42" s="2229"/>
      <c r="I42" s="2230"/>
      <c r="J42" s="2231"/>
      <c r="K42" s="2232"/>
      <c r="L42" s="18"/>
      <c r="M42" s="13"/>
      <c r="N42" s="1"/>
    </row>
    <row r="43" spans="2:16" x14ac:dyDescent="0.25">
      <c r="B43" s="1"/>
      <c r="C43" s="33">
        <v>2044</v>
      </c>
      <c r="D43" s="303">
        <v>2044</v>
      </c>
      <c r="E43" s="303" t="s">
        <v>27</v>
      </c>
      <c r="F43" s="2224" t="s">
        <v>28</v>
      </c>
      <c r="G43" s="2224"/>
      <c r="H43" s="2225"/>
      <c r="I43" s="2225"/>
      <c r="J43" s="2226"/>
      <c r="K43" s="2226"/>
      <c r="L43" s="18"/>
      <c r="M43" s="13"/>
      <c r="N43" s="1"/>
    </row>
    <row r="44" spans="2:16" x14ac:dyDescent="0.25">
      <c r="B44" s="1"/>
      <c r="C44" s="2219" t="s">
        <v>24</v>
      </c>
      <c r="D44" s="2220"/>
      <c r="E44" s="2220"/>
      <c r="F44" s="2220"/>
      <c r="G44" s="2221"/>
      <c r="H44" s="2222">
        <f>SUM(H40:H43)</f>
        <v>0</v>
      </c>
      <c r="I44" s="2223"/>
      <c r="J44" s="3"/>
      <c r="K44" s="3"/>
      <c r="L44" s="18"/>
      <c r="M44" s="13"/>
      <c r="N44" s="1"/>
    </row>
    <row r="45" spans="2:16" x14ac:dyDescent="0.25">
      <c r="B45" s="1"/>
      <c r="C45" s="17"/>
      <c r="D45" s="18"/>
      <c r="E45" s="18"/>
      <c r="F45" s="18"/>
      <c r="G45" s="18"/>
      <c r="H45" s="18"/>
      <c r="I45" s="18"/>
      <c r="J45" s="18"/>
      <c r="K45" s="18"/>
      <c r="L45" s="18"/>
      <c r="M45" s="13"/>
    </row>
  </sheetData>
  <mergeCells count="44">
    <mergeCell ref="F41:G41"/>
    <mergeCell ref="H41:I41"/>
    <mergeCell ref="J41:K41"/>
    <mergeCell ref="C44:G44"/>
    <mergeCell ref="H44:I44"/>
    <mergeCell ref="F42:G42"/>
    <mergeCell ref="H42:I42"/>
    <mergeCell ref="J42:K42"/>
    <mergeCell ref="F43:G43"/>
    <mergeCell ref="H43:I43"/>
    <mergeCell ref="J43:K43"/>
    <mergeCell ref="C23:J23"/>
    <mergeCell ref="K23:L23"/>
    <mergeCell ref="F40:G40"/>
    <mergeCell ref="H40:I40"/>
    <mergeCell ref="J40:K40"/>
    <mergeCell ref="K26:L26"/>
    <mergeCell ref="F39:G39"/>
    <mergeCell ref="H39:I39"/>
    <mergeCell ref="J39:K39"/>
    <mergeCell ref="K24:L24"/>
    <mergeCell ref="C25:J25"/>
    <mergeCell ref="K25:L25"/>
    <mergeCell ref="K9:M9"/>
    <mergeCell ref="K11:L11"/>
    <mergeCell ref="C12:J12"/>
    <mergeCell ref="K12:L12"/>
    <mergeCell ref="C13:J13"/>
    <mergeCell ref="K13:L13"/>
    <mergeCell ref="C14:J14"/>
    <mergeCell ref="K14:L14"/>
    <mergeCell ref="K21:L21"/>
    <mergeCell ref="C22:J22"/>
    <mergeCell ref="K22:L22"/>
    <mergeCell ref="C15:J15"/>
    <mergeCell ref="K15:L15"/>
    <mergeCell ref="K16:L16"/>
    <mergeCell ref="K20:L20"/>
    <mergeCell ref="C21:J21"/>
    <mergeCell ref="C3:M4"/>
    <mergeCell ref="C5:M5"/>
    <mergeCell ref="C6:M6"/>
    <mergeCell ref="C7:G7"/>
    <mergeCell ref="C8:G8"/>
  </mergeCells>
  <pageMargins left="0.7" right="0.7" top="0.93" bottom="0.75" header="0.3" footer="0.3"/>
  <pageSetup scale="93" fitToHeight="0" orientation="portrait" r:id="rId1"/>
  <headerFooter>
    <oddHeader>&amp;L&amp;G&amp;R&amp;"Arial,Negrita"Direccion de Operacion&amp;"Arial,Normal"
Subdireccion de Energeticos
Subgerencia Regional de Energeticos</oddHeader>
  </headerFooter>
  <drawing r:id="rId2"/>
  <legacyDrawingHF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45"/>
  <sheetViews>
    <sheetView workbookViewId="0"/>
  </sheetViews>
  <sheetFormatPr baseColWidth="10" defaultColWidth="11" defaultRowHeight="15" x14ac:dyDescent="0.25"/>
  <cols>
    <col min="1" max="1" width="11" style="2"/>
    <col min="2" max="2" width="2.875" style="2" customWidth="1"/>
    <col min="3" max="9" width="5.625" style="2" customWidth="1"/>
    <col min="10" max="10" width="11" style="2" customWidth="1"/>
    <col min="11" max="11" width="5.375" style="2" customWidth="1"/>
    <col min="12" max="12" width="7.625" style="2" bestFit="1" customWidth="1"/>
    <col min="13" max="13" width="10.5" style="2" bestFit="1" customWidth="1"/>
    <col min="14" max="14" width="4.125" style="6" customWidth="1"/>
    <col min="15" max="15" width="39.625" style="3" bestFit="1" customWidth="1"/>
    <col min="16" max="16384" width="11" style="3"/>
  </cols>
  <sheetData>
    <row r="2" spans="2:15" ht="15.75" thickBot="1" x14ac:dyDescent="0.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2:15" ht="15" customHeight="1" x14ac:dyDescent="0.25">
      <c r="B3" s="1"/>
      <c r="C3" s="2250" t="s">
        <v>0</v>
      </c>
      <c r="D3" s="2251"/>
      <c r="E3" s="2251"/>
      <c r="F3" s="2251"/>
      <c r="G3" s="2251"/>
      <c r="H3" s="2251"/>
      <c r="I3" s="2251"/>
      <c r="J3" s="2251"/>
      <c r="K3" s="2251"/>
      <c r="L3" s="2251"/>
      <c r="M3" s="2252"/>
    </row>
    <row r="4" spans="2:15" ht="15" customHeight="1" x14ac:dyDescent="0.25">
      <c r="B4" s="1"/>
      <c r="C4" s="2253"/>
      <c r="D4" s="2254"/>
      <c r="E4" s="2254"/>
      <c r="F4" s="2254"/>
      <c r="G4" s="2254"/>
      <c r="H4" s="2254"/>
      <c r="I4" s="2254"/>
      <c r="J4" s="2254"/>
      <c r="K4" s="2254"/>
      <c r="L4" s="2254"/>
      <c r="M4" s="2255"/>
    </row>
    <row r="5" spans="2:15" x14ac:dyDescent="0.25">
      <c r="B5" s="1"/>
      <c r="C5" s="2256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8"/>
    </row>
    <row r="6" spans="2:15" x14ac:dyDescent="0.25">
      <c r="B6" s="1"/>
      <c r="C6" s="2256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8"/>
    </row>
    <row r="7" spans="2:15" ht="15" customHeight="1" x14ac:dyDescent="0.25">
      <c r="B7" s="1"/>
      <c r="C7" s="2259" t="s">
        <v>3</v>
      </c>
      <c r="D7" s="2260"/>
      <c r="E7" s="2260"/>
      <c r="F7" s="2260"/>
      <c r="G7" s="2260"/>
      <c r="H7" s="207">
        <v>16</v>
      </c>
      <c r="I7" s="296">
        <f>VLOOKUP(H7,Tarifas!D4:H303,2)</f>
        <v>41944</v>
      </c>
      <c r="J7" s="296"/>
      <c r="K7" s="296"/>
      <c r="L7" s="296"/>
      <c r="M7" s="297"/>
      <c r="O7" s="3" t="s">
        <v>64</v>
      </c>
    </row>
    <row r="8" spans="2:15" x14ac:dyDescent="0.25">
      <c r="B8" s="1"/>
      <c r="C8" s="2259" t="s">
        <v>4</v>
      </c>
      <c r="D8" s="2260"/>
      <c r="E8" s="2260"/>
      <c r="F8" s="2260"/>
      <c r="G8" s="2260"/>
      <c r="H8" s="207" t="s">
        <v>76</v>
      </c>
      <c r="I8" s="296"/>
      <c r="J8" s="296"/>
      <c r="K8" s="296"/>
      <c r="L8" s="296"/>
      <c r="M8" s="297"/>
    </row>
    <row r="9" spans="2:15" x14ac:dyDescent="0.25">
      <c r="B9" s="1"/>
      <c r="C9" s="4"/>
      <c r="D9" s="5"/>
      <c r="E9" s="5"/>
      <c r="F9" s="5"/>
      <c r="G9" s="5"/>
      <c r="H9" s="5"/>
      <c r="I9" s="5"/>
      <c r="J9" s="5"/>
      <c r="K9" s="2248" t="s">
        <v>73</v>
      </c>
      <c r="L9" s="2248"/>
      <c r="M9" s="2249"/>
    </row>
    <row r="10" spans="2:15" ht="15.75" thickBot="1" x14ac:dyDescent="0.3">
      <c r="B10" s="1"/>
      <c r="C10" s="7" t="s">
        <v>5</v>
      </c>
      <c r="D10" s="8"/>
      <c r="E10" s="8"/>
      <c r="F10" s="8"/>
      <c r="G10" s="8"/>
      <c r="H10" s="8"/>
      <c r="I10" s="8"/>
      <c r="J10" s="8"/>
      <c r="K10" s="9"/>
      <c r="L10" s="9"/>
      <c r="M10" s="10"/>
    </row>
    <row r="11" spans="2:15" x14ac:dyDescent="0.25">
      <c r="B11" s="1"/>
      <c r="C11" s="11" t="s">
        <v>6</v>
      </c>
      <c r="D11" s="12"/>
      <c r="E11" s="12"/>
      <c r="F11" s="12"/>
      <c r="G11" s="12"/>
      <c r="H11" s="12"/>
      <c r="I11" s="12"/>
      <c r="J11" s="12"/>
      <c r="K11" s="2244"/>
      <c r="L11" s="2245"/>
      <c r="M11" s="13"/>
      <c r="O11" s="38"/>
    </row>
    <row r="12" spans="2:15" ht="26.25" customHeight="1" x14ac:dyDescent="0.25">
      <c r="B12" s="1"/>
      <c r="C12" s="2213"/>
      <c r="D12" s="2214"/>
      <c r="E12" s="2214"/>
      <c r="F12" s="2214"/>
      <c r="G12" s="2214"/>
      <c r="H12" s="2214"/>
      <c r="I12" s="2214"/>
      <c r="J12" s="2215"/>
      <c r="K12" s="2241">
        <f>VLOOKUP(H7,Tarifas!D4:H303,3)</f>
        <v>0.13900000000000001</v>
      </c>
      <c r="L12" s="2240"/>
      <c r="M12" s="13"/>
      <c r="O12" s="3" t="s">
        <v>63</v>
      </c>
    </row>
    <row r="13" spans="2:15" x14ac:dyDescent="0.25">
      <c r="B13" s="1"/>
      <c r="C13" s="2213"/>
      <c r="D13" s="2214"/>
      <c r="E13" s="2214"/>
      <c r="F13" s="2214"/>
      <c r="G13" s="2214"/>
      <c r="H13" s="2214"/>
      <c r="I13" s="2214"/>
      <c r="J13" s="2215"/>
      <c r="K13" s="2241">
        <v>850</v>
      </c>
      <c r="L13" s="2240"/>
      <c r="M13" s="13" t="s">
        <v>7</v>
      </c>
      <c r="O13" s="38"/>
    </row>
    <row r="14" spans="2:15" x14ac:dyDescent="0.25">
      <c r="B14" s="1"/>
      <c r="C14" s="2213"/>
      <c r="D14" s="2214"/>
      <c r="E14" s="2214"/>
      <c r="F14" s="2214"/>
      <c r="G14" s="2214"/>
      <c r="H14" s="2214"/>
      <c r="I14" s="2214"/>
      <c r="J14" s="2215"/>
      <c r="K14" s="2241">
        <v>850</v>
      </c>
      <c r="L14" s="2240"/>
      <c r="M14" s="13" t="s">
        <v>7</v>
      </c>
      <c r="O14" s="38"/>
    </row>
    <row r="15" spans="2:15" ht="15.75" thickBot="1" x14ac:dyDescent="0.3">
      <c r="B15" s="1"/>
      <c r="C15" s="2210"/>
      <c r="D15" s="2211"/>
      <c r="E15" s="2211"/>
      <c r="F15" s="2211"/>
      <c r="G15" s="2211"/>
      <c r="H15" s="2211"/>
      <c r="I15" s="2211"/>
      <c r="J15" s="2212"/>
      <c r="K15" s="2242">
        <v>31482640</v>
      </c>
      <c r="L15" s="2243"/>
      <c r="M15" s="13" t="s">
        <v>8</v>
      </c>
      <c r="O15" s="304"/>
    </row>
    <row r="16" spans="2:15" x14ac:dyDescent="0.25">
      <c r="B16" s="3"/>
      <c r="C16" s="14" t="s">
        <v>9</v>
      </c>
      <c r="D16" s="15"/>
      <c r="E16" s="15"/>
      <c r="F16" s="15"/>
      <c r="G16" s="15"/>
      <c r="H16" s="15"/>
      <c r="I16" s="15"/>
      <c r="J16" s="15"/>
      <c r="K16" s="2235"/>
      <c r="L16" s="2235"/>
      <c r="M16" s="16">
        <f>+K12*(K13/K14)*K15</f>
        <v>4376086.96</v>
      </c>
      <c r="O16" s="36"/>
    </row>
    <row r="17" spans="2:15" x14ac:dyDescent="0.25">
      <c r="B17" s="1"/>
      <c r="C17" s="17"/>
      <c r="D17" s="18"/>
      <c r="E17" s="18"/>
      <c r="F17" s="18"/>
      <c r="G17" s="18"/>
      <c r="H17" s="18"/>
      <c r="I17" s="18"/>
      <c r="J17" s="18"/>
      <c r="K17" s="18"/>
      <c r="L17" s="18" t="s">
        <v>75</v>
      </c>
      <c r="M17" s="305">
        <v>4376086.96</v>
      </c>
      <c r="O17" s="36"/>
    </row>
    <row r="18" spans="2:15" x14ac:dyDescent="0.25">
      <c r="B18" s="1"/>
      <c r="C18" s="17"/>
      <c r="D18" s="18"/>
      <c r="E18" s="18"/>
      <c r="F18" s="18"/>
      <c r="G18" s="18"/>
      <c r="H18" s="18"/>
      <c r="I18" s="18"/>
      <c r="J18" s="18"/>
      <c r="K18" s="18"/>
      <c r="L18" s="18" t="s">
        <v>74</v>
      </c>
      <c r="M18" s="299">
        <f>M16-M17</f>
        <v>0</v>
      </c>
      <c r="O18" s="36"/>
    </row>
    <row r="19" spans="2:15" ht="15.75" thickBot="1" x14ac:dyDescent="0.3">
      <c r="B19" s="1"/>
      <c r="C19" s="7" t="s">
        <v>10</v>
      </c>
      <c r="D19" s="8"/>
      <c r="E19" s="8"/>
      <c r="F19" s="8"/>
      <c r="G19" s="8"/>
      <c r="H19" s="8"/>
      <c r="I19" s="8"/>
      <c r="J19" s="8"/>
      <c r="K19" s="9"/>
      <c r="L19" s="9"/>
      <c r="M19" s="10"/>
    </row>
    <row r="20" spans="2:15" ht="22.5" customHeight="1" x14ac:dyDescent="0.25">
      <c r="B20" s="1"/>
      <c r="C20" s="11" t="s">
        <v>6</v>
      </c>
      <c r="D20" s="12"/>
      <c r="E20" s="12"/>
      <c r="F20" s="12"/>
      <c r="G20" s="12"/>
      <c r="H20" s="12"/>
      <c r="I20" s="12"/>
      <c r="J20" s="12"/>
      <c r="K20" s="2244"/>
      <c r="L20" s="2245"/>
      <c r="M20" s="13"/>
    </row>
    <row r="21" spans="2:15" ht="21.75" customHeight="1" x14ac:dyDescent="0.25">
      <c r="B21" s="1"/>
      <c r="C21" s="2213"/>
      <c r="D21" s="2214"/>
      <c r="E21" s="2214"/>
      <c r="F21" s="2214"/>
      <c r="G21" s="2214"/>
      <c r="H21" s="2214"/>
      <c r="I21" s="2214"/>
      <c r="J21" s="2215"/>
      <c r="K21" s="2241">
        <f>VLOOKUP(H7,Tarifas!D4:H303,5)</f>
        <v>1E-3</v>
      </c>
      <c r="L21" s="2240"/>
      <c r="M21" s="13" t="s">
        <v>11</v>
      </c>
      <c r="O21" s="3" t="s">
        <v>63</v>
      </c>
    </row>
    <row r="22" spans="2:15" ht="15" customHeight="1" x14ac:dyDescent="0.25">
      <c r="B22" s="1"/>
      <c r="C22" s="2213"/>
      <c r="D22" s="2214"/>
      <c r="E22" s="2214"/>
      <c r="F22" s="2214"/>
      <c r="G22" s="2214"/>
      <c r="H22" s="2214"/>
      <c r="I22" s="2214"/>
      <c r="J22" s="2215"/>
      <c r="K22" s="2246">
        <v>201.4</v>
      </c>
      <c r="L22" s="2247"/>
      <c r="M22" s="13" t="s">
        <v>12</v>
      </c>
      <c r="O22" s="3" t="s">
        <v>62</v>
      </c>
    </row>
    <row r="23" spans="2:15" ht="21.75" customHeight="1" x14ac:dyDescent="0.25">
      <c r="B23" s="1"/>
      <c r="C23" s="2216"/>
      <c r="D23" s="2217"/>
      <c r="E23" s="2217"/>
      <c r="F23" s="2217"/>
      <c r="G23" s="2217"/>
      <c r="H23" s="2217"/>
      <c r="I23" s="2217"/>
      <c r="J23" s="2218"/>
      <c r="K23" s="2246">
        <v>203.6</v>
      </c>
      <c r="L23" s="2247"/>
      <c r="M23" s="13" t="s">
        <v>12</v>
      </c>
      <c r="O23" s="3" t="s">
        <v>67</v>
      </c>
    </row>
    <row r="24" spans="2:15" x14ac:dyDescent="0.25">
      <c r="B24" s="1"/>
      <c r="C24" s="19"/>
      <c r="D24" s="20"/>
      <c r="E24" s="20"/>
      <c r="F24" s="20"/>
      <c r="G24" s="20"/>
      <c r="H24" s="20"/>
      <c r="I24" s="20"/>
      <c r="J24" s="21"/>
      <c r="K24" s="2239">
        <f>IFERROR(K23/K22,0)</f>
        <v>1.0109235352532273</v>
      </c>
      <c r="L24" s="2240"/>
      <c r="M24" s="13"/>
    </row>
    <row r="25" spans="2:15" ht="15.75" thickBot="1" x14ac:dyDescent="0.3">
      <c r="B25" s="1"/>
      <c r="C25" s="2207"/>
      <c r="D25" s="2208"/>
      <c r="E25" s="2208"/>
      <c r="F25" s="2208"/>
      <c r="G25" s="2208"/>
      <c r="H25" s="2208"/>
      <c r="I25" s="2208"/>
      <c r="J25" s="2209"/>
      <c r="K25" s="2233">
        <v>2000220.8529999999</v>
      </c>
      <c r="L25" s="2234"/>
      <c r="M25" s="13" t="s">
        <v>8</v>
      </c>
      <c r="O25" s="37" t="s">
        <v>66</v>
      </c>
    </row>
    <row r="26" spans="2:15" x14ac:dyDescent="0.25">
      <c r="B26" s="1"/>
      <c r="C26" s="14" t="s">
        <v>13</v>
      </c>
      <c r="D26" s="15"/>
      <c r="E26" s="15"/>
      <c r="F26" s="15"/>
      <c r="G26" s="15"/>
      <c r="H26" s="15"/>
      <c r="I26" s="15"/>
      <c r="J26" s="15"/>
      <c r="K26" s="2235"/>
      <c r="L26" s="2235"/>
      <c r="M26" s="16">
        <f>+K21*K24*K25</f>
        <v>2022.0703360019859</v>
      </c>
      <c r="O26" s="38"/>
    </row>
    <row r="27" spans="2:15" x14ac:dyDescent="0.25">
      <c r="B27" s="1"/>
      <c r="C27" s="306"/>
      <c r="D27" s="307"/>
      <c r="E27" s="307"/>
      <c r="F27" s="307"/>
      <c r="G27" s="307"/>
      <c r="H27" s="307"/>
      <c r="I27" s="307"/>
      <c r="J27" s="307"/>
      <c r="K27" s="308"/>
      <c r="L27" s="310" t="s">
        <v>75</v>
      </c>
      <c r="M27" s="309">
        <v>2022.07</v>
      </c>
      <c r="O27" s="38"/>
    </row>
    <row r="28" spans="2:15" x14ac:dyDescent="0.25">
      <c r="B28" s="1"/>
      <c r="C28" s="306"/>
      <c r="D28" s="307"/>
      <c r="E28" s="307"/>
      <c r="F28" s="307"/>
      <c r="G28" s="307"/>
      <c r="H28" s="307"/>
      <c r="I28" s="307"/>
      <c r="J28" s="307"/>
      <c r="K28" s="308"/>
      <c r="L28" s="310" t="s">
        <v>74</v>
      </c>
      <c r="M28" s="309">
        <f>M26-M27</f>
        <v>3.3600198594285757E-4</v>
      </c>
      <c r="O28" s="38"/>
    </row>
    <row r="29" spans="2:15" x14ac:dyDescent="0.25">
      <c r="B29" s="1"/>
      <c r="C29" s="306"/>
      <c r="D29" s="307"/>
      <c r="E29" s="307"/>
      <c r="F29" s="307"/>
      <c r="G29" s="307"/>
      <c r="H29" s="307"/>
      <c r="I29" s="307"/>
      <c r="J29" s="307"/>
      <c r="K29" s="308"/>
      <c r="L29" s="308"/>
      <c r="M29" s="309"/>
      <c r="O29" s="38"/>
    </row>
    <row r="30" spans="2:15" ht="15" customHeight="1" x14ac:dyDescent="0.25">
      <c r="B30" s="1"/>
      <c r="C30" s="22" t="s">
        <v>70</v>
      </c>
      <c r="D30" s="23"/>
      <c r="E30" s="23"/>
      <c r="F30" s="23"/>
      <c r="G30" s="23"/>
      <c r="H30" s="23"/>
      <c r="I30" s="23"/>
      <c r="J30" s="23"/>
      <c r="K30" s="24"/>
      <c r="L30" s="24"/>
      <c r="M30" s="16">
        <f>+M16+M26</f>
        <v>4378109.0303360019</v>
      </c>
      <c r="O30" s="298"/>
    </row>
    <row r="31" spans="2:15" ht="15" customHeight="1" x14ac:dyDescent="0.25">
      <c r="B31" s="1"/>
      <c r="C31" s="22" t="str">
        <f>"% de Impuestos del mes: "&amp;H7</f>
        <v>% de Impuestos del mes: 16</v>
      </c>
      <c r="D31" s="23"/>
      <c r="E31" s="23"/>
      <c r="F31" s="23"/>
      <c r="G31" s="300" t="str">
        <f>"("&amp;VLOOKUP(H7,Tarifas!D4:H303,4)&amp;")"</f>
        <v>(2.057%)</v>
      </c>
      <c r="H31" s="23"/>
      <c r="I31" s="301"/>
      <c r="J31" s="302"/>
      <c r="K31" s="24"/>
      <c r="L31" s="24"/>
      <c r="M31" s="13"/>
      <c r="O31" s="38"/>
    </row>
    <row r="32" spans="2:15" x14ac:dyDescent="0.25">
      <c r="B32" s="1"/>
      <c r="C32" s="25" t="s">
        <v>14</v>
      </c>
      <c r="D32" s="26"/>
      <c r="E32" s="26"/>
      <c r="F32" s="26"/>
      <c r="G32" s="26"/>
      <c r="H32" s="26"/>
      <c r="I32" s="26"/>
      <c r="J32" s="18"/>
      <c r="K32" s="208"/>
      <c r="L32" s="18"/>
      <c r="M32" s="16">
        <f>+M30*0.16</f>
        <v>700497.4448537603</v>
      </c>
      <c r="O32" s="36"/>
    </row>
    <row r="33" spans="2:16" x14ac:dyDescent="0.25">
      <c r="B33" s="1"/>
      <c r="C33" s="27" t="s">
        <v>15</v>
      </c>
      <c r="D33" s="28"/>
      <c r="E33" s="28"/>
      <c r="F33" s="28"/>
      <c r="G33" s="28"/>
      <c r="H33" s="28"/>
      <c r="I33" s="28"/>
      <c r="J33" s="29"/>
      <c r="K33" s="30"/>
      <c r="L33" s="30"/>
      <c r="M33" s="16">
        <f>+M32+M30</f>
        <v>5078606.4751897622</v>
      </c>
      <c r="O33" s="36"/>
    </row>
    <row r="34" spans="2:16" x14ac:dyDescent="0.25">
      <c r="B34" s="1"/>
      <c r="C34" s="17"/>
      <c r="D34" s="18"/>
      <c r="E34" s="18"/>
      <c r="F34" s="18"/>
      <c r="G34" s="18"/>
      <c r="H34" s="18"/>
      <c r="I34" s="18"/>
      <c r="J34" s="18"/>
      <c r="K34" s="18"/>
      <c r="L34" s="18"/>
      <c r="M34" s="13"/>
    </row>
    <row r="35" spans="2:16" x14ac:dyDescent="0.25">
      <c r="B35" s="1"/>
      <c r="C35" s="17" t="s">
        <v>71</v>
      </c>
      <c r="D35" s="18"/>
      <c r="E35" s="18"/>
      <c r="F35" s="18"/>
      <c r="G35" s="18"/>
      <c r="H35" s="18"/>
      <c r="I35" s="18"/>
      <c r="J35" s="18"/>
      <c r="K35" s="18"/>
      <c r="L35" s="18"/>
      <c r="M35" s="299">
        <f>(M16*1.16)</f>
        <v>5076260.8735999996</v>
      </c>
      <c r="O35" s="36"/>
      <c r="P35" s="36"/>
    </row>
    <row r="36" spans="2:16" x14ac:dyDescent="0.25">
      <c r="B36" s="1"/>
      <c r="C36" s="17" t="s">
        <v>72</v>
      </c>
      <c r="D36" s="18"/>
      <c r="E36" s="18"/>
      <c r="F36" s="18"/>
      <c r="G36" s="18"/>
      <c r="H36" s="18"/>
      <c r="I36" s="18"/>
      <c r="J36" s="18"/>
      <c r="K36" s="18"/>
      <c r="L36" s="18"/>
      <c r="M36" s="299">
        <f>(M26*1.16)+M31</f>
        <v>2345.6015897623033</v>
      </c>
      <c r="O36" s="36"/>
      <c r="P36" s="36"/>
    </row>
    <row r="37" spans="2:16" x14ac:dyDescent="0.25">
      <c r="B37" s="1"/>
      <c r="C37" s="17"/>
      <c r="D37" s="18"/>
      <c r="E37" s="18"/>
      <c r="F37" s="18"/>
      <c r="G37" s="18"/>
      <c r="H37" s="18"/>
      <c r="I37" s="18"/>
      <c r="J37" s="18"/>
      <c r="K37" s="18"/>
      <c r="L37" s="18"/>
      <c r="M37" s="13"/>
    </row>
    <row r="38" spans="2:16" x14ac:dyDescent="0.25">
      <c r="B38" s="1"/>
      <c r="C38" s="7" t="s">
        <v>16</v>
      </c>
      <c r="D38" s="8"/>
      <c r="E38" s="8"/>
      <c r="F38" s="8"/>
      <c r="G38" s="8"/>
      <c r="H38" s="8"/>
      <c r="I38" s="8"/>
      <c r="J38" s="8"/>
      <c r="K38" s="9"/>
      <c r="L38" s="9"/>
      <c r="M38" s="10"/>
    </row>
    <row r="39" spans="2:16" x14ac:dyDescent="0.25">
      <c r="B39" s="1"/>
      <c r="C39" s="31" t="s">
        <v>17</v>
      </c>
      <c r="D39" s="32" t="s">
        <v>18</v>
      </c>
      <c r="E39" s="32" t="s">
        <v>19</v>
      </c>
      <c r="F39" s="2236" t="s">
        <v>20</v>
      </c>
      <c r="G39" s="2237"/>
      <c r="H39" s="2238" t="s">
        <v>1</v>
      </c>
      <c r="I39" s="2238"/>
      <c r="J39" s="2238" t="s">
        <v>21</v>
      </c>
      <c r="K39" s="2238"/>
      <c r="L39" s="18"/>
      <c r="M39" s="13"/>
    </row>
    <row r="40" spans="2:16" x14ac:dyDescent="0.25">
      <c r="B40" s="1"/>
      <c r="C40" s="33">
        <v>2044</v>
      </c>
      <c r="D40" s="303">
        <v>2044</v>
      </c>
      <c r="E40" s="303" t="s">
        <v>22</v>
      </c>
      <c r="F40" s="2224" t="s">
        <v>23</v>
      </c>
      <c r="G40" s="2224"/>
      <c r="H40" s="2225"/>
      <c r="I40" s="2225"/>
      <c r="J40" s="2226"/>
      <c r="K40" s="2226"/>
      <c r="L40" s="18"/>
      <c r="M40" s="13"/>
      <c r="N40" s="1"/>
    </row>
    <row r="41" spans="2:16" x14ac:dyDescent="0.25">
      <c r="B41" s="1"/>
      <c r="C41" s="33"/>
      <c r="D41" s="303"/>
      <c r="E41" s="303" t="s">
        <v>25</v>
      </c>
      <c r="F41" s="2227"/>
      <c r="G41" s="2228"/>
      <c r="H41" s="2229"/>
      <c r="I41" s="2230"/>
      <c r="J41" s="2231"/>
      <c r="K41" s="2232"/>
      <c r="L41" s="18"/>
      <c r="M41" s="13"/>
      <c r="N41" s="1"/>
    </row>
    <row r="42" spans="2:16" x14ac:dyDescent="0.25">
      <c r="B42" s="1"/>
      <c r="C42" s="33"/>
      <c r="D42" s="303"/>
      <c r="E42" s="303" t="s">
        <v>26</v>
      </c>
      <c r="F42" s="2227"/>
      <c r="G42" s="2228"/>
      <c r="H42" s="2229"/>
      <c r="I42" s="2230"/>
      <c r="J42" s="2231"/>
      <c r="K42" s="2232"/>
      <c r="L42" s="18"/>
      <c r="M42" s="13"/>
      <c r="N42" s="1"/>
    </row>
    <row r="43" spans="2:16" x14ac:dyDescent="0.25">
      <c r="B43" s="1"/>
      <c r="C43" s="33">
        <v>2044</v>
      </c>
      <c r="D43" s="303">
        <v>2044</v>
      </c>
      <c r="E43" s="303" t="s">
        <v>27</v>
      </c>
      <c r="F43" s="2224" t="s">
        <v>28</v>
      </c>
      <c r="G43" s="2224"/>
      <c r="H43" s="2225"/>
      <c r="I43" s="2225"/>
      <c r="J43" s="2226"/>
      <c r="K43" s="2226"/>
      <c r="L43" s="18"/>
      <c r="M43" s="13"/>
      <c r="N43" s="1"/>
    </row>
    <row r="44" spans="2:16" x14ac:dyDescent="0.25">
      <c r="B44" s="1"/>
      <c r="C44" s="2219" t="s">
        <v>24</v>
      </c>
      <c r="D44" s="2220"/>
      <c r="E44" s="2220"/>
      <c r="F44" s="2220"/>
      <c r="G44" s="2221"/>
      <c r="H44" s="2222">
        <f>SUM(H40:H43)</f>
        <v>0</v>
      </c>
      <c r="I44" s="2223"/>
      <c r="J44" s="3"/>
      <c r="K44" s="3"/>
      <c r="L44" s="18"/>
      <c r="M44" s="13"/>
      <c r="N44" s="1"/>
    </row>
    <row r="45" spans="2:16" x14ac:dyDescent="0.25">
      <c r="B45" s="1"/>
      <c r="C45" s="17"/>
      <c r="D45" s="18"/>
      <c r="E45" s="18"/>
      <c r="F45" s="18"/>
      <c r="G45" s="18"/>
      <c r="H45" s="18"/>
      <c r="I45" s="18"/>
      <c r="J45" s="18"/>
      <c r="K45" s="18"/>
      <c r="L45" s="18"/>
      <c r="M45" s="13"/>
    </row>
  </sheetData>
  <mergeCells count="44">
    <mergeCell ref="F41:G41"/>
    <mergeCell ref="H41:I41"/>
    <mergeCell ref="J41:K41"/>
    <mergeCell ref="C44:G44"/>
    <mergeCell ref="H44:I44"/>
    <mergeCell ref="F42:G42"/>
    <mergeCell ref="H42:I42"/>
    <mergeCell ref="J42:K42"/>
    <mergeCell ref="F43:G43"/>
    <mergeCell ref="H43:I43"/>
    <mergeCell ref="J43:K43"/>
    <mergeCell ref="C23:J23"/>
    <mergeCell ref="K23:L23"/>
    <mergeCell ref="F40:G40"/>
    <mergeCell ref="H40:I40"/>
    <mergeCell ref="J40:K40"/>
    <mergeCell ref="K26:L26"/>
    <mergeCell ref="F39:G39"/>
    <mergeCell ref="H39:I39"/>
    <mergeCell ref="J39:K39"/>
    <mergeCell ref="K24:L24"/>
    <mergeCell ref="C25:J25"/>
    <mergeCell ref="K25:L25"/>
    <mergeCell ref="K9:M9"/>
    <mergeCell ref="K11:L11"/>
    <mergeCell ref="C12:J12"/>
    <mergeCell ref="K12:L12"/>
    <mergeCell ref="C13:J13"/>
    <mergeCell ref="K13:L13"/>
    <mergeCell ref="C14:J14"/>
    <mergeCell ref="K14:L14"/>
    <mergeCell ref="K21:L21"/>
    <mergeCell ref="C22:J22"/>
    <mergeCell ref="K22:L22"/>
    <mergeCell ref="C15:J15"/>
    <mergeCell ref="K15:L15"/>
    <mergeCell ref="K16:L16"/>
    <mergeCell ref="K20:L20"/>
    <mergeCell ref="C21:J21"/>
    <mergeCell ref="C3:M4"/>
    <mergeCell ref="C5:M5"/>
    <mergeCell ref="C6:M6"/>
    <mergeCell ref="C7:G7"/>
    <mergeCell ref="C8:G8"/>
  </mergeCells>
  <pageMargins left="0.7" right="0.7" top="0.93" bottom="0.75" header="0.3" footer="0.3"/>
  <pageSetup scale="93" fitToHeight="0" orientation="portrait" r:id="rId1"/>
  <headerFooter>
    <oddHeader>&amp;L&amp;G&amp;R&amp;"Arial,Negrita"Direccion de Operacion&amp;"Arial,Normal"
Subdireccion de Energeticos
Subgerencia Regional de Energeticos</oddHeader>
  </headerFooter>
  <drawing r:id="rId2"/>
  <legacyDrawingHF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45"/>
  <sheetViews>
    <sheetView workbookViewId="0"/>
  </sheetViews>
  <sheetFormatPr baseColWidth="10" defaultColWidth="11" defaultRowHeight="15" x14ac:dyDescent="0.25"/>
  <cols>
    <col min="1" max="1" width="11" style="2"/>
    <col min="2" max="2" width="2.875" style="2" customWidth="1"/>
    <col min="3" max="9" width="5.625" style="2" customWidth="1"/>
    <col min="10" max="10" width="11" style="2" customWidth="1"/>
    <col min="11" max="11" width="5.375" style="2" customWidth="1"/>
    <col min="12" max="12" width="7.625" style="2" bestFit="1" customWidth="1"/>
    <col min="13" max="13" width="10.5" style="2" bestFit="1" customWidth="1"/>
    <col min="14" max="14" width="4.125" style="6" customWidth="1"/>
    <col min="15" max="15" width="39.625" style="3" bestFit="1" customWidth="1"/>
    <col min="16" max="16384" width="11" style="3"/>
  </cols>
  <sheetData>
    <row r="2" spans="2:15" ht="15.75" thickBot="1" x14ac:dyDescent="0.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2:15" ht="15" customHeight="1" x14ac:dyDescent="0.25">
      <c r="B3" s="1"/>
      <c r="C3" s="2250" t="s">
        <v>0</v>
      </c>
      <c r="D3" s="2251"/>
      <c r="E3" s="2251"/>
      <c r="F3" s="2251"/>
      <c r="G3" s="2251"/>
      <c r="H3" s="2251"/>
      <c r="I3" s="2251"/>
      <c r="J3" s="2251"/>
      <c r="K3" s="2251"/>
      <c r="L3" s="2251"/>
      <c r="M3" s="2252"/>
    </row>
    <row r="4" spans="2:15" ht="15" customHeight="1" x14ac:dyDescent="0.25">
      <c r="B4" s="1"/>
      <c r="C4" s="2253"/>
      <c r="D4" s="2254"/>
      <c r="E4" s="2254"/>
      <c r="F4" s="2254"/>
      <c r="G4" s="2254"/>
      <c r="H4" s="2254"/>
      <c r="I4" s="2254"/>
      <c r="J4" s="2254"/>
      <c r="K4" s="2254"/>
      <c r="L4" s="2254"/>
      <c r="M4" s="2255"/>
    </row>
    <row r="5" spans="2:15" x14ac:dyDescent="0.25">
      <c r="B5" s="1"/>
      <c r="C5" s="2256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8"/>
    </row>
    <row r="6" spans="2:15" x14ac:dyDescent="0.25">
      <c r="B6" s="1"/>
      <c r="C6" s="2256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8"/>
    </row>
    <row r="7" spans="2:15" ht="15" customHeight="1" x14ac:dyDescent="0.25">
      <c r="B7" s="1"/>
      <c r="C7" s="2259" t="s">
        <v>3</v>
      </c>
      <c r="D7" s="2260"/>
      <c r="E7" s="2260"/>
      <c r="F7" s="2260"/>
      <c r="G7" s="2260"/>
      <c r="H7" s="207">
        <v>17</v>
      </c>
      <c r="I7" s="296">
        <f>VLOOKUP(H7,Tarifas!D4:H303,2)</f>
        <v>41974</v>
      </c>
      <c r="J7" s="296"/>
      <c r="K7" s="296"/>
      <c r="L7" s="296"/>
      <c r="M7" s="297"/>
      <c r="O7" s="3" t="s">
        <v>64</v>
      </c>
    </row>
    <row r="8" spans="2:15" x14ac:dyDescent="0.25">
      <c r="B8" s="1"/>
      <c r="C8" s="2259" t="s">
        <v>4</v>
      </c>
      <c r="D8" s="2260"/>
      <c r="E8" s="2260"/>
      <c r="F8" s="2260"/>
      <c r="G8" s="2260"/>
      <c r="H8" s="207" t="s">
        <v>77</v>
      </c>
      <c r="I8" s="296"/>
      <c r="J8" s="296"/>
      <c r="K8" s="296"/>
      <c r="L8" s="296"/>
      <c r="M8" s="297"/>
    </row>
    <row r="9" spans="2:15" x14ac:dyDescent="0.25">
      <c r="B9" s="1"/>
      <c r="C9" s="4"/>
      <c r="D9" s="5"/>
      <c r="E9" s="5"/>
      <c r="F9" s="5"/>
      <c r="G9" s="5"/>
      <c r="H9" s="5"/>
      <c r="I9" s="5"/>
      <c r="J9" s="5"/>
      <c r="K9" s="2248" t="s">
        <v>73</v>
      </c>
      <c r="L9" s="2248"/>
      <c r="M9" s="2249"/>
    </row>
    <row r="10" spans="2:15" ht="15.75" thickBot="1" x14ac:dyDescent="0.3">
      <c r="B10" s="1"/>
      <c r="C10" s="7" t="s">
        <v>5</v>
      </c>
      <c r="D10" s="8"/>
      <c r="E10" s="8"/>
      <c r="F10" s="8"/>
      <c r="G10" s="8"/>
      <c r="H10" s="8"/>
      <c r="I10" s="8"/>
      <c r="J10" s="8"/>
      <c r="K10" s="9"/>
      <c r="L10" s="9"/>
      <c r="M10" s="10"/>
    </row>
    <row r="11" spans="2:15" x14ac:dyDescent="0.25">
      <c r="B11" s="1"/>
      <c r="C11" s="11" t="s">
        <v>6</v>
      </c>
      <c r="D11" s="12"/>
      <c r="E11" s="12"/>
      <c r="F11" s="12"/>
      <c r="G11" s="12"/>
      <c r="H11" s="12"/>
      <c r="I11" s="12"/>
      <c r="J11" s="12"/>
      <c r="K11" s="2244"/>
      <c r="L11" s="2245"/>
      <c r="M11" s="13"/>
      <c r="O11" s="38"/>
    </row>
    <row r="12" spans="2:15" ht="26.25" customHeight="1" x14ac:dyDescent="0.25">
      <c r="B12" s="1"/>
      <c r="C12" s="2213"/>
      <c r="D12" s="2214"/>
      <c r="E12" s="2214"/>
      <c r="F12" s="2214"/>
      <c r="G12" s="2214"/>
      <c r="H12" s="2214"/>
      <c r="I12" s="2214"/>
      <c r="J12" s="2215"/>
      <c r="K12" s="2241">
        <f>VLOOKUP(H7,Tarifas!D4:H303,3)</f>
        <v>0.13900000000000001</v>
      </c>
      <c r="L12" s="2240"/>
      <c r="M12" s="13"/>
      <c r="O12" s="3" t="s">
        <v>63</v>
      </c>
    </row>
    <row r="13" spans="2:15" x14ac:dyDescent="0.25">
      <c r="B13" s="1"/>
      <c r="C13" s="2213"/>
      <c r="D13" s="2214"/>
      <c r="E13" s="2214"/>
      <c r="F13" s="2214"/>
      <c r="G13" s="2214"/>
      <c r="H13" s="2214"/>
      <c r="I13" s="2214"/>
      <c r="J13" s="2215"/>
      <c r="K13" s="2241">
        <v>850</v>
      </c>
      <c r="L13" s="2240"/>
      <c r="M13" s="13" t="s">
        <v>7</v>
      </c>
      <c r="O13" s="38"/>
    </row>
    <row r="14" spans="2:15" x14ac:dyDescent="0.25">
      <c r="B14" s="1"/>
      <c r="C14" s="2213"/>
      <c r="D14" s="2214"/>
      <c r="E14" s="2214"/>
      <c r="F14" s="2214"/>
      <c r="G14" s="2214"/>
      <c r="H14" s="2214"/>
      <c r="I14" s="2214"/>
      <c r="J14" s="2215"/>
      <c r="K14" s="2241">
        <v>850</v>
      </c>
      <c r="L14" s="2240"/>
      <c r="M14" s="13" t="s">
        <v>7</v>
      </c>
      <c r="O14" s="38"/>
    </row>
    <row r="15" spans="2:15" ht="15.75" thickBot="1" x14ac:dyDescent="0.3">
      <c r="B15" s="1"/>
      <c r="C15" s="2210"/>
      <c r="D15" s="2211"/>
      <c r="E15" s="2211"/>
      <c r="F15" s="2211"/>
      <c r="G15" s="2211"/>
      <c r="H15" s="2211"/>
      <c r="I15" s="2211"/>
      <c r="J15" s="2212"/>
      <c r="K15" s="2242">
        <v>31482640</v>
      </c>
      <c r="L15" s="2243"/>
      <c r="M15" s="13" t="s">
        <v>8</v>
      </c>
      <c r="O15" s="304"/>
    </row>
    <row r="16" spans="2:15" x14ac:dyDescent="0.25">
      <c r="B16" s="3"/>
      <c r="C16" s="14" t="s">
        <v>9</v>
      </c>
      <c r="D16" s="15"/>
      <c r="E16" s="15"/>
      <c r="F16" s="15"/>
      <c r="G16" s="15"/>
      <c r="H16" s="15"/>
      <c r="I16" s="15"/>
      <c r="J16" s="15"/>
      <c r="K16" s="2235"/>
      <c r="L16" s="2235"/>
      <c r="M16" s="16">
        <f>+K12*(K13/K14)*K15</f>
        <v>4376086.96</v>
      </c>
      <c r="O16" s="36"/>
    </row>
    <row r="17" spans="2:15" x14ac:dyDescent="0.25">
      <c r="B17" s="1"/>
      <c r="C17" s="17"/>
      <c r="D17" s="18"/>
      <c r="E17" s="18"/>
      <c r="F17" s="18"/>
      <c r="G17" s="18"/>
      <c r="H17" s="18"/>
      <c r="I17" s="18"/>
      <c r="J17" s="18"/>
      <c r="K17" s="18"/>
      <c r="L17" s="18" t="s">
        <v>75</v>
      </c>
      <c r="M17" s="305">
        <v>4376086.96</v>
      </c>
      <c r="O17" s="36"/>
    </row>
    <row r="18" spans="2:15" x14ac:dyDescent="0.25">
      <c r="B18" s="1"/>
      <c r="C18" s="17"/>
      <c r="D18" s="18"/>
      <c r="E18" s="18"/>
      <c r="F18" s="18"/>
      <c r="G18" s="18"/>
      <c r="H18" s="18"/>
      <c r="I18" s="18"/>
      <c r="J18" s="18"/>
      <c r="K18" s="18"/>
      <c r="L18" s="18" t="s">
        <v>74</v>
      </c>
      <c r="M18" s="299">
        <f>M16-M17</f>
        <v>0</v>
      </c>
      <c r="O18" s="36"/>
    </row>
    <row r="19" spans="2:15" ht="15.75" thickBot="1" x14ac:dyDescent="0.3">
      <c r="B19" s="1"/>
      <c r="C19" s="7" t="s">
        <v>10</v>
      </c>
      <c r="D19" s="8"/>
      <c r="E19" s="8"/>
      <c r="F19" s="8"/>
      <c r="G19" s="8"/>
      <c r="H19" s="8"/>
      <c r="I19" s="8"/>
      <c r="J19" s="8"/>
      <c r="K19" s="9"/>
      <c r="L19" s="9"/>
      <c r="M19" s="10"/>
    </row>
    <row r="20" spans="2:15" ht="22.5" customHeight="1" x14ac:dyDescent="0.25">
      <c r="B20" s="1"/>
      <c r="C20" s="11" t="s">
        <v>6</v>
      </c>
      <c r="D20" s="12"/>
      <c r="E20" s="12"/>
      <c r="F20" s="12"/>
      <c r="G20" s="12"/>
      <c r="H20" s="12"/>
      <c r="I20" s="12"/>
      <c r="J20" s="12"/>
      <c r="K20" s="2244"/>
      <c r="L20" s="2245"/>
      <c r="M20" s="13"/>
    </row>
    <row r="21" spans="2:15" ht="21.75" customHeight="1" x14ac:dyDescent="0.25">
      <c r="B21" s="1"/>
      <c r="C21" s="2213"/>
      <c r="D21" s="2214"/>
      <c r="E21" s="2214"/>
      <c r="F21" s="2214"/>
      <c r="G21" s="2214"/>
      <c r="H21" s="2214"/>
      <c r="I21" s="2214"/>
      <c r="J21" s="2215"/>
      <c r="K21" s="2241">
        <f>VLOOKUP(H7,Tarifas!D4:H303,5)</f>
        <v>1E-3</v>
      </c>
      <c r="L21" s="2240"/>
      <c r="M21" s="13" t="s">
        <v>11</v>
      </c>
      <c r="O21" s="3" t="s">
        <v>63</v>
      </c>
    </row>
    <row r="22" spans="2:15" ht="15" customHeight="1" x14ac:dyDescent="0.25">
      <c r="B22" s="1"/>
      <c r="C22" s="2213"/>
      <c r="D22" s="2214"/>
      <c r="E22" s="2214"/>
      <c r="F22" s="2214"/>
      <c r="G22" s="2214"/>
      <c r="H22" s="2214"/>
      <c r="I22" s="2214"/>
      <c r="J22" s="2215"/>
      <c r="K22" s="2246">
        <v>201.4</v>
      </c>
      <c r="L22" s="2247"/>
      <c r="M22" s="13" t="s">
        <v>12</v>
      </c>
      <c r="O22" s="3" t="s">
        <v>62</v>
      </c>
    </row>
    <row r="23" spans="2:15" ht="21.75" customHeight="1" x14ac:dyDescent="0.25">
      <c r="B23" s="1"/>
      <c r="C23" s="2216"/>
      <c r="D23" s="2217"/>
      <c r="E23" s="2217"/>
      <c r="F23" s="2217"/>
      <c r="G23" s="2217"/>
      <c r="H23" s="2217"/>
      <c r="I23" s="2217"/>
      <c r="J23" s="2218"/>
      <c r="K23" s="2246">
        <v>201.2</v>
      </c>
      <c r="L23" s="2247"/>
      <c r="M23" s="13" t="s">
        <v>12</v>
      </c>
      <c r="O23" s="3" t="s">
        <v>67</v>
      </c>
    </row>
    <row r="24" spans="2:15" x14ac:dyDescent="0.25">
      <c r="B24" s="1"/>
      <c r="C24" s="19"/>
      <c r="D24" s="20"/>
      <c r="E24" s="20"/>
      <c r="F24" s="20"/>
      <c r="G24" s="20"/>
      <c r="H24" s="20"/>
      <c r="I24" s="20"/>
      <c r="J24" s="21"/>
      <c r="K24" s="2239">
        <f>IFERROR(K23/K22,0)</f>
        <v>0.99900695134061557</v>
      </c>
      <c r="L24" s="2240"/>
      <c r="M24" s="13"/>
    </row>
    <row r="25" spans="2:15" ht="15.75" thickBot="1" x14ac:dyDescent="0.3">
      <c r="B25" s="1"/>
      <c r="C25" s="2207"/>
      <c r="D25" s="2208"/>
      <c r="E25" s="2208"/>
      <c r="F25" s="2208"/>
      <c r="G25" s="2208"/>
      <c r="H25" s="2208"/>
      <c r="I25" s="2208"/>
      <c r="J25" s="2209"/>
      <c r="K25" s="2233">
        <v>2156693.12</v>
      </c>
      <c r="L25" s="2234"/>
      <c r="M25" s="13" t="s">
        <v>8</v>
      </c>
      <c r="O25" s="37" t="s">
        <v>66</v>
      </c>
    </row>
    <row r="26" spans="2:15" x14ac:dyDescent="0.25">
      <c r="B26" s="1"/>
      <c r="C26" s="14" t="s">
        <v>13</v>
      </c>
      <c r="D26" s="15"/>
      <c r="E26" s="15"/>
      <c r="F26" s="15"/>
      <c r="G26" s="15"/>
      <c r="H26" s="15"/>
      <c r="I26" s="15"/>
      <c r="J26" s="15"/>
      <c r="K26" s="2235"/>
      <c r="L26" s="2235"/>
      <c r="M26" s="16">
        <f>+K21*K24*K25</f>
        <v>2154.5514187884805</v>
      </c>
      <c r="O26" s="38"/>
    </row>
    <row r="27" spans="2:15" x14ac:dyDescent="0.25">
      <c r="B27" s="1"/>
      <c r="C27" s="306"/>
      <c r="D27" s="307"/>
      <c r="E27" s="307"/>
      <c r="F27" s="307"/>
      <c r="G27" s="307"/>
      <c r="H27" s="307"/>
      <c r="I27" s="307"/>
      <c r="J27" s="307"/>
      <c r="K27" s="308"/>
      <c r="L27" s="310" t="s">
        <v>75</v>
      </c>
      <c r="M27" s="309">
        <v>2154.5500000000002</v>
      </c>
      <c r="O27" s="38"/>
    </row>
    <row r="28" spans="2:15" x14ac:dyDescent="0.25">
      <c r="B28" s="1"/>
      <c r="C28" s="306"/>
      <c r="D28" s="307"/>
      <c r="E28" s="307"/>
      <c r="F28" s="307"/>
      <c r="G28" s="307"/>
      <c r="H28" s="307"/>
      <c r="I28" s="307"/>
      <c r="J28" s="307"/>
      <c r="K28" s="308"/>
      <c r="L28" s="310" t="s">
        <v>74</v>
      </c>
      <c r="M28" s="309">
        <f>M26-M27</f>
        <v>1.4187884803504858E-3</v>
      </c>
      <c r="O28" s="38"/>
    </row>
    <row r="29" spans="2:15" x14ac:dyDescent="0.25">
      <c r="B29" s="1"/>
      <c r="C29" s="306"/>
      <c r="D29" s="307"/>
      <c r="E29" s="307"/>
      <c r="F29" s="307"/>
      <c r="G29" s="307"/>
      <c r="H29" s="307"/>
      <c r="I29" s="307"/>
      <c r="J29" s="307"/>
      <c r="K29" s="308"/>
      <c r="L29" s="308"/>
      <c r="M29" s="309"/>
      <c r="O29" s="38"/>
    </row>
    <row r="30" spans="2:15" ht="15" customHeight="1" x14ac:dyDescent="0.25">
      <c r="B30" s="1"/>
      <c r="C30" s="22" t="s">
        <v>70</v>
      </c>
      <c r="D30" s="23"/>
      <c r="E30" s="23"/>
      <c r="F30" s="23"/>
      <c r="G30" s="23"/>
      <c r="H30" s="23"/>
      <c r="I30" s="23"/>
      <c r="J30" s="23"/>
      <c r="K30" s="24"/>
      <c r="L30" s="24"/>
      <c r="M30" s="16">
        <f>+M16+M26</f>
        <v>4378241.5114187887</v>
      </c>
      <c r="O30" s="298"/>
    </row>
    <row r="31" spans="2:15" ht="15" customHeight="1" x14ac:dyDescent="0.25">
      <c r="B31" s="1"/>
      <c r="C31" s="22" t="str">
        <f>"% de Impuestos del mes: "&amp;H7</f>
        <v>% de Impuestos del mes: 17</v>
      </c>
      <c r="D31" s="23"/>
      <c r="E31" s="23"/>
      <c r="F31" s="23"/>
      <c r="G31" s="300" t="str">
        <f>"("&amp;VLOOKUP(H7,Tarifas!D4:H303,4)&amp;")"</f>
        <v>(2.057%)</v>
      </c>
      <c r="H31" s="23"/>
      <c r="I31" s="301"/>
      <c r="J31" s="302"/>
      <c r="K31" s="24"/>
      <c r="L31" s="24"/>
      <c r="M31" s="13"/>
      <c r="O31" s="38"/>
    </row>
    <row r="32" spans="2:15" x14ac:dyDescent="0.25">
      <c r="B32" s="1"/>
      <c r="C32" s="25" t="s">
        <v>14</v>
      </c>
      <c r="D32" s="26"/>
      <c r="E32" s="26"/>
      <c r="F32" s="26"/>
      <c r="G32" s="26"/>
      <c r="H32" s="26"/>
      <c r="I32" s="26"/>
      <c r="J32" s="18"/>
      <c r="K32" s="208"/>
      <c r="L32" s="18"/>
      <c r="M32" s="16">
        <f>+M30*0.16</f>
        <v>700518.64182700624</v>
      </c>
      <c r="O32" s="36"/>
    </row>
    <row r="33" spans="2:16" x14ac:dyDescent="0.25">
      <c r="B33" s="1"/>
      <c r="C33" s="27" t="s">
        <v>15</v>
      </c>
      <c r="D33" s="28"/>
      <c r="E33" s="28"/>
      <c r="F33" s="28"/>
      <c r="G33" s="28"/>
      <c r="H33" s="28"/>
      <c r="I33" s="28"/>
      <c r="J33" s="29"/>
      <c r="K33" s="30"/>
      <c r="L33" s="30"/>
      <c r="M33" s="16">
        <f>+M32+M30</f>
        <v>5078760.1532457946</v>
      </c>
      <c r="O33" s="36"/>
    </row>
    <row r="34" spans="2:16" x14ac:dyDescent="0.25">
      <c r="B34" s="1"/>
      <c r="C34" s="17"/>
      <c r="D34" s="18"/>
      <c r="E34" s="18"/>
      <c r="F34" s="18"/>
      <c r="G34" s="18"/>
      <c r="H34" s="18"/>
      <c r="I34" s="18"/>
      <c r="J34" s="18"/>
      <c r="K34" s="18"/>
      <c r="L34" s="18"/>
      <c r="M34" s="13"/>
    </row>
    <row r="35" spans="2:16" x14ac:dyDescent="0.25">
      <c r="B35" s="1"/>
      <c r="C35" s="17" t="s">
        <v>71</v>
      </c>
      <c r="D35" s="18"/>
      <c r="E35" s="18"/>
      <c r="F35" s="18"/>
      <c r="G35" s="18"/>
      <c r="H35" s="18"/>
      <c r="I35" s="18"/>
      <c r="J35" s="18"/>
      <c r="K35" s="18"/>
      <c r="L35" s="18"/>
      <c r="M35" s="299">
        <f>(M16*1.16)</f>
        <v>5076260.8735999996</v>
      </c>
      <c r="O35" s="36"/>
      <c r="P35" s="36"/>
    </row>
    <row r="36" spans="2:16" x14ac:dyDescent="0.25">
      <c r="B36" s="1"/>
      <c r="C36" s="17" t="s">
        <v>72</v>
      </c>
      <c r="D36" s="18"/>
      <c r="E36" s="18"/>
      <c r="F36" s="18"/>
      <c r="G36" s="18"/>
      <c r="H36" s="18"/>
      <c r="I36" s="18"/>
      <c r="J36" s="18"/>
      <c r="K36" s="18"/>
      <c r="L36" s="18"/>
      <c r="M36" s="299">
        <f>(M26*1.16)+M31</f>
        <v>2499.2796457946374</v>
      </c>
      <c r="O36" s="36"/>
      <c r="P36" s="36"/>
    </row>
    <row r="37" spans="2:16" x14ac:dyDescent="0.25">
      <c r="B37" s="1"/>
      <c r="C37" s="17"/>
      <c r="D37" s="18"/>
      <c r="E37" s="18"/>
      <c r="F37" s="18"/>
      <c r="G37" s="18"/>
      <c r="H37" s="18"/>
      <c r="I37" s="18"/>
      <c r="J37" s="18"/>
      <c r="K37" s="18"/>
      <c r="L37" s="18"/>
      <c r="M37" s="13"/>
    </row>
    <row r="38" spans="2:16" x14ac:dyDescent="0.25">
      <c r="B38" s="1"/>
      <c r="C38" s="7" t="s">
        <v>16</v>
      </c>
      <c r="D38" s="8"/>
      <c r="E38" s="8"/>
      <c r="F38" s="8"/>
      <c r="G38" s="8"/>
      <c r="H38" s="8"/>
      <c r="I38" s="8"/>
      <c r="J38" s="8"/>
      <c r="K38" s="9"/>
      <c r="L38" s="9"/>
      <c r="M38" s="10"/>
    </row>
    <row r="39" spans="2:16" x14ac:dyDescent="0.25">
      <c r="B39" s="1"/>
      <c r="C39" s="31" t="s">
        <v>17</v>
      </c>
      <c r="D39" s="32" t="s">
        <v>18</v>
      </c>
      <c r="E39" s="32" t="s">
        <v>19</v>
      </c>
      <c r="F39" s="2236" t="s">
        <v>20</v>
      </c>
      <c r="G39" s="2237"/>
      <c r="H39" s="2238" t="s">
        <v>1</v>
      </c>
      <c r="I39" s="2238"/>
      <c r="J39" s="2238" t="s">
        <v>21</v>
      </c>
      <c r="K39" s="2238"/>
      <c r="L39" s="18"/>
      <c r="M39" s="13"/>
    </row>
    <row r="40" spans="2:16" x14ac:dyDescent="0.25">
      <c r="B40" s="1"/>
      <c r="C40" s="33">
        <v>2044</v>
      </c>
      <c r="D40" s="303">
        <v>2044</v>
      </c>
      <c r="E40" s="303" t="s">
        <v>22</v>
      </c>
      <c r="F40" s="2224" t="s">
        <v>23</v>
      </c>
      <c r="G40" s="2224"/>
      <c r="H40" s="2225"/>
      <c r="I40" s="2225"/>
      <c r="J40" s="2226"/>
      <c r="K40" s="2226"/>
      <c r="L40" s="18"/>
      <c r="M40" s="13"/>
      <c r="N40" s="1"/>
    </row>
    <row r="41" spans="2:16" x14ac:dyDescent="0.25">
      <c r="B41" s="1"/>
      <c r="C41" s="33"/>
      <c r="D41" s="303"/>
      <c r="E41" s="303" t="s">
        <v>25</v>
      </c>
      <c r="F41" s="2227"/>
      <c r="G41" s="2228"/>
      <c r="H41" s="2229"/>
      <c r="I41" s="2230"/>
      <c r="J41" s="2231"/>
      <c r="K41" s="2232"/>
      <c r="L41" s="18"/>
      <c r="M41" s="13"/>
      <c r="N41" s="1"/>
    </row>
    <row r="42" spans="2:16" x14ac:dyDescent="0.25">
      <c r="B42" s="1"/>
      <c r="C42" s="33"/>
      <c r="D42" s="303"/>
      <c r="E42" s="303" t="s">
        <v>26</v>
      </c>
      <c r="F42" s="2227"/>
      <c r="G42" s="2228"/>
      <c r="H42" s="2229"/>
      <c r="I42" s="2230"/>
      <c r="J42" s="2231"/>
      <c r="K42" s="2232"/>
      <c r="L42" s="18"/>
      <c r="M42" s="13"/>
      <c r="N42" s="1"/>
    </row>
    <row r="43" spans="2:16" x14ac:dyDescent="0.25">
      <c r="B43" s="1"/>
      <c r="C43" s="33">
        <v>2044</v>
      </c>
      <c r="D43" s="303">
        <v>2044</v>
      </c>
      <c r="E43" s="303" t="s">
        <v>27</v>
      </c>
      <c r="F43" s="2224" t="s">
        <v>28</v>
      </c>
      <c r="G43" s="2224"/>
      <c r="H43" s="2225"/>
      <c r="I43" s="2225"/>
      <c r="J43" s="2226"/>
      <c r="K43" s="2226"/>
      <c r="L43" s="18"/>
      <c r="M43" s="13"/>
      <c r="N43" s="1"/>
    </row>
    <row r="44" spans="2:16" x14ac:dyDescent="0.25">
      <c r="B44" s="1"/>
      <c r="C44" s="2219" t="s">
        <v>24</v>
      </c>
      <c r="D44" s="2220"/>
      <c r="E44" s="2220"/>
      <c r="F44" s="2220"/>
      <c r="G44" s="2221"/>
      <c r="H44" s="2222">
        <f>SUM(H40:H43)</f>
        <v>0</v>
      </c>
      <c r="I44" s="2223"/>
      <c r="J44" s="3"/>
      <c r="K44" s="3"/>
      <c r="L44" s="18"/>
      <c r="M44" s="13"/>
      <c r="N44" s="1"/>
    </row>
    <row r="45" spans="2:16" x14ac:dyDescent="0.25">
      <c r="B45" s="1"/>
      <c r="C45" s="17"/>
      <c r="D45" s="18"/>
      <c r="E45" s="18"/>
      <c r="F45" s="18"/>
      <c r="G45" s="18"/>
      <c r="H45" s="18"/>
      <c r="I45" s="18"/>
      <c r="J45" s="18"/>
      <c r="K45" s="18"/>
      <c r="L45" s="18"/>
      <c r="M45" s="13"/>
    </row>
  </sheetData>
  <mergeCells count="44">
    <mergeCell ref="F41:G41"/>
    <mergeCell ref="H41:I41"/>
    <mergeCell ref="J41:K41"/>
    <mergeCell ref="C44:G44"/>
    <mergeCell ref="H44:I44"/>
    <mergeCell ref="F42:G42"/>
    <mergeCell ref="H42:I42"/>
    <mergeCell ref="J42:K42"/>
    <mergeCell ref="F43:G43"/>
    <mergeCell ref="H43:I43"/>
    <mergeCell ref="J43:K43"/>
    <mergeCell ref="C23:J23"/>
    <mergeCell ref="K23:L23"/>
    <mergeCell ref="F40:G40"/>
    <mergeCell ref="H40:I40"/>
    <mergeCell ref="J40:K40"/>
    <mergeCell ref="K26:L26"/>
    <mergeCell ref="F39:G39"/>
    <mergeCell ref="H39:I39"/>
    <mergeCell ref="J39:K39"/>
    <mergeCell ref="K24:L24"/>
    <mergeCell ref="C25:J25"/>
    <mergeCell ref="K25:L25"/>
    <mergeCell ref="K9:M9"/>
    <mergeCell ref="K11:L11"/>
    <mergeCell ref="C12:J12"/>
    <mergeCell ref="K12:L12"/>
    <mergeCell ref="C13:J13"/>
    <mergeCell ref="K13:L13"/>
    <mergeCell ref="C14:J14"/>
    <mergeCell ref="K14:L14"/>
    <mergeCell ref="K21:L21"/>
    <mergeCell ref="C22:J22"/>
    <mergeCell ref="K22:L22"/>
    <mergeCell ref="C15:J15"/>
    <mergeCell ref="K15:L15"/>
    <mergeCell ref="K16:L16"/>
    <mergeCell ref="K20:L20"/>
    <mergeCell ref="C21:J21"/>
    <mergeCell ref="C3:M4"/>
    <mergeCell ref="C5:M5"/>
    <mergeCell ref="C6:M6"/>
    <mergeCell ref="C7:G7"/>
    <mergeCell ref="C8:G8"/>
  </mergeCells>
  <pageMargins left="0.7" right="0.7" top="0.93" bottom="0.75" header="0.3" footer="0.3"/>
  <pageSetup scale="93" fitToHeight="0" orientation="portrait" r:id="rId1"/>
  <headerFooter>
    <oddHeader>&amp;L&amp;G&amp;R&amp;"Arial,Negrita"Direccion de Operacion&amp;"Arial,Normal"
Subdireccion de Energeticos
Subgerencia Regional de Energeticos</oddHeader>
  </headerFooter>
  <drawing r:id="rId2"/>
  <legacyDrawingHF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45"/>
  <sheetViews>
    <sheetView workbookViewId="0"/>
  </sheetViews>
  <sheetFormatPr baseColWidth="10" defaultColWidth="11" defaultRowHeight="15" x14ac:dyDescent="0.25"/>
  <cols>
    <col min="1" max="1" width="11" style="2"/>
    <col min="2" max="2" width="2.875" style="2" customWidth="1"/>
    <col min="3" max="9" width="5.625" style="2" customWidth="1"/>
    <col min="10" max="10" width="11" style="2" customWidth="1"/>
    <col min="11" max="11" width="5.375" style="2" customWidth="1"/>
    <col min="12" max="12" width="7.625" style="2" bestFit="1" customWidth="1"/>
    <col min="13" max="13" width="10.5" style="2" bestFit="1" customWidth="1"/>
    <col min="14" max="14" width="4.125" style="6" customWidth="1"/>
    <col min="15" max="15" width="39.625" style="3" bestFit="1" customWidth="1"/>
    <col min="16" max="16384" width="11" style="3"/>
  </cols>
  <sheetData>
    <row r="2" spans="2:15" ht="15.75" thickBot="1" x14ac:dyDescent="0.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2:15" ht="15" customHeight="1" x14ac:dyDescent="0.25">
      <c r="B3" s="1"/>
      <c r="C3" s="2250" t="s">
        <v>0</v>
      </c>
      <c r="D3" s="2251"/>
      <c r="E3" s="2251"/>
      <c r="F3" s="2251"/>
      <c r="G3" s="2251"/>
      <c r="H3" s="2251"/>
      <c r="I3" s="2251"/>
      <c r="J3" s="2251"/>
      <c r="K3" s="2251"/>
      <c r="L3" s="2251"/>
      <c r="M3" s="2252"/>
    </row>
    <row r="4" spans="2:15" ht="15" customHeight="1" x14ac:dyDescent="0.25">
      <c r="B4" s="1"/>
      <c r="C4" s="2253"/>
      <c r="D4" s="2254"/>
      <c r="E4" s="2254"/>
      <c r="F4" s="2254"/>
      <c r="G4" s="2254"/>
      <c r="H4" s="2254"/>
      <c r="I4" s="2254"/>
      <c r="J4" s="2254"/>
      <c r="K4" s="2254"/>
      <c r="L4" s="2254"/>
      <c r="M4" s="2255"/>
    </row>
    <row r="5" spans="2:15" x14ac:dyDescent="0.25">
      <c r="B5" s="1"/>
      <c r="C5" s="2256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8"/>
    </row>
    <row r="6" spans="2:15" x14ac:dyDescent="0.25">
      <c r="B6" s="1"/>
      <c r="C6" s="2256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8"/>
    </row>
    <row r="7" spans="2:15" ht="15" customHeight="1" x14ac:dyDescent="0.25">
      <c r="B7" s="1"/>
      <c r="C7" s="2259" t="s">
        <v>3</v>
      </c>
      <c r="D7" s="2260"/>
      <c r="E7" s="2260"/>
      <c r="F7" s="2260"/>
      <c r="G7" s="2260"/>
      <c r="H7" s="207">
        <v>18</v>
      </c>
      <c r="I7" s="296">
        <f>VLOOKUP(H7,Tarifas!D4:H303,2)</f>
        <v>42005</v>
      </c>
      <c r="J7" s="296"/>
      <c r="K7" s="296"/>
      <c r="L7" s="296"/>
      <c r="M7" s="297"/>
      <c r="O7" s="3" t="s">
        <v>64</v>
      </c>
    </row>
    <row r="8" spans="2:15" x14ac:dyDescent="0.25">
      <c r="B8" s="1"/>
      <c r="C8" s="2259" t="s">
        <v>4</v>
      </c>
      <c r="D8" s="2260"/>
      <c r="E8" s="2260"/>
      <c r="F8" s="2260"/>
      <c r="G8" s="2260"/>
      <c r="H8" s="207" t="s">
        <v>78</v>
      </c>
      <c r="I8" s="296"/>
      <c r="J8" s="296"/>
      <c r="K8" s="296"/>
      <c r="L8" s="296"/>
      <c r="M8" s="297"/>
    </row>
    <row r="9" spans="2:15" x14ac:dyDescent="0.25">
      <c r="B9" s="1"/>
      <c r="C9" s="4"/>
      <c r="D9" s="5"/>
      <c r="E9" s="5"/>
      <c r="F9" s="5"/>
      <c r="G9" s="5"/>
      <c r="H9" s="5"/>
      <c r="I9" s="5"/>
      <c r="J9" s="5"/>
      <c r="K9" s="2248" t="s">
        <v>73</v>
      </c>
      <c r="L9" s="2248"/>
      <c r="M9" s="2249"/>
    </row>
    <row r="10" spans="2:15" ht="15.75" thickBot="1" x14ac:dyDescent="0.3">
      <c r="B10" s="1"/>
      <c r="C10" s="7" t="s">
        <v>5</v>
      </c>
      <c r="D10" s="8"/>
      <c r="E10" s="8"/>
      <c r="F10" s="8"/>
      <c r="G10" s="8"/>
      <c r="H10" s="8"/>
      <c r="I10" s="8"/>
      <c r="J10" s="8"/>
      <c r="K10" s="9"/>
      <c r="L10" s="9"/>
      <c r="M10" s="10"/>
    </row>
    <row r="11" spans="2:15" x14ac:dyDescent="0.25">
      <c r="B11" s="1"/>
      <c r="C11" s="11" t="s">
        <v>6</v>
      </c>
      <c r="D11" s="12"/>
      <c r="E11" s="12"/>
      <c r="F11" s="12"/>
      <c r="G11" s="12"/>
      <c r="H11" s="12"/>
      <c r="I11" s="12"/>
      <c r="J11" s="12"/>
      <c r="K11" s="2244"/>
      <c r="L11" s="2245"/>
      <c r="M11" s="13"/>
      <c r="O11" s="38"/>
    </row>
    <row r="12" spans="2:15" ht="26.25" customHeight="1" x14ac:dyDescent="0.25">
      <c r="B12" s="1"/>
      <c r="C12" s="2213"/>
      <c r="D12" s="2214"/>
      <c r="E12" s="2214"/>
      <c r="F12" s="2214"/>
      <c r="G12" s="2214"/>
      <c r="H12" s="2214"/>
      <c r="I12" s="2214"/>
      <c r="J12" s="2215"/>
      <c r="K12" s="2241">
        <f>VLOOKUP(H7,Tarifas!D4:H303,3)</f>
        <v>0.14699999999999999</v>
      </c>
      <c r="L12" s="2240"/>
      <c r="M12" s="13"/>
      <c r="O12" s="3" t="s">
        <v>63</v>
      </c>
    </row>
    <row r="13" spans="2:15" x14ac:dyDescent="0.25">
      <c r="B13" s="1"/>
      <c r="C13" s="2213"/>
      <c r="D13" s="2214"/>
      <c r="E13" s="2214"/>
      <c r="F13" s="2214"/>
      <c r="G13" s="2214"/>
      <c r="H13" s="2214"/>
      <c r="I13" s="2214"/>
      <c r="J13" s="2215"/>
      <c r="K13" s="2241">
        <v>850</v>
      </c>
      <c r="L13" s="2240"/>
      <c r="M13" s="13" t="s">
        <v>7</v>
      </c>
      <c r="O13" s="38"/>
    </row>
    <row r="14" spans="2:15" x14ac:dyDescent="0.25">
      <c r="B14" s="1"/>
      <c r="C14" s="2213"/>
      <c r="D14" s="2214"/>
      <c r="E14" s="2214"/>
      <c r="F14" s="2214"/>
      <c r="G14" s="2214"/>
      <c r="H14" s="2214"/>
      <c r="I14" s="2214"/>
      <c r="J14" s="2215"/>
      <c r="K14" s="2241">
        <v>850</v>
      </c>
      <c r="L14" s="2240"/>
      <c r="M14" s="13" t="s">
        <v>7</v>
      </c>
      <c r="O14" s="38"/>
    </row>
    <row r="15" spans="2:15" ht="15.75" thickBot="1" x14ac:dyDescent="0.3">
      <c r="B15" s="1"/>
      <c r="C15" s="2210"/>
      <c r="D15" s="2211"/>
      <c r="E15" s="2211"/>
      <c r="F15" s="2211"/>
      <c r="G15" s="2211"/>
      <c r="H15" s="2211"/>
      <c r="I15" s="2211"/>
      <c r="J15" s="2212"/>
      <c r="K15" s="2242">
        <v>31482640</v>
      </c>
      <c r="L15" s="2243"/>
      <c r="M15" s="13" t="s">
        <v>8</v>
      </c>
      <c r="O15" s="304"/>
    </row>
    <row r="16" spans="2:15" x14ac:dyDescent="0.25">
      <c r="B16" s="3"/>
      <c r="C16" s="14" t="s">
        <v>9</v>
      </c>
      <c r="D16" s="15"/>
      <c r="E16" s="15"/>
      <c r="F16" s="15"/>
      <c r="G16" s="15"/>
      <c r="H16" s="15"/>
      <c r="I16" s="15"/>
      <c r="J16" s="15"/>
      <c r="K16" s="2235"/>
      <c r="L16" s="2235"/>
      <c r="M16" s="16">
        <f>+K12*(K13/K14)*K15</f>
        <v>4627948.08</v>
      </c>
      <c r="O16" s="36"/>
    </row>
    <row r="17" spans="2:15" x14ac:dyDescent="0.25">
      <c r="B17" s="1"/>
      <c r="C17" s="17"/>
      <c r="D17" s="18"/>
      <c r="E17" s="18"/>
      <c r="F17" s="18"/>
      <c r="G17" s="18"/>
      <c r="H17" s="18"/>
      <c r="I17" s="18"/>
      <c r="J17" s="18"/>
      <c r="K17" s="18"/>
      <c r="L17" s="18" t="s">
        <v>75</v>
      </c>
      <c r="M17" s="305">
        <v>4627948.08</v>
      </c>
      <c r="O17" s="36"/>
    </row>
    <row r="18" spans="2:15" x14ac:dyDescent="0.25">
      <c r="B18" s="1"/>
      <c r="C18" s="17"/>
      <c r="D18" s="18"/>
      <c r="E18" s="18"/>
      <c r="F18" s="18"/>
      <c r="G18" s="18"/>
      <c r="H18" s="18"/>
      <c r="I18" s="18"/>
      <c r="J18" s="18"/>
      <c r="K18" s="18"/>
      <c r="L18" s="18" t="s">
        <v>74</v>
      </c>
      <c r="M18" s="299">
        <f>M16-M17</f>
        <v>0</v>
      </c>
      <c r="O18" s="36"/>
    </row>
    <row r="19" spans="2:15" ht="15.75" thickBot="1" x14ac:dyDescent="0.3">
      <c r="B19" s="1"/>
      <c r="C19" s="7" t="s">
        <v>10</v>
      </c>
      <c r="D19" s="8"/>
      <c r="E19" s="8"/>
      <c r="F19" s="8"/>
      <c r="G19" s="8"/>
      <c r="H19" s="8"/>
      <c r="I19" s="8"/>
      <c r="J19" s="8"/>
      <c r="K19" s="9"/>
      <c r="L19" s="9"/>
      <c r="M19" s="10"/>
    </row>
    <row r="20" spans="2:15" ht="22.5" customHeight="1" x14ac:dyDescent="0.25">
      <c r="B20" s="1"/>
      <c r="C20" s="11" t="s">
        <v>6</v>
      </c>
      <c r="D20" s="12"/>
      <c r="E20" s="12"/>
      <c r="F20" s="12"/>
      <c r="G20" s="12"/>
      <c r="H20" s="12"/>
      <c r="I20" s="12"/>
      <c r="J20" s="12"/>
      <c r="K20" s="2244"/>
      <c r="L20" s="2245"/>
      <c r="M20" s="13"/>
    </row>
    <row r="21" spans="2:15" ht="21.75" customHeight="1" x14ac:dyDescent="0.25">
      <c r="B21" s="1"/>
      <c r="C21" s="2213"/>
      <c r="D21" s="2214"/>
      <c r="E21" s="2214"/>
      <c r="F21" s="2214"/>
      <c r="G21" s="2214"/>
      <c r="H21" s="2214"/>
      <c r="I21" s="2214"/>
      <c r="J21" s="2215"/>
      <c r="K21" s="2241">
        <f>VLOOKUP(H7,Tarifas!D4:H303,5)</f>
        <v>1E-3</v>
      </c>
      <c r="L21" s="2240"/>
      <c r="M21" s="13" t="s">
        <v>11</v>
      </c>
      <c r="O21" s="3" t="s">
        <v>63</v>
      </c>
    </row>
    <row r="22" spans="2:15" ht="15" customHeight="1" x14ac:dyDescent="0.25">
      <c r="B22" s="1"/>
      <c r="C22" s="2213"/>
      <c r="D22" s="2214"/>
      <c r="E22" s="2214"/>
      <c r="F22" s="2214"/>
      <c r="G22" s="2214"/>
      <c r="H22" s="2214"/>
      <c r="I22" s="2214"/>
      <c r="J22" s="2215"/>
      <c r="K22" s="2246">
        <v>201.4</v>
      </c>
      <c r="L22" s="2247"/>
      <c r="M22" s="13" t="s">
        <v>12</v>
      </c>
      <c r="O22" s="3" t="s">
        <v>62</v>
      </c>
    </row>
    <row r="23" spans="2:15" ht="21.75" customHeight="1" x14ac:dyDescent="0.25">
      <c r="B23" s="1"/>
      <c r="C23" s="2216"/>
      <c r="D23" s="2217"/>
      <c r="E23" s="2217"/>
      <c r="F23" s="2217"/>
      <c r="G23" s="2217"/>
      <c r="H23" s="2217"/>
      <c r="I23" s="2217"/>
      <c r="J23" s="2218"/>
      <c r="K23" s="2246">
        <v>197.6</v>
      </c>
      <c r="L23" s="2247"/>
      <c r="M23" s="13" t="s">
        <v>12</v>
      </c>
      <c r="O23" s="3" t="s">
        <v>67</v>
      </c>
    </row>
    <row r="24" spans="2:15" x14ac:dyDescent="0.25">
      <c r="B24" s="1"/>
      <c r="C24" s="19"/>
      <c r="D24" s="20"/>
      <c r="E24" s="20"/>
      <c r="F24" s="20"/>
      <c r="G24" s="20"/>
      <c r="H24" s="20"/>
      <c r="I24" s="20"/>
      <c r="J24" s="21"/>
      <c r="K24" s="2239">
        <f>IFERROR(K23/K22,0)</f>
        <v>0.98113207547169801</v>
      </c>
      <c r="L24" s="2240"/>
      <c r="M24" s="13"/>
    </row>
    <row r="25" spans="2:15" ht="15.75" thickBot="1" x14ac:dyDescent="0.3">
      <c r="B25" s="1"/>
      <c r="C25" s="2207"/>
      <c r="D25" s="2208"/>
      <c r="E25" s="2208"/>
      <c r="F25" s="2208"/>
      <c r="G25" s="2208"/>
      <c r="H25" s="2208"/>
      <c r="I25" s="2208"/>
      <c r="J25" s="2209"/>
      <c r="K25" s="2233">
        <v>2079298.02</v>
      </c>
      <c r="L25" s="2234"/>
      <c r="M25" s="13" t="s">
        <v>8</v>
      </c>
      <c r="O25" s="37" t="s">
        <v>66</v>
      </c>
    </row>
    <row r="26" spans="2:15" x14ac:dyDescent="0.25">
      <c r="B26" s="1"/>
      <c r="C26" s="14" t="s">
        <v>13</v>
      </c>
      <c r="D26" s="15"/>
      <c r="E26" s="15"/>
      <c r="F26" s="15"/>
      <c r="G26" s="15"/>
      <c r="H26" s="15"/>
      <c r="I26" s="15"/>
      <c r="J26" s="15"/>
      <c r="K26" s="2235"/>
      <c r="L26" s="2235"/>
      <c r="M26" s="16">
        <f>+K21*K24*K25</f>
        <v>2040.0659818867925</v>
      </c>
      <c r="O26" s="38"/>
    </row>
    <row r="27" spans="2:15" x14ac:dyDescent="0.25">
      <c r="B27" s="1"/>
      <c r="C27" s="306"/>
      <c r="D27" s="307"/>
      <c r="E27" s="307"/>
      <c r="F27" s="307"/>
      <c r="G27" s="307"/>
      <c r="H27" s="307"/>
      <c r="I27" s="307"/>
      <c r="J27" s="307"/>
      <c r="K27" s="308"/>
      <c r="L27" s="310" t="s">
        <v>75</v>
      </c>
      <c r="M27" s="309">
        <v>2040.07</v>
      </c>
      <c r="O27" s="38"/>
    </row>
    <row r="28" spans="2:15" x14ac:dyDescent="0.25">
      <c r="B28" s="1"/>
      <c r="C28" s="306"/>
      <c r="D28" s="307"/>
      <c r="E28" s="307"/>
      <c r="F28" s="307"/>
      <c r="G28" s="307"/>
      <c r="H28" s="307"/>
      <c r="I28" s="307"/>
      <c r="J28" s="307"/>
      <c r="K28" s="308"/>
      <c r="L28" s="310" t="s">
        <v>74</v>
      </c>
      <c r="M28" s="309">
        <f>M26-M27</f>
        <v>-4.0181132073939807E-3</v>
      </c>
      <c r="O28" s="38"/>
    </row>
    <row r="29" spans="2:15" x14ac:dyDescent="0.25">
      <c r="B29" s="1"/>
      <c r="C29" s="306"/>
      <c r="D29" s="307"/>
      <c r="E29" s="307"/>
      <c r="F29" s="307"/>
      <c r="G29" s="307"/>
      <c r="H29" s="307"/>
      <c r="I29" s="307"/>
      <c r="J29" s="307"/>
      <c r="K29" s="308"/>
      <c r="L29" s="308"/>
      <c r="M29" s="309"/>
      <c r="O29" s="38"/>
    </row>
    <row r="30" spans="2:15" ht="15" customHeight="1" x14ac:dyDescent="0.25">
      <c r="B30" s="1"/>
      <c r="C30" s="22" t="s">
        <v>70</v>
      </c>
      <c r="D30" s="23"/>
      <c r="E30" s="23"/>
      <c r="F30" s="23"/>
      <c r="G30" s="23"/>
      <c r="H30" s="23"/>
      <c r="I30" s="23"/>
      <c r="J30" s="23"/>
      <c r="K30" s="24"/>
      <c r="L30" s="24"/>
      <c r="M30" s="16">
        <f>+M16+M26</f>
        <v>4629988.1459818864</v>
      </c>
      <c r="O30" s="298"/>
    </row>
    <row r="31" spans="2:15" ht="15" customHeight="1" x14ac:dyDescent="0.25">
      <c r="B31" s="1"/>
      <c r="C31" s="22" t="str">
        <f>"% de Impuestos del mes: "&amp;H7</f>
        <v>% de Impuestos del mes: 18</v>
      </c>
      <c r="D31" s="23"/>
      <c r="E31" s="23"/>
      <c r="F31" s="23"/>
      <c r="G31" s="300" t="str">
        <f>"("&amp;VLOOKUP(H7,Tarifas!D4:H303,4)&amp;")"</f>
        <v>(1.886%)</v>
      </c>
      <c r="H31" s="23"/>
      <c r="I31" s="301"/>
      <c r="J31" s="302"/>
      <c r="K31" s="24"/>
      <c r="L31" s="24"/>
      <c r="M31" s="13"/>
      <c r="O31" s="38"/>
    </row>
    <row r="32" spans="2:15" x14ac:dyDescent="0.25">
      <c r="B32" s="1"/>
      <c r="C32" s="25" t="s">
        <v>14</v>
      </c>
      <c r="D32" s="26"/>
      <c r="E32" s="26"/>
      <c r="F32" s="26"/>
      <c r="G32" s="26"/>
      <c r="H32" s="26"/>
      <c r="I32" s="26"/>
      <c r="J32" s="18"/>
      <c r="K32" s="208"/>
      <c r="L32" s="18"/>
      <c r="M32" s="16">
        <f>+M30*0.16</f>
        <v>740798.10335710179</v>
      </c>
      <c r="O32" s="36"/>
    </row>
    <row r="33" spans="2:16" x14ac:dyDescent="0.25">
      <c r="B33" s="1"/>
      <c r="C33" s="27" t="s">
        <v>15</v>
      </c>
      <c r="D33" s="28"/>
      <c r="E33" s="28"/>
      <c r="F33" s="28"/>
      <c r="G33" s="28"/>
      <c r="H33" s="28"/>
      <c r="I33" s="28"/>
      <c r="J33" s="29"/>
      <c r="K33" s="30"/>
      <c r="L33" s="30"/>
      <c r="M33" s="16">
        <f>+M32+M30</f>
        <v>5370786.2493389882</v>
      </c>
      <c r="O33" s="36"/>
    </row>
    <row r="34" spans="2:16" x14ac:dyDescent="0.25">
      <c r="B34" s="1"/>
      <c r="C34" s="17"/>
      <c r="D34" s="18"/>
      <c r="E34" s="18"/>
      <c r="F34" s="18"/>
      <c r="G34" s="18"/>
      <c r="H34" s="18"/>
      <c r="I34" s="18"/>
      <c r="J34" s="18"/>
      <c r="K34" s="18"/>
      <c r="L34" s="18"/>
      <c r="M34" s="13"/>
    </row>
    <row r="35" spans="2:16" x14ac:dyDescent="0.25">
      <c r="B35" s="1"/>
      <c r="C35" s="17" t="s">
        <v>71</v>
      </c>
      <c r="D35" s="18"/>
      <c r="E35" s="18"/>
      <c r="F35" s="18"/>
      <c r="G35" s="18"/>
      <c r="H35" s="18"/>
      <c r="I35" s="18"/>
      <c r="J35" s="18"/>
      <c r="K35" s="18"/>
      <c r="L35" s="18"/>
      <c r="M35" s="299">
        <f>(M16*1.16)</f>
        <v>5368419.7727999995</v>
      </c>
      <c r="O35" s="36"/>
      <c r="P35" s="36"/>
    </row>
    <row r="36" spans="2:16" x14ac:dyDescent="0.25">
      <c r="B36" s="1"/>
      <c r="C36" s="17" t="s">
        <v>72</v>
      </c>
      <c r="D36" s="18"/>
      <c r="E36" s="18"/>
      <c r="F36" s="18"/>
      <c r="G36" s="18"/>
      <c r="H36" s="18"/>
      <c r="I36" s="18"/>
      <c r="J36" s="18"/>
      <c r="K36" s="18"/>
      <c r="L36" s="18"/>
      <c r="M36" s="299">
        <f>(M26*1.16)+M31</f>
        <v>2366.4765389886793</v>
      </c>
      <c r="O36" s="36"/>
      <c r="P36" s="36"/>
    </row>
    <row r="37" spans="2:16" x14ac:dyDescent="0.25">
      <c r="B37" s="1"/>
      <c r="C37" s="17"/>
      <c r="D37" s="18"/>
      <c r="E37" s="18"/>
      <c r="F37" s="18"/>
      <c r="G37" s="18"/>
      <c r="H37" s="18"/>
      <c r="I37" s="18"/>
      <c r="J37" s="18"/>
      <c r="K37" s="18"/>
      <c r="L37" s="18"/>
      <c r="M37" s="13"/>
    </row>
    <row r="38" spans="2:16" x14ac:dyDescent="0.25">
      <c r="B38" s="1"/>
      <c r="C38" s="7" t="s">
        <v>16</v>
      </c>
      <c r="D38" s="8"/>
      <c r="E38" s="8"/>
      <c r="F38" s="8"/>
      <c r="G38" s="8"/>
      <c r="H38" s="8"/>
      <c r="I38" s="8"/>
      <c r="J38" s="8"/>
      <c r="K38" s="9"/>
      <c r="L38" s="9"/>
      <c r="M38" s="10"/>
    </row>
    <row r="39" spans="2:16" x14ac:dyDescent="0.25">
      <c r="B39" s="1"/>
      <c r="C39" s="31" t="s">
        <v>17</v>
      </c>
      <c r="D39" s="32" t="s">
        <v>18</v>
      </c>
      <c r="E39" s="32" t="s">
        <v>19</v>
      </c>
      <c r="F39" s="2236" t="s">
        <v>20</v>
      </c>
      <c r="G39" s="2237"/>
      <c r="H39" s="2238" t="s">
        <v>1</v>
      </c>
      <c r="I39" s="2238"/>
      <c r="J39" s="2238" t="s">
        <v>21</v>
      </c>
      <c r="K39" s="2238"/>
      <c r="L39" s="18"/>
      <c r="M39" s="13"/>
    </row>
    <row r="40" spans="2:16" x14ac:dyDescent="0.25">
      <c r="B40" s="1"/>
      <c r="C40" s="33">
        <v>2044</v>
      </c>
      <c r="D40" s="303">
        <v>2044</v>
      </c>
      <c r="E40" s="303" t="s">
        <v>22</v>
      </c>
      <c r="F40" s="2224" t="s">
        <v>23</v>
      </c>
      <c r="G40" s="2224"/>
      <c r="H40" s="2225"/>
      <c r="I40" s="2225"/>
      <c r="J40" s="2226"/>
      <c r="K40" s="2226"/>
      <c r="L40" s="18"/>
      <c r="M40" s="13"/>
      <c r="N40" s="1"/>
    </row>
    <row r="41" spans="2:16" x14ac:dyDescent="0.25">
      <c r="B41" s="1"/>
      <c r="C41" s="33"/>
      <c r="D41" s="303"/>
      <c r="E41" s="303" t="s">
        <v>25</v>
      </c>
      <c r="F41" s="2227"/>
      <c r="G41" s="2228"/>
      <c r="H41" s="2229"/>
      <c r="I41" s="2230"/>
      <c r="J41" s="2231"/>
      <c r="K41" s="2232"/>
      <c r="L41" s="18"/>
      <c r="M41" s="13"/>
      <c r="N41" s="1"/>
    </row>
    <row r="42" spans="2:16" x14ac:dyDescent="0.25">
      <c r="B42" s="1"/>
      <c r="C42" s="33"/>
      <c r="D42" s="303"/>
      <c r="E42" s="303" t="s">
        <v>26</v>
      </c>
      <c r="F42" s="2227"/>
      <c r="G42" s="2228"/>
      <c r="H42" s="2229"/>
      <c r="I42" s="2230"/>
      <c r="J42" s="2231"/>
      <c r="K42" s="2232"/>
      <c r="L42" s="18"/>
      <c r="M42" s="13"/>
      <c r="N42" s="1"/>
    </row>
    <row r="43" spans="2:16" x14ac:dyDescent="0.25">
      <c r="B43" s="1"/>
      <c r="C43" s="33">
        <v>2044</v>
      </c>
      <c r="D43" s="303">
        <v>2044</v>
      </c>
      <c r="E43" s="303" t="s">
        <v>27</v>
      </c>
      <c r="F43" s="2224" t="s">
        <v>28</v>
      </c>
      <c r="G43" s="2224"/>
      <c r="H43" s="2225"/>
      <c r="I43" s="2225"/>
      <c r="J43" s="2226"/>
      <c r="K43" s="2226"/>
      <c r="L43" s="18"/>
      <c r="M43" s="13"/>
      <c r="N43" s="1"/>
    </row>
    <row r="44" spans="2:16" x14ac:dyDescent="0.25">
      <c r="B44" s="1"/>
      <c r="C44" s="2219" t="s">
        <v>24</v>
      </c>
      <c r="D44" s="2220"/>
      <c r="E44" s="2220"/>
      <c r="F44" s="2220"/>
      <c r="G44" s="2221"/>
      <c r="H44" s="2222">
        <f>SUM(H40:H43)</f>
        <v>0</v>
      </c>
      <c r="I44" s="2223"/>
      <c r="J44" s="3"/>
      <c r="K44" s="3"/>
      <c r="L44" s="18"/>
      <c r="M44" s="13"/>
      <c r="N44" s="1"/>
    </row>
    <row r="45" spans="2:16" x14ac:dyDescent="0.25">
      <c r="B45" s="1"/>
      <c r="C45" s="17"/>
      <c r="D45" s="18"/>
      <c r="E45" s="18"/>
      <c r="F45" s="18"/>
      <c r="G45" s="18"/>
      <c r="H45" s="18"/>
      <c r="I45" s="18"/>
      <c r="J45" s="18"/>
      <c r="K45" s="18"/>
      <c r="L45" s="18"/>
      <c r="M45" s="13"/>
    </row>
  </sheetData>
  <mergeCells count="44">
    <mergeCell ref="F41:G41"/>
    <mergeCell ref="H41:I41"/>
    <mergeCell ref="J41:K41"/>
    <mergeCell ref="C44:G44"/>
    <mergeCell ref="H44:I44"/>
    <mergeCell ref="F42:G42"/>
    <mergeCell ref="H42:I42"/>
    <mergeCell ref="J42:K42"/>
    <mergeCell ref="F43:G43"/>
    <mergeCell ref="H43:I43"/>
    <mergeCell ref="J43:K43"/>
    <mergeCell ref="C23:J23"/>
    <mergeCell ref="K23:L23"/>
    <mergeCell ref="F40:G40"/>
    <mergeCell ref="H40:I40"/>
    <mergeCell ref="J40:K40"/>
    <mergeCell ref="K26:L26"/>
    <mergeCell ref="F39:G39"/>
    <mergeCell ref="H39:I39"/>
    <mergeCell ref="J39:K39"/>
    <mergeCell ref="K24:L24"/>
    <mergeCell ref="C25:J25"/>
    <mergeCell ref="K25:L25"/>
    <mergeCell ref="K9:M9"/>
    <mergeCell ref="K11:L11"/>
    <mergeCell ref="C12:J12"/>
    <mergeCell ref="K12:L12"/>
    <mergeCell ref="C13:J13"/>
    <mergeCell ref="K13:L13"/>
    <mergeCell ref="C14:J14"/>
    <mergeCell ref="K14:L14"/>
    <mergeCell ref="K21:L21"/>
    <mergeCell ref="C22:J22"/>
    <mergeCell ref="K22:L22"/>
    <mergeCell ref="C15:J15"/>
    <mergeCell ref="K15:L15"/>
    <mergeCell ref="K16:L16"/>
    <mergeCell ref="K20:L20"/>
    <mergeCell ref="C21:J21"/>
    <mergeCell ref="C3:M4"/>
    <mergeCell ref="C5:M5"/>
    <mergeCell ref="C6:M6"/>
    <mergeCell ref="C7:G7"/>
    <mergeCell ref="C8:G8"/>
  </mergeCells>
  <pageMargins left="0.7" right="0.7" top="0.93" bottom="0.75" header="0.3" footer="0.3"/>
  <pageSetup scale="93" fitToHeight="0" orientation="portrait" r:id="rId1"/>
  <headerFooter>
    <oddHeader>&amp;L&amp;G&amp;R&amp;"Arial,Negrita"Direccion de Operacion&amp;"Arial,Normal"
Subdireccion de Energeticos
Subgerencia Regional de Energeticos</oddHeader>
  </headerFooter>
  <drawing r:id="rId2"/>
  <legacyDrawingHF r:id="rId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45"/>
  <sheetViews>
    <sheetView workbookViewId="0"/>
  </sheetViews>
  <sheetFormatPr baseColWidth="10" defaultColWidth="11" defaultRowHeight="15" x14ac:dyDescent="0.25"/>
  <cols>
    <col min="1" max="1" width="11" style="2"/>
    <col min="2" max="2" width="2.875" style="2" customWidth="1"/>
    <col min="3" max="9" width="5.625" style="2" customWidth="1"/>
    <col min="10" max="10" width="11" style="2" customWidth="1"/>
    <col min="11" max="11" width="5.375" style="2" customWidth="1"/>
    <col min="12" max="12" width="7.625" style="2" bestFit="1" customWidth="1"/>
    <col min="13" max="13" width="10.5" style="2" bestFit="1" customWidth="1"/>
    <col min="14" max="14" width="4.125" style="6" customWidth="1"/>
    <col min="15" max="15" width="39.625" style="3" bestFit="1" customWidth="1"/>
    <col min="16" max="16384" width="11" style="3"/>
  </cols>
  <sheetData>
    <row r="2" spans="2:15" ht="15.75" thickBot="1" x14ac:dyDescent="0.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2:15" ht="15" customHeight="1" x14ac:dyDescent="0.25">
      <c r="B3" s="1"/>
      <c r="C3" s="2250" t="s">
        <v>0</v>
      </c>
      <c r="D3" s="2251"/>
      <c r="E3" s="2251"/>
      <c r="F3" s="2251"/>
      <c r="G3" s="2251"/>
      <c r="H3" s="2251"/>
      <c r="I3" s="2251"/>
      <c r="J3" s="2251"/>
      <c r="K3" s="2251"/>
      <c r="L3" s="2251"/>
      <c r="M3" s="2252"/>
    </row>
    <row r="4" spans="2:15" ht="15" customHeight="1" x14ac:dyDescent="0.25">
      <c r="B4" s="1"/>
      <c r="C4" s="2253"/>
      <c r="D4" s="2254"/>
      <c r="E4" s="2254"/>
      <c r="F4" s="2254"/>
      <c r="G4" s="2254"/>
      <c r="H4" s="2254"/>
      <c r="I4" s="2254"/>
      <c r="J4" s="2254"/>
      <c r="K4" s="2254"/>
      <c r="L4" s="2254"/>
      <c r="M4" s="2255"/>
    </row>
    <row r="5" spans="2:15" x14ac:dyDescent="0.25">
      <c r="B5" s="1"/>
      <c r="C5" s="2256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8"/>
    </row>
    <row r="6" spans="2:15" x14ac:dyDescent="0.25">
      <c r="B6" s="1"/>
      <c r="C6" s="2256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8"/>
    </row>
    <row r="7" spans="2:15" ht="15" customHeight="1" x14ac:dyDescent="0.25">
      <c r="B7" s="1"/>
      <c r="C7" s="2259" t="s">
        <v>3</v>
      </c>
      <c r="D7" s="2260"/>
      <c r="E7" s="2260"/>
      <c r="F7" s="2260"/>
      <c r="G7" s="2260"/>
      <c r="H7" s="207">
        <v>19</v>
      </c>
      <c r="I7" s="296">
        <f>VLOOKUP(H7,Tarifas!D4:H303,2)</f>
        <v>42036</v>
      </c>
      <c r="J7" s="296"/>
      <c r="K7" s="296"/>
      <c r="L7" s="296"/>
      <c r="M7" s="297"/>
      <c r="O7" s="3" t="s">
        <v>64</v>
      </c>
    </row>
    <row r="8" spans="2:15" x14ac:dyDescent="0.25">
      <c r="B8" s="1"/>
      <c r="C8" s="2259" t="s">
        <v>4</v>
      </c>
      <c r="D8" s="2260"/>
      <c r="E8" s="2260"/>
      <c r="F8" s="2260"/>
      <c r="G8" s="2260"/>
      <c r="H8" s="207" t="s">
        <v>79</v>
      </c>
      <c r="I8" s="296"/>
      <c r="J8" s="296"/>
      <c r="K8" s="296"/>
      <c r="L8" s="296"/>
      <c r="M8" s="297"/>
    </row>
    <row r="9" spans="2:15" x14ac:dyDescent="0.25">
      <c r="B9" s="1"/>
      <c r="C9" s="4"/>
      <c r="D9" s="5"/>
      <c r="E9" s="5"/>
      <c r="F9" s="5"/>
      <c r="G9" s="5"/>
      <c r="H9" s="5"/>
      <c r="I9" s="5"/>
      <c r="J9" s="5"/>
      <c r="K9" s="2248" t="s">
        <v>73</v>
      </c>
      <c r="L9" s="2248"/>
      <c r="M9" s="2249"/>
    </row>
    <row r="10" spans="2:15" ht="15.75" thickBot="1" x14ac:dyDescent="0.3">
      <c r="B10" s="1"/>
      <c r="C10" s="7" t="s">
        <v>5</v>
      </c>
      <c r="D10" s="8"/>
      <c r="E10" s="8"/>
      <c r="F10" s="8"/>
      <c r="G10" s="8"/>
      <c r="H10" s="8"/>
      <c r="I10" s="8"/>
      <c r="J10" s="8"/>
      <c r="K10" s="9"/>
      <c r="L10" s="9"/>
      <c r="M10" s="10"/>
    </row>
    <row r="11" spans="2:15" x14ac:dyDescent="0.25">
      <c r="B11" s="1"/>
      <c r="C11" s="11" t="s">
        <v>6</v>
      </c>
      <c r="D11" s="12"/>
      <c r="E11" s="12"/>
      <c r="F11" s="12"/>
      <c r="G11" s="12"/>
      <c r="H11" s="12"/>
      <c r="I11" s="12"/>
      <c r="J11" s="12"/>
      <c r="K11" s="2244"/>
      <c r="L11" s="2245"/>
      <c r="M11" s="13"/>
      <c r="O11" s="38"/>
    </row>
    <row r="12" spans="2:15" ht="26.25" customHeight="1" x14ac:dyDescent="0.25">
      <c r="B12" s="1"/>
      <c r="C12" s="2213"/>
      <c r="D12" s="2214"/>
      <c r="E12" s="2214"/>
      <c r="F12" s="2214"/>
      <c r="G12" s="2214"/>
      <c r="H12" s="2214"/>
      <c r="I12" s="2214"/>
      <c r="J12" s="2215"/>
      <c r="K12" s="2241">
        <f>VLOOKUP(H7,Tarifas!D4:H303,3)</f>
        <v>0.14699999999999999</v>
      </c>
      <c r="L12" s="2240"/>
      <c r="M12" s="13"/>
      <c r="O12" s="3" t="s">
        <v>63</v>
      </c>
    </row>
    <row r="13" spans="2:15" x14ac:dyDescent="0.25">
      <c r="B13" s="1"/>
      <c r="C13" s="2213"/>
      <c r="D13" s="2214"/>
      <c r="E13" s="2214"/>
      <c r="F13" s="2214"/>
      <c r="G13" s="2214"/>
      <c r="H13" s="2214"/>
      <c r="I13" s="2214"/>
      <c r="J13" s="2215"/>
      <c r="K13" s="2241">
        <v>850</v>
      </c>
      <c r="L13" s="2240"/>
      <c r="M13" s="13" t="s">
        <v>7</v>
      </c>
      <c r="O13" s="38"/>
    </row>
    <row r="14" spans="2:15" x14ac:dyDescent="0.25">
      <c r="B14" s="1"/>
      <c r="C14" s="2213"/>
      <c r="D14" s="2214"/>
      <c r="E14" s="2214"/>
      <c r="F14" s="2214"/>
      <c r="G14" s="2214"/>
      <c r="H14" s="2214"/>
      <c r="I14" s="2214"/>
      <c r="J14" s="2215"/>
      <c r="K14" s="2241">
        <v>850</v>
      </c>
      <c r="L14" s="2240"/>
      <c r="M14" s="13" t="s">
        <v>7</v>
      </c>
      <c r="O14" s="38"/>
    </row>
    <row r="15" spans="2:15" ht="15.75" thickBot="1" x14ac:dyDescent="0.3">
      <c r="B15" s="1"/>
      <c r="C15" s="2210"/>
      <c r="D15" s="2211"/>
      <c r="E15" s="2211"/>
      <c r="F15" s="2211"/>
      <c r="G15" s="2211"/>
      <c r="H15" s="2211"/>
      <c r="I15" s="2211"/>
      <c r="J15" s="2212"/>
      <c r="K15" s="2242">
        <v>31482640</v>
      </c>
      <c r="L15" s="2243"/>
      <c r="M15" s="13" t="s">
        <v>8</v>
      </c>
      <c r="O15" s="304"/>
    </row>
    <row r="16" spans="2:15" x14ac:dyDescent="0.25">
      <c r="B16" s="3"/>
      <c r="C16" s="14" t="s">
        <v>9</v>
      </c>
      <c r="D16" s="15"/>
      <c r="E16" s="15"/>
      <c r="F16" s="15"/>
      <c r="G16" s="15"/>
      <c r="H16" s="15"/>
      <c r="I16" s="15"/>
      <c r="J16" s="15"/>
      <c r="K16" s="2235"/>
      <c r="L16" s="2235"/>
      <c r="M16" s="16">
        <f>+K12*(K13/K14)*K15</f>
        <v>4627948.08</v>
      </c>
      <c r="O16" s="36"/>
    </row>
    <row r="17" spans="2:15" x14ac:dyDescent="0.25">
      <c r="B17" s="1"/>
      <c r="C17" s="17"/>
      <c r="D17" s="18"/>
      <c r="E17" s="18"/>
      <c r="F17" s="18"/>
      <c r="G17" s="18"/>
      <c r="H17" s="18"/>
      <c r="I17" s="18"/>
      <c r="J17" s="18"/>
      <c r="K17" s="18"/>
      <c r="L17" s="18" t="s">
        <v>75</v>
      </c>
      <c r="M17" s="305">
        <v>4627948.08</v>
      </c>
      <c r="O17" s="36"/>
    </row>
    <row r="18" spans="2:15" x14ac:dyDescent="0.25">
      <c r="B18" s="1"/>
      <c r="C18" s="17"/>
      <c r="D18" s="18"/>
      <c r="E18" s="18"/>
      <c r="F18" s="18"/>
      <c r="G18" s="18"/>
      <c r="H18" s="18"/>
      <c r="I18" s="18"/>
      <c r="J18" s="18"/>
      <c r="K18" s="18"/>
      <c r="L18" s="18" t="s">
        <v>74</v>
      </c>
      <c r="M18" s="299">
        <f>M16-M17</f>
        <v>0</v>
      </c>
      <c r="O18" s="36"/>
    </row>
    <row r="19" spans="2:15" ht="15.75" thickBot="1" x14ac:dyDescent="0.3">
      <c r="B19" s="1"/>
      <c r="C19" s="7" t="s">
        <v>10</v>
      </c>
      <c r="D19" s="8"/>
      <c r="E19" s="8"/>
      <c r="F19" s="8"/>
      <c r="G19" s="8"/>
      <c r="H19" s="8"/>
      <c r="I19" s="8"/>
      <c r="J19" s="8"/>
      <c r="K19" s="9"/>
      <c r="L19" s="9"/>
      <c r="M19" s="10"/>
    </row>
    <row r="20" spans="2:15" ht="22.5" customHeight="1" x14ac:dyDescent="0.25">
      <c r="B20" s="1"/>
      <c r="C20" s="11" t="s">
        <v>6</v>
      </c>
      <c r="D20" s="12"/>
      <c r="E20" s="12"/>
      <c r="F20" s="12"/>
      <c r="G20" s="12"/>
      <c r="H20" s="12"/>
      <c r="I20" s="12"/>
      <c r="J20" s="12"/>
      <c r="K20" s="2244"/>
      <c r="L20" s="2245"/>
      <c r="M20" s="13"/>
    </row>
    <row r="21" spans="2:15" ht="21.75" customHeight="1" x14ac:dyDescent="0.25">
      <c r="B21" s="1"/>
      <c r="C21" s="2213"/>
      <c r="D21" s="2214"/>
      <c r="E21" s="2214"/>
      <c r="F21" s="2214"/>
      <c r="G21" s="2214"/>
      <c r="H21" s="2214"/>
      <c r="I21" s="2214"/>
      <c r="J21" s="2215"/>
      <c r="K21" s="2241">
        <f>VLOOKUP(H7,Tarifas!D4:H303,5)</f>
        <v>1E-3</v>
      </c>
      <c r="L21" s="2240"/>
      <c r="M21" s="13" t="s">
        <v>11</v>
      </c>
      <c r="O21" s="3" t="s">
        <v>63</v>
      </c>
    </row>
    <row r="22" spans="2:15" ht="15" customHeight="1" x14ac:dyDescent="0.25">
      <c r="B22" s="1"/>
      <c r="C22" s="2213"/>
      <c r="D22" s="2214"/>
      <c r="E22" s="2214"/>
      <c r="F22" s="2214"/>
      <c r="G22" s="2214"/>
      <c r="H22" s="2214"/>
      <c r="I22" s="2214"/>
      <c r="J22" s="2215"/>
      <c r="K22" s="2246">
        <v>201.4</v>
      </c>
      <c r="L22" s="2247"/>
      <c r="M22" s="13" t="s">
        <v>12</v>
      </c>
      <c r="O22" s="3" t="s">
        <v>62</v>
      </c>
    </row>
    <row r="23" spans="2:15" ht="21.75" customHeight="1" x14ac:dyDescent="0.25">
      <c r="B23" s="1"/>
      <c r="C23" s="2216"/>
      <c r="D23" s="2217"/>
      <c r="E23" s="2217"/>
      <c r="F23" s="2217"/>
      <c r="G23" s="2217"/>
      <c r="H23" s="2217"/>
      <c r="I23" s="2217"/>
      <c r="J23" s="2218"/>
      <c r="K23" s="2246">
        <v>192.1</v>
      </c>
      <c r="L23" s="2247"/>
      <c r="M23" s="13" t="s">
        <v>12</v>
      </c>
      <c r="O23" s="3" t="s">
        <v>67</v>
      </c>
    </row>
    <row r="24" spans="2:15" x14ac:dyDescent="0.25">
      <c r="B24" s="1"/>
      <c r="C24" s="19"/>
      <c r="D24" s="20"/>
      <c r="E24" s="20"/>
      <c r="F24" s="20"/>
      <c r="G24" s="20"/>
      <c r="H24" s="20"/>
      <c r="I24" s="20"/>
      <c r="J24" s="21"/>
      <c r="K24" s="2239">
        <f>IFERROR(K23/K22,0)</f>
        <v>0.9538232373386295</v>
      </c>
      <c r="L24" s="2240"/>
      <c r="M24" s="13"/>
    </row>
    <row r="25" spans="2:15" ht="15.75" thickBot="1" x14ac:dyDescent="0.3">
      <c r="B25" s="1"/>
      <c r="C25" s="2207"/>
      <c r="D25" s="2208"/>
      <c r="E25" s="2208"/>
      <c r="F25" s="2208"/>
      <c r="G25" s="2208"/>
      <c r="H25" s="2208"/>
      <c r="I25" s="2208"/>
      <c r="J25" s="2209"/>
      <c r="K25" s="2233">
        <v>1930471.0109999999</v>
      </c>
      <c r="L25" s="2234"/>
      <c r="M25" s="13" t="s">
        <v>8</v>
      </c>
      <c r="O25" s="37" t="s">
        <v>66</v>
      </c>
    </row>
    <row r="26" spans="2:15" x14ac:dyDescent="0.25">
      <c r="B26" s="1"/>
      <c r="C26" s="14" t="s">
        <v>13</v>
      </c>
      <c r="D26" s="15"/>
      <c r="E26" s="15"/>
      <c r="F26" s="15"/>
      <c r="G26" s="15"/>
      <c r="H26" s="15"/>
      <c r="I26" s="15"/>
      <c r="J26" s="15"/>
      <c r="K26" s="2235"/>
      <c r="L26" s="2235"/>
      <c r="M26" s="16">
        <f>+K21*K24*K25</f>
        <v>1841.328109300397</v>
      </c>
      <c r="O26" s="38"/>
    </row>
    <row r="27" spans="2:15" x14ac:dyDescent="0.25">
      <c r="B27" s="1"/>
      <c r="C27" s="306"/>
      <c r="D27" s="307"/>
      <c r="E27" s="307"/>
      <c r="F27" s="307"/>
      <c r="G27" s="307"/>
      <c r="H27" s="307"/>
      <c r="I27" s="307"/>
      <c r="J27" s="307"/>
      <c r="K27" s="308"/>
      <c r="L27" s="310" t="s">
        <v>75</v>
      </c>
      <c r="M27" s="309">
        <v>1841.33</v>
      </c>
      <c r="O27" s="38"/>
    </row>
    <row r="28" spans="2:15" x14ac:dyDescent="0.25">
      <c r="B28" s="1"/>
      <c r="C28" s="306"/>
      <c r="D28" s="307"/>
      <c r="E28" s="307"/>
      <c r="F28" s="307"/>
      <c r="G28" s="307"/>
      <c r="H28" s="307"/>
      <c r="I28" s="307"/>
      <c r="J28" s="307"/>
      <c r="K28" s="308"/>
      <c r="L28" s="310" t="s">
        <v>74</v>
      </c>
      <c r="M28" s="309">
        <f>M26-M27</f>
        <v>-1.8906996028817957E-3</v>
      </c>
      <c r="O28" s="38"/>
    </row>
    <row r="29" spans="2:15" x14ac:dyDescent="0.25">
      <c r="B29" s="1"/>
      <c r="C29" s="306"/>
      <c r="D29" s="307"/>
      <c r="E29" s="307"/>
      <c r="F29" s="307"/>
      <c r="G29" s="307"/>
      <c r="H29" s="307"/>
      <c r="I29" s="307"/>
      <c r="J29" s="307"/>
      <c r="K29" s="308"/>
      <c r="L29" s="308"/>
      <c r="M29" s="309"/>
      <c r="O29" s="38"/>
    </row>
    <row r="30" spans="2:15" ht="15" customHeight="1" x14ac:dyDescent="0.25">
      <c r="B30" s="1"/>
      <c r="C30" s="22" t="s">
        <v>70</v>
      </c>
      <c r="D30" s="23"/>
      <c r="E30" s="23"/>
      <c r="F30" s="23"/>
      <c r="G30" s="23"/>
      <c r="H30" s="23"/>
      <c r="I30" s="23"/>
      <c r="J30" s="23"/>
      <c r="K30" s="24"/>
      <c r="L30" s="24"/>
      <c r="M30" s="16">
        <f>+M16+M26</f>
        <v>4629789.4081093008</v>
      </c>
      <c r="O30" s="298"/>
    </row>
    <row r="31" spans="2:15" ht="15" customHeight="1" x14ac:dyDescent="0.25">
      <c r="B31" s="1"/>
      <c r="C31" s="22" t="str">
        <f>"% de Impuestos del mes: "&amp;H7</f>
        <v>% de Impuestos del mes: 19</v>
      </c>
      <c r="D31" s="23"/>
      <c r="E31" s="23"/>
      <c r="F31" s="23"/>
      <c r="G31" s="300" t="str">
        <f>"("&amp;VLOOKUP(H7,Tarifas!D4:H303,4)&amp;")"</f>
        <v>(1.886%)</v>
      </c>
      <c r="H31" s="23"/>
      <c r="I31" s="301"/>
      <c r="J31" s="302"/>
      <c r="K31" s="24"/>
      <c r="L31" s="24"/>
      <c r="M31" s="13"/>
      <c r="O31" s="38"/>
    </row>
    <row r="32" spans="2:15" x14ac:dyDescent="0.25">
      <c r="B32" s="1"/>
      <c r="C32" s="25" t="s">
        <v>14</v>
      </c>
      <c r="D32" s="26"/>
      <c r="E32" s="26"/>
      <c r="F32" s="26"/>
      <c r="G32" s="26"/>
      <c r="H32" s="26"/>
      <c r="I32" s="26"/>
      <c r="J32" s="18"/>
      <c r="K32" s="208"/>
      <c r="L32" s="18"/>
      <c r="M32" s="16">
        <f>+M30*0.16</f>
        <v>740766.30529748811</v>
      </c>
      <c r="O32" s="36"/>
    </row>
    <row r="33" spans="2:16" x14ac:dyDescent="0.25">
      <c r="B33" s="1"/>
      <c r="C33" s="27" t="s">
        <v>15</v>
      </c>
      <c r="D33" s="28"/>
      <c r="E33" s="28"/>
      <c r="F33" s="28"/>
      <c r="G33" s="28"/>
      <c r="H33" s="28"/>
      <c r="I33" s="28"/>
      <c r="J33" s="29"/>
      <c r="K33" s="30"/>
      <c r="L33" s="30"/>
      <c r="M33" s="16">
        <f>+M32+M30</f>
        <v>5370555.7134067891</v>
      </c>
      <c r="O33" s="36"/>
    </row>
    <row r="34" spans="2:16" x14ac:dyDescent="0.25">
      <c r="B34" s="1"/>
      <c r="C34" s="17"/>
      <c r="D34" s="18"/>
      <c r="E34" s="18"/>
      <c r="F34" s="18"/>
      <c r="G34" s="18"/>
      <c r="H34" s="18"/>
      <c r="I34" s="18"/>
      <c r="J34" s="18"/>
      <c r="K34" s="18"/>
      <c r="L34" s="18"/>
      <c r="M34" s="13"/>
    </row>
    <row r="35" spans="2:16" x14ac:dyDescent="0.25">
      <c r="B35" s="1"/>
      <c r="C35" s="17" t="s">
        <v>71</v>
      </c>
      <c r="D35" s="18"/>
      <c r="E35" s="18"/>
      <c r="F35" s="18"/>
      <c r="G35" s="18"/>
      <c r="H35" s="18"/>
      <c r="I35" s="18"/>
      <c r="J35" s="18"/>
      <c r="K35" s="18"/>
      <c r="L35" s="18"/>
      <c r="M35" s="299">
        <f>(M16*1.16)</f>
        <v>5368419.7727999995</v>
      </c>
      <c r="O35" s="36"/>
      <c r="P35" s="36"/>
    </row>
    <row r="36" spans="2:16" x14ac:dyDescent="0.25">
      <c r="B36" s="1"/>
      <c r="C36" s="17" t="s">
        <v>72</v>
      </c>
      <c r="D36" s="18"/>
      <c r="E36" s="18"/>
      <c r="F36" s="18"/>
      <c r="G36" s="18"/>
      <c r="H36" s="18"/>
      <c r="I36" s="18"/>
      <c r="J36" s="18"/>
      <c r="K36" s="18"/>
      <c r="L36" s="18"/>
      <c r="M36" s="299">
        <f>(M26*1.16)+M31</f>
        <v>2135.9406067884606</v>
      </c>
      <c r="O36" s="36"/>
      <c r="P36" s="36"/>
    </row>
    <row r="37" spans="2:16" x14ac:dyDescent="0.25">
      <c r="B37" s="1"/>
      <c r="C37" s="17"/>
      <c r="D37" s="18"/>
      <c r="E37" s="18"/>
      <c r="F37" s="18"/>
      <c r="G37" s="18"/>
      <c r="H37" s="18"/>
      <c r="I37" s="18"/>
      <c r="J37" s="18"/>
      <c r="K37" s="18"/>
      <c r="L37" s="18"/>
      <c r="M37" s="13"/>
    </row>
    <row r="38" spans="2:16" x14ac:dyDescent="0.25">
      <c r="B38" s="1"/>
      <c r="C38" s="7" t="s">
        <v>16</v>
      </c>
      <c r="D38" s="8"/>
      <c r="E38" s="8"/>
      <c r="F38" s="8"/>
      <c r="G38" s="8"/>
      <c r="H38" s="8"/>
      <c r="I38" s="8"/>
      <c r="J38" s="8"/>
      <c r="K38" s="9"/>
      <c r="L38" s="9"/>
      <c r="M38" s="10"/>
    </row>
    <row r="39" spans="2:16" x14ac:dyDescent="0.25">
      <c r="B39" s="1"/>
      <c r="C39" s="31" t="s">
        <v>17</v>
      </c>
      <c r="D39" s="32" t="s">
        <v>18</v>
      </c>
      <c r="E39" s="32" t="s">
        <v>19</v>
      </c>
      <c r="F39" s="2236" t="s">
        <v>20</v>
      </c>
      <c r="G39" s="2237"/>
      <c r="H39" s="2238" t="s">
        <v>1</v>
      </c>
      <c r="I39" s="2238"/>
      <c r="J39" s="2238" t="s">
        <v>21</v>
      </c>
      <c r="K39" s="2238"/>
      <c r="L39" s="18"/>
      <c r="M39" s="13"/>
    </row>
    <row r="40" spans="2:16" x14ac:dyDescent="0.25">
      <c r="B40" s="1"/>
      <c r="C40" s="33">
        <v>2044</v>
      </c>
      <c r="D40" s="303">
        <v>2044</v>
      </c>
      <c r="E40" s="303" t="s">
        <v>22</v>
      </c>
      <c r="F40" s="2224" t="s">
        <v>23</v>
      </c>
      <c r="G40" s="2224"/>
      <c r="H40" s="2225"/>
      <c r="I40" s="2225"/>
      <c r="J40" s="2226"/>
      <c r="K40" s="2226"/>
      <c r="L40" s="18"/>
      <c r="M40" s="13"/>
      <c r="N40" s="1"/>
    </row>
    <row r="41" spans="2:16" x14ac:dyDescent="0.25">
      <c r="B41" s="1"/>
      <c r="C41" s="33"/>
      <c r="D41" s="303"/>
      <c r="E41" s="303" t="s">
        <v>25</v>
      </c>
      <c r="F41" s="2227"/>
      <c r="G41" s="2228"/>
      <c r="H41" s="2229"/>
      <c r="I41" s="2230"/>
      <c r="J41" s="2231"/>
      <c r="K41" s="2232"/>
      <c r="L41" s="18"/>
      <c r="M41" s="13"/>
      <c r="N41" s="1"/>
    </row>
    <row r="42" spans="2:16" x14ac:dyDescent="0.25">
      <c r="B42" s="1"/>
      <c r="C42" s="33"/>
      <c r="D42" s="303"/>
      <c r="E42" s="303" t="s">
        <v>26</v>
      </c>
      <c r="F42" s="2227"/>
      <c r="G42" s="2228"/>
      <c r="H42" s="2229"/>
      <c r="I42" s="2230"/>
      <c r="J42" s="2231"/>
      <c r="K42" s="2232"/>
      <c r="L42" s="18"/>
      <c r="M42" s="13"/>
      <c r="N42" s="1"/>
    </row>
    <row r="43" spans="2:16" x14ac:dyDescent="0.25">
      <c r="B43" s="1"/>
      <c r="C43" s="33">
        <v>2044</v>
      </c>
      <c r="D43" s="303">
        <v>2044</v>
      </c>
      <c r="E43" s="303" t="s">
        <v>27</v>
      </c>
      <c r="F43" s="2224" t="s">
        <v>28</v>
      </c>
      <c r="G43" s="2224"/>
      <c r="H43" s="2225"/>
      <c r="I43" s="2225"/>
      <c r="J43" s="2226"/>
      <c r="K43" s="2226"/>
      <c r="L43" s="18"/>
      <c r="M43" s="13"/>
      <c r="N43" s="1"/>
    </row>
    <row r="44" spans="2:16" x14ac:dyDescent="0.25">
      <c r="B44" s="1"/>
      <c r="C44" s="2219" t="s">
        <v>24</v>
      </c>
      <c r="D44" s="2220"/>
      <c r="E44" s="2220"/>
      <c r="F44" s="2220"/>
      <c r="G44" s="2221"/>
      <c r="H44" s="2222">
        <f>SUM(H40:H43)</f>
        <v>0</v>
      </c>
      <c r="I44" s="2223"/>
      <c r="J44" s="3"/>
      <c r="K44" s="3"/>
      <c r="L44" s="18"/>
      <c r="M44" s="13"/>
      <c r="N44" s="1"/>
    </row>
    <row r="45" spans="2:16" x14ac:dyDescent="0.25">
      <c r="B45" s="1"/>
      <c r="C45" s="17"/>
      <c r="D45" s="18"/>
      <c r="E45" s="18"/>
      <c r="F45" s="18"/>
      <c r="G45" s="18"/>
      <c r="H45" s="18"/>
      <c r="I45" s="18"/>
      <c r="J45" s="18"/>
      <c r="K45" s="18"/>
      <c r="L45" s="18"/>
      <c r="M45" s="13"/>
    </row>
  </sheetData>
  <mergeCells count="44">
    <mergeCell ref="F41:G41"/>
    <mergeCell ref="H41:I41"/>
    <mergeCell ref="J41:K41"/>
    <mergeCell ref="C44:G44"/>
    <mergeCell ref="H44:I44"/>
    <mergeCell ref="F42:G42"/>
    <mergeCell ref="H42:I42"/>
    <mergeCell ref="J42:K42"/>
    <mergeCell ref="F43:G43"/>
    <mergeCell ref="H43:I43"/>
    <mergeCell ref="J43:K43"/>
    <mergeCell ref="C23:J23"/>
    <mergeCell ref="K23:L23"/>
    <mergeCell ref="F40:G40"/>
    <mergeCell ref="H40:I40"/>
    <mergeCell ref="J40:K40"/>
    <mergeCell ref="K26:L26"/>
    <mergeCell ref="F39:G39"/>
    <mergeCell ref="H39:I39"/>
    <mergeCell ref="J39:K39"/>
    <mergeCell ref="K24:L24"/>
    <mergeCell ref="C25:J25"/>
    <mergeCell ref="K25:L25"/>
    <mergeCell ref="K9:M9"/>
    <mergeCell ref="K11:L11"/>
    <mergeCell ref="C12:J12"/>
    <mergeCell ref="K12:L12"/>
    <mergeCell ref="C13:J13"/>
    <mergeCell ref="K13:L13"/>
    <mergeCell ref="C14:J14"/>
    <mergeCell ref="K14:L14"/>
    <mergeCell ref="K21:L21"/>
    <mergeCell ref="C22:J22"/>
    <mergeCell ref="K22:L22"/>
    <mergeCell ref="C15:J15"/>
    <mergeCell ref="K15:L15"/>
    <mergeCell ref="K16:L16"/>
    <mergeCell ref="K20:L20"/>
    <mergeCell ref="C21:J21"/>
    <mergeCell ref="C3:M4"/>
    <mergeCell ref="C5:M5"/>
    <mergeCell ref="C6:M6"/>
    <mergeCell ref="C7:G7"/>
    <mergeCell ref="C8:G8"/>
  </mergeCells>
  <pageMargins left="0.7" right="0.7" top="0.93" bottom="0.75" header="0.3" footer="0.3"/>
  <pageSetup scale="93" fitToHeight="0" orientation="portrait" r:id="rId1"/>
  <headerFooter>
    <oddHeader>&amp;L&amp;G&amp;R&amp;"Arial,Negrita"Direccion de Operacion&amp;"Arial,Normal"
Subdireccion de Energeticos
Subgerencia Regional de Energeticos</oddHeader>
  </headerFooter>
  <drawing r:id="rId2"/>
  <legacyDrawingHF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45"/>
  <sheetViews>
    <sheetView workbookViewId="0"/>
  </sheetViews>
  <sheetFormatPr baseColWidth="10" defaultColWidth="11" defaultRowHeight="15" x14ac:dyDescent="0.25"/>
  <cols>
    <col min="1" max="1" width="11" style="2"/>
    <col min="2" max="2" width="2.875" style="2" customWidth="1"/>
    <col min="3" max="9" width="5.625" style="2" customWidth="1"/>
    <col min="10" max="10" width="11" style="2" customWidth="1"/>
    <col min="11" max="11" width="5.375" style="2" customWidth="1"/>
    <col min="12" max="12" width="7.625" style="2" bestFit="1" customWidth="1"/>
    <col min="13" max="13" width="10.5" style="2" bestFit="1" customWidth="1"/>
    <col min="14" max="14" width="4.125" style="6" customWidth="1"/>
    <col min="15" max="15" width="39.625" style="3" bestFit="1" customWidth="1"/>
    <col min="16" max="16384" width="11" style="3"/>
  </cols>
  <sheetData>
    <row r="2" spans="2:15" ht="15.75" thickBot="1" x14ac:dyDescent="0.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2:15" ht="15" customHeight="1" x14ac:dyDescent="0.25">
      <c r="B3" s="1"/>
      <c r="C3" s="2250" t="s">
        <v>0</v>
      </c>
      <c r="D3" s="2251"/>
      <c r="E3" s="2251"/>
      <c r="F3" s="2251"/>
      <c r="G3" s="2251"/>
      <c r="H3" s="2251"/>
      <c r="I3" s="2251"/>
      <c r="J3" s="2251"/>
      <c r="K3" s="2251"/>
      <c r="L3" s="2251"/>
      <c r="M3" s="2252"/>
    </row>
    <row r="4" spans="2:15" ht="15" customHeight="1" x14ac:dyDescent="0.25">
      <c r="B4" s="1"/>
      <c r="C4" s="2253"/>
      <c r="D4" s="2254"/>
      <c r="E4" s="2254"/>
      <c r="F4" s="2254"/>
      <c r="G4" s="2254"/>
      <c r="H4" s="2254"/>
      <c r="I4" s="2254"/>
      <c r="J4" s="2254"/>
      <c r="K4" s="2254"/>
      <c r="L4" s="2254"/>
      <c r="M4" s="2255"/>
    </row>
    <row r="5" spans="2:15" x14ac:dyDescent="0.25">
      <c r="B5" s="1"/>
      <c r="C5" s="2256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8"/>
    </row>
    <row r="6" spans="2:15" x14ac:dyDescent="0.25">
      <c r="B6" s="1"/>
      <c r="C6" s="2256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8"/>
    </row>
    <row r="7" spans="2:15" ht="15" customHeight="1" x14ac:dyDescent="0.25">
      <c r="B7" s="1"/>
      <c r="C7" s="2259" t="s">
        <v>3</v>
      </c>
      <c r="D7" s="2260"/>
      <c r="E7" s="2260"/>
      <c r="F7" s="2260"/>
      <c r="G7" s="2260"/>
      <c r="H7" s="207">
        <v>20</v>
      </c>
      <c r="I7" s="296">
        <f>VLOOKUP(H7,Tarifas!D4:H303,2)</f>
        <v>42064</v>
      </c>
      <c r="J7" s="296"/>
      <c r="K7" s="296"/>
      <c r="L7" s="296"/>
      <c r="M7" s="297"/>
      <c r="O7" s="3" t="s">
        <v>64</v>
      </c>
    </row>
    <row r="8" spans="2:15" x14ac:dyDescent="0.25">
      <c r="B8" s="1"/>
      <c r="C8" s="2259" t="s">
        <v>4</v>
      </c>
      <c r="D8" s="2260"/>
      <c r="E8" s="2260"/>
      <c r="F8" s="2260"/>
      <c r="G8" s="2260"/>
      <c r="H8" s="207" t="s">
        <v>80</v>
      </c>
      <c r="I8" s="296"/>
      <c r="J8" s="296"/>
      <c r="K8" s="296"/>
      <c r="L8" s="296"/>
      <c r="M8" s="297"/>
    </row>
    <row r="9" spans="2:15" x14ac:dyDescent="0.25">
      <c r="B9" s="1"/>
      <c r="C9" s="4"/>
      <c r="D9" s="5"/>
      <c r="E9" s="5"/>
      <c r="F9" s="5"/>
      <c r="G9" s="5"/>
      <c r="H9" s="5"/>
      <c r="I9" s="5"/>
      <c r="J9" s="5"/>
      <c r="K9" s="2248" t="s">
        <v>73</v>
      </c>
      <c r="L9" s="2248"/>
      <c r="M9" s="2249"/>
    </row>
    <row r="10" spans="2:15" ht="15.75" thickBot="1" x14ac:dyDescent="0.3">
      <c r="B10" s="1"/>
      <c r="C10" s="7" t="s">
        <v>5</v>
      </c>
      <c r="D10" s="8"/>
      <c r="E10" s="8"/>
      <c r="F10" s="8"/>
      <c r="G10" s="8"/>
      <c r="H10" s="8"/>
      <c r="I10" s="8"/>
      <c r="J10" s="8"/>
      <c r="K10" s="9"/>
      <c r="L10" s="9"/>
      <c r="M10" s="10"/>
    </row>
    <row r="11" spans="2:15" x14ac:dyDescent="0.25">
      <c r="B11" s="1"/>
      <c r="C11" s="11" t="s">
        <v>6</v>
      </c>
      <c r="D11" s="12"/>
      <c r="E11" s="12"/>
      <c r="F11" s="12"/>
      <c r="G11" s="12"/>
      <c r="H11" s="12"/>
      <c r="I11" s="12"/>
      <c r="J11" s="12"/>
      <c r="K11" s="2244"/>
      <c r="L11" s="2245"/>
      <c r="M11" s="13"/>
      <c r="O11" s="38"/>
    </row>
    <row r="12" spans="2:15" ht="26.25" customHeight="1" x14ac:dyDescent="0.25">
      <c r="B12" s="1"/>
      <c r="C12" s="2213"/>
      <c r="D12" s="2214"/>
      <c r="E12" s="2214"/>
      <c r="F12" s="2214"/>
      <c r="G12" s="2214"/>
      <c r="H12" s="2214"/>
      <c r="I12" s="2214"/>
      <c r="J12" s="2215"/>
      <c r="K12" s="2241">
        <f>VLOOKUP(H7,Tarifas!D4:H303,3)</f>
        <v>0.14699999999999999</v>
      </c>
      <c r="L12" s="2240"/>
      <c r="M12" s="13"/>
      <c r="O12" s="3" t="s">
        <v>63</v>
      </c>
    </row>
    <row r="13" spans="2:15" x14ac:dyDescent="0.25">
      <c r="B13" s="1"/>
      <c r="C13" s="2213"/>
      <c r="D13" s="2214"/>
      <c r="E13" s="2214"/>
      <c r="F13" s="2214"/>
      <c r="G13" s="2214"/>
      <c r="H13" s="2214"/>
      <c r="I13" s="2214"/>
      <c r="J13" s="2215"/>
      <c r="K13" s="2241">
        <v>850</v>
      </c>
      <c r="L13" s="2240"/>
      <c r="M13" s="13" t="s">
        <v>7</v>
      </c>
      <c r="O13" s="38"/>
    </row>
    <row r="14" spans="2:15" x14ac:dyDescent="0.25">
      <c r="B14" s="1"/>
      <c r="C14" s="2213"/>
      <c r="D14" s="2214"/>
      <c r="E14" s="2214"/>
      <c r="F14" s="2214"/>
      <c r="G14" s="2214"/>
      <c r="H14" s="2214"/>
      <c r="I14" s="2214"/>
      <c r="J14" s="2215"/>
      <c r="K14" s="2241">
        <v>850</v>
      </c>
      <c r="L14" s="2240"/>
      <c r="M14" s="13" t="s">
        <v>7</v>
      </c>
      <c r="O14" s="38"/>
    </row>
    <row r="15" spans="2:15" ht="15.75" thickBot="1" x14ac:dyDescent="0.3">
      <c r="B15" s="1"/>
      <c r="C15" s="2210"/>
      <c r="D15" s="2211"/>
      <c r="E15" s="2211"/>
      <c r="F15" s="2211"/>
      <c r="G15" s="2211"/>
      <c r="H15" s="2211"/>
      <c r="I15" s="2211"/>
      <c r="J15" s="2212"/>
      <c r="K15" s="2242">
        <v>31482640</v>
      </c>
      <c r="L15" s="2243"/>
      <c r="M15" s="13" t="s">
        <v>8</v>
      </c>
      <c r="O15" s="304"/>
    </row>
    <row r="16" spans="2:15" x14ac:dyDescent="0.25">
      <c r="B16" s="3"/>
      <c r="C16" s="14" t="s">
        <v>9</v>
      </c>
      <c r="D16" s="15"/>
      <c r="E16" s="15"/>
      <c r="F16" s="15"/>
      <c r="G16" s="15"/>
      <c r="H16" s="15"/>
      <c r="I16" s="15"/>
      <c r="J16" s="15"/>
      <c r="K16" s="2235"/>
      <c r="L16" s="2235"/>
      <c r="M16" s="16">
        <f>+K12*(K13/K14)*K15</f>
        <v>4627948.08</v>
      </c>
      <c r="O16" s="36"/>
    </row>
    <row r="17" spans="2:15" x14ac:dyDescent="0.25">
      <c r="B17" s="1"/>
      <c r="C17" s="17"/>
      <c r="D17" s="18"/>
      <c r="E17" s="18"/>
      <c r="F17" s="18"/>
      <c r="G17" s="18"/>
      <c r="H17" s="18"/>
      <c r="I17" s="18"/>
      <c r="J17" s="18"/>
      <c r="K17" s="18"/>
      <c r="L17" s="18" t="s">
        <v>75</v>
      </c>
      <c r="M17" s="305">
        <v>4627948.08</v>
      </c>
      <c r="O17" s="36"/>
    </row>
    <row r="18" spans="2:15" x14ac:dyDescent="0.25">
      <c r="B18" s="1"/>
      <c r="C18" s="17"/>
      <c r="D18" s="18"/>
      <c r="E18" s="18"/>
      <c r="F18" s="18"/>
      <c r="G18" s="18"/>
      <c r="H18" s="18"/>
      <c r="I18" s="18"/>
      <c r="J18" s="18"/>
      <c r="K18" s="18"/>
      <c r="L18" s="18" t="s">
        <v>74</v>
      </c>
      <c r="M18" s="299">
        <f>M16-M17</f>
        <v>0</v>
      </c>
      <c r="O18" s="36"/>
    </row>
    <row r="19" spans="2:15" ht="15.75" thickBot="1" x14ac:dyDescent="0.3">
      <c r="B19" s="1"/>
      <c r="C19" s="7" t="s">
        <v>10</v>
      </c>
      <c r="D19" s="8"/>
      <c r="E19" s="8"/>
      <c r="F19" s="8"/>
      <c r="G19" s="8"/>
      <c r="H19" s="8"/>
      <c r="I19" s="8"/>
      <c r="J19" s="8"/>
      <c r="K19" s="9"/>
      <c r="L19" s="9"/>
      <c r="M19" s="10"/>
    </row>
    <row r="20" spans="2:15" ht="22.5" customHeight="1" x14ac:dyDescent="0.25">
      <c r="B20" s="1"/>
      <c r="C20" s="11" t="s">
        <v>6</v>
      </c>
      <c r="D20" s="12"/>
      <c r="E20" s="12"/>
      <c r="F20" s="12"/>
      <c r="G20" s="12"/>
      <c r="H20" s="12"/>
      <c r="I20" s="12"/>
      <c r="J20" s="12"/>
      <c r="K20" s="2244"/>
      <c r="L20" s="2245"/>
      <c r="M20" s="13"/>
    </row>
    <row r="21" spans="2:15" ht="21.75" customHeight="1" x14ac:dyDescent="0.25">
      <c r="B21" s="1"/>
      <c r="C21" s="2213"/>
      <c r="D21" s="2214"/>
      <c r="E21" s="2214"/>
      <c r="F21" s="2214"/>
      <c r="G21" s="2214"/>
      <c r="H21" s="2214"/>
      <c r="I21" s="2214"/>
      <c r="J21" s="2215"/>
      <c r="K21" s="2241">
        <f>VLOOKUP(H7,Tarifas!D4:H303,5)</f>
        <v>1E-3</v>
      </c>
      <c r="L21" s="2240"/>
      <c r="M21" s="13" t="s">
        <v>11</v>
      </c>
      <c r="O21" s="3" t="s">
        <v>63</v>
      </c>
    </row>
    <row r="22" spans="2:15" ht="15" customHeight="1" x14ac:dyDescent="0.25">
      <c r="B22" s="1"/>
      <c r="C22" s="2213"/>
      <c r="D22" s="2214"/>
      <c r="E22" s="2214"/>
      <c r="F22" s="2214"/>
      <c r="G22" s="2214"/>
      <c r="H22" s="2214"/>
      <c r="I22" s="2214"/>
      <c r="J22" s="2215"/>
      <c r="K22" s="2246">
        <v>201.4</v>
      </c>
      <c r="L22" s="2247"/>
      <c r="M22" s="13" t="s">
        <v>12</v>
      </c>
      <c r="O22" s="3" t="s">
        <v>62</v>
      </c>
    </row>
    <row r="23" spans="2:15" ht="21.75" customHeight="1" x14ac:dyDescent="0.25">
      <c r="B23" s="1"/>
      <c r="C23" s="2216"/>
      <c r="D23" s="2217"/>
      <c r="E23" s="2217"/>
      <c r="F23" s="2217"/>
      <c r="G23" s="2217"/>
      <c r="H23" s="2217"/>
      <c r="I23" s="2217"/>
      <c r="J23" s="2218"/>
      <c r="K23" s="2246">
        <v>191.1</v>
      </c>
      <c r="L23" s="2247"/>
      <c r="M23" s="13" t="s">
        <v>12</v>
      </c>
      <c r="O23" s="3" t="s">
        <v>67</v>
      </c>
    </row>
    <row r="24" spans="2:15" x14ac:dyDescent="0.25">
      <c r="B24" s="1"/>
      <c r="C24" s="19"/>
      <c r="D24" s="20"/>
      <c r="E24" s="20"/>
      <c r="F24" s="20"/>
      <c r="G24" s="20"/>
      <c r="H24" s="20"/>
      <c r="I24" s="20"/>
      <c r="J24" s="21"/>
      <c r="K24" s="2239">
        <f>IFERROR(K23/K22,0)</f>
        <v>0.94885799404170801</v>
      </c>
      <c r="L24" s="2240"/>
      <c r="M24" s="13"/>
    </row>
    <row r="25" spans="2:15" ht="15.75" thickBot="1" x14ac:dyDescent="0.3">
      <c r="B25" s="1"/>
      <c r="C25" s="2207"/>
      <c r="D25" s="2208"/>
      <c r="E25" s="2208"/>
      <c r="F25" s="2208"/>
      <c r="G25" s="2208"/>
      <c r="H25" s="2208"/>
      <c r="I25" s="2208"/>
      <c r="J25" s="2209"/>
      <c r="K25" s="2233">
        <v>1655244.6440000001</v>
      </c>
      <c r="L25" s="2234"/>
      <c r="M25" s="13" t="s">
        <v>8</v>
      </c>
      <c r="O25" s="37" t="s">
        <v>66</v>
      </c>
    </row>
    <row r="26" spans="2:15" x14ac:dyDescent="0.25">
      <c r="B26" s="1"/>
      <c r="C26" s="14" t="s">
        <v>13</v>
      </c>
      <c r="D26" s="15"/>
      <c r="E26" s="15"/>
      <c r="F26" s="15"/>
      <c r="G26" s="15"/>
      <c r="H26" s="15"/>
      <c r="I26" s="15"/>
      <c r="J26" s="15"/>
      <c r="K26" s="2235"/>
      <c r="L26" s="2235"/>
      <c r="M26" s="16">
        <f>+K21*K24*K25</f>
        <v>1570.5921125541211</v>
      </c>
      <c r="O26" s="38"/>
    </row>
    <row r="27" spans="2:15" x14ac:dyDescent="0.25">
      <c r="B27" s="1"/>
      <c r="C27" s="306"/>
      <c r="D27" s="307"/>
      <c r="E27" s="307"/>
      <c r="F27" s="307"/>
      <c r="G27" s="307"/>
      <c r="H27" s="307"/>
      <c r="I27" s="307"/>
      <c r="J27" s="307"/>
      <c r="K27" s="308"/>
      <c r="L27" s="310" t="s">
        <v>75</v>
      </c>
      <c r="M27" s="309">
        <v>1570.59</v>
      </c>
      <c r="O27" s="38"/>
    </row>
    <row r="28" spans="2:15" x14ac:dyDescent="0.25">
      <c r="B28" s="1"/>
      <c r="C28" s="306"/>
      <c r="D28" s="307"/>
      <c r="E28" s="307"/>
      <c r="F28" s="307"/>
      <c r="G28" s="307"/>
      <c r="H28" s="307"/>
      <c r="I28" s="307"/>
      <c r="J28" s="307"/>
      <c r="K28" s="308"/>
      <c r="L28" s="310" t="s">
        <v>74</v>
      </c>
      <c r="M28" s="309">
        <f>M26-M27</f>
        <v>2.1125541211404197E-3</v>
      </c>
      <c r="O28" s="38"/>
    </row>
    <row r="29" spans="2:15" x14ac:dyDescent="0.25">
      <c r="B29" s="1"/>
      <c r="C29" s="306"/>
      <c r="D29" s="307"/>
      <c r="E29" s="307"/>
      <c r="F29" s="307"/>
      <c r="G29" s="307"/>
      <c r="H29" s="307"/>
      <c r="I29" s="307"/>
      <c r="J29" s="307"/>
      <c r="K29" s="308"/>
      <c r="L29" s="308"/>
      <c r="M29" s="309"/>
      <c r="O29" s="38"/>
    </row>
    <row r="30" spans="2:15" ht="15" customHeight="1" x14ac:dyDescent="0.25">
      <c r="B30" s="1"/>
      <c r="C30" s="22" t="s">
        <v>70</v>
      </c>
      <c r="D30" s="23"/>
      <c r="E30" s="23"/>
      <c r="F30" s="23"/>
      <c r="G30" s="23"/>
      <c r="H30" s="23"/>
      <c r="I30" s="23"/>
      <c r="J30" s="23"/>
      <c r="K30" s="24"/>
      <c r="L30" s="24"/>
      <c r="M30" s="16">
        <f>+M16+M26</f>
        <v>4629518.6721125543</v>
      </c>
      <c r="O30" s="298"/>
    </row>
    <row r="31" spans="2:15" ht="15" customHeight="1" x14ac:dyDescent="0.25">
      <c r="B31" s="1"/>
      <c r="C31" s="22" t="str">
        <f>"% de Impuestos del mes: "&amp;H7</f>
        <v>% de Impuestos del mes: 20</v>
      </c>
      <c r="D31" s="23"/>
      <c r="E31" s="23"/>
      <c r="F31" s="23"/>
      <c r="G31" s="300" t="str">
        <f>"("&amp;VLOOKUP(H7,Tarifas!D4:H303,4)&amp;")"</f>
        <v>(1.886%)</v>
      </c>
      <c r="H31" s="23"/>
      <c r="I31" s="301"/>
      <c r="J31" s="302"/>
      <c r="K31" s="24"/>
      <c r="L31" s="24"/>
      <c r="M31" s="13"/>
      <c r="O31" s="38"/>
    </row>
    <row r="32" spans="2:15" x14ac:dyDescent="0.25">
      <c r="B32" s="1"/>
      <c r="C32" s="25" t="s">
        <v>14</v>
      </c>
      <c r="D32" s="26"/>
      <c r="E32" s="26"/>
      <c r="F32" s="26"/>
      <c r="G32" s="26"/>
      <c r="H32" s="26"/>
      <c r="I32" s="26"/>
      <c r="J32" s="18"/>
      <c r="K32" s="208"/>
      <c r="L32" s="18"/>
      <c r="M32" s="16">
        <f>+M30*0.16</f>
        <v>740722.98753800872</v>
      </c>
      <c r="O32" s="36"/>
    </row>
    <row r="33" spans="2:16" x14ac:dyDescent="0.25">
      <c r="B33" s="1"/>
      <c r="C33" s="27" t="s">
        <v>15</v>
      </c>
      <c r="D33" s="28"/>
      <c r="E33" s="28"/>
      <c r="F33" s="28"/>
      <c r="G33" s="28"/>
      <c r="H33" s="28"/>
      <c r="I33" s="28"/>
      <c r="J33" s="29"/>
      <c r="K33" s="30"/>
      <c r="L33" s="30"/>
      <c r="M33" s="16">
        <f>+M32+M30</f>
        <v>5370241.6596505633</v>
      </c>
      <c r="O33" s="36"/>
    </row>
    <row r="34" spans="2:16" x14ac:dyDescent="0.25">
      <c r="B34" s="1"/>
      <c r="C34" s="17"/>
      <c r="D34" s="18"/>
      <c r="E34" s="18"/>
      <c r="F34" s="18"/>
      <c r="G34" s="18"/>
      <c r="H34" s="18"/>
      <c r="I34" s="18"/>
      <c r="J34" s="18"/>
      <c r="K34" s="18"/>
      <c r="L34" s="18"/>
      <c r="M34" s="13"/>
    </row>
    <row r="35" spans="2:16" x14ac:dyDescent="0.25">
      <c r="B35" s="1"/>
      <c r="C35" s="17" t="s">
        <v>71</v>
      </c>
      <c r="D35" s="18"/>
      <c r="E35" s="18"/>
      <c r="F35" s="18"/>
      <c r="G35" s="18"/>
      <c r="H35" s="18"/>
      <c r="I35" s="18"/>
      <c r="J35" s="18"/>
      <c r="K35" s="18"/>
      <c r="L35" s="18"/>
      <c r="M35" s="299">
        <f>(M16*1.16)</f>
        <v>5368419.7727999995</v>
      </c>
      <c r="O35" s="36"/>
      <c r="P35" s="36"/>
    </row>
    <row r="36" spans="2:16" x14ac:dyDescent="0.25">
      <c r="B36" s="1"/>
      <c r="C36" s="17" t="s">
        <v>72</v>
      </c>
      <c r="D36" s="18"/>
      <c r="E36" s="18"/>
      <c r="F36" s="18"/>
      <c r="G36" s="18"/>
      <c r="H36" s="18"/>
      <c r="I36" s="18"/>
      <c r="J36" s="18"/>
      <c r="K36" s="18"/>
      <c r="L36" s="18"/>
      <c r="M36" s="299">
        <f>(M26*1.16)+M31</f>
        <v>1821.8868505627804</v>
      </c>
      <c r="O36" s="36"/>
      <c r="P36" s="36"/>
    </row>
    <row r="37" spans="2:16" x14ac:dyDescent="0.25">
      <c r="B37" s="1"/>
      <c r="C37" s="17"/>
      <c r="D37" s="18"/>
      <c r="E37" s="18"/>
      <c r="F37" s="18"/>
      <c r="G37" s="18"/>
      <c r="H37" s="18"/>
      <c r="I37" s="18"/>
      <c r="J37" s="18"/>
      <c r="K37" s="18"/>
      <c r="L37" s="18"/>
      <c r="M37" s="13"/>
    </row>
    <row r="38" spans="2:16" x14ac:dyDescent="0.25">
      <c r="B38" s="1"/>
      <c r="C38" s="7" t="s">
        <v>16</v>
      </c>
      <c r="D38" s="8"/>
      <c r="E38" s="8"/>
      <c r="F38" s="8"/>
      <c r="G38" s="8"/>
      <c r="H38" s="8"/>
      <c r="I38" s="8"/>
      <c r="J38" s="8"/>
      <c r="K38" s="9"/>
      <c r="L38" s="9"/>
      <c r="M38" s="10"/>
    </row>
    <row r="39" spans="2:16" x14ac:dyDescent="0.25">
      <c r="B39" s="1"/>
      <c r="C39" s="31" t="s">
        <v>17</v>
      </c>
      <c r="D39" s="32" t="s">
        <v>18</v>
      </c>
      <c r="E39" s="32" t="s">
        <v>19</v>
      </c>
      <c r="F39" s="2236" t="s">
        <v>20</v>
      </c>
      <c r="G39" s="2237"/>
      <c r="H39" s="2238" t="s">
        <v>1</v>
      </c>
      <c r="I39" s="2238"/>
      <c r="J39" s="2238" t="s">
        <v>21</v>
      </c>
      <c r="K39" s="2238"/>
      <c r="L39" s="18"/>
      <c r="M39" s="13"/>
    </row>
    <row r="40" spans="2:16" x14ac:dyDescent="0.25">
      <c r="B40" s="1"/>
      <c r="C40" s="33">
        <v>2044</v>
      </c>
      <c r="D40" s="303">
        <v>2044</v>
      </c>
      <c r="E40" s="303" t="s">
        <v>22</v>
      </c>
      <c r="F40" s="2224" t="s">
        <v>23</v>
      </c>
      <c r="G40" s="2224"/>
      <c r="H40" s="2225"/>
      <c r="I40" s="2225"/>
      <c r="J40" s="2226"/>
      <c r="K40" s="2226"/>
      <c r="L40" s="18"/>
      <c r="M40" s="13"/>
      <c r="N40" s="1"/>
    </row>
    <row r="41" spans="2:16" x14ac:dyDescent="0.25">
      <c r="B41" s="1"/>
      <c r="C41" s="33"/>
      <c r="D41" s="303"/>
      <c r="E41" s="303" t="s">
        <v>25</v>
      </c>
      <c r="F41" s="2227"/>
      <c r="G41" s="2228"/>
      <c r="H41" s="2229"/>
      <c r="I41" s="2230"/>
      <c r="J41" s="2231"/>
      <c r="K41" s="2232"/>
      <c r="L41" s="18"/>
      <c r="M41" s="13"/>
      <c r="N41" s="1"/>
    </row>
    <row r="42" spans="2:16" x14ac:dyDescent="0.25">
      <c r="B42" s="1"/>
      <c r="C42" s="33"/>
      <c r="D42" s="303"/>
      <c r="E42" s="303" t="s">
        <v>26</v>
      </c>
      <c r="F42" s="2227"/>
      <c r="G42" s="2228"/>
      <c r="H42" s="2229"/>
      <c r="I42" s="2230"/>
      <c r="J42" s="2231"/>
      <c r="K42" s="2232"/>
      <c r="L42" s="18"/>
      <c r="M42" s="13"/>
      <c r="N42" s="1"/>
    </row>
    <row r="43" spans="2:16" x14ac:dyDescent="0.25">
      <c r="B43" s="1"/>
      <c r="C43" s="33">
        <v>2044</v>
      </c>
      <c r="D43" s="303">
        <v>2044</v>
      </c>
      <c r="E43" s="303" t="s">
        <v>27</v>
      </c>
      <c r="F43" s="2224" t="s">
        <v>28</v>
      </c>
      <c r="G43" s="2224"/>
      <c r="H43" s="2225"/>
      <c r="I43" s="2225"/>
      <c r="J43" s="2226"/>
      <c r="K43" s="2226"/>
      <c r="L43" s="18"/>
      <c r="M43" s="13"/>
      <c r="N43" s="1"/>
    </row>
    <row r="44" spans="2:16" x14ac:dyDescent="0.25">
      <c r="B44" s="1"/>
      <c r="C44" s="2219" t="s">
        <v>24</v>
      </c>
      <c r="D44" s="2220"/>
      <c r="E44" s="2220"/>
      <c r="F44" s="2220"/>
      <c r="G44" s="2221"/>
      <c r="H44" s="2222">
        <f>SUM(H40:H43)</f>
        <v>0</v>
      </c>
      <c r="I44" s="2223"/>
      <c r="J44" s="3"/>
      <c r="K44" s="3"/>
      <c r="L44" s="18"/>
      <c r="M44" s="13"/>
      <c r="N44" s="1"/>
    </row>
    <row r="45" spans="2:16" x14ac:dyDescent="0.25">
      <c r="B45" s="1"/>
      <c r="C45" s="17"/>
      <c r="D45" s="18"/>
      <c r="E45" s="18"/>
      <c r="F45" s="18"/>
      <c r="G45" s="18"/>
      <c r="H45" s="18"/>
      <c r="I45" s="18"/>
      <c r="J45" s="18"/>
      <c r="K45" s="18"/>
      <c r="L45" s="18"/>
      <c r="M45" s="13"/>
    </row>
  </sheetData>
  <mergeCells count="44">
    <mergeCell ref="F41:G41"/>
    <mergeCell ref="H41:I41"/>
    <mergeCell ref="J41:K41"/>
    <mergeCell ref="C44:G44"/>
    <mergeCell ref="H44:I44"/>
    <mergeCell ref="F42:G42"/>
    <mergeCell ref="H42:I42"/>
    <mergeCell ref="J42:K42"/>
    <mergeCell ref="F43:G43"/>
    <mergeCell ref="H43:I43"/>
    <mergeCell ref="J43:K43"/>
    <mergeCell ref="C23:J23"/>
    <mergeCell ref="K23:L23"/>
    <mergeCell ref="F40:G40"/>
    <mergeCell ref="H40:I40"/>
    <mergeCell ref="J40:K40"/>
    <mergeCell ref="K26:L26"/>
    <mergeCell ref="F39:G39"/>
    <mergeCell ref="H39:I39"/>
    <mergeCell ref="J39:K39"/>
    <mergeCell ref="K24:L24"/>
    <mergeCell ref="C25:J25"/>
    <mergeCell ref="K25:L25"/>
    <mergeCell ref="K9:M9"/>
    <mergeCell ref="K11:L11"/>
    <mergeCell ref="C12:J12"/>
    <mergeCell ref="K12:L12"/>
    <mergeCell ref="C13:J13"/>
    <mergeCell ref="K13:L13"/>
    <mergeCell ref="C14:J14"/>
    <mergeCell ref="K14:L14"/>
    <mergeCell ref="K21:L21"/>
    <mergeCell ref="C22:J22"/>
    <mergeCell ref="K22:L22"/>
    <mergeCell ref="C15:J15"/>
    <mergeCell ref="K15:L15"/>
    <mergeCell ref="K16:L16"/>
    <mergeCell ref="K20:L20"/>
    <mergeCell ref="C21:J21"/>
    <mergeCell ref="C3:M4"/>
    <mergeCell ref="C5:M5"/>
    <mergeCell ref="C6:M6"/>
    <mergeCell ref="C7:G7"/>
    <mergeCell ref="C8:G8"/>
  </mergeCells>
  <pageMargins left="0.7" right="0.7" top="0.93" bottom="0.75" header="0.3" footer="0.3"/>
  <pageSetup scale="93" fitToHeight="0" orientation="portrait" r:id="rId1"/>
  <headerFooter>
    <oddHeader>&amp;L&amp;G&amp;R&amp;"Arial,Negrita"Direccion de Operacion&amp;"Arial,Normal"
Subdireccion de Energeticos
Subgerencia Regional de Energeticos</oddHeader>
  </headerFooter>
  <drawing r:id="rId2"/>
  <legacyDrawingHF r:id="rId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45"/>
  <sheetViews>
    <sheetView workbookViewId="0"/>
  </sheetViews>
  <sheetFormatPr baseColWidth="10" defaultColWidth="11" defaultRowHeight="15" x14ac:dyDescent="0.25"/>
  <cols>
    <col min="1" max="1" width="11" style="2"/>
    <col min="2" max="2" width="2.875" style="2" customWidth="1"/>
    <col min="3" max="9" width="5.625" style="2" customWidth="1"/>
    <col min="10" max="10" width="11" style="2" customWidth="1"/>
    <col min="11" max="11" width="5.375" style="2" customWidth="1"/>
    <col min="12" max="12" width="7.625" style="2" bestFit="1" customWidth="1"/>
    <col min="13" max="13" width="10.5" style="2" bestFit="1" customWidth="1"/>
    <col min="14" max="14" width="4.125" style="6" customWidth="1"/>
    <col min="15" max="15" width="39.625" style="3" bestFit="1" customWidth="1"/>
    <col min="16" max="16384" width="11" style="3"/>
  </cols>
  <sheetData>
    <row r="2" spans="2:15" ht="15.75" thickBot="1" x14ac:dyDescent="0.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2:15" ht="15" customHeight="1" x14ac:dyDescent="0.25">
      <c r="B3" s="1"/>
      <c r="C3" s="2250" t="s">
        <v>0</v>
      </c>
      <c r="D3" s="2251"/>
      <c r="E3" s="2251"/>
      <c r="F3" s="2251"/>
      <c r="G3" s="2251"/>
      <c r="H3" s="2251"/>
      <c r="I3" s="2251"/>
      <c r="J3" s="2251"/>
      <c r="K3" s="2251"/>
      <c r="L3" s="2251"/>
      <c r="M3" s="2252"/>
    </row>
    <row r="4" spans="2:15" ht="15" customHeight="1" x14ac:dyDescent="0.25">
      <c r="B4" s="1"/>
      <c r="C4" s="2253"/>
      <c r="D4" s="2254"/>
      <c r="E4" s="2254"/>
      <c r="F4" s="2254"/>
      <c r="G4" s="2254"/>
      <c r="H4" s="2254"/>
      <c r="I4" s="2254"/>
      <c r="J4" s="2254"/>
      <c r="K4" s="2254"/>
      <c r="L4" s="2254"/>
      <c r="M4" s="2255"/>
    </row>
    <row r="5" spans="2:15" x14ac:dyDescent="0.25">
      <c r="B5" s="1"/>
      <c r="C5" s="2256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8"/>
    </row>
    <row r="6" spans="2:15" x14ac:dyDescent="0.25">
      <c r="B6" s="1"/>
      <c r="C6" s="2256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8"/>
    </row>
    <row r="7" spans="2:15" ht="15" customHeight="1" x14ac:dyDescent="0.25">
      <c r="B7" s="1"/>
      <c r="C7" s="2259" t="s">
        <v>3</v>
      </c>
      <c r="D7" s="2260"/>
      <c r="E7" s="2260"/>
      <c r="F7" s="2260"/>
      <c r="G7" s="2260"/>
      <c r="H7" s="207">
        <v>21</v>
      </c>
      <c r="I7" s="296">
        <f>VLOOKUP(H7,Tarifas!D4:H303,2)</f>
        <v>42095</v>
      </c>
      <c r="J7" s="296"/>
      <c r="K7" s="296"/>
      <c r="L7" s="296"/>
      <c r="M7" s="297"/>
      <c r="O7" s="3" t="s">
        <v>64</v>
      </c>
    </row>
    <row r="8" spans="2:15" x14ac:dyDescent="0.25">
      <c r="B8" s="1"/>
      <c r="C8" s="2259" t="s">
        <v>4</v>
      </c>
      <c r="D8" s="2260"/>
      <c r="E8" s="2260"/>
      <c r="F8" s="2260"/>
      <c r="G8" s="2260"/>
      <c r="H8" s="207" t="s">
        <v>81</v>
      </c>
      <c r="I8" s="296"/>
      <c r="J8" s="296"/>
      <c r="K8" s="296"/>
      <c r="L8" s="296"/>
      <c r="M8" s="297"/>
    </row>
    <row r="9" spans="2:15" x14ac:dyDescent="0.25">
      <c r="B9" s="1"/>
      <c r="C9" s="4"/>
      <c r="D9" s="5"/>
      <c r="E9" s="5"/>
      <c r="F9" s="5"/>
      <c r="G9" s="5"/>
      <c r="H9" s="5"/>
      <c r="I9" s="5"/>
      <c r="J9" s="5"/>
      <c r="K9" s="2248" t="s">
        <v>73</v>
      </c>
      <c r="L9" s="2248"/>
      <c r="M9" s="2249"/>
    </row>
    <row r="10" spans="2:15" ht="15.75" thickBot="1" x14ac:dyDescent="0.3">
      <c r="B10" s="1"/>
      <c r="C10" s="7" t="s">
        <v>5</v>
      </c>
      <c r="D10" s="8"/>
      <c r="E10" s="8"/>
      <c r="F10" s="8"/>
      <c r="G10" s="8"/>
      <c r="H10" s="8"/>
      <c r="I10" s="8"/>
      <c r="J10" s="8"/>
      <c r="K10" s="9"/>
      <c r="L10" s="9"/>
      <c r="M10" s="10"/>
    </row>
    <row r="11" spans="2:15" x14ac:dyDescent="0.25">
      <c r="B11" s="1"/>
      <c r="C11" s="11" t="s">
        <v>6</v>
      </c>
      <c r="D11" s="12"/>
      <c r="E11" s="12"/>
      <c r="F11" s="12"/>
      <c r="G11" s="12"/>
      <c r="H11" s="12"/>
      <c r="I11" s="12"/>
      <c r="J11" s="12"/>
      <c r="K11" s="2244"/>
      <c r="L11" s="2245"/>
      <c r="M11" s="13"/>
      <c r="O11" s="38"/>
    </row>
    <row r="12" spans="2:15" ht="26.25" customHeight="1" x14ac:dyDescent="0.25">
      <c r="B12" s="1"/>
      <c r="C12" s="2213"/>
      <c r="D12" s="2214"/>
      <c r="E12" s="2214"/>
      <c r="F12" s="2214"/>
      <c r="G12" s="2214"/>
      <c r="H12" s="2214"/>
      <c r="I12" s="2214"/>
      <c r="J12" s="2215"/>
      <c r="K12" s="2241">
        <f>VLOOKUP(H7,Tarifas!D4:H303,3)</f>
        <v>0.14699999999999999</v>
      </c>
      <c r="L12" s="2240"/>
      <c r="M12" s="13"/>
      <c r="O12" s="3" t="s">
        <v>63</v>
      </c>
    </row>
    <row r="13" spans="2:15" x14ac:dyDescent="0.25">
      <c r="B13" s="1"/>
      <c r="C13" s="2213"/>
      <c r="D13" s="2214"/>
      <c r="E13" s="2214"/>
      <c r="F13" s="2214"/>
      <c r="G13" s="2214"/>
      <c r="H13" s="2214"/>
      <c r="I13" s="2214"/>
      <c r="J13" s="2215"/>
      <c r="K13" s="2241">
        <v>850</v>
      </c>
      <c r="L13" s="2240"/>
      <c r="M13" s="13" t="s">
        <v>7</v>
      </c>
      <c r="O13" s="38"/>
    </row>
    <row r="14" spans="2:15" x14ac:dyDescent="0.25">
      <c r="B14" s="1"/>
      <c r="C14" s="2213"/>
      <c r="D14" s="2214"/>
      <c r="E14" s="2214"/>
      <c r="F14" s="2214"/>
      <c r="G14" s="2214"/>
      <c r="H14" s="2214"/>
      <c r="I14" s="2214"/>
      <c r="J14" s="2215"/>
      <c r="K14" s="2241">
        <v>850</v>
      </c>
      <c r="L14" s="2240"/>
      <c r="M14" s="13" t="s">
        <v>7</v>
      </c>
      <c r="O14" s="38"/>
    </row>
    <row r="15" spans="2:15" ht="15.75" thickBot="1" x14ac:dyDescent="0.3">
      <c r="B15" s="1"/>
      <c r="C15" s="2210"/>
      <c r="D15" s="2211"/>
      <c r="E15" s="2211"/>
      <c r="F15" s="2211"/>
      <c r="G15" s="2211"/>
      <c r="H15" s="2211"/>
      <c r="I15" s="2211"/>
      <c r="J15" s="2212"/>
      <c r="K15" s="2242">
        <v>31482640</v>
      </c>
      <c r="L15" s="2243"/>
      <c r="M15" s="13" t="s">
        <v>8</v>
      </c>
      <c r="O15" s="304"/>
    </row>
    <row r="16" spans="2:15" x14ac:dyDescent="0.25">
      <c r="B16" s="3"/>
      <c r="C16" s="14" t="s">
        <v>9</v>
      </c>
      <c r="D16" s="15"/>
      <c r="E16" s="15"/>
      <c r="F16" s="15"/>
      <c r="G16" s="15"/>
      <c r="H16" s="15"/>
      <c r="I16" s="15"/>
      <c r="J16" s="15"/>
      <c r="K16" s="2235"/>
      <c r="L16" s="2235"/>
      <c r="M16" s="16">
        <f>+K12*(K13/K14)*K15</f>
        <v>4627948.08</v>
      </c>
      <c r="O16" s="36"/>
    </row>
    <row r="17" spans="2:15" x14ac:dyDescent="0.25">
      <c r="B17" s="1"/>
      <c r="C17" s="17"/>
      <c r="D17" s="18"/>
      <c r="E17" s="18"/>
      <c r="F17" s="18"/>
      <c r="G17" s="18"/>
      <c r="H17" s="18"/>
      <c r="I17" s="18"/>
      <c r="J17" s="18"/>
      <c r="K17" s="18"/>
      <c r="L17" s="18" t="s">
        <v>75</v>
      </c>
      <c r="M17" s="305">
        <v>4627948.08</v>
      </c>
      <c r="O17" s="36"/>
    </row>
    <row r="18" spans="2:15" x14ac:dyDescent="0.25">
      <c r="B18" s="1"/>
      <c r="C18" s="17"/>
      <c r="D18" s="18"/>
      <c r="E18" s="18"/>
      <c r="F18" s="18"/>
      <c r="G18" s="18"/>
      <c r="H18" s="18"/>
      <c r="I18" s="18"/>
      <c r="J18" s="18"/>
      <c r="K18" s="18"/>
      <c r="L18" s="18" t="s">
        <v>74</v>
      </c>
      <c r="M18" s="299">
        <f>M16-M17</f>
        <v>0</v>
      </c>
      <c r="O18" s="36"/>
    </row>
    <row r="19" spans="2:15" ht="15.75" thickBot="1" x14ac:dyDescent="0.3">
      <c r="B19" s="1"/>
      <c r="C19" s="7" t="s">
        <v>10</v>
      </c>
      <c r="D19" s="8"/>
      <c r="E19" s="8"/>
      <c r="F19" s="8"/>
      <c r="G19" s="8"/>
      <c r="H19" s="8"/>
      <c r="I19" s="8"/>
      <c r="J19" s="8"/>
      <c r="K19" s="9"/>
      <c r="L19" s="9"/>
      <c r="M19" s="10"/>
    </row>
    <row r="20" spans="2:15" ht="22.5" customHeight="1" x14ac:dyDescent="0.25">
      <c r="B20" s="1"/>
      <c r="C20" s="11" t="s">
        <v>6</v>
      </c>
      <c r="D20" s="12"/>
      <c r="E20" s="12"/>
      <c r="F20" s="12"/>
      <c r="G20" s="12"/>
      <c r="H20" s="12"/>
      <c r="I20" s="12"/>
      <c r="J20" s="12"/>
      <c r="K20" s="2244"/>
      <c r="L20" s="2245"/>
      <c r="M20" s="13"/>
    </row>
    <row r="21" spans="2:15" ht="21.75" customHeight="1" x14ac:dyDescent="0.25">
      <c r="B21" s="1"/>
      <c r="C21" s="2213"/>
      <c r="D21" s="2214"/>
      <c r="E21" s="2214"/>
      <c r="F21" s="2214"/>
      <c r="G21" s="2214"/>
      <c r="H21" s="2214"/>
      <c r="I21" s="2214"/>
      <c r="J21" s="2215"/>
      <c r="K21" s="2241">
        <f>VLOOKUP(H7,Tarifas!D4:H303,5)</f>
        <v>1E-3</v>
      </c>
      <c r="L21" s="2240"/>
      <c r="M21" s="13" t="s">
        <v>11</v>
      </c>
      <c r="O21" s="3" t="s">
        <v>63</v>
      </c>
    </row>
    <row r="22" spans="2:15" ht="15" customHeight="1" x14ac:dyDescent="0.25">
      <c r="B22" s="1"/>
      <c r="C22" s="2213"/>
      <c r="D22" s="2214"/>
      <c r="E22" s="2214"/>
      <c r="F22" s="2214"/>
      <c r="G22" s="2214"/>
      <c r="H22" s="2214"/>
      <c r="I22" s="2214"/>
      <c r="J22" s="2215"/>
      <c r="K22" s="2246">
        <v>201.4</v>
      </c>
      <c r="L22" s="2247"/>
      <c r="M22" s="13" t="s">
        <v>12</v>
      </c>
      <c r="O22" s="3" t="s">
        <v>62</v>
      </c>
    </row>
    <row r="23" spans="2:15" ht="21.75" customHeight="1" x14ac:dyDescent="0.25">
      <c r="B23" s="1"/>
      <c r="C23" s="2216"/>
      <c r="D23" s="2217"/>
      <c r="E23" s="2217"/>
      <c r="F23" s="2217"/>
      <c r="G23" s="2217"/>
      <c r="H23" s="2217"/>
      <c r="I23" s="2217"/>
      <c r="J23" s="2218"/>
      <c r="K23" s="2246">
        <v>191.6</v>
      </c>
      <c r="L23" s="2247"/>
      <c r="M23" s="13" t="s">
        <v>12</v>
      </c>
      <c r="O23" s="3" t="s">
        <v>67</v>
      </c>
    </row>
    <row r="24" spans="2:15" x14ac:dyDescent="0.25">
      <c r="B24" s="1"/>
      <c r="C24" s="19"/>
      <c r="D24" s="20"/>
      <c r="E24" s="20"/>
      <c r="F24" s="20"/>
      <c r="G24" s="20"/>
      <c r="H24" s="20"/>
      <c r="I24" s="20"/>
      <c r="J24" s="21"/>
      <c r="K24" s="2239">
        <f>IFERROR(K23/K22,0)</f>
        <v>0.95134061569016881</v>
      </c>
      <c r="L24" s="2240"/>
      <c r="M24" s="13"/>
    </row>
    <row r="25" spans="2:15" ht="15.75" thickBot="1" x14ac:dyDescent="0.3">
      <c r="B25" s="1"/>
      <c r="C25" s="2207"/>
      <c r="D25" s="2208"/>
      <c r="E25" s="2208"/>
      <c r="F25" s="2208"/>
      <c r="G25" s="2208"/>
      <c r="H25" s="2208"/>
      <c r="I25" s="2208"/>
      <c r="J25" s="2209"/>
      <c r="K25" s="2233">
        <v>2233627.807</v>
      </c>
      <c r="L25" s="2234"/>
      <c r="M25" s="13" t="s">
        <v>8</v>
      </c>
      <c r="O25" s="37" t="s">
        <v>66</v>
      </c>
    </row>
    <row r="26" spans="2:15" x14ac:dyDescent="0.25">
      <c r="B26" s="1"/>
      <c r="C26" s="14" t="s">
        <v>13</v>
      </c>
      <c r="D26" s="15"/>
      <c r="E26" s="15"/>
      <c r="F26" s="15"/>
      <c r="G26" s="15"/>
      <c r="H26" s="15"/>
      <c r="I26" s="15"/>
      <c r="J26" s="15"/>
      <c r="K26" s="2235"/>
      <c r="L26" s="2235"/>
      <c r="M26" s="16">
        <f>+K21*K24*K25</f>
        <v>2124.9408531340619</v>
      </c>
      <c r="O26" s="38"/>
    </row>
    <row r="27" spans="2:15" x14ac:dyDescent="0.25">
      <c r="B27" s="1"/>
      <c r="C27" s="306"/>
      <c r="D27" s="307"/>
      <c r="E27" s="307"/>
      <c r="F27" s="307"/>
      <c r="G27" s="307"/>
      <c r="H27" s="307"/>
      <c r="I27" s="307"/>
      <c r="J27" s="307"/>
      <c r="K27" s="308"/>
      <c r="L27" s="310" t="s">
        <v>75</v>
      </c>
      <c r="M27" s="309">
        <v>2124.94</v>
      </c>
      <c r="O27" s="38"/>
    </row>
    <row r="28" spans="2:15" x14ac:dyDescent="0.25">
      <c r="B28" s="1"/>
      <c r="C28" s="306"/>
      <c r="D28" s="307"/>
      <c r="E28" s="307"/>
      <c r="F28" s="307"/>
      <c r="G28" s="307"/>
      <c r="H28" s="307"/>
      <c r="I28" s="307"/>
      <c r="J28" s="307"/>
      <c r="K28" s="308"/>
      <c r="L28" s="310" t="s">
        <v>74</v>
      </c>
      <c r="M28" s="309">
        <f>M26-M27</f>
        <v>8.5313406179921003E-4</v>
      </c>
      <c r="O28" s="38"/>
    </row>
    <row r="29" spans="2:15" x14ac:dyDescent="0.25">
      <c r="B29" s="1"/>
      <c r="C29" s="306"/>
      <c r="D29" s="307"/>
      <c r="E29" s="307"/>
      <c r="F29" s="307"/>
      <c r="G29" s="307"/>
      <c r="H29" s="307"/>
      <c r="I29" s="307"/>
      <c r="J29" s="307"/>
      <c r="K29" s="308"/>
      <c r="L29" s="308"/>
      <c r="M29" s="309"/>
      <c r="O29" s="38"/>
    </row>
    <row r="30" spans="2:15" ht="15" customHeight="1" x14ac:dyDescent="0.25">
      <c r="B30" s="1"/>
      <c r="C30" s="22" t="s">
        <v>70</v>
      </c>
      <c r="D30" s="23"/>
      <c r="E30" s="23"/>
      <c r="F30" s="23"/>
      <c r="G30" s="23"/>
      <c r="H30" s="23"/>
      <c r="I30" s="23"/>
      <c r="J30" s="23"/>
      <c r="K30" s="24"/>
      <c r="L30" s="24"/>
      <c r="M30" s="16">
        <f>+M16+M26</f>
        <v>4630073.0208531339</v>
      </c>
      <c r="O30" s="298"/>
    </row>
    <row r="31" spans="2:15" ht="15" customHeight="1" x14ac:dyDescent="0.25">
      <c r="B31" s="1"/>
      <c r="C31" s="22" t="str">
        <f>"% de Impuestos del mes: "&amp;H7</f>
        <v>% de Impuestos del mes: 21</v>
      </c>
      <c r="D31" s="23"/>
      <c r="E31" s="23"/>
      <c r="F31" s="23"/>
      <c r="G31" s="300" t="str">
        <f>"("&amp;VLOOKUP(H7,Tarifas!D4:H303,4)&amp;")"</f>
        <v>(1.886%)</v>
      </c>
      <c r="H31" s="23"/>
      <c r="I31" s="301"/>
      <c r="J31" s="302"/>
      <c r="K31" s="24"/>
      <c r="L31" s="24"/>
      <c r="M31" s="13"/>
      <c r="O31" s="38"/>
    </row>
    <row r="32" spans="2:15" x14ac:dyDescent="0.25">
      <c r="B32" s="1"/>
      <c r="C32" s="25" t="s">
        <v>14</v>
      </c>
      <c r="D32" s="26"/>
      <c r="E32" s="26"/>
      <c r="F32" s="26"/>
      <c r="G32" s="26"/>
      <c r="H32" s="26"/>
      <c r="I32" s="26"/>
      <c r="J32" s="18"/>
      <c r="K32" s="208"/>
      <c r="L32" s="18"/>
      <c r="M32" s="16">
        <f>+M30*0.16</f>
        <v>740811.68333650148</v>
      </c>
      <c r="O32" s="36"/>
    </row>
    <row r="33" spans="2:16" x14ac:dyDescent="0.25">
      <c r="B33" s="1"/>
      <c r="C33" s="27" t="s">
        <v>15</v>
      </c>
      <c r="D33" s="28"/>
      <c r="E33" s="28"/>
      <c r="F33" s="28"/>
      <c r="G33" s="28"/>
      <c r="H33" s="28"/>
      <c r="I33" s="28"/>
      <c r="J33" s="29"/>
      <c r="K33" s="30"/>
      <c r="L33" s="30"/>
      <c r="M33" s="16">
        <f>+M32+M30</f>
        <v>5370884.7041896358</v>
      </c>
      <c r="O33" s="36"/>
    </row>
    <row r="34" spans="2:16" x14ac:dyDescent="0.25">
      <c r="B34" s="1"/>
      <c r="C34" s="17"/>
      <c r="D34" s="18"/>
      <c r="E34" s="18"/>
      <c r="F34" s="18"/>
      <c r="G34" s="18"/>
      <c r="H34" s="18"/>
      <c r="I34" s="18"/>
      <c r="J34" s="18"/>
      <c r="K34" s="18"/>
      <c r="L34" s="18"/>
      <c r="M34" s="13"/>
    </row>
    <row r="35" spans="2:16" x14ac:dyDescent="0.25">
      <c r="B35" s="1"/>
      <c r="C35" s="17" t="s">
        <v>71</v>
      </c>
      <c r="D35" s="18"/>
      <c r="E35" s="18"/>
      <c r="F35" s="18"/>
      <c r="G35" s="18"/>
      <c r="H35" s="18"/>
      <c r="I35" s="18"/>
      <c r="J35" s="18"/>
      <c r="K35" s="18"/>
      <c r="L35" s="18"/>
      <c r="M35" s="299">
        <f>(M16*1.16)</f>
        <v>5368419.7727999995</v>
      </c>
      <c r="O35" s="36"/>
      <c r="P35" s="36"/>
    </row>
    <row r="36" spans="2:16" x14ac:dyDescent="0.25">
      <c r="B36" s="1"/>
      <c r="C36" s="17" t="s">
        <v>72</v>
      </c>
      <c r="D36" s="18"/>
      <c r="E36" s="18"/>
      <c r="F36" s="18"/>
      <c r="G36" s="18"/>
      <c r="H36" s="18"/>
      <c r="I36" s="18"/>
      <c r="J36" s="18"/>
      <c r="K36" s="18"/>
      <c r="L36" s="18"/>
      <c r="M36" s="299">
        <f>(M26*1.16)+M31</f>
        <v>2464.9313896355116</v>
      </c>
      <c r="O36" s="36"/>
      <c r="P36" s="36"/>
    </row>
    <row r="37" spans="2:16" x14ac:dyDescent="0.25">
      <c r="B37" s="1"/>
      <c r="C37" s="17"/>
      <c r="D37" s="18"/>
      <c r="E37" s="18"/>
      <c r="F37" s="18"/>
      <c r="G37" s="18"/>
      <c r="H37" s="18"/>
      <c r="I37" s="18"/>
      <c r="J37" s="18"/>
      <c r="K37" s="18"/>
      <c r="L37" s="18"/>
      <c r="M37" s="13"/>
    </row>
    <row r="38" spans="2:16" x14ac:dyDescent="0.25">
      <c r="B38" s="1"/>
      <c r="C38" s="7" t="s">
        <v>16</v>
      </c>
      <c r="D38" s="8"/>
      <c r="E38" s="8"/>
      <c r="F38" s="8"/>
      <c r="G38" s="8"/>
      <c r="H38" s="8"/>
      <c r="I38" s="8"/>
      <c r="J38" s="8"/>
      <c r="K38" s="9"/>
      <c r="L38" s="9"/>
      <c r="M38" s="10"/>
    </row>
    <row r="39" spans="2:16" x14ac:dyDescent="0.25">
      <c r="B39" s="1"/>
      <c r="C39" s="31" t="s">
        <v>17</v>
      </c>
      <c r="D39" s="32" t="s">
        <v>18</v>
      </c>
      <c r="E39" s="32" t="s">
        <v>19</v>
      </c>
      <c r="F39" s="2236" t="s">
        <v>20</v>
      </c>
      <c r="G39" s="2237"/>
      <c r="H39" s="2238" t="s">
        <v>1</v>
      </c>
      <c r="I39" s="2238"/>
      <c r="J39" s="2238" t="s">
        <v>21</v>
      </c>
      <c r="K39" s="2238"/>
      <c r="L39" s="18"/>
      <c r="M39" s="13"/>
    </row>
    <row r="40" spans="2:16" x14ac:dyDescent="0.25">
      <c r="B40" s="1"/>
      <c r="C40" s="33">
        <v>2044</v>
      </c>
      <c r="D40" s="303">
        <v>2044</v>
      </c>
      <c r="E40" s="303" t="s">
        <v>22</v>
      </c>
      <c r="F40" s="2224" t="s">
        <v>23</v>
      </c>
      <c r="G40" s="2224"/>
      <c r="H40" s="2225"/>
      <c r="I40" s="2225"/>
      <c r="J40" s="2226"/>
      <c r="K40" s="2226"/>
      <c r="L40" s="18"/>
      <c r="M40" s="13"/>
      <c r="N40" s="1"/>
    </row>
    <row r="41" spans="2:16" x14ac:dyDescent="0.25">
      <c r="B41" s="1"/>
      <c r="C41" s="33"/>
      <c r="D41" s="303"/>
      <c r="E41" s="303" t="s">
        <v>25</v>
      </c>
      <c r="F41" s="2227"/>
      <c r="G41" s="2228"/>
      <c r="H41" s="2229"/>
      <c r="I41" s="2230"/>
      <c r="J41" s="2231"/>
      <c r="K41" s="2232"/>
      <c r="L41" s="18"/>
      <c r="M41" s="13"/>
      <c r="N41" s="1"/>
    </row>
    <row r="42" spans="2:16" x14ac:dyDescent="0.25">
      <c r="B42" s="1"/>
      <c r="C42" s="33"/>
      <c r="D42" s="303"/>
      <c r="E42" s="303" t="s">
        <v>26</v>
      </c>
      <c r="F42" s="2227"/>
      <c r="G42" s="2228"/>
      <c r="H42" s="2229"/>
      <c r="I42" s="2230"/>
      <c r="J42" s="2231"/>
      <c r="K42" s="2232"/>
      <c r="L42" s="18"/>
      <c r="M42" s="13"/>
      <c r="N42" s="1"/>
    </row>
    <row r="43" spans="2:16" x14ac:dyDescent="0.25">
      <c r="B43" s="1"/>
      <c r="C43" s="33">
        <v>2044</v>
      </c>
      <c r="D43" s="303">
        <v>2044</v>
      </c>
      <c r="E43" s="303" t="s">
        <v>27</v>
      </c>
      <c r="F43" s="2224" t="s">
        <v>28</v>
      </c>
      <c r="G43" s="2224"/>
      <c r="H43" s="2225"/>
      <c r="I43" s="2225"/>
      <c r="J43" s="2226"/>
      <c r="K43" s="2226"/>
      <c r="L43" s="18"/>
      <c r="M43" s="13"/>
      <c r="N43" s="1"/>
    </row>
    <row r="44" spans="2:16" x14ac:dyDescent="0.25">
      <c r="B44" s="1"/>
      <c r="C44" s="2219" t="s">
        <v>24</v>
      </c>
      <c r="D44" s="2220"/>
      <c r="E44" s="2220"/>
      <c r="F44" s="2220"/>
      <c r="G44" s="2221"/>
      <c r="H44" s="2222">
        <f>SUM(H40:H43)</f>
        <v>0</v>
      </c>
      <c r="I44" s="2223"/>
      <c r="J44" s="3"/>
      <c r="K44" s="3"/>
      <c r="L44" s="18"/>
      <c r="M44" s="13"/>
      <c r="N44" s="1"/>
    </row>
    <row r="45" spans="2:16" x14ac:dyDescent="0.25">
      <c r="B45" s="1"/>
      <c r="C45" s="17"/>
      <c r="D45" s="18"/>
      <c r="E45" s="18"/>
      <c r="F45" s="18"/>
      <c r="G45" s="18"/>
      <c r="H45" s="18"/>
      <c r="I45" s="18"/>
      <c r="J45" s="18"/>
      <c r="K45" s="18"/>
      <c r="L45" s="18"/>
      <c r="M45" s="13"/>
    </row>
  </sheetData>
  <mergeCells count="44">
    <mergeCell ref="F41:G41"/>
    <mergeCell ref="H41:I41"/>
    <mergeCell ref="J41:K41"/>
    <mergeCell ref="C44:G44"/>
    <mergeCell ref="H44:I44"/>
    <mergeCell ref="F42:G42"/>
    <mergeCell ref="H42:I42"/>
    <mergeCell ref="J42:K42"/>
    <mergeCell ref="F43:G43"/>
    <mergeCell ref="H43:I43"/>
    <mergeCell ref="J43:K43"/>
    <mergeCell ref="C23:J23"/>
    <mergeCell ref="K23:L23"/>
    <mergeCell ref="F40:G40"/>
    <mergeCell ref="H40:I40"/>
    <mergeCell ref="J40:K40"/>
    <mergeCell ref="K26:L26"/>
    <mergeCell ref="F39:G39"/>
    <mergeCell ref="H39:I39"/>
    <mergeCell ref="J39:K39"/>
    <mergeCell ref="K24:L24"/>
    <mergeCell ref="C25:J25"/>
    <mergeCell ref="K25:L25"/>
    <mergeCell ref="K9:M9"/>
    <mergeCell ref="K11:L11"/>
    <mergeCell ref="C12:J12"/>
    <mergeCell ref="K12:L12"/>
    <mergeCell ref="C13:J13"/>
    <mergeCell ref="K13:L13"/>
    <mergeCell ref="C14:J14"/>
    <mergeCell ref="K14:L14"/>
    <mergeCell ref="K21:L21"/>
    <mergeCell ref="C22:J22"/>
    <mergeCell ref="K22:L22"/>
    <mergeCell ref="C15:J15"/>
    <mergeCell ref="K15:L15"/>
    <mergeCell ref="K16:L16"/>
    <mergeCell ref="K20:L20"/>
    <mergeCell ref="C21:J21"/>
    <mergeCell ref="C3:M4"/>
    <mergeCell ref="C5:M5"/>
    <mergeCell ref="C6:M6"/>
    <mergeCell ref="C7:G7"/>
    <mergeCell ref="C8:G8"/>
  </mergeCells>
  <pageMargins left="0.7" right="0.7" top="0.93" bottom="0.75" header="0.3" footer="0.3"/>
  <pageSetup scale="93" fitToHeight="0" orientation="portrait" r:id="rId1"/>
  <headerFooter>
    <oddHeader>&amp;L&amp;G&amp;R&amp;"Arial,Negrita"Direccion de Operacion&amp;"Arial,Normal"
Subdireccion de Energeticos
Subgerencia Regional de Energeticos</oddHeader>
  </headerFooter>
  <drawing r:id="rId2"/>
  <legacyDrawingHF r:id="rId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45"/>
  <sheetViews>
    <sheetView workbookViewId="0"/>
  </sheetViews>
  <sheetFormatPr baseColWidth="10" defaultColWidth="11" defaultRowHeight="15" x14ac:dyDescent="0.25"/>
  <cols>
    <col min="1" max="1" width="11" style="2"/>
    <col min="2" max="2" width="2.875" style="2" customWidth="1"/>
    <col min="3" max="9" width="5.625" style="2" customWidth="1"/>
    <col min="10" max="10" width="11" style="2" customWidth="1"/>
    <col min="11" max="11" width="5.375" style="2" customWidth="1"/>
    <col min="12" max="12" width="7.625" style="2" bestFit="1" customWidth="1"/>
    <col min="13" max="13" width="10.5" style="2" bestFit="1" customWidth="1"/>
    <col min="14" max="14" width="4.125" style="6" customWidth="1"/>
    <col min="15" max="15" width="39.625" style="3" bestFit="1" customWidth="1"/>
    <col min="16" max="16384" width="11" style="3"/>
  </cols>
  <sheetData>
    <row r="2" spans="2:15" ht="15.75" thickBot="1" x14ac:dyDescent="0.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2:15" ht="15" customHeight="1" x14ac:dyDescent="0.25">
      <c r="B3" s="1"/>
      <c r="C3" s="2250" t="s">
        <v>0</v>
      </c>
      <c r="D3" s="2251"/>
      <c r="E3" s="2251"/>
      <c r="F3" s="2251"/>
      <c r="G3" s="2251"/>
      <c r="H3" s="2251"/>
      <c r="I3" s="2251"/>
      <c r="J3" s="2251"/>
      <c r="K3" s="2251"/>
      <c r="L3" s="2251"/>
      <c r="M3" s="2252"/>
    </row>
    <row r="4" spans="2:15" ht="15" customHeight="1" x14ac:dyDescent="0.25">
      <c r="B4" s="1"/>
      <c r="C4" s="2253"/>
      <c r="D4" s="2254"/>
      <c r="E4" s="2254"/>
      <c r="F4" s="2254"/>
      <c r="G4" s="2254"/>
      <c r="H4" s="2254"/>
      <c r="I4" s="2254"/>
      <c r="J4" s="2254"/>
      <c r="K4" s="2254"/>
      <c r="L4" s="2254"/>
      <c r="M4" s="2255"/>
    </row>
    <row r="5" spans="2:15" x14ac:dyDescent="0.25">
      <c r="B5" s="1"/>
      <c r="C5" s="2256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8"/>
    </row>
    <row r="6" spans="2:15" x14ac:dyDescent="0.25">
      <c r="B6" s="1"/>
      <c r="C6" s="2256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8"/>
    </row>
    <row r="7" spans="2:15" ht="15" customHeight="1" x14ac:dyDescent="0.25">
      <c r="B7" s="1"/>
      <c r="C7" s="2259" t="s">
        <v>3</v>
      </c>
      <c r="D7" s="2260"/>
      <c r="E7" s="2260"/>
      <c r="F7" s="2260"/>
      <c r="G7" s="2260"/>
      <c r="H7" s="207">
        <v>22</v>
      </c>
      <c r="I7" s="296">
        <f>VLOOKUP(H7,Tarifas!D4:H303,2)</f>
        <v>42125</v>
      </c>
      <c r="J7" s="296"/>
      <c r="K7" s="296"/>
      <c r="L7" s="296"/>
      <c r="M7" s="297"/>
      <c r="O7" s="3" t="s">
        <v>64</v>
      </c>
    </row>
    <row r="8" spans="2:15" x14ac:dyDescent="0.25">
      <c r="B8" s="1"/>
      <c r="C8" s="2259" t="s">
        <v>4</v>
      </c>
      <c r="D8" s="2260"/>
      <c r="E8" s="2260"/>
      <c r="F8" s="2260"/>
      <c r="G8" s="2260"/>
      <c r="H8" s="207" t="s">
        <v>82</v>
      </c>
      <c r="I8" s="296"/>
      <c r="J8" s="296"/>
      <c r="K8" s="296"/>
      <c r="L8" s="296"/>
      <c r="M8" s="297"/>
    </row>
    <row r="9" spans="2:15" x14ac:dyDescent="0.25">
      <c r="B9" s="1"/>
      <c r="C9" s="4"/>
      <c r="D9" s="5"/>
      <c r="E9" s="5"/>
      <c r="F9" s="5"/>
      <c r="G9" s="5"/>
      <c r="H9" s="5"/>
      <c r="I9" s="5"/>
      <c r="J9" s="5"/>
      <c r="K9" s="2248" t="s">
        <v>73</v>
      </c>
      <c r="L9" s="2248"/>
      <c r="M9" s="2249"/>
    </row>
    <row r="10" spans="2:15" ht="15.75" thickBot="1" x14ac:dyDescent="0.3">
      <c r="B10" s="1"/>
      <c r="C10" s="7" t="s">
        <v>5</v>
      </c>
      <c r="D10" s="8"/>
      <c r="E10" s="8"/>
      <c r="F10" s="8"/>
      <c r="G10" s="8"/>
      <c r="H10" s="8"/>
      <c r="I10" s="8"/>
      <c r="J10" s="8"/>
      <c r="K10" s="9"/>
      <c r="L10" s="9"/>
      <c r="M10" s="10"/>
    </row>
    <row r="11" spans="2:15" x14ac:dyDescent="0.25">
      <c r="B11" s="1"/>
      <c r="C11" s="11" t="s">
        <v>6</v>
      </c>
      <c r="D11" s="12"/>
      <c r="E11" s="12"/>
      <c r="F11" s="12"/>
      <c r="G11" s="12"/>
      <c r="H11" s="12"/>
      <c r="I11" s="12"/>
      <c r="J11" s="12"/>
      <c r="K11" s="2244"/>
      <c r="L11" s="2245"/>
      <c r="M11" s="13"/>
      <c r="O11" s="38"/>
    </row>
    <row r="12" spans="2:15" ht="26.25" customHeight="1" x14ac:dyDescent="0.25">
      <c r="B12" s="1"/>
      <c r="C12" s="2213"/>
      <c r="D12" s="2214"/>
      <c r="E12" s="2214"/>
      <c r="F12" s="2214"/>
      <c r="G12" s="2214"/>
      <c r="H12" s="2214"/>
      <c r="I12" s="2214"/>
      <c r="J12" s="2215"/>
      <c r="K12" s="2241">
        <f>VLOOKUP(H7,Tarifas!D4:H303,3)</f>
        <v>0.14699999999999999</v>
      </c>
      <c r="L12" s="2240"/>
      <c r="M12" s="13"/>
      <c r="O12" s="3" t="s">
        <v>63</v>
      </c>
    </row>
    <row r="13" spans="2:15" x14ac:dyDescent="0.25">
      <c r="B13" s="1"/>
      <c r="C13" s="2213"/>
      <c r="D13" s="2214"/>
      <c r="E13" s="2214"/>
      <c r="F13" s="2214"/>
      <c r="G13" s="2214"/>
      <c r="H13" s="2214"/>
      <c r="I13" s="2214"/>
      <c r="J13" s="2215"/>
      <c r="K13" s="2241">
        <v>850</v>
      </c>
      <c r="L13" s="2240"/>
      <c r="M13" s="13" t="s">
        <v>7</v>
      </c>
      <c r="O13" s="38"/>
    </row>
    <row r="14" spans="2:15" x14ac:dyDescent="0.25">
      <c r="B14" s="1"/>
      <c r="C14" s="2213"/>
      <c r="D14" s="2214"/>
      <c r="E14" s="2214"/>
      <c r="F14" s="2214"/>
      <c r="G14" s="2214"/>
      <c r="H14" s="2214"/>
      <c r="I14" s="2214"/>
      <c r="J14" s="2215"/>
      <c r="K14" s="2241">
        <v>850</v>
      </c>
      <c r="L14" s="2240"/>
      <c r="M14" s="13" t="s">
        <v>7</v>
      </c>
      <c r="O14" s="38"/>
    </row>
    <row r="15" spans="2:15" ht="15.75" thickBot="1" x14ac:dyDescent="0.3">
      <c r="B15" s="1"/>
      <c r="C15" s="2210"/>
      <c r="D15" s="2211"/>
      <c r="E15" s="2211"/>
      <c r="F15" s="2211"/>
      <c r="G15" s="2211"/>
      <c r="H15" s="2211"/>
      <c r="I15" s="2211"/>
      <c r="J15" s="2212"/>
      <c r="K15" s="2242">
        <v>31482640</v>
      </c>
      <c r="L15" s="2243"/>
      <c r="M15" s="13" t="s">
        <v>8</v>
      </c>
      <c r="O15" s="304"/>
    </row>
    <row r="16" spans="2:15" x14ac:dyDescent="0.25">
      <c r="B16" s="3"/>
      <c r="C16" s="14" t="s">
        <v>9</v>
      </c>
      <c r="D16" s="15"/>
      <c r="E16" s="15"/>
      <c r="F16" s="15"/>
      <c r="G16" s="15"/>
      <c r="H16" s="15"/>
      <c r="I16" s="15"/>
      <c r="J16" s="15"/>
      <c r="K16" s="2235"/>
      <c r="L16" s="2235"/>
      <c r="M16" s="16">
        <f>+K12*(K13/K14)*K15</f>
        <v>4627948.08</v>
      </c>
      <c r="O16" s="36"/>
    </row>
    <row r="17" spans="2:15" x14ac:dyDescent="0.25">
      <c r="B17" s="1"/>
      <c r="C17" s="17"/>
      <c r="D17" s="18"/>
      <c r="E17" s="18"/>
      <c r="F17" s="18"/>
      <c r="G17" s="18"/>
      <c r="H17" s="18"/>
      <c r="I17" s="18"/>
      <c r="J17" s="18"/>
      <c r="K17" s="18"/>
      <c r="L17" s="18" t="s">
        <v>75</v>
      </c>
      <c r="M17" s="305">
        <v>4627948.08</v>
      </c>
      <c r="O17" s="36"/>
    </row>
    <row r="18" spans="2:15" x14ac:dyDescent="0.25">
      <c r="B18" s="1"/>
      <c r="C18" s="17"/>
      <c r="D18" s="18"/>
      <c r="E18" s="18"/>
      <c r="F18" s="18"/>
      <c r="G18" s="18"/>
      <c r="H18" s="18"/>
      <c r="I18" s="18"/>
      <c r="J18" s="18"/>
      <c r="K18" s="18"/>
      <c r="L18" s="18" t="s">
        <v>74</v>
      </c>
      <c r="M18" s="299">
        <f>M16-M17</f>
        <v>0</v>
      </c>
      <c r="O18" s="36"/>
    </row>
    <row r="19" spans="2:15" ht="15.75" thickBot="1" x14ac:dyDescent="0.3">
      <c r="B19" s="1"/>
      <c r="C19" s="7" t="s">
        <v>10</v>
      </c>
      <c r="D19" s="8"/>
      <c r="E19" s="8"/>
      <c r="F19" s="8"/>
      <c r="G19" s="8"/>
      <c r="H19" s="8"/>
      <c r="I19" s="8"/>
      <c r="J19" s="8"/>
      <c r="K19" s="9"/>
      <c r="L19" s="9"/>
      <c r="M19" s="10"/>
    </row>
    <row r="20" spans="2:15" ht="22.5" customHeight="1" x14ac:dyDescent="0.25">
      <c r="B20" s="1"/>
      <c r="C20" s="11" t="s">
        <v>6</v>
      </c>
      <c r="D20" s="12"/>
      <c r="E20" s="12"/>
      <c r="F20" s="12"/>
      <c r="G20" s="12"/>
      <c r="H20" s="12"/>
      <c r="I20" s="12"/>
      <c r="J20" s="12"/>
      <c r="K20" s="2244"/>
      <c r="L20" s="2245"/>
      <c r="M20" s="13"/>
    </row>
    <row r="21" spans="2:15" ht="21.75" customHeight="1" x14ac:dyDescent="0.25">
      <c r="B21" s="1"/>
      <c r="C21" s="2213"/>
      <c r="D21" s="2214"/>
      <c r="E21" s="2214"/>
      <c r="F21" s="2214"/>
      <c r="G21" s="2214"/>
      <c r="H21" s="2214"/>
      <c r="I21" s="2214"/>
      <c r="J21" s="2215"/>
      <c r="K21" s="2241">
        <f>VLOOKUP(H7,Tarifas!D4:H303,5)</f>
        <v>1E-3</v>
      </c>
      <c r="L21" s="2240"/>
      <c r="M21" s="13" t="s">
        <v>11</v>
      </c>
      <c r="O21" s="3" t="s">
        <v>63</v>
      </c>
    </row>
    <row r="22" spans="2:15" ht="15" customHeight="1" x14ac:dyDescent="0.25">
      <c r="B22" s="1"/>
      <c r="C22" s="2213"/>
      <c r="D22" s="2214"/>
      <c r="E22" s="2214"/>
      <c r="F22" s="2214"/>
      <c r="G22" s="2214"/>
      <c r="H22" s="2214"/>
      <c r="I22" s="2214"/>
      <c r="J22" s="2215"/>
      <c r="K22" s="2246">
        <v>201.4</v>
      </c>
      <c r="L22" s="2247"/>
      <c r="M22" s="13" t="s">
        <v>12</v>
      </c>
      <c r="O22" s="3" t="s">
        <v>62</v>
      </c>
    </row>
    <row r="23" spans="2:15" ht="21.75" customHeight="1" x14ac:dyDescent="0.25">
      <c r="B23" s="1"/>
      <c r="C23" s="2216"/>
      <c r="D23" s="2217"/>
      <c r="E23" s="2217"/>
      <c r="F23" s="2217"/>
      <c r="G23" s="2217"/>
      <c r="H23" s="2217"/>
      <c r="I23" s="2217"/>
      <c r="J23" s="2218"/>
      <c r="K23" s="2246">
        <v>190.7</v>
      </c>
      <c r="L23" s="2247"/>
      <c r="M23" s="13" t="s">
        <v>12</v>
      </c>
      <c r="O23" s="3" t="s">
        <v>67</v>
      </c>
    </row>
    <row r="24" spans="2:15" x14ac:dyDescent="0.25">
      <c r="B24" s="1"/>
      <c r="C24" s="19"/>
      <c r="D24" s="20"/>
      <c r="E24" s="20"/>
      <c r="F24" s="20"/>
      <c r="G24" s="20"/>
      <c r="H24" s="20"/>
      <c r="I24" s="20"/>
      <c r="J24" s="21"/>
      <c r="K24" s="2239">
        <f>IFERROR(K23/K22,0)</f>
        <v>0.94687189672293937</v>
      </c>
      <c r="L24" s="2240"/>
      <c r="M24" s="13"/>
    </row>
    <row r="25" spans="2:15" ht="15.75" thickBot="1" x14ac:dyDescent="0.3">
      <c r="B25" s="1"/>
      <c r="C25" s="2207"/>
      <c r="D25" s="2208"/>
      <c r="E25" s="2208"/>
      <c r="F25" s="2208"/>
      <c r="G25" s="2208"/>
      <c r="H25" s="2208"/>
      <c r="I25" s="2208"/>
      <c r="J25" s="2209"/>
      <c r="K25" s="2233">
        <v>2388462.5890000002</v>
      </c>
      <c r="L25" s="2234"/>
      <c r="M25" s="13" t="s">
        <v>8</v>
      </c>
      <c r="O25" s="37" t="s">
        <v>66</v>
      </c>
    </row>
    <row r="26" spans="2:15" x14ac:dyDescent="0.25">
      <c r="B26" s="1"/>
      <c r="C26" s="14" t="s">
        <v>13</v>
      </c>
      <c r="D26" s="15"/>
      <c r="E26" s="15"/>
      <c r="F26" s="15"/>
      <c r="G26" s="15"/>
      <c r="H26" s="15"/>
      <c r="I26" s="15"/>
      <c r="J26" s="15"/>
      <c r="K26" s="2235"/>
      <c r="L26" s="2235"/>
      <c r="M26" s="16">
        <f>+K21*K24*K25</f>
        <v>2261.5681018982123</v>
      </c>
      <c r="O26" s="38"/>
    </row>
    <row r="27" spans="2:15" x14ac:dyDescent="0.25">
      <c r="B27" s="1"/>
      <c r="C27" s="306"/>
      <c r="D27" s="307"/>
      <c r="E27" s="307"/>
      <c r="F27" s="307"/>
      <c r="G27" s="307"/>
      <c r="H27" s="307"/>
      <c r="I27" s="307"/>
      <c r="J27" s="307"/>
      <c r="K27" s="308"/>
      <c r="L27" s="310" t="s">
        <v>75</v>
      </c>
      <c r="M27" s="309">
        <v>2261.5700000000002</v>
      </c>
      <c r="O27" s="38"/>
    </row>
    <row r="28" spans="2:15" x14ac:dyDescent="0.25">
      <c r="B28" s="1"/>
      <c r="C28" s="306"/>
      <c r="D28" s="307"/>
      <c r="E28" s="307"/>
      <c r="F28" s="307"/>
      <c r="G28" s="307"/>
      <c r="H28" s="307"/>
      <c r="I28" s="307"/>
      <c r="J28" s="307"/>
      <c r="K28" s="308"/>
      <c r="L28" s="310" t="s">
        <v>74</v>
      </c>
      <c r="M28" s="309">
        <f>M26-M27</f>
        <v>-1.8981017879013962E-3</v>
      </c>
      <c r="O28" s="38"/>
    </row>
    <row r="29" spans="2:15" x14ac:dyDescent="0.25">
      <c r="B29" s="1"/>
      <c r="C29" s="306"/>
      <c r="D29" s="307"/>
      <c r="E29" s="307"/>
      <c r="F29" s="307"/>
      <c r="G29" s="307"/>
      <c r="H29" s="307"/>
      <c r="I29" s="307"/>
      <c r="J29" s="307"/>
      <c r="K29" s="308"/>
      <c r="L29" s="308"/>
      <c r="M29" s="309"/>
      <c r="O29" s="38"/>
    </row>
    <row r="30" spans="2:15" ht="15" customHeight="1" x14ac:dyDescent="0.25">
      <c r="B30" s="1"/>
      <c r="C30" s="22" t="s">
        <v>70</v>
      </c>
      <c r="D30" s="23"/>
      <c r="E30" s="23"/>
      <c r="F30" s="23"/>
      <c r="G30" s="23"/>
      <c r="H30" s="23"/>
      <c r="I30" s="23"/>
      <c r="J30" s="23"/>
      <c r="K30" s="24"/>
      <c r="L30" s="24"/>
      <c r="M30" s="16">
        <f>+M16+M26</f>
        <v>4630209.6481018979</v>
      </c>
      <c r="O30" s="298"/>
    </row>
    <row r="31" spans="2:15" ht="15" customHeight="1" x14ac:dyDescent="0.25">
      <c r="B31" s="1"/>
      <c r="C31" s="22" t="str">
        <f>"% de Impuestos del mes: "&amp;H7</f>
        <v>% de Impuestos del mes: 22</v>
      </c>
      <c r="D31" s="23"/>
      <c r="E31" s="23"/>
      <c r="F31" s="23"/>
      <c r="G31" s="300" t="str">
        <f>"("&amp;VLOOKUP(H7,Tarifas!D4:H303,4)&amp;")"</f>
        <v>(1.886%)</v>
      </c>
      <c r="H31" s="23"/>
      <c r="I31" s="301"/>
      <c r="J31" s="302"/>
      <c r="K31" s="24"/>
      <c r="L31" s="24"/>
      <c r="M31" s="13"/>
      <c r="O31" s="38"/>
    </row>
    <row r="32" spans="2:15" x14ac:dyDescent="0.25">
      <c r="B32" s="1"/>
      <c r="C32" s="25" t="s">
        <v>14</v>
      </c>
      <c r="D32" s="26"/>
      <c r="E32" s="26"/>
      <c r="F32" s="26"/>
      <c r="G32" s="26"/>
      <c r="H32" s="26"/>
      <c r="I32" s="26"/>
      <c r="J32" s="18"/>
      <c r="K32" s="208"/>
      <c r="L32" s="18"/>
      <c r="M32" s="16">
        <f>+M30*0.16</f>
        <v>740833.54369630374</v>
      </c>
      <c r="O32" s="36"/>
    </row>
    <row r="33" spans="2:16" x14ac:dyDescent="0.25">
      <c r="B33" s="1"/>
      <c r="C33" s="27" t="s">
        <v>15</v>
      </c>
      <c r="D33" s="28"/>
      <c r="E33" s="28"/>
      <c r="F33" s="28"/>
      <c r="G33" s="28"/>
      <c r="H33" s="28"/>
      <c r="I33" s="28"/>
      <c r="J33" s="29"/>
      <c r="K33" s="30"/>
      <c r="L33" s="30"/>
      <c r="M33" s="16">
        <f>+M32+M30</f>
        <v>5371043.1917982018</v>
      </c>
      <c r="O33" s="36"/>
    </row>
    <row r="34" spans="2:16" x14ac:dyDescent="0.25">
      <c r="B34" s="1"/>
      <c r="C34" s="17"/>
      <c r="D34" s="18"/>
      <c r="E34" s="18"/>
      <c r="F34" s="18"/>
      <c r="G34" s="18"/>
      <c r="H34" s="18"/>
      <c r="I34" s="18"/>
      <c r="J34" s="18"/>
      <c r="K34" s="18"/>
      <c r="L34" s="18"/>
      <c r="M34" s="13"/>
    </row>
    <row r="35" spans="2:16" x14ac:dyDescent="0.25">
      <c r="B35" s="1"/>
      <c r="C35" s="17" t="s">
        <v>71</v>
      </c>
      <c r="D35" s="18"/>
      <c r="E35" s="18"/>
      <c r="F35" s="18"/>
      <c r="G35" s="18"/>
      <c r="H35" s="18"/>
      <c r="I35" s="18"/>
      <c r="J35" s="18"/>
      <c r="K35" s="18"/>
      <c r="L35" s="18"/>
      <c r="M35" s="299">
        <f>(M16*1.16)</f>
        <v>5368419.7727999995</v>
      </c>
      <c r="O35" s="36"/>
      <c r="P35" s="36"/>
    </row>
    <row r="36" spans="2:16" x14ac:dyDescent="0.25">
      <c r="B36" s="1"/>
      <c r="C36" s="17" t="s">
        <v>72</v>
      </c>
      <c r="D36" s="18"/>
      <c r="E36" s="18"/>
      <c r="F36" s="18"/>
      <c r="G36" s="18"/>
      <c r="H36" s="18"/>
      <c r="I36" s="18"/>
      <c r="J36" s="18"/>
      <c r="K36" s="18"/>
      <c r="L36" s="18"/>
      <c r="M36" s="299">
        <f>(M26*1.16)+M31</f>
        <v>2623.4189982019261</v>
      </c>
      <c r="O36" s="36"/>
      <c r="P36" s="36"/>
    </row>
    <row r="37" spans="2:16" x14ac:dyDescent="0.25">
      <c r="B37" s="1"/>
      <c r="C37" s="17"/>
      <c r="D37" s="18"/>
      <c r="E37" s="18"/>
      <c r="F37" s="18"/>
      <c r="G37" s="18"/>
      <c r="H37" s="18"/>
      <c r="I37" s="18"/>
      <c r="J37" s="18"/>
      <c r="K37" s="18"/>
      <c r="L37" s="18"/>
      <c r="M37" s="13"/>
    </row>
    <row r="38" spans="2:16" x14ac:dyDescent="0.25">
      <c r="B38" s="1"/>
      <c r="C38" s="7" t="s">
        <v>16</v>
      </c>
      <c r="D38" s="8"/>
      <c r="E38" s="8"/>
      <c r="F38" s="8"/>
      <c r="G38" s="8"/>
      <c r="H38" s="8"/>
      <c r="I38" s="8"/>
      <c r="J38" s="8"/>
      <c r="K38" s="9"/>
      <c r="L38" s="9"/>
      <c r="M38" s="10"/>
    </row>
    <row r="39" spans="2:16" x14ac:dyDescent="0.25">
      <c r="B39" s="1"/>
      <c r="C39" s="31" t="s">
        <v>17</v>
      </c>
      <c r="D39" s="32" t="s">
        <v>18</v>
      </c>
      <c r="E39" s="32" t="s">
        <v>19</v>
      </c>
      <c r="F39" s="2236" t="s">
        <v>20</v>
      </c>
      <c r="G39" s="2237"/>
      <c r="H39" s="2238" t="s">
        <v>1</v>
      </c>
      <c r="I39" s="2238"/>
      <c r="J39" s="2238" t="s">
        <v>21</v>
      </c>
      <c r="K39" s="2238"/>
      <c r="L39" s="18"/>
      <c r="M39" s="13"/>
    </row>
    <row r="40" spans="2:16" x14ac:dyDescent="0.25">
      <c r="B40" s="1"/>
      <c r="C40" s="33">
        <v>2044</v>
      </c>
      <c r="D40" s="303">
        <v>2044</v>
      </c>
      <c r="E40" s="303" t="s">
        <v>22</v>
      </c>
      <c r="F40" s="2224" t="s">
        <v>23</v>
      </c>
      <c r="G40" s="2224"/>
      <c r="H40" s="2225"/>
      <c r="I40" s="2225"/>
      <c r="J40" s="2226"/>
      <c r="K40" s="2226"/>
      <c r="L40" s="18"/>
      <c r="M40" s="13"/>
      <c r="N40" s="1"/>
    </row>
    <row r="41" spans="2:16" x14ac:dyDescent="0.25">
      <c r="B41" s="1"/>
      <c r="C41" s="33"/>
      <c r="D41" s="303"/>
      <c r="E41" s="303" t="s">
        <v>25</v>
      </c>
      <c r="F41" s="2227"/>
      <c r="G41" s="2228"/>
      <c r="H41" s="2229"/>
      <c r="I41" s="2230"/>
      <c r="J41" s="2231"/>
      <c r="K41" s="2232"/>
      <c r="L41" s="18"/>
      <c r="M41" s="13"/>
      <c r="N41" s="1"/>
    </row>
    <row r="42" spans="2:16" x14ac:dyDescent="0.25">
      <c r="B42" s="1"/>
      <c r="C42" s="33"/>
      <c r="D42" s="303"/>
      <c r="E42" s="303" t="s">
        <v>26</v>
      </c>
      <c r="F42" s="2227"/>
      <c r="G42" s="2228"/>
      <c r="H42" s="2229"/>
      <c r="I42" s="2230"/>
      <c r="J42" s="2231"/>
      <c r="K42" s="2232"/>
      <c r="L42" s="18"/>
      <c r="M42" s="13"/>
      <c r="N42" s="1"/>
    </row>
    <row r="43" spans="2:16" x14ac:dyDescent="0.25">
      <c r="B43" s="1"/>
      <c r="C43" s="33">
        <v>2044</v>
      </c>
      <c r="D43" s="303">
        <v>2044</v>
      </c>
      <c r="E43" s="303" t="s">
        <v>27</v>
      </c>
      <c r="F43" s="2224" t="s">
        <v>28</v>
      </c>
      <c r="G43" s="2224"/>
      <c r="H43" s="2225"/>
      <c r="I43" s="2225"/>
      <c r="J43" s="2226"/>
      <c r="K43" s="2226"/>
      <c r="L43" s="18"/>
      <c r="M43" s="13"/>
      <c r="N43" s="1"/>
    </row>
    <row r="44" spans="2:16" x14ac:dyDescent="0.25">
      <c r="B44" s="1"/>
      <c r="C44" s="2219" t="s">
        <v>24</v>
      </c>
      <c r="D44" s="2220"/>
      <c r="E44" s="2220"/>
      <c r="F44" s="2220"/>
      <c r="G44" s="2221"/>
      <c r="H44" s="2222">
        <f>SUM(H40:H43)</f>
        <v>0</v>
      </c>
      <c r="I44" s="2223"/>
      <c r="J44" s="3"/>
      <c r="K44" s="3"/>
      <c r="L44" s="18"/>
      <c r="M44" s="13"/>
      <c r="N44" s="1"/>
    </row>
    <row r="45" spans="2:16" x14ac:dyDescent="0.25">
      <c r="B45" s="1"/>
      <c r="C45" s="17"/>
      <c r="D45" s="18"/>
      <c r="E45" s="18"/>
      <c r="F45" s="18"/>
      <c r="G45" s="18"/>
      <c r="H45" s="18"/>
      <c r="I45" s="18"/>
      <c r="J45" s="18"/>
      <c r="K45" s="18"/>
      <c r="L45" s="18"/>
      <c r="M45" s="13"/>
    </row>
  </sheetData>
  <mergeCells count="44">
    <mergeCell ref="F41:G41"/>
    <mergeCell ref="H41:I41"/>
    <mergeCell ref="J41:K41"/>
    <mergeCell ref="C44:G44"/>
    <mergeCell ref="H44:I44"/>
    <mergeCell ref="F42:G42"/>
    <mergeCell ref="H42:I42"/>
    <mergeCell ref="J42:K42"/>
    <mergeCell ref="F43:G43"/>
    <mergeCell ref="H43:I43"/>
    <mergeCell ref="J43:K43"/>
    <mergeCell ref="C23:J23"/>
    <mergeCell ref="K23:L23"/>
    <mergeCell ref="F40:G40"/>
    <mergeCell ref="H40:I40"/>
    <mergeCell ref="J40:K40"/>
    <mergeCell ref="K26:L26"/>
    <mergeCell ref="F39:G39"/>
    <mergeCell ref="H39:I39"/>
    <mergeCell ref="J39:K39"/>
    <mergeCell ref="K24:L24"/>
    <mergeCell ref="C25:J25"/>
    <mergeCell ref="K25:L25"/>
    <mergeCell ref="K9:M9"/>
    <mergeCell ref="K11:L11"/>
    <mergeCell ref="C12:J12"/>
    <mergeCell ref="K12:L12"/>
    <mergeCell ref="C13:J13"/>
    <mergeCell ref="K13:L13"/>
    <mergeCell ref="C14:J14"/>
    <mergeCell ref="K14:L14"/>
    <mergeCell ref="K21:L21"/>
    <mergeCell ref="C22:J22"/>
    <mergeCell ref="K22:L22"/>
    <mergeCell ref="C15:J15"/>
    <mergeCell ref="K15:L15"/>
    <mergeCell ref="K16:L16"/>
    <mergeCell ref="K20:L20"/>
    <mergeCell ref="C21:J21"/>
    <mergeCell ref="C3:M4"/>
    <mergeCell ref="C5:M5"/>
    <mergeCell ref="C6:M6"/>
    <mergeCell ref="C7:G7"/>
    <mergeCell ref="C8:G8"/>
  </mergeCells>
  <pageMargins left="0.7" right="0.7" top="0.93" bottom="0.75" header="0.3" footer="0.3"/>
  <pageSetup scale="93" fitToHeight="0" orientation="portrait" r:id="rId1"/>
  <headerFooter>
    <oddHeader>&amp;L&amp;G&amp;R&amp;"Arial,Negrita"Direccion de Operacion&amp;"Arial,Normal"
Subdireccion de Energeticos
Subgerencia Regional de Energeticos</oddHeader>
  </headerFooter>
  <drawing r:id="rId2"/>
  <legacyDrawingHF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45"/>
  <sheetViews>
    <sheetView workbookViewId="0"/>
  </sheetViews>
  <sheetFormatPr baseColWidth="10" defaultColWidth="11" defaultRowHeight="15" x14ac:dyDescent="0.25"/>
  <cols>
    <col min="1" max="1" width="11" style="2"/>
    <col min="2" max="2" width="2.875" style="2" customWidth="1"/>
    <col min="3" max="9" width="5.625" style="2" customWidth="1"/>
    <col min="10" max="10" width="11" style="2" customWidth="1"/>
    <col min="11" max="11" width="5.375" style="2" customWidth="1"/>
    <col min="12" max="12" width="7.625" style="2" bestFit="1" customWidth="1"/>
    <col min="13" max="13" width="10.5" style="2" bestFit="1" customWidth="1"/>
    <col min="14" max="14" width="4.125" style="6" customWidth="1"/>
    <col min="15" max="15" width="39.625" style="3" bestFit="1" customWidth="1"/>
    <col min="16" max="16384" width="11" style="3"/>
  </cols>
  <sheetData>
    <row r="2" spans="2:15" ht="15.75" thickBot="1" x14ac:dyDescent="0.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2:15" ht="15" customHeight="1" x14ac:dyDescent="0.25">
      <c r="B3" s="1"/>
      <c r="C3" s="2250" t="s">
        <v>0</v>
      </c>
      <c r="D3" s="2251"/>
      <c r="E3" s="2251"/>
      <c r="F3" s="2251"/>
      <c r="G3" s="2251"/>
      <c r="H3" s="2251"/>
      <c r="I3" s="2251"/>
      <c r="J3" s="2251"/>
      <c r="K3" s="2251"/>
      <c r="L3" s="2251"/>
      <c r="M3" s="2252"/>
    </row>
    <row r="4" spans="2:15" ht="15" customHeight="1" x14ac:dyDescent="0.25">
      <c r="B4" s="1"/>
      <c r="C4" s="2253"/>
      <c r="D4" s="2254"/>
      <c r="E4" s="2254"/>
      <c r="F4" s="2254"/>
      <c r="G4" s="2254"/>
      <c r="H4" s="2254"/>
      <c r="I4" s="2254"/>
      <c r="J4" s="2254"/>
      <c r="K4" s="2254"/>
      <c r="L4" s="2254"/>
      <c r="M4" s="2255"/>
    </row>
    <row r="5" spans="2:15" x14ac:dyDescent="0.25">
      <c r="B5" s="1"/>
      <c r="C5" s="2256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8"/>
    </row>
    <row r="6" spans="2:15" x14ac:dyDescent="0.25">
      <c r="B6" s="1"/>
      <c r="C6" s="2256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8"/>
    </row>
    <row r="7" spans="2:15" ht="15" customHeight="1" x14ac:dyDescent="0.25">
      <c r="B7" s="1"/>
      <c r="C7" s="2259" t="s">
        <v>3</v>
      </c>
      <c r="D7" s="2260"/>
      <c r="E7" s="2260"/>
      <c r="F7" s="2260"/>
      <c r="G7" s="2260"/>
      <c r="H7" s="207">
        <v>23</v>
      </c>
      <c r="I7" s="296">
        <f>VLOOKUP(H7,Tarifas!D4:H303,2)</f>
        <v>42156</v>
      </c>
      <c r="J7" s="296"/>
      <c r="K7" s="296"/>
      <c r="L7" s="296"/>
      <c r="M7" s="297"/>
      <c r="O7" s="3" t="s">
        <v>64</v>
      </c>
    </row>
    <row r="8" spans="2:15" x14ac:dyDescent="0.25">
      <c r="B8" s="1"/>
      <c r="C8" s="2259" t="s">
        <v>4</v>
      </c>
      <c r="D8" s="2260"/>
      <c r="E8" s="2260"/>
      <c r="F8" s="2260"/>
      <c r="G8" s="2260"/>
      <c r="H8" s="207" t="s">
        <v>83</v>
      </c>
      <c r="I8" s="296"/>
      <c r="J8" s="296"/>
      <c r="K8" s="296"/>
      <c r="L8" s="296"/>
      <c r="M8" s="297"/>
    </row>
    <row r="9" spans="2:15" x14ac:dyDescent="0.25">
      <c r="B9" s="1"/>
      <c r="C9" s="4"/>
      <c r="D9" s="5"/>
      <c r="E9" s="5"/>
      <c r="F9" s="5"/>
      <c r="G9" s="5"/>
      <c r="H9" s="5"/>
      <c r="I9" s="5"/>
      <c r="J9" s="5"/>
      <c r="K9" s="2248" t="s">
        <v>73</v>
      </c>
      <c r="L9" s="2248"/>
      <c r="M9" s="2249"/>
    </row>
    <row r="10" spans="2:15" ht="15.75" thickBot="1" x14ac:dyDescent="0.3">
      <c r="B10" s="1"/>
      <c r="C10" s="7" t="s">
        <v>5</v>
      </c>
      <c r="D10" s="8"/>
      <c r="E10" s="8"/>
      <c r="F10" s="8"/>
      <c r="G10" s="8"/>
      <c r="H10" s="8"/>
      <c r="I10" s="8"/>
      <c r="J10" s="8"/>
      <c r="K10" s="9"/>
      <c r="L10" s="9"/>
      <c r="M10" s="10"/>
    </row>
    <row r="11" spans="2:15" x14ac:dyDescent="0.25">
      <c r="B11" s="1"/>
      <c r="C11" s="11" t="s">
        <v>6</v>
      </c>
      <c r="D11" s="12"/>
      <c r="E11" s="12"/>
      <c r="F11" s="12"/>
      <c r="G11" s="12"/>
      <c r="H11" s="12"/>
      <c r="I11" s="12"/>
      <c r="J11" s="12"/>
      <c r="K11" s="2244"/>
      <c r="L11" s="2245"/>
      <c r="M11" s="13"/>
      <c r="O11" s="38"/>
    </row>
    <row r="12" spans="2:15" ht="26.25" customHeight="1" x14ac:dyDescent="0.25">
      <c r="B12" s="1"/>
      <c r="C12" s="2213"/>
      <c r="D12" s="2214"/>
      <c r="E12" s="2214"/>
      <c r="F12" s="2214"/>
      <c r="G12" s="2214"/>
      <c r="H12" s="2214"/>
      <c r="I12" s="2214"/>
      <c r="J12" s="2215"/>
      <c r="K12" s="2241">
        <f>VLOOKUP(H7,Tarifas!D4:H303,3)</f>
        <v>0.14699999999999999</v>
      </c>
      <c r="L12" s="2240"/>
      <c r="M12" s="13"/>
      <c r="O12" s="3" t="s">
        <v>63</v>
      </c>
    </row>
    <row r="13" spans="2:15" x14ac:dyDescent="0.25">
      <c r="B13" s="1"/>
      <c r="C13" s="2213"/>
      <c r="D13" s="2214"/>
      <c r="E13" s="2214"/>
      <c r="F13" s="2214"/>
      <c r="G13" s="2214"/>
      <c r="H13" s="2214"/>
      <c r="I13" s="2214"/>
      <c r="J13" s="2215"/>
      <c r="K13" s="2241">
        <v>850</v>
      </c>
      <c r="L13" s="2240"/>
      <c r="M13" s="13" t="s">
        <v>7</v>
      </c>
      <c r="O13" s="38"/>
    </row>
    <row r="14" spans="2:15" x14ac:dyDescent="0.25">
      <c r="B14" s="1"/>
      <c r="C14" s="2213"/>
      <c r="D14" s="2214"/>
      <c r="E14" s="2214"/>
      <c r="F14" s="2214"/>
      <c r="G14" s="2214"/>
      <c r="H14" s="2214"/>
      <c r="I14" s="2214"/>
      <c r="J14" s="2215"/>
      <c r="K14" s="2241">
        <v>850</v>
      </c>
      <c r="L14" s="2240"/>
      <c r="M14" s="13" t="s">
        <v>7</v>
      </c>
      <c r="O14" s="38"/>
    </row>
    <row r="15" spans="2:15" ht="15.75" thickBot="1" x14ac:dyDescent="0.3">
      <c r="B15" s="1"/>
      <c r="C15" s="2210"/>
      <c r="D15" s="2211"/>
      <c r="E15" s="2211"/>
      <c r="F15" s="2211"/>
      <c r="G15" s="2211"/>
      <c r="H15" s="2211"/>
      <c r="I15" s="2211"/>
      <c r="J15" s="2212"/>
      <c r="K15" s="2242">
        <v>31482640</v>
      </c>
      <c r="L15" s="2243"/>
      <c r="M15" s="13" t="s">
        <v>8</v>
      </c>
      <c r="O15" s="304"/>
    </row>
    <row r="16" spans="2:15" x14ac:dyDescent="0.25">
      <c r="B16" s="3"/>
      <c r="C16" s="14" t="s">
        <v>9</v>
      </c>
      <c r="D16" s="15"/>
      <c r="E16" s="15"/>
      <c r="F16" s="15"/>
      <c r="G16" s="15"/>
      <c r="H16" s="15"/>
      <c r="I16" s="15"/>
      <c r="J16" s="15"/>
      <c r="K16" s="2235"/>
      <c r="L16" s="2235"/>
      <c r="M16" s="16">
        <f>+K12*(K13/K14)*K15</f>
        <v>4627948.08</v>
      </c>
      <c r="O16" s="36"/>
    </row>
    <row r="17" spans="2:15" x14ac:dyDescent="0.25">
      <c r="B17" s="1"/>
      <c r="C17" s="17"/>
      <c r="D17" s="18"/>
      <c r="E17" s="18"/>
      <c r="F17" s="18"/>
      <c r="G17" s="18"/>
      <c r="H17" s="18"/>
      <c r="I17" s="18"/>
      <c r="J17" s="18"/>
      <c r="K17" s="18"/>
      <c r="L17" s="18" t="s">
        <v>75</v>
      </c>
      <c r="M17" s="305">
        <v>4627948.08</v>
      </c>
      <c r="O17" s="36"/>
    </row>
    <row r="18" spans="2:15" x14ac:dyDescent="0.25">
      <c r="B18" s="1"/>
      <c r="C18" s="17"/>
      <c r="D18" s="18"/>
      <c r="E18" s="18"/>
      <c r="F18" s="18"/>
      <c r="G18" s="18"/>
      <c r="H18" s="18"/>
      <c r="I18" s="18"/>
      <c r="J18" s="18"/>
      <c r="K18" s="18"/>
      <c r="L18" s="18" t="s">
        <v>74</v>
      </c>
      <c r="M18" s="299">
        <f>M16-M17</f>
        <v>0</v>
      </c>
      <c r="O18" s="36"/>
    </row>
    <row r="19" spans="2:15" ht="15.75" thickBot="1" x14ac:dyDescent="0.3">
      <c r="B19" s="1"/>
      <c r="C19" s="7" t="s">
        <v>10</v>
      </c>
      <c r="D19" s="8"/>
      <c r="E19" s="8"/>
      <c r="F19" s="8"/>
      <c r="G19" s="8"/>
      <c r="H19" s="8"/>
      <c r="I19" s="8"/>
      <c r="J19" s="8"/>
      <c r="K19" s="9"/>
      <c r="L19" s="9"/>
      <c r="M19" s="10"/>
    </row>
    <row r="20" spans="2:15" ht="22.5" customHeight="1" x14ac:dyDescent="0.25">
      <c r="B20" s="1"/>
      <c r="C20" s="11" t="s">
        <v>6</v>
      </c>
      <c r="D20" s="12"/>
      <c r="E20" s="12"/>
      <c r="F20" s="12"/>
      <c r="G20" s="12"/>
      <c r="H20" s="12"/>
      <c r="I20" s="12"/>
      <c r="J20" s="12"/>
      <c r="K20" s="2244"/>
      <c r="L20" s="2245"/>
      <c r="M20" s="13"/>
    </row>
    <row r="21" spans="2:15" ht="21.75" customHeight="1" x14ac:dyDescent="0.25">
      <c r="B21" s="1"/>
      <c r="C21" s="2213"/>
      <c r="D21" s="2214"/>
      <c r="E21" s="2214"/>
      <c r="F21" s="2214"/>
      <c r="G21" s="2214"/>
      <c r="H21" s="2214"/>
      <c r="I21" s="2214"/>
      <c r="J21" s="2215"/>
      <c r="K21" s="2241">
        <f>VLOOKUP(H7,Tarifas!D4:H303,5)</f>
        <v>1E-3</v>
      </c>
      <c r="L21" s="2240"/>
      <c r="M21" s="13" t="s">
        <v>11</v>
      </c>
      <c r="O21" s="3" t="s">
        <v>63</v>
      </c>
    </row>
    <row r="22" spans="2:15" ht="15" customHeight="1" x14ac:dyDescent="0.25">
      <c r="B22" s="1"/>
      <c r="C22" s="2213"/>
      <c r="D22" s="2214"/>
      <c r="E22" s="2214"/>
      <c r="F22" s="2214"/>
      <c r="G22" s="2214"/>
      <c r="H22" s="2214"/>
      <c r="I22" s="2214"/>
      <c r="J22" s="2215"/>
      <c r="K22" s="2246">
        <v>201.4</v>
      </c>
      <c r="L22" s="2247"/>
      <c r="M22" s="13" t="s">
        <v>12</v>
      </c>
      <c r="O22" s="3" t="s">
        <v>62</v>
      </c>
    </row>
    <row r="23" spans="2:15" ht="21.75" customHeight="1" x14ac:dyDescent="0.25">
      <c r="B23" s="1"/>
      <c r="C23" s="2216"/>
      <c r="D23" s="2217"/>
      <c r="E23" s="2217"/>
      <c r="F23" s="2217"/>
      <c r="G23" s="2217"/>
      <c r="H23" s="2217"/>
      <c r="I23" s="2217"/>
      <c r="J23" s="2218"/>
      <c r="K23" s="2246">
        <v>192.9</v>
      </c>
      <c r="L23" s="2247"/>
      <c r="M23" s="13" t="s">
        <v>12</v>
      </c>
      <c r="O23" s="3" t="s">
        <v>67</v>
      </c>
    </row>
    <row r="24" spans="2:15" x14ac:dyDescent="0.25">
      <c r="B24" s="1"/>
      <c r="C24" s="19"/>
      <c r="D24" s="20"/>
      <c r="E24" s="20"/>
      <c r="F24" s="20"/>
      <c r="G24" s="20"/>
      <c r="H24" s="20"/>
      <c r="I24" s="20"/>
      <c r="J24" s="21"/>
      <c r="K24" s="2239">
        <f>IFERROR(K23/K22,0)</f>
        <v>0.95779543197616679</v>
      </c>
      <c r="L24" s="2240"/>
      <c r="M24" s="13"/>
    </row>
    <row r="25" spans="2:15" ht="15.75" thickBot="1" x14ac:dyDescent="0.3">
      <c r="B25" s="1"/>
      <c r="C25" s="2207"/>
      <c r="D25" s="2208"/>
      <c r="E25" s="2208"/>
      <c r="F25" s="2208"/>
      <c r="G25" s="2208"/>
      <c r="H25" s="2208"/>
      <c r="I25" s="2208"/>
      <c r="J25" s="2209"/>
      <c r="K25" s="2233">
        <v>2287525.1630000002</v>
      </c>
      <c r="L25" s="2234"/>
      <c r="M25" s="13" t="s">
        <v>8</v>
      </c>
      <c r="O25" s="37" t="s">
        <v>66</v>
      </c>
    </row>
    <row r="26" spans="2:15" x14ac:dyDescent="0.25">
      <c r="B26" s="1"/>
      <c r="C26" s="14" t="s">
        <v>13</v>
      </c>
      <c r="D26" s="15"/>
      <c r="E26" s="15"/>
      <c r="F26" s="15"/>
      <c r="G26" s="15"/>
      <c r="H26" s="15"/>
      <c r="I26" s="15"/>
      <c r="J26" s="15"/>
      <c r="K26" s="2235"/>
      <c r="L26" s="2235"/>
      <c r="M26" s="16">
        <f>+K21*K24*K25</f>
        <v>2190.9811516519367</v>
      </c>
      <c r="O26" s="38"/>
    </row>
    <row r="27" spans="2:15" x14ac:dyDescent="0.25">
      <c r="B27" s="1"/>
      <c r="C27" s="306"/>
      <c r="D27" s="307"/>
      <c r="E27" s="307"/>
      <c r="F27" s="307"/>
      <c r="G27" s="307"/>
      <c r="H27" s="307"/>
      <c r="I27" s="307"/>
      <c r="J27" s="307"/>
      <c r="K27" s="308"/>
      <c r="L27" s="310" t="s">
        <v>75</v>
      </c>
      <c r="M27" s="309">
        <v>2190.98</v>
      </c>
      <c r="O27" s="38"/>
    </row>
    <row r="28" spans="2:15" x14ac:dyDescent="0.25">
      <c r="B28" s="1"/>
      <c r="C28" s="306"/>
      <c r="D28" s="307"/>
      <c r="E28" s="307"/>
      <c r="F28" s="307"/>
      <c r="G28" s="307"/>
      <c r="H28" s="307"/>
      <c r="I28" s="307"/>
      <c r="J28" s="307"/>
      <c r="K28" s="308"/>
      <c r="L28" s="310" t="s">
        <v>74</v>
      </c>
      <c r="M28" s="309">
        <f>M26-M27</f>
        <v>1.1516519366523426E-3</v>
      </c>
      <c r="O28" s="38"/>
    </row>
    <row r="29" spans="2:15" x14ac:dyDescent="0.25">
      <c r="B29" s="1"/>
      <c r="C29" s="306"/>
      <c r="D29" s="307"/>
      <c r="E29" s="307"/>
      <c r="F29" s="307"/>
      <c r="G29" s="307"/>
      <c r="H29" s="307"/>
      <c r="I29" s="307"/>
      <c r="J29" s="307"/>
      <c r="K29" s="308"/>
      <c r="L29" s="308"/>
      <c r="M29" s="309"/>
      <c r="O29" s="38"/>
    </row>
    <row r="30" spans="2:15" ht="15" customHeight="1" x14ac:dyDescent="0.25">
      <c r="B30" s="1"/>
      <c r="C30" s="22" t="s">
        <v>70</v>
      </c>
      <c r="D30" s="23"/>
      <c r="E30" s="23"/>
      <c r="F30" s="23"/>
      <c r="G30" s="23"/>
      <c r="H30" s="23"/>
      <c r="I30" s="23"/>
      <c r="J30" s="23"/>
      <c r="K30" s="24"/>
      <c r="L30" s="24"/>
      <c r="M30" s="16">
        <f>+M16+M26</f>
        <v>4630139.0611516517</v>
      </c>
      <c r="O30" s="298"/>
    </row>
    <row r="31" spans="2:15" ht="15" customHeight="1" x14ac:dyDescent="0.25">
      <c r="B31" s="1"/>
      <c r="C31" s="22" t="str">
        <f>"% de Impuestos del mes: "&amp;H7</f>
        <v>% de Impuestos del mes: 23</v>
      </c>
      <c r="D31" s="23"/>
      <c r="E31" s="23"/>
      <c r="F31" s="23"/>
      <c r="G31" s="300" t="str">
        <f>"("&amp;VLOOKUP(H7,Tarifas!D4:H303,4)&amp;")"</f>
        <v>(1.886%)</v>
      </c>
      <c r="H31" s="23"/>
      <c r="I31" s="301"/>
      <c r="J31" s="302"/>
      <c r="K31" s="24"/>
      <c r="L31" s="24"/>
      <c r="M31" s="13"/>
      <c r="O31" s="38"/>
    </row>
    <row r="32" spans="2:15" x14ac:dyDescent="0.25">
      <c r="B32" s="1"/>
      <c r="C32" s="25" t="s">
        <v>14</v>
      </c>
      <c r="D32" s="26"/>
      <c r="E32" s="26"/>
      <c r="F32" s="26"/>
      <c r="G32" s="26"/>
      <c r="H32" s="26"/>
      <c r="I32" s="26"/>
      <c r="J32" s="18"/>
      <c r="K32" s="208"/>
      <c r="L32" s="18"/>
      <c r="M32" s="16">
        <f>+M30*0.16</f>
        <v>740822.24978426425</v>
      </c>
      <c r="O32" s="36"/>
    </row>
    <row r="33" spans="2:16" x14ac:dyDescent="0.25">
      <c r="B33" s="1"/>
      <c r="C33" s="27" t="s">
        <v>15</v>
      </c>
      <c r="D33" s="28"/>
      <c r="E33" s="28"/>
      <c r="F33" s="28"/>
      <c r="G33" s="28"/>
      <c r="H33" s="28"/>
      <c r="I33" s="28"/>
      <c r="J33" s="29"/>
      <c r="K33" s="30"/>
      <c r="L33" s="30"/>
      <c r="M33" s="16">
        <f>+M32+M30</f>
        <v>5370961.3109359164</v>
      </c>
      <c r="O33" s="36"/>
    </row>
    <row r="34" spans="2:16" x14ac:dyDescent="0.25">
      <c r="B34" s="1"/>
      <c r="C34" s="17"/>
      <c r="D34" s="18"/>
      <c r="E34" s="18"/>
      <c r="F34" s="18"/>
      <c r="G34" s="18"/>
      <c r="H34" s="18"/>
      <c r="I34" s="18"/>
      <c r="J34" s="18"/>
      <c r="K34" s="18"/>
      <c r="L34" s="18"/>
      <c r="M34" s="13"/>
    </row>
    <row r="35" spans="2:16" x14ac:dyDescent="0.25">
      <c r="B35" s="1"/>
      <c r="C35" s="17" t="s">
        <v>71</v>
      </c>
      <c r="D35" s="18"/>
      <c r="E35" s="18"/>
      <c r="F35" s="18"/>
      <c r="G35" s="18"/>
      <c r="H35" s="18"/>
      <c r="I35" s="18"/>
      <c r="J35" s="18"/>
      <c r="K35" s="18"/>
      <c r="L35" s="18"/>
      <c r="M35" s="299">
        <f>(M16*1.16)</f>
        <v>5368419.7727999995</v>
      </c>
      <c r="O35" s="36"/>
      <c r="P35" s="36"/>
    </row>
    <row r="36" spans="2:16" x14ac:dyDescent="0.25">
      <c r="B36" s="1"/>
      <c r="C36" s="17" t="s">
        <v>72</v>
      </c>
      <c r="D36" s="18"/>
      <c r="E36" s="18"/>
      <c r="F36" s="18"/>
      <c r="G36" s="18"/>
      <c r="H36" s="18"/>
      <c r="I36" s="18"/>
      <c r="J36" s="18"/>
      <c r="K36" s="18"/>
      <c r="L36" s="18"/>
      <c r="M36" s="299">
        <f>(M26*1.16)+M31</f>
        <v>2541.5381359162466</v>
      </c>
      <c r="O36" s="36"/>
      <c r="P36" s="36"/>
    </row>
    <row r="37" spans="2:16" x14ac:dyDescent="0.25">
      <c r="B37" s="1"/>
      <c r="C37" s="17"/>
      <c r="D37" s="18"/>
      <c r="E37" s="18"/>
      <c r="F37" s="18"/>
      <c r="G37" s="18"/>
      <c r="H37" s="18"/>
      <c r="I37" s="18"/>
      <c r="J37" s="18"/>
      <c r="K37" s="18"/>
      <c r="L37" s="18"/>
      <c r="M37" s="13"/>
    </row>
    <row r="38" spans="2:16" x14ac:dyDescent="0.25">
      <c r="B38" s="1"/>
      <c r="C38" s="7" t="s">
        <v>16</v>
      </c>
      <c r="D38" s="8"/>
      <c r="E38" s="8"/>
      <c r="F38" s="8"/>
      <c r="G38" s="8"/>
      <c r="H38" s="8"/>
      <c r="I38" s="8"/>
      <c r="J38" s="8"/>
      <c r="K38" s="9"/>
      <c r="L38" s="9"/>
      <c r="M38" s="10"/>
    </row>
    <row r="39" spans="2:16" x14ac:dyDescent="0.25">
      <c r="B39" s="1"/>
      <c r="C39" s="31" t="s">
        <v>17</v>
      </c>
      <c r="D39" s="32" t="s">
        <v>18</v>
      </c>
      <c r="E39" s="32" t="s">
        <v>19</v>
      </c>
      <c r="F39" s="2236" t="s">
        <v>20</v>
      </c>
      <c r="G39" s="2237"/>
      <c r="H39" s="2238" t="s">
        <v>1</v>
      </c>
      <c r="I39" s="2238"/>
      <c r="J39" s="2238" t="s">
        <v>21</v>
      </c>
      <c r="K39" s="2238"/>
      <c r="L39" s="18"/>
      <c r="M39" s="13"/>
    </row>
    <row r="40" spans="2:16" x14ac:dyDescent="0.25">
      <c r="B40" s="1"/>
      <c r="C40" s="33">
        <v>2044</v>
      </c>
      <c r="D40" s="303">
        <v>2044</v>
      </c>
      <c r="E40" s="303" t="s">
        <v>22</v>
      </c>
      <c r="F40" s="2224" t="s">
        <v>23</v>
      </c>
      <c r="G40" s="2224"/>
      <c r="H40" s="2225"/>
      <c r="I40" s="2225"/>
      <c r="J40" s="2226"/>
      <c r="K40" s="2226"/>
      <c r="L40" s="18"/>
      <c r="M40" s="13"/>
      <c r="N40" s="1"/>
    </row>
    <row r="41" spans="2:16" x14ac:dyDescent="0.25">
      <c r="B41" s="1"/>
      <c r="C41" s="33"/>
      <c r="D41" s="303"/>
      <c r="E41" s="303" t="s">
        <v>25</v>
      </c>
      <c r="F41" s="2227"/>
      <c r="G41" s="2228"/>
      <c r="H41" s="2229"/>
      <c r="I41" s="2230"/>
      <c r="J41" s="2231"/>
      <c r="K41" s="2232"/>
      <c r="L41" s="18"/>
      <c r="M41" s="13"/>
      <c r="N41" s="1"/>
    </row>
    <row r="42" spans="2:16" x14ac:dyDescent="0.25">
      <c r="B42" s="1"/>
      <c r="C42" s="33"/>
      <c r="D42" s="303"/>
      <c r="E42" s="303" t="s">
        <v>26</v>
      </c>
      <c r="F42" s="2227"/>
      <c r="G42" s="2228"/>
      <c r="H42" s="2229"/>
      <c r="I42" s="2230"/>
      <c r="J42" s="2231"/>
      <c r="K42" s="2232"/>
      <c r="L42" s="18"/>
      <c r="M42" s="13"/>
      <c r="N42" s="1"/>
    </row>
    <row r="43" spans="2:16" x14ac:dyDescent="0.25">
      <c r="B43" s="1"/>
      <c r="C43" s="33">
        <v>2044</v>
      </c>
      <c r="D43" s="303">
        <v>2044</v>
      </c>
      <c r="E43" s="303" t="s">
        <v>27</v>
      </c>
      <c r="F43" s="2224" t="s">
        <v>28</v>
      </c>
      <c r="G43" s="2224"/>
      <c r="H43" s="2225"/>
      <c r="I43" s="2225"/>
      <c r="J43" s="2226"/>
      <c r="K43" s="2226"/>
      <c r="L43" s="18"/>
      <c r="M43" s="13"/>
      <c r="N43" s="1"/>
    </row>
    <row r="44" spans="2:16" x14ac:dyDescent="0.25">
      <c r="B44" s="1"/>
      <c r="C44" s="2219" t="s">
        <v>24</v>
      </c>
      <c r="D44" s="2220"/>
      <c r="E44" s="2220"/>
      <c r="F44" s="2220"/>
      <c r="G44" s="2221"/>
      <c r="H44" s="2222">
        <f>SUM(H40:H43)</f>
        <v>0</v>
      </c>
      <c r="I44" s="2223"/>
      <c r="J44" s="3"/>
      <c r="K44" s="3"/>
      <c r="L44" s="18"/>
      <c r="M44" s="13"/>
      <c r="N44" s="1"/>
    </row>
    <row r="45" spans="2:16" x14ac:dyDescent="0.25">
      <c r="B45" s="1"/>
      <c r="C45" s="17"/>
      <c r="D45" s="18"/>
      <c r="E45" s="18"/>
      <c r="F45" s="18"/>
      <c r="G45" s="18"/>
      <c r="H45" s="18"/>
      <c r="I45" s="18"/>
      <c r="J45" s="18"/>
      <c r="K45" s="18"/>
      <c r="L45" s="18"/>
      <c r="M45" s="13"/>
    </row>
  </sheetData>
  <mergeCells count="44">
    <mergeCell ref="F41:G41"/>
    <mergeCell ref="H41:I41"/>
    <mergeCell ref="J41:K41"/>
    <mergeCell ref="C44:G44"/>
    <mergeCell ref="H44:I44"/>
    <mergeCell ref="F42:G42"/>
    <mergeCell ref="H42:I42"/>
    <mergeCell ref="J42:K42"/>
    <mergeCell ref="F43:G43"/>
    <mergeCell ref="H43:I43"/>
    <mergeCell ref="J43:K43"/>
    <mergeCell ref="C23:J23"/>
    <mergeCell ref="K23:L23"/>
    <mergeCell ref="F40:G40"/>
    <mergeCell ref="H40:I40"/>
    <mergeCell ref="J40:K40"/>
    <mergeCell ref="K26:L26"/>
    <mergeCell ref="F39:G39"/>
    <mergeCell ref="H39:I39"/>
    <mergeCell ref="J39:K39"/>
    <mergeCell ref="K24:L24"/>
    <mergeCell ref="C25:J25"/>
    <mergeCell ref="K25:L25"/>
    <mergeCell ref="K9:M9"/>
    <mergeCell ref="K11:L11"/>
    <mergeCell ref="C12:J12"/>
    <mergeCell ref="K12:L12"/>
    <mergeCell ref="C13:J13"/>
    <mergeCell ref="K13:L13"/>
    <mergeCell ref="C14:J14"/>
    <mergeCell ref="K14:L14"/>
    <mergeCell ref="K21:L21"/>
    <mergeCell ref="C22:J22"/>
    <mergeCell ref="K22:L22"/>
    <mergeCell ref="C15:J15"/>
    <mergeCell ref="K15:L15"/>
    <mergeCell ref="K16:L16"/>
    <mergeCell ref="K20:L20"/>
    <mergeCell ref="C21:J21"/>
    <mergeCell ref="C3:M4"/>
    <mergeCell ref="C5:M5"/>
    <mergeCell ref="C6:M6"/>
    <mergeCell ref="C7:G7"/>
    <mergeCell ref="C8:G8"/>
  </mergeCells>
  <pageMargins left="0.7" right="0.7" top="0.93" bottom="0.75" header="0.3" footer="0.3"/>
  <pageSetup scale="93" fitToHeight="0" orientation="portrait" r:id="rId1"/>
  <headerFooter>
    <oddHeader>&amp;L&amp;G&amp;R&amp;"Arial,Negrita"Direccion de Operacion&amp;"Arial,Normal"
Subdireccion de Energeticos
Subgerencia Regional de Energeticos</oddHeader>
  </headerFooter>
  <drawing r:id="rId2"/>
  <legacyDrawingHF r:id="rId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45"/>
  <sheetViews>
    <sheetView workbookViewId="0"/>
  </sheetViews>
  <sheetFormatPr baseColWidth="10" defaultColWidth="11" defaultRowHeight="15" x14ac:dyDescent="0.25"/>
  <cols>
    <col min="1" max="1" width="11" style="2"/>
    <col min="2" max="2" width="2.875" style="2" customWidth="1"/>
    <col min="3" max="9" width="5.625" style="2" customWidth="1"/>
    <col min="10" max="10" width="11" style="2" customWidth="1"/>
    <col min="11" max="11" width="5.375" style="2" customWidth="1"/>
    <col min="12" max="12" width="7.625" style="2" bestFit="1" customWidth="1"/>
    <col min="13" max="13" width="10.5" style="2" bestFit="1" customWidth="1"/>
    <col min="14" max="14" width="4.125" style="6" customWidth="1"/>
    <col min="15" max="15" width="39.625" style="3" bestFit="1" customWidth="1"/>
    <col min="16" max="16384" width="11" style="3"/>
  </cols>
  <sheetData>
    <row r="2" spans="2:15" ht="15.75" thickBot="1" x14ac:dyDescent="0.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2:15" ht="15" customHeight="1" x14ac:dyDescent="0.25">
      <c r="B3" s="1"/>
      <c r="C3" s="2250" t="s">
        <v>0</v>
      </c>
      <c r="D3" s="2251"/>
      <c r="E3" s="2251"/>
      <c r="F3" s="2251"/>
      <c r="G3" s="2251"/>
      <c r="H3" s="2251"/>
      <c r="I3" s="2251"/>
      <c r="J3" s="2251"/>
      <c r="K3" s="2251"/>
      <c r="L3" s="2251"/>
      <c r="M3" s="2252"/>
    </row>
    <row r="4" spans="2:15" ht="15" customHeight="1" x14ac:dyDescent="0.25">
      <c r="B4" s="1"/>
      <c r="C4" s="2253"/>
      <c r="D4" s="2254"/>
      <c r="E4" s="2254"/>
      <c r="F4" s="2254"/>
      <c r="G4" s="2254"/>
      <c r="H4" s="2254"/>
      <c r="I4" s="2254"/>
      <c r="J4" s="2254"/>
      <c r="K4" s="2254"/>
      <c r="L4" s="2254"/>
      <c r="M4" s="2255"/>
    </row>
    <row r="5" spans="2:15" x14ac:dyDescent="0.25">
      <c r="B5" s="1"/>
      <c r="C5" s="2256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8"/>
    </row>
    <row r="6" spans="2:15" x14ac:dyDescent="0.25">
      <c r="B6" s="1"/>
      <c r="C6" s="2256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8"/>
    </row>
    <row r="7" spans="2:15" ht="15" customHeight="1" x14ac:dyDescent="0.25">
      <c r="B7" s="1"/>
      <c r="C7" s="2259" t="s">
        <v>3</v>
      </c>
      <c r="D7" s="2260"/>
      <c r="E7" s="2260"/>
      <c r="F7" s="2260"/>
      <c r="G7" s="2260"/>
      <c r="H7" s="207">
        <v>24</v>
      </c>
      <c r="I7" s="296">
        <f>VLOOKUP(H7,Tarifas!D4:H303,2)</f>
        <v>42186</v>
      </c>
      <c r="J7" s="296"/>
      <c r="K7" s="296"/>
      <c r="L7" s="296"/>
      <c r="M7" s="297"/>
      <c r="O7" s="3" t="s">
        <v>64</v>
      </c>
    </row>
    <row r="8" spans="2:15" x14ac:dyDescent="0.25">
      <c r="B8" s="1"/>
      <c r="C8" s="2259" t="s">
        <v>4</v>
      </c>
      <c r="D8" s="2260"/>
      <c r="E8" s="2260"/>
      <c r="F8" s="2260"/>
      <c r="G8" s="2260"/>
      <c r="H8" s="207" t="s">
        <v>84</v>
      </c>
      <c r="I8" s="296"/>
      <c r="J8" s="296"/>
      <c r="K8" s="296"/>
      <c r="L8" s="296"/>
      <c r="M8" s="297"/>
    </row>
    <row r="9" spans="2:15" x14ac:dyDescent="0.25">
      <c r="B9" s="1"/>
      <c r="C9" s="4"/>
      <c r="D9" s="5"/>
      <c r="E9" s="5"/>
      <c r="F9" s="5"/>
      <c r="G9" s="5"/>
      <c r="H9" s="5"/>
      <c r="I9" s="5"/>
      <c r="J9" s="5"/>
      <c r="K9" s="2248" t="s">
        <v>73</v>
      </c>
      <c r="L9" s="2248"/>
      <c r="M9" s="2249"/>
    </row>
    <row r="10" spans="2:15" ht="15.75" thickBot="1" x14ac:dyDescent="0.3">
      <c r="B10" s="1"/>
      <c r="C10" s="7" t="s">
        <v>5</v>
      </c>
      <c r="D10" s="8"/>
      <c r="E10" s="8"/>
      <c r="F10" s="8"/>
      <c r="G10" s="8"/>
      <c r="H10" s="8"/>
      <c r="I10" s="8"/>
      <c r="J10" s="8"/>
      <c r="K10" s="9"/>
      <c r="L10" s="9"/>
      <c r="M10" s="10"/>
    </row>
    <row r="11" spans="2:15" x14ac:dyDescent="0.25">
      <c r="B11" s="1"/>
      <c r="C11" s="11" t="s">
        <v>6</v>
      </c>
      <c r="D11" s="12"/>
      <c r="E11" s="12"/>
      <c r="F11" s="12"/>
      <c r="G11" s="12"/>
      <c r="H11" s="12"/>
      <c r="I11" s="12"/>
      <c r="J11" s="12"/>
      <c r="K11" s="2244"/>
      <c r="L11" s="2245"/>
      <c r="M11" s="13"/>
      <c r="O11" s="38"/>
    </row>
    <row r="12" spans="2:15" ht="26.25" customHeight="1" x14ac:dyDescent="0.25">
      <c r="B12" s="1"/>
      <c r="C12" s="2213"/>
      <c r="D12" s="2214"/>
      <c r="E12" s="2214"/>
      <c r="F12" s="2214"/>
      <c r="G12" s="2214"/>
      <c r="H12" s="2214"/>
      <c r="I12" s="2214"/>
      <c r="J12" s="2215"/>
      <c r="K12" s="2241">
        <f>VLOOKUP(H7,Tarifas!D4:H303,3)</f>
        <v>0.14699999999999999</v>
      </c>
      <c r="L12" s="2240"/>
      <c r="M12" s="13"/>
      <c r="O12" s="3" t="s">
        <v>63</v>
      </c>
    </row>
    <row r="13" spans="2:15" x14ac:dyDescent="0.25">
      <c r="B13" s="1"/>
      <c r="C13" s="2213"/>
      <c r="D13" s="2214"/>
      <c r="E13" s="2214"/>
      <c r="F13" s="2214"/>
      <c r="G13" s="2214"/>
      <c r="H13" s="2214"/>
      <c r="I13" s="2214"/>
      <c r="J13" s="2215"/>
      <c r="K13" s="2241">
        <v>850</v>
      </c>
      <c r="L13" s="2240"/>
      <c r="M13" s="13" t="s">
        <v>7</v>
      </c>
      <c r="O13" s="38"/>
    </row>
    <row r="14" spans="2:15" x14ac:dyDescent="0.25">
      <c r="B14" s="1"/>
      <c r="C14" s="2213"/>
      <c r="D14" s="2214"/>
      <c r="E14" s="2214"/>
      <c r="F14" s="2214"/>
      <c r="G14" s="2214"/>
      <c r="H14" s="2214"/>
      <c r="I14" s="2214"/>
      <c r="J14" s="2215"/>
      <c r="K14" s="2241">
        <v>850</v>
      </c>
      <c r="L14" s="2240"/>
      <c r="M14" s="13" t="s">
        <v>7</v>
      </c>
      <c r="O14" s="38"/>
    </row>
    <row r="15" spans="2:15" ht="15.75" thickBot="1" x14ac:dyDescent="0.3">
      <c r="B15" s="1"/>
      <c r="C15" s="2210"/>
      <c r="D15" s="2211"/>
      <c r="E15" s="2211"/>
      <c r="F15" s="2211"/>
      <c r="G15" s="2211"/>
      <c r="H15" s="2211"/>
      <c r="I15" s="2211"/>
      <c r="J15" s="2212"/>
      <c r="K15" s="2242">
        <v>31482640</v>
      </c>
      <c r="L15" s="2243"/>
      <c r="M15" s="13" t="s">
        <v>8</v>
      </c>
      <c r="O15" s="304"/>
    </row>
    <row r="16" spans="2:15" x14ac:dyDescent="0.25">
      <c r="B16" s="3"/>
      <c r="C16" s="14" t="s">
        <v>9</v>
      </c>
      <c r="D16" s="15"/>
      <c r="E16" s="15"/>
      <c r="F16" s="15"/>
      <c r="G16" s="15"/>
      <c r="H16" s="15"/>
      <c r="I16" s="15"/>
      <c r="J16" s="15"/>
      <c r="K16" s="2235"/>
      <c r="L16" s="2235"/>
      <c r="M16" s="16">
        <f>+K12*(K13/K14)*K15</f>
        <v>4627948.08</v>
      </c>
      <c r="O16" s="36"/>
    </row>
    <row r="17" spans="2:15" x14ac:dyDescent="0.25">
      <c r="B17" s="1"/>
      <c r="C17" s="17"/>
      <c r="D17" s="18"/>
      <c r="E17" s="18"/>
      <c r="F17" s="18"/>
      <c r="G17" s="18"/>
      <c r="H17" s="18"/>
      <c r="I17" s="18"/>
      <c r="J17" s="18"/>
      <c r="K17" s="18"/>
      <c r="L17" s="18" t="s">
        <v>75</v>
      </c>
      <c r="M17" s="305">
        <v>4627948.08</v>
      </c>
      <c r="O17" s="36"/>
    </row>
    <row r="18" spans="2:15" x14ac:dyDescent="0.25">
      <c r="B18" s="1"/>
      <c r="C18" s="17"/>
      <c r="D18" s="18"/>
      <c r="E18" s="18"/>
      <c r="F18" s="18"/>
      <c r="G18" s="18"/>
      <c r="H18" s="18"/>
      <c r="I18" s="18"/>
      <c r="J18" s="18"/>
      <c r="K18" s="18"/>
      <c r="L18" s="18" t="s">
        <v>74</v>
      </c>
      <c r="M18" s="299">
        <f>M16-M17</f>
        <v>0</v>
      </c>
      <c r="O18" s="36"/>
    </row>
    <row r="19" spans="2:15" ht="15.75" thickBot="1" x14ac:dyDescent="0.3">
      <c r="B19" s="1"/>
      <c r="C19" s="7" t="s">
        <v>10</v>
      </c>
      <c r="D19" s="8"/>
      <c r="E19" s="8"/>
      <c r="F19" s="8"/>
      <c r="G19" s="8"/>
      <c r="H19" s="8"/>
      <c r="I19" s="8"/>
      <c r="J19" s="8"/>
      <c r="K19" s="9"/>
      <c r="L19" s="9"/>
      <c r="M19" s="10"/>
    </row>
    <row r="20" spans="2:15" ht="22.5" customHeight="1" x14ac:dyDescent="0.25">
      <c r="B20" s="1"/>
      <c r="C20" s="11" t="s">
        <v>6</v>
      </c>
      <c r="D20" s="12"/>
      <c r="E20" s="12"/>
      <c r="F20" s="12"/>
      <c r="G20" s="12"/>
      <c r="H20" s="12"/>
      <c r="I20" s="12"/>
      <c r="J20" s="12"/>
      <c r="K20" s="2244"/>
      <c r="L20" s="2245"/>
      <c r="M20" s="13"/>
    </row>
    <row r="21" spans="2:15" ht="21.75" customHeight="1" x14ac:dyDescent="0.25">
      <c r="B21" s="1"/>
      <c r="C21" s="2213"/>
      <c r="D21" s="2214"/>
      <c r="E21" s="2214"/>
      <c r="F21" s="2214"/>
      <c r="G21" s="2214"/>
      <c r="H21" s="2214"/>
      <c r="I21" s="2214"/>
      <c r="J21" s="2215"/>
      <c r="K21" s="2241">
        <f>VLOOKUP(H7,Tarifas!D4:H303,5)</f>
        <v>1E-3</v>
      </c>
      <c r="L21" s="2240"/>
      <c r="M21" s="13" t="s">
        <v>11</v>
      </c>
      <c r="O21" s="3" t="s">
        <v>63</v>
      </c>
    </row>
    <row r="22" spans="2:15" ht="15" customHeight="1" x14ac:dyDescent="0.25">
      <c r="B22" s="1"/>
      <c r="C22" s="2213"/>
      <c r="D22" s="2214"/>
      <c r="E22" s="2214"/>
      <c r="F22" s="2214"/>
      <c r="G22" s="2214"/>
      <c r="H22" s="2214"/>
      <c r="I22" s="2214"/>
      <c r="J22" s="2215"/>
      <c r="K22" s="2246">
        <v>201.4</v>
      </c>
      <c r="L22" s="2247"/>
      <c r="M22" s="13" t="s">
        <v>12</v>
      </c>
      <c r="O22" s="3" t="s">
        <v>62</v>
      </c>
    </row>
    <row r="23" spans="2:15" ht="21.75" customHeight="1" x14ac:dyDescent="0.25">
      <c r="B23" s="1"/>
      <c r="C23" s="2216"/>
      <c r="D23" s="2217"/>
      <c r="E23" s="2217"/>
      <c r="F23" s="2217"/>
      <c r="G23" s="2217"/>
      <c r="H23" s="2217"/>
      <c r="I23" s="2217"/>
      <c r="J23" s="2218"/>
      <c r="K23" s="2246">
        <v>194.7</v>
      </c>
      <c r="L23" s="2247"/>
      <c r="M23" s="13" t="s">
        <v>12</v>
      </c>
      <c r="O23" s="3" t="s">
        <v>67</v>
      </c>
    </row>
    <row r="24" spans="2:15" x14ac:dyDescent="0.25">
      <c r="B24" s="1"/>
      <c r="C24" s="19"/>
      <c r="D24" s="20"/>
      <c r="E24" s="20"/>
      <c r="F24" s="20"/>
      <c r="G24" s="20"/>
      <c r="H24" s="20"/>
      <c r="I24" s="20"/>
      <c r="J24" s="21"/>
      <c r="K24" s="2239">
        <f>IFERROR(K23/K22,0)</f>
        <v>0.96673286991062557</v>
      </c>
      <c r="L24" s="2240"/>
      <c r="M24" s="13"/>
    </row>
    <row r="25" spans="2:15" ht="15.75" thickBot="1" x14ac:dyDescent="0.3">
      <c r="B25" s="1"/>
      <c r="C25" s="2207"/>
      <c r="D25" s="2208"/>
      <c r="E25" s="2208"/>
      <c r="F25" s="2208"/>
      <c r="G25" s="2208"/>
      <c r="H25" s="2208"/>
      <c r="I25" s="2208"/>
      <c r="J25" s="2209"/>
      <c r="K25" s="2233">
        <v>2324629.9049999998</v>
      </c>
      <c r="L25" s="2234"/>
      <c r="M25" s="13" t="s">
        <v>8</v>
      </c>
      <c r="O25" s="37" t="s">
        <v>66</v>
      </c>
    </row>
    <row r="26" spans="2:15" x14ac:dyDescent="0.25">
      <c r="B26" s="1"/>
      <c r="C26" s="14" t="s">
        <v>13</v>
      </c>
      <c r="D26" s="15"/>
      <c r="E26" s="15"/>
      <c r="F26" s="15"/>
      <c r="G26" s="15"/>
      <c r="H26" s="15"/>
      <c r="I26" s="15"/>
      <c r="J26" s="15"/>
      <c r="K26" s="2235"/>
      <c r="L26" s="2235"/>
      <c r="M26" s="16">
        <f>+K21*K24*K25</f>
        <v>2247.2961395407146</v>
      </c>
      <c r="O26" s="38"/>
    </row>
    <row r="27" spans="2:15" x14ac:dyDescent="0.25">
      <c r="B27" s="1"/>
      <c r="C27" s="306"/>
      <c r="D27" s="307"/>
      <c r="E27" s="307"/>
      <c r="F27" s="307"/>
      <c r="G27" s="307"/>
      <c r="H27" s="307"/>
      <c r="I27" s="307"/>
      <c r="J27" s="307"/>
      <c r="K27" s="308"/>
      <c r="L27" s="310" t="s">
        <v>75</v>
      </c>
      <c r="M27" s="309">
        <v>2247.3000000000002</v>
      </c>
      <c r="O27" s="38"/>
    </row>
    <row r="28" spans="2:15" x14ac:dyDescent="0.25">
      <c r="B28" s="1"/>
      <c r="C28" s="306"/>
      <c r="D28" s="307"/>
      <c r="E28" s="307"/>
      <c r="F28" s="307"/>
      <c r="G28" s="307"/>
      <c r="H28" s="307"/>
      <c r="I28" s="307"/>
      <c r="J28" s="307"/>
      <c r="K28" s="308"/>
      <c r="L28" s="310" t="s">
        <v>74</v>
      </c>
      <c r="M28" s="309">
        <f>M26-M27</f>
        <v>-3.8604592855335795E-3</v>
      </c>
      <c r="O28" s="38"/>
    </row>
    <row r="29" spans="2:15" x14ac:dyDescent="0.25">
      <c r="B29" s="1"/>
      <c r="C29" s="306"/>
      <c r="D29" s="307"/>
      <c r="E29" s="307"/>
      <c r="F29" s="307"/>
      <c r="G29" s="307"/>
      <c r="H29" s="307"/>
      <c r="I29" s="307"/>
      <c r="J29" s="307"/>
      <c r="K29" s="308"/>
      <c r="L29" s="308"/>
      <c r="M29" s="309"/>
      <c r="O29" s="38"/>
    </row>
    <row r="30" spans="2:15" ht="15" customHeight="1" x14ac:dyDescent="0.25">
      <c r="B30" s="1"/>
      <c r="C30" s="22" t="s">
        <v>70</v>
      </c>
      <c r="D30" s="23"/>
      <c r="E30" s="23"/>
      <c r="F30" s="23"/>
      <c r="G30" s="23"/>
      <c r="H30" s="23"/>
      <c r="I30" s="23"/>
      <c r="J30" s="23"/>
      <c r="K30" s="24"/>
      <c r="L30" s="24"/>
      <c r="M30" s="16">
        <f>+M16+M26</f>
        <v>4630195.3761395412</v>
      </c>
      <c r="O30" s="298"/>
    </row>
    <row r="31" spans="2:15" ht="15" customHeight="1" x14ac:dyDescent="0.25">
      <c r="B31" s="1"/>
      <c r="C31" s="22" t="str">
        <f>"% de Impuestos del mes: "&amp;H7</f>
        <v>% de Impuestos del mes: 24</v>
      </c>
      <c r="D31" s="23"/>
      <c r="E31" s="23"/>
      <c r="F31" s="23"/>
      <c r="G31" s="300" t="str">
        <f>"("&amp;VLOOKUP(H7,Tarifas!D4:H303,4)&amp;")"</f>
        <v>(1.886%)</v>
      </c>
      <c r="H31" s="23"/>
      <c r="I31" s="301"/>
      <c r="J31" s="302"/>
      <c r="K31" s="24"/>
      <c r="L31" s="24"/>
      <c r="M31" s="13"/>
      <c r="O31" s="38"/>
    </row>
    <row r="32" spans="2:15" x14ac:dyDescent="0.25">
      <c r="B32" s="1"/>
      <c r="C32" s="25" t="s">
        <v>14</v>
      </c>
      <c r="D32" s="26"/>
      <c r="E32" s="26"/>
      <c r="F32" s="26"/>
      <c r="G32" s="26"/>
      <c r="H32" s="26"/>
      <c r="I32" s="26"/>
      <c r="J32" s="18"/>
      <c r="K32" s="208"/>
      <c r="L32" s="18"/>
      <c r="M32" s="16">
        <f>+M30*0.16</f>
        <v>740831.26018232654</v>
      </c>
      <c r="O32" s="36"/>
    </row>
    <row r="33" spans="2:16" x14ac:dyDescent="0.25">
      <c r="B33" s="1"/>
      <c r="C33" s="27" t="s">
        <v>15</v>
      </c>
      <c r="D33" s="28"/>
      <c r="E33" s="28"/>
      <c r="F33" s="28"/>
      <c r="G33" s="28"/>
      <c r="H33" s="28"/>
      <c r="I33" s="28"/>
      <c r="J33" s="29"/>
      <c r="K33" s="30"/>
      <c r="L33" s="30"/>
      <c r="M33" s="16">
        <f>+M32+M30</f>
        <v>5371026.6363218678</v>
      </c>
      <c r="O33" s="36"/>
    </row>
    <row r="34" spans="2:16" x14ac:dyDescent="0.25">
      <c r="B34" s="1"/>
      <c r="C34" s="17"/>
      <c r="D34" s="18"/>
      <c r="E34" s="18"/>
      <c r="F34" s="18"/>
      <c r="G34" s="18"/>
      <c r="H34" s="18"/>
      <c r="I34" s="18"/>
      <c r="J34" s="18"/>
      <c r="K34" s="18"/>
      <c r="L34" s="18"/>
      <c r="M34" s="13"/>
    </row>
    <row r="35" spans="2:16" x14ac:dyDescent="0.25">
      <c r="B35" s="1"/>
      <c r="C35" s="17" t="s">
        <v>71</v>
      </c>
      <c r="D35" s="18"/>
      <c r="E35" s="18"/>
      <c r="F35" s="18"/>
      <c r="G35" s="18"/>
      <c r="H35" s="18"/>
      <c r="I35" s="18"/>
      <c r="J35" s="18"/>
      <c r="K35" s="18"/>
      <c r="L35" s="18"/>
      <c r="M35" s="299">
        <f>(M16*1.16)</f>
        <v>5368419.7727999995</v>
      </c>
      <c r="O35" s="36"/>
      <c r="P35" s="36"/>
    </row>
    <row r="36" spans="2:16" x14ac:dyDescent="0.25">
      <c r="B36" s="1"/>
      <c r="C36" s="17" t="s">
        <v>72</v>
      </c>
      <c r="D36" s="18"/>
      <c r="E36" s="18"/>
      <c r="F36" s="18"/>
      <c r="G36" s="18"/>
      <c r="H36" s="18"/>
      <c r="I36" s="18"/>
      <c r="J36" s="18"/>
      <c r="K36" s="18"/>
      <c r="L36" s="18"/>
      <c r="M36" s="299">
        <f>(M26*1.16)+M31</f>
        <v>2606.8635218672289</v>
      </c>
      <c r="O36" s="36"/>
      <c r="P36" s="36"/>
    </row>
    <row r="37" spans="2:16" x14ac:dyDescent="0.25">
      <c r="B37" s="1"/>
      <c r="C37" s="17"/>
      <c r="D37" s="18"/>
      <c r="E37" s="18"/>
      <c r="F37" s="18"/>
      <c r="G37" s="18"/>
      <c r="H37" s="18"/>
      <c r="I37" s="18"/>
      <c r="J37" s="18"/>
      <c r="K37" s="18"/>
      <c r="L37" s="18"/>
      <c r="M37" s="13"/>
    </row>
    <row r="38" spans="2:16" x14ac:dyDescent="0.25">
      <c r="B38" s="1"/>
      <c r="C38" s="7" t="s">
        <v>16</v>
      </c>
      <c r="D38" s="8"/>
      <c r="E38" s="8"/>
      <c r="F38" s="8"/>
      <c r="G38" s="8"/>
      <c r="H38" s="8"/>
      <c r="I38" s="8"/>
      <c r="J38" s="8"/>
      <c r="K38" s="9"/>
      <c r="L38" s="9"/>
      <c r="M38" s="10"/>
    </row>
    <row r="39" spans="2:16" x14ac:dyDescent="0.25">
      <c r="B39" s="1"/>
      <c r="C39" s="31" t="s">
        <v>17</v>
      </c>
      <c r="D39" s="32" t="s">
        <v>18</v>
      </c>
      <c r="E39" s="32" t="s">
        <v>19</v>
      </c>
      <c r="F39" s="2236" t="s">
        <v>20</v>
      </c>
      <c r="G39" s="2237"/>
      <c r="H39" s="2238" t="s">
        <v>1</v>
      </c>
      <c r="I39" s="2238"/>
      <c r="J39" s="2238" t="s">
        <v>21</v>
      </c>
      <c r="K39" s="2238"/>
      <c r="L39" s="18"/>
      <c r="M39" s="13"/>
    </row>
    <row r="40" spans="2:16" x14ac:dyDescent="0.25">
      <c r="B40" s="1"/>
      <c r="C40" s="33">
        <v>2044</v>
      </c>
      <c r="D40" s="303">
        <v>2044</v>
      </c>
      <c r="E40" s="303" t="s">
        <v>22</v>
      </c>
      <c r="F40" s="2224" t="s">
        <v>23</v>
      </c>
      <c r="G40" s="2224"/>
      <c r="H40" s="2225"/>
      <c r="I40" s="2225"/>
      <c r="J40" s="2226"/>
      <c r="K40" s="2226"/>
      <c r="L40" s="18"/>
      <c r="M40" s="13"/>
      <c r="N40" s="1"/>
    </row>
    <row r="41" spans="2:16" x14ac:dyDescent="0.25">
      <c r="B41" s="1"/>
      <c r="C41" s="33"/>
      <c r="D41" s="303"/>
      <c r="E41" s="303" t="s">
        <v>25</v>
      </c>
      <c r="F41" s="2227"/>
      <c r="G41" s="2228"/>
      <c r="H41" s="2229"/>
      <c r="I41" s="2230"/>
      <c r="J41" s="2231"/>
      <c r="K41" s="2232"/>
      <c r="L41" s="18"/>
      <c r="M41" s="13"/>
      <c r="N41" s="1"/>
    </row>
    <row r="42" spans="2:16" x14ac:dyDescent="0.25">
      <c r="B42" s="1"/>
      <c r="C42" s="33"/>
      <c r="D42" s="303"/>
      <c r="E42" s="303" t="s">
        <v>26</v>
      </c>
      <c r="F42" s="2227"/>
      <c r="G42" s="2228"/>
      <c r="H42" s="2229"/>
      <c r="I42" s="2230"/>
      <c r="J42" s="2231"/>
      <c r="K42" s="2232"/>
      <c r="L42" s="18"/>
      <c r="M42" s="13"/>
      <c r="N42" s="1"/>
    </row>
    <row r="43" spans="2:16" x14ac:dyDescent="0.25">
      <c r="B43" s="1"/>
      <c r="C43" s="33">
        <v>2044</v>
      </c>
      <c r="D43" s="303">
        <v>2044</v>
      </c>
      <c r="E43" s="303" t="s">
        <v>27</v>
      </c>
      <c r="F43" s="2224" t="s">
        <v>28</v>
      </c>
      <c r="G43" s="2224"/>
      <c r="H43" s="2225"/>
      <c r="I43" s="2225"/>
      <c r="J43" s="2226"/>
      <c r="K43" s="2226"/>
      <c r="L43" s="18"/>
      <c r="M43" s="13"/>
      <c r="N43" s="1"/>
    </row>
    <row r="44" spans="2:16" x14ac:dyDescent="0.25">
      <c r="B44" s="1"/>
      <c r="C44" s="2219" t="s">
        <v>24</v>
      </c>
      <c r="D44" s="2220"/>
      <c r="E44" s="2220"/>
      <c r="F44" s="2220"/>
      <c r="G44" s="2221"/>
      <c r="H44" s="2222">
        <f>SUM(H40:H43)</f>
        <v>0</v>
      </c>
      <c r="I44" s="2223"/>
      <c r="J44" s="3"/>
      <c r="K44" s="3"/>
      <c r="L44" s="18"/>
      <c r="M44" s="13"/>
      <c r="N44" s="1"/>
    </row>
    <row r="45" spans="2:16" x14ac:dyDescent="0.25">
      <c r="B45" s="1"/>
      <c r="C45" s="17"/>
      <c r="D45" s="18"/>
      <c r="E45" s="18"/>
      <c r="F45" s="18"/>
      <c r="G45" s="18"/>
      <c r="H45" s="18"/>
      <c r="I45" s="18"/>
      <c r="J45" s="18"/>
      <c r="K45" s="18"/>
      <c r="L45" s="18"/>
      <c r="M45" s="13"/>
    </row>
  </sheetData>
  <mergeCells count="44">
    <mergeCell ref="F41:G41"/>
    <mergeCell ref="H41:I41"/>
    <mergeCell ref="J41:K41"/>
    <mergeCell ref="C44:G44"/>
    <mergeCell ref="H44:I44"/>
    <mergeCell ref="F42:G42"/>
    <mergeCell ref="H42:I42"/>
    <mergeCell ref="J42:K42"/>
    <mergeCell ref="F43:G43"/>
    <mergeCell ref="H43:I43"/>
    <mergeCell ref="J43:K43"/>
    <mergeCell ref="C23:J23"/>
    <mergeCell ref="K23:L23"/>
    <mergeCell ref="F40:G40"/>
    <mergeCell ref="H40:I40"/>
    <mergeCell ref="J40:K40"/>
    <mergeCell ref="K26:L26"/>
    <mergeCell ref="F39:G39"/>
    <mergeCell ref="H39:I39"/>
    <mergeCell ref="J39:K39"/>
    <mergeCell ref="K24:L24"/>
    <mergeCell ref="C25:J25"/>
    <mergeCell ref="K25:L25"/>
    <mergeCell ref="K9:M9"/>
    <mergeCell ref="K11:L11"/>
    <mergeCell ref="C12:J12"/>
    <mergeCell ref="K12:L12"/>
    <mergeCell ref="C13:J13"/>
    <mergeCell ref="K13:L13"/>
    <mergeCell ref="C14:J14"/>
    <mergeCell ref="K14:L14"/>
    <mergeCell ref="K21:L21"/>
    <mergeCell ref="C22:J22"/>
    <mergeCell ref="K22:L22"/>
    <mergeCell ref="C15:J15"/>
    <mergeCell ref="K15:L15"/>
    <mergeCell ref="K16:L16"/>
    <mergeCell ref="K20:L20"/>
    <mergeCell ref="C21:J21"/>
    <mergeCell ref="C3:M4"/>
    <mergeCell ref="C5:M5"/>
    <mergeCell ref="C6:M6"/>
    <mergeCell ref="C7:G7"/>
    <mergeCell ref="C8:G8"/>
  </mergeCells>
  <pageMargins left="0.7" right="0.7" top="0.93" bottom="0.75" header="0.3" footer="0.3"/>
  <pageSetup scale="93" fitToHeight="0" orientation="portrait" r:id="rId1"/>
  <headerFooter>
    <oddHeader>&amp;L&amp;G&amp;R&amp;"Arial,Negrita"Direccion de Operacion&amp;"Arial,Normal"
Subdireccion de Energeticos
Subgerencia Regional de Energeticos</oddHeader>
  </headerFooter>
  <drawing r:id="rId2"/>
  <legacyDrawingHF r:id="rId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45"/>
  <sheetViews>
    <sheetView workbookViewId="0"/>
  </sheetViews>
  <sheetFormatPr baseColWidth="10" defaultColWidth="11" defaultRowHeight="15" x14ac:dyDescent="0.25"/>
  <cols>
    <col min="1" max="1" width="11" style="2"/>
    <col min="2" max="2" width="2.875" style="2" customWidth="1"/>
    <col min="3" max="9" width="5.625" style="2" customWidth="1"/>
    <col min="10" max="10" width="11" style="2" customWidth="1"/>
    <col min="11" max="11" width="5.375" style="2" customWidth="1"/>
    <col min="12" max="12" width="7.625" style="2" bestFit="1" customWidth="1"/>
    <col min="13" max="13" width="10.5" style="2" bestFit="1" customWidth="1"/>
    <col min="14" max="14" width="4.125" style="6" customWidth="1"/>
    <col min="15" max="15" width="39.625" style="3" bestFit="1" customWidth="1"/>
    <col min="16" max="16384" width="11" style="3"/>
  </cols>
  <sheetData>
    <row r="2" spans="2:15" ht="15.75" thickBot="1" x14ac:dyDescent="0.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2:15" ht="15" customHeight="1" x14ac:dyDescent="0.25">
      <c r="B3" s="1"/>
      <c r="C3" s="2250" t="s">
        <v>0</v>
      </c>
      <c r="D3" s="2251"/>
      <c r="E3" s="2251"/>
      <c r="F3" s="2251"/>
      <c r="G3" s="2251"/>
      <c r="H3" s="2251"/>
      <c r="I3" s="2251"/>
      <c r="J3" s="2251"/>
      <c r="K3" s="2251"/>
      <c r="L3" s="2251"/>
      <c r="M3" s="2252"/>
    </row>
    <row r="4" spans="2:15" ht="15" customHeight="1" x14ac:dyDescent="0.25">
      <c r="B4" s="1"/>
      <c r="C4" s="2253"/>
      <c r="D4" s="2254"/>
      <c r="E4" s="2254"/>
      <c r="F4" s="2254"/>
      <c r="G4" s="2254"/>
      <c r="H4" s="2254"/>
      <c r="I4" s="2254"/>
      <c r="J4" s="2254"/>
      <c r="K4" s="2254"/>
      <c r="L4" s="2254"/>
      <c r="M4" s="2255"/>
    </row>
    <row r="5" spans="2:15" x14ac:dyDescent="0.25">
      <c r="B5" s="1"/>
      <c r="C5" s="2256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8"/>
    </row>
    <row r="6" spans="2:15" x14ac:dyDescent="0.25">
      <c r="B6" s="1"/>
      <c r="C6" s="2256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8"/>
    </row>
    <row r="7" spans="2:15" ht="15" customHeight="1" x14ac:dyDescent="0.25">
      <c r="B7" s="1"/>
      <c r="C7" s="2259" t="s">
        <v>3</v>
      </c>
      <c r="D7" s="2260"/>
      <c r="E7" s="2260"/>
      <c r="F7" s="2260"/>
      <c r="G7" s="2260"/>
      <c r="H7" s="207">
        <v>25</v>
      </c>
      <c r="I7" s="296">
        <f>VLOOKUP(H7,Tarifas!D4:H303,2)</f>
        <v>42217</v>
      </c>
      <c r="J7" s="296"/>
      <c r="K7" s="296"/>
      <c r="L7" s="296"/>
      <c r="M7" s="297"/>
      <c r="O7" s="3" t="s">
        <v>64</v>
      </c>
    </row>
    <row r="8" spans="2:15" x14ac:dyDescent="0.25">
      <c r="B8" s="1"/>
      <c r="C8" s="2259" t="s">
        <v>4</v>
      </c>
      <c r="D8" s="2260"/>
      <c r="E8" s="2260"/>
      <c r="F8" s="2260"/>
      <c r="G8" s="2260"/>
      <c r="H8" s="207" t="s">
        <v>85</v>
      </c>
      <c r="I8" s="296"/>
      <c r="J8" s="296"/>
      <c r="K8" s="296"/>
      <c r="L8" s="296"/>
      <c r="M8" s="297"/>
    </row>
    <row r="9" spans="2:15" x14ac:dyDescent="0.25">
      <c r="B9" s="1"/>
      <c r="C9" s="4"/>
      <c r="D9" s="5"/>
      <c r="E9" s="5"/>
      <c r="F9" s="5"/>
      <c r="G9" s="5"/>
      <c r="H9" s="5"/>
      <c r="I9" s="5"/>
      <c r="J9" s="5"/>
      <c r="K9" s="2248" t="s">
        <v>73</v>
      </c>
      <c r="L9" s="2248"/>
      <c r="M9" s="2249"/>
    </row>
    <row r="10" spans="2:15" ht="15.75" thickBot="1" x14ac:dyDescent="0.3">
      <c r="B10" s="1"/>
      <c r="C10" s="7" t="s">
        <v>5</v>
      </c>
      <c r="D10" s="8"/>
      <c r="E10" s="8"/>
      <c r="F10" s="8"/>
      <c r="G10" s="8"/>
      <c r="H10" s="8"/>
      <c r="I10" s="8"/>
      <c r="J10" s="8"/>
      <c r="K10" s="9"/>
      <c r="L10" s="9"/>
      <c r="M10" s="10"/>
    </row>
    <row r="11" spans="2:15" x14ac:dyDescent="0.25">
      <c r="B11" s="1"/>
      <c r="C11" s="11" t="s">
        <v>6</v>
      </c>
      <c r="D11" s="12"/>
      <c r="E11" s="12"/>
      <c r="F11" s="12"/>
      <c r="G11" s="12"/>
      <c r="H11" s="12"/>
      <c r="I11" s="12"/>
      <c r="J11" s="12"/>
      <c r="K11" s="2244"/>
      <c r="L11" s="2245"/>
      <c r="M11" s="13"/>
      <c r="O11" s="38"/>
    </row>
    <row r="12" spans="2:15" ht="26.25" customHeight="1" x14ac:dyDescent="0.25">
      <c r="B12" s="1"/>
      <c r="C12" s="2213"/>
      <c r="D12" s="2214"/>
      <c r="E12" s="2214"/>
      <c r="F12" s="2214"/>
      <c r="G12" s="2214"/>
      <c r="H12" s="2214"/>
      <c r="I12" s="2214"/>
      <c r="J12" s="2215"/>
      <c r="K12" s="2241">
        <f>VLOOKUP(H7,Tarifas!D4:H303,3)</f>
        <v>0.14699999999999999</v>
      </c>
      <c r="L12" s="2240"/>
      <c r="M12" s="13"/>
      <c r="O12" s="3" t="s">
        <v>63</v>
      </c>
    </row>
    <row r="13" spans="2:15" x14ac:dyDescent="0.25">
      <c r="B13" s="1"/>
      <c r="C13" s="2213"/>
      <c r="D13" s="2214"/>
      <c r="E13" s="2214"/>
      <c r="F13" s="2214"/>
      <c r="G13" s="2214"/>
      <c r="H13" s="2214"/>
      <c r="I13" s="2214"/>
      <c r="J13" s="2215"/>
      <c r="K13" s="2241">
        <v>850</v>
      </c>
      <c r="L13" s="2240"/>
      <c r="M13" s="13" t="s">
        <v>7</v>
      </c>
      <c r="O13" s="38"/>
    </row>
    <row r="14" spans="2:15" x14ac:dyDescent="0.25">
      <c r="B14" s="1"/>
      <c r="C14" s="2213"/>
      <c r="D14" s="2214"/>
      <c r="E14" s="2214"/>
      <c r="F14" s="2214"/>
      <c r="G14" s="2214"/>
      <c r="H14" s="2214"/>
      <c r="I14" s="2214"/>
      <c r="J14" s="2215"/>
      <c r="K14" s="2241">
        <v>850</v>
      </c>
      <c r="L14" s="2240"/>
      <c r="M14" s="13" t="s">
        <v>7</v>
      </c>
      <c r="O14" s="38"/>
    </row>
    <row r="15" spans="2:15" ht="15.75" thickBot="1" x14ac:dyDescent="0.3">
      <c r="B15" s="1"/>
      <c r="C15" s="2210"/>
      <c r="D15" s="2211"/>
      <c r="E15" s="2211"/>
      <c r="F15" s="2211"/>
      <c r="G15" s="2211"/>
      <c r="H15" s="2211"/>
      <c r="I15" s="2211"/>
      <c r="J15" s="2212"/>
      <c r="K15" s="2242">
        <v>31482640</v>
      </c>
      <c r="L15" s="2243"/>
      <c r="M15" s="13" t="s">
        <v>8</v>
      </c>
      <c r="O15" s="304"/>
    </row>
    <row r="16" spans="2:15" x14ac:dyDescent="0.25">
      <c r="B16" s="3"/>
      <c r="C16" s="14" t="s">
        <v>9</v>
      </c>
      <c r="D16" s="15"/>
      <c r="E16" s="15"/>
      <c r="F16" s="15"/>
      <c r="G16" s="15"/>
      <c r="H16" s="15"/>
      <c r="I16" s="15"/>
      <c r="J16" s="15"/>
      <c r="K16" s="2235"/>
      <c r="L16" s="2235"/>
      <c r="M16" s="16">
        <f>+K12*(K13/K14)*K15</f>
        <v>4627948.08</v>
      </c>
      <c r="O16" s="36"/>
    </row>
    <row r="17" spans="2:15" x14ac:dyDescent="0.25">
      <c r="B17" s="1"/>
      <c r="C17" s="17"/>
      <c r="D17" s="18"/>
      <c r="E17" s="18"/>
      <c r="F17" s="18"/>
      <c r="G17" s="18"/>
      <c r="H17" s="18"/>
      <c r="I17" s="18"/>
      <c r="J17" s="18"/>
      <c r="K17" s="18"/>
      <c r="L17" s="18" t="s">
        <v>75</v>
      </c>
      <c r="M17" s="305">
        <v>4627948.08</v>
      </c>
      <c r="O17" s="36"/>
    </row>
    <row r="18" spans="2:15" x14ac:dyDescent="0.25">
      <c r="B18" s="1"/>
      <c r="C18" s="17"/>
      <c r="D18" s="18"/>
      <c r="E18" s="18"/>
      <c r="F18" s="18"/>
      <c r="G18" s="18"/>
      <c r="H18" s="18"/>
      <c r="I18" s="18"/>
      <c r="J18" s="18"/>
      <c r="K18" s="18"/>
      <c r="L18" s="18" t="s">
        <v>74</v>
      </c>
      <c r="M18" s="299">
        <f>M16-M17</f>
        <v>0</v>
      </c>
      <c r="O18" s="36"/>
    </row>
    <row r="19" spans="2:15" ht="15.75" thickBot="1" x14ac:dyDescent="0.3">
      <c r="B19" s="1"/>
      <c r="C19" s="7" t="s">
        <v>10</v>
      </c>
      <c r="D19" s="8"/>
      <c r="E19" s="8"/>
      <c r="F19" s="8"/>
      <c r="G19" s="8"/>
      <c r="H19" s="8"/>
      <c r="I19" s="8"/>
      <c r="J19" s="8"/>
      <c r="K19" s="9"/>
      <c r="L19" s="9"/>
      <c r="M19" s="10"/>
    </row>
    <row r="20" spans="2:15" ht="22.5" customHeight="1" x14ac:dyDescent="0.25">
      <c r="B20" s="1"/>
      <c r="C20" s="11" t="s">
        <v>6</v>
      </c>
      <c r="D20" s="12"/>
      <c r="E20" s="12"/>
      <c r="F20" s="12"/>
      <c r="G20" s="12"/>
      <c r="H20" s="12"/>
      <c r="I20" s="12"/>
      <c r="J20" s="12"/>
      <c r="K20" s="2244"/>
      <c r="L20" s="2245"/>
      <c r="M20" s="13"/>
    </row>
    <row r="21" spans="2:15" ht="21.75" customHeight="1" x14ac:dyDescent="0.25">
      <c r="B21" s="1"/>
      <c r="C21" s="2213"/>
      <c r="D21" s="2214"/>
      <c r="E21" s="2214"/>
      <c r="F21" s="2214"/>
      <c r="G21" s="2214"/>
      <c r="H21" s="2214"/>
      <c r="I21" s="2214"/>
      <c r="J21" s="2215"/>
      <c r="K21" s="2241">
        <f>VLOOKUP(H7,Tarifas!D4:H303,5)</f>
        <v>1E-3</v>
      </c>
      <c r="L21" s="2240"/>
      <c r="M21" s="13" t="s">
        <v>11</v>
      </c>
      <c r="O21" s="3" t="s">
        <v>63</v>
      </c>
    </row>
    <row r="22" spans="2:15" ht="15" customHeight="1" x14ac:dyDescent="0.25">
      <c r="B22" s="1"/>
      <c r="C22" s="2213"/>
      <c r="D22" s="2214"/>
      <c r="E22" s="2214"/>
      <c r="F22" s="2214"/>
      <c r="G22" s="2214"/>
      <c r="H22" s="2214"/>
      <c r="I22" s="2214"/>
      <c r="J22" s="2215"/>
      <c r="K22" s="2246">
        <v>201.4</v>
      </c>
      <c r="L22" s="2247"/>
      <c r="M22" s="13" t="s">
        <v>12</v>
      </c>
      <c r="O22" s="3" t="s">
        <v>62</v>
      </c>
    </row>
    <row r="23" spans="2:15" ht="21.75" customHeight="1" x14ac:dyDescent="0.25">
      <c r="B23" s="1"/>
      <c r="C23" s="2216"/>
      <c r="D23" s="2217"/>
      <c r="E23" s="2217"/>
      <c r="F23" s="2217"/>
      <c r="G23" s="2217"/>
      <c r="H23" s="2217"/>
      <c r="I23" s="2217"/>
      <c r="J23" s="2218"/>
      <c r="K23" s="2246">
        <v>194</v>
      </c>
      <c r="L23" s="2247"/>
      <c r="M23" s="13" t="s">
        <v>12</v>
      </c>
      <c r="O23" s="3" t="s">
        <v>67</v>
      </c>
    </row>
    <row r="24" spans="2:15" x14ac:dyDescent="0.25">
      <c r="B24" s="1"/>
      <c r="C24" s="19"/>
      <c r="D24" s="20"/>
      <c r="E24" s="20"/>
      <c r="F24" s="20"/>
      <c r="G24" s="20"/>
      <c r="H24" s="20"/>
      <c r="I24" s="20"/>
      <c r="J24" s="21"/>
      <c r="K24" s="2239">
        <f>IFERROR(K23/K22,0)</f>
        <v>0.96325719960278056</v>
      </c>
      <c r="L24" s="2240"/>
      <c r="M24" s="13"/>
    </row>
    <row r="25" spans="2:15" ht="15.75" thickBot="1" x14ac:dyDescent="0.3">
      <c r="B25" s="1"/>
      <c r="C25" s="2207"/>
      <c r="D25" s="2208"/>
      <c r="E25" s="2208"/>
      <c r="F25" s="2208"/>
      <c r="G25" s="2208"/>
      <c r="H25" s="2208"/>
      <c r="I25" s="2208"/>
      <c r="J25" s="2209"/>
      <c r="K25" s="2233">
        <v>2354195.5699999998</v>
      </c>
      <c r="L25" s="2234"/>
      <c r="M25" s="13" t="s">
        <v>8</v>
      </c>
      <c r="O25" s="37" t="s">
        <v>66</v>
      </c>
    </row>
    <row r="26" spans="2:15" x14ac:dyDescent="0.25">
      <c r="B26" s="1"/>
      <c r="C26" s="14" t="s">
        <v>13</v>
      </c>
      <c r="D26" s="15"/>
      <c r="E26" s="15"/>
      <c r="F26" s="15"/>
      <c r="G26" s="15"/>
      <c r="H26" s="15"/>
      <c r="I26" s="15"/>
      <c r="J26" s="15"/>
      <c r="K26" s="2235"/>
      <c r="L26" s="2235"/>
      <c r="M26" s="16">
        <f>+K21*K24*K25</f>
        <v>2267.6958320754716</v>
      </c>
      <c r="O26" s="38"/>
    </row>
    <row r="27" spans="2:15" x14ac:dyDescent="0.25">
      <c r="B27" s="1"/>
      <c r="C27" s="306"/>
      <c r="D27" s="307"/>
      <c r="E27" s="307"/>
      <c r="F27" s="307"/>
      <c r="G27" s="307"/>
      <c r="H27" s="307"/>
      <c r="I27" s="307"/>
      <c r="J27" s="307"/>
      <c r="K27" s="308"/>
      <c r="L27" s="310" t="s">
        <v>75</v>
      </c>
      <c r="M27" s="309">
        <v>2267.6999999999998</v>
      </c>
      <c r="O27" s="38"/>
    </row>
    <row r="28" spans="2:15" x14ac:dyDescent="0.25">
      <c r="B28" s="1"/>
      <c r="C28" s="306"/>
      <c r="D28" s="307"/>
      <c r="E28" s="307"/>
      <c r="F28" s="307"/>
      <c r="G28" s="307"/>
      <c r="H28" s="307"/>
      <c r="I28" s="307"/>
      <c r="J28" s="307"/>
      <c r="K28" s="308"/>
      <c r="L28" s="310" t="s">
        <v>74</v>
      </c>
      <c r="M28" s="309">
        <f>M26-M27</f>
        <v>-4.1679245282466582E-3</v>
      </c>
      <c r="O28" s="38"/>
    </row>
    <row r="29" spans="2:15" x14ac:dyDescent="0.25">
      <c r="B29" s="1"/>
      <c r="C29" s="306"/>
      <c r="D29" s="307"/>
      <c r="E29" s="307"/>
      <c r="F29" s="307"/>
      <c r="G29" s="307"/>
      <c r="H29" s="307"/>
      <c r="I29" s="307"/>
      <c r="J29" s="307"/>
      <c r="K29" s="308"/>
      <c r="L29" s="308"/>
      <c r="M29" s="309"/>
      <c r="O29" s="38"/>
    </row>
    <row r="30" spans="2:15" ht="15" customHeight="1" x14ac:dyDescent="0.25">
      <c r="B30" s="1"/>
      <c r="C30" s="22" t="s">
        <v>70</v>
      </c>
      <c r="D30" s="23"/>
      <c r="E30" s="23"/>
      <c r="F30" s="23"/>
      <c r="G30" s="23"/>
      <c r="H30" s="23"/>
      <c r="I30" s="23"/>
      <c r="J30" s="23"/>
      <c r="K30" s="24"/>
      <c r="L30" s="24"/>
      <c r="M30" s="16">
        <f>+M16+M26</f>
        <v>4630215.7758320756</v>
      </c>
      <c r="O30" s="298"/>
    </row>
    <row r="31" spans="2:15" ht="15" customHeight="1" x14ac:dyDescent="0.25">
      <c r="B31" s="1"/>
      <c r="C31" s="22" t="str">
        <f>"% de Impuestos del mes: "&amp;H7</f>
        <v>% de Impuestos del mes: 25</v>
      </c>
      <c r="D31" s="23"/>
      <c r="E31" s="23"/>
      <c r="F31" s="23"/>
      <c r="G31" s="300" t="str">
        <f>"("&amp;VLOOKUP(H7,Tarifas!D4:H303,4)&amp;")"</f>
        <v>(1.886%)</v>
      </c>
      <c r="H31" s="23"/>
      <c r="I31" s="301"/>
      <c r="J31" s="302"/>
      <c r="K31" s="24"/>
      <c r="L31" s="24"/>
      <c r="M31" s="13"/>
      <c r="O31" s="38"/>
    </row>
    <row r="32" spans="2:15" x14ac:dyDescent="0.25">
      <c r="B32" s="1"/>
      <c r="C32" s="25" t="s">
        <v>14</v>
      </c>
      <c r="D32" s="26"/>
      <c r="E32" s="26"/>
      <c r="F32" s="26"/>
      <c r="G32" s="26"/>
      <c r="H32" s="26"/>
      <c r="I32" s="26"/>
      <c r="J32" s="18"/>
      <c r="K32" s="208"/>
      <c r="L32" s="18"/>
      <c r="M32" s="16">
        <f>+M30*0.16</f>
        <v>740834.52413313207</v>
      </c>
      <c r="O32" s="36"/>
    </row>
    <row r="33" spans="2:16" x14ac:dyDescent="0.25">
      <c r="B33" s="1"/>
      <c r="C33" s="27" t="s">
        <v>15</v>
      </c>
      <c r="D33" s="28"/>
      <c r="E33" s="28"/>
      <c r="F33" s="28"/>
      <c r="G33" s="28"/>
      <c r="H33" s="28"/>
      <c r="I33" s="28"/>
      <c r="J33" s="29"/>
      <c r="K33" s="30"/>
      <c r="L33" s="30"/>
      <c r="M33" s="16">
        <f>+M32+M30</f>
        <v>5371050.2999652075</v>
      </c>
      <c r="O33" s="36"/>
    </row>
    <row r="34" spans="2:16" x14ac:dyDescent="0.25">
      <c r="B34" s="1"/>
      <c r="C34" s="17"/>
      <c r="D34" s="18"/>
      <c r="E34" s="18"/>
      <c r="F34" s="18"/>
      <c r="G34" s="18"/>
      <c r="H34" s="18"/>
      <c r="I34" s="18"/>
      <c r="J34" s="18"/>
      <c r="K34" s="18"/>
      <c r="L34" s="18"/>
      <c r="M34" s="13"/>
    </row>
    <row r="35" spans="2:16" x14ac:dyDescent="0.25">
      <c r="B35" s="1"/>
      <c r="C35" s="17" t="s">
        <v>71</v>
      </c>
      <c r="D35" s="18"/>
      <c r="E35" s="18"/>
      <c r="F35" s="18"/>
      <c r="G35" s="18"/>
      <c r="H35" s="18"/>
      <c r="I35" s="18"/>
      <c r="J35" s="18"/>
      <c r="K35" s="18"/>
      <c r="L35" s="18"/>
      <c r="M35" s="299">
        <f>(M16*1.16)</f>
        <v>5368419.7727999995</v>
      </c>
      <c r="O35" s="36"/>
      <c r="P35" s="36"/>
    </row>
    <row r="36" spans="2:16" x14ac:dyDescent="0.25">
      <c r="B36" s="1"/>
      <c r="C36" s="17" t="s">
        <v>72</v>
      </c>
      <c r="D36" s="18"/>
      <c r="E36" s="18"/>
      <c r="F36" s="18"/>
      <c r="G36" s="18"/>
      <c r="H36" s="18"/>
      <c r="I36" s="18"/>
      <c r="J36" s="18"/>
      <c r="K36" s="18"/>
      <c r="L36" s="18"/>
      <c r="M36" s="299">
        <f>(M26*1.16)+M31</f>
        <v>2630.5271652075467</v>
      </c>
      <c r="O36" s="36"/>
      <c r="P36" s="36"/>
    </row>
    <row r="37" spans="2:16" x14ac:dyDescent="0.25">
      <c r="B37" s="1"/>
      <c r="C37" s="17"/>
      <c r="D37" s="18"/>
      <c r="E37" s="18"/>
      <c r="F37" s="18"/>
      <c r="G37" s="18"/>
      <c r="H37" s="18"/>
      <c r="I37" s="18"/>
      <c r="J37" s="18"/>
      <c r="K37" s="18"/>
      <c r="L37" s="18"/>
      <c r="M37" s="13"/>
    </row>
    <row r="38" spans="2:16" x14ac:dyDescent="0.25">
      <c r="B38" s="1"/>
      <c r="C38" s="7" t="s">
        <v>16</v>
      </c>
      <c r="D38" s="8"/>
      <c r="E38" s="8"/>
      <c r="F38" s="8"/>
      <c r="G38" s="8"/>
      <c r="H38" s="8"/>
      <c r="I38" s="8"/>
      <c r="J38" s="8"/>
      <c r="K38" s="9"/>
      <c r="L38" s="9"/>
      <c r="M38" s="10"/>
    </row>
    <row r="39" spans="2:16" x14ac:dyDescent="0.25">
      <c r="B39" s="1"/>
      <c r="C39" s="31" t="s">
        <v>17</v>
      </c>
      <c r="D39" s="32" t="s">
        <v>18</v>
      </c>
      <c r="E39" s="32" t="s">
        <v>19</v>
      </c>
      <c r="F39" s="2236" t="s">
        <v>20</v>
      </c>
      <c r="G39" s="2237"/>
      <c r="H39" s="2238" t="s">
        <v>1</v>
      </c>
      <c r="I39" s="2238"/>
      <c r="J39" s="2238" t="s">
        <v>21</v>
      </c>
      <c r="K39" s="2238"/>
      <c r="L39" s="18"/>
      <c r="M39" s="13"/>
    </row>
    <row r="40" spans="2:16" x14ac:dyDescent="0.25">
      <c r="B40" s="1"/>
      <c r="C40" s="33">
        <v>2044</v>
      </c>
      <c r="D40" s="303">
        <v>2044</v>
      </c>
      <c r="E40" s="303" t="s">
        <v>22</v>
      </c>
      <c r="F40" s="2224" t="s">
        <v>23</v>
      </c>
      <c r="G40" s="2224"/>
      <c r="H40" s="2225"/>
      <c r="I40" s="2225"/>
      <c r="J40" s="2226"/>
      <c r="K40" s="2226"/>
      <c r="L40" s="18"/>
      <c r="M40" s="13"/>
      <c r="N40" s="1"/>
    </row>
    <row r="41" spans="2:16" x14ac:dyDescent="0.25">
      <c r="B41" s="1"/>
      <c r="C41" s="33"/>
      <c r="D41" s="303"/>
      <c r="E41" s="303" t="s">
        <v>25</v>
      </c>
      <c r="F41" s="2227"/>
      <c r="G41" s="2228"/>
      <c r="H41" s="2229"/>
      <c r="I41" s="2230"/>
      <c r="J41" s="2231"/>
      <c r="K41" s="2232"/>
      <c r="L41" s="18"/>
      <c r="M41" s="13"/>
      <c r="N41" s="1"/>
    </row>
    <row r="42" spans="2:16" x14ac:dyDescent="0.25">
      <c r="B42" s="1"/>
      <c r="C42" s="33"/>
      <c r="D42" s="303"/>
      <c r="E42" s="303" t="s">
        <v>26</v>
      </c>
      <c r="F42" s="2227"/>
      <c r="G42" s="2228"/>
      <c r="H42" s="2229"/>
      <c r="I42" s="2230"/>
      <c r="J42" s="2231"/>
      <c r="K42" s="2232"/>
      <c r="L42" s="18"/>
      <c r="M42" s="13"/>
      <c r="N42" s="1"/>
    </row>
    <row r="43" spans="2:16" x14ac:dyDescent="0.25">
      <c r="B43" s="1"/>
      <c r="C43" s="33">
        <v>2044</v>
      </c>
      <c r="D43" s="303">
        <v>2044</v>
      </c>
      <c r="E43" s="303" t="s">
        <v>27</v>
      </c>
      <c r="F43" s="2224" t="s">
        <v>28</v>
      </c>
      <c r="G43" s="2224"/>
      <c r="H43" s="2225"/>
      <c r="I43" s="2225"/>
      <c r="J43" s="2226"/>
      <c r="K43" s="2226"/>
      <c r="L43" s="18"/>
      <c r="M43" s="13"/>
      <c r="N43" s="1"/>
    </row>
    <row r="44" spans="2:16" x14ac:dyDescent="0.25">
      <c r="B44" s="1"/>
      <c r="C44" s="2219" t="s">
        <v>24</v>
      </c>
      <c r="D44" s="2220"/>
      <c r="E44" s="2220"/>
      <c r="F44" s="2220"/>
      <c r="G44" s="2221"/>
      <c r="H44" s="2222">
        <f>SUM(H40:H43)</f>
        <v>0</v>
      </c>
      <c r="I44" s="2223"/>
      <c r="J44" s="3"/>
      <c r="K44" s="3"/>
      <c r="L44" s="18"/>
      <c r="M44" s="13"/>
      <c r="N44" s="1"/>
    </row>
    <row r="45" spans="2:16" x14ac:dyDescent="0.25">
      <c r="B45" s="1"/>
      <c r="C45" s="17"/>
      <c r="D45" s="18"/>
      <c r="E45" s="18"/>
      <c r="F45" s="18"/>
      <c r="G45" s="18"/>
      <c r="H45" s="18"/>
      <c r="I45" s="18"/>
      <c r="J45" s="18"/>
      <c r="K45" s="18"/>
      <c r="L45" s="18"/>
      <c r="M45" s="13"/>
    </row>
  </sheetData>
  <mergeCells count="44">
    <mergeCell ref="F41:G41"/>
    <mergeCell ref="H41:I41"/>
    <mergeCell ref="J41:K41"/>
    <mergeCell ref="C44:G44"/>
    <mergeCell ref="H44:I44"/>
    <mergeCell ref="F42:G42"/>
    <mergeCell ref="H42:I42"/>
    <mergeCell ref="J42:K42"/>
    <mergeCell ref="F43:G43"/>
    <mergeCell ref="H43:I43"/>
    <mergeCell ref="J43:K43"/>
    <mergeCell ref="C23:J23"/>
    <mergeCell ref="K23:L23"/>
    <mergeCell ref="F40:G40"/>
    <mergeCell ref="H40:I40"/>
    <mergeCell ref="J40:K40"/>
    <mergeCell ref="K26:L26"/>
    <mergeCell ref="F39:G39"/>
    <mergeCell ref="H39:I39"/>
    <mergeCell ref="J39:K39"/>
    <mergeCell ref="K24:L24"/>
    <mergeCell ref="C25:J25"/>
    <mergeCell ref="K25:L25"/>
    <mergeCell ref="K9:M9"/>
    <mergeCell ref="K11:L11"/>
    <mergeCell ref="C12:J12"/>
    <mergeCell ref="K12:L12"/>
    <mergeCell ref="C13:J13"/>
    <mergeCell ref="K13:L13"/>
    <mergeCell ref="C14:J14"/>
    <mergeCell ref="K14:L14"/>
    <mergeCell ref="K21:L21"/>
    <mergeCell ref="C22:J22"/>
    <mergeCell ref="K22:L22"/>
    <mergeCell ref="C15:J15"/>
    <mergeCell ref="K15:L15"/>
    <mergeCell ref="K16:L16"/>
    <mergeCell ref="K20:L20"/>
    <mergeCell ref="C21:J21"/>
    <mergeCell ref="C3:M4"/>
    <mergeCell ref="C5:M5"/>
    <mergeCell ref="C6:M6"/>
    <mergeCell ref="C7:G7"/>
    <mergeCell ref="C8:G8"/>
  </mergeCells>
  <pageMargins left="0.7" right="0.7" top="0.93" bottom="0.75" header="0.3" footer="0.3"/>
  <pageSetup scale="93" fitToHeight="0" orientation="portrait" r:id="rId1"/>
  <headerFooter>
    <oddHeader>&amp;L&amp;G&amp;R&amp;"Arial,Negrita"Direccion de Operacion&amp;"Arial,Normal"
Subdireccion de Energeticos
Subgerencia Regional de Energeticos</oddHeader>
  </headerFooter>
  <drawing r:id="rId2"/>
  <legacyDrawingHF r:id="rId3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L81"/>
  <sheetViews>
    <sheetView workbookViewId="0"/>
  </sheetViews>
  <sheetFormatPr baseColWidth="10" defaultColWidth="11" defaultRowHeight="14.25" x14ac:dyDescent="0.2"/>
  <cols>
    <col min="1" max="1" width="11" style="2"/>
    <col min="2" max="2" width="3.875" style="2" bestFit="1" customWidth="1"/>
    <col min="3" max="3" width="16.125" style="2" customWidth="1"/>
    <col min="4" max="4" width="12.375" style="2" bestFit="1" customWidth="1"/>
    <col min="5" max="5" width="12.125" style="2" bestFit="1" customWidth="1"/>
    <col min="6" max="6" width="17.125" style="2" bestFit="1" customWidth="1"/>
    <col min="7" max="7" width="13.125" style="2" bestFit="1" customWidth="1"/>
    <col min="8" max="8" width="12.125" style="2" bestFit="1" customWidth="1"/>
    <col min="9" max="9" width="11.125" style="2" bestFit="1" customWidth="1"/>
    <col min="10" max="10" width="11.875" style="2" bestFit="1" customWidth="1"/>
    <col min="11" max="11" width="11.625" style="2" bestFit="1" customWidth="1"/>
    <col min="12" max="12" width="12.125" style="2" customWidth="1"/>
    <col min="13" max="13" width="11.625" style="2" bestFit="1" customWidth="1"/>
    <col min="14" max="14" width="9" style="1" customWidth="1"/>
    <col min="15" max="15" width="10.375" style="2" customWidth="1"/>
    <col min="16" max="25" width="11" style="2"/>
    <col min="26" max="32" width="10.875" customWidth="1"/>
    <col min="33" max="16384" width="11" style="2"/>
  </cols>
  <sheetData>
    <row r="2" spans="2:25" x14ac:dyDescent="0.2"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2:25" ht="15" customHeight="1" x14ac:dyDescent="0.2">
      <c r="B3" s="1"/>
      <c r="C3" s="2254" t="s">
        <v>0</v>
      </c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</row>
    <row r="4" spans="2:25" ht="15" customHeight="1" x14ac:dyDescent="0.2"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</row>
    <row r="5" spans="2:25" x14ac:dyDescent="0.2">
      <c r="B5" s="1"/>
      <c r="C5" s="2257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</row>
    <row r="6" spans="2:25" x14ac:dyDescent="0.2">
      <c r="B6" s="1"/>
      <c r="C6" s="2257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</row>
    <row r="7" spans="2:25" x14ac:dyDescent="0.2">
      <c r="B7" s="1"/>
      <c r="C7" s="516"/>
      <c r="D7" s="516"/>
      <c r="E7" s="516"/>
      <c r="F7" s="516"/>
      <c r="G7" s="2271">
        <v>41487</v>
      </c>
      <c r="H7" s="2257"/>
      <c r="I7" s="516"/>
      <c r="J7" s="516"/>
      <c r="K7" s="516"/>
      <c r="L7" s="516"/>
      <c r="M7" s="516"/>
      <c r="N7" s="18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2:25" x14ac:dyDescent="0.2">
      <c r="B8" s="1"/>
      <c r="C8" s="516"/>
      <c r="D8" s="516"/>
      <c r="E8" s="516"/>
      <c r="F8" s="516"/>
      <c r="G8" s="516"/>
      <c r="H8" s="516"/>
      <c r="I8" s="516"/>
      <c r="J8" s="516"/>
      <c r="K8" s="516"/>
      <c r="L8" s="516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2:25" ht="25.5" x14ac:dyDescent="0.2">
      <c r="B9" s="1"/>
      <c r="C9" s="2272" t="s">
        <v>6</v>
      </c>
      <c r="D9" s="2272"/>
      <c r="E9" s="517" t="s">
        <v>94</v>
      </c>
      <c r="F9" s="517" t="s">
        <v>126</v>
      </c>
      <c r="G9" s="410" t="s">
        <v>133</v>
      </c>
      <c r="H9" s="517" t="s">
        <v>127</v>
      </c>
      <c r="I9" s="517" t="s">
        <v>128</v>
      </c>
      <c r="J9" s="516"/>
      <c r="K9" s="516"/>
      <c r="L9" s="516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2:25" x14ac:dyDescent="0.2">
      <c r="B10" s="1"/>
      <c r="C10" s="2270" t="s">
        <v>131</v>
      </c>
      <c r="D10" s="2270"/>
      <c r="E10" s="433">
        <f>IF(C15=0,D15,C15)</f>
        <v>2858173.9600000004</v>
      </c>
      <c r="F10" s="407">
        <f>E10*0.16</f>
        <v>457307.83360000007</v>
      </c>
      <c r="G10" s="407">
        <f>E10+F10</f>
        <v>3315481.7936000004</v>
      </c>
      <c r="H10" s="408">
        <v>2</v>
      </c>
      <c r="I10" s="411">
        <v>12.784599999999999</v>
      </c>
      <c r="J10" s="516"/>
      <c r="K10" s="516"/>
      <c r="L10" s="516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2:25" x14ac:dyDescent="0.2">
      <c r="B11" s="1"/>
      <c r="C11" s="2270" t="s">
        <v>132</v>
      </c>
      <c r="D11" s="2270"/>
      <c r="E11" s="433">
        <f>IF(C16=0,D16,C16)</f>
        <v>0</v>
      </c>
      <c r="F11" s="407">
        <f>E11*0.16</f>
        <v>0</v>
      </c>
      <c r="G11" s="407">
        <f>E11+F11</f>
        <v>0</v>
      </c>
      <c r="H11" s="408">
        <v>2</v>
      </c>
      <c r="I11" s="411">
        <v>12.784599999999999</v>
      </c>
      <c r="J11" s="516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2:25" x14ac:dyDescent="0.2">
      <c r="B12" s="1"/>
      <c r="C12" s="516"/>
      <c r="D12" s="516"/>
      <c r="E12" s="516"/>
      <c r="F12" s="516"/>
      <c r="G12" s="516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2:25" ht="15" thickBot="1" x14ac:dyDescent="0.25">
      <c r="B13" s="1"/>
      <c r="C13" s="516"/>
      <c r="D13" s="516"/>
      <c r="E13" s="516"/>
      <c r="F13" s="516"/>
      <c r="G13" s="516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2:25" x14ac:dyDescent="0.2">
      <c r="B14" s="1"/>
      <c r="C14" s="440" t="s">
        <v>155</v>
      </c>
      <c r="D14" s="441" t="s">
        <v>156</v>
      </c>
      <c r="E14" s="442" t="s">
        <v>112</v>
      </c>
      <c r="F14" s="516"/>
      <c r="G14" s="516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2:25" x14ac:dyDescent="0.2">
      <c r="B15" s="1"/>
      <c r="C15" s="443"/>
      <c r="D15" s="444">
        <f>D80</f>
        <v>2858173.9600000004</v>
      </c>
      <c r="E15" s="445">
        <f>C15-D15</f>
        <v>-2858173.9600000004</v>
      </c>
      <c r="F15" s="516"/>
      <c r="G15" s="516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2:25" ht="15" thickBot="1" x14ac:dyDescent="0.25">
      <c r="B16" s="1"/>
      <c r="C16" s="446"/>
      <c r="D16" s="447">
        <f>ROUND(G80,2)</f>
        <v>0</v>
      </c>
      <c r="E16" s="448">
        <f>C16-D16</f>
        <v>0</v>
      </c>
      <c r="F16" s="516"/>
      <c r="G16" s="516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2:25" x14ac:dyDescent="0.2">
      <c r="B17" s="1"/>
      <c r="C17" s="516"/>
      <c r="D17" s="516"/>
      <c r="E17" s="516"/>
      <c r="F17" s="516"/>
      <c r="G17" s="516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2:25" x14ac:dyDescent="0.2">
      <c r="B18" s="1"/>
      <c r="C18" s="516"/>
      <c r="D18" s="516"/>
      <c r="E18" s="516"/>
      <c r="F18" s="516"/>
      <c r="G18" s="516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2:25" x14ac:dyDescent="0.2">
      <c r="B19" s="1"/>
      <c r="C19" s="516"/>
      <c r="D19" s="516"/>
      <c r="E19" s="516"/>
      <c r="F19" s="516"/>
      <c r="G19" s="516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2:25" x14ac:dyDescent="0.2">
      <c r="B20" s="1"/>
      <c r="C20" s="516"/>
      <c r="D20" s="516"/>
      <c r="E20" s="516"/>
      <c r="F20" s="516"/>
      <c r="G20" s="516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2:25" x14ac:dyDescent="0.2">
      <c r="B21" s="1"/>
      <c r="C21" s="516"/>
      <c r="D21" s="516"/>
      <c r="E21" s="516"/>
      <c r="F21" s="516"/>
      <c r="G21" s="516"/>
      <c r="H21" s="1"/>
      <c r="I21" s="1"/>
      <c r="J21" s="1"/>
      <c r="K21" s="1"/>
      <c r="L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2:25" ht="15" thickBot="1" x14ac:dyDescent="0.25">
      <c r="B22" s="1"/>
      <c r="C22" s="419" t="s">
        <v>137</v>
      </c>
      <c r="D22" s="516" t="s">
        <v>138</v>
      </c>
      <c r="E22" s="516"/>
      <c r="F22" s="516" t="s">
        <v>139</v>
      </c>
      <c r="G22" s="516" t="s">
        <v>157</v>
      </c>
      <c r="H22" s="516" t="s">
        <v>143</v>
      </c>
      <c r="I22" s="516" t="s">
        <v>142</v>
      </c>
      <c r="J22" s="516" t="s">
        <v>141</v>
      </c>
      <c r="K22" s="516" t="s">
        <v>140</v>
      </c>
      <c r="L22" s="516" t="s">
        <v>144</v>
      </c>
      <c r="M22" s="516" t="s">
        <v>146</v>
      </c>
      <c r="N22" s="516"/>
      <c r="O22" s="516"/>
      <c r="P22" s="516"/>
      <c r="Q22" s="1"/>
      <c r="R22" s="1"/>
      <c r="S22" s="1"/>
      <c r="T22" s="1"/>
      <c r="U22" s="1"/>
      <c r="V22" s="1"/>
      <c r="W22" s="1"/>
      <c r="X22" s="1"/>
      <c r="Y22" s="1"/>
    </row>
    <row r="23" spans="2:25" ht="36.75" customHeight="1" x14ac:dyDescent="0.2">
      <c r="B23" s="1"/>
      <c r="C23" s="402" t="s">
        <v>134</v>
      </c>
      <c r="D23" s="2261" t="s">
        <v>135</v>
      </c>
      <c r="E23" s="2262"/>
      <c r="F23" s="518" t="s">
        <v>136</v>
      </c>
      <c r="G23" s="461" t="s">
        <v>153</v>
      </c>
      <c r="H23" s="420" t="s">
        <v>129</v>
      </c>
      <c r="I23" s="403" t="s">
        <v>130</v>
      </c>
      <c r="J23" s="422"/>
      <c r="K23" s="422"/>
      <c r="L23" s="422"/>
      <c r="M23" s="404" t="s">
        <v>158</v>
      </c>
      <c r="N23" s="516"/>
      <c r="O23" s="516"/>
      <c r="P23" s="516"/>
      <c r="Q23" s="516"/>
      <c r="R23" s="516"/>
      <c r="S23" s="516"/>
      <c r="T23" s="516"/>
      <c r="U23" s="1"/>
      <c r="V23" s="1"/>
      <c r="W23" s="1"/>
      <c r="X23" s="1"/>
      <c r="Y23" s="1"/>
    </row>
    <row r="24" spans="2:25" x14ac:dyDescent="0.2">
      <c r="B24" s="1"/>
      <c r="C24" s="405">
        <v>850</v>
      </c>
      <c r="D24" s="2263">
        <v>850</v>
      </c>
      <c r="E24" s="2264"/>
      <c r="F24" s="418">
        <v>31482640</v>
      </c>
      <c r="G24" s="462">
        <v>28</v>
      </c>
      <c r="H24" s="460">
        <f>VLOOKUP(C47,Tarifas!D4:H303,3)</f>
        <v>8.2000000000000003E-2</v>
      </c>
      <c r="I24" s="424">
        <f>VLOOKUP(C47,Tarifas!D4:H303,5)</f>
        <v>1E-3</v>
      </c>
      <c r="J24" s="421">
        <v>182.5</v>
      </c>
      <c r="K24" s="421">
        <v>201.4</v>
      </c>
      <c r="L24" s="421"/>
      <c r="M24" s="431">
        <f>E80</f>
        <v>0</v>
      </c>
      <c r="N24" s="430" t="s">
        <v>62</v>
      </c>
      <c r="O24" s="516"/>
      <c r="P24" s="516"/>
      <c r="Q24" s="516"/>
      <c r="R24" s="516"/>
      <c r="S24" s="516"/>
      <c r="T24" s="516"/>
      <c r="U24" s="1"/>
      <c r="V24" s="1"/>
      <c r="W24" s="1"/>
      <c r="X24" s="1"/>
      <c r="Y24" s="1"/>
    </row>
    <row r="25" spans="2:25" x14ac:dyDescent="0.2">
      <c r="B25" s="1"/>
      <c r="C25" s="516"/>
      <c r="D25" s="516"/>
      <c r="E25" s="516"/>
      <c r="F25" s="516"/>
      <c r="G25" s="516"/>
      <c r="H25" s="516"/>
      <c r="I25" s="516"/>
      <c r="J25" s="516"/>
      <c r="K25" s="516"/>
      <c r="L25" s="516"/>
      <c r="M25" s="516"/>
      <c r="N25" s="516"/>
      <c r="O25" s="516"/>
      <c r="P25" s="516"/>
      <c r="Q25" s="516"/>
      <c r="R25" s="516"/>
      <c r="S25" s="1"/>
      <c r="T25" s="1"/>
      <c r="U25" s="1"/>
      <c r="V25" s="1"/>
      <c r="W25" s="1"/>
      <c r="X25" s="1"/>
      <c r="Y25" s="1"/>
    </row>
    <row r="26" spans="2:25" x14ac:dyDescent="0.2">
      <c r="B26" s="1"/>
      <c r="C26" s="516"/>
      <c r="D26" s="516"/>
      <c r="E26" s="516"/>
      <c r="F26" s="516"/>
      <c r="G26" s="516"/>
      <c r="H26" s="516"/>
      <c r="I26" s="516"/>
      <c r="J26" s="516"/>
      <c r="K26" s="516"/>
      <c r="L26" s="516"/>
      <c r="M26" s="516"/>
      <c r="N26" s="516"/>
      <c r="O26" s="516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2:25" x14ac:dyDescent="0.2">
      <c r="B27" s="1"/>
      <c r="C27" s="516"/>
      <c r="D27" s="516"/>
      <c r="E27" s="516"/>
      <c r="F27" s="516"/>
      <c r="G27" s="516"/>
      <c r="H27" s="516"/>
      <c r="I27" s="516"/>
      <c r="J27" s="516"/>
      <c r="K27" s="516"/>
      <c r="L27" s="516"/>
      <c r="M27" s="516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2:25" ht="15" thickBot="1" x14ac:dyDescent="0.25">
      <c r="B28" s="1"/>
      <c r="C28" s="2265" t="s">
        <v>86</v>
      </c>
      <c r="D28" s="2265"/>
      <c r="E28" s="2265"/>
      <c r="F28" s="2265"/>
      <c r="G28" s="519"/>
      <c r="H28" s="334"/>
      <c r="I28" s="334"/>
      <c r="J28" s="334"/>
      <c r="K28" s="519"/>
      <c r="L28" s="336"/>
      <c r="M28" s="336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2:25" ht="22.5" x14ac:dyDescent="0.2">
      <c r="B29" s="1"/>
      <c r="C29" s="337" t="s">
        <v>87</v>
      </c>
      <c r="D29" s="514" t="s">
        <v>88</v>
      </c>
      <c r="E29" s="514" t="s">
        <v>89</v>
      </c>
      <c r="F29" s="514" t="s">
        <v>20</v>
      </c>
      <c r="G29" s="514" t="s">
        <v>160</v>
      </c>
      <c r="H29" s="514" t="s">
        <v>90</v>
      </c>
      <c r="I29" s="514" t="s">
        <v>91</v>
      </c>
      <c r="J29" s="514" t="s">
        <v>92</v>
      </c>
      <c r="K29" s="514" t="s">
        <v>93</v>
      </c>
      <c r="L29" s="514" t="s">
        <v>94</v>
      </c>
      <c r="M29" s="515" t="s">
        <v>95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2:25" x14ac:dyDescent="0.2">
      <c r="B30" s="1"/>
      <c r="C30" s="338"/>
      <c r="D30" s="339">
        <v>1</v>
      </c>
      <c r="E30" s="339" t="s">
        <v>96</v>
      </c>
      <c r="F30" s="340" t="s">
        <v>97</v>
      </c>
      <c r="G30" s="340">
        <v>2201</v>
      </c>
      <c r="H30" s="339">
        <v>20823</v>
      </c>
      <c r="I30" s="341">
        <v>40000</v>
      </c>
      <c r="J30" s="339">
        <v>138.15</v>
      </c>
      <c r="K30" s="342">
        <f>I30/I$35</f>
        <v>4.7058823529411764E-2</v>
      </c>
      <c r="L30" s="343">
        <f>ROUND(K30*E$10,2)</f>
        <v>134502.29999999999</v>
      </c>
      <c r="M30" s="344">
        <f>L30*$I$10</f>
        <v>1719558.1045799998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2:25" x14ac:dyDescent="0.2">
      <c r="B31" s="1"/>
      <c r="C31" s="338"/>
      <c r="D31" s="339">
        <v>2</v>
      </c>
      <c r="E31" s="339" t="s">
        <v>98</v>
      </c>
      <c r="F31" s="340" t="s">
        <v>97</v>
      </c>
      <c r="G31" s="340">
        <v>2201</v>
      </c>
      <c r="H31" s="339">
        <v>20824</v>
      </c>
      <c r="I31" s="341">
        <v>40000</v>
      </c>
      <c r="J31" s="339">
        <v>138.15</v>
      </c>
      <c r="K31" s="342">
        <f>I31/I$35</f>
        <v>4.7058823529411764E-2</v>
      </c>
      <c r="L31" s="343">
        <f>ROUND(K31*E$10,2)</f>
        <v>134502.29999999999</v>
      </c>
      <c r="M31" s="344">
        <f>L31*$I$10</f>
        <v>1719558.1045799998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2:25" x14ac:dyDescent="0.2">
      <c r="B32" s="1"/>
      <c r="C32" s="338"/>
      <c r="D32" s="339">
        <v>1</v>
      </c>
      <c r="E32" s="339" t="s">
        <v>99</v>
      </c>
      <c r="F32" s="340" t="s">
        <v>100</v>
      </c>
      <c r="G32" s="340">
        <v>2230</v>
      </c>
      <c r="H32" s="339">
        <v>22228</v>
      </c>
      <c r="I32" s="341">
        <v>32000</v>
      </c>
      <c r="J32" s="339">
        <v>130.80000000000001</v>
      </c>
      <c r="K32" s="342">
        <f>I32/I$35</f>
        <v>3.7647058823529408E-2</v>
      </c>
      <c r="L32" s="343">
        <f>ROUND(K32*E$10,2)</f>
        <v>107601.84</v>
      </c>
      <c r="M32" s="344">
        <f>L32*$I$10</f>
        <v>1375646.4836639999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2:25" x14ac:dyDescent="0.2">
      <c r="B33" s="1"/>
      <c r="C33" s="338">
        <v>800762390</v>
      </c>
      <c r="D33" s="339">
        <v>1</v>
      </c>
      <c r="E33" s="354" t="s">
        <v>101</v>
      </c>
      <c r="F33" s="463" t="s">
        <v>23</v>
      </c>
      <c r="G33" s="463">
        <v>2044</v>
      </c>
      <c r="H33" s="354">
        <v>591000420</v>
      </c>
      <c r="I33" s="341">
        <v>80000</v>
      </c>
      <c r="J33" s="339"/>
      <c r="K33" s="342">
        <f>I33/I$35</f>
        <v>9.4117647058823528E-2</v>
      </c>
      <c r="L33" s="343">
        <f>ROUND(K33*E$10,2)</f>
        <v>269004.61</v>
      </c>
      <c r="M33" s="344">
        <f>L33*$I$10</f>
        <v>3439116.3370059994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2:25" ht="15" thickBot="1" x14ac:dyDescent="0.25">
      <c r="B34" s="1"/>
      <c r="C34" s="345">
        <v>800642440</v>
      </c>
      <c r="D34" s="346">
        <v>5</v>
      </c>
      <c r="E34" s="347" t="s">
        <v>101</v>
      </c>
      <c r="F34" s="348" t="s">
        <v>159</v>
      </c>
      <c r="G34" s="348">
        <v>2277</v>
      </c>
      <c r="H34" s="347">
        <v>22770</v>
      </c>
      <c r="I34" s="349">
        <f>850000-I30-I31-I32-I33</f>
        <v>658000</v>
      </c>
      <c r="J34" s="346"/>
      <c r="K34" s="350">
        <f>I34/I$35</f>
        <v>0.77411764705882358</v>
      </c>
      <c r="L34" s="351">
        <f>ROUND(K34*E$10,2)</f>
        <v>2212562.9</v>
      </c>
      <c r="M34" s="352">
        <f>L34*$I$10</f>
        <v>28286731.651339997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2:25" x14ac:dyDescent="0.2">
      <c r="B35" s="1"/>
      <c r="C35" s="406">
        <v>3000623</v>
      </c>
      <c r="D35" s="353" t="s">
        <v>102</v>
      </c>
      <c r="E35" s="353"/>
      <c r="F35" s="353"/>
      <c r="G35" s="353"/>
      <c r="H35" s="354"/>
      <c r="I35" s="355">
        <f>SUM(I30:I34)</f>
        <v>850000</v>
      </c>
      <c r="J35" s="353"/>
      <c r="K35" s="356">
        <f>SUM(K30:K34)</f>
        <v>1</v>
      </c>
      <c r="L35" s="357">
        <f>SUM(L30:L34)</f>
        <v>2858173.9499999997</v>
      </c>
      <c r="M35" s="357">
        <f>SUM(M30:M34)</f>
        <v>36540610.681169994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2:25" x14ac:dyDescent="0.2">
      <c r="B36" s="1"/>
      <c r="C36" s="336"/>
      <c r="D36" s="336"/>
      <c r="E36" s="336"/>
      <c r="F36" s="358"/>
      <c r="G36" s="358"/>
      <c r="H36" s="336"/>
      <c r="I36" s="336"/>
      <c r="J36" s="336"/>
      <c r="K36" s="336"/>
      <c r="L36" s="359"/>
      <c r="M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2:25" x14ac:dyDescent="0.2">
      <c r="B37" s="1"/>
      <c r="C37" s="336"/>
      <c r="D37" s="336"/>
      <c r="E37" s="336"/>
      <c r="F37" s="358"/>
      <c r="G37" s="358"/>
      <c r="H37" s="336"/>
      <c r="I37" s="336"/>
      <c r="J37" s="336"/>
      <c r="K37" s="336"/>
      <c r="L37" s="359"/>
      <c r="M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2:25" x14ac:dyDescent="0.2">
      <c r="B38" s="1"/>
      <c r="C38" s="336"/>
      <c r="D38" s="336"/>
      <c r="E38" s="336"/>
      <c r="F38" s="358"/>
      <c r="G38" s="358"/>
      <c r="H38" s="336"/>
      <c r="I38" s="336"/>
      <c r="J38" s="336"/>
      <c r="K38" s="336"/>
      <c r="L38" s="359"/>
      <c r="M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2:25" ht="15" thickBot="1" x14ac:dyDescent="0.25">
      <c r="B39" s="1"/>
      <c r="C39" s="2266" t="s">
        <v>103</v>
      </c>
      <c r="D39" s="2266"/>
      <c r="E39" s="2266"/>
      <c r="F39" s="2266"/>
      <c r="G39" s="519"/>
      <c r="H39" s="334"/>
      <c r="I39" s="334"/>
      <c r="J39" s="334"/>
      <c r="K39" s="336"/>
      <c r="L39" s="336"/>
      <c r="M39" s="360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2:25" ht="22.5" x14ac:dyDescent="0.2">
      <c r="B40" s="1"/>
      <c r="C40" s="337" t="s">
        <v>87</v>
      </c>
      <c r="D40" s="514" t="s">
        <v>88</v>
      </c>
      <c r="E40" s="514" t="s">
        <v>89</v>
      </c>
      <c r="F40" s="514" t="s">
        <v>20</v>
      </c>
      <c r="G40" s="514"/>
      <c r="H40" s="514" t="s">
        <v>90</v>
      </c>
      <c r="I40" s="514" t="s">
        <v>104</v>
      </c>
      <c r="J40" s="514" t="s">
        <v>93</v>
      </c>
      <c r="K40" s="514" t="s">
        <v>92</v>
      </c>
      <c r="L40" s="514" t="s">
        <v>94</v>
      </c>
      <c r="M40" s="515" t="s">
        <v>95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2:25" x14ac:dyDescent="0.2">
      <c r="B41" s="1"/>
      <c r="C41" s="338"/>
      <c r="D41" s="339">
        <v>1</v>
      </c>
      <c r="E41" s="339" t="s">
        <v>96</v>
      </c>
      <c r="F41" s="340" t="s">
        <v>97</v>
      </c>
      <c r="G41" s="340"/>
      <c r="H41" s="339">
        <v>20823</v>
      </c>
      <c r="I41" s="341">
        <f>M80</f>
        <v>0</v>
      </c>
      <c r="J41" s="342" t="e">
        <f>I41/I$45</f>
        <v>#DIV/0!</v>
      </c>
      <c r="K41" s="339">
        <v>138.15</v>
      </c>
      <c r="L41" s="343" t="e">
        <f>ROUND(J41*$E$11,2)</f>
        <v>#DIV/0!</v>
      </c>
      <c r="M41" s="344" t="e">
        <f>L41*L24</f>
        <v>#DIV/0!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2:25" x14ac:dyDescent="0.2">
      <c r="B42" s="1"/>
      <c r="C42" s="338"/>
      <c r="D42" s="339">
        <v>2</v>
      </c>
      <c r="E42" s="339" t="s">
        <v>98</v>
      </c>
      <c r="F42" s="340" t="s">
        <v>97</v>
      </c>
      <c r="G42" s="340"/>
      <c r="H42" s="339">
        <v>20824</v>
      </c>
      <c r="I42" s="341">
        <f>N80</f>
        <v>0</v>
      </c>
      <c r="J42" s="342" t="e">
        <f>I42/I$45</f>
        <v>#DIV/0!</v>
      </c>
      <c r="K42" s="339">
        <v>138.15</v>
      </c>
      <c r="L42" s="343" t="e">
        <f>ROUND(J42*$E$11,2)</f>
        <v>#DIV/0!</v>
      </c>
      <c r="M42" s="344" t="e">
        <f>L42*L25</f>
        <v>#DIV/0!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2:25" x14ac:dyDescent="0.2">
      <c r="B43" s="1"/>
      <c r="C43" s="338"/>
      <c r="D43" s="339">
        <v>1</v>
      </c>
      <c r="E43" s="339" t="s">
        <v>99</v>
      </c>
      <c r="F43" s="340" t="s">
        <v>100</v>
      </c>
      <c r="G43" s="340"/>
      <c r="H43" s="339">
        <v>22228</v>
      </c>
      <c r="I43" s="341">
        <f>O80</f>
        <v>0</v>
      </c>
      <c r="J43" s="342" t="e">
        <f>I43/I$45</f>
        <v>#DIV/0!</v>
      </c>
      <c r="K43" s="339">
        <v>130.80000000000001</v>
      </c>
      <c r="L43" s="343" t="e">
        <f>ROUND(J43*$E$11,2)</f>
        <v>#DIV/0!</v>
      </c>
      <c r="M43" s="344" t="e">
        <f>L43*L26</f>
        <v>#DIV/0!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2:25" ht="15" thickBot="1" x14ac:dyDescent="0.25">
      <c r="B44" s="1"/>
      <c r="C44" s="345">
        <v>800762390</v>
      </c>
      <c r="D44" s="346">
        <v>2</v>
      </c>
      <c r="E44" s="347" t="s">
        <v>101</v>
      </c>
      <c r="F44" s="348" t="s">
        <v>23</v>
      </c>
      <c r="G44" s="348"/>
      <c r="H44" s="347"/>
      <c r="I44" s="349">
        <f>L80</f>
        <v>0</v>
      </c>
      <c r="J44" s="350" t="e">
        <f>I44/I$45</f>
        <v>#DIV/0!</v>
      </c>
      <c r="K44" s="346">
        <v>138.15</v>
      </c>
      <c r="L44" s="351" t="e">
        <f>ROUND(J44*$E$11,2)</f>
        <v>#DIV/0!</v>
      </c>
      <c r="M44" s="352" t="e">
        <f>L44*L27</f>
        <v>#DIV/0!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2:25" x14ac:dyDescent="0.2">
      <c r="B45" s="1"/>
      <c r="C45" s="353"/>
      <c r="D45" s="353"/>
      <c r="E45" s="353"/>
      <c r="F45" s="353"/>
      <c r="G45" s="353"/>
      <c r="H45" s="354"/>
      <c r="I45" s="449">
        <f>SUM(I41:I44)</f>
        <v>0</v>
      </c>
      <c r="J45" s="355"/>
      <c r="K45" s="353"/>
      <c r="L45" s="357" t="e">
        <f>SUM(L41:L44)</f>
        <v>#DIV/0!</v>
      </c>
      <c r="M45" s="357" t="e">
        <f>SUM(M41:M44)</f>
        <v>#DIV/0!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2:25" customFormat="1" ht="15" thickBot="1" x14ac:dyDescent="0.25">
      <c r="M46" s="450"/>
      <c r="N46" s="450"/>
      <c r="O46" s="450"/>
      <c r="P46" s="450"/>
      <c r="Q46" s="450"/>
      <c r="R46" s="450"/>
      <c r="S46" s="450"/>
      <c r="T46" s="450"/>
      <c r="U46" s="450"/>
      <c r="V46" s="450"/>
      <c r="W46" s="450"/>
      <c r="X46" s="450"/>
      <c r="Y46" s="450"/>
    </row>
    <row r="47" spans="2:25" ht="15" thickBot="1" x14ac:dyDescent="0.25">
      <c r="B47" s="434" t="s">
        <v>3</v>
      </c>
      <c r="C47" s="333">
        <f>SUMIF(Tarifas!E4:E303,'Agosto - 2013'!C49,Tarifas!D4:D303)</f>
        <v>1</v>
      </c>
      <c r="D47" s="425" t="s">
        <v>147</v>
      </c>
      <c r="E47" s="426" t="s">
        <v>145</v>
      </c>
      <c r="F47" s="426" t="s">
        <v>150</v>
      </c>
      <c r="G47" s="426" t="s">
        <v>148</v>
      </c>
      <c r="H47" s="382"/>
      <c r="I47" s="331" t="s">
        <v>120</v>
      </c>
      <c r="J47" s="332"/>
      <c r="K47" s="332"/>
      <c r="L47" s="364" t="s">
        <v>105</v>
      </c>
      <c r="M47" s="365"/>
      <c r="N47" s="365"/>
      <c r="O47" s="365"/>
      <c r="P47" s="365"/>
      <c r="Q47" s="365"/>
      <c r="R47" s="366"/>
      <c r="S47" s="2267" t="s">
        <v>121</v>
      </c>
      <c r="T47" s="2268"/>
      <c r="U47" s="2268"/>
      <c r="V47" s="2268"/>
      <c r="W47" s="2268"/>
      <c r="X47" s="2268"/>
      <c r="Y47" s="2269"/>
    </row>
    <row r="48" spans="2:25" ht="33.75" x14ac:dyDescent="0.2">
      <c r="C48" s="383" t="s">
        <v>122</v>
      </c>
      <c r="D48" s="384" t="s">
        <v>125</v>
      </c>
      <c r="E48" s="385" t="s">
        <v>149</v>
      </c>
      <c r="F48" s="385" t="s">
        <v>151</v>
      </c>
      <c r="G48" s="385" t="s">
        <v>152</v>
      </c>
      <c r="H48" s="386" t="s">
        <v>123</v>
      </c>
      <c r="I48" s="329" t="s">
        <v>109</v>
      </c>
      <c r="J48" s="330" t="s">
        <v>25</v>
      </c>
      <c r="K48" s="330" t="s">
        <v>26</v>
      </c>
      <c r="L48" s="367" t="s">
        <v>115</v>
      </c>
      <c r="M48" s="362" t="s">
        <v>106</v>
      </c>
      <c r="N48" s="362" t="s">
        <v>107</v>
      </c>
      <c r="O48" s="362" t="s">
        <v>108</v>
      </c>
      <c r="P48" s="362" t="s">
        <v>115</v>
      </c>
      <c r="Q48" s="363" t="s">
        <v>116</v>
      </c>
      <c r="R48" s="368" t="s">
        <v>117</v>
      </c>
      <c r="S48" s="369" t="s">
        <v>110</v>
      </c>
      <c r="T48" s="370" t="s">
        <v>111</v>
      </c>
      <c r="U48" s="370" t="s">
        <v>112</v>
      </c>
      <c r="V48" s="371" t="s">
        <v>118</v>
      </c>
      <c r="W48" s="371" t="s">
        <v>119</v>
      </c>
      <c r="X48" s="371" t="s">
        <v>114</v>
      </c>
      <c r="Y48" s="372" t="s">
        <v>113</v>
      </c>
    </row>
    <row r="49" spans="3:25" x14ac:dyDescent="0.2">
      <c r="C49" s="387">
        <f>G7</f>
        <v>41487</v>
      </c>
      <c r="D49" s="388">
        <f>($F$24*$H$24)/$G$24</f>
        <v>92199.16</v>
      </c>
      <c r="E49" s="389">
        <f>P49+Q49+R49</f>
        <v>0</v>
      </c>
      <c r="F49" s="427">
        <f t="shared" ref="F49:F79" si="0">TRUNC(IFERROR(J$24/K$24,0),8)</f>
        <v>0.90615690000000004</v>
      </c>
      <c r="G49" s="390">
        <f t="shared" ref="G49:G79" si="1">ROUND(I$24*F49*E49,4)</f>
        <v>0</v>
      </c>
      <c r="H49" s="391">
        <f t="shared" ref="H49:H79" si="2">SUM(D49:G49)</f>
        <v>92200.066156900008</v>
      </c>
      <c r="I49" s="324"/>
      <c r="J49" s="325"/>
      <c r="K49" s="325"/>
      <c r="L49" s="317"/>
      <c r="M49" s="318"/>
      <c r="N49" s="318"/>
      <c r="O49" s="318"/>
      <c r="P49" s="389">
        <f>L49</f>
        <v>0</v>
      </c>
      <c r="Q49" s="389">
        <f t="shared" ref="Q49:Q79" si="3">M49+N49</f>
        <v>0</v>
      </c>
      <c r="R49" s="389">
        <f t="shared" ref="R49:R79" si="4">O49</f>
        <v>0</v>
      </c>
      <c r="S49" s="373"/>
      <c r="T49" s="374"/>
      <c r="U49" s="524">
        <f>S49+T49-V49</f>
        <v>0</v>
      </c>
      <c r="V49" s="520">
        <f>I49+J49+K49</f>
        <v>0</v>
      </c>
      <c r="W49" s="524">
        <f>(P49+Q49+R49)*1.055056</f>
        <v>0</v>
      </c>
      <c r="X49" s="520">
        <f>V49-W49</f>
        <v>0</v>
      </c>
      <c r="Y49" s="525">
        <f>AL46+X49</f>
        <v>0</v>
      </c>
    </row>
    <row r="50" spans="3:25" x14ac:dyDescent="0.2">
      <c r="C50" s="387">
        <f t="shared" ref="C50:C79" si="5">C49+1</f>
        <v>41488</v>
      </c>
      <c r="D50" s="388">
        <f t="shared" ref="D50:D79" si="6">($F$24*$H$24)/$G$24</f>
        <v>92199.16</v>
      </c>
      <c r="E50" s="392">
        <f t="shared" ref="E50:E79" si="7">P50+Q50+R50</f>
        <v>0</v>
      </c>
      <c r="F50" s="428">
        <f t="shared" si="0"/>
        <v>0.90615690000000004</v>
      </c>
      <c r="G50" s="390">
        <f t="shared" si="1"/>
        <v>0</v>
      </c>
      <c r="H50" s="391">
        <f t="shared" si="2"/>
        <v>92200.066156900008</v>
      </c>
      <c r="I50" s="324"/>
      <c r="J50" s="325"/>
      <c r="K50" s="325"/>
      <c r="L50" s="319"/>
      <c r="M50" s="320"/>
      <c r="N50" s="320"/>
      <c r="O50" s="320"/>
      <c r="P50" s="392">
        <f t="shared" ref="P50:P79" si="8">L50</f>
        <v>0</v>
      </c>
      <c r="Q50" s="392">
        <f t="shared" si="3"/>
        <v>0</v>
      </c>
      <c r="R50" s="392">
        <f t="shared" si="4"/>
        <v>0</v>
      </c>
      <c r="S50" s="373"/>
      <c r="T50" s="374"/>
      <c r="U50" s="524">
        <f t="shared" ref="U50:U79" si="9">S50+T50-V50</f>
        <v>0</v>
      </c>
      <c r="V50" s="520">
        <f t="shared" ref="V50:V79" si="10">I50+J50+K50</f>
        <v>0</v>
      </c>
      <c r="W50" s="524">
        <f t="shared" ref="W50:W79" si="11">(P50+Q50+R50)*1.055056</f>
        <v>0</v>
      </c>
      <c r="X50" s="520">
        <f t="shared" ref="X50:X79" si="12">V50-W50</f>
        <v>0</v>
      </c>
      <c r="Y50" s="525">
        <f>Y49+X50</f>
        <v>0</v>
      </c>
    </row>
    <row r="51" spans="3:25" x14ac:dyDescent="0.2">
      <c r="C51" s="387">
        <f t="shared" si="5"/>
        <v>41489</v>
      </c>
      <c r="D51" s="388">
        <f t="shared" si="6"/>
        <v>92199.16</v>
      </c>
      <c r="E51" s="392">
        <f t="shared" si="7"/>
        <v>0</v>
      </c>
      <c r="F51" s="428">
        <f t="shared" si="0"/>
        <v>0.90615690000000004</v>
      </c>
      <c r="G51" s="390">
        <f t="shared" si="1"/>
        <v>0</v>
      </c>
      <c r="H51" s="391">
        <f t="shared" si="2"/>
        <v>92200.066156900008</v>
      </c>
      <c r="I51" s="324"/>
      <c r="J51" s="325"/>
      <c r="K51" s="325"/>
      <c r="L51" s="317"/>
      <c r="M51" s="318"/>
      <c r="N51" s="318"/>
      <c r="O51" s="318"/>
      <c r="P51" s="392">
        <f t="shared" si="8"/>
        <v>0</v>
      </c>
      <c r="Q51" s="392">
        <f t="shared" si="3"/>
        <v>0</v>
      </c>
      <c r="R51" s="392">
        <f t="shared" si="4"/>
        <v>0</v>
      </c>
      <c r="S51" s="373"/>
      <c r="T51" s="374"/>
      <c r="U51" s="524">
        <f t="shared" si="9"/>
        <v>0</v>
      </c>
      <c r="V51" s="520">
        <f t="shared" si="10"/>
        <v>0</v>
      </c>
      <c r="W51" s="524">
        <f t="shared" si="11"/>
        <v>0</v>
      </c>
      <c r="X51" s="520">
        <f t="shared" si="12"/>
        <v>0</v>
      </c>
      <c r="Y51" s="525">
        <f t="shared" ref="Y51:Y79" si="13">Y50+X51</f>
        <v>0</v>
      </c>
    </row>
    <row r="52" spans="3:25" x14ac:dyDescent="0.2">
      <c r="C52" s="387">
        <f t="shared" si="5"/>
        <v>41490</v>
      </c>
      <c r="D52" s="388">
        <f t="shared" si="6"/>
        <v>92199.16</v>
      </c>
      <c r="E52" s="392">
        <f t="shared" si="7"/>
        <v>0</v>
      </c>
      <c r="F52" s="428">
        <f t="shared" si="0"/>
        <v>0.90615690000000004</v>
      </c>
      <c r="G52" s="390">
        <f t="shared" si="1"/>
        <v>0</v>
      </c>
      <c r="H52" s="391">
        <f t="shared" si="2"/>
        <v>92200.066156900008</v>
      </c>
      <c r="I52" s="324"/>
      <c r="J52" s="325"/>
      <c r="K52" s="325"/>
      <c r="L52" s="319"/>
      <c r="M52" s="320"/>
      <c r="N52" s="320"/>
      <c r="O52" s="320"/>
      <c r="P52" s="392">
        <f t="shared" si="8"/>
        <v>0</v>
      </c>
      <c r="Q52" s="392">
        <f t="shared" si="3"/>
        <v>0</v>
      </c>
      <c r="R52" s="392">
        <f t="shared" si="4"/>
        <v>0</v>
      </c>
      <c r="S52" s="373"/>
      <c r="T52" s="374"/>
      <c r="U52" s="524">
        <f t="shared" si="9"/>
        <v>0</v>
      </c>
      <c r="V52" s="520">
        <f t="shared" si="10"/>
        <v>0</v>
      </c>
      <c r="W52" s="524">
        <f t="shared" si="11"/>
        <v>0</v>
      </c>
      <c r="X52" s="520">
        <f t="shared" si="12"/>
        <v>0</v>
      </c>
      <c r="Y52" s="525">
        <f t="shared" si="13"/>
        <v>0</v>
      </c>
    </row>
    <row r="53" spans="3:25" x14ac:dyDescent="0.2">
      <c r="C53" s="387">
        <f t="shared" si="5"/>
        <v>41491</v>
      </c>
      <c r="D53" s="388">
        <f t="shared" si="6"/>
        <v>92199.16</v>
      </c>
      <c r="E53" s="392">
        <f t="shared" si="7"/>
        <v>0</v>
      </c>
      <c r="F53" s="428">
        <f t="shared" si="0"/>
        <v>0.90615690000000004</v>
      </c>
      <c r="G53" s="390">
        <f t="shared" si="1"/>
        <v>0</v>
      </c>
      <c r="H53" s="391">
        <f t="shared" si="2"/>
        <v>92200.066156900008</v>
      </c>
      <c r="I53" s="324"/>
      <c r="J53" s="325"/>
      <c r="K53" s="325"/>
      <c r="L53" s="317"/>
      <c r="M53" s="318"/>
      <c r="N53" s="318"/>
      <c r="O53" s="318"/>
      <c r="P53" s="392">
        <f t="shared" si="8"/>
        <v>0</v>
      </c>
      <c r="Q53" s="392">
        <f t="shared" si="3"/>
        <v>0</v>
      </c>
      <c r="R53" s="392">
        <f t="shared" si="4"/>
        <v>0</v>
      </c>
      <c r="S53" s="373"/>
      <c r="T53" s="374"/>
      <c r="U53" s="524">
        <f t="shared" si="9"/>
        <v>0</v>
      </c>
      <c r="V53" s="520">
        <f t="shared" si="10"/>
        <v>0</v>
      </c>
      <c r="W53" s="524">
        <f t="shared" si="11"/>
        <v>0</v>
      </c>
      <c r="X53" s="520">
        <f t="shared" si="12"/>
        <v>0</v>
      </c>
      <c r="Y53" s="525">
        <f t="shared" si="13"/>
        <v>0</v>
      </c>
    </row>
    <row r="54" spans="3:25" x14ac:dyDescent="0.2">
      <c r="C54" s="387">
        <f t="shared" si="5"/>
        <v>41492</v>
      </c>
      <c r="D54" s="388">
        <f t="shared" si="6"/>
        <v>92199.16</v>
      </c>
      <c r="E54" s="392">
        <f t="shared" si="7"/>
        <v>0</v>
      </c>
      <c r="F54" s="428">
        <f t="shared" si="0"/>
        <v>0.90615690000000004</v>
      </c>
      <c r="G54" s="390">
        <f t="shared" si="1"/>
        <v>0</v>
      </c>
      <c r="H54" s="391">
        <f t="shared" si="2"/>
        <v>92200.066156900008</v>
      </c>
      <c r="I54" s="324"/>
      <c r="J54" s="325"/>
      <c r="K54" s="325"/>
      <c r="L54" s="319"/>
      <c r="M54" s="320"/>
      <c r="N54" s="320"/>
      <c r="O54" s="320"/>
      <c r="P54" s="392">
        <f t="shared" si="8"/>
        <v>0</v>
      </c>
      <c r="Q54" s="392">
        <f t="shared" si="3"/>
        <v>0</v>
      </c>
      <c r="R54" s="392">
        <f t="shared" si="4"/>
        <v>0</v>
      </c>
      <c r="S54" s="373"/>
      <c r="T54" s="374"/>
      <c r="U54" s="524">
        <f t="shared" si="9"/>
        <v>0</v>
      </c>
      <c r="V54" s="520">
        <f t="shared" si="10"/>
        <v>0</v>
      </c>
      <c r="W54" s="524">
        <f t="shared" si="11"/>
        <v>0</v>
      </c>
      <c r="X54" s="520">
        <f t="shared" si="12"/>
        <v>0</v>
      </c>
      <c r="Y54" s="525">
        <f t="shared" si="13"/>
        <v>0</v>
      </c>
    </row>
    <row r="55" spans="3:25" x14ac:dyDescent="0.2">
      <c r="C55" s="387">
        <f t="shared" si="5"/>
        <v>41493</v>
      </c>
      <c r="D55" s="388">
        <f t="shared" si="6"/>
        <v>92199.16</v>
      </c>
      <c r="E55" s="392">
        <f t="shared" si="7"/>
        <v>0</v>
      </c>
      <c r="F55" s="428">
        <f t="shared" si="0"/>
        <v>0.90615690000000004</v>
      </c>
      <c r="G55" s="390">
        <f t="shared" si="1"/>
        <v>0</v>
      </c>
      <c r="H55" s="391">
        <f t="shared" si="2"/>
        <v>92200.066156900008</v>
      </c>
      <c r="I55" s="324"/>
      <c r="J55" s="325"/>
      <c r="K55" s="325"/>
      <c r="L55" s="317"/>
      <c r="M55" s="318"/>
      <c r="N55" s="318"/>
      <c r="O55" s="318"/>
      <c r="P55" s="392">
        <f t="shared" si="8"/>
        <v>0</v>
      </c>
      <c r="Q55" s="392">
        <f t="shared" si="3"/>
        <v>0</v>
      </c>
      <c r="R55" s="392">
        <f t="shared" si="4"/>
        <v>0</v>
      </c>
      <c r="S55" s="373"/>
      <c r="T55" s="374"/>
      <c r="U55" s="524">
        <f t="shared" si="9"/>
        <v>0</v>
      </c>
      <c r="V55" s="520">
        <f t="shared" si="10"/>
        <v>0</v>
      </c>
      <c r="W55" s="524">
        <f t="shared" si="11"/>
        <v>0</v>
      </c>
      <c r="X55" s="520">
        <f t="shared" si="12"/>
        <v>0</v>
      </c>
      <c r="Y55" s="525">
        <f t="shared" si="13"/>
        <v>0</v>
      </c>
    </row>
    <row r="56" spans="3:25" x14ac:dyDescent="0.2">
      <c r="C56" s="387">
        <f t="shared" si="5"/>
        <v>41494</v>
      </c>
      <c r="D56" s="388">
        <f t="shared" si="6"/>
        <v>92199.16</v>
      </c>
      <c r="E56" s="392">
        <f t="shared" si="7"/>
        <v>0</v>
      </c>
      <c r="F56" s="428">
        <f t="shared" si="0"/>
        <v>0.90615690000000004</v>
      </c>
      <c r="G56" s="390">
        <f t="shared" si="1"/>
        <v>0</v>
      </c>
      <c r="H56" s="391">
        <f t="shared" si="2"/>
        <v>92200.066156900008</v>
      </c>
      <c r="I56" s="324"/>
      <c r="J56" s="325"/>
      <c r="K56" s="325"/>
      <c r="L56" s="319"/>
      <c r="M56" s="320"/>
      <c r="N56" s="320"/>
      <c r="O56" s="320"/>
      <c r="P56" s="392">
        <f t="shared" si="8"/>
        <v>0</v>
      </c>
      <c r="Q56" s="392">
        <f t="shared" si="3"/>
        <v>0</v>
      </c>
      <c r="R56" s="392">
        <f t="shared" si="4"/>
        <v>0</v>
      </c>
      <c r="S56" s="373"/>
      <c r="T56" s="374"/>
      <c r="U56" s="524">
        <f t="shared" si="9"/>
        <v>0</v>
      </c>
      <c r="V56" s="520">
        <f t="shared" si="10"/>
        <v>0</v>
      </c>
      <c r="W56" s="524">
        <f t="shared" si="11"/>
        <v>0</v>
      </c>
      <c r="X56" s="520">
        <f t="shared" si="12"/>
        <v>0</v>
      </c>
      <c r="Y56" s="525">
        <f t="shared" si="13"/>
        <v>0</v>
      </c>
    </row>
    <row r="57" spans="3:25" x14ac:dyDescent="0.2">
      <c r="C57" s="387">
        <f t="shared" si="5"/>
        <v>41495</v>
      </c>
      <c r="D57" s="388">
        <f t="shared" si="6"/>
        <v>92199.16</v>
      </c>
      <c r="E57" s="392">
        <f t="shared" si="7"/>
        <v>0</v>
      </c>
      <c r="F57" s="428">
        <f t="shared" si="0"/>
        <v>0.90615690000000004</v>
      </c>
      <c r="G57" s="390">
        <f t="shared" si="1"/>
        <v>0</v>
      </c>
      <c r="H57" s="391">
        <f t="shared" si="2"/>
        <v>92200.066156900008</v>
      </c>
      <c r="I57" s="324"/>
      <c r="J57" s="325"/>
      <c r="K57" s="325"/>
      <c r="L57" s="317"/>
      <c r="M57" s="318"/>
      <c r="N57" s="318"/>
      <c r="O57" s="318"/>
      <c r="P57" s="392">
        <f t="shared" si="8"/>
        <v>0</v>
      </c>
      <c r="Q57" s="392">
        <f t="shared" si="3"/>
        <v>0</v>
      </c>
      <c r="R57" s="392">
        <f t="shared" si="4"/>
        <v>0</v>
      </c>
      <c r="S57" s="373"/>
      <c r="T57" s="374"/>
      <c r="U57" s="524">
        <f t="shared" si="9"/>
        <v>0</v>
      </c>
      <c r="V57" s="520">
        <f t="shared" si="10"/>
        <v>0</v>
      </c>
      <c r="W57" s="524">
        <f t="shared" si="11"/>
        <v>0</v>
      </c>
      <c r="X57" s="520">
        <f t="shared" si="12"/>
        <v>0</v>
      </c>
      <c r="Y57" s="525">
        <f t="shared" si="13"/>
        <v>0</v>
      </c>
    </row>
    <row r="58" spans="3:25" x14ac:dyDescent="0.2">
      <c r="C58" s="387">
        <f t="shared" si="5"/>
        <v>41496</v>
      </c>
      <c r="D58" s="388">
        <f t="shared" si="6"/>
        <v>92199.16</v>
      </c>
      <c r="E58" s="392">
        <f t="shared" si="7"/>
        <v>0</v>
      </c>
      <c r="F58" s="428">
        <f t="shared" si="0"/>
        <v>0.90615690000000004</v>
      </c>
      <c r="G58" s="390">
        <f t="shared" si="1"/>
        <v>0</v>
      </c>
      <c r="H58" s="391">
        <f t="shared" si="2"/>
        <v>92200.066156900008</v>
      </c>
      <c r="I58" s="324"/>
      <c r="J58" s="325"/>
      <c r="K58" s="325"/>
      <c r="L58" s="319"/>
      <c r="M58" s="320"/>
      <c r="N58" s="320"/>
      <c r="O58" s="320"/>
      <c r="P58" s="392">
        <f t="shared" si="8"/>
        <v>0</v>
      </c>
      <c r="Q58" s="392">
        <f t="shared" si="3"/>
        <v>0</v>
      </c>
      <c r="R58" s="392">
        <f t="shared" si="4"/>
        <v>0</v>
      </c>
      <c r="S58" s="373"/>
      <c r="T58" s="374"/>
      <c r="U58" s="524">
        <f t="shared" si="9"/>
        <v>0</v>
      </c>
      <c r="V58" s="520">
        <f t="shared" si="10"/>
        <v>0</v>
      </c>
      <c r="W58" s="524">
        <f t="shared" si="11"/>
        <v>0</v>
      </c>
      <c r="X58" s="520">
        <f t="shared" si="12"/>
        <v>0</v>
      </c>
      <c r="Y58" s="525">
        <f t="shared" si="13"/>
        <v>0</v>
      </c>
    </row>
    <row r="59" spans="3:25" x14ac:dyDescent="0.2">
      <c r="C59" s="387">
        <f t="shared" si="5"/>
        <v>41497</v>
      </c>
      <c r="D59" s="388">
        <f t="shared" si="6"/>
        <v>92199.16</v>
      </c>
      <c r="E59" s="392">
        <f t="shared" si="7"/>
        <v>0</v>
      </c>
      <c r="F59" s="428">
        <f t="shared" si="0"/>
        <v>0.90615690000000004</v>
      </c>
      <c r="G59" s="390">
        <f t="shared" si="1"/>
        <v>0</v>
      </c>
      <c r="H59" s="391">
        <f t="shared" si="2"/>
        <v>92200.066156900008</v>
      </c>
      <c r="I59" s="324"/>
      <c r="J59" s="325"/>
      <c r="K59" s="325"/>
      <c r="L59" s="317"/>
      <c r="M59" s="318"/>
      <c r="N59" s="318"/>
      <c r="O59" s="318"/>
      <c r="P59" s="392">
        <f t="shared" si="8"/>
        <v>0</v>
      </c>
      <c r="Q59" s="392">
        <f t="shared" si="3"/>
        <v>0</v>
      </c>
      <c r="R59" s="392">
        <f t="shared" si="4"/>
        <v>0</v>
      </c>
      <c r="S59" s="373"/>
      <c r="T59" s="374"/>
      <c r="U59" s="524">
        <f t="shared" si="9"/>
        <v>0</v>
      </c>
      <c r="V59" s="520">
        <f t="shared" si="10"/>
        <v>0</v>
      </c>
      <c r="W59" s="524">
        <f t="shared" si="11"/>
        <v>0</v>
      </c>
      <c r="X59" s="520">
        <f t="shared" si="12"/>
        <v>0</v>
      </c>
      <c r="Y59" s="525">
        <f t="shared" si="13"/>
        <v>0</v>
      </c>
    </row>
    <row r="60" spans="3:25" x14ac:dyDescent="0.2">
      <c r="C60" s="387">
        <f t="shared" si="5"/>
        <v>41498</v>
      </c>
      <c r="D60" s="388">
        <f t="shared" si="6"/>
        <v>92199.16</v>
      </c>
      <c r="E60" s="392">
        <f t="shared" si="7"/>
        <v>0</v>
      </c>
      <c r="F60" s="428">
        <f t="shared" si="0"/>
        <v>0.90615690000000004</v>
      </c>
      <c r="G60" s="390">
        <f t="shared" si="1"/>
        <v>0</v>
      </c>
      <c r="H60" s="391">
        <f t="shared" si="2"/>
        <v>92200.066156900008</v>
      </c>
      <c r="I60" s="324"/>
      <c r="J60" s="325"/>
      <c r="K60" s="325"/>
      <c r="L60" s="319"/>
      <c r="M60" s="320"/>
      <c r="N60" s="320"/>
      <c r="O60" s="320"/>
      <c r="P60" s="392">
        <f t="shared" si="8"/>
        <v>0</v>
      </c>
      <c r="Q60" s="392">
        <f t="shared" si="3"/>
        <v>0</v>
      </c>
      <c r="R60" s="392">
        <f t="shared" si="4"/>
        <v>0</v>
      </c>
      <c r="S60" s="373"/>
      <c r="T60" s="374"/>
      <c r="U60" s="524">
        <f t="shared" si="9"/>
        <v>0</v>
      </c>
      <c r="V60" s="520">
        <f t="shared" si="10"/>
        <v>0</v>
      </c>
      <c r="W60" s="524">
        <f t="shared" si="11"/>
        <v>0</v>
      </c>
      <c r="X60" s="520">
        <f t="shared" si="12"/>
        <v>0</v>
      </c>
      <c r="Y60" s="525">
        <f t="shared" si="13"/>
        <v>0</v>
      </c>
    </row>
    <row r="61" spans="3:25" x14ac:dyDescent="0.2">
      <c r="C61" s="387">
        <f t="shared" si="5"/>
        <v>41499</v>
      </c>
      <c r="D61" s="388">
        <f t="shared" si="6"/>
        <v>92199.16</v>
      </c>
      <c r="E61" s="392">
        <f t="shared" si="7"/>
        <v>0</v>
      </c>
      <c r="F61" s="428">
        <f t="shared" si="0"/>
        <v>0.90615690000000004</v>
      </c>
      <c r="G61" s="390">
        <f t="shared" si="1"/>
        <v>0</v>
      </c>
      <c r="H61" s="391">
        <f t="shared" si="2"/>
        <v>92200.066156900008</v>
      </c>
      <c r="I61" s="324"/>
      <c r="J61" s="325"/>
      <c r="K61" s="325"/>
      <c r="L61" s="317"/>
      <c r="M61" s="318"/>
      <c r="N61" s="318"/>
      <c r="O61" s="318"/>
      <c r="P61" s="392">
        <f t="shared" si="8"/>
        <v>0</v>
      </c>
      <c r="Q61" s="392">
        <f t="shared" si="3"/>
        <v>0</v>
      </c>
      <c r="R61" s="392">
        <f t="shared" si="4"/>
        <v>0</v>
      </c>
      <c r="S61" s="373"/>
      <c r="T61" s="374"/>
      <c r="U61" s="524">
        <f t="shared" si="9"/>
        <v>0</v>
      </c>
      <c r="V61" s="520">
        <f t="shared" si="10"/>
        <v>0</v>
      </c>
      <c r="W61" s="524">
        <f t="shared" si="11"/>
        <v>0</v>
      </c>
      <c r="X61" s="520">
        <f t="shared" si="12"/>
        <v>0</v>
      </c>
      <c r="Y61" s="525">
        <f t="shared" si="13"/>
        <v>0</v>
      </c>
    </row>
    <row r="62" spans="3:25" x14ac:dyDescent="0.2">
      <c r="C62" s="387">
        <f t="shared" si="5"/>
        <v>41500</v>
      </c>
      <c r="D62" s="388">
        <f t="shared" si="6"/>
        <v>92199.16</v>
      </c>
      <c r="E62" s="392">
        <f t="shared" si="7"/>
        <v>0</v>
      </c>
      <c r="F62" s="428">
        <f t="shared" si="0"/>
        <v>0.90615690000000004</v>
      </c>
      <c r="G62" s="390">
        <f t="shared" si="1"/>
        <v>0</v>
      </c>
      <c r="H62" s="391">
        <f t="shared" si="2"/>
        <v>92200.066156900008</v>
      </c>
      <c r="I62" s="324"/>
      <c r="J62" s="325"/>
      <c r="K62" s="325"/>
      <c r="L62" s="319"/>
      <c r="M62" s="320"/>
      <c r="N62" s="320"/>
      <c r="O62" s="320"/>
      <c r="P62" s="392">
        <f t="shared" si="8"/>
        <v>0</v>
      </c>
      <c r="Q62" s="392">
        <f t="shared" si="3"/>
        <v>0</v>
      </c>
      <c r="R62" s="392">
        <f t="shared" si="4"/>
        <v>0</v>
      </c>
      <c r="S62" s="373"/>
      <c r="T62" s="374"/>
      <c r="U62" s="524">
        <f t="shared" si="9"/>
        <v>0</v>
      </c>
      <c r="V62" s="520">
        <f t="shared" si="10"/>
        <v>0</v>
      </c>
      <c r="W62" s="524">
        <f t="shared" si="11"/>
        <v>0</v>
      </c>
      <c r="X62" s="520">
        <f t="shared" si="12"/>
        <v>0</v>
      </c>
      <c r="Y62" s="525">
        <f t="shared" si="13"/>
        <v>0</v>
      </c>
    </row>
    <row r="63" spans="3:25" x14ac:dyDescent="0.2">
      <c r="C63" s="387">
        <f t="shared" si="5"/>
        <v>41501</v>
      </c>
      <c r="D63" s="388">
        <f t="shared" si="6"/>
        <v>92199.16</v>
      </c>
      <c r="E63" s="392">
        <f t="shared" si="7"/>
        <v>0</v>
      </c>
      <c r="F63" s="428">
        <f t="shared" si="0"/>
        <v>0.90615690000000004</v>
      </c>
      <c r="G63" s="390">
        <f t="shared" si="1"/>
        <v>0</v>
      </c>
      <c r="H63" s="391">
        <f t="shared" si="2"/>
        <v>92200.066156900008</v>
      </c>
      <c r="I63" s="324"/>
      <c r="J63" s="325"/>
      <c r="K63" s="325"/>
      <c r="L63" s="317"/>
      <c r="M63" s="318"/>
      <c r="N63" s="318"/>
      <c r="O63" s="318"/>
      <c r="P63" s="392">
        <f t="shared" si="8"/>
        <v>0</v>
      </c>
      <c r="Q63" s="392">
        <f t="shared" si="3"/>
        <v>0</v>
      </c>
      <c r="R63" s="392">
        <f t="shared" si="4"/>
        <v>0</v>
      </c>
      <c r="S63" s="373"/>
      <c r="T63" s="374"/>
      <c r="U63" s="524">
        <f t="shared" si="9"/>
        <v>0</v>
      </c>
      <c r="V63" s="520">
        <f t="shared" si="10"/>
        <v>0</v>
      </c>
      <c r="W63" s="524">
        <f t="shared" si="11"/>
        <v>0</v>
      </c>
      <c r="X63" s="520">
        <f t="shared" si="12"/>
        <v>0</v>
      </c>
      <c r="Y63" s="525">
        <f t="shared" si="13"/>
        <v>0</v>
      </c>
    </row>
    <row r="64" spans="3:25" x14ac:dyDescent="0.2">
      <c r="C64" s="387">
        <f t="shared" si="5"/>
        <v>41502</v>
      </c>
      <c r="D64" s="388">
        <f t="shared" si="6"/>
        <v>92199.16</v>
      </c>
      <c r="E64" s="392">
        <f t="shared" si="7"/>
        <v>0</v>
      </c>
      <c r="F64" s="428">
        <f t="shared" si="0"/>
        <v>0.90615690000000004</v>
      </c>
      <c r="G64" s="390">
        <f t="shared" si="1"/>
        <v>0</v>
      </c>
      <c r="H64" s="391">
        <f t="shared" si="2"/>
        <v>92200.066156900008</v>
      </c>
      <c r="I64" s="324"/>
      <c r="J64" s="325"/>
      <c r="K64" s="325"/>
      <c r="L64" s="319"/>
      <c r="M64" s="320"/>
      <c r="N64" s="320"/>
      <c r="O64" s="320"/>
      <c r="P64" s="392">
        <f t="shared" si="8"/>
        <v>0</v>
      </c>
      <c r="Q64" s="392">
        <f t="shared" si="3"/>
        <v>0</v>
      </c>
      <c r="R64" s="392">
        <f t="shared" si="4"/>
        <v>0</v>
      </c>
      <c r="S64" s="373"/>
      <c r="T64" s="374"/>
      <c r="U64" s="524">
        <f t="shared" si="9"/>
        <v>0</v>
      </c>
      <c r="V64" s="520">
        <f t="shared" si="10"/>
        <v>0</v>
      </c>
      <c r="W64" s="524">
        <f t="shared" si="11"/>
        <v>0</v>
      </c>
      <c r="X64" s="520">
        <f t="shared" si="12"/>
        <v>0</v>
      </c>
      <c r="Y64" s="525">
        <f t="shared" si="13"/>
        <v>0</v>
      </c>
    </row>
    <row r="65" spans="3:38" x14ac:dyDescent="0.2">
      <c r="C65" s="387">
        <f t="shared" si="5"/>
        <v>41503</v>
      </c>
      <c r="D65" s="388">
        <f t="shared" si="6"/>
        <v>92199.16</v>
      </c>
      <c r="E65" s="392">
        <f t="shared" si="7"/>
        <v>0</v>
      </c>
      <c r="F65" s="428">
        <f t="shared" si="0"/>
        <v>0.90615690000000004</v>
      </c>
      <c r="G65" s="390">
        <f t="shared" si="1"/>
        <v>0</v>
      </c>
      <c r="H65" s="391">
        <f t="shared" si="2"/>
        <v>92200.066156900008</v>
      </c>
      <c r="I65" s="324"/>
      <c r="J65" s="325"/>
      <c r="K65" s="325"/>
      <c r="L65" s="317"/>
      <c r="M65" s="318"/>
      <c r="N65" s="318"/>
      <c r="O65" s="318"/>
      <c r="P65" s="392">
        <f t="shared" si="8"/>
        <v>0</v>
      </c>
      <c r="Q65" s="392">
        <f t="shared" si="3"/>
        <v>0</v>
      </c>
      <c r="R65" s="392">
        <f t="shared" si="4"/>
        <v>0</v>
      </c>
      <c r="S65" s="373"/>
      <c r="T65" s="374"/>
      <c r="U65" s="524">
        <f t="shared" si="9"/>
        <v>0</v>
      </c>
      <c r="V65" s="520">
        <f t="shared" si="10"/>
        <v>0</v>
      </c>
      <c r="W65" s="524">
        <f t="shared" si="11"/>
        <v>0</v>
      </c>
      <c r="X65" s="520">
        <f t="shared" si="12"/>
        <v>0</v>
      </c>
      <c r="Y65" s="525">
        <f t="shared" si="13"/>
        <v>0</v>
      </c>
    </row>
    <row r="66" spans="3:38" x14ac:dyDescent="0.2">
      <c r="C66" s="387">
        <f t="shared" si="5"/>
        <v>41504</v>
      </c>
      <c r="D66" s="388">
        <f t="shared" si="6"/>
        <v>92199.16</v>
      </c>
      <c r="E66" s="392">
        <f t="shared" si="7"/>
        <v>0</v>
      </c>
      <c r="F66" s="428">
        <f t="shared" si="0"/>
        <v>0.90615690000000004</v>
      </c>
      <c r="G66" s="390">
        <f t="shared" si="1"/>
        <v>0</v>
      </c>
      <c r="H66" s="391">
        <f t="shared" si="2"/>
        <v>92200.066156900008</v>
      </c>
      <c r="I66" s="324"/>
      <c r="J66" s="325"/>
      <c r="K66" s="325"/>
      <c r="L66" s="319"/>
      <c r="M66" s="320"/>
      <c r="N66" s="320"/>
      <c r="O66" s="320"/>
      <c r="P66" s="392">
        <f t="shared" si="8"/>
        <v>0</v>
      </c>
      <c r="Q66" s="392">
        <f t="shared" si="3"/>
        <v>0</v>
      </c>
      <c r="R66" s="392">
        <f t="shared" si="4"/>
        <v>0</v>
      </c>
      <c r="S66" s="373"/>
      <c r="T66" s="374"/>
      <c r="U66" s="524">
        <f t="shared" si="9"/>
        <v>0</v>
      </c>
      <c r="V66" s="520">
        <f t="shared" si="10"/>
        <v>0</v>
      </c>
      <c r="W66" s="524">
        <f t="shared" si="11"/>
        <v>0</v>
      </c>
      <c r="X66" s="520">
        <f t="shared" si="12"/>
        <v>0</v>
      </c>
      <c r="Y66" s="525">
        <f t="shared" si="13"/>
        <v>0</v>
      </c>
    </row>
    <row r="67" spans="3:38" x14ac:dyDescent="0.2">
      <c r="C67" s="387">
        <f t="shared" si="5"/>
        <v>41505</v>
      </c>
      <c r="D67" s="388">
        <f t="shared" si="6"/>
        <v>92199.16</v>
      </c>
      <c r="E67" s="392">
        <f t="shared" si="7"/>
        <v>0</v>
      </c>
      <c r="F67" s="428">
        <f t="shared" si="0"/>
        <v>0.90615690000000004</v>
      </c>
      <c r="G67" s="390">
        <f t="shared" si="1"/>
        <v>0</v>
      </c>
      <c r="H67" s="391">
        <f t="shared" si="2"/>
        <v>92200.066156900008</v>
      </c>
      <c r="I67" s="324"/>
      <c r="J67" s="325"/>
      <c r="K67" s="325"/>
      <c r="L67" s="317"/>
      <c r="M67" s="318"/>
      <c r="N67" s="318"/>
      <c r="O67" s="318"/>
      <c r="P67" s="392">
        <f t="shared" si="8"/>
        <v>0</v>
      </c>
      <c r="Q67" s="392">
        <f t="shared" si="3"/>
        <v>0</v>
      </c>
      <c r="R67" s="392">
        <f t="shared" si="4"/>
        <v>0</v>
      </c>
      <c r="S67" s="373"/>
      <c r="T67" s="374"/>
      <c r="U67" s="524">
        <f t="shared" si="9"/>
        <v>0</v>
      </c>
      <c r="V67" s="520">
        <f t="shared" si="10"/>
        <v>0</v>
      </c>
      <c r="W67" s="524">
        <f t="shared" si="11"/>
        <v>0</v>
      </c>
      <c r="X67" s="520">
        <f t="shared" si="12"/>
        <v>0</v>
      </c>
      <c r="Y67" s="525">
        <f t="shared" si="13"/>
        <v>0</v>
      </c>
    </row>
    <row r="68" spans="3:38" x14ac:dyDescent="0.2">
      <c r="C68" s="387">
        <f t="shared" si="5"/>
        <v>41506</v>
      </c>
      <c r="D68" s="388">
        <f t="shared" si="6"/>
        <v>92199.16</v>
      </c>
      <c r="E68" s="392">
        <f t="shared" si="7"/>
        <v>0</v>
      </c>
      <c r="F68" s="428">
        <f t="shared" si="0"/>
        <v>0.90615690000000004</v>
      </c>
      <c r="G68" s="390">
        <f t="shared" si="1"/>
        <v>0</v>
      </c>
      <c r="H68" s="391">
        <f t="shared" si="2"/>
        <v>92200.066156900008</v>
      </c>
      <c r="I68" s="324"/>
      <c r="J68" s="325"/>
      <c r="K68" s="325"/>
      <c r="L68" s="319"/>
      <c r="M68" s="320"/>
      <c r="N68" s="320"/>
      <c r="O68" s="320"/>
      <c r="P68" s="392">
        <f t="shared" si="8"/>
        <v>0</v>
      </c>
      <c r="Q68" s="392">
        <f t="shared" si="3"/>
        <v>0</v>
      </c>
      <c r="R68" s="392">
        <f t="shared" si="4"/>
        <v>0</v>
      </c>
      <c r="S68" s="373"/>
      <c r="T68" s="374"/>
      <c r="U68" s="524">
        <f t="shared" si="9"/>
        <v>0</v>
      </c>
      <c r="V68" s="520">
        <f t="shared" si="10"/>
        <v>0</v>
      </c>
      <c r="W68" s="524">
        <f t="shared" si="11"/>
        <v>0</v>
      </c>
      <c r="X68" s="520">
        <f t="shared" si="12"/>
        <v>0</v>
      </c>
      <c r="Y68" s="525">
        <f t="shared" si="13"/>
        <v>0</v>
      </c>
    </row>
    <row r="69" spans="3:38" x14ac:dyDescent="0.2">
      <c r="C69" s="387">
        <f t="shared" si="5"/>
        <v>41507</v>
      </c>
      <c r="D69" s="388">
        <f t="shared" si="6"/>
        <v>92199.16</v>
      </c>
      <c r="E69" s="392">
        <f t="shared" si="7"/>
        <v>0</v>
      </c>
      <c r="F69" s="428">
        <f t="shared" si="0"/>
        <v>0.90615690000000004</v>
      </c>
      <c r="G69" s="390">
        <f t="shared" si="1"/>
        <v>0</v>
      </c>
      <c r="H69" s="391">
        <f t="shared" si="2"/>
        <v>92200.066156900008</v>
      </c>
      <c r="I69" s="324"/>
      <c r="J69" s="325"/>
      <c r="K69" s="325"/>
      <c r="L69" s="317"/>
      <c r="M69" s="318"/>
      <c r="N69" s="318"/>
      <c r="O69" s="318"/>
      <c r="P69" s="392">
        <f t="shared" si="8"/>
        <v>0</v>
      </c>
      <c r="Q69" s="392">
        <f t="shared" si="3"/>
        <v>0</v>
      </c>
      <c r="R69" s="392">
        <f t="shared" si="4"/>
        <v>0</v>
      </c>
      <c r="S69" s="373"/>
      <c r="T69" s="374"/>
      <c r="U69" s="524">
        <f t="shared" si="9"/>
        <v>0</v>
      </c>
      <c r="V69" s="520">
        <f t="shared" si="10"/>
        <v>0</v>
      </c>
      <c r="W69" s="524">
        <f t="shared" si="11"/>
        <v>0</v>
      </c>
      <c r="X69" s="520">
        <f t="shared" si="12"/>
        <v>0</v>
      </c>
      <c r="Y69" s="525">
        <f t="shared" si="13"/>
        <v>0</v>
      </c>
    </row>
    <row r="70" spans="3:38" x14ac:dyDescent="0.2">
      <c r="C70" s="387">
        <f t="shared" si="5"/>
        <v>41508</v>
      </c>
      <c r="D70" s="388">
        <f t="shared" si="6"/>
        <v>92199.16</v>
      </c>
      <c r="E70" s="392">
        <f t="shared" si="7"/>
        <v>0</v>
      </c>
      <c r="F70" s="428">
        <f t="shared" si="0"/>
        <v>0.90615690000000004</v>
      </c>
      <c r="G70" s="390">
        <f t="shared" si="1"/>
        <v>0</v>
      </c>
      <c r="H70" s="391">
        <f t="shared" si="2"/>
        <v>92200.066156900008</v>
      </c>
      <c r="I70" s="324"/>
      <c r="J70" s="325"/>
      <c r="K70" s="325"/>
      <c r="L70" s="319"/>
      <c r="M70" s="320"/>
      <c r="N70" s="320"/>
      <c r="O70" s="320"/>
      <c r="P70" s="392">
        <f t="shared" si="8"/>
        <v>0</v>
      </c>
      <c r="Q70" s="392">
        <f t="shared" si="3"/>
        <v>0</v>
      </c>
      <c r="R70" s="392">
        <f t="shared" si="4"/>
        <v>0</v>
      </c>
      <c r="S70" s="373"/>
      <c r="T70" s="374"/>
      <c r="U70" s="524">
        <f t="shared" si="9"/>
        <v>0</v>
      </c>
      <c r="V70" s="520">
        <f t="shared" si="10"/>
        <v>0</v>
      </c>
      <c r="W70" s="524">
        <f t="shared" si="11"/>
        <v>0</v>
      </c>
      <c r="X70" s="520">
        <f t="shared" si="12"/>
        <v>0</v>
      </c>
      <c r="Y70" s="525">
        <f t="shared" si="13"/>
        <v>0</v>
      </c>
    </row>
    <row r="71" spans="3:38" x14ac:dyDescent="0.2">
      <c r="C71" s="387">
        <f t="shared" si="5"/>
        <v>41509</v>
      </c>
      <c r="D71" s="388">
        <f t="shared" si="6"/>
        <v>92199.16</v>
      </c>
      <c r="E71" s="392">
        <f t="shared" si="7"/>
        <v>0</v>
      </c>
      <c r="F71" s="428">
        <f t="shared" si="0"/>
        <v>0.90615690000000004</v>
      </c>
      <c r="G71" s="390">
        <f t="shared" si="1"/>
        <v>0</v>
      </c>
      <c r="H71" s="391">
        <f t="shared" si="2"/>
        <v>92200.066156900008</v>
      </c>
      <c r="I71" s="324"/>
      <c r="J71" s="325"/>
      <c r="K71" s="325"/>
      <c r="L71" s="317"/>
      <c r="M71" s="318"/>
      <c r="N71" s="318"/>
      <c r="O71" s="318"/>
      <c r="P71" s="392">
        <f t="shared" si="8"/>
        <v>0</v>
      </c>
      <c r="Q71" s="392">
        <f t="shared" si="3"/>
        <v>0</v>
      </c>
      <c r="R71" s="392">
        <f t="shared" si="4"/>
        <v>0</v>
      </c>
      <c r="S71" s="373"/>
      <c r="T71" s="374"/>
      <c r="U71" s="524">
        <f t="shared" si="9"/>
        <v>0</v>
      </c>
      <c r="V71" s="520">
        <f t="shared" si="10"/>
        <v>0</v>
      </c>
      <c r="W71" s="524">
        <f t="shared" si="11"/>
        <v>0</v>
      </c>
      <c r="X71" s="520">
        <f t="shared" si="12"/>
        <v>0</v>
      </c>
      <c r="Y71" s="525">
        <f t="shared" si="13"/>
        <v>0</v>
      </c>
    </row>
    <row r="72" spans="3:38" x14ac:dyDescent="0.2">
      <c r="C72" s="387">
        <f t="shared" si="5"/>
        <v>41510</v>
      </c>
      <c r="D72" s="388">
        <f t="shared" si="6"/>
        <v>92199.16</v>
      </c>
      <c r="E72" s="392">
        <f t="shared" si="7"/>
        <v>0</v>
      </c>
      <c r="F72" s="428">
        <f t="shared" si="0"/>
        <v>0.90615690000000004</v>
      </c>
      <c r="G72" s="390">
        <f t="shared" si="1"/>
        <v>0</v>
      </c>
      <c r="H72" s="391">
        <f t="shared" si="2"/>
        <v>92200.066156900008</v>
      </c>
      <c r="I72" s="324"/>
      <c r="J72" s="325"/>
      <c r="K72" s="325"/>
      <c r="L72" s="319"/>
      <c r="M72" s="320"/>
      <c r="N72" s="320"/>
      <c r="O72" s="320"/>
      <c r="P72" s="392">
        <f t="shared" si="8"/>
        <v>0</v>
      </c>
      <c r="Q72" s="392">
        <f t="shared" si="3"/>
        <v>0</v>
      </c>
      <c r="R72" s="392">
        <f t="shared" si="4"/>
        <v>0</v>
      </c>
      <c r="S72" s="373"/>
      <c r="T72" s="374"/>
      <c r="U72" s="524">
        <f t="shared" si="9"/>
        <v>0</v>
      </c>
      <c r="V72" s="520">
        <f t="shared" si="10"/>
        <v>0</v>
      </c>
      <c r="W72" s="524">
        <f t="shared" si="11"/>
        <v>0</v>
      </c>
      <c r="X72" s="520">
        <f t="shared" si="12"/>
        <v>0</v>
      </c>
      <c r="Y72" s="525">
        <f t="shared" si="13"/>
        <v>0</v>
      </c>
    </row>
    <row r="73" spans="3:38" x14ac:dyDescent="0.2">
      <c r="C73" s="387">
        <f t="shared" si="5"/>
        <v>41511</v>
      </c>
      <c r="D73" s="388">
        <f t="shared" si="6"/>
        <v>92199.16</v>
      </c>
      <c r="E73" s="392">
        <f t="shared" si="7"/>
        <v>0</v>
      </c>
      <c r="F73" s="428">
        <f t="shared" si="0"/>
        <v>0.90615690000000004</v>
      </c>
      <c r="G73" s="390">
        <f t="shared" si="1"/>
        <v>0</v>
      </c>
      <c r="H73" s="391">
        <f t="shared" si="2"/>
        <v>92200.066156900008</v>
      </c>
      <c r="I73" s="324"/>
      <c r="J73" s="325"/>
      <c r="K73" s="325"/>
      <c r="L73" s="317"/>
      <c r="M73" s="318"/>
      <c r="N73" s="318"/>
      <c r="O73" s="318"/>
      <c r="P73" s="392">
        <f t="shared" si="8"/>
        <v>0</v>
      </c>
      <c r="Q73" s="392">
        <f t="shared" si="3"/>
        <v>0</v>
      </c>
      <c r="R73" s="392">
        <f t="shared" si="4"/>
        <v>0</v>
      </c>
      <c r="S73" s="373"/>
      <c r="T73" s="374"/>
      <c r="U73" s="524">
        <f t="shared" si="9"/>
        <v>0</v>
      </c>
      <c r="V73" s="520">
        <f t="shared" si="10"/>
        <v>0</v>
      </c>
      <c r="W73" s="524">
        <f t="shared" si="11"/>
        <v>0</v>
      </c>
      <c r="X73" s="520">
        <f t="shared" si="12"/>
        <v>0</v>
      </c>
      <c r="Y73" s="525">
        <f t="shared" si="13"/>
        <v>0</v>
      </c>
    </row>
    <row r="74" spans="3:38" x14ac:dyDescent="0.2">
      <c r="C74" s="387">
        <f t="shared" si="5"/>
        <v>41512</v>
      </c>
      <c r="D74" s="388">
        <f t="shared" si="6"/>
        <v>92199.16</v>
      </c>
      <c r="E74" s="392">
        <f t="shared" si="7"/>
        <v>0</v>
      </c>
      <c r="F74" s="428">
        <f t="shared" si="0"/>
        <v>0.90615690000000004</v>
      </c>
      <c r="G74" s="390">
        <f t="shared" si="1"/>
        <v>0</v>
      </c>
      <c r="H74" s="391">
        <f t="shared" si="2"/>
        <v>92200.066156900008</v>
      </c>
      <c r="I74" s="324"/>
      <c r="J74" s="325"/>
      <c r="K74" s="325"/>
      <c r="L74" s="319"/>
      <c r="M74" s="320"/>
      <c r="N74" s="320"/>
      <c r="O74" s="320"/>
      <c r="P74" s="392">
        <f t="shared" si="8"/>
        <v>0</v>
      </c>
      <c r="Q74" s="392">
        <f t="shared" si="3"/>
        <v>0</v>
      </c>
      <c r="R74" s="392">
        <f t="shared" si="4"/>
        <v>0</v>
      </c>
      <c r="S74" s="373"/>
      <c r="T74" s="374"/>
      <c r="U74" s="524">
        <f t="shared" si="9"/>
        <v>0</v>
      </c>
      <c r="V74" s="520">
        <f t="shared" si="10"/>
        <v>0</v>
      </c>
      <c r="W74" s="524">
        <f t="shared" si="11"/>
        <v>0</v>
      </c>
      <c r="X74" s="520">
        <f t="shared" si="12"/>
        <v>0</v>
      </c>
      <c r="Y74" s="525">
        <f t="shared" si="13"/>
        <v>0</v>
      </c>
    </row>
    <row r="75" spans="3:38" x14ac:dyDescent="0.2">
      <c r="C75" s="387">
        <f t="shared" si="5"/>
        <v>41513</v>
      </c>
      <c r="D75" s="388">
        <f t="shared" si="6"/>
        <v>92199.16</v>
      </c>
      <c r="E75" s="392">
        <f t="shared" si="7"/>
        <v>0</v>
      </c>
      <c r="F75" s="428">
        <f t="shared" si="0"/>
        <v>0.90615690000000004</v>
      </c>
      <c r="G75" s="390">
        <f t="shared" si="1"/>
        <v>0</v>
      </c>
      <c r="H75" s="391">
        <f t="shared" si="2"/>
        <v>92200.066156900008</v>
      </c>
      <c r="I75" s="324"/>
      <c r="J75" s="325"/>
      <c r="K75" s="325"/>
      <c r="L75" s="317"/>
      <c r="M75" s="318"/>
      <c r="N75" s="318"/>
      <c r="O75" s="318"/>
      <c r="P75" s="392">
        <f t="shared" si="8"/>
        <v>0</v>
      </c>
      <c r="Q75" s="392">
        <f t="shared" si="3"/>
        <v>0</v>
      </c>
      <c r="R75" s="392">
        <f t="shared" si="4"/>
        <v>0</v>
      </c>
      <c r="S75" s="373"/>
      <c r="T75" s="374"/>
      <c r="U75" s="524">
        <f t="shared" si="9"/>
        <v>0</v>
      </c>
      <c r="V75" s="520">
        <f t="shared" si="10"/>
        <v>0</v>
      </c>
      <c r="W75" s="524">
        <f t="shared" si="11"/>
        <v>0</v>
      </c>
      <c r="X75" s="520">
        <f t="shared" si="12"/>
        <v>0</v>
      </c>
      <c r="Y75" s="525">
        <f t="shared" si="13"/>
        <v>0</v>
      </c>
    </row>
    <row r="76" spans="3:38" x14ac:dyDescent="0.2">
      <c r="C76" s="387">
        <f t="shared" si="5"/>
        <v>41514</v>
      </c>
      <c r="D76" s="388">
        <f t="shared" si="6"/>
        <v>92199.16</v>
      </c>
      <c r="E76" s="392">
        <f t="shared" si="7"/>
        <v>0</v>
      </c>
      <c r="F76" s="428">
        <f t="shared" si="0"/>
        <v>0.90615690000000004</v>
      </c>
      <c r="G76" s="390">
        <f t="shared" si="1"/>
        <v>0</v>
      </c>
      <c r="H76" s="391">
        <f t="shared" si="2"/>
        <v>92200.066156900008</v>
      </c>
      <c r="I76" s="324"/>
      <c r="J76" s="325"/>
      <c r="K76" s="325"/>
      <c r="L76" s="319"/>
      <c r="M76" s="320"/>
      <c r="N76" s="320"/>
      <c r="O76" s="320"/>
      <c r="P76" s="392">
        <f t="shared" si="8"/>
        <v>0</v>
      </c>
      <c r="Q76" s="392">
        <f t="shared" si="3"/>
        <v>0</v>
      </c>
      <c r="R76" s="392">
        <f t="shared" si="4"/>
        <v>0</v>
      </c>
      <c r="S76" s="373"/>
      <c r="T76" s="374"/>
      <c r="U76" s="524">
        <f t="shared" si="9"/>
        <v>0</v>
      </c>
      <c r="V76" s="520">
        <f t="shared" si="10"/>
        <v>0</v>
      </c>
      <c r="W76" s="524">
        <f t="shared" si="11"/>
        <v>0</v>
      </c>
      <c r="X76" s="520">
        <f t="shared" si="12"/>
        <v>0</v>
      </c>
      <c r="Y76" s="525">
        <f t="shared" si="13"/>
        <v>0</v>
      </c>
    </row>
    <row r="77" spans="3:38" x14ac:dyDescent="0.2">
      <c r="C77" s="387">
        <f t="shared" si="5"/>
        <v>41515</v>
      </c>
      <c r="D77" s="388">
        <f t="shared" si="6"/>
        <v>92199.16</v>
      </c>
      <c r="E77" s="392">
        <f t="shared" si="7"/>
        <v>0</v>
      </c>
      <c r="F77" s="428">
        <f t="shared" si="0"/>
        <v>0.90615690000000004</v>
      </c>
      <c r="G77" s="390">
        <f t="shared" si="1"/>
        <v>0</v>
      </c>
      <c r="H77" s="391">
        <f t="shared" si="2"/>
        <v>92200.066156900008</v>
      </c>
      <c r="I77" s="324"/>
      <c r="J77" s="325"/>
      <c r="K77" s="325"/>
      <c r="L77" s="317"/>
      <c r="M77" s="318"/>
      <c r="N77" s="318"/>
      <c r="O77" s="318"/>
      <c r="P77" s="392">
        <f t="shared" si="8"/>
        <v>0</v>
      </c>
      <c r="Q77" s="392">
        <f t="shared" si="3"/>
        <v>0</v>
      </c>
      <c r="R77" s="392">
        <f t="shared" si="4"/>
        <v>0</v>
      </c>
      <c r="S77" s="373"/>
      <c r="T77" s="374"/>
      <c r="U77" s="524">
        <f t="shared" si="9"/>
        <v>0</v>
      </c>
      <c r="V77" s="520">
        <f t="shared" si="10"/>
        <v>0</v>
      </c>
      <c r="W77" s="524">
        <f t="shared" si="11"/>
        <v>0</v>
      </c>
      <c r="X77" s="520">
        <f t="shared" si="12"/>
        <v>0</v>
      </c>
      <c r="Y77" s="525">
        <f t="shared" si="13"/>
        <v>0</v>
      </c>
    </row>
    <row r="78" spans="3:38" x14ac:dyDescent="0.2">
      <c r="C78" s="387">
        <f t="shared" si="5"/>
        <v>41516</v>
      </c>
      <c r="D78" s="388">
        <f t="shared" si="6"/>
        <v>92199.16</v>
      </c>
      <c r="E78" s="392">
        <f t="shared" si="7"/>
        <v>0</v>
      </c>
      <c r="F78" s="428">
        <f t="shared" si="0"/>
        <v>0.90615690000000004</v>
      </c>
      <c r="G78" s="390">
        <f t="shared" si="1"/>
        <v>0</v>
      </c>
      <c r="H78" s="391">
        <f t="shared" si="2"/>
        <v>92200.066156900008</v>
      </c>
      <c r="I78" s="324"/>
      <c r="J78" s="325"/>
      <c r="K78" s="325"/>
      <c r="L78" s="319"/>
      <c r="M78" s="320"/>
      <c r="N78" s="320"/>
      <c r="O78" s="320"/>
      <c r="P78" s="392">
        <f t="shared" si="8"/>
        <v>0</v>
      </c>
      <c r="Q78" s="392">
        <f t="shared" si="3"/>
        <v>0</v>
      </c>
      <c r="R78" s="392">
        <f t="shared" si="4"/>
        <v>0</v>
      </c>
      <c r="S78" s="373"/>
      <c r="T78" s="374"/>
      <c r="U78" s="524">
        <f t="shared" si="9"/>
        <v>0</v>
      </c>
      <c r="V78" s="520">
        <f t="shared" si="10"/>
        <v>0</v>
      </c>
      <c r="W78" s="524">
        <f t="shared" si="11"/>
        <v>0</v>
      </c>
      <c r="X78" s="520">
        <f t="shared" si="12"/>
        <v>0</v>
      </c>
      <c r="Y78" s="525">
        <f t="shared" si="13"/>
        <v>0</v>
      </c>
    </row>
    <row r="79" spans="3:38" ht="15" thickBot="1" x14ac:dyDescent="0.25">
      <c r="C79" s="393">
        <f t="shared" si="5"/>
        <v>41517</v>
      </c>
      <c r="D79" s="394">
        <f t="shared" si="6"/>
        <v>92199.16</v>
      </c>
      <c r="E79" s="395">
        <f t="shared" si="7"/>
        <v>0</v>
      </c>
      <c r="F79" s="429">
        <f t="shared" si="0"/>
        <v>0.90615690000000004</v>
      </c>
      <c r="G79" s="396">
        <f t="shared" si="1"/>
        <v>0</v>
      </c>
      <c r="H79" s="397">
        <f t="shared" si="2"/>
        <v>92200.066156900008</v>
      </c>
      <c r="I79" s="326"/>
      <c r="J79" s="327"/>
      <c r="K79" s="327"/>
      <c r="L79" s="321"/>
      <c r="M79" s="322"/>
      <c r="N79" s="322"/>
      <c r="O79" s="322"/>
      <c r="P79" s="395">
        <f t="shared" si="8"/>
        <v>0</v>
      </c>
      <c r="Q79" s="395">
        <f t="shared" si="3"/>
        <v>0</v>
      </c>
      <c r="R79" s="395">
        <f t="shared" si="4"/>
        <v>0</v>
      </c>
      <c r="S79" s="375"/>
      <c r="T79" s="376"/>
      <c r="U79" s="521">
        <f t="shared" si="9"/>
        <v>0</v>
      </c>
      <c r="V79" s="528">
        <f t="shared" si="10"/>
        <v>0</v>
      </c>
      <c r="W79" s="521">
        <f t="shared" si="11"/>
        <v>0</v>
      </c>
      <c r="X79" s="528">
        <f t="shared" si="12"/>
        <v>0</v>
      </c>
      <c r="Y79" s="529">
        <f t="shared" si="13"/>
        <v>0</v>
      </c>
    </row>
    <row r="80" spans="3:38" ht="15" thickBot="1" x14ac:dyDescent="0.25">
      <c r="C80" s="398"/>
      <c r="D80" s="399">
        <f>SUM(D49:D79)</f>
        <v>2858173.9600000004</v>
      </c>
      <c r="E80" s="400">
        <f>SUM(E49:E79)</f>
        <v>0</v>
      </c>
      <c r="F80" s="400"/>
      <c r="G80" s="401">
        <f>SUM(G49:G79)</f>
        <v>0</v>
      </c>
      <c r="H80" s="399">
        <f>SUM(H49:H79)</f>
        <v>2858202.0508639002</v>
      </c>
      <c r="I80" s="432">
        <f>SUM(I49:I79)</f>
        <v>0</v>
      </c>
      <c r="J80" s="432">
        <f t="shared" ref="J80:R80" si="14">SUM(J49:J79)</f>
        <v>0</v>
      </c>
      <c r="K80" s="432">
        <f t="shared" si="14"/>
        <v>0</v>
      </c>
      <c r="L80" s="432">
        <f t="shared" si="14"/>
        <v>0</v>
      </c>
      <c r="M80" s="432">
        <f t="shared" si="14"/>
        <v>0</v>
      </c>
      <c r="N80" s="432">
        <f t="shared" si="14"/>
        <v>0</v>
      </c>
      <c r="O80" s="432">
        <f t="shared" si="14"/>
        <v>0</v>
      </c>
      <c r="P80" s="432">
        <f t="shared" si="14"/>
        <v>0</v>
      </c>
      <c r="Q80" s="432">
        <f t="shared" si="14"/>
        <v>0</v>
      </c>
      <c r="R80" s="432">
        <f t="shared" si="14"/>
        <v>0</v>
      </c>
      <c r="U80" s="1"/>
      <c r="V80" s="328">
        <f>SUM(V49:V79)</f>
        <v>0</v>
      </c>
      <c r="W80" s="328">
        <f>SUM(W49:W79)</f>
        <v>0</v>
      </c>
      <c r="X80" s="328">
        <f>SUM(X49:X79)</f>
        <v>0</v>
      </c>
      <c r="Y80" s="323">
        <f>Y79</f>
        <v>0</v>
      </c>
      <c r="AL80" s="361">
        <f>Y79</f>
        <v>0</v>
      </c>
    </row>
    <row r="81" spans="2:14" ht="15" customHeight="1" x14ac:dyDescent="0.2">
      <c r="B81"/>
      <c r="C81"/>
      <c r="D81"/>
      <c r="E81"/>
      <c r="F81"/>
      <c r="G81"/>
      <c r="H81"/>
      <c r="I81"/>
      <c r="J81"/>
      <c r="K81"/>
      <c r="L81"/>
      <c r="N81" s="2"/>
    </row>
  </sheetData>
  <mergeCells count="12">
    <mergeCell ref="C10:D10"/>
    <mergeCell ref="C11:D11"/>
    <mergeCell ref="C3:M4"/>
    <mergeCell ref="C5:M5"/>
    <mergeCell ref="C6:M6"/>
    <mergeCell ref="G7:H7"/>
    <mergeCell ref="C9:D9"/>
    <mergeCell ref="D23:E23"/>
    <mergeCell ref="D24:E24"/>
    <mergeCell ref="C28:F28"/>
    <mergeCell ref="C39:F39"/>
    <mergeCell ref="S47:Y47"/>
  </mergeCells>
  <conditionalFormatting sqref="L49:O79">
    <cfRule type="cellIs" dxfId="168" priority="1" stopIfTrue="1" operator="equal">
      <formula>0</formula>
    </cfRule>
  </conditionalFormatting>
  <pageMargins left="0.7" right="0.7" top="0.75" bottom="0.75" header="0.3" footer="0.3"/>
  <pageSetup orientation="portrait"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L81"/>
  <sheetViews>
    <sheetView workbookViewId="0"/>
  </sheetViews>
  <sheetFormatPr baseColWidth="10" defaultColWidth="11" defaultRowHeight="14.25" x14ac:dyDescent="0.2"/>
  <cols>
    <col min="1" max="1" width="11" style="2"/>
    <col min="2" max="2" width="3.875" style="2" bestFit="1" customWidth="1"/>
    <col min="3" max="3" width="16.125" style="2" customWidth="1"/>
    <col min="4" max="4" width="12.375" style="2" bestFit="1" customWidth="1"/>
    <col min="5" max="5" width="10.875" style="2" bestFit="1" customWidth="1"/>
    <col min="6" max="6" width="17.125" style="2" bestFit="1" customWidth="1"/>
    <col min="7" max="7" width="13.125" style="2" bestFit="1" customWidth="1"/>
    <col min="8" max="8" width="12.125" style="2" bestFit="1" customWidth="1"/>
    <col min="9" max="9" width="11.125" style="2" bestFit="1" customWidth="1"/>
    <col min="10" max="10" width="11.875" style="2" bestFit="1" customWidth="1"/>
    <col min="11" max="11" width="11.625" style="2" bestFit="1" customWidth="1"/>
    <col min="12" max="12" width="12.125" style="2" customWidth="1"/>
    <col min="13" max="13" width="10.5" style="2" bestFit="1" customWidth="1"/>
    <col min="14" max="14" width="9" style="1" customWidth="1"/>
    <col min="15" max="15" width="10.375" style="2" customWidth="1"/>
    <col min="16" max="25" width="11" style="2"/>
    <col min="26" max="31" width="10.875" customWidth="1"/>
    <col min="32" max="16384" width="11" style="2"/>
  </cols>
  <sheetData>
    <row r="2" spans="2:25" x14ac:dyDescent="0.2"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2:25" ht="15" customHeight="1" x14ac:dyDescent="0.2">
      <c r="B3" s="1"/>
      <c r="C3" s="2254" t="s">
        <v>0</v>
      </c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</row>
    <row r="4" spans="2:25" ht="15" customHeight="1" x14ac:dyDescent="0.2"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</row>
    <row r="5" spans="2:25" x14ac:dyDescent="0.2">
      <c r="B5" s="1"/>
      <c r="C5" s="2257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</row>
    <row r="6" spans="2:25" x14ac:dyDescent="0.2">
      <c r="B6" s="1"/>
      <c r="C6" s="2257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</row>
    <row r="7" spans="2:25" x14ac:dyDescent="0.2">
      <c r="B7" s="1"/>
      <c r="C7" s="516"/>
      <c r="D7" s="516"/>
      <c r="E7" s="516"/>
      <c r="F7" s="516"/>
      <c r="G7" s="2271">
        <v>41518</v>
      </c>
      <c r="H7" s="2257"/>
      <c r="I7" s="516"/>
      <c r="J7" s="516"/>
      <c r="K7" s="516"/>
      <c r="L7" s="516"/>
      <c r="M7" s="516"/>
      <c r="N7" s="18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2:25" x14ac:dyDescent="0.2">
      <c r="B8" s="1"/>
      <c r="C8" s="516"/>
      <c r="D8" s="516"/>
      <c r="E8" s="516"/>
      <c r="F8" s="516"/>
      <c r="G8" s="516"/>
      <c r="H8" s="516"/>
      <c r="I8" s="516"/>
      <c r="J8" s="516"/>
      <c r="K8" s="516"/>
      <c r="L8" s="516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2:25" ht="25.5" x14ac:dyDescent="0.2">
      <c r="B9" s="1"/>
      <c r="C9" s="2272" t="s">
        <v>6</v>
      </c>
      <c r="D9" s="2272"/>
      <c r="E9" s="517" t="s">
        <v>94</v>
      </c>
      <c r="F9" s="517" t="s">
        <v>126</v>
      </c>
      <c r="G9" s="410" t="s">
        <v>133</v>
      </c>
      <c r="H9" s="517" t="s">
        <v>127</v>
      </c>
      <c r="I9" s="517" t="s">
        <v>128</v>
      </c>
      <c r="J9" s="516"/>
      <c r="K9" s="516"/>
      <c r="L9" s="516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2:25" x14ac:dyDescent="0.2">
      <c r="B10" s="1"/>
      <c r="C10" s="2270" t="s">
        <v>131</v>
      </c>
      <c r="D10" s="2270"/>
      <c r="E10" s="433">
        <f>IF(C15=0,D15,C15)</f>
        <v>4627948.08</v>
      </c>
      <c r="F10" s="407">
        <f>E10*0.16</f>
        <v>740471.69280000008</v>
      </c>
      <c r="G10" s="407">
        <f>E10+F10</f>
        <v>5368419.7728000004</v>
      </c>
      <c r="H10" s="408"/>
      <c r="I10" s="411">
        <v>19</v>
      </c>
      <c r="J10" s="516"/>
      <c r="K10" s="516"/>
      <c r="L10" s="516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2:25" x14ac:dyDescent="0.2">
      <c r="B11" s="1"/>
      <c r="C11" s="2270" t="s">
        <v>132</v>
      </c>
      <c r="D11" s="2270"/>
      <c r="E11" s="433">
        <f>IF(C16=0,D16,C16)</f>
        <v>2047.42</v>
      </c>
      <c r="F11" s="407">
        <f>E11*0.16</f>
        <v>327.5872</v>
      </c>
      <c r="G11" s="407">
        <f>E11+F11</f>
        <v>2375.0072</v>
      </c>
      <c r="H11" s="408"/>
      <c r="I11" s="411">
        <v>19</v>
      </c>
      <c r="J11" s="516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2:25" x14ac:dyDescent="0.2">
      <c r="B12" s="1"/>
      <c r="C12" s="516"/>
      <c r="D12" s="516"/>
      <c r="E12" s="516"/>
      <c r="F12" s="516"/>
      <c r="G12" s="516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2:25" ht="15" thickBot="1" x14ac:dyDescent="0.25">
      <c r="B13" s="1"/>
      <c r="C13" s="516"/>
      <c r="D13" s="516"/>
      <c r="E13" s="516"/>
      <c r="F13" s="516"/>
      <c r="G13" s="516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2:25" x14ac:dyDescent="0.2">
      <c r="B14" s="1"/>
      <c r="C14" s="440" t="s">
        <v>155</v>
      </c>
      <c r="D14" s="441" t="s">
        <v>156</v>
      </c>
      <c r="E14" s="442" t="s">
        <v>112</v>
      </c>
      <c r="F14" s="516"/>
      <c r="G14" s="516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2:25" x14ac:dyDescent="0.2">
      <c r="B15" s="1"/>
      <c r="C15" s="443">
        <v>4627948.08</v>
      </c>
      <c r="D15" s="444">
        <f>D80</f>
        <v>2581576.48</v>
      </c>
      <c r="E15" s="445">
        <f>C15-D15</f>
        <v>2046371.6</v>
      </c>
      <c r="F15" s="516"/>
      <c r="G15" s="516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2:25" ht="15" thickBot="1" x14ac:dyDescent="0.25">
      <c r="B16" s="1"/>
      <c r="C16" s="446">
        <v>2047.42</v>
      </c>
      <c r="D16" s="447">
        <f>ROUND(G80,2)</f>
        <v>0</v>
      </c>
      <c r="E16" s="448">
        <f>C16-D16</f>
        <v>2047.42</v>
      </c>
      <c r="F16" s="516"/>
      <c r="G16" s="516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2:25" x14ac:dyDescent="0.2">
      <c r="B17" s="1"/>
      <c r="C17" s="516"/>
      <c r="D17" s="516"/>
      <c r="E17" s="516"/>
      <c r="F17" s="516"/>
      <c r="G17" s="516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2:25" x14ac:dyDescent="0.2">
      <c r="B18" s="1"/>
      <c r="C18" s="516"/>
      <c r="D18" s="516"/>
      <c r="E18" s="516"/>
      <c r="F18" s="516"/>
      <c r="G18" s="516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2:25" x14ac:dyDescent="0.2">
      <c r="B19" s="1"/>
      <c r="C19" s="516"/>
      <c r="D19" s="516"/>
      <c r="E19" s="516"/>
      <c r="F19" s="516"/>
      <c r="G19" s="516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2:25" x14ac:dyDescent="0.2">
      <c r="B20" s="1"/>
      <c r="C20" s="516"/>
      <c r="D20" s="516"/>
      <c r="E20" s="516"/>
      <c r="F20" s="516"/>
      <c r="G20" s="516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2:25" x14ac:dyDescent="0.2">
      <c r="B21" s="1"/>
      <c r="C21" s="516"/>
      <c r="D21" s="516"/>
      <c r="E21" s="516"/>
      <c r="F21" s="516"/>
      <c r="G21" s="516"/>
      <c r="H21" s="1"/>
      <c r="I21" s="1"/>
      <c r="J21" s="1"/>
      <c r="K21" s="1"/>
      <c r="L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2:25" ht="15" thickBot="1" x14ac:dyDescent="0.25">
      <c r="B22" s="1"/>
      <c r="C22" s="419" t="s">
        <v>137</v>
      </c>
      <c r="D22" s="516" t="s">
        <v>138</v>
      </c>
      <c r="E22" s="516"/>
      <c r="F22" s="516" t="s">
        <v>139</v>
      </c>
      <c r="G22" s="516" t="s">
        <v>157</v>
      </c>
      <c r="H22" s="516" t="s">
        <v>143</v>
      </c>
      <c r="I22" s="516" t="s">
        <v>142</v>
      </c>
      <c r="J22" s="516" t="s">
        <v>141</v>
      </c>
      <c r="K22" s="516" t="s">
        <v>140</v>
      </c>
      <c r="L22" s="516" t="s">
        <v>144</v>
      </c>
      <c r="M22" s="516" t="s">
        <v>146</v>
      </c>
      <c r="N22" s="516"/>
      <c r="O22" s="516"/>
      <c r="P22" s="516"/>
      <c r="Q22" s="1"/>
      <c r="R22" s="1"/>
      <c r="S22" s="1"/>
      <c r="T22" s="1"/>
      <c r="U22" s="1"/>
      <c r="V22" s="1"/>
      <c r="W22" s="1"/>
      <c r="X22" s="1"/>
      <c r="Y22" s="1"/>
    </row>
    <row r="23" spans="2:25" ht="36.75" customHeight="1" x14ac:dyDescent="0.2">
      <c r="B23" s="1"/>
      <c r="C23" s="402" t="s">
        <v>134</v>
      </c>
      <c r="D23" s="2261" t="s">
        <v>135</v>
      </c>
      <c r="E23" s="2262"/>
      <c r="F23" s="518" t="s">
        <v>136</v>
      </c>
      <c r="G23" s="461" t="s">
        <v>153</v>
      </c>
      <c r="H23" s="420" t="s">
        <v>129</v>
      </c>
      <c r="I23" s="403" t="s">
        <v>130</v>
      </c>
      <c r="J23" s="422"/>
      <c r="K23" s="422"/>
      <c r="L23" s="422"/>
      <c r="M23" s="404" t="s">
        <v>158</v>
      </c>
      <c r="N23" s="516"/>
      <c r="O23" s="516"/>
      <c r="P23" s="516"/>
      <c r="Q23" s="516"/>
      <c r="R23" s="516"/>
      <c r="S23" s="516"/>
      <c r="T23" s="516"/>
      <c r="U23" s="1"/>
      <c r="V23" s="1"/>
      <c r="W23" s="1"/>
      <c r="X23" s="1"/>
      <c r="Y23" s="1"/>
    </row>
    <row r="24" spans="2:25" x14ac:dyDescent="0.2">
      <c r="B24" s="1"/>
      <c r="C24" s="405">
        <v>850</v>
      </c>
      <c r="D24" s="2263">
        <v>850</v>
      </c>
      <c r="E24" s="2264"/>
      <c r="F24" s="418">
        <v>31482640</v>
      </c>
      <c r="G24" s="462">
        <v>30</v>
      </c>
      <c r="H24" s="460">
        <f>VLOOKUP(C47,Tarifas!D4:H303,3)</f>
        <v>8.2000000000000003E-2</v>
      </c>
      <c r="I24" s="424">
        <f>VLOOKUP(C47,Tarifas!D4:H303,5)</f>
        <v>1E-3</v>
      </c>
      <c r="J24" s="421">
        <v>182.5</v>
      </c>
      <c r="K24" s="421">
        <v>201.4</v>
      </c>
      <c r="L24" s="421">
        <f>I11</f>
        <v>19</v>
      </c>
      <c r="M24" s="431">
        <f>E80</f>
        <v>0</v>
      </c>
      <c r="N24" s="430" t="s">
        <v>62</v>
      </c>
      <c r="O24" s="516"/>
      <c r="P24" s="516"/>
      <c r="Q24" s="516"/>
      <c r="R24" s="516"/>
      <c r="S24" s="516"/>
      <c r="T24" s="516"/>
      <c r="U24" s="1"/>
      <c r="V24" s="1"/>
      <c r="W24" s="1"/>
      <c r="X24" s="1"/>
      <c r="Y24" s="1"/>
    </row>
    <row r="25" spans="2:25" x14ac:dyDescent="0.2">
      <c r="B25" s="1"/>
      <c r="C25" s="516"/>
      <c r="D25" s="516"/>
      <c r="E25" s="516"/>
      <c r="F25" s="516"/>
      <c r="G25" s="516"/>
      <c r="H25" s="516"/>
      <c r="I25" s="516"/>
      <c r="J25" s="516"/>
      <c r="K25" s="516"/>
      <c r="L25" s="516"/>
      <c r="M25" s="516"/>
      <c r="N25" s="516"/>
      <c r="O25" s="516"/>
      <c r="P25" s="516"/>
      <c r="Q25" s="516"/>
      <c r="R25" s="516"/>
      <c r="S25" s="1"/>
      <c r="T25" s="1"/>
      <c r="U25" s="1"/>
      <c r="V25" s="1"/>
      <c r="W25" s="1"/>
      <c r="X25" s="1"/>
      <c r="Y25" s="1"/>
    </row>
    <row r="26" spans="2:25" x14ac:dyDescent="0.2">
      <c r="B26" s="1"/>
      <c r="C26" s="516"/>
      <c r="D26" s="516"/>
      <c r="E26" s="516"/>
      <c r="F26" s="516"/>
      <c r="G26" s="516"/>
      <c r="H26" s="516"/>
      <c r="I26" s="516"/>
      <c r="J26" s="516"/>
      <c r="K26" s="516"/>
      <c r="L26" s="516"/>
      <c r="M26" s="516"/>
      <c r="N26" s="516"/>
      <c r="O26" s="516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2:25" x14ac:dyDescent="0.2">
      <c r="B27" s="1"/>
      <c r="C27" s="516"/>
      <c r="D27" s="516"/>
      <c r="E27" s="516"/>
      <c r="F27" s="516"/>
      <c r="G27" s="516"/>
      <c r="H27" s="516"/>
      <c r="I27" s="516"/>
      <c r="J27" s="516"/>
      <c r="K27" s="516"/>
      <c r="L27" s="516"/>
      <c r="M27" s="516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2:25" ht="15" thickBot="1" x14ac:dyDescent="0.25">
      <c r="B28" s="1"/>
      <c r="C28" s="2265" t="s">
        <v>86</v>
      </c>
      <c r="D28" s="2265"/>
      <c r="E28" s="2265"/>
      <c r="F28" s="2265"/>
      <c r="G28" s="519"/>
      <c r="H28" s="334"/>
      <c r="I28" s="334"/>
      <c r="J28" s="334"/>
      <c r="K28" s="519"/>
      <c r="L28" s="336"/>
      <c r="M28" s="336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2:25" ht="22.5" x14ac:dyDescent="0.2">
      <c r="B29" s="1"/>
      <c r="C29" s="337" t="s">
        <v>87</v>
      </c>
      <c r="D29" s="514" t="s">
        <v>88</v>
      </c>
      <c r="E29" s="514" t="s">
        <v>89</v>
      </c>
      <c r="F29" s="514" t="s">
        <v>20</v>
      </c>
      <c r="G29" s="514" t="s">
        <v>160</v>
      </c>
      <c r="H29" s="514" t="s">
        <v>90</v>
      </c>
      <c r="I29" s="514" t="s">
        <v>91</v>
      </c>
      <c r="J29" s="514" t="s">
        <v>92</v>
      </c>
      <c r="K29" s="514" t="s">
        <v>93</v>
      </c>
      <c r="L29" s="514" t="s">
        <v>94</v>
      </c>
      <c r="M29" s="515" t="s">
        <v>95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2:25" x14ac:dyDescent="0.2">
      <c r="B30" s="1"/>
      <c r="C30" s="338"/>
      <c r="D30" s="339">
        <v>1</v>
      </c>
      <c r="E30" s="339" t="s">
        <v>96</v>
      </c>
      <c r="F30" s="340" t="s">
        <v>97</v>
      </c>
      <c r="G30" s="340">
        <v>2201</v>
      </c>
      <c r="H30" s="339">
        <v>20823</v>
      </c>
      <c r="I30" s="341">
        <v>40000</v>
      </c>
      <c r="J30" s="339">
        <v>138.15</v>
      </c>
      <c r="K30" s="342">
        <f>I30/I$35</f>
        <v>4.7058823529411764E-2</v>
      </c>
      <c r="L30" s="343">
        <f>ROUND(K30*E$10,2)</f>
        <v>217785.79</v>
      </c>
      <c r="M30" s="344">
        <f>L30*$I$10</f>
        <v>4137930.0100000002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2:25" x14ac:dyDescent="0.2">
      <c r="B31" s="1"/>
      <c r="C31" s="338"/>
      <c r="D31" s="339">
        <v>2</v>
      </c>
      <c r="E31" s="339" t="s">
        <v>98</v>
      </c>
      <c r="F31" s="340" t="s">
        <v>97</v>
      </c>
      <c r="G31" s="340">
        <v>2201</v>
      </c>
      <c r="H31" s="339">
        <v>20824</v>
      </c>
      <c r="I31" s="341">
        <v>40000</v>
      </c>
      <c r="J31" s="339">
        <v>138.15</v>
      </c>
      <c r="K31" s="342">
        <f>I31/I$35</f>
        <v>4.7058823529411764E-2</v>
      </c>
      <c r="L31" s="343">
        <f>ROUND(K31*E$10,2)</f>
        <v>217785.79</v>
      </c>
      <c r="M31" s="344">
        <f>L31*$I$10</f>
        <v>4137930.0100000002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2:25" x14ac:dyDescent="0.2">
      <c r="B32" s="1"/>
      <c r="C32" s="338"/>
      <c r="D32" s="339">
        <v>1</v>
      </c>
      <c r="E32" s="339" t="s">
        <v>99</v>
      </c>
      <c r="F32" s="340" t="s">
        <v>100</v>
      </c>
      <c r="G32" s="340">
        <v>2230</v>
      </c>
      <c r="H32" s="339">
        <v>22228</v>
      </c>
      <c r="I32" s="341">
        <v>32000</v>
      </c>
      <c r="J32" s="339">
        <v>130.80000000000001</v>
      </c>
      <c r="K32" s="342">
        <f>I32/I$35</f>
        <v>3.7647058823529408E-2</v>
      </c>
      <c r="L32" s="343">
        <f>ROUND(K32*E$10,2)</f>
        <v>174228.63</v>
      </c>
      <c r="M32" s="344">
        <f>L32*$I$10</f>
        <v>3310343.97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2:25" x14ac:dyDescent="0.2">
      <c r="B33" s="1"/>
      <c r="C33" s="338">
        <v>800762390</v>
      </c>
      <c r="D33" s="339">
        <v>1</v>
      </c>
      <c r="E33" s="354" t="s">
        <v>101</v>
      </c>
      <c r="F33" s="463" t="s">
        <v>23</v>
      </c>
      <c r="G33" s="463">
        <v>2044</v>
      </c>
      <c r="H33" s="354">
        <v>591000420</v>
      </c>
      <c r="I33" s="341">
        <v>80000</v>
      </c>
      <c r="J33" s="339"/>
      <c r="K33" s="342">
        <f>I33/I$35</f>
        <v>9.4117647058823528E-2</v>
      </c>
      <c r="L33" s="343">
        <f>ROUND(K33*E$10,2)</f>
        <v>435571.58</v>
      </c>
      <c r="M33" s="344">
        <f>L33*$I$10</f>
        <v>8275860.0200000005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2:25" ht="15" thickBot="1" x14ac:dyDescent="0.25">
      <c r="B34" s="1"/>
      <c r="C34" s="345">
        <v>800642440</v>
      </c>
      <c r="D34" s="346">
        <v>5</v>
      </c>
      <c r="E34" s="347" t="s">
        <v>101</v>
      </c>
      <c r="F34" s="348" t="s">
        <v>159</v>
      </c>
      <c r="G34" s="348">
        <v>2277</v>
      </c>
      <c r="H34" s="347">
        <v>22770</v>
      </c>
      <c r="I34" s="349">
        <f>850000-I30-I31-I32-I33</f>
        <v>658000</v>
      </c>
      <c r="J34" s="346"/>
      <c r="K34" s="350">
        <f>I34/I$35</f>
        <v>0.77411764705882358</v>
      </c>
      <c r="L34" s="351">
        <f>ROUND(K34*E$10,2)</f>
        <v>3582576.28</v>
      </c>
      <c r="M34" s="352">
        <f>L34*$I$10</f>
        <v>68068949.319999993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2:25" x14ac:dyDescent="0.2">
      <c r="B35" s="1"/>
      <c r="C35" s="406">
        <v>3000623</v>
      </c>
      <c r="D35" s="353" t="s">
        <v>102</v>
      </c>
      <c r="E35" s="353"/>
      <c r="F35" s="353"/>
      <c r="G35" s="353"/>
      <c r="H35" s="354"/>
      <c r="I35" s="355">
        <f>SUM(I30:I34)</f>
        <v>850000</v>
      </c>
      <c r="J35" s="353"/>
      <c r="K35" s="356">
        <f>SUM(K30:K34)</f>
        <v>1</v>
      </c>
      <c r="L35" s="357">
        <f>SUM(L30:L34)</f>
        <v>4627948.07</v>
      </c>
      <c r="M35" s="357">
        <f>SUM(M30:M33)</f>
        <v>19862064.010000002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2:25" x14ac:dyDescent="0.2">
      <c r="B36" s="1"/>
      <c r="C36" s="336"/>
      <c r="D36" s="336"/>
      <c r="E36" s="336"/>
      <c r="F36" s="358"/>
      <c r="G36" s="358"/>
      <c r="H36" s="336"/>
      <c r="I36" s="336"/>
      <c r="J36" s="336"/>
      <c r="K36" s="336"/>
      <c r="L36" s="359"/>
      <c r="M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2:25" x14ac:dyDescent="0.2">
      <c r="B37" s="1"/>
      <c r="C37" s="336"/>
      <c r="D37" s="336"/>
      <c r="E37" s="336"/>
      <c r="F37" s="358"/>
      <c r="G37" s="358"/>
      <c r="H37" s="336"/>
      <c r="I37" s="336"/>
      <c r="J37" s="336"/>
      <c r="K37" s="336"/>
      <c r="L37" s="359"/>
      <c r="M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2:25" x14ac:dyDescent="0.2">
      <c r="B38" s="1"/>
      <c r="C38" s="336"/>
      <c r="D38" s="336"/>
      <c r="E38" s="336"/>
      <c r="F38" s="358"/>
      <c r="G38" s="358"/>
      <c r="H38" s="336"/>
      <c r="I38" s="336"/>
      <c r="J38" s="336"/>
      <c r="K38" s="336"/>
      <c r="L38" s="359"/>
      <c r="M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2:25" ht="15" thickBot="1" x14ac:dyDescent="0.25">
      <c r="B39" s="1"/>
      <c r="C39" s="2266" t="s">
        <v>103</v>
      </c>
      <c r="D39" s="2266"/>
      <c r="E39" s="2266"/>
      <c r="F39" s="2266"/>
      <c r="G39" s="519"/>
      <c r="H39" s="334"/>
      <c r="I39" s="334"/>
      <c r="J39" s="334"/>
      <c r="K39" s="336"/>
      <c r="L39" s="336"/>
      <c r="M39" s="360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2:25" ht="22.5" x14ac:dyDescent="0.2">
      <c r="B40" s="1"/>
      <c r="C40" s="337" t="s">
        <v>87</v>
      </c>
      <c r="D40" s="514" t="s">
        <v>88</v>
      </c>
      <c r="E40" s="514" t="s">
        <v>89</v>
      </c>
      <c r="F40" s="514" t="s">
        <v>20</v>
      </c>
      <c r="G40" s="514"/>
      <c r="H40" s="514" t="s">
        <v>90</v>
      </c>
      <c r="I40" s="514" t="s">
        <v>104</v>
      </c>
      <c r="J40" s="514" t="s">
        <v>93</v>
      </c>
      <c r="K40" s="514" t="s">
        <v>92</v>
      </c>
      <c r="L40" s="514" t="s">
        <v>94</v>
      </c>
      <c r="M40" s="515" t="s">
        <v>95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2:25" x14ac:dyDescent="0.2">
      <c r="B41" s="1"/>
      <c r="C41" s="338"/>
      <c r="D41" s="339">
        <v>1</v>
      </c>
      <c r="E41" s="339" t="s">
        <v>96</v>
      </c>
      <c r="F41" s="340" t="s">
        <v>97</v>
      </c>
      <c r="G41" s="340"/>
      <c r="H41" s="339">
        <v>20823</v>
      </c>
      <c r="I41" s="341">
        <f>M80</f>
        <v>0</v>
      </c>
      <c r="J41" s="342" t="e">
        <f>I41/I$45</f>
        <v>#DIV/0!</v>
      </c>
      <c r="K41" s="339">
        <v>138.15</v>
      </c>
      <c r="L41" s="343" t="e">
        <f>ROUND(J41*$E$11,2)</f>
        <v>#DIV/0!</v>
      </c>
      <c r="M41" s="344" t="e">
        <f>L41*L24</f>
        <v>#DIV/0!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2:25" x14ac:dyDescent="0.2">
      <c r="B42" s="1"/>
      <c r="C42" s="338"/>
      <c r="D42" s="339">
        <v>2</v>
      </c>
      <c r="E42" s="339" t="s">
        <v>98</v>
      </c>
      <c r="F42" s="340" t="s">
        <v>97</v>
      </c>
      <c r="G42" s="340"/>
      <c r="H42" s="339">
        <v>20824</v>
      </c>
      <c r="I42" s="341">
        <f>N80</f>
        <v>0</v>
      </c>
      <c r="J42" s="342" t="e">
        <f>I42/I$45</f>
        <v>#DIV/0!</v>
      </c>
      <c r="K42" s="339">
        <v>138.15</v>
      </c>
      <c r="L42" s="343" t="e">
        <f>ROUND(J42*$E$11,2)</f>
        <v>#DIV/0!</v>
      </c>
      <c r="M42" s="344" t="e">
        <f>L42*L25</f>
        <v>#DIV/0!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2:25" x14ac:dyDescent="0.2">
      <c r="B43" s="1"/>
      <c r="C43" s="338"/>
      <c r="D43" s="339">
        <v>1</v>
      </c>
      <c r="E43" s="339" t="s">
        <v>99</v>
      </c>
      <c r="F43" s="340" t="s">
        <v>100</v>
      </c>
      <c r="G43" s="340"/>
      <c r="H43" s="339">
        <v>22228</v>
      </c>
      <c r="I43" s="341">
        <f>O80</f>
        <v>0</v>
      </c>
      <c r="J43" s="342" t="e">
        <f>I43/I$45</f>
        <v>#DIV/0!</v>
      </c>
      <c r="K43" s="339">
        <v>130.80000000000001</v>
      </c>
      <c r="L43" s="343" t="e">
        <f>ROUND(J43*$E$11,2)</f>
        <v>#DIV/0!</v>
      </c>
      <c r="M43" s="344" t="e">
        <f>L43*L26</f>
        <v>#DIV/0!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2:25" ht="15" thickBot="1" x14ac:dyDescent="0.25">
      <c r="B44" s="1"/>
      <c r="C44" s="345">
        <v>800762390</v>
      </c>
      <c r="D44" s="346">
        <v>2</v>
      </c>
      <c r="E44" s="347" t="s">
        <v>101</v>
      </c>
      <c r="F44" s="348" t="s">
        <v>23</v>
      </c>
      <c r="G44" s="348"/>
      <c r="H44" s="347"/>
      <c r="I44" s="349">
        <f>L80</f>
        <v>0</v>
      </c>
      <c r="J44" s="350" t="e">
        <f>I44/I$45</f>
        <v>#DIV/0!</v>
      </c>
      <c r="K44" s="346">
        <v>138.15</v>
      </c>
      <c r="L44" s="351" t="e">
        <f>ROUND(J44*$E$11,2)</f>
        <v>#DIV/0!</v>
      </c>
      <c r="M44" s="352" t="e">
        <f>L44*L27</f>
        <v>#DIV/0!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2:25" x14ac:dyDescent="0.2">
      <c r="B45" s="1"/>
      <c r="C45" s="353"/>
      <c r="D45" s="353"/>
      <c r="E45" s="353"/>
      <c r="F45" s="353"/>
      <c r="G45" s="353"/>
      <c r="H45" s="354"/>
      <c r="I45" s="449">
        <f>SUM(I41:I44)</f>
        <v>0</v>
      </c>
      <c r="J45" s="355"/>
      <c r="K45" s="353"/>
      <c r="L45" s="357" t="e">
        <f>SUM(L41:L44)</f>
        <v>#DIV/0!</v>
      </c>
      <c r="M45" s="357" t="e">
        <f>SUM(M41:M44)</f>
        <v>#DIV/0!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2:25" customFormat="1" ht="15" thickBot="1" x14ac:dyDescent="0.25">
      <c r="M46" s="450"/>
      <c r="N46" s="450"/>
      <c r="O46" s="450"/>
      <c r="P46" s="450"/>
      <c r="Q46" s="450"/>
      <c r="R46" s="450"/>
      <c r="S46" s="450"/>
      <c r="T46" s="450"/>
      <c r="U46" s="450"/>
      <c r="V46" s="450"/>
      <c r="W46" s="450"/>
      <c r="X46" s="450"/>
      <c r="Y46" s="450"/>
    </row>
    <row r="47" spans="2:25" ht="15" thickBot="1" x14ac:dyDescent="0.25">
      <c r="B47" s="434" t="s">
        <v>3</v>
      </c>
      <c r="C47" s="333">
        <f>SUMIF(Tarifas!E4:E303,'Septiembre - 2013'!C49,Tarifas!D4:D303)</f>
        <v>2</v>
      </c>
      <c r="D47" s="425" t="s">
        <v>147</v>
      </c>
      <c r="E47" s="426" t="s">
        <v>145</v>
      </c>
      <c r="F47" s="426" t="s">
        <v>150</v>
      </c>
      <c r="G47" s="426" t="s">
        <v>148</v>
      </c>
      <c r="H47" s="382"/>
      <c r="I47" s="331" t="s">
        <v>120</v>
      </c>
      <c r="J47" s="332"/>
      <c r="K47" s="332"/>
      <c r="L47" s="364" t="s">
        <v>105</v>
      </c>
      <c r="M47" s="365"/>
      <c r="N47" s="365"/>
      <c r="O47" s="365"/>
      <c r="P47" s="365"/>
      <c r="Q47" s="365"/>
      <c r="R47" s="366"/>
      <c r="S47" s="2267" t="s">
        <v>121</v>
      </c>
      <c r="T47" s="2268"/>
      <c r="U47" s="2268"/>
      <c r="V47" s="2268"/>
      <c r="W47" s="2268"/>
      <c r="X47" s="2268"/>
      <c r="Y47" s="2269"/>
    </row>
    <row r="48" spans="2:25" ht="33.75" x14ac:dyDescent="0.2">
      <c r="C48" s="383" t="s">
        <v>122</v>
      </c>
      <c r="D48" s="384" t="s">
        <v>125</v>
      </c>
      <c r="E48" s="385" t="s">
        <v>149</v>
      </c>
      <c r="F48" s="385" t="s">
        <v>151</v>
      </c>
      <c r="G48" s="385" t="s">
        <v>152</v>
      </c>
      <c r="H48" s="386" t="s">
        <v>123</v>
      </c>
      <c r="I48" s="329" t="s">
        <v>109</v>
      </c>
      <c r="J48" s="330" t="s">
        <v>25</v>
      </c>
      <c r="K48" s="330" t="s">
        <v>26</v>
      </c>
      <c r="L48" s="367" t="s">
        <v>115</v>
      </c>
      <c r="M48" s="362" t="s">
        <v>106</v>
      </c>
      <c r="N48" s="362" t="s">
        <v>107</v>
      </c>
      <c r="O48" s="362" t="s">
        <v>108</v>
      </c>
      <c r="P48" s="362" t="s">
        <v>115</v>
      </c>
      <c r="Q48" s="363" t="s">
        <v>116</v>
      </c>
      <c r="R48" s="368" t="s">
        <v>117</v>
      </c>
      <c r="S48" s="369" t="s">
        <v>110</v>
      </c>
      <c r="T48" s="370" t="s">
        <v>111</v>
      </c>
      <c r="U48" s="370" t="s">
        <v>112</v>
      </c>
      <c r="V48" s="371" t="s">
        <v>118</v>
      </c>
      <c r="W48" s="371" t="s">
        <v>119</v>
      </c>
      <c r="X48" s="371" t="s">
        <v>114</v>
      </c>
      <c r="Y48" s="372" t="s">
        <v>113</v>
      </c>
    </row>
    <row r="49" spans="3:25" x14ac:dyDescent="0.2">
      <c r="C49" s="387">
        <f>G7</f>
        <v>41518</v>
      </c>
      <c r="D49" s="388">
        <f>($F$24*$H$24)/$G$24</f>
        <v>86052.549333333329</v>
      </c>
      <c r="E49" s="389">
        <f>P49+Q49+R49</f>
        <v>0</v>
      </c>
      <c r="F49" s="427">
        <f t="shared" ref="F49:F78" si="0">TRUNC(IFERROR(J$24/K$24,0),8)</f>
        <v>0.90615690000000004</v>
      </c>
      <c r="G49" s="390">
        <f t="shared" ref="G49:G78" si="1">ROUND(I$24*F49*E49,4)</f>
        <v>0</v>
      </c>
      <c r="H49" s="391">
        <f t="shared" ref="H49:H78" si="2">SUM(D49:G49)</f>
        <v>86053.455490233333</v>
      </c>
      <c r="I49" s="324"/>
      <c r="J49" s="325"/>
      <c r="K49" s="325"/>
      <c r="L49" s="317"/>
      <c r="M49" s="318"/>
      <c r="N49" s="318"/>
      <c r="O49" s="318"/>
      <c r="P49" s="389">
        <f>L49</f>
        <v>0</v>
      </c>
      <c r="Q49" s="389">
        <f t="shared" ref="Q49:Q78" si="3">M49+N49</f>
        <v>0</v>
      </c>
      <c r="R49" s="389">
        <f t="shared" ref="R49:R78" si="4">O49</f>
        <v>0</v>
      </c>
      <c r="S49" s="373"/>
      <c r="T49" s="374"/>
      <c r="U49" s="524">
        <f>S49+T49-V49</f>
        <v>0</v>
      </c>
      <c r="V49" s="520">
        <f>I49+J49+K49</f>
        <v>0</v>
      </c>
      <c r="W49" s="524">
        <f>(P49+Q49+R49)*1.055056</f>
        <v>0</v>
      </c>
      <c r="X49" s="520">
        <f>V49-W49</f>
        <v>0</v>
      </c>
      <c r="Y49" s="525">
        <f>AL46+X49</f>
        <v>0</v>
      </c>
    </row>
    <row r="50" spans="3:25" x14ac:dyDescent="0.2">
      <c r="C50" s="387">
        <f t="shared" ref="C50:C78" si="5">C49+1</f>
        <v>41519</v>
      </c>
      <c r="D50" s="388">
        <f t="shared" ref="D50:D78" si="6">($F$24*$H$24)/$G$24</f>
        <v>86052.549333333329</v>
      </c>
      <c r="E50" s="392">
        <f t="shared" ref="E50:E78" si="7">P50+Q50+R50</f>
        <v>0</v>
      </c>
      <c r="F50" s="428">
        <f t="shared" si="0"/>
        <v>0.90615690000000004</v>
      </c>
      <c r="G50" s="390">
        <f t="shared" si="1"/>
        <v>0</v>
      </c>
      <c r="H50" s="391">
        <f t="shared" si="2"/>
        <v>86053.455490233333</v>
      </c>
      <c r="I50" s="324"/>
      <c r="J50" s="325"/>
      <c r="K50" s="325"/>
      <c r="L50" s="319"/>
      <c r="M50" s="320"/>
      <c r="N50" s="320"/>
      <c r="O50" s="320"/>
      <c r="P50" s="392">
        <f t="shared" ref="P50:P78" si="8">L50</f>
        <v>0</v>
      </c>
      <c r="Q50" s="392">
        <f t="shared" si="3"/>
        <v>0</v>
      </c>
      <c r="R50" s="392">
        <f t="shared" si="4"/>
        <v>0</v>
      </c>
      <c r="S50" s="373"/>
      <c r="T50" s="374"/>
      <c r="U50" s="524">
        <f t="shared" ref="U50:U78" si="9">S50+T50-V50</f>
        <v>0</v>
      </c>
      <c r="V50" s="520">
        <f t="shared" ref="V50:V78" si="10">I50+J50+K50</f>
        <v>0</v>
      </c>
      <c r="W50" s="524">
        <f t="shared" ref="W50:W78" si="11">(P50+Q50+R50)*1.055056</f>
        <v>0</v>
      </c>
      <c r="X50" s="520">
        <f t="shared" ref="X50:X78" si="12">V50-W50</f>
        <v>0</v>
      </c>
      <c r="Y50" s="525">
        <f>Y49+X50</f>
        <v>0</v>
      </c>
    </row>
    <row r="51" spans="3:25" x14ac:dyDescent="0.2">
      <c r="C51" s="387">
        <f t="shared" si="5"/>
        <v>41520</v>
      </c>
      <c r="D51" s="388">
        <f t="shared" si="6"/>
        <v>86052.549333333329</v>
      </c>
      <c r="E51" s="392">
        <f t="shared" si="7"/>
        <v>0</v>
      </c>
      <c r="F51" s="428">
        <f t="shared" si="0"/>
        <v>0.90615690000000004</v>
      </c>
      <c r="G51" s="390">
        <f t="shared" si="1"/>
        <v>0</v>
      </c>
      <c r="H51" s="391">
        <f t="shared" si="2"/>
        <v>86053.455490233333</v>
      </c>
      <c r="I51" s="324"/>
      <c r="J51" s="325"/>
      <c r="K51" s="325"/>
      <c r="L51" s="317"/>
      <c r="M51" s="318"/>
      <c r="N51" s="318"/>
      <c r="O51" s="318"/>
      <c r="P51" s="392">
        <f t="shared" si="8"/>
        <v>0</v>
      </c>
      <c r="Q51" s="392">
        <f t="shared" si="3"/>
        <v>0</v>
      </c>
      <c r="R51" s="392">
        <f t="shared" si="4"/>
        <v>0</v>
      </c>
      <c r="S51" s="373"/>
      <c r="T51" s="374"/>
      <c r="U51" s="524">
        <f t="shared" si="9"/>
        <v>0</v>
      </c>
      <c r="V51" s="520">
        <f t="shared" si="10"/>
        <v>0</v>
      </c>
      <c r="W51" s="524">
        <f t="shared" si="11"/>
        <v>0</v>
      </c>
      <c r="X51" s="520">
        <f t="shared" si="12"/>
        <v>0</v>
      </c>
      <c r="Y51" s="525">
        <f t="shared" ref="Y51:Y78" si="13">Y50+X51</f>
        <v>0</v>
      </c>
    </row>
    <row r="52" spans="3:25" x14ac:dyDescent="0.2">
      <c r="C52" s="387">
        <f t="shared" si="5"/>
        <v>41521</v>
      </c>
      <c r="D52" s="388">
        <f t="shared" si="6"/>
        <v>86052.549333333329</v>
      </c>
      <c r="E52" s="392">
        <f t="shared" si="7"/>
        <v>0</v>
      </c>
      <c r="F52" s="428">
        <f t="shared" si="0"/>
        <v>0.90615690000000004</v>
      </c>
      <c r="G52" s="390">
        <f t="shared" si="1"/>
        <v>0</v>
      </c>
      <c r="H52" s="391">
        <f t="shared" si="2"/>
        <v>86053.455490233333</v>
      </c>
      <c r="I52" s="324"/>
      <c r="J52" s="325"/>
      <c r="K52" s="325"/>
      <c r="L52" s="319"/>
      <c r="M52" s="320"/>
      <c r="N52" s="320"/>
      <c r="O52" s="320"/>
      <c r="P52" s="392">
        <f t="shared" si="8"/>
        <v>0</v>
      </c>
      <c r="Q52" s="392">
        <f t="shared" si="3"/>
        <v>0</v>
      </c>
      <c r="R52" s="392">
        <f t="shared" si="4"/>
        <v>0</v>
      </c>
      <c r="S52" s="373"/>
      <c r="T52" s="374"/>
      <c r="U52" s="524">
        <f t="shared" si="9"/>
        <v>0</v>
      </c>
      <c r="V52" s="520">
        <f t="shared" si="10"/>
        <v>0</v>
      </c>
      <c r="W52" s="524">
        <f t="shared" si="11"/>
        <v>0</v>
      </c>
      <c r="X52" s="520">
        <f t="shared" si="12"/>
        <v>0</v>
      </c>
      <c r="Y52" s="525">
        <f t="shared" si="13"/>
        <v>0</v>
      </c>
    </row>
    <row r="53" spans="3:25" x14ac:dyDescent="0.2">
      <c r="C53" s="387">
        <f t="shared" si="5"/>
        <v>41522</v>
      </c>
      <c r="D53" s="388">
        <f t="shared" si="6"/>
        <v>86052.549333333329</v>
      </c>
      <c r="E53" s="392">
        <f t="shared" si="7"/>
        <v>0</v>
      </c>
      <c r="F53" s="428">
        <f t="shared" si="0"/>
        <v>0.90615690000000004</v>
      </c>
      <c r="G53" s="390">
        <f t="shared" si="1"/>
        <v>0</v>
      </c>
      <c r="H53" s="391">
        <f t="shared" si="2"/>
        <v>86053.455490233333</v>
      </c>
      <c r="I53" s="324"/>
      <c r="J53" s="325"/>
      <c r="K53" s="325"/>
      <c r="L53" s="317"/>
      <c r="M53" s="318"/>
      <c r="N53" s="318"/>
      <c r="O53" s="318"/>
      <c r="P53" s="392">
        <f t="shared" si="8"/>
        <v>0</v>
      </c>
      <c r="Q53" s="392">
        <f t="shared" si="3"/>
        <v>0</v>
      </c>
      <c r="R53" s="392">
        <f t="shared" si="4"/>
        <v>0</v>
      </c>
      <c r="S53" s="373"/>
      <c r="T53" s="374"/>
      <c r="U53" s="524">
        <f t="shared" si="9"/>
        <v>0</v>
      </c>
      <c r="V53" s="520">
        <f t="shared" si="10"/>
        <v>0</v>
      </c>
      <c r="W53" s="524">
        <f t="shared" si="11"/>
        <v>0</v>
      </c>
      <c r="X53" s="520">
        <f t="shared" si="12"/>
        <v>0</v>
      </c>
      <c r="Y53" s="525">
        <f t="shared" si="13"/>
        <v>0</v>
      </c>
    </row>
    <row r="54" spans="3:25" x14ac:dyDescent="0.2">
      <c r="C54" s="387">
        <f t="shared" si="5"/>
        <v>41523</v>
      </c>
      <c r="D54" s="388">
        <f t="shared" si="6"/>
        <v>86052.549333333329</v>
      </c>
      <c r="E54" s="392">
        <f t="shared" si="7"/>
        <v>0</v>
      </c>
      <c r="F54" s="428">
        <f t="shared" si="0"/>
        <v>0.90615690000000004</v>
      </c>
      <c r="G54" s="390">
        <f t="shared" si="1"/>
        <v>0</v>
      </c>
      <c r="H54" s="391">
        <f t="shared" si="2"/>
        <v>86053.455490233333</v>
      </c>
      <c r="I54" s="324"/>
      <c r="J54" s="325"/>
      <c r="K54" s="325"/>
      <c r="L54" s="319"/>
      <c r="M54" s="320"/>
      <c r="N54" s="320"/>
      <c r="O54" s="320"/>
      <c r="P54" s="392">
        <f t="shared" si="8"/>
        <v>0</v>
      </c>
      <c r="Q54" s="392">
        <f t="shared" si="3"/>
        <v>0</v>
      </c>
      <c r="R54" s="392">
        <f t="shared" si="4"/>
        <v>0</v>
      </c>
      <c r="S54" s="373"/>
      <c r="T54" s="374"/>
      <c r="U54" s="524">
        <f t="shared" si="9"/>
        <v>0</v>
      </c>
      <c r="V54" s="520">
        <f t="shared" si="10"/>
        <v>0</v>
      </c>
      <c r="W54" s="524">
        <f t="shared" si="11"/>
        <v>0</v>
      </c>
      <c r="X54" s="520">
        <f t="shared" si="12"/>
        <v>0</v>
      </c>
      <c r="Y54" s="525">
        <f t="shared" si="13"/>
        <v>0</v>
      </c>
    </row>
    <row r="55" spans="3:25" x14ac:dyDescent="0.2">
      <c r="C55" s="387">
        <f t="shared" si="5"/>
        <v>41524</v>
      </c>
      <c r="D55" s="388">
        <f t="shared" si="6"/>
        <v>86052.549333333329</v>
      </c>
      <c r="E55" s="392">
        <f t="shared" si="7"/>
        <v>0</v>
      </c>
      <c r="F55" s="428">
        <f t="shared" si="0"/>
        <v>0.90615690000000004</v>
      </c>
      <c r="G55" s="390">
        <f t="shared" si="1"/>
        <v>0</v>
      </c>
      <c r="H55" s="391">
        <f t="shared" si="2"/>
        <v>86053.455490233333</v>
      </c>
      <c r="I55" s="324"/>
      <c r="J55" s="325"/>
      <c r="K55" s="325"/>
      <c r="L55" s="317"/>
      <c r="M55" s="318"/>
      <c r="N55" s="318"/>
      <c r="O55" s="318"/>
      <c r="P55" s="392">
        <f t="shared" si="8"/>
        <v>0</v>
      </c>
      <c r="Q55" s="392">
        <f t="shared" si="3"/>
        <v>0</v>
      </c>
      <c r="R55" s="392">
        <f t="shared" si="4"/>
        <v>0</v>
      </c>
      <c r="S55" s="373"/>
      <c r="T55" s="374"/>
      <c r="U55" s="524">
        <f t="shared" si="9"/>
        <v>0</v>
      </c>
      <c r="V55" s="520">
        <f t="shared" si="10"/>
        <v>0</v>
      </c>
      <c r="W55" s="524">
        <f t="shared" si="11"/>
        <v>0</v>
      </c>
      <c r="X55" s="520">
        <f t="shared" si="12"/>
        <v>0</v>
      </c>
      <c r="Y55" s="525">
        <f t="shared" si="13"/>
        <v>0</v>
      </c>
    </row>
    <row r="56" spans="3:25" x14ac:dyDescent="0.2">
      <c r="C56" s="387">
        <f t="shared" si="5"/>
        <v>41525</v>
      </c>
      <c r="D56" s="388">
        <f t="shared" si="6"/>
        <v>86052.549333333329</v>
      </c>
      <c r="E56" s="392">
        <f t="shared" si="7"/>
        <v>0</v>
      </c>
      <c r="F56" s="428">
        <f t="shared" si="0"/>
        <v>0.90615690000000004</v>
      </c>
      <c r="G56" s="390">
        <f t="shared" si="1"/>
        <v>0</v>
      </c>
      <c r="H56" s="391">
        <f t="shared" si="2"/>
        <v>86053.455490233333</v>
      </c>
      <c r="I56" s="324"/>
      <c r="J56" s="325"/>
      <c r="K56" s="325"/>
      <c r="L56" s="319"/>
      <c r="M56" s="320"/>
      <c r="N56" s="320"/>
      <c r="O56" s="320"/>
      <c r="P56" s="392">
        <f t="shared" si="8"/>
        <v>0</v>
      </c>
      <c r="Q56" s="392">
        <f t="shared" si="3"/>
        <v>0</v>
      </c>
      <c r="R56" s="392">
        <f t="shared" si="4"/>
        <v>0</v>
      </c>
      <c r="S56" s="373"/>
      <c r="T56" s="374"/>
      <c r="U56" s="524">
        <f t="shared" si="9"/>
        <v>0</v>
      </c>
      <c r="V56" s="520">
        <f t="shared" si="10"/>
        <v>0</v>
      </c>
      <c r="W56" s="524">
        <f t="shared" si="11"/>
        <v>0</v>
      </c>
      <c r="X56" s="520">
        <f t="shared" si="12"/>
        <v>0</v>
      </c>
      <c r="Y56" s="525">
        <f t="shared" si="13"/>
        <v>0</v>
      </c>
    </row>
    <row r="57" spans="3:25" x14ac:dyDescent="0.2">
      <c r="C57" s="387">
        <f t="shared" si="5"/>
        <v>41526</v>
      </c>
      <c r="D57" s="388">
        <f t="shared" si="6"/>
        <v>86052.549333333329</v>
      </c>
      <c r="E57" s="392">
        <f t="shared" si="7"/>
        <v>0</v>
      </c>
      <c r="F57" s="428">
        <f t="shared" si="0"/>
        <v>0.90615690000000004</v>
      </c>
      <c r="G57" s="390">
        <f t="shared" si="1"/>
        <v>0</v>
      </c>
      <c r="H57" s="391">
        <f t="shared" si="2"/>
        <v>86053.455490233333</v>
      </c>
      <c r="I57" s="324"/>
      <c r="J57" s="325"/>
      <c r="K57" s="325"/>
      <c r="L57" s="317"/>
      <c r="M57" s="318"/>
      <c r="N57" s="318"/>
      <c r="O57" s="318"/>
      <c r="P57" s="392">
        <f t="shared" si="8"/>
        <v>0</v>
      </c>
      <c r="Q57" s="392">
        <f t="shared" si="3"/>
        <v>0</v>
      </c>
      <c r="R57" s="392">
        <f t="shared" si="4"/>
        <v>0</v>
      </c>
      <c r="S57" s="373"/>
      <c r="T57" s="374"/>
      <c r="U57" s="524">
        <f t="shared" si="9"/>
        <v>0</v>
      </c>
      <c r="V57" s="520">
        <f t="shared" si="10"/>
        <v>0</v>
      </c>
      <c r="W57" s="524">
        <f t="shared" si="11"/>
        <v>0</v>
      </c>
      <c r="X57" s="520">
        <f t="shared" si="12"/>
        <v>0</v>
      </c>
      <c r="Y57" s="525">
        <f t="shared" si="13"/>
        <v>0</v>
      </c>
    </row>
    <row r="58" spans="3:25" x14ac:dyDescent="0.2">
      <c r="C58" s="387">
        <f t="shared" si="5"/>
        <v>41527</v>
      </c>
      <c r="D58" s="388">
        <f t="shared" si="6"/>
        <v>86052.549333333329</v>
      </c>
      <c r="E58" s="392">
        <f t="shared" si="7"/>
        <v>0</v>
      </c>
      <c r="F58" s="428">
        <f t="shared" si="0"/>
        <v>0.90615690000000004</v>
      </c>
      <c r="G58" s="390">
        <f t="shared" si="1"/>
        <v>0</v>
      </c>
      <c r="H58" s="391">
        <f t="shared" si="2"/>
        <v>86053.455490233333</v>
      </c>
      <c r="I58" s="324"/>
      <c r="J58" s="325"/>
      <c r="K58" s="325"/>
      <c r="L58" s="319"/>
      <c r="M58" s="320"/>
      <c r="N58" s="320"/>
      <c r="O58" s="320"/>
      <c r="P58" s="392">
        <f t="shared" si="8"/>
        <v>0</v>
      </c>
      <c r="Q58" s="392">
        <f t="shared" si="3"/>
        <v>0</v>
      </c>
      <c r="R58" s="392">
        <f t="shared" si="4"/>
        <v>0</v>
      </c>
      <c r="S58" s="373"/>
      <c r="T58" s="374"/>
      <c r="U58" s="524">
        <f t="shared" si="9"/>
        <v>0</v>
      </c>
      <c r="V58" s="520">
        <f t="shared" si="10"/>
        <v>0</v>
      </c>
      <c r="W58" s="524">
        <f t="shared" si="11"/>
        <v>0</v>
      </c>
      <c r="X58" s="520">
        <f t="shared" si="12"/>
        <v>0</v>
      </c>
      <c r="Y58" s="525">
        <f t="shared" si="13"/>
        <v>0</v>
      </c>
    </row>
    <row r="59" spans="3:25" x14ac:dyDescent="0.2">
      <c r="C59" s="387">
        <f t="shared" si="5"/>
        <v>41528</v>
      </c>
      <c r="D59" s="388">
        <f t="shared" si="6"/>
        <v>86052.549333333329</v>
      </c>
      <c r="E59" s="392">
        <f t="shared" si="7"/>
        <v>0</v>
      </c>
      <c r="F59" s="428">
        <f t="shared" si="0"/>
        <v>0.90615690000000004</v>
      </c>
      <c r="G59" s="390">
        <f t="shared" si="1"/>
        <v>0</v>
      </c>
      <c r="H59" s="391">
        <f t="shared" si="2"/>
        <v>86053.455490233333</v>
      </c>
      <c r="I59" s="324"/>
      <c r="J59" s="325"/>
      <c r="K59" s="325"/>
      <c r="L59" s="317"/>
      <c r="M59" s="318"/>
      <c r="N59" s="318"/>
      <c r="O59" s="318"/>
      <c r="P59" s="392">
        <f t="shared" si="8"/>
        <v>0</v>
      </c>
      <c r="Q59" s="392">
        <f t="shared" si="3"/>
        <v>0</v>
      </c>
      <c r="R59" s="392">
        <f t="shared" si="4"/>
        <v>0</v>
      </c>
      <c r="S59" s="373"/>
      <c r="T59" s="374"/>
      <c r="U59" s="524">
        <f t="shared" si="9"/>
        <v>0</v>
      </c>
      <c r="V59" s="520">
        <f t="shared" si="10"/>
        <v>0</v>
      </c>
      <c r="W59" s="524">
        <f t="shared" si="11"/>
        <v>0</v>
      </c>
      <c r="X59" s="520">
        <f t="shared" si="12"/>
        <v>0</v>
      </c>
      <c r="Y59" s="525">
        <f t="shared" si="13"/>
        <v>0</v>
      </c>
    </row>
    <row r="60" spans="3:25" x14ac:dyDescent="0.2">
      <c r="C60" s="387">
        <f t="shared" si="5"/>
        <v>41529</v>
      </c>
      <c r="D60" s="388">
        <f t="shared" si="6"/>
        <v>86052.549333333329</v>
      </c>
      <c r="E60" s="392">
        <f t="shared" si="7"/>
        <v>0</v>
      </c>
      <c r="F60" s="428">
        <f t="shared" si="0"/>
        <v>0.90615690000000004</v>
      </c>
      <c r="G60" s="390">
        <f t="shared" si="1"/>
        <v>0</v>
      </c>
      <c r="H60" s="391">
        <f t="shared" si="2"/>
        <v>86053.455490233333</v>
      </c>
      <c r="I60" s="324"/>
      <c r="J60" s="325"/>
      <c r="K60" s="325"/>
      <c r="L60" s="319"/>
      <c r="M60" s="320"/>
      <c r="N60" s="320"/>
      <c r="O60" s="320"/>
      <c r="P60" s="392">
        <f t="shared" si="8"/>
        <v>0</v>
      </c>
      <c r="Q60" s="392">
        <f t="shared" si="3"/>
        <v>0</v>
      </c>
      <c r="R60" s="392">
        <f t="shared" si="4"/>
        <v>0</v>
      </c>
      <c r="S60" s="373"/>
      <c r="T60" s="374"/>
      <c r="U60" s="524">
        <f t="shared" si="9"/>
        <v>0</v>
      </c>
      <c r="V60" s="520">
        <f t="shared" si="10"/>
        <v>0</v>
      </c>
      <c r="W60" s="524">
        <f t="shared" si="11"/>
        <v>0</v>
      </c>
      <c r="X60" s="520">
        <f t="shared" si="12"/>
        <v>0</v>
      </c>
      <c r="Y60" s="525">
        <f t="shared" si="13"/>
        <v>0</v>
      </c>
    </row>
    <row r="61" spans="3:25" x14ac:dyDescent="0.2">
      <c r="C61" s="387">
        <f t="shared" si="5"/>
        <v>41530</v>
      </c>
      <c r="D61" s="388">
        <f t="shared" si="6"/>
        <v>86052.549333333329</v>
      </c>
      <c r="E61" s="392">
        <f t="shared" si="7"/>
        <v>0</v>
      </c>
      <c r="F61" s="428">
        <f t="shared" si="0"/>
        <v>0.90615690000000004</v>
      </c>
      <c r="G61" s="390">
        <f t="shared" si="1"/>
        <v>0</v>
      </c>
      <c r="H61" s="391">
        <f t="shared" si="2"/>
        <v>86053.455490233333</v>
      </c>
      <c r="I61" s="324"/>
      <c r="J61" s="325"/>
      <c r="K61" s="325"/>
      <c r="L61" s="317"/>
      <c r="M61" s="318"/>
      <c r="N61" s="318"/>
      <c r="O61" s="318"/>
      <c r="P61" s="392">
        <f t="shared" si="8"/>
        <v>0</v>
      </c>
      <c r="Q61" s="392">
        <f t="shared" si="3"/>
        <v>0</v>
      </c>
      <c r="R61" s="392">
        <f t="shared" si="4"/>
        <v>0</v>
      </c>
      <c r="S61" s="373"/>
      <c r="T61" s="374"/>
      <c r="U61" s="524">
        <f t="shared" si="9"/>
        <v>0</v>
      </c>
      <c r="V61" s="520">
        <f t="shared" si="10"/>
        <v>0</v>
      </c>
      <c r="W61" s="524">
        <f t="shared" si="11"/>
        <v>0</v>
      </c>
      <c r="X61" s="520">
        <f t="shared" si="12"/>
        <v>0</v>
      </c>
      <c r="Y61" s="525">
        <f t="shared" si="13"/>
        <v>0</v>
      </c>
    </row>
    <row r="62" spans="3:25" x14ac:dyDescent="0.2">
      <c r="C62" s="387">
        <f t="shared" si="5"/>
        <v>41531</v>
      </c>
      <c r="D62" s="388">
        <f t="shared" si="6"/>
        <v>86052.549333333329</v>
      </c>
      <c r="E62" s="392">
        <f t="shared" si="7"/>
        <v>0</v>
      </c>
      <c r="F62" s="428">
        <f t="shared" si="0"/>
        <v>0.90615690000000004</v>
      </c>
      <c r="G62" s="390">
        <f t="shared" si="1"/>
        <v>0</v>
      </c>
      <c r="H62" s="391">
        <f t="shared" si="2"/>
        <v>86053.455490233333</v>
      </c>
      <c r="I62" s="324"/>
      <c r="J62" s="325"/>
      <c r="K62" s="325"/>
      <c r="L62" s="319"/>
      <c r="M62" s="320"/>
      <c r="N62" s="320"/>
      <c r="O62" s="320"/>
      <c r="P62" s="392">
        <f t="shared" si="8"/>
        <v>0</v>
      </c>
      <c r="Q62" s="392">
        <f t="shared" si="3"/>
        <v>0</v>
      </c>
      <c r="R62" s="392">
        <f t="shared" si="4"/>
        <v>0</v>
      </c>
      <c r="S62" s="373"/>
      <c r="T62" s="374"/>
      <c r="U62" s="524">
        <f t="shared" si="9"/>
        <v>0</v>
      </c>
      <c r="V62" s="520">
        <f t="shared" si="10"/>
        <v>0</v>
      </c>
      <c r="W62" s="524">
        <f t="shared" si="11"/>
        <v>0</v>
      </c>
      <c r="X62" s="520">
        <f t="shared" si="12"/>
        <v>0</v>
      </c>
      <c r="Y62" s="525">
        <f t="shared" si="13"/>
        <v>0</v>
      </c>
    </row>
    <row r="63" spans="3:25" x14ac:dyDescent="0.2">
      <c r="C63" s="387">
        <f t="shared" si="5"/>
        <v>41532</v>
      </c>
      <c r="D63" s="388">
        <f t="shared" si="6"/>
        <v>86052.549333333329</v>
      </c>
      <c r="E63" s="392">
        <f t="shared" si="7"/>
        <v>0</v>
      </c>
      <c r="F63" s="428">
        <f t="shared" si="0"/>
        <v>0.90615690000000004</v>
      </c>
      <c r="G63" s="390">
        <f t="shared" si="1"/>
        <v>0</v>
      </c>
      <c r="H63" s="391">
        <f t="shared" si="2"/>
        <v>86053.455490233333</v>
      </c>
      <c r="I63" s="324"/>
      <c r="J63" s="325"/>
      <c r="K63" s="325"/>
      <c r="L63" s="317"/>
      <c r="M63" s="318"/>
      <c r="N63" s="318"/>
      <c r="O63" s="318"/>
      <c r="P63" s="392">
        <f t="shared" si="8"/>
        <v>0</v>
      </c>
      <c r="Q63" s="392">
        <f t="shared" si="3"/>
        <v>0</v>
      </c>
      <c r="R63" s="392">
        <f t="shared" si="4"/>
        <v>0</v>
      </c>
      <c r="S63" s="373"/>
      <c r="T63" s="374"/>
      <c r="U63" s="524">
        <f t="shared" si="9"/>
        <v>0</v>
      </c>
      <c r="V63" s="520">
        <f t="shared" si="10"/>
        <v>0</v>
      </c>
      <c r="W63" s="524">
        <f t="shared" si="11"/>
        <v>0</v>
      </c>
      <c r="X63" s="520">
        <f t="shared" si="12"/>
        <v>0</v>
      </c>
      <c r="Y63" s="525">
        <f t="shared" si="13"/>
        <v>0</v>
      </c>
    </row>
    <row r="64" spans="3:25" x14ac:dyDescent="0.2">
      <c r="C64" s="387">
        <f t="shared" si="5"/>
        <v>41533</v>
      </c>
      <c r="D64" s="388">
        <f t="shared" si="6"/>
        <v>86052.549333333329</v>
      </c>
      <c r="E64" s="392">
        <f t="shared" si="7"/>
        <v>0</v>
      </c>
      <c r="F64" s="428">
        <f t="shared" si="0"/>
        <v>0.90615690000000004</v>
      </c>
      <c r="G64" s="390">
        <f t="shared" si="1"/>
        <v>0</v>
      </c>
      <c r="H64" s="391">
        <f t="shared" si="2"/>
        <v>86053.455490233333</v>
      </c>
      <c r="I64" s="324"/>
      <c r="J64" s="325"/>
      <c r="K64" s="325"/>
      <c r="L64" s="319"/>
      <c r="M64" s="320"/>
      <c r="N64" s="320"/>
      <c r="O64" s="320"/>
      <c r="P64" s="392">
        <f t="shared" si="8"/>
        <v>0</v>
      </c>
      <c r="Q64" s="392">
        <f t="shared" si="3"/>
        <v>0</v>
      </c>
      <c r="R64" s="392">
        <f t="shared" si="4"/>
        <v>0</v>
      </c>
      <c r="S64" s="373"/>
      <c r="T64" s="374"/>
      <c r="U64" s="524">
        <f t="shared" si="9"/>
        <v>0</v>
      </c>
      <c r="V64" s="520">
        <f t="shared" si="10"/>
        <v>0</v>
      </c>
      <c r="W64" s="524">
        <f t="shared" si="11"/>
        <v>0</v>
      </c>
      <c r="X64" s="520">
        <f t="shared" si="12"/>
        <v>0</v>
      </c>
      <c r="Y64" s="525">
        <f t="shared" si="13"/>
        <v>0</v>
      </c>
    </row>
    <row r="65" spans="3:38" x14ac:dyDescent="0.2">
      <c r="C65" s="387">
        <f t="shared" si="5"/>
        <v>41534</v>
      </c>
      <c r="D65" s="388">
        <f t="shared" si="6"/>
        <v>86052.549333333329</v>
      </c>
      <c r="E65" s="392">
        <f t="shared" si="7"/>
        <v>0</v>
      </c>
      <c r="F65" s="428">
        <f t="shared" si="0"/>
        <v>0.90615690000000004</v>
      </c>
      <c r="G65" s="390">
        <f t="shared" si="1"/>
        <v>0</v>
      </c>
      <c r="H65" s="391">
        <f t="shared" si="2"/>
        <v>86053.455490233333</v>
      </c>
      <c r="I65" s="324"/>
      <c r="J65" s="325"/>
      <c r="K65" s="325"/>
      <c r="L65" s="317"/>
      <c r="M65" s="318"/>
      <c r="N65" s="318"/>
      <c r="O65" s="318"/>
      <c r="P65" s="392">
        <f t="shared" si="8"/>
        <v>0</v>
      </c>
      <c r="Q65" s="392">
        <f t="shared" si="3"/>
        <v>0</v>
      </c>
      <c r="R65" s="392">
        <f t="shared" si="4"/>
        <v>0</v>
      </c>
      <c r="S65" s="373"/>
      <c r="T65" s="374"/>
      <c r="U65" s="524">
        <f t="shared" si="9"/>
        <v>0</v>
      </c>
      <c r="V65" s="520">
        <f t="shared" si="10"/>
        <v>0</v>
      </c>
      <c r="W65" s="524">
        <f t="shared" si="11"/>
        <v>0</v>
      </c>
      <c r="X65" s="520">
        <f t="shared" si="12"/>
        <v>0</v>
      </c>
      <c r="Y65" s="525">
        <f t="shared" si="13"/>
        <v>0</v>
      </c>
    </row>
    <row r="66" spans="3:38" x14ac:dyDescent="0.2">
      <c r="C66" s="387">
        <f t="shared" si="5"/>
        <v>41535</v>
      </c>
      <c r="D66" s="388">
        <f t="shared" si="6"/>
        <v>86052.549333333329</v>
      </c>
      <c r="E66" s="392">
        <f t="shared" si="7"/>
        <v>0</v>
      </c>
      <c r="F66" s="428">
        <f t="shared" si="0"/>
        <v>0.90615690000000004</v>
      </c>
      <c r="G66" s="390">
        <f t="shared" si="1"/>
        <v>0</v>
      </c>
      <c r="H66" s="391">
        <f t="shared" si="2"/>
        <v>86053.455490233333</v>
      </c>
      <c r="I66" s="324"/>
      <c r="J66" s="325"/>
      <c r="K66" s="325"/>
      <c r="L66" s="319"/>
      <c r="M66" s="320"/>
      <c r="N66" s="320"/>
      <c r="O66" s="320"/>
      <c r="P66" s="392">
        <f t="shared" si="8"/>
        <v>0</v>
      </c>
      <c r="Q66" s="392">
        <f t="shared" si="3"/>
        <v>0</v>
      </c>
      <c r="R66" s="392">
        <f t="shared" si="4"/>
        <v>0</v>
      </c>
      <c r="S66" s="373"/>
      <c r="T66" s="374"/>
      <c r="U66" s="524">
        <f t="shared" si="9"/>
        <v>0</v>
      </c>
      <c r="V66" s="520">
        <f t="shared" si="10"/>
        <v>0</v>
      </c>
      <c r="W66" s="524">
        <f t="shared" si="11"/>
        <v>0</v>
      </c>
      <c r="X66" s="520">
        <f t="shared" si="12"/>
        <v>0</v>
      </c>
      <c r="Y66" s="525">
        <f t="shared" si="13"/>
        <v>0</v>
      </c>
    </row>
    <row r="67" spans="3:38" x14ac:dyDescent="0.2">
      <c r="C67" s="387">
        <f t="shared" si="5"/>
        <v>41536</v>
      </c>
      <c r="D67" s="388">
        <f t="shared" si="6"/>
        <v>86052.549333333329</v>
      </c>
      <c r="E67" s="392">
        <f t="shared" si="7"/>
        <v>0</v>
      </c>
      <c r="F67" s="428">
        <f t="shared" si="0"/>
        <v>0.90615690000000004</v>
      </c>
      <c r="G67" s="390">
        <f t="shared" si="1"/>
        <v>0</v>
      </c>
      <c r="H67" s="391">
        <f t="shared" si="2"/>
        <v>86053.455490233333</v>
      </c>
      <c r="I67" s="324"/>
      <c r="J67" s="325"/>
      <c r="K67" s="325"/>
      <c r="L67" s="317"/>
      <c r="M67" s="318"/>
      <c r="N67" s="318"/>
      <c r="O67" s="318"/>
      <c r="P67" s="392">
        <f t="shared" si="8"/>
        <v>0</v>
      </c>
      <c r="Q67" s="392">
        <f t="shared" si="3"/>
        <v>0</v>
      </c>
      <c r="R67" s="392">
        <f t="shared" si="4"/>
        <v>0</v>
      </c>
      <c r="S67" s="373"/>
      <c r="T67" s="374"/>
      <c r="U67" s="524">
        <f t="shared" si="9"/>
        <v>0</v>
      </c>
      <c r="V67" s="520">
        <f t="shared" si="10"/>
        <v>0</v>
      </c>
      <c r="W67" s="524">
        <f t="shared" si="11"/>
        <v>0</v>
      </c>
      <c r="X67" s="520">
        <f t="shared" si="12"/>
        <v>0</v>
      </c>
      <c r="Y67" s="525">
        <f t="shared" si="13"/>
        <v>0</v>
      </c>
    </row>
    <row r="68" spans="3:38" x14ac:dyDescent="0.2">
      <c r="C68" s="387">
        <f t="shared" si="5"/>
        <v>41537</v>
      </c>
      <c r="D68" s="388">
        <f t="shared" si="6"/>
        <v>86052.549333333329</v>
      </c>
      <c r="E68" s="392">
        <f t="shared" si="7"/>
        <v>0</v>
      </c>
      <c r="F68" s="428">
        <f t="shared" si="0"/>
        <v>0.90615690000000004</v>
      </c>
      <c r="G68" s="390">
        <f t="shared" si="1"/>
        <v>0</v>
      </c>
      <c r="H68" s="391">
        <f t="shared" si="2"/>
        <v>86053.455490233333</v>
      </c>
      <c r="I68" s="324"/>
      <c r="J68" s="325"/>
      <c r="K68" s="325"/>
      <c r="L68" s="319"/>
      <c r="M68" s="320"/>
      <c r="N68" s="320"/>
      <c r="O68" s="320"/>
      <c r="P68" s="392">
        <f t="shared" si="8"/>
        <v>0</v>
      </c>
      <c r="Q68" s="392">
        <f t="shared" si="3"/>
        <v>0</v>
      </c>
      <c r="R68" s="392">
        <f t="shared" si="4"/>
        <v>0</v>
      </c>
      <c r="S68" s="373"/>
      <c r="T68" s="374"/>
      <c r="U68" s="524">
        <f t="shared" si="9"/>
        <v>0</v>
      </c>
      <c r="V68" s="520">
        <f t="shared" si="10"/>
        <v>0</v>
      </c>
      <c r="W68" s="524">
        <f t="shared" si="11"/>
        <v>0</v>
      </c>
      <c r="X68" s="520">
        <f t="shared" si="12"/>
        <v>0</v>
      </c>
      <c r="Y68" s="525">
        <f t="shared" si="13"/>
        <v>0</v>
      </c>
    </row>
    <row r="69" spans="3:38" x14ac:dyDescent="0.2">
      <c r="C69" s="387">
        <f t="shared" si="5"/>
        <v>41538</v>
      </c>
      <c r="D69" s="388">
        <f t="shared" si="6"/>
        <v>86052.549333333329</v>
      </c>
      <c r="E69" s="392">
        <f t="shared" si="7"/>
        <v>0</v>
      </c>
      <c r="F69" s="428">
        <f t="shared" si="0"/>
        <v>0.90615690000000004</v>
      </c>
      <c r="G69" s="390">
        <f t="shared" si="1"/>
        <v>0</v>
      </c>
      <c r="H69" s="391">
        <f t="shared" si="2"/>
        <v>86053.455490233333</v>
      </c>
      <c r="I69" s="324"/>
      <c r="J69" s="325"/>
      <c r="K69" s="325"/>
      <c r="L69" s="317"/>
      <c r="M69" s="318"/>
      <c r="N69" s="318"/>
      <c r="O69" s="318"/>
      <c r="P69" s="392">
        <f t="shared" si="8"/>
        <v>0</v>
      </c>
      <c r="Q69" s="392">
        <f t="shared" si="3"/>
        <v>0</v>
      </c>
      <c r="R69" s="392">
        <f t="shared" si="4"/>
        <v>0</v>
      </c>
      <c r="S69" s="373"/>
      <c r="T69" s="374"/>
      <c r="U69" s="524">
        <f t="shared" si="9"/>
        <v>0</v>
      </c>
      <c r="V69" s="520">
        <f t="shared" si="10"/>
        <v>0</v>
      </c>
      <c r="W69" s="524">
        <f t="shared" si="11"/>
        <v>0</v>
      </c>
      <c r="X69" s="520">
        <f t="shared" si="12"/>
        <v>0</v>
      </c>
      <c r="Y69" s="525">
        <f t="shared" si="13"/>
        <v>0</v>
      </c>
    </row>
    <row r="70" spans="3:38" x14ac:dyDescent="0.2">
      <c r="C70" s="387">
        <f t="shared" si="5"/>
        <v>41539</v>
      </c>
      <c r="D70" s="388">
        <f t="shared" si="6"/>
        <v>86052.549333333329</v>
      </c>
      <c r="E70" s="392">
        <f t="shared" si="7"/>
        <v>0</v>
      </c>
      <c r="F70" s="428">
        <f t="shared" si="0"/>
        <v>0.90615690000000004</v>
      </c>
      <c r="G70" s="390">
        <f t="shared" si="1"/>
        <v>0</v>
      </c>
      <c r="H70" s="391">
        <f t="shared" si="2"/>
        <v>86053.455490233333</v>
      </c>
      <c r="I70" s="324"/>
      <c r="J70" s="325"/>
      <c r="K70" s="325"/>
      <c r="L70" s="319"/>
      <c r="M70" s="320"/>
      <c r="N70" s="320"/>
      <c r="O70" s="320"/>
      <c r="P70" s="392">
        <f t="shared" si="8"/>
        <v>0</v>
      </c>
      <c r="Q70" s="392">
        <f t="shared" si="3"/>
        <v>0</v>
      </c>
      <c r="R70" s="392">
        <f t="shared" si="4"/>
        <v>0</v>
      </c>
      <c r="S70" s="373"/>
      <c r="T70" s="374"/>
      <c r="U70" s="524">
        <f t="shared" si="9"/>
        <v>0</v>
      </c>
      <c r="V70" s="520">
        <f t="shared" si="10"/>
        <v>0</v>
      </c>
      <c r="W70" s="524">
        <f t="shared" si="11"/>
        <v>0</v>
      </c>
      <c r="X70" s="520">
        <f t="shared" si="12"/>
        <v>0</v>
      </c>
      <c r="Y70" s="525">
        <f t="shared" si="13"/>
        <v>0</v>
      </c>
    </row>
    <row r="71" spans="3:38" x14ac:dyDescent="0.2">
      <c r="C71" s="387">
        <f t="shared" si="5"/>
        <v>41540</v>
      </c>
      <c r="D71" s="388">
        <f t="shared" si="6"/>
        <v>86052.549333333329</v>
      </c>
      <c r="E71" s="392">
        <f t="shared" si="7"/>
        <v>0</v>
      </c>
      <c r="F71" s="428">
        <f t="shared" si="0"/>
        <v>0.90615690000000004</v>
      </c>
      <c r="G71" s="390">
        <f t="shared" si="1"/>
        <v>0</v>
      </c>
      <c r="H71" s="391">
        <f t="shared" si="2"/>
        <v>86053.455490233333</v>
      </c>
      <c r="I71" s="324"/>
      <c r="J71" s="325"/>
      <c r="K71" s="325"/>
      <c r="L71" s="317"/>
      <c r="M71" s="318"/>
      <c r="N71" s="318"/>
      <c r="O71" s="318"/>
      <c r="P71" s="392">
        <f t="shared" si="8"/>
        <v>0</v>
      </c>
      <c r="Q71" s="392">
        <f t="shared" si="3"/>
        <v>0</v>
      </c>
      <c r="R71" s="392">
        <f t="shared" si="4"/>
        <v>0</v>
      </c>
      <c r="S71" s="373"/>
      <c r="T71" s="374"/>
      <c r="U71" s="524">
        <f t="shared" si="9"/>
        <v>0</v>
      </c>
      <c r="V71" s="520">
        <f t="shared" si="10"/>
        <v>0</v>
      </c>
      <c r="W71" s="524">
        <f t="shared" si="11"/>
        <v>0</v>
      </c>
      <c r="X71" s="520">
        <f t="shared" si="12"/>
        <v>0</v>
      </c>
      <c r="Y71" s="525">
        <f t="shared" si="13"/>
        <v>0</v>
      </c>
    </row>
    <row r="72" spans="3:38" x14ac:dyDescent="0.2">
      <c r="C72" s="387">
        <f t="shared" si="5"/>
        <v>41541</v>
      </c>
      <c r="D72" s="388">
        <f t="shared" si="6"/>
        <v>86052.549333333329</v>
      </c>
      <c r="E72" s="392">
        <f t="shared" si="7"/>
        <v>0</v>
      </c>
      <c r="F72" s="428">
        <f t="shared" si="0"/>
        <v>0.90615690000000004</v>
      </c>
      <c r="G72" s="390">
        <f t="shared" si="1"/>
        <v>0</v>
      </c>
      <c r="H72" s="391">
        <f t="shared" si="2"/>
        <v>86053.455490233333</v>
      </c>
      <c r="I72" s="324"/>
      <c r="J72" s="325"/>
      <c r="K72" s="325"/>
      <c r="L72" s="319"/>
      <c r="M72" s="320"/>
      <c r="N72" s="320"/>
      <c r="O72" s="320"/>
      <c r="P72" s="392">
        <f t="shared" si="8"/>
        <v>0</v>
      </c>
      <c r="Q72" s="392">
        <f t="shared" si="3"/>
        <v>0</v>
      </c>
      <c r="R72" s="392">
        <f t="shared" si="4"/>
        <v>0</v>
      </c>
      <c r="S72" s="373"/>
      <c r="T72" s="374"/>
      <c r="U72" s="524">
        <f t="shared" si="9"/>
        <v>0</v>
      </c>
      <c r="V72" s="520">
        <f t="shared" si="10"/>
        <v>0</v>
      </c>
      <c r="W72" s="524">
        <f t="shared" si="11"/>
        <v>0</v>
      </c>
      <c r="X72" s="520">
        <f t="shared" si="12"/>
        <v>0</v>
      </c>
      <c r="Y72" s="525">
        <f t="shared" si="13"/>
        <v>0</v>
      </c>
    </row>
    <row r="73" spans="3:38" x14ac:dyDescent="0.2">
      <c r="C73" s="387">
        <f t="shared" si="5"/>
        <v>41542</v>
      </c>
      <c r="D73" s="388">
        <f t="shared" si="6"/>
        <v>86052.549333333329</v>
      </c>
      <c r="E73" s="392">
        <f t="shared" si="7"/>
        <v>0</v>
      </c>
      <c r="F73" s="428">
        <f t="shared" si="0"/>
        <v>0.90615690000000004</v>
      </c>
      <c r="G73" s="390">
        <f t="shared" si="1"/>
        <v>0</v>
      </c>
      <c r="H73" s="391">
        <f t="shared" si="2"/>
        <v>86053.455490233333</v>
      </c>
      <c r="I73" s="324"/>
      <c r="J73" s="325"/>
      <c r="K73" s="325"/>
      <c r="L73" s="317"/>
      <c r="M73" s="318"/>
      <c r="N73" s="318"/>
      <c r="O73" s="318"/>
      <c r="P73" s="392">
        <f t="shared" si="8"/>
        <v>0</v>
      </c>
      <c r="Q73" s="392">
        <f t="shared" si="3"/>
        <v>0</v>
      </c>
      <c r="R73" s="392">
        <f t="shared" si="4"/>
        <v>0</v>
      </c>
      <c r="S73" s="373"/>
      <c r="T73" s="374"/>
      <c r="U73" s="524">
        <f t="shared" si="9"/>
        <v>0</v>
      </c>
      <c r="V73" s="520">
        <f t="shared" si="10"/>
        <v>0</v>
      </c>
      <c r="W73" s="524">
        <f t="shared" si="11"/>
        <v>0</v>
      </c>
      <c r="X73" s="520">
        <f t="shared" si="12"/>
        <v>0</v>
      </c>
      <c r="Y73" s="525">
        <f t="shared" si="13"/>
        <v>0</v>
      </c>
    </row>
    <row r="74" spans="3:38" x14ac:dyDescent="0.2">
      <c r="C74" s="387">
        <f t="shared" si="5"/>
        <v>41543</v>
      </c>
      <c r="D74" s="388">
        <f t="shared" si="6"/>
        <v>86052.549333333329</v>
      </c>
      <c r="E74" s="392">
        <f t="shared" si="7"/>
        <v>0</v>
      </c>
      <c r="F74" s="428">
        <f t="shared" si="0"/>
        <v>0.90615690000000004</v>
      </c>
      <c r="G74" s="390">
        <f t="shared" si="1"/>
        <v>0</v>
      </c>
      <c r="H74" s="391">
        <f t="shared" si="2"/>
        <v>86053.455490233333</v>
      </c>
      <c r="I74" s="324"/>
      <c r="J74" s="325"/>
      <c r="K74" s="325"/>
      <c r="L74" s="319"/>
      <c r="M74" s="320"/>
      <c r="N74" s="320"/>
      <c r="O74" s="320"/>
      <c r="P74" s="392">
        <f t="shared" si="8"/>
        <v>0</v>
      </c>
      <c r="Q74" s="392">
        <f t="shared" si="3"/>
        <v>0</v>
      </c>
      <c r="R74" s="392">
        <f t="shared" si="4"/>
        <v>0</v>
      </c>
      <c r="S74" s="373"/>
      <c r="T74" s="374"/>
      <c r="U74" s="524">
        <f t="shared" si="9"/>
        <v>0</v>
      </c>
      <c r="V74" s="520">
        <f t="shared" si="10"/>
        <v>0</v>
      </c>
      <c r="W74" s="524">
        <f t="shared" si="11"/>
        <v>0</v>
      </c>
      <c r="X74" s="520">
        <f t="shared" si="12"/>
        <v>0</v>
      </c>
      <c r="Y74" s="525">
        <f t="shared" si="13"/>
        <v>0</v>
      </c>
    </row>
    <row r="75" spans="3:38" x14ac:dyDescent="0.2">
      <c r="C75" s="387">
        <f t="shared" si="5"/>
        <v>41544</v>
      </c>
      <c r="D75" s="388">
        <f t="shared" si="6"/>
        <v>86052.549333333329</v>
      </c>
      <c r="E75" s="392">
        <f t="shared" si="7"/>
        <v>0</v>
      </c>
      <c r="F75" s="428">
        <f t="shared" si="0"/>
        <v>0.90615690000000004</v>
      </c>
      <c r="G75" s="390">
        <f t="shared" si="1"/>
        <v>0</v>
      </c>
      <c r="H75" s="391">
        <f t="shared" si="2"/>
        <v>86053.455490233333</v>
      </c>
      <c r="I75" s="324"/>
      <c r="J75" s="325"/>
      <c r="K75" s="325"/>
      <c r="L75" s="317"/>
      <c r="M75" s="318"/>
      <c r="N75" s="318"/>
      <c r="O75" s="318"/>
      <c r="P75" s="392">
        <f t="shared" si="8"/>
        <v>0</v>
      </c>
      <c r="Q75" s="392">
        <f t="shared" si="3"/>
        <v>0</v>
      </c>
      <c r="R75" s="392">
        <f t="shared" si="4"/>
        <v>0</v>
      </c>
      <c r="S75" s="373"/>
      <c r="T75" s="374"/>
      <c r="U75" s="524">
        <f t="shared" si="9"/>
        <v>0</v>
      </c>
      <c r="V75" s="520">
        <f t="shared" si="10"/>
        <v>0</v>
      </c>
      <c r="W75" s="524">
        <f t="shared" si="11"/>
        <v>0</v>
      </c>
      <c r="X75" s="520">
        <f t="shared" si="12"/>
        <v>0</v>
      </c>
      <c r="Y75" s="525">
        <f t="shared" si="13"/>
        <v>0</v>
      </c>
    </row>
    <row r="76" spans="3:38" x14ac:dyDescent="0.2">
      <c r="C76" s="387">
        <f t="shared" si="5"/>
        <v>41545</v>
      </c>
      <c r="D76" s="388">
        <f t="shared" si="6"/>
        <v>86052.549333333329</v>
      </c>
      <c r="E76" s="392">
        <f t="shared" si="7"/>
        <v>0</v>
      </c>
      <c r="F76" s="428">
        <f t="shared" si="0"/>
        <v>0.90615690000000004</v>
      </c>
      <c r="G76" s="390">
        <f t="shared" si="1"/>
        <v>0</v>
      </c>
      <c r="H76" s="391">
        <f t="shared" si="2"/>
        <v>86053.455490233333</v>
      </c>
      <c r="I76" s="324"/>
      <c r="J76" s="325"/>
      <c r="K76" s="325"/>
      <c r="L76" s="319"/>
      <c r="M76" s="320"/>
      <c r="N76" s="320"/>
      <c r="O76" s="320"/>
      <c r="P76" s="392">
        <f t="shared" si="8"/>
        <v>0</v>
      </c>
      <c r="Q76" s="392">
        <f t="shared" si="3"/>
        <v>0</v>
      </c>
      <c r="R76" s="392">
        <f t="shared" si="4"/>
        <v>0</v>
      </c>
      <c r="S76" s="373"/>
      <c r="T76" s="374"/>
      <c r="U76" s="524">
        <f t="shared" si="9"/>
        <v>0</v>
      </c>
      <c r="V76" s="520">
        <f t="shared" si="10"/>
        <v>0</v>
      </c>
      <c r="W76" s="524">
        <f t="shared" si="11"/>
        <v>0</v>
      </c>
      <c r="X76" s="520">
        <f t="shared" si="12"/>
        <v>0</v>
      </c>
      <c r="Y76" s="525">
        <f t="shared" si="13"/>
        <v>0</v>
      </c>
    </row>
    <row r="77" spans="3:38" x14ac:dyDescent="0.2">
      <c r="C77" s="387">
        <f t="shared" si="5"/>
        <v>41546</v>
      </c>
      <c r="D77" s="388">
        <f t="shared" si="6"/>
        <v>86052.549333333329</v>
      </c>
      <c r="E77" s="392">
        <f t="shared" si="7"/>
        <v>0</v>
      </c>
      <c r="F77" s="428">
        <f t="shared" si="0"/>
        <v>0.90615690000000004</v>
      </c>
      <c r="G77" s="390">
        <f t="shared" si="1"/>
        <v>0</v>
      </c>
      <c r="H77" s="391">
        <f t="shared" si="2"/>
        <v>86053.455490233333</v>
      </c>
      <c r="I77" s="324"/>
      <c r="J77" s="325"/>
      <c r="K77" s="325"/>
      <c r="L77" s="317"/>
      <c r="M77" s="318"/>
      <c r="N77" s="318"/>
      <c r="O77" s="318"/>
      <c r="P77" s="392">
        <f t="shared" si="8"/>
        <v>0</v>
      </c>
      <c r="Q77" s="392">
        <f t="shared" si="3"/>
        <v>0</v>
      </c>
      <c r="R77" s="392">
        <f t="shared" si="4"/>
        <v>0</v>
      </c>
      <c r="S77" s="373"/>
      <c r="T77" s="374"/>
      <c r="U77" s="524">
        <f t="shared" si="9"/>
        <v>0</v>
      </c>
      <c r="V77" s="520">
        <f t="shared" si="10"/>
        <v>0</v>
      </c>
      <c r="W77" s="524">
        <f t="shared" si="11"/>
        <v>0</v>
      </c>
      <c r="X77" s="520">
        <f t="shared" si="12"/>
        <v>0</v>
      </c>
      <c r="Y77" s="525">
        <f t="shared" si="13"/>
        <v>0</v>
      </c>
    </row>
    <row r="78" spans="3:38" x14ac:dyDescent="0.2">
      <c r="C78" s="387">
        <f t="shared" si="5"/>
        <v>41547</v>
      </c>
      <c r="D78" s="388">
        <f t="shared" si="6"/>
        <v>86052.549333333329</v>
      </c>
      <c r="E78" s="392">
        <f t="shared" si="7"/>
        <v>0</v>
      </c>
      <c r="F78" s="428">
        <f t="shared" si="0"/>
        <v>0.90615690000000004</v>
      </c>
      <c r="G78" s="390">
        <f t="shared" si="1"/>
        <v>0</v>
      </c>
      <c r="H78" s="391">
        <f t="shared" si="2"/>
        <v>86053.455490233333</v>
      </c>
      <c r="I78" s="324"/>
      <c r="J78" s="325"/>
      <c r="K78" s="325"/>
      <c r="L78" s="319"/>
      <c r="M78" s="320"/>
      <c r="N78" s="320"/>
      <c r="O78" s="320"/>
      <c r="P78" s="392">
        <f t="shared" si="8"/>
        <v>0</v>
      </c>
      <c r="Q78" s="392">
        <f t="shared" si="3"/>
        <v>0</v>
      </c>
      <c r="R78" s="392">
        <f t="shared" si="4"/>
        <v>0</v>
      </c>
      <c r="S78" s="373"/>
      <c r="T78" s="374"/>
      <c r="U78" s="524">
        <f t="shared" si="9"/>
        <v>0</v>
      </c>
      <c r="V78" s="520">
        <f t="shared" si="10"/>
        <v>0</v>
      </c>
      <c r="W78" s="524">
        <f t="shared" si="11"/>
        <v>0</v>
      </c>
      <c r="X78" s="520">
        <f t="shared" si="12"/>
        <v>0</v>
      </c>
      <c r="Y78" s="525">
        <f t="shared" si="13"/>
        <v>0</v>
      </c>
    </row>
    <row r="79" spans="3:38" ht="15" thickBot="1" x14ac:dyDescent="0.25">
      <c r="C79" s="393"/>
      <c r="D79" s="394"/>
      <c r="E79" s="395"/>
      <c r="F79" s="429"/>
      <c r="G79" s="396"/>
      <c r="H79" s="397"/>
      <c r="I79" s="326"/>
      <c r="J79" s="327"/>
      <c r="K79" s="327"/>
      <c r="L79" s="321"/>
      <c r="M79" s="322"/>
      <c r="N79" s="322"/>
      <c r="O79" s="322"/>
      <c r="P79" s="395"/>
      <c r="Q79" s="395"/>
      <c r="R79" s="395"/>
      <c r="S79" s="375"/>
      <c r="T79" s="376"/>
      <c r="U79" s="521"/>
      <c r="V79" s="528"/>
      <c r="W79" s="521"/>
      <c r="X79" s="528"/>
      <c r="Y79" s="529"/>
    </row>
    <row r="80" spans="3:38" ht="15" thickBot="1" x14ac:dyDescent="0.25">
      <c r="C80" s="398"/>
      <c r="D80" s="399">
        <f>SUM(D49:D79)</f>
        <v>2581576.48</v>
      </c>
      <c r="E80" s="400">
        <f>SUM(E49:E79)</f>
        <v>0</v>
      </c>
      <c r="F80" s="400"/>
      <c r="G80" s="401">
        <f>SUM(G49:G79)</f>
        <v>0</v>
      </c>
      <c r="H80" s="399">
        <f>SUM(H49:H79)</f>
        <v>2581603.6647070008</v>
      </c>
      <c r="I80" s="432">
        <f>SUM(I49:I79)</f>
        <v>0</v>
      </c>
      <c r="J80" s="432">
        <f t="shared" ref="J80:R80" si="14">SUM(J49:J79)</f>
        <v>0</v>
      </c>
      <c r="K80" s="432">
        <f t="shared" si="14"/>
        <v>0</v>
      </c>
      <c r="L80" s="432">
        <f t="shared" si="14"/>
        <v>0</v>
      </c>
      <c r="M80" s="432">
        <f t="shared" si="14"/>
        <v>0</v>
      </c>
      <c r="N80" s="432">
        <f t="shared" si="14"/>
        <v>0</v>
      </c>
      <c r="O80" s="432">
        <f t="shared" si="14"/>
        <v>0</v>
      </c>
      <c r="P80" s="432">
        <f t="shared" si="14"/>
        <v>0</v>
      </c>
      <c r="Q80" s="432">
        <f t="shared" si="14"/>
        <v>0</v>
      </c>
      <c r="R80" s="432">
        <f t="shared" si="14"/>
        <v>0</v>
      </c>
      <c r="U80" s="530"/>
      <c r="V80" s="328">
        <f>SUM(V49:V79)</f>
        <v>0</v>
      </c>
      <c r="W80" s="328">
        <f>SUM(W49:W79)</f>
        <v>0</v>
      </c>
      <c r="X80" s="328">
        <f>SUM(X49:X79)</f>
        <v>0</v>
      </c>
      <c r="Y80" s="323">
        <f>Y78</f>
        <v>0</v>
      </c>
      <c r="AL80" s="361">
        <f>Y79</f>
        <v>0</v>
      </c>
    </row>
    <row r="81" spans="2:14" ht="15" customHeight="1" x14ac:dyDescent="0.2">
      <c r="B81"/>
      <c r="C81"/>
      <c r="D81"/>
      <c r="E81"/>
      <c r="F81"/>
      <c r="G81"/>
      <c r="H81"/>
      <c r="I81"/>
      <c r="J81"/>
      <c r="K81"/>
      <c r="L81"/>
      <c r="N81" s="2"/>
    </row>
  </sheetData>
  <mergeCells count="12">
    <mergeCell ref="C10:D10"/>
    <mergeCell ref="C11:D11"/>
    <mergeCell ref="C3:M4"/>
    <mergeCell ref="C5:M5"/>
    <mergeCell ref="C6:M6"/>
    <mergeCell ref="G7:H7"/>
    <mergeCell ref="C9:D9"/>
    <mergeCell ref="D23:E23"/>
    <mergeCell ref="D24:E24"/>
    <mergeCell ref="C28:F28"/>
    <mergeCell ref="C39:F39"/>
    <mergeCell ref="S47:Y47"/>
  </mergeCells>
  <conditionalFormatting sqref="L49:O79">
    <cfRule type="cellIs" dxfId="167" priority="1" stopIfTrue="1" operator="equal">
      <formula>0</formula>
    </cfRule>
  </conditionalFormatting>
  <pageMargins left="0.7" right="0.7" top="0.75" bottom="0.75" header="0.3" footer="0.3"/>
  <pageSetup orientation="portrait"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L81"/>
  <sheetViews>
    <sheetView workbookViewId="0"/>
  </sheetViews>
  <sheetFormatPr baseColWidth="10" defaultColWidth="11" defaultRowHeight="14.25" x14ac:dyDescent="0.2"/>
  <cols>
    <col min="1" max="1" width="11" style="2"/>
    <col min="2" max="2" width="3.875" style="2" bestFit="1" customWidth="1"/>
    <col min="3" max="3" width="16.125" style="2" customWidth="1"/>
    <col min="4" max="4" width="12.375" style="2" bestFit="1" customWidth="1"/>
    <col min="5" max="5" width="10.875" style="2" bestFit="1" customWidth="1"/>
    <col min="6" max="6" width="17.125" style="2" bestFit="1" customWidth="1"/>
    <col min="7" max="7" width="13.125" style="2" bestFit="1" customWidth="1"/>
    <col min="8" max="8" width="12.125" style="2" bestFit="1" customWidth="1"/>
    <col min="9" max="9" width="11.125" style="2" bestFit="1" customWidth="1"/>
    <col min="10" max="10" width="11.875" style="2" bestFit="1" customWidth="1"/>
    <col min="11" max="11" width="11.625" style="2" bestFit="1" customWidth="1"/>
    <col min="12" max="12" width="12.125" style="2" customWidth="1"/>
    <col min="13" max="13" width="10.5" style="2" bestFit="1" customWidth="1"/>
    <col min="14" max="14" width="9" style="1" customWidth="1"/>
    <col min="15" max="15" width="10.375" style="2" customWidth="1"/>
    <col min="16" max="25" width="11" style="2"/>
    <col min="26" max="31" width="10.875" customWidth="1"/>
    <col min="32" max="16384" width="11" style="2"/>
  </cols>
  <sheetData>
    <row r="2" spans="2:25" x14ac:dyDescent="0.2"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2:25" ht="15" customHeight="1" x14ac:dyDescent="0.2">
      <c r="B3" s="1"/>
      <c r="C3" s="2254" t="s">
        <v>0</v>
      </c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</row>
    <row r="4" spans="2:25" ht="15" customHeight="1" x14ac:dyDescent="0.2"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</row>
    <row r="5" spans="2:25" x14ac:dyDescent="0.2">
      <c r="B5" s="1"/>
      <c r="C5" s="2257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</row>
    <row r="6" spans="2:25" x14ac:dyDescent="0.2">
      <c r="B6" s="1"/>
      <c r="C6" s="2257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</row>
    <row r="7" spans="2:25" x14ac:dyDescent="0.2">
      <c r="B7" s="1"/>
      <c r="C7" s="516"/>
      <c r="D7" s="516"/>
      <c r="E7" s="516"/>
      <c r="F7" s="516"/>
      <c r="G7" s="2271">
        <v>41579</v>
      </c>
      <c r="H7" s="2257"/>
      <c r="I7" s="516"/>
      <c r="J7" s="516"/>
      <c r="K7" s="516"/>
      <c r="L7" s="516"/>
      <c r="M7" s="516"/>
      <c r="N7" s="18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2:25" x14ac:dyDescent="0.2">
      <c r="B8" s="1"/>
      <c r="C8" s="516"/>
      <c r="D8" s="516"/>
      <c r="E8" s="516"/>
      <c r="F8" s="516"/>
      <c r="G8" s="516"/>
      <c r="H8" s="516"/>
      <c r="I8" s="516"/>
      <c r="J8" s="516"/>
      <c r="K8" s="516"/>
      <c r="L8" s="516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2:25" ht="25.5" x14ac:dyDescent="0.2">
      <c r="B9" s="1"/>
      <c r="C9" s="2272" t="s">
        <v>6</v>
      </c>
      <c r="D9" s="2272"/>
      <c r="E9" s="517" t="s">
        <v>94</v>
      </c>
      <c r="F9" s="517" t="s">
        <v>126</v>
      </c>
      <c r="G9" s="410" t="s">
        <v>133</v>
      </c>
      <c r="H9" s="517" t="s">
        <v>127</v>
      </c>
      <c r="I9" s="517" t="s">
        <v>128</v>
      </c>
      <c r="J9" s="516"/>
      <c r="K9" s="516"/>
      <c r="L9" s="516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2:25" x14ac:dyDescent="0.2">
      <c r="B10" s="1"/>
      <c r="C10" s="2270" t="s">
        <v>131</v>
      </c>
      <c r="D10" s="2270"/>
      <c r="E10" s="433">
        <f>IF(C15=0,D15,C15)</f>
        <v>4627948.08</v>
      </c>
      <c r="F10" s="407">
        <f>E10*0.16</f>
        <v>740471.69280000008</v>
      </c>
      <c r="G10" s="407">
        <f>E10+F10</f>
        <v>5368419.7728000004</v>
      </c>
      <c r="H10" s="408"/>
      <c r="I10" s="411">
        <v>19</v>
      </c>
      <c r="J10" s="516"/>
      <c r="K10" s="516"/>
      <c r="L10" s="516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2:25" x14ac:dyDescent="0.2">
      <c r="B11" s="1"/>
      <c r="C11" s="2270" t="s">
        <v>132</v>
      </c>
      <c r="D11" s="2270"/>
      <c r="E11" s="433">
        <f>IF(C16=0,D16,C16)</f>
        <v>2047.42</v>
      </c>
      <c r="F11" s="407">
        <f>E11*0.16</f>
        <v>327.5872</v>
      </c>
      <c r="G11" s="407">
        <f>E11+F11</f>
        <v>2375.0072</v>
      </c>
      <c r="H11" s="408"/>
      <c r="I11" s="411">
        <v>19</v>
      </c>
      <c r="J11" s="516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2:25" x14ac:dyDescent="0.2">
      <c r="B12" s="1"/>
      <c r="C12" s="516"/>
      <c r="D12" s="516"/>
      <c r="E12" s="516"/>
      <c r="F12" s="516"/>
      <c r="G12" s="516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2:25" ht="15" thickBot="1" x14ac:dyDescent="0.25">
      <c r="B13" s="1"/>
      <c r="C13" s="516"/>
      <c r="D13" s="516"/>
      <c r="E13" s="516"/>
      <c r="F13" s="516"/>
      <c r="G13" s="516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2:25" x14ac:dyDescent="0.2">
      <c r="B14" s="1"/>
      <c r="C14" s="440" t="s">
        <v>155</v>
      </c>
      <c r="D14" s="441" t="s">
        <v>156</v>
      </c>
      <c r="E14" s="442" t="s">
        <v>112</v>
      </c>
      <c r="F14" s="516"/>
      <c r="G14" s="516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2:25" x14ac:dyDescent="0.2">
      <c r="B15" s="1"/>
      <c r="C15" s="443">
        <v>4627948.08</v>
      </c>
      <c r="D15" s="444">
        <f>D80</f>
        <v>2667629.0293333335</v>
      </c>
      <c r="E15" s="445">
        <f>C15-D15</f>
        <v>1960319.0506666666</v>
      </c>
      <c r="F15" s="516"/>
      <c r="G15" s="516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2:25" ht="15" thickBot="1" x14ac:dyDescent="0.25">
      <c r="B16" s="1"/>
      <c r="C16" s="446">
        <v>2047.42</v>
      </c>
      <c r="D16" s="447">
        <f>ROUND(G80,2)</f>
        <v>0</v>
      </c>
      <c r="E16" s="448">
        <f>C16-D16</f>
        <v>2047.42</v>
      </c>
      <c r="F16" s="516"/>
      <c r="G16" s="516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2:25" x14ac:dyDescent="0.2">
      <c r="B17" s="1"/>
      <c r="C17" s="516"/>
      <c r="D17" s="516"/>
      <c r="E17" s="516"/>
      <c r="F17" s="516"/>
      <c r="G17" s="516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2:25" x14ac:dyDescent="0.2">
      <c r="B18" s="1"/>
      <c r="C18" s="516"/>
      <c r="D18" s="516"/>
      <c r="E18" s="516"/>
      <c r="F18" s="516"/>
      <c r="G18" s="516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2:25" x14ac:dyDescent="0.2">
      <c r="B19" s="1"/>
      <c r="C19" s="516"/>
      <c r="D19" s="516"/>
      <c r="E19" s="516"/>
      <c r="F19" s="516"/>
      <c r="G19" s="516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2:25" x14ac:dyDescent="0.2">
      <c r="B20" s="1"/>
      <c r="C20" s="516"/>
      <c r="D20" s="516"/>
      <c r="E20" s="516"/>
      <c r="F20" s="516"/>
      <c r="G20" s="516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2:25" x14ac:dyDescent="0.2">
      <c r="B21" s="1"/>
      <c r="C21" s="516"/>
      <c r="D21" s="516"/>
      <c r="E21" s="516"/>
      <c r="F21" s="516"/>
      <c r="G21" s="516"/>
      <c r="H21" s="1"/>
      <c r="I21" s="1"/>
      <c r="J21" s="1"/>
      <c r="K21" s="1"/>
      <c r="L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2:25" ht="15" thickBot="1" x14ac:dyDescent="0.25">
      <c r="B22" s="1"/>
      <c r="C22" s="419" t="s">
        <v>137</v>
      </c>
      <c r="D22" s="516" t="s">
        <v>138</v>
      </c>
      <c r="E22" s="516"/>
      <c r="F22" s="516" t="s">
        <v>139</v>
      </c>
      <c r="G22" s="516" t="s">
        <v>157</v>
      </c>
      <c r="H22" s="516" t="s">
        <v>143</v>
      </c>
      <c r="I22" s="516" t="s">
        <v>142</v>
      </c>
      <c r="J22" s="516" t="s">
        <v>141</v>
      </c>
      <c r="K22" s="516" t="s">
        <v>140</v>
      </c>
      <c r="L22" s="516" t="s">
        <v>144</v>
      </c>
      <c r="M22" s="516" t="s">
        <v>146</v>
      </c>
      <c r="N22" s="516"/>
      <c r="O22" s="516"/>
      <c r="P22" s="516"/>
      <c r="Q22" s="1"/>
      <c r="R22" s="1"/>
      <c r="S22" s="1"/>
      <c r="T22" s="1"/>
      <c r="U22" s="1"/>
      <c r="V22" s="1"/>
      <c r="W22" s="1"/>
      <c r="X22" s="1"/>
      <c r="Y22" s="1"/>
    </row>
    <row r="23" spans="2:25" ht="36.75" customHeight="1" x14ac:dyDescent="0.2">
      <c r="B23" s="1"/>
      <c r="C23" s="402" t="s">
        <v>134</v>
      </c>
      <c r="D23" s="2261" t="s">
        <v>135</v>
      </c>
      <c r="E23" s="2262"/>
      <c r="F23" s="518" t="s">
        <v>136</v>
      </c>
      <c r="G23" s="461" t="s">
        <v>153</v>
      </c>
      <c r="H23" s="420" t="s">
        <v>129</v>
      </c>
      <c r="I23" s="403" t="s">
        <v>130</v>
      </c>
      <c r="J23" s="422"/>
      <c r="K23" s="422"/>
      <c r="L23" s="422"/>
      <c r="M23" s="404" t="s">
        <v>158</v>
      </c>
      <c r="N23" s="516"/>
      <c r="O23" s="516"/>
      <c r="P23" s="516"/>
      <c r="Q23" s="516"/>
      <c r="R23" s="516"/>
      <c r="S23" s="516"/>
      <c r="T23" s="516"/>
      <c r="U23" s="1"/>
      <c r="V23" s="1"/>
      <c r="W23" s="1"/>
      <c r="X23" s="1"/>
      <c r="Y23" s="1"/>
    </row>
    <row r="24" spans="2:25" x14ac:dyDescent="0.2">
      <c r="B24" s="1"/>
      <c r="C24" s="405">
        <v>850</v>
      </c>
      <c r="D24" s="2263">
        <v>850</v>
      </c>
      <c r="E24" s="2264"/>
      <c r="F24" s="418">
        <v>31482640</v>
      </c>
      <c r="G24" s="462">
        <v>30</v>
      </c>
      <c r="H24" s="460">
        <f>VLOOKUP(C47,Tarifas!D4:H303,3)</f>
        <v>8.2000000000000003E-2</v>
      </c>
      <c r="I24" s="424">
        <f>VLOOKUP(C47,Tarifas!D4:H303,5)</f>
        <v>1E-3</v>
      </c>
      <c r="J24" s="421">
        <v>182.5</v>
      </c>
      <c r="K24" s="421">
        <v>201.4</v>
      </c>
      <c r="L24" s="421">
        <f>I11</f>
        <v>19</v>
      </c>
      <c r="M24" s="431">
        <f>E80</f>
        <v>0</v>
      </c>
      <c r="N24" s="430" t="s">
        <v>62</v>
      </c>
      <c r="O24" s="516"/>
      <c r="P24" s="516"/>
      <c r="Q24" s="516"/>
      <c r="R24" s="516"/>
      <c r="S24" s="516"/>
      <c r="T24" s="516"/>
      <c r="U24" s="1"/>
      <c r="V24" s="1"/>
      <c r="W24" s="1"/>
      <c r="X24" s="1"/>
      <c r="Y24" s="1"/>
    </row>
    <row r="25" spans="2:25" x14ac:dyDescent="0.2">
      <c r="B25" s="1"/>
      <c r="C25" s="516"/>
      <c r="D25" s="516"/>
      <c r="E25" s="516"/>
      <c r="F25" s="516"/>
      <c r="G25" s="516"/>
      <c r="H25" s="516"/>
      <c r="I25" s="516"/>
      <c r="J25" s="516"/>
      <c r="K25" s="516"/>
      <c r="L25" s="516"/>
      <c r="M25" s="516"/>
      <c r="N25" s="516"/>
      <c r="O25" s="516"/>
      <c r="P25" s="516"/>
      <c r="Q25" s="516"/>
      <c r="R25" s="516"/>
      <c r="S25" s="1"/>
      <c r="T25" s="1"/>
      <c r="U25" s="1"/>
      <c r="V25" s="1"/>
      <c r="W25" s="1"/>
      <c r="X25" s="1"/>
      <c r="Y25" s="1"/>
    </row>
    <row r="26" spans="2:25" x14ac:dyDescent="0.2">
      <c r="B26" s="1"/>
      <c r="C26" s="516"/>
      <c r="D26" s="516"/>
      <c r="E26" s="516"/>
      <c r="F26" s="516"/>
      <c r="G26" s="516"/>
      <c r="H26" s="516"/>
      <c r="I26" s="516"/>
      <c r="J26" s="516"/>
      <c r="K26" s="516"/>
      <c r="L26" s="516"/>
      <c r="M26" s="516"/>
      <c r="N26" s="516"/>
      <c r="O26" s="516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2:25" x14ac:dyDescent="0.2">
      <c r="B27" s="1"/>
      <c r="C27" s="516"/>
      <c r="D27" s="516"/>
      <c r="E27" s="516"/>
      <c r="F27" s="516"/>
      <c r="G27" s="516"/>
      <c r="H27" s="516"/>
      <c r="I27" s="516"/>
      <c r="J27" s="516"/>
      <c r="K27" s="516"/>
      <c r="L27" s="516"/>
      <c r="M27" s="516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2:25" ht="15" thickBot="1" x14ac:dyDescent="0.25">
      <c r="B28" s="1"/>
      <c r="C28" s="2265" t="s">
        <v>86</v>
      </c>
      <c r="D28" s="2265"/>
      <c r="E28" s="2265"/>
      <c r="F28" s="2265"/>
      <c r="G28" s="519"/>
      <c r="H28" s="334"/>
      <c r="I28" s="334"/>
      <c r="J28" s="334"/>
      <c r="K28" s="519"/>
      <c r="L28" s="336"/>
      <c r="M28" s="336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2:25" ht="22.5" x14ac:dyDescent="0.2">
      <c r="B29" s="1"/>
      <c r="C29" s="337" t="s">
        <v>87</v>
      </c>
      <c r="D29" s="514" t="s">
        <v>88</v>
      </c>
      <c r="E29" s="514" t="s">
        <v>89</v>
      </c>
      <c r="F29" s="514" t="s">
        <v>20</v>
      </c>
      <c r="G29" s="514" t="s">
        <v>160</v>
      </c>
      <c r="H29" s="514" t="s">
        <v>90</v>
      </c>
      <c r="I29" s="514" t="s">
        <v>91</v>
      </c>
      <c r="J29" s="514" t="s">
        <v>92</v>
      </c>
      <c r="K29" s="514" t="s">
        <v>93</v>
      </c>
      <c r="L29" s="514" t="s">
        <v>94</v>
      </c>
      <c r="M29" s="515" t="s">
        <v>95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2:25" x14ac:dyDescent="0.2">
      <c r="B30" s="1"/>
      <c r="C30" s="338"/>
      <c r="D30" s="339">
        <v>1</v>
      </c>
      <c r="E30" s="339" t="s">
        <v>96</v>
      </c>
      <c r="F30" s="340" t="s">
        <v>97</v>
      </c>
      <c r="G30" s="340">
        <v>2201</v>
      </c>
      <c r="H30" s="339">
        <v>20823</v>
      </c>
      <c r="I30" s="341">
        <v>40000</v>
      </c>
      <c r="J30" s="339">
        <v>138.15</v>
      </c>
      <c r="K30" s="342">
        <f>I30/I$35</f>
        <v>4.7058823529411764E-2</v>
      </c>
      <c r="L30" s="343">
        <f>ROUND(K30*E$10,2)</f>
        <v>217785.79</v>
      </c>
      <c r="M30" s="344">
        <f>L30*$I$10</f>
        <v>4137930.0100000002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2:25" x14ac:dyDescent="0.2">
      <c r="B31" s="1"/>
      <c r="C31" s="338"/>
      <c r="D31" s="339">
        <v>2</v>
      </c>
      <c r="E31" s="339" t="s">
        <v>98</v>
      </c>
      <c r="F31" s="340" t="s">
        <v>97</v>
      </c>
      <c r="G31" s="340">
        <v>2201</v>
      </c>
      <c r="H31" s="339">
        <v>20824</v>
      </c>
      <c r="I31" s="341">
        <v>40000</v>
      </c>
      <c r="J31" s="339">
        <v>138.15</v>
      </c>
      <c r="K31" s="342">
        <f>I31/I$35</f>
        <v>4.7058823529411764E-2</v>
      </c>
      <c r="L31" s="343">
        <f>ROUND(K31*E$10,2)</f>
        <v>217785.79</v>
      </c>
      <c r="M31" s="344">
        <f>L31*$I$10</f>
        <v>4137930.0100000002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2:25" x14ac:dyDescent="0.2">
      <c r="B32" s="1"/>
      <c r="C32" s="338"/>
      <c r="D32" s="339">
        <v>1</v>
      </c>
      <c r="E32" s="339" t="s">
        <v>99</v>
      </c>
      <c r="F32" s="340" t="s">
        <v>100</v>
      </c>
      <c r="G32" s="340">
        <v>2230</v>
      </c>
      <c r="H32" s="339">
        <v>22228</v>
      </c>
      <c r="I32" s="341">
        <v>32000</v>
      </c>
      <c r="J32" s="339">
        <v>130.80000000000001</v>
      </c>
      <c r="K32" s="342">
        <f>I32/I$35</f>
        <v>3.7647058823529408E-2</v>
      </c>
      <c r="L32" s="343">
        <f>ROUND(K32*E$10,2)</f>
        <v>174228.63</v>
      </c>
      <c r="M32" s="344">
        <f>L32*$I$10</f>
        <v>3310343.97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2:25" x14ac:dyDescent="0.2">
      <c r="B33" s="1"/>
      <c r="C33" s="338">
        <v>800762390</v>
      </c>
      <c r="D33" s="339">
        <v>1</v>
      </c>
      <c r="E33" s="354" t="s">
        <v>101</v>
      </c>
      <c r="F33" s="463" t="s">
        <v>23</v>
      </c>
      <c r="G33" s="463">
        <v>2044</v>
      </c>
      <c r="H33" s="354">
        <v>591000420</v>
      </c>
      <c r="I33" s="341">
        <v>80000</v>
      </c>
      <c r="J33" s="339"/>
      <c r="K33" s="342">
        <f>I33/I$35</f>
        <v>9.4117647058823528E-2</v>
      </c>
      <c r="L33" s="343">
        <f>ROUND(K33*E$10,2)</f>
        <v>435571.58</v>
      </c>
      <c r="M33" s="344">
        <f>L33*$I$10</f>
        <v>8275860.0200000005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2:25" ht="15" thickBot="1" x14ac:dyDescent="0.25">
      <c r="B34" s="1"/>
      <c r="C34" s="345">
        <v>800642440</v>
      </c>
      <c r="D34" s="346">
        <v>5</v>
      </c>
      <c r="E34" s="347" t="s">
        <v>101</v>
      </c>
      <c r="F34" s="348" t="s">
        <v>159</v>
      </c>
      <c r="G34" s="348">
        <v>2277</v>
      </c>
      <c r="H34" s="347">
        <v>22770</v>
      </c>
      <c r="I34" s="349">
        <f>850000-I30-I31-I32-I33</f>
        <v>658000</v>
      </c>
      <c r="J34" s="346"/>
      <c r="K34" s="350">
        <f>I34/I$35</f>
        <v>0.77411764705882358</v>
      </c>
      <c r="L34" s="351">
        <f>ROUND(K34*E$10,2)</f>
        <v>3582576.28</v>
      </c>
      <c r="M34" s="352">
        <f>L34*$I$10</f>
        <v>68068949.319999993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2:25" x14ac:dyDescent="0.2">
      <c r="B35" s="1"/>
      <c r="C35" s="406">
        <v>3000623</v>
      </c>
      <c r="D35" s="353" t="s">
        <v>102</v>
      </c>
      <c r="E35" s="353"/>
      <c r="F35" s="353"/>
      <c r="G35" s="353"/>
      <c r="H35" s="354"/>
      <c r="I35" s="355">
        <f>SUM(I30:I34)</f>
        <v>850000</v>
      </c>
      <c r="J35" s="353"/>
      <c r="K35" s="356">
        <f>SUM(K30:K34)</f>
        <v>1</v>
      </c>
      <c r="L35" s="357">
        <f>SUM(L30:L34)</f>
        <v>4627948.07</v>
      </c>
      <c r="M35" s="357">
        <f>SUM(M30:M33)</f>
        <v>19862064.010000002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2:25" x14ac:dyDescent="0.2">
      <c r="B36" s="1"/>
      <c r="C36" s="336"/>
      <c r="D36" s="336"/>
      <c r="E36" s="336"/>
      <c r="F36" s="358"/>
      <c r="G36" s="358"/>
      <c r="H36" s="336"/>
      <c r="I36" s="336"/>
      <c r="J36" s="336"/>
      <c r="K36" s="336"/>
      <c r="L36" s="359"/>
      <c r="M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2:25" x14ac:dyDescent="0.2">
      <c r="B37" s="1"/>
      <c r="C37" s="336"/>
      <c r="D37" s="336"/>
      <c r="E37" s="336"/>
      <c r="F37" s="358"/>
      <c r="G37" s="358"/>
      <c r="H37" s="336"/>
      <c r="I37" s="336"/>
      <c r="J37" s="336"/>
      <c r="K37" s="336"/>
      <c r="L37" s="359"/>
      <c r="M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2:25" x14ac:dyDescent="0.2">
      <c r="B38" s="1"/>
      <c r="C38" s="336"/>
      <c r="D38" s="336"/>
      <c r="E38" s="336"/>
      <c r="F38" s="358"/>
      <c r="G38" s="358"/>
      <c r="H38" s="336"/>
      <c r="I38" s="336"/>
      <c r="J38" s="336"/>
      <c r="K38" s="336"/>
      <c r="L38" s="359"/>
      <c r="M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2:25" ht="15" thickBot="1" x14ac:dyDescent="0.25">
      <c r="B39" s="1"/>
      <c r="C39" s="2266" t="s">
        <v>103</v>
      </c>
      <c r="D39" s="2266"/>
      <c r="E39" s="2266"/>
      <c r="F39" s="2266"/>
      <c r="G39" s="519"/>
      <c r="H39" s="334"/>
      <c r="I39" s="334"/>
      <c r="J39" s="334"/>
      <c r="K39" s="336"/>
      <c r="L39" s="336"/>
      <c r="M39" s="360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2:25" ht="22.5" x14ac:dyDescent="0.2">
      <c r="B40" s="1"/>
      <c r="C40" s="337" t="s">
        <v>87</v>
      </c>
      <c r="D40" s="514" t="s">
        <v>88</v>
      </c>
      <c r="E40" s="514" t="s">
        <v>89</v>
      </c>
      <c r="F40" s="514" t="s">
        <v>20</v>
      </c>
      <c r="G40" s="514"/>
      <c r="H40" s="514" t="s">
        <v>90</v>
      </c>
      <c r="I40" s="514" t="s">
        <v>104</v>
      </c>
      <c r="J40" s="514" t="s">
        <v>93</v>
      </c>
      <c r="K40" s="514" t="s">
        <v>92</v>
      </c>
      <c r="L40" s="514" t="s">
        <v>94</v>
      </c>
      <c r="M40" s="515" t="s">
        <v>95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2:25" x14ac:dyDescent="0.2">
      <c r="B41" s="1"/>
      <c r="C41" s="338"/>
      <c r="D41" s="339">
        <v>1</v>
      </c>
      <c r="E41" s="339" t="s">
        <v>96</v>
      </c>
      <c r="F41" s="340" t="s">
        <v>97</v>
      </c>
      <c r="G41" s="340"/>
      <c r="H41" s="339">
        <v>20823</v>
      </c>
      <c r="I41" s="341">
        <f>M80</f>
        <v>0</v>
      </c>
      <c r="J41" s="342" t="e">
        <f>I41/I$45</f>
        <v>#DIV/0!</v>
      </c>
      <c r="K41" s="339">
        <v>138.15</v>
      </c>
      <c r="L41" s="343" t="e">
        <f>ROUND(J41*$E$11,2)</f>
        <v>#DIV/0!</v>
      </c>
      <c r="M41" s="344" t="e">
        <f>L41*L24</f>
        <v>#DIV/0!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2:25" x14ac:dyDescent="0.2">
      <c r="B42" s="1"/>
      <c r="C42" s="338"/>
      <c r="D42" s="339">
        <v>2</v>
      </c>
      <c r="E42" s="339" t="s">
        <v>98</v>
      </c>
      <c r="F42" s="340" t="s">
        <v>97</v>
      </c>
      <c r="G42" s="340"/>
      <c r="H42" s="339">
        <v>20824</v>
      </c>
      <c r="I42" s="341">
        <f>N80</f>
        <v>0</v>
      </c>
      <c r="J42" s="342" t="e">
        <f>I42/I$45</f>
        <v>#DIV/0!</v>
      </c>
      <c r="K42" s="339">
        <v>138.15</v>
      </c>
      <c r="L42" s="343" t="e">
        <f>ROUND(J42*$E$11,2)</f>
        <v>#DIV/0!</v>
      </c>
      <c r="M42" s="344" t="e">
        <f>L42*L25</f>
        <v>#DIV/0!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2:25" x14ac:dyDescent="0.2">
      <c r="B43" s="1"/>
      <c r="C43" s="338"/>
      <c r="D43" s="339">
        <v>1</v>
      </c>
      <c r="E43" s="339" t="s">
        <v>99</v>
      </c>
      <c r="F43" s="340" t="s">
        <v>100</v>
      </c>
      <c r="G43" s="340"/>
      <c r="H43" s="339">
        <v>22228</v>
      </c>
      <c r="I43" s="341">
        <f>O80</f>
        <v>0</v>
      </c>
      <c r="J43" s="342" t="e">
        <f>I43/I$45</f>
        <v>#DIV/0!</v>
      </c>
      <c r="K43" s="339">
        <v>130.80000000000001</v>
      </c>
      <c r="L43" s="343" t="e">
        <f>ROUND(J43*$E$11,2)</f>
        <v>#DIV/0!</v>
      </c>
      <c r="M43" s="344" t="e">
        <f>L43*L26</f>
        <v>#DIV/0!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2:25" ht="15" thickBot="1" x14ac:dyDescent="0.25">
      <c r="B44" s="1"/>
      <c r="C44" s="345">
        <v>800762390</v>
      </c>
      <c r="D44" s="346">
        <v>2</v>
      </c>
      <c r="E44" s="347" t="s">
        <v>101</v>
      </c>
      <c r="F44" s="348" t="s">
        <v>23</v>
      </c>
      <c r="G44" s="348"/>
      <c r="H44" s="347"/>
      <c r="I44" s="349">
        <f>L80</f>
        <v>0</v>
      </c>
      <c r="J44" s="350" t="e">
        <f>I44/I$45</f>
        <v>#DIV/0!</v>
      </c>
      <c r="K44" s="346">
        <v>138.15</v>
      </c>
      <c r="L44" s="351" t="e">
        <f>ROUND(J44*$E$11,2)</f>
        <v>#DIV/0!</v>
      </c>
      <c r="M44" s="352" t="e">
        <f>L44*L27</f>
        <v>#DIV/0!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2:25" x14ac:dyDescent="0.2">
      <c r="B45" s="1"/>
      <c r="C45" s="353"/>
      <c r="D45" s="353"/>
      <c r="E45" s="353"/>
      <c r="F45" s="353"/>
      <c r="G45" s="353"/>
      <c r="H45" s="354"/>
      <c r="I45" s="449">
        <f>SUM(I41:I44)</f>
        <v>0</v>
      </c>
      <c r="J45" s="355"/>
      <c r="K45" s="353"/>
      <c r="L45" s="357" t="e">
        <f>SUM(L41:L44)</f>
        <v>#DIV/0!</v>
      </c>
      <c r="M45" s="357" t="e">
        <f>SUM(M41:M44)</f>
        <v>#DIV/0!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2:25" customFormat="1" ht="15" thickBot="1" x14ac:dyDescent="0.25">
      <c r="M46" s="450"/>
      <c r="N46" s="450"/>
      <c r="O46" s="450"/>
      <c r="P46" s="450"/>
      <c r="Q46" s="450"/>
      <c r="R46" s="450"/>
      <c r="S46" s="450"/>
      <c r="T46" s="450"/>
      <c r="U46" s="450"/>
      <c r="V46" s="450"/>
      <c r="W46" s="450"/>
      <c r="X46" s="450"/>
      <c r="Y46" s="450"/>
    </row>
    <row r="47" spans="2:25" ht="15" thickBot="1" x14ac:dyDescent="0.25">
      <c r="B47" s="434" t="s">
        <v>3</v>
      </c>
      <c r="C47" s="333">
        <f>SUMIF(Tarifas!E4:E303,'Noviembre - 2013'!C49,Tarifas!D4:D303)</f>
        <v>4</v>
      </c>
      <c r="D47" s="425" t="s">
        <v>147</v>
      </c>
      <c r="E47" s="426" t="s">
        <v>145</v>
      </c>
      <c r="F47" s="426" t="s">
        <v>150</v>
      </c>
      <c r="G47" s="426" t="s">
        <v>148</v>
      </c>
      <c r="H47" s="382"/>
      <c r="I47" s="331" t="s">
        <v>120</v>
      </c>
      <c r="J47" s="332"/>
      <c r="K47" s="332"/>
      <c r="L47" s="364" t="s">
        <v>105</v>
      </c>
      <c r="M47" s="365"/>
      <c r="N47" s="365"/>
      <c r="O47" s="365"/>
      <c r="P47" s="365"/>
      <c r="Q47" s="365"/>
      <c r="R47" s="366"/>
      <c r="S47" s="2267" t="s">
        <v>121</v>
      </c>
      <c r="T47" s="2268"/>
      <c r="U47" s="2268"/>
      <c r="V47" s="2268"/>
      <c r="W47" s="2268"/>
      <c r="X47" s="2268"/>
      <c r="Y47" s="2269"/>
    </row>
    <row r="48" spans="2:25" ht="33.75" x14ac:dyDescent="0.2">
      <c r="C48" s="383" t="s">
        <v>122</v>
      </c>
      <c r="D48" s="384" t="s">
        <v>125</v>
      </c>
      <c r="E48" s="385" t="s">
        <v>149</v>
      </c>
      <c r="F48" s="385" t="s">
        <v>151</v>
      </c>
      <c r="G48" s="385" t="s">
        <v>152</v>
      </c>
      <c r="H48" s="386" t="s">
        <v>123</v>
      </c>
      <c r="I48" s="329" t="s">
        <v>109</v>
      </c>
      <c r="J48" s="330" t="s">
        <v>25</v>
      </c>
      <c r="K48" s="330" t="s">
        <v>26</v>
      </c>
      <c r="L48" s="367" t="s">
        <v>115</v>
      </c>
      <c r="M48" s="362" t="s">
        <v>106</v>
      </c>
      <c r="N48" s="362" t="s">
        <v>107</v>
      </c>
      <c r="O48" s="362" t="s">
        <v>108</v>
      </c>
      <c r="P48" s="362" t="s">
        <v>115</v>
      </c>
      <c r="Q48" s="363" t="s">
        <v>116</v>
      </c>
      <c r="R48" s="368" t="s">
        <v>117</v>
      </c>
      <c r="S48" s="369" t="s">
        <v>110</v>
      </c>
      <c r="T48" s="370" t="s">
        <v>111</v>
      </c>
      <c r="U48" s="370" t="s">
        <v>112</v>
      </c>
      <c r="V48" s="371" t="s">
        <v>118</v>
      </c>
      <c r="W48" s="371" t="s">
        <v>119</v>
      </c>
      <c r="X48" s="371" t="s">
        <v>114</v>
      </c>
      <c r="Y48" s="372" t="s">
        <v>113</v>
      </c>
    </row>
    <row r="49" spans="3:25" x14ac:dyDescent="0.2">
      <c r="C49" s="387">
        <f>G7</f>
        <v>41579</v>
      </c>
      <c r="D49" s="388">
        <f>($F$24*$H$24)/$G$24</f>
        <v>86052.549333333329</v>
      </c>
      <c r="E49" s="389">
        <f>P49+Q49+R49</f>
        <v>0</v>
      </c>
      <c r="F49" s="427">
        <f t="shared" ref="F49:F79" si="0">TRUNC(IFERROR(J$24/K$24,0),8)</f>
        <v>0.90615690000000004</v>
      </c>
      <c r="G49" s="390">
        <f t="shared" ref="G49:G79" si="1">ROUND(I$24*F49*E49,4)</f>
        <v>0</v>
      </c>
      <c r="H49" s="391">
        <f t="shared" ref="H49:H79" si="2">SUM(D49:G49)</f>
        <v>86053.455490233333</v>
      </c>
      <c r="I49" s="324"/>
      <c r="J49" s="325"/>
      <c r="K49" s="325"/>
      <c r="L49" s="317"/>
      <c r="M49" s="318"/>
      <c r="N49" s="318"/>
      <c r="O49" s="318"/>
      <c r="P49" s="389">
        <f>L49</f>
        <v>0</v>
      </c>
      <c r="Q49" s="389">
        <f t="shared" ref="Q49:Q79" si="3">M49+N49</f>
        <v>0</v>
      </c>
      <c r="R49" s="389">
        <f t="shared" ref="R49:R79" si="4">O49</f>
        <v>0</v>
      </c>
      <c r="S49" s="373"/>
      <c r="T49" s="374"/>
      <c r="U49" s="524">
        <f>S49+T49-V49</f>
        <v>0</v>
      </c>
      <c r="V49" s="520">
        <f>I49+J49+K49</f>
        <v>0</v>
      </c>
      <c r="W49" s="524">
        <f>(P49+Q49+R49)*1.055056</f>
        <v>0</v>
      </c>
      <c r="X49" s="520">
        <f>V49-W49</f>
        <v>0</v>
      </c>
      <c r="Y49" s="525">
        <f>AL46+X49</f>
        <v>0</v>
      </c>
    </row>
    <row r="50" spans="3:25" x14ac:dyDescent="0.2">
      <c r="C50" s="387">
        <f t="shared" ref="C50:C79" si="5">C49+1</f>
        <v>41580</v>
      </c>
      <c r="D50" s="388">
        <f t="shared" ref="D50:D79" si="6">($F$24*$H$24)/$G$24</f>
        <v>86052.549333333329</v>
      </c>
      <c r="E50" s="392">
        <f t="shared" ref="E50:E79" si="7">P50+Q50+R50</f>
        <v>0</v>
      </c>
      <c r="F50" s="428">
        <f t="shared" si="0"/>
        <v>0.90615690000000004</v>
      </c>
      <c r="G50" s="390">
        <f t="shared" si="1"/>
        <v>0</v>
      </c>
      <c r="H50" s="391">
        <f t="shared" si="2"/>
        <v>86053.455490233333</v>
      </c>
      <c r="I50" s="324"/>
      <c r="J50" s="325"/>
      <c r="K50" s="325"/>
      <c r="L50" s="319"/>
      <c r="M50" s="320"/>
      <c r="N50" s="320"/>
      <c r="O50" s="320"/>
      <c r="P50" s="392">
        <f t="shared" ref="P50:P79" si="8">L50</f>
        <v>0</v>
      </c>
      <c r="Q50" s="392">
        <f t="shared" si="3"/>
        <v>0</v>
      </c>
      <c r="R50" s="392">
        <f t="shared" si="4"/>
        <v>0</v>
      </c>
      <c r="S50" s="373"/>
      <c r="T50" s="374"/>
      <c r="U50" s="524">
        <f t="shared" ref="U50:U79" si="9">S50+T50-V50</f>
        <v>0</v>
      </c>
      <c r="V50" s="520">
        <f t="shared" ref="V50:V79" si="10">I50+J50+K50</f>
        <v>0</v>
      </c>
      <c r="W50" s="524">
        <f t="shared" ref="W50:W79" si="11">(P50+Q50+R50)*1.055056</f>
        <v>0</v>
      </c>
      <c r="X50" s="520">
        <f t="shared" ref="X50:X79" si="12">V50-W50</f>
        <v>0</v>
      </c>
      <c r="Y50" s="525">
        <f>Y49+X50</f>
        <v>0</v>
      </c>
    </row>
    <row r="51" spans="3:25" x14ac:dyDescent="0.2">
      <c r="C51" s="387">
        <f t="shared" si="5"/>
        <v>41581</v>
      </c>
      <c r="D51" s="388">
        <f t="shared" si="6"/>
        <v>86052.549333333329</v>
      </c>
      <c r="E51" s="392">
        <f t="shared" si="7"/>
        <v>0</v>
      </c>
      <c r="F51" s="428">
        <f t="shared" si="0"/>
        <v>0.90615690000000004</v>
      </c>
      <c r="G51" s="390">
        <f t="shared" si="1"/>
        <v>0</v>
      </c>
      <c r="H51" s="391">
        <f t="shared" si="2"/>
        <v>86053.455490233333</v>
      </c>
      <c r="I51" s="324"/>
      <c r="J51" s="325"/>
      <c r="K51" s="325"/>
      <c r="L51" s="317"/>
      <c r="M51" s="318"/>
      <c r="N51" s="318"/>
      <c r="O51" s="318"/>
      <c r="P51" s="392">
        <f t="shared" si="8"/>
        <v>0</v>
      </c>
      <c r="Q51" s="392">
        <f t="shared" si="3"/>
        <v>0</v>
      </c>
      <c r="R51" s="392">
        <f t="shared" si="4"/>
        <v>0</v>
      </c>
      <c r="S51" s="373"/>
      <c r="T51" s="374"/>
      <c r="U51" s="524">
        <f t="shared" si="9"/>
        <v>0</v>
      </c>
      <c r="V51" s="520">
        <f t="shared" si="10"/>
        <v>0</v>
      </c>
      <c r="W51" s="524">
        <f t="shared" si="11"/>
        <v>0</v>
      </c>
      <c r="X51" s="520">
        <f t="shared" si="12"/>
        <v>0</v>
      </c>
      <c r="Y51" s="525">
        <f t="shared" ref="Y51:Y79" si="13">Y50+X51</f>
        <v>0</v>
      </c>
    </row>
    <row r="52" spans="3:25" x14ac:dyDescent="0.2">
      <c r="C52" s="387">
        <f t="shared" si="5"/>
        <v>41582</v>
      </c>
      <c r="D52" s="388">
        <f t="shared" si="6"/>
        <v>86052.549333333329</v>
      </c>
      <c r="E52" s="392">
        <f t="shared" si="7"/>
        <v>0</v>
      </c>
      <c r="F52" s="428">
        <f t="shared" si="0"/>
        <v>0.90615690000000004</v>
      </c>
      <c r="G52" s="390">
        <f t="shared" si="1"/>
        <v>0</v>
      </c>
      <c r="H52" s="391">
        <f t="shared" si="2"/>
        <v>86053.455490233333</v>
      </c>
      <c r="I52" s="324"/>
      <c r="J52" s="325"/>
      <c r="K52" s="325"/>
      <c r="L52" s="319"/>
      <c r="M52" s="320"/>
      <c r="N52" s="320"/>
      <c r="O52" s="320"/>
      <c r="P52" s="392">
        <f t="shared" si="8"/>
        <v>0</v>
      </c>
      <c r="Q52" s="392">
        <f t="shared" si="3"/>
        <v>0</v>
      </c>
      <c r="R52" s="392">
        <f t="shared" si="4"/>
        <v>0</v>
      </c>
      <c r="S52" s="373"/>
      <c r="T52" s="374"/>
      <c r="U52" s="524">
        <f t="shared" si="9"/>
        <v>0</v>
      </c>
      <c r="V52" s="520">
        <f t="shared" si="10"/>
        <v>0</v>
      </c>
      <c r="W52" s="524">
        <f t="shared" si="11"/>
        <v>0</v>
      </c>
      <c r="X52" s="520">
        <f t="shared" si="12"/>
        <v>0</v>
      </c>
      <c r="Y52" s="525">
        <f t="shared" si="13"/>
        <v>0</v>
      </c>
    </row>
    <row r="53" spans="3:25" x14ac:dyDescent="0.2">
      <c r="C53" s="387">
        <f t="shared" si="5"/>
        <v>41583</v>
      </c>
      <c r="D53" s="388">
        <f t="shared" si="6"/>
        <v>86052.549333333329</v>
      </c>
      <c r="E53" s="392">
        <f t="shared" si="7"/>
        <v>0</v>
      </c>
      <c r="F53" s="428">
        <f t="shared" si="0"/>
        <v>0.90615690000000004</v>
      </c>
      <c r="G53" s="390">
        <f t="shared" si="1"/>
        <v>0</v>
      </c>
      <c r="H53" s="391">
        <f t="shared" si="2"/>
        <v>86053.455490233333</v>
      </c>
      <c r="I53" s="324"/>
      <c r="J53" s="325"/>
      <c r="K53" s="325"/>
      <c r="L53" s="317"/>
      <c r="M53" s="318"/>
      <c r="N53" s="318"/>
      <c r="O53" s="318"/>
      <c r="P53" s="392">
        <f t="shared" si="8"/>
        <v>0</v>
      </c>
      <c r="Q53" s="392">
        <f t="shared" si="3"/>
        <v>0</v>
      </c>
      <c r="R53" s="392">
        <f t="shared" si="4"/>
        <v>0</v>
      </c>
      <c r="S53" s="373"/>
      <c r="T53" s="374"/>
      <c r="U53" s="524">
        <f t="shared" si="9"/>
        <v>0</v>
      </c>
      <c r="V53" s="520">
        <f t="shared" si="10"/>
        <v>0</v>
      </c>
      <c r="W53" s="524">
        <f t="shared" si="11"/>
        <v>0</v>
      </c>
      <c r="X53" s="520">
        <f t="shared" si="12"/>
        <v>0</v>
      </c>
      <c r="Y53" s="525">
        <f t="shared" si="13"/>
        <v>0</v>
      </c>
    </row>
    <row r="54" spans="3:25" x14ac:dyDescent="0.2">
      <c r="C54" s="387">
        <f t="shared" si="5"/>
        <v>41584</v>
      </c>
      <c r="D54" s="388">
        <f t="shared" si="6"/>
        <v>86052.549333333329</v>
      </c>
      <c r="E54" s="392">
        <f t="shared" si="7"/>
        <v>0</v>
      </c>
      <c r="F54" s="428">
        <f t="shared" si="0"/>
        <v>0.90615690000000004</v>
      </c>
      <c r="G54" s="390">
        <f t="shared" si="1"/>
        <v>0</v>
      </c>
      <c r="H54" s="391">
        <f t="shared" si="2"/>
        <v>86053.455490233333</v>
      </c>
      <c r="I54" s="324"/>
      <c r="J54" s="325"/>
      <c r="K54" s="325"/>
      <c r="L54" s="319"/>
      <c r="M54" s="320"/>
      <c r="N54" s="320"/>
      <c r="O54" s="320"/>
      <c r="P54" s="392">
        <f t="shared" si="8"/>
        <v>0</v>
      </c>
      <c r="Q54" s="392">
        <f t="shared" si="3"/>
        <v>0</v>
      </c>
      <c r="R54" s="392">
        <f t="shared" si="4"/>
        <v>0</v>
      </c>
      <c r="S54" s="373"/>
      <c r="T54" s="374"/>
      <c r="U54" s="524">
        <f t="shared" si="9"/>
        <v>0</v>
      </c>
      <c r="V54" s="520">
        <f t="shared" si="10"/>
        <v>0</v>
      </c>
      <c r="W54" s="524">
        <f t="shared" si="11"/>
        <v>0</v>
      </c>
      <c r="X54" s="520">
        <f t="shared" si="12"/>
        <v>0</v>
      </c>
      <c r="Y54" s="525">
        <f t="shared" si="13"/>
        <v>0</v>
      </c>
    </row>
    <row r="55" spans="3:25" x14ac:dyDescent="0.2">
      <c r="C55" s="387">
        <f t="shared" si="5"/>
        <v>41585</v>
      </c>
      <c r="D55" s="388">
        <f t="shared" si="6"/>
        <v>86052.549333333329</v>
      </c>
      <c r="E55" s="392">
        <f t="shared" si="7"/>
        <v>0</v>
      </c>
      <c r="F55" s="428">
        <f t="shared" si="0"/>
        <v>0.90615690000000004</v>
      </c>
      <c r="G55" s="390">
        <f t="shared" si="1"/>
        <v>0</v>
      </c>
      <c r="H55" s="391">
        <f t="shared" si="2"/>
        <v>86053.455490233333</v>
      </c>
      <c r="I55" s="324"/>
      <c r="J55" s="325"/>
      <c r="K55" s="325"/>
      <c r="L55" s="317"/>
      <c r="M55" s="318"/>
      <c r="N55" s="318"/>
      <c r="O55" s="318"/>
      <c r="P55" s="392">
        <f t="shared" si="8"/>
        <v>0</v>
      </c>
      <c r="Q55" s="392">
        <f t="shared" si="3"/>
        <v>0</v>
      </c>
      <c r="R55" s="392">
        <f t="shared" si="4"/>
        <v>0</v>
      </c>
      <c r="S55" s="373"/>
      <c r="T55" s="374"/>
      <c r="U55" s="524">
        <f t="shared" si="9"/>
        <v>0</v>
      </c>
      <c r="V55" s="520">
        <f t="shared" si="10"/>
        <v>0</v>
      </c>
      <c r="W55" s="524">
        <f t="shared" si="11"/>
        <v>0</v>
      </c>
      <c r="X55" s="520">
        <f t="shared" si="12"/>
        <v>0</v>
      </c>
      <c r="Y55" s="525">
        <f t="shared" si="13"/>
        <v>0</v>
      </c>
    </row>
    <row r="56" spans="3:25" x14ac:dyDescent="0.2">
      <c r="C56" s="387">
        <f t="shared" si="5"/>
        <v>41586</v>
      </c>
      <c r="D56" s="388">
        <f t="shared" si="6"/>
        <v>86052.549333333329</v>
      </c>
      <c r="E56" s="392">
        <f t="shared" si="7"/>
        <v>0</v>
      </c>
      <c r="F56" s="428">
        <f t="shared" si="0"/>
        <v>0.90615690000000004</v>
      </c>
      <c r="G56" s="390">
        <f t="shared" si="1"/>
        <v>0</v>
      </c>
      <c r="H56" s="391">
        <f t="shared" si="2"/>
        <v>86053.455490233333</v>
      </c>
      <c r="I56" s="324"/>
      <c r="J56" s="325"/>
      <c r="K56" s="325"/>
      <c r="L56" s="319"/>
      <c r="M56" s="320"/>
      <c r="N56" s="320"/>
      <c r="O56" s="320"/>
      <c r="P56" s="392">
        <f t="shared" si="8"/>
        <v>0</v>
      </c>
      <c r="Q56" s="392">
        <f t="shared" si="3"/>
        <v>0</v>
      </c>
      <c r="R56" s="392">
        <f t="shared" si="4"/>
        <v>0</v>
      </c>
      <c r="S56" s="373"/>
      <c r="T56" s="374"/>
      <c r="U56" s="524">
        <f t="shared" si="9"/>
        <v>0</v>
      </c>
      <c r="V56" s="520">
        <f t="shared" si="10"/>
        <v>0</v>
      </c>
      <c r="W56" s="524">
        <f t="shared" si="11"/>
        <v>0</v>
      </c>
      <c r="X56" s="520">
        <f t="shared" si="12"/>
        <v>0</v>
      </c>
      <c r="Y56" s="525">
        <f t="shared" si="13"/>
        <v>0</v>
      </c>
    </row>
    <row r="57" spans="3:25" x14ac:dyDescent="0.2">
      <c r="C57" s="387">
        <f t="shared" si="5"/>
        <v>41587</v>
      </c>
      <c r="D57" s="388">
        <f t="shared" si="6"/>
        <v>86052.549333333329</v>
      </c>
      <c r="E57" s="392">
        <f t="shared" si="7"/>
        <v>0</v>
      </c>
      <c r="F57" s="428">
        <f t="shared" si="0"/>
        <v>0.90615690000000004</v>
      </c>
      <c r="G57" s="390">
        <f t="shared" si="1"/>
        <v>0</v>
      </c>
      <c r="H57" s="391">
        <f t="shared" si="2"/>
        <v>86053.455490233333</v>
      </c>
      <c r="I57" s="324"/>
      <c r="J57" s="325"/>
      <c r="K57" s="325"/>
      <c r="L57" s="317"/>
      <c r="M57" s="318"/>
      <c r="N57" s="318"/>
      <c r="O57" s="318"/>
      <c r="P57" s="392">
        <f t="shared" si="8"/>
        <v>0</v>
      </c>
      <c r="Q57" s="392">
        <f t="shared" si="3"/>
        <v>0</v>
      </c>
      <c r="R57" s="392">
        <f t="shared" si="4"/>
        <v>0</v>
      </c>
      <c r="S57" s="373"/>
      <c r="T57" s="374"/>
      <c r="U57" s="524">
        <f t="shared" si="9"/>
        <v>0</v>
      </c>
      <c r="V57" s="520">
        <f t="shared" si="10"/>
        <v>0</v>
      </c>
      <c r="W57" s="524">
        <f t="shared" si="11"/>
        <v>0</v>
      </c>
      <c r="X57" s="520">
        <f t="shared" si="12"/>
        <v>0</v>
      </c>
      <c r="Y57" s="525">
        <f t="shared" si="13"/>
        <v>0</v>
      </c>
    </row>
    <row r="58" spans="3:25" x14ac:dyDescent="0.2">
      <c r="C58" s="387">
        <f t="shared" si="5"/>
        <v>41588</v>
      </c>
      <c r="D58" s="388">
        <f t="shared" si="6"/>
        <v>86052.549333333329</v>
      </c>
      <c r="E58" s="392">
        <f t="shared" si="7"/>
        <v>0</v>
      </c>
      <c r="F58" s="428">
        <f t="shared" si="0"/>
        <v>0.90615690000000004</v>
      </c>
      <c r="G58" s="390">
        <f t="shared" si="1"/>
        <v>0</v>
      </c>
      <c r="H58" s="391">
        <f t="shared" si="2"/>
        <v>86053.455490233333</v>
      </c>
      <c r="I58" s="324"/>
      <c r="J58" s="325"/>
      <c r="K58" s="325"/>
      <c r="L58" s="319"/>
      <c r="M58" s="320"/>
      <c r="N58" s="320"/>
      <c r="O58" s="320"/>
      <c r="P58" s="392">
        <f t="shared" si="8"/>
        <v>0</v>
      </c>
      <c r="Q58" s="392">
        <f t="shared" si="3"/>
        <v>0</v>
      </c>
      <c r="R58" s="392">
        <f t="shared" si="4"/>
        <v>0</v>
      </c>
      <c r="S58" s="373"/>
      <c r="T58" s="374"/>
      <c r="U58" s="524">
        <f t="shared" si="9"/>
        <v>0</v>
      </c>
      <c r="V58" s="520">
        <f t="shared" si="10"/>
        <v>0</v>
      </c>
      <c r="W58" s="524">
        <f t="shared" si="11"/>
        <v>0</v>
      </c>
      <c r="X58" s="520">
        <f t="shared" si="12"/>
        <v>0</v>
      </c>
      <c r="Y58" s="525">
        <f t="shared" si="13"/>
        <v>0</v>
      </c>
    </row>
    <row r="59" spans="3:25" x14ac:dyDescent="0.2">
      <c r="C59" s="387">
        <f t="shared" si="5"/>
        <v>41589</v>
      </c>
      <c r="D59" s="388">
        <f t="shared" si="6"/>
        <v>86052.549333333329</v>
      </c>
      <c r="E59" s="392">
        <f t="shared" si="7"/>
        <v>0</v>
      </c>
      <c r="F59" s="428">
        <f t="shared" si="0"/>
        <v>0.90615690000000004</v>
      </c>
      <c r="G59" s="390">
        <f t="shared" si="1"/>
        <v>0</v>
      </c>
      <c r="H59" s="391">
        <f t="shared" si="2"/>
        <v>86053.455490233333</v>
      </c>
      <c r="I59" s="324"/>
      <c r="J59" s="325"/>
      <c r="K59" s="325"/>
      <c r="L59" s="317"/>
      <c r="M59" s="318"/>
      <c r="N59" s="318"/>
      <c r="O59" s="318"/>
      <c r="P59" s="392">
        <f t="shared" si="8"/>
        <v>0</v>
      </c>
      <c r="Q59" s="392">
        <f t="shared" si="3"/>
        <v>0</v>
      </c>
      <c r="R59" s="392">
        <f t="shared" si="4"/>
        <v>0</v>
      </c>
      <c r="S59" s="373"/>
      <c r="T59" s="374"/>
      <c r="U59" s="524">
        <f t="shared" si="9"/>
        <v>0</v>
      </c>
      <c r="V59" s="520">
        <f t="shared" si="10"/>
        <v>0</v>
      </c>
      <c r="W59" s="524">
        <f t="shared" si="11"/>
        <v>0</v>
      </c>
      <c r="X59" s="520">
        <f t="shared" si="12"/>
        <v>0</v>
      </c>
      <c r="Y59" s="525">
        <f t="shared" si="13"/>
        <v>0</v>
      </c>
    </row>
    <row r="60" spans="3:25" x14ac:dyDescent="0.2">
      <c r="C60" s="387">
        <f t="shared" si="5"/>
        <v>41590</v>
      </c>
      <c r="D60" s="388">
        <f t="shared" si="6"/>
        <v>86052.549333333329</v>
      </c>
      <c r="E60" s="392">
        <f t="shared" si="7"/>
        <v>0</v>
      </c>
      <c r="F60" s="428">
        <f t="shared" si="0"/>
        <v>0.90615690000000004</v>
      </c>
      <c r="G60" s="390">
        <f t="shared" si="1"/>
        <v>0</v>
      </c>
      <c r="H60" s="391">
        <f t="shared" si="2"/>
        <v>86053.455490233333</v>
      </c>
      <c r="I60" s="324"/>
      <c r="J60" s="325"/>
      <c r="K60" s="325"/>
      <c r="L60" s="319"/>
      <c r="M60" s="320"/>
      <c r="N60" s="320"/>
      <c r="O60" s="320"/>
      <c r="P60" s="392">
        <f t="shared" si="8"/>
        <v>0</v>
      </c>
      <c r="Q60" s="392">
        <f t="shared" si="3"/>
        <v>0</v>
      </c>
      <c r="R60" s="392">
        <f t="shared" si="4"/>
        <v>0</v>
      </c>
      <c r="S60" s="373"/>
      <c r="T60" s="374"/>
      <c r="U60" s="524">
        <f t="shared" si="9"/>
        <v>0</v>
      </c>
      <c r="V60" s="520">
        <f t="shared" si="10"/>
        <v>0</v>
      </c>
      <c r="W60" s="524">
        <f t="shared" si="11"/>
        <v>0</v>
      </c>
      <c r="X60" s="520">
        <f t="shared" si="12"/>
        <v>0</v>
      </c>
      <c r="Y60" s="525">
        <f t="shared" si="13"/>
        <v>0</v>
      </c>
    </row>
    <row r="61" spans="3:25" x14ac:dyDescent="0.2">
      <c r="C61" s="387">
        <f t="shared" si="5"/>
        <v>41591</v>
      </c>
      <c r="D61" s="388">
        <f t="shared" si="6"/>
        <v>86052.549333333329</v>
      </c>
      <c r="E61" s="392">
        <f t="shared" si="7"/>
        <v>0</v>
      </c>
      <c r="F61" s="428">
        <f t="shared" si="0"/>
        <v>0.90615690000000004</v>
      </c>
      <c r="G61" s="390">
        <f t="shared" si="1"/>
        <v>0</v>
      </c>
      <c r="H61" s="391">
        <f t="shared" si="2"/>
        <v>86053.455490233333</v>
      </c>
      <c r="I61" s="324"/>
      <c r="J61" s="325"/>
      <c r="K61" s="325"/>
      <c r="L61" s="317"/>
      <c r="M61" s="318"/>
      <c r="N61" s="318"/>
      <c r="O61" s="318"/>
      <c r="P61" s="392">
        <f t="shared" si="8"/>
        <v>0</v>
      </c>
      <c r="Q61" s="392">
        <f t="shared" si="3"/>
        <v>0</v>
      </c>
      <c r="R61" s="392">
        <f t="shared" si="4"/>
        <v>0</v>
      </c>
      <c r="S61" s="373"/>
      <c r="T61" s="374"/>
      <c r="U61" s="524">
        <f t="shared" si="9"/>
        <v>0</v>
      </c>
      <c r="V61" s="520">
        <f t="shared" si="10"/>
        <v>0</v>
      </c>
      <c r="W61" s="524">
        <f t="shared" si="11"/>
        <v>0</v>
      </c>
      <c r="X61" s="520">
        <f t="shared" si="12"/>
        <v>0</v>
      </c>
      <c r="Y61" s="525">
        <f t="shared" si="13"/>
        <v>0</v>
      </c>
    </row>
    <row r="62" spans="3:25" x14ac:dyDescent="0.2">
      <c r="C62" s="387">
        <f t="shared" si="5"/>
        <v>41592</v>
      </c>
      <c r="D62" s="388">
        <f t="shared" si="6"/>
        <v>86052.549333333329</v>
      </c>
      <c r="E62" s="392">
        <f t="shared" si="7"/>
        <v>0</v>
      </c>
      <c r="F62" s="428">
        <f t="shared" si="0"/>
        <v>0.90615690000000004</v>
      </c>
      <c r="G62" s="390">
        <f t="shared" si="1"/>
        <v>0</v>
      </c>
      <c r="H62" s="391">
        <f t="shared" si="2"/>
        <v>86053.455490233333</v>
      </c>
      <c r="I62" s="324"/>
      <c r="J62" s="325"/>
      <c r="K62" s="325"/>
      <c r="L62" s="319"/>
      <c r="M62" s="320"/>
      <c r="N62" s="320"/>
      <c r="O62" s="320"/>
      <c r="P62" s="392">
        <f t="shared" si="8"/>
        <v>0</v>
      </c>
      <c r="Q62" s="392">
        <f t="shared" si="3"/>
        <v>0</v>
      </c>
      <c r="R62" s="392">
        <f t="shared" si="4"/>
        <v>0</v>
      </c>
      <c r="S62" s="373"/>
      <c r="T62" s="374"/>
      <c r="U62" s="524">
        <f t="shared" si="9"/>
        <v>0</v>
      </c>
      <c r="V62" s="520">
        <f t="shared" si="10"/>
        <v>0</v>
      </c>
      <c r="W62" s="524">
        <f t="shared" si="11"/>
        <v>0</v>
      </c>
      <c r="X62" s="520">
        <f t="shared" si="12"/>
        <v>0</v>
      </c>
      <c r="Y62" s="525">
        <f t="shared" si="13"/>
        <v>0</v>
      </c>
    </row>
    <row r="63" spans="3:25" x14ac:dyDescent="0.2">
      <c r="C63" s="387">
        <f t="shared" si="5"/>
        <v>41593</v>
      </c>
      <c r="D63" s="388">
        <f t="shared" si="6"/>
        <v>86052.549333333329</v>
      </c>
      <c r="E63" s="392">
        <f t="shared" si="7"/>
        <v>0</v>
      </c>
      <c r="F63" s="428">
        <f t="shared" si="0"/>
        <v>0.90615690000000004</v>
      </c>
      <c r="G63" s="390">
        <f t="shared" si="1"/>
        <v>0</v>
      </c>
      <c r="H63" s="391">
        <f t="shared" si="2"/>
        <v>86053.455490233333</v>
      </c>
      <c r="I63" s="324"/>
      <c r="J63" s="325"/>
      <c r="K63" s="325"/>
      <c r="L63" s="317"/>
      <c r="M63" s="318"/>
      <c r="N63" s="318"/>
      <c r="O63" s="318"/>
      <c r="P63" s="392">
        <f t="shared" si="8"/>
        <v>0</v>
      </c>
      <c r="Q63" s="392">
        <f t="shared" si="3"/>
        <v>0</v>
      </c>
      <c r="R63" s="392">
        <f t="shared" si="4"/>
        <v>0</v>
      </c>
      <c r="S63" s="373"/>
      <c r="T63" s="374"/>
      <c r="U63" s="524">
        <f t="shared" si="9"/>
        <v>0</v>
      </c>
      <c r="V63" s="520">
        <f t="shared" si="10"/>
        <v>0</v>
      </c>
      <c r="W63" s="524">
        <f t="shared" si="11"/>
        <v>0</v>
      </c>
      <c r="X63" s="520">
        <f t="shared" si="12"/>
        <v>0</v>
      </c>
      <c r="Y63" s="525">
        <f t="shared" si="13"/>
        <v>0</v>
      </c>
    </row>
    <row r="64" spans="3:25" x14ac:dyDescent="0.2">
      <c r="C64" s="387">
        <f t="shared" si="5"/>
        <v>41594</v>
      </c>
      <c r="D64" s="388">
        <f t="shared" si="6"/>
        <v>86052.549333333329</v>
      </c>
      <c r="E64" s="392">
        <f t="shared" si="7"/>
        <v>0</v>
      </c>
      <c r="F64" s="428">
        <f t="shared" si="0"/>
        <v>0.90615690000000004</v>
      </c>
      <c r="G64" s="390">
        <f t="shared" si="1"/>
        <v>0</v>
      </c>
      <c r="H64" s="391">
        <f t="shared" si="2"/>
        <v>86053.455490233333</v>
      </c>
      <c r="I64" s="324"/>
      <c r="J64" s="325"/>
      <c r="K64" s="325"/>
      <c r="L64" s="319"/>
      <c r="M64" s="320"/>
      <c r="N64" s="320"/>
      <c r="O64" s="320"/>
      <c r="P64" s="392">
        <f t="shared" si="8"/>
        <v>0</v>
      </c>
      <c r="Q64" s="392">
        <f t="shared" si="3"/>
        <v>0</v>
      </c>
      <c r="R64" s="392">
        <f t="shared" si="4"/>
        <v>0</v>
      </c>
      <c r="S64" s="373"/>
      <c r="T64" s="374"/>
      <c r="U64" s="524">
        <f t="shared" si="9"/>
        <v>0</v>
      </c>
      <c r="V64" s="520">
        <f t="shared" si="10"/>
        <v>0</v>
      </c>
      <c r="W64" s="524">
        <f t="shared" si="11"/>
        <v>0</v>
      </c>
      <c r="X64" s="520">
        <f t="shared" si="12"/>
        <v>0</v>
      </c>
      <c r="Y64" s="525">
        <f t="shared" si="13"/>
        <v>0</v>
      </c>
    </row>
    <row r="65" spans="3:38" x14ac:dyDescent="0.2">
      <c r="C65" s="387">
        <f t="shared" si="5"/>
        <v>41595</v>
      </c>
      <c r="D65" s="388">
        <f t="shared" si="6"/>
        <v>86052.549333333329</v>
      </c>
      <c r="E65" s="392">
        <f t="shared" si="7"/>
        <v>0</v>
      </c>
      <c r="F65" s="428">
        <f t="shared" si="0"/>
        <v>0.90615690000000004</v>
      </c>
      <c r="G65" s="390">
        <f t="shared" si="1"/>
        <v>0</v>
      </c>
      <c r="H65" s="391">
        <f t="shared" si="2"/>
        <v>86053.455490233333</v>
      </c>
      <c r="I65" s="324"/>
      <c r="J65" s="325"/>
      <c r="K65" s="325"/>
      <c r="L65" s="317"/>
      <c r="M65" s="318"/>
      <c r="N65" s="318"/>
      <c r="O65" s="318"/>
      <c r="P65" s="392">
        <f t="shared" si="8"/>
        <v>0</v>
      </c>
      <c r="Q65" s="392">
        <f t="shared" si="3"/>
        <v>0</v>
      </c>
      <c r="R65" s="392">
        <f t="shared" si="4"/>
        <v>0</v>
      </c>
      <c r="S65" s="373"/>
      <c r="T65" s="374"/>
      <c r="U65" s="524">
        <f t="shared" si="9"/>
        <v>0</v>
      </c>
      <c r="V65" s="520">
        <f t="shared" si="10"/>
        <v>0</v>
      </c>
      <c r="W65" s="524">
        <f t="shared" si="11"/>
        <v>0</v>
      </c>
      <c r="X65" s="520">
        <f t="shared" si="12"/>
        <v>0</v>
      </c>
      <c r="Y65" s="525">
        <f t="shared" si="13"/>
        <v>0</v>
      </c>
    </row>
    <row r="66" spans="3:38" x14ac:dyDescent="0.2">
      <c r="C66" s="387">
        <f t="shared" si="5"/>
        <v>41596</v>
      </c>
      <c r="D66" s="388">
        <f t="shared" si="6"/>
        <v>86052.549333333329</v>
      </c>
      <c r="E66" s="392">
        <f t="shared" si="7"/>
        <v>0</v>
      </c>
      <c r="F66" s="428">
        <f t="shared" si="0"/>
        <v>0.90615690000000004</v>
      </c>
      <c r="G66" s="390">
        <f t="shared" si="1"/>
        <v>0</v>
      </c>
      <c r="H66" s="391">
        <f t="shared" si="2"/>
        <v>86053.455490233333</v>
      </c>
      <c r="I66" s="324"/>
      <c r="J66" s="325"/>
      <c r="K66" s="325"/>
      <c r="L66" s="319"/>
      <c r="M66" s="320"/>
      <c r="N66" s="320"/>
      <c r="O66" s="320"/>
      <c r="P66" s="392">
        <f t="shared" si="8"/>
        <v>0</v>
      </c>
      <c r="Q66" s="392">
        <f t="shared" si="3"/>
        <v>0</v>
      </c>
      <c r="R66" s="392">
        <f t="shared" si="4"/>
        <v>0</v>
      </c>
      <c r="S66" s="373"/>
      <c r="T66" s="374"/>
      <c r="U66" s="524">
        <f t="shared" si="9"/>
        <v>0</v>
      </c>
      <c r="V66" s="520">
        <f t="shared" si="10"/>
        <v>0</v>
      </c>
      <c r="W66" s="524">
        <f t="shared" si="11"/>
        <v>0</v>
      </c>
      <c r="X66" s="520">
        <f t="shared" si="12"/>
        <v>0</v>
      </c>
      <c r="Y66" s="525">
        <f t="shared" si="13"/>
        <v>0</v>
      </c>
    </row>
    <row r="67" spans="3:38" x14ac:dyDescent="0.2">
      <c r="C67" s="387">
        <f t="shared" si="5"/>
        <v>41597</v>
      </c>
      <c r="D67" s="388">
        <f t="shared" si="6"/>
        <v>86052.549333333329</v>
      </c>
      <c r="E67" s="392">
        <f t="shared" si="7"/>
        <v>0</v>
      </c>
      <c r="F67" s="428">
        <f t="shared" si="0"/>
        <v>0.90615690000000004</v>
      </c>
      <c r="G67" s="390">
        <f t="shared" si="1"/>
        <v>0</v>
      </c>
      <c r="H67" s="391">
        <f t="shared" si="2"/>
        <v>86053.455490233333</v>
      </c>
      <c r="I67" s="324"/>
      <c r="J67" s="325"/>
      <c r="K67" s="325"/>
      <c r="L67" s="317"/>
      <c r="M67" s="318"/>
      <c r="N67" s="318"/>
      <c r="O67" s="318"/>
      <c r="P67" s="392">
        <f t="shared" si="8"/>
        <v>0</v>
      </c>
      <c r="Q67" s="392">
        <f t="shared" si="3"/>
        <v>0</v>
      </c>
      <c r="R67" s="392">
        <f t="shared" si="4"/>
        <v>0</v>
      </c>
      <c r="S67" s="373"/>
      <c r="T67" s="374"/>
      <c r="U67" s="524">
        <f t="shared" si="9"/>
        <v>0</v>
      </c>
      <c r="V67" s="520">
        <f t="shared" si="10"/>
        <v>0</v>
      </c>
      <c r="W67" s="524">
        <f t="shared" si="11"/>
        <v>0</v>
      </c>
      <c r="X67" s="520">
        <f t="shared" si="12"/>
        <v>0</v>
      </c>
      <c r="Y67" s="525">
        <f t="shared" si="13"/>
        <v>0</v>
      </c>
    </row>
    <row r="68" spans="3:38" x14ac:dyDescent="0.2">
      <c r="C68" s="387">
        <f t="shared" si="5"/>
        <v>41598</v>
      </c>
      <c r="D68" s="388">
        <f t="shared" si="6"/>
        <v>86052.549333333329</v>
      </c>
      <c r="E68" s="392">
        <f t="shared" si="7"/>
        <v>0</v>
      </c>
      <c r="F68" s="428">
        <f t="shared" si="0"/>
        <v>0.90615690000000004</v>
      </c>
      <c r="G68" s="390">
        <f t="shared" si="1"/>
        <v>0</v>
      </c>
      <c r="H68" s="391">
        <f t="shared" si="2"/>
        <v>86053.455490233333</v>
      </c>
      <c r="I68" s="324"/>
      <c r="J68" s="325"/>
      <c r="K68" s="325"/>
      <c r="L68" s="319"/>
      <c r="M68" s="320"/>
      <c r="N68" s="320"/>
      <c r="O68" s="320"/>
      <c r="P68" s="392">
        <f t="shared" si="8"/>
        <v>0</v>
      </c>
      <c r="Q68" s="392">
        <f t="shared" si="3"/>
        <v>0</v>
      </c>
      <c r="R68" s="392">
        <f t="shared" si="4"/>
        <v>0</v>
      </c>
      <c r="S68" s="373"/>
      <c r="T68" s="374"/>
      <c r="U68" s="524">
        <f t="shared" si="9"/>
        <v>0</v>
      </c>
      <c r="V68" s="520">
        <f t="shared" si="10"/>
        <v>0</v>
      </c>
      <c r="W68" s="524">
        <f t="shared" si="11"/>
        <v>0</v>
      </c>
      <c r="X68" s="520">
        <f t="shared" si="12"/>
        <v>0</v>
      </c>
      <c r="Y68" s="525">
        <f t="shared" si="13"/>
        <v>0</v>
      </c>
    </row>
    <row r="69" spans="3:38" x14ac:dyDescent="0.2">
      <c r="C69" s="387">
        <f t="shared" si="5"/>
        <v>41599</v>
      </c>
      <c r="D69" s="388">
        <f t="shared" si="6"/>
        <v>86052.549333333329</v>
      </c>
      <c r="E69" s="392">
        <f t="shared" si="7"/>
        <v>0</v>
      </c>
      <c r="F69" s="428">
        <f t="shared" si="0"/>
        <v>0.90615690000000004</v>
      </c>
      <c r="G69" s="390">
        <f t="shared" si="1"/>
        <v>0</v>
      </c>
      <c r="H69" s="391">
        <f t="shared" si="2"/>
        <v>86053.455490233333</v>
      </c>
      <c r="I69" s="324"/>
      <c r="J69" s="325"/>
      <c r="K69" s="325"/>
      <c r="L69" s="317"/>
      <c r="M69" s="318"/>
      <c r="N69" s="318"/>
      <c r="O69" s="318"/>
      <c r="P69" s="392">
        <f t="shared" si="8"/>
        <v>0</v>
      </c>
      <c r="Q69" s="392">
        <f t="shared" si="3"/>
        <v>0</v>
      </c>
      <c r="R69" s="392">
        <f t="shared" si="4"/>
        <v>0</v>
      </c>
      <c r="S69" s="373"/>
      <c r="T69" s="374"/>
      <c r="U69" s="524">
        <f t="shared" si="9"/>
        <v>0</v>
      </c>
      <c r="V69" s="520">
        <f t="shared" si="10"/>
        <v>0</v>
      </c>
      <c r="W69" s="524">
        <f t="shared" si="11"/>
        <v>0</v>
      </c>
      <c r="X69" s="520">
        <f t="shared" si="12"/>
        <v>0</v>
      </c>
      <c r="Y69" s="525">
        <f t="shared" si="13"/>
        <v>0</v>
      </c>
    </row>
    <row r="70" spans="3:38" x14ac:dyDescent="0.2">
      <c r="C70" s="387">
        <f t="shared" si="5"/>
        <v>41600</v>
      </c>
      <c r="D70" s="388">
        <f t="shared" si="6"/>
        <v>86052.549333333329</v>
      </c>
      <c r="E70" s="392">
        <f t="shared" si="7"/>
        <v>0</v>
      </c>
      <c r="F70" s="428">
        <f t="shared" si="0"/>
        <v>0.90615690000000004</v>
      </c>
      <c r="G70" s="390">
        <f t="shared" si="1"/>
        <v>0</v>
      </c>
      <c r="H70" s="391">
        <f t="shared" si="2"/>
        <v>86053.455490233333</v>
      </c>
      <c r="I70" s="324"/>
      <c r="J70" s="325"/>
      <c r="K70" s="325"/>
      <c r="L70" s="319"/>
      <c r="M70" s="320"/>
      <c r="N70" s="320"/>
      <c r="O70" s="320"/>
      <c r="P70" s="392">
        <f t="shared" si="8"/>
        <v>0</v>
      </c>
      <c r="Q70" s="392">
        <f t="shared" si="3"/>
        <v>0</v>
      </c>
      <c r="R70" s="392">
        <f t="shared" si="4"/>
        <v>0</v>
      </c>
      <c r="S70" s="373"/>
      <c r="T70" s="374"/>
      <c r="U70" s="524">
        <f t="shared" si="9"/>
        <v>0</v>
      </c>
      <c r="V70" s="520">
        <f t="shared" si="10"/>
        <v>0</v>
      </c>
      <c r="W70" s="524">
        <f t="shared" si="11"/>
        <v>0</v>
      </c>
      <c r="X70" s="520">
        <f t="shared" si="12"/>
        <v>0</v>
      </c>
      <c r="Y70" s="525">
        <f t="shared" si="13"/>
        <v>0</v>
      </c>
    </row>
    <row r="71" spans="3:38" x14ac:dyDescent="0.2">
      <c r="C71" s="387">
        <f t="shared" si="5"/>
        <v>41601</v>
      </c>
      <c r="D71" s="388">
        <f t="shared" si="6"/>
        <v>86052.549333333329</v>
      </c>
      <c r="E71" s="392">
        <f t="shared" si="7"/>
        <v>0</v>
      </c>
      <c r="F71" s="428">
        <f t="shared" si="0"/>
        <v>0.90615690000000004</v>
      </c>
      <c r="G71" s="390">
        <f t="shared" si="1"/>
        <v>0</v>
      </c>
      <c r="H71" s="391">
        <f t="shared" si="2"/>
        <v>86053.455490233333</v>
      </c>
      <c r="I71" s="324"/>
      <c r="J71" s="325"/>
      <c r="K71" s="325"/>
      <c r="L71" s="317"/>
      <c r="M71" s="318"/>
      <c r="N71" s="318"/>
      <c r="O71" s="318"/>
      <c r="P71" s="392">
        <f t="shared" si="8"/>
        <v>0</v>
      </c>
      <c r="Q71" s="392">
        <f t="shared" si="3"/>
        <v>0</v>
      </c>
      <c r="R71" s="392">
        <f t="shared" si="4"/>
        <v>0</v>
      </c>
      <c r="S71" s="373"/>
      <c r="T71" s="374"/>
      <c r="U71" s="524">
        <f t="shared" si="9"/>
        <v>0</v>
      </c>
      <c r="V71" s="520">
        <f t="shared" si="10"/>
        <v>0</v>
      </c>
      <c r="W71" s="524">
        <f t="shared" si="11"/>
        <v>0</v>
      </c>
      <c r="X71" s="520">
        <f t="shared" si="12"/>
        <v>0</v>
      </c>
      <c r="Y71" s="525">
        <f t="shared" si="13"/>
        <v>0</v>
      </c>
    </row>
    <row r="72" spans="3:38" x14ac:dyDescent="0.2">
      <c r="C72" s="387">
        <f t="shared" si="5"/>
        <v>41602</v>
      </c>
      <c r="D72" s="388">
        <f t="shared" si="6"/>
        <v>86052.549333333329</v>
      </c>
      <c r="E72" s="392">
        <f t="shared" si="7"/>
        <v>0</v>
      </c>
      <c r="F72" s="428">
        <f t="shared" si="0"/>
        <v>0.90615690000000004</v>
      </c>
      <c r="G72" s="390">
        <f t="shared" si="1"/>
        <v>0</v>
      </c>
      <c r="H72" s="391">
        <f t="shared" si="2"/>
        <v>86053.455490233333</v>
      </c>
      <c r="I72" s="324"/>
      <c r="J72" s="325"/>
      <c r="K72" s="325"/>
      <c r="L72" s="319"/>
      <c r="M72" s="320"/>
      <c r="N72" s="320"/>
      <c r="O72" s="320"/>
      <c r="P72" s="392">
        <f t="shared" si="8"/>
        <v>0</v>
      </c>
      <c r="Q72" s="392">
        <f t="shared" si="3"/>
        <v>0</v>
      </c>
      <c r="R72" s="392">
        <f t="shared" si="4"/>
        <v>0</v>
      </c>
      <c r="S72" s="373"/>
      <c r="T72" s="374"/>
      <c r="U72" s="524">
        <f t="shared" si="9"/>
        <v>0</v>
      </c>
      <c r="V72" s="520">
        <f t="shared" si="10"/>
        <v>0</v>
      </c>
      <c r="W72" s="524">
        <f t="shared" si="11"/>
        <v>0</v>
      </c>
      <c r="X72" s="520">
        <f t="shared" si="12"/>
        <v>0</v>
      </c>
      <c r="Y72" s="525">
        <f t="shared" si="13"/>
        <v>0</v>
      </c>
    </row>
    <row r="73" spans="3:38" x14ac:dyDescent="0.2">
      <c r="C73" s="387">
        <f t="shared" si="5"/>
        <v>41603</v>
      </c>
      <c r="D73" s="388">
        <f t="shared" si="6"/>
        <v>86052.549333333329</v>
      </c>
      <c r="E73" s="392">
        <f t="shared" si="7"/>
        <v>0</v>
      </c>
      <c r="F73" s="428">
        <f t="shared" si="0"/>
        <v>0.90615690000000004</v>
      </c>
      <c r="G73" s="390">
        <f t="shared" si="1"/>
        <v>0</v>
      </c>
      <c r="H73" s="391">
        <f t="shared" si="2"/>
        <v>86053.455490233333</v>
      </c>
      <c r="I73" s="324"/>
      <c r="J73" s="325"/>
      <c r="K73" s="325"/>
      <c r="L73" s="317"/>
      <c r="M73" s="318"/>
      <c r="N73" s="318"/>
      <c r="O73" s="318"/>
      <c r="P73" s="392">
        <f t="shared" si="8"/>
        <v>0</v>
      </c>
      <c r="Q73" s="392">
        <f t="shared" si="3"/>
        <v>0</v>
      </c>
      <c r="R73" s="392">
        <f t="shared" si="4"/>
        <v>0</v>
      </c>
      <c r="S73" s="373"/>
      <c r="T73" s="374"/>
      <c r="U73" s="524">
        <f t="shared" si="9"/>
        <v>0</v>
      </c>
      <c r="V73" s="520">
        <f t="shared" si="10"/>
        <v>0</v>
      </c>
      <c r="W73" s="524">
        <f t="shared" si="11"/>
        <v>0</v>
      </c>
      <c r="X73" s="520">
        <f t="shared" si="12"/>
        <v>0</v>
      </c>
      <c r="Y73" s="525">
        <f t="shared" si="13"/>
        <v>0</v>
      </c>
    </row>
    <row r="74" spans="3:38" x14ac:dyDescent="0.2">
      <c r="C74" s="387">
        <f t="shared" si="5"/>
        <v>41604</v>
      </c>
      <c r="D74" s="388">
        <f t="shared" si="6"/>
        <v>86052.549333333329</v>
      </c>
      <c r="E74" s="392">
        <f t="shared" si="7"/>
        <v>0</v>
      </c>
      <c r="F74" s="428">
        <f t="shared" si="0"/>
        <v>0.90615690000000004</v>
      </c>
      <c r="G74" s="390">
        <f t="shared" si="1"/>
        <v>0</v>
      </c>
      <c r="H74" s="391">
        <f t="shared" si="2"/>
        <v>86053.455490233333</v>
      </c>
      <c r="I74" s="324"/>
      <c r="J74" s="325"/>
      <c r="K74" s="325"/>
      <c r="L74" s="319"/>
      <c r="M74" s="320"/>
      <c r="N74" s="320"/>
      <c r="O74" s="320"/>
      <c r="P74" s="392">
        <f t="shared" si="8"/>
        <v>0</v>
      </c>
      <c r="Q74" s="392">
        <f t="shared" si="3"/>
        <v>0</v>
      </c>
      <c r="R74" s="392">
        <f t="shared" si="4"/>
        <v>0</v>
      </c>
      <c r="S74" s="373"/>
      <c r="T74" s="374"/>
      <c r="U74" s="524">
        <f t="shared" si="9"/>
        <v>0</v>
      </c>
      <c r="V74" s="520">
        <f t="shared" si="10"/>
        <v>0</v>
      </c>
      <c r="W74" s="524">
        <f t="shared" si="11"/>
        <v>0</v>
      </c>
      <c r="X74" s="520">
        <f t="shared" si="12"/>
        <v>0</v>
      </c>
      <c r="Y74" s="525">
        <f t="shared" si="13"/>
        <v>0</v>
      </c>
    </row>
    <row r="75" spans="3:38" x14ac:dyDescent="0.2">
      <c r="C75" s="387">
        <f t="shared" si="5"/>
        <v>41605</v>
      </c>
      <c r="D75" s="388">
        <f t="shared" si="6"/>
        <v>86052.549333333329</v>
      </c>
      <c r="E75" s="392">
        <f t="shared" si="7"/>
        <v>0</v>
      </c>
      <c r="F75" s="428">
        <f t="shared" si="0"/>
        <v>0.90615690000000004</v>
      </c>
      <c r="G75" s="390">
        <f t="shared" si="1"/>
        <v>0</v>
      </c>
      <c r="H75" s="391">
        <f t="shared" si="2"/>
        <v>86053.455490233333</v>
      </c>
      <c r="I75" s="324"/>
      <c r="J75" s="325"/>
      <c r="K75" s="325"/>
      <c r="L75" s="317"/>
      <c r="M75" s="318"/>
      <c r="N75" s="318"/>
      <c r="O75" s="318"/>
      <c r="P75" s="392">
        <f t="shared" si="8"/>
        <v>0</v>
      </c>
      <c r="Q75" s="392">
        <f t="shared" si="3"/>
        <v>0</v>
      </c>
      <c r="R75" s="392">
        <f t="shared" si="4"/>
        <v>0</v>
      </c>
      <c r="S75" s="373"/>
      <c r="T75" s="374"/>
      <c r="U75" s="524">
        <f t="shared" si="9"/>
        <v>0</v>
      </c>
      <c r="V75" s="520">
        <f t="shared" si="10"/>
        <v>0</v>
      </c>
      <c r="W75" s="524">
        <f t="shared" si="11"/>
        <v>0</v>
      </c>
      <c r="X75" s="520">
        <f t="shared" si="12"/>
        <v>0</v>
      </c>
      <c r="Y75" s="525">
        <f t="shared" si="13"/>
        <v>0</v>
      </c>
    </row>
    <row r="76" spans="3:38" x14ac:dyDescent="0.2">
      <c r="C76" s="387">
        <f t="shared" si="5"/>
        <v>41606</v>
      </c>
      <c r="D76" s="388">
        <f t="shared" si="6"/>
        <v>86052.549333333329</v>
      </c>
      <c r="E76" s="392">
        <f t="shared" si="7"/>
        <v>0</v>
      </c>
      <c r="F76" s="428">
        <f t="shared" si="0"/>
        <v>0.90615690000000004</v>
      </c>
      <c r="G76" s="390">
        <f t="shared" si="1"/>
        <v>0</v>
      </c>
      <c r="H76" s="391">
        <f t="shared" si="2"/>
        <v>86053.455490233333</v>
      </c>
      <c r="I76" s="324"/>
      <c r="J76" s="325"/>
      <c r="K76" s="325"/>
      <c r="L76" s="319"/>
      <c r="M76" s="320"/>
      <c r="N76" s="320"/>
      <c r="O76" s="320"/>
      <c r="P76" s="392">
        <f t="shared" si="8"/>
        <v>0</v>
      </c>
      <c r="Q76" s="392">
        <f t="shared" si="3"/>
        <v>0</v>
      </c>
      <c r="R76" s="392">
        <f t="shared" si="4"/>
        <v>0</v>
      </c>
      <c r="S76" s="373"/>
      <c r="T76" s="374"/>
      <c r="U76" s="524">
        <f t="shared" si="9"/>
        <v>0</v>
      </c>
      <c r="V76" s="520">
        <f t="shared" si="10"/>
        <v>0</v>
      </c>
      <c r="W76" s="524">
        <f t="shared" si="11"/>
        <v>0</v>
      </c>
      <c r="X76" s="520">
        <f t="shared" si="12"/>
        <v>0</v>
      </c>
      <c r="Y76" s="525">
        <f t="shared" si="13"/>
        <v>0</v>
      </c>
    </row>
    <row r="77" spans="3:38" x14ac:dyDescent="0.2">
      <c r="C77" s="387">
        <f t="shared" si="5"/>
        <v>41607</v>
      </c>
      <c r="D77" s="388">
        <f t="shared" si="6"/>
        <v>86052.549333333329</v>
      </c>
      <c r="E77" s="392">
        <f t="shared" si="7"/>
        <v>0</v>
      </c>
      <c r="F77" s="428">
        <f t="shared" si="0"/>
        <v>0.90615690000000004</v>
      </c>
      <c r="G77" s="390">
        <f t="shared" si="1"/>
        <v>0</v>
      </c>
      <c r="H77" s="391">
        <f t="shared" si="2"/>
        <v>86053.455490233333</v>
      </c>
      <c r="I77" s="324"/>
      <c r="J77" s="325"/>
      <c r="K77" s="325"/>
      <c r="L77" s="317"/>
      <c r="M77" s="318"/>
      <c r="N77" s="318"/>
      <c r="O77" s="318"/>
      <c r="P77" s="392">
        <f t="shared" si="8"/>
        <v>0</v>
      </c>
      <c r="Q77" s="392">
        <f t="shared" si="3"/>
        <v>0</v>
      </c>
      <c r="R77" s="392">
        <f t="shared" si="4"/>
        <v>0</v>
      </c>
      <c r="S77" s="373"/>
      <c r="T77" s="374"/>
      <c r="U77" s="524">
        <f t="shared" si="9"/>
        <v>0</v>
      </c>
      <c r="V77" s="520">
        <f t="shared" si="10"/>
        <v>0</v>
      </c>
      <c r="W77" s="524">
        <f t="shared" si="11"/>
        <v>0</v>
      </c>
      <c r="X77" s="520">
        <f t="shared" si="12"/>
        <v>0</v>
      </c>
      <c r="Y77" s="525">
        <f t="shared" si="13"/>
        <v>0</v>
      </c>
    </row>
    <row r="78" spans="3:38" x14ac:dyDescent="0.2">
      <c r="C78" s="387">
        <f t="shared" si="5"/>
        <v>41608</v>
      </c>
      <c r="D78" s="388">
        <f t="shared" si="6"/>
        <v>86052.549333333329</v>
      </c>
      <c r="E78" s="392">
        <f t="shared" si="7"/>
        <v>0</v>
      </c>
      <c r="F78" s="428">
        <f t="shared" si="0"/>
        <v>0.90615690000000004</v>
      </c>
      <c r="G78" s="390">
        <f t="shared" si="1"/>
        <v>0</v>
      </c>
      <c r="H78" s="391">
        <f t="shared" si="2"/>
        <v>86053.455490233333</v>
      </c>
      <c r="I78" s="324"/>
      <c r="J78" s="325"/>
      <c r="K78" s="325"/>
      <c r="L78" s="319"/>
      <c r="M78" s="320"/>
      <c r="N78" s="320"/>
      <c r="O78" s="320"/>
      <c r="P78" s="392">
        <f t="shared" si="8"/>
        <v>0</v>
      </c>
      <c r="Q78" s="392">
        <f t="shared" si="3"/>
        <v>0</v>
      </c>
      <c r="R78" s="392">
        <f t="shared" si="4"/>
        <v>0</v>
      </c>
      <c r="S78" s="373"/>
      <c r="T78" s="374"/>
      <c r="U78" s="524">
        <f t="shared" si="9"/>
        <v>0</v>
      </c>
      <c r="V78" s="520">
        <f t="shared" si="10"/>
        <v>0</v>
      </c>
      <c r="W78" s="524">
        <f t="shared" si="11"/>
        <v>0</v>
      </c>
      <c r="X78" s="520">
        <f t="shared" si="12"/>
        <v>0</v>
      </c>
      <c r="Y78" s="525">
        <f t="shared" si="13"/>
        <v>0</v>
      </c>
    </row>
    <row r="79" spans="3:38" ht="15" thickBot="1" x14ac:dyDescent="0.25">
      <c r="C79" s="393">
        <f t="shared" si="5"/>
        <v>41609</v>
      </c>
      <c r="D79" s="394">
        <f t="shared" si="6"/>
        <v>86052.549333333329</v>
      </c>
      <c r="E79" s="395">
        <f t="shared" si="7"/>
        <v>0</v>
      </c>
      <c r="F79" s="429">
        <f t="shared" si="0"/>
        <v>0.90615690000000004</v>
      </c>
      <c r="G79" s="396">
        <f t="shared" si="1"/>
        <v>0</v>
      </c>
      <c r="H79" s="397">
        <f t="shared" si="2"/>
        <v>86053.455490233333</v>
      </c>
      <c r="I79" s="326"/>
      <c r="J79" s="327"/>
      <c r="K79" s="327"/>
      <c r="L79" s="321"/>
      <c r="M79" s="322"/>
      <c r="N79" s="322"/>
      <c r="O79" s="322"/>
      <c r="P79" s="395">
        <f t="shared" si="8"/>
        <v>0</v>
      </c>
      <c r="Q79" s="395">
        <f t="shared" si="3"/>
        <v>0</v>
      </c>
      <c r="R79" s="395">
        <f t="shared" si="4"/>
        <v>0</v>
      </c>
      <c r="S79" s="375"/>
      <c r="T79" s="376"/>
      <c r="U79" s="521">
        <f t="shared" si="9"/>
        <v>0</v>
      </c>
      <c r="V79" s="528">
        <f t="shared" si="10"/>
        <v>0</v>
      </c>
      <c r="W79" s="521">
        <f t="shared" si="11"/>
        <v>0</v>
      </c>
      <c r="X79" s="528">
        <f t="shared" si="12"/>
        <v>0</v>
      </c>
      <c r="Y79" s="529">
        <f t="shared" si="13"/>
        <v>0</v>
      </c>
    </row>
    <row r="80" spans="3:38" ht="15" thickBot="1" x14ac:dyDescent="0.25">
      <c r="C80" s="398"/>
      <c r="D80" s="399">
        <f>SUM(D49:D79)</f>
        <v>2667629.0293333335</v>
      </c>
      <c r="E80" s="400">
        <f>SUM(E49:E79)</f>
        <v>0</v>
      </c>
      <c r="F80" s="400"/>
      <c r="G80" s="401">
        <f>SUM(G49:G79)</f>
        <v>0</v>
      </c>
      <c r="H80" s="399">
        <f>SUM(H49:H79)</f>
        <v>2667657.1201972342</v>
      </c>
      <c r="I80" s="432">
        <f>SUM(I49:I79)</f>
        <v>0</v>
      </c>
      <c r="J80" s="432">
        <f t="shared" ref="J80:R80" si="14">SUM(J49:J79)</f>
        <v>0</v>
      </c>
      <c r="K80" s="432">
        <f t="shared" si="14"/>
        <v>0</v>
      </c>
      <c r="L80" s="432">
        <f t="shared" si="14"/>
        <v>0</v>
      </c>
      <c r="M80" s="432">
        <f t="shared" si="14"/>
        <v>0</v>
      </c>
      <c r="N80" s="432">
        <f t="shared" si="14"/>
        <v>0</v>
      </c>
      <c r="O80" s="432">
        <f t="shared" si="14"/>
        <v>0</v>
      </c>
      <c r="P80" s="432">
        <f t="shared" si="14"/>
        <v>0</v>
      </c>
      <c r="Q80" s="432">
        <f t="shared" si="14"/>
        <v>0</v>
      </c>
      <c r="R80" s="432">
        <f t="shared" si="14"/>
        <v>0</v>
      </c>
      <c r="U80" s="530"/>
      <c r="V80" s="328">
        <f>SUM(V49:V79)</f>
        <v>0</v>
      </c>
      <c r="W80" s="328">
        <f>SUM(W49:W79)</f>
        <v>0</v>
      </c>
      <c r="X80" s="328">
        <f>SUM(X49:X79)</f>
        <v>0</v>
      </c>
      <c r="Y80" s="323">
        <f>Y79</f>
        <v>0</v>
      </c>
      <c r="AL80" s="361">
        <f>Y79</f>
        <v>0</v>
      </c>
    </row>
    <row r="81" spans="2:14" ht="15" customHeight="1" x14ac:dyDescent="0.2">
      <c r="B81"/>
      <c r="C81"/>
      <c r="D81"/>
      <c r="E81"/>
      <c r="F81"/>
      <c r="G81"/>
      <c r="H81"/>
      <c r="I81"/>
      <c r="J81"/>
      <c r="K81"/>
      <c r="L81"/>
      <c r="N81" s="2"/>
    </row>
  </sheetData>
  <mergeCells count="12">
    <mergeCell ref="C10:D10"/>
    <mergeCell ref="C11:D11"/>
    <mergeCell ref="C3:M4"/>
    <mergeCell ref="C5:M5"/>
    <mergeCell ref="C6:M6"/>
    <mergeCell ref="G7:H7"/>
    <mergeCell ref="C9:D9"/>
    <mergeCell ref="D23:E23"/>
    <mergeCell ref="D24:E24"/>
    <mergeCell ref="C28:F28"/>
    <mergeCell ref="C39:F39"/>
    <mergeCell ref="S47:Y47"/>
  </mergeCells>
  <conditionalFormatting sqref="L49:O79">
    <cfRule type="cellIs" dxfId="166" priority="1" stopIfTrue="1" operator="equal">
      <formula>0</formula>
    </cfRule>
  </conditionalFormatting>
  <pageMargins left="0.7" right="0.7" top="0.75" bottom="0.75" header="0.3" footer="0.3"/>
  <pageSetup orientation="portrait"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L81"/>
  <sheetViews>
    <sheetView workbookViewId="0"/>
  </sheetViews>
  <sheetFormatPr baseColWidth="10" defaultColWidth="11" defaultRowHeight="14.25" x14ac:dyDescent="0.2"/>
  <cols>
    <col min="1" max="1" width="11" style="2"/>
    <col min="2" max="2" width="3.875" style="2" bestFit="1" customWidth="1"/>
    <col min="3" max="3" width="16.125" style="2" customWidth="1"/>
    <col min="4" max="4" width="12.375" style="2" bestFit="1" customWidth="1"/>
    <col min="5" max="5" width="10.875" style="2" bestFit="1" customWidth="1"/>
    <col min="6" max="6" width="17.125" style="2" bestFit="1" customWidth="1"/>
    <col min="7" max="7" width="13.125" style="2" bestFit="1" customWidth="1"/>
    <col min="8" max="8" width="12.125" style="2" bestFit="1" customWidth="1"/>
    <col min="9" max="9" width="11.125" style="2" bestFit="1" customWidth="1"/>
    <col min="10" max="10" width="11.875" style="2" bestFit="1" customWidth="1"/>
    <col min="11" max="11" width="11.625" style="2" bestFit="1" customWidth="1"/>
    <col min="12" max="12" width="12.125" style="2" customWidth="1"/>
    <col min="13" max="13" width="10.5" style="2" bestFit="1" customWidth="1"/>
    <col min="14" max="14" width="9" style="1" customWidth="1"/>
    <col min="15" max="15" width="10.375" style="2" customWidth="1"/>
    <col min="16" max="25" width="11" style="2"/>
    <col min="26" max="32" width="10.875" customWidth="1"/>
    <col min="33" max="16384" width="11" style="2"/>
  </cols>
  <sheetData>
    <row r="2" spans="2:25" x14ac:dyDescent="0.2"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2:25" ht="15" customHeight="1" x14ac:dyDescent="0.2">
      <c r="B3" s="1"/>
      <c r="C3" s="2254" t="s">
        <v>0</v>
      </c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</row>
    <row r="4" spans="2:25" ht="15" customHeight="1" x14ac:dyDescent="0.2"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</row>
    <row r="5" spans="2:25" x14ac:dyDescent="0.2">
      <c r="B5" s="1"/>
      <c r="C5" s="2257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</row>
    <row r="6" spans="2:25" x14ac:dyDescent="0.2">
      <c r="B6" s="1"/>
      <c r="C6" s="2257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</row>
    <row r="7" spans="2:25" x14ac:dyDescent="0.2">
      <c r="B7" s="1"/>
      <c r="C7" s="516"/>
      <c r="D7" s="516"/>
      <c r="E7" s="516"/>
      <c r="F7" s="516"/>
      <c r="G7" s="2271">
        <v>41609</v>
      </c>
      <c r="H7" s="2257"/>
      <c r="I7" s="516"/>
      <c r="J7" s="516"/>
      <c r="K7" s="516"/>
      <c r="L7" s="516"/>
      <c r="M7" s="516"/>
      <c r="N7" s="18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2:25" x14ac:dyDescent="0.2">
      <c r="B8" s="1"/>
      <c r="C8" s="516"/>
      <c r="D8" s="516"/>
      <c r="E8" s="516"/>
      <c r="F8" s="516"/>
      <c r="G8" s="516"/>
      <c r="H8" s="516"/>
      <c r="I8" s="516"/>
      <c r="J8" s="516"/>
      <c r="K8" s="516"/>
      <c r="L8" s="516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2:25" ht="25.5" x14ac:dyDescent="0.2">
      <c r="B9" s="1"/>
      <c r="C9" s="2272" t="s">
        <v>6</v>
      </c>
      <c r="D9" s="2272"/>
      <c r="E9" s="517" t="s">
        <v>94</v>
      </c>
      <c r="F9" s="517" t="s">
        <v>126</v>
      </c>
      <c r="G9" s="410" t="s">
        <v>133</v>
      </c>
      <c r="H9" s="517" t="s">
        <v>127</v>
      </c>
      <c r="I9" s="517" t="s">
        <v>128</v>
      </c>
      <c r="J9" s="516"/>
      <c r="K9" s="516"/>
      <c r="L9" s="516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2:25" x14ac:dyDescent="0.2">
      <c r="B10" s="1"/>
      <c r="C10" s="2270" t="s">
        <v>131</v>
      </c>
      <c r="D10" s="2270"/>
      <c r="E10" s="433">
        <f>IF(C15=0,D15,C15)</f>
        <v>4627948.08</v>
      </c>
      <c r="F10" s="407">
        <f>E10*0.16</f>
        <v>740471.69280000008</v>
      </c>
      <c r="G10" s="407">
        <f>E10+F10</f>
        <v>5368419.7728000004</v>
      </c>
      <c r="H10" s="408"/>
      <c r="I10" s="411">
        <v>19</v>
      </c>
      <c r="J10" s="516"/>
      <c r="K10" s="516"/>
      <c r="L10" s="516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2:25" x14ac:dyDescent="0.2">
      <c r="B11" s="1"/>
      <c r="C11" s="2270" t="s">
        <v>132</v>
      </c>
      <c r="D11" s="2270"/>
      <c r="E11" s="433">
        <f>IF(C16=0,D16,C16)</f>
        <v>2047.42</v>
      </c>
      <c r="F11" s="407">
        <f>E11*0.16</f>
        <v>327.5872</v>
      </c>
      <c r="G11" s="407">
        <f>E11+F11</f>
        <v>2375.0072</v>
      </c>
      <c r="H11" s="408"/>
      <c r="I11" s="411">
        <v>19</v>
      </c>
      <c r="J11" s="516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2:25" x14ac:dyDescent="0.2">
      <c r="B12" s="1"/>
      <c r="C12" s="516"/>
      <c r="D12" s="516"/>
      <c r="E12" s="516"/>
      <c r="F12" s="516"/>
      <c r="G12" s="516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2:25" ht="15" thickBot="1" x14ac:dyDescent="0.25">
      <c r="B13" s="1"/>
      <c r="C13" s="516"/>
      <c r="D13" s="516"/>
      <c r="E13" s="516"/>
      <c r="F13" s="516"/>
      <c r="G13" s="516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2:25" x14ac:dyDescent="0.2">
      <c r="B14" s="1"/>
      <c r="C14" s="440" t="s">
        <v>155</v>
      </c>
      <c r="D14" s="441" t="s">
        <v>156</v>
      </c>
      <c r="E14" s="442" t="s">
        <v>112</v>
      </c>
      <c r="F14" s="516"/>
      <c r="G14" s="516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2:25" x14ac:dyDescent="0.2">
      <c r="B15" s="1"/>
      <c r="C15" s="443">
        <v>4627948.08</v>
      </c>
      <c r="D15" s="444">
        <f>D80</f>
        <v>2581576.48</v>
      </c>
      <c r="E15" s="445">
        <f>C15-D15</f>
        <v>2046371.6</v>
      </c>
      <c r="F15" s="516"/>
      <c r="G15" s="516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2:25" ht="15" thickBot="1" x14ac:dyDescent="0.25">
      <c r="B16" s="1"/>
      <c r="C16" s="446">
        <v>2047.42</v>
      </c>
      <c r="D16" s="447">
        <f>ROUND(G80,2)</f>
        <v>0</v>
      </c>
      <c r="E16" s="448">
        <f>C16-D16</f>
        <v>2047.42</v>
      </c>
      <c r="F16" s="516"/>
      <c r="G16" s="516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2:25" x14ac:dyDescent="0.2">
      <c r="B17" s="1"/>
      <c r="C17" s="516"/>
      <c r="D17" s="516"/>
      <c r="E17" s="516"/>
      <c r="F17" s="516"/>
      <c r="G17" s="516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2:25" x14ac:dyDescent="0.2">
      <c r="B18" s="1"/>
      <c r="C18" s="516"/>
      <c r="D18" s="516"/>
      <c r="E18" s="516"/>
      <c r="F18" s="516"/>
      <c r="G18" s="516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2:25" x14ac:dyDescent="0.2">
      <c r="B19" s="1"/>
      <c r="C19" s="516"/>
      <c r="D19" s="516"/>
      <c r="E19" s="516"/>
      <c r="F19" s="516"/>
      <c r="G19" s="516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2:25" x14ac:dyDescent="0.2">
      <c r="B20" s="1"/>
      <c r="C20" s="516"/>
      <c r="D20" s="516"/>
      <c r="E20" s="516"/>
      <c r="F20" s="516"/>
      <c r="G20" s="516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2:25" x14ac:dyDescent="0.2">
      <c r="B21" s="1"/>
      <c r="C21" s="516"/>
      <c r="D21" s="516"/>
      <c r="E21" s="516"/>
      <c r="F21" s="516"/>
      <c r="G21" s="516"/>
      <c r="H21" s="1"/>
      <c r="I21" s="1"/>
      <c r="J21" s="1"/>
      <c r="K21" s="1"/>
      <c r="L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2:25" ht="15" thickBot="1" x14ac:dyDescent="0.25">
      <c r="B22" s="1"/>
      <c r="C22" s="419" t="s">
        <v>137</v>
      </c>
      <c r="D22" s="516" t="s">
        <v>138</v>
      </c>
      <c r="E22" s="516"/>
      <c r="F22" s="516" t="s">
        <v>139</v>
      </c>
      <c r="G22" s="516" t="s">
        <v>157</v>
      </c>
      <c r="H22" s="516" t="s">
        <v>143</v>
      </c>
      <c r="I22" s="516" t="s">
        <v>142</v>
      </c>
      <c r="J22" s="516" t="s">
        <v>141</v>
      </c>
      <c r="K22" s="516" t="s">
        <v>140</v>
      </c>
      <c r="L22" s="516" t="s">
        <v>144</v>
      </c>
      <c r="M22" s="516" t="s">
        <v>146</v>
      </c>
      <c r="N22" s="516"/>
      <c r="O22" s="516"/>
      <c r="P22" s="516"/>
      <c r="Q22" s="1"/>
      <c r="R22" s="1"/>
      <c r="S22" s="1"/>
      <c r="T22" s="1"/>
      <c r="U22" s="1"/>
      <c r="V22" s="1"/>
      <c r="W22" s="1"/>
      <c r="X22" s="1"/>
      <c r="Y22" s="1"/>
    </row>
    <row r="23" spans="2:25" ht="36.75" customHeight="1" x14ac:dyDescent="0.2">
      <c r="B23" s="1"/>
      <c r="C23" s="402" t="s">
        <v>134</v>
      </c>
      <c r="D23" s="2261" t="s">
        <v>135</v>
      </c>
      <c r="E23" s="2262"/>
      <c r="F23" s="518" t="s">
        <v>136</v>
      </c>
      <c r="G23" s="461" t="s">
        <v>153</v>
      </c>
      <c r="H23" s="420" t="s">
        <v>129</v>
      </c>
      <c r="I23" s="403" t="s">
        <v>130</v>
      </c>
      <c r="J23" s="422"/>
      <c r="K23" s="422"/>
      <c r="L23" s="422"/>
      <c r="M23" s="404" t="s">
        <v>158</v>
      </c>
      <c r="N23" s="516"/>
      <c r="O23" s="516"/>
      <c r="P23" s="516"/>
      <c r="Q23" s="516"/>
      <c r="R23" s="516"/>
      <c r="S23" s="516"/>
      <c r="T23" s="516"/>
      <c r="U23" s="1"/>
      <c r="V23" s="1"/>
      <c r="W23" s="1"/>
      <c r="X23" s="1"/>
      <c r="Y23" s="1"/>
    </row>
    <row r="24" spans="2:25" x14ac:dyDescent="0.2">
      <c r="B24" s="1"/>
      <c r="C24" s="405">
        <v>850</v>
      </c>
      <c r="D24" s="2263">
        <v>850</v>
      </c>
      <c r="E24" s="2264"/>
      <c r="F24" s="418">
        <v>31482640</v>
      </c>
      <c r="G24" s="462">
        <v>31</v>
      </c>
      <c r="H24" s="460">
        <f>VLOOKUP(C47,Tarifas!D4:H303,3)</f>
        <v>8.2000000000000003E-2</v>
      </c>
      <c r="I24" s="424">
        <f>VLOOKUP(C47,Tarifas!D4:H303,5)</f>
        <v>1E-3</v>
      </c>
      <c r="J24" s="421">
        <v>182.5</v>
      </c>
      <c r="K24" s="421">
        <v>201.4</v>
      </c>
      <c r="L24" s="421">
        <f>I11</f>
        <v>19</v>
      </c>
      <c r="M24" s="431">
        <f>E80</f>
        <v>0</v>
      </c>
      <c r="N24" s="430" t="s">
        <v>62</v>
      </c>
      <c r="O24" s="516"/>
      <c r="P24" s="516"/>
      <c r="Q24" s="516"/>
      <c r="R24" s="516"/>
      <c r="S24" s="516"/>
      <c r="T24" s="516"/>
      <c r="U24" s="1"/>
      <c r="V24" s="1"/>
      <c r="W24" s="1"/>
      <c r="X24" s="1"/>
      <c r="Y24" s="1"/>
    </row>
    <row r="25" spans="2:25" x14ac:dyDescent="0.2">
      <c r="B25" s="1"/>
      <c r="C25" s="516"/>
      <c r="D25" s="516"/>
      <c r="E25" s="516"/>
      <c r="F25" s="516"/>
      <c r="G25" s="516"/>
      <c r="H25" s="516"/>
      <c r="I25" s="516"/>
      <c r="J25" s="516"/>
      <c r="K25" s="516"/>
      <c r="L25" s="516"/>
      <c r="M25" s="516"/>
      <c r="N25" s="516"/>
      <c r="O25" s="516"/>
      <c r="P25" s="516"/>
      <c r="Q25" s="516"/>
      <c r="R25" s="516"/>
      <c r="S25" s="1"/>
      <c r="T25" s="1"/>
      <c r="U25" s="1"/>
      <c r="V25" s="1"/>
      <c r="W25" s="1"/>
      <c r="X25" s="1"/>
      <c r="Y25" s="1"/>
    </row>
    <row r="26" spans="2:25" x14ac:dyDescent="0.2">
      <c r="B26" s="1"/>
      <c r="C26" s="516"/>
      <c r="D26" s="516"/>
      <c r="E26" s="516"/>
      <c r="F26" s="516"/>
      <c r="G26" s="516"/>
      <c r="H26" s="516"/>
      <c r="I26" s="516"/>
      <c r="J26" s="516"/>
      <c r="K26" s="516"/>
      <c r="L26" s="516"/>
      <c r="M26" s="516"/>
      <c r="N26" s="516"/>
      <c r="O26" s="516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2:25" x14ac:dyDescent="0.2">
      <c r="B27" s="1"/>
      <c r="C27" s="516"/>
      <c r="D27" s="516"/>
      <c r="E27" s="516"/>
      <c r="F27" s="516"/>
      <c r="G27" s="516"/>
      <c r="H27" s="516"/>
      <c r="I27" s="516"/>
      <c r="J27" s="516"/>
      <c r="K27" s="516"/>
      <c r="L27" s="516"/>
      <c r="M27" s="516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2:25" ht="15" thickBot="1" x14ac:dyDescent="0.25">
      <c r="B28" s="1"/>
      <c r="C28" s="2265" t="s">
        <v>86</v>
      </c>
      <c r="D28" s="2265"/>
      <c r="E28" s="2265"/>
      <c r="F28" s="2265"/>
      <c r="G28" s="519"/>
      <c r="H28" s="334"/>
      <c r="I28" s="334"/>
      <c r="J28" s="334"/>
      <c r="K28" s="519"/>
      <c r="L28" s="336"/>
      <c r="M28" s="336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2:25" ht="22.5" x14ac:dyDescent="0.2">
      <c r="B29" s="1"/>
      <c r="C29" s="337" t="s">
        <v>87</v>
      </c>
      <c r="D29" s="514" t="s">
        <v>88</v>
      </c>
      <c r="E29" s="514" t="s">
        <v>89</v>
      </c>
      <c r="F29" s="514" t="s">
        <v>20</v>
      </c>
      <c r="G29" s="514" t="s">
        <v>160</v>
      </c>
      <c r="H29" s="514" t="s">
        <v>90</v>
      </c>
      <c r="I29" s="514" t="s">
        <v>91</v>
      </c>
      <c r="J29" s="514" t="s">
        <v>92</v>
      </c>
      <c r="K29" s="514" t="s">
        <v>93</v>
      </c>
      <c r="L29" s="514" t="s">
        <v>94</v>
      </c>
      <c r="M29" s="515" t="s">
        <v>95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2:25" x14ac:dyDescent="0.2">
      <c r="B30" s="1"/>
      <c r="C30" s="338"/>
      <c r="D30" s="339">
        <v>1</v>
      </c>
      <c r="E30" s="339" t="s">
        <v>96</v>
      </c>
      <c r="F30" s="340" t="s">
        <v>97</v>
      </c>
      <c r="G30" s="340">
        <v>2201</v>
      </c>
      <c r="H30" s="339">
        <v>20823</v>
      </c>
      <c r="I30" s="341">
        <v>40000</v>
      </c>
      <c r="J30" s="339">
        <v>138.15</v>
      </c>
      <c r="K30" s="342">
        <f>I30/I$35</f>
        <v>4.7058823529411764E-2</v>
      </c>
      <c r="L30" s="343">
        <f>ROUND(K30*E$10,2)</f>
        <v>217785.79</v>
      </c>
      <c r="M30" s="344">
        <f>L30*$I$10</f>
        <v>4137930.0100000002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2:25" x14ac:dyDescent="0.2">
      <c r="B31" s="1"/>
      <c r="C31" s="338"/>
      <c r="D31" s="339">
        <v>2</v>
      </c>
      <c r="E31" s="339" t="s">
        <v>98</v>
      </c>
      <c r="F31" s="340" t="s">
        <v>97</v>
      </c>
      <c r="G31" s="340">
        <v>2201</v>
      </c>
      <c r="H31" s="339">
        <v>20824</v>
      </c>
      <c r="I31" s="341">
        <v>40000</v>
      </c>
      <c r="J31" s="339">
        <v>138.15</v>
      </c>
      <c r="K31" s="342">
        <f>I31/I$35</f>
        <v>4.7058823529411764E-2</v>
      </c>
      <c r="L31" s="343">
        <f>ROUND(K31*E$10,2)</f>
        <v>217785.79</v>
      </c>
      <c r="M31" s="344">
        <f>L31*$I$10</f>
        <v>4137930.0100000002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2:25" x14ac:dyDescent="0.2">
      <c r="B32" s="1"/>
      <c r="C32" s="338"/>
      <c r="D32" s="339">
        <v>1</v>
      </c>
      <c r="E32" s="339" t="s">
        <v>99</v>
      </c>
      <c r="F32" s="340" t="s">
        <v>100</v>
      </c>
      <c r="G32" s="340">
        <v>2230</v>
      </c>
      <c r="H32" s="339">
        <v>22228</v>
      </c>
      <c r="I32" s="341">
        <v>32000</v>
      </c>
      <c r="J32" s="339">
        <v>130.80000000000001</v>
      </c>
      <c r="K32" s="342">
        <f>I32/I$35</f>
        <v>3.7647058823529408E-2</v>
      </c>
      <c r="L32" s="343">
        <f>ROUND(K32*E$10,2)</f>
        <v>174228.63</v>
      </c>
      <c r="M32" s="344">
        <f>L32*$I$10</f>
        <v>3310343.97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2:25" x14ac:dyDescent="0.2">
      <c r="B33" s="1"/>
      <c r="C33" s="338">
        <v>800762390</v>
      </c>
      <c r="D33" s="339">
        <v>1</v>
      </c>
      <c r="E33" s="354" t="s">
        <v>101</v>
      </c>
      <c r="F33" s="463" t="s">
        <v>23</v>
      </c>
      <c r="G33" s="463">
        <v>2044</v>
      </c>
      <c r="H33" s="354">
        <v>591000420</v>
      </c>
      <c r="I33" s="341">
        <v>80000</v>
      </c>
      <c r="J33" s="339"/>
      <c r="K33" s="342">
        <f>I33/I$35</f>
        <v>9.4117647058823528E-2</v>
      </c>
      <c r="L33" s="343">
        <f>ROUND(K33*E$10,2)</f>
        <v>435571.58</v>
      </c>
      <c r="M33" s="344">
        <f>L33*$I$10</f>
        <v>8275860.0200000005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2:25" ht="15" thickBot="1" x14ac:dyDescent="0.25">
      <c r="B34" s="1"/>
      <c r="C34" s="345">
        <v>800642440</v>
      </c>
      <c r="D34" s="346">
        <v>5</v>
      </c>
      <c r="E34" s="347" t="s">
        <v>101</v>
      </c>
      <c r="F34" s="348" t="s">
        <v>159</v>
      </c>
      <c r="G34" s="348">
        <v>2277</v>
      </c>
      <c r="H34" s="347">
        <v>22770</v>
      </c>
      <c r="I34" s="349">
        <f>850000-I30-I31-I32-I33</f>
        <v>658000</v>
      </c>
      <c r="J34" s="346"/>
      <c r="K34" s="350">
        <f>I34/I$35</f>
        <v>0.77411764705882358</v>
      </c>
      <c r="L34" s="351">
        <f>ROUND(K34*E$10,2)</f>
        <v>3582576.28</v>
      </c>
      <c r="M34" s="352">
        <f>L34*$I$10</f>
        <v>68068949.319999993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2:25" x14ac:dyDescent="0.2">
      <c r="B35" s="1"/>
      <c r="C35" s="406">
        <v>3000623</v>
      </c>
      <c r="D35" s="353" t="s">
        <v>102</v>
      </c>
      <c r="E35" s="353"/>
      <c r="F35" s="353"/>
      <c r="G35" s="353"/>
      <c r="H35" s="354"/>
      <c r="I35" s="355">
        <f>SUM(I30:I34)</f>
        <v>850000</v>
      </c>
      <c r="J35" s="353"/>
      <c r="K35" s="356">
        <f>SUM(K30:K34)</f>
        <v>1</v>
      </c>
      <c r="L35" s="357">
        <f>SUM(L30:L34)</f>
        <v>4627948.07</v>
      </c>
      <c r="M35" s="357">
        <f>SUM(M30:M33)</f>
        <v>19862064.010000002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2:25" x14ac:dyDescent="0.2">
      <c r="B36" s="1"/>
      <c r="C36" s="336"/>
      <c r="D36" s="336"/>
      <c r="E36" s="336"/>
      <c r="F36" s="358"/>
      <c r="G36" s="358"/>
      <c r="H36" s="336"/>
      <c r="I36" s="336"/>
      <c r="J36" s="336"/>
      <c r="K36" s="336"/>
      <c r="L36" s="359"/>
      <c r="M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2:25" x14ac:dyDescent="0.2">
      <c r="B37" s="1"/>
      <c r="C37" s="336"/>
      <c r="D37" s="336"/>
      <c r="E37" s="336"/>
      <c r="F37" s="358"/>
      <c r="G37" s="358"/>
      <c r="H37" s="336"/>
      <c r="I37" s="336"/>
      <c r="J37" s="336"/>
      <c r="K37" s="336"/>
      <c r="L37" s="359"/>
      <c r="M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2:25" x14ac:dyDescent="0.2">
      <c r="B38" s="1"/>
      <c r="C38" s="336"/>
      <c r="D38" s="336"/>
      <c r="E38" s="336"/>
      <c r="F38" s="358"/>
      <c r="G38" s="358"/>
      <c r="H38" s="336"/>
      <c r="I38" s="336"/>
      <c r="J38" s="336"/>
      <c r="K38" s="336"/>
      <c r="L38" s="359"/>
      <c r="M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2:25" ht="15" thickBot="1" x14ac:dyDescent="0.25">
      <c r="B39" s="1"/>
      <c r="C39" s="2266" t="s">
        <v>103</v>
      </c>
      <c r="D39" s="2266"/>
      <c r="E39" s="2266"/>
      <c r="F39" s="2266"/>
      <c r="G39" s="519"/>
      <c r="H39" s="334"/>
      <c r="I39" s="334"/>
      <c r="J39" s="334"/>
      <c r="K39" s="336"/>
      <c r="L39" s="336"/>
      <c r="M39" s="360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2:25" ht="22.5" x14ac:dyDescent="0.2">
      <c r="B40" s="1"/>
      <c r="C40" s="337" t="s">
        <v>87</v>
      </c>
      <c r="D40" s="514" t="s">
        <v>88</v>
      </c>
      <c r="E40" s="514" t="s">
        <v>89</v>
      </c>
      <c r="F40" s="514" t="s">
        <v>20</v>
      </c>
      <c r="G40" s="514"/>
      <c r="H40" s="514" t="s">
        <v>90</v>
      </c>
      <c r="I40" s="514" t="s">
        <v>104</v>
      </c>
      <c r="J40" s="514" t="s">
        <v>93</v>
      </c>
      <c r="K40" s="514" t="s">
        <v>92</v>
      </c>
      <c r="L40" s="514" t="s">
        <v>94</v>
      </c>
      <c r="M40" s="515" t="s">
        <v>95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2:25" x14ac:dyDescent="0.2">
      <c r="B41" s="1"/>
      <c r="C41" s="338"/>
      <c r="D41" s="339">
        <v>1</v>
      </c>
      <c r="E41" s="339" t="s">
        <v>96</v>
      </c>
      <c r="F41" s="340" t="s">
        <v>97</v>
      </c>
      <c r="G41" s="340"/>
      <c r="H41" s="339">
        <v>20823</v>
      </c>
      <c r="I41" s="341">
        <f>M80</f>
        <v>0</v>
      </c>
      <c r="J41" s="342" t="e">
        <f>I41/I$45</f>
        <v>#DIV/0!</v>
      </c>
      <c r="K41" s="339">
        <v>138.15</v>
      </c>
      <c r="L41" s="343" t="e">
        <f>ROUND(J41*$E$11,2)</f>
        <v>#DIV/0!</v>
      </c>
      <c r="M41" s="344" t="e">
        <f>L41*L24</f>
        <v>#DIV/0!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2:25" x14ac:dyDescent="0.2">
      <c r="B42" s="1"/>
      <c r="C42" s="338"/>
      <c r="D42" s="339">
        <v>2</v>
      </c>
      <c r="E42" s="339" t="s">
        <v>98</v>
      </c>
      <c r="F42" s="340" t="s">
        <v>97</v>
      </c>
      <c r="G42" s="340"/>
      <c r="H42" s="339">
        <v>20824</v>
      </c>
      <c r="I42" s="341">
        <f>N80</f>
        <v>0</v>
      </c>
      <c r="J42" s="342" t="e">
        <f>I42/I$45</f>
        <v>#DIV/0!</v>
      </c>
      <c r="K42" s="339">
        <v>138.15</v>
      </c>
      <c r="L42" s="343" t="e">
        <f>ROUND(J42*$E$11,2)</f>
        <v>#DIV/0!</v>
      </c>
      <c r="M42" s="344" t="e">
        <f>L42*L25</f>
        <v>#DIV/0!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2:25" x14ac:dyDescent="0.2">
      <c r="B43" s="1"/>
      <c r="C43" s="338"/>
      <c r="D43" s="339">
        <v>1</v>
      </c>
      <c r="E43" s="339" t="s">
        <v>99</v>
      </c>
      <c r="F43" s="340" t="s">
        <v>100</v>
      </c>
      <c r="G43" s="340"/>
      <c r="H43" s="339">
        <v>22228</v>
      </c>
      <c r="I43" s="341">
        <f>O80</f>
        <v>0</v>
      </c>
      <c r="J43" s="342" t="e">
        <f>I43/I$45</f>
        <v>#DIV/0!</v>
      </c>
      <c r="K43" s="339">
        <v>130.80000000000001</v>
      </c>
      <c r="L43" s="343" t="e">
        <f>ROUND(J43*$E$11,2)</f>
        <v>#DIV/0!</v>
      </c>
      <c r="M43" s="344" t="e">
        <f>L43*L26</f>
        <v>#DIV/0!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2:25" ht="15" thickBot="1" x14ac:dyDescent="0.25">
      <c r="B44" s="1"/>
      <c r="C44" s="345">
        <v>800762390</v>
      </c>
      <c r="D44" s="346">
        <v>2</v>
      </c>
      <c r="E44" s="347" t="s">
        <v>101</v>
      </c>
      <c r="F44" s="348" t="s">
        <v>23</v>
      </c>
      <c r="G44" s="348"/>
      <c r="H44" s="347"/>
      <c r="I44" s="349">
        <f>L80</f>
        <v>0</v>
      </c>
      <c r="J44" s="350" t="e">
        <f>I44/I$45</f>
        <v>#DIV/0!</v>
      </c>
      <c r="K44" s="346">
        <v>138.15</v>
      </c>
      <c r="L44" s="351" t="e">
        <f>ROUND(J44*$E$11,2)</f>
        <v>#DIV/0!</v>
      </c>
      <c r="M44" s="352" t="e">
        <f>L44*L27</f>
        <v>#DIV/0!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2:25" x14ac:dyDescent="0.2">
      <c r="B45" s="1"/>
      <c r="C45" s="353"/>
      <c r="D45" s="353"/>
      <c r="E45" s="353"/>
      <c r="F45" s="353"/>
      <c r="G45" s="353"/>
      <c r="H45" s="354"/>
      <c r="I45" s="449">
        <f>SUM(I41:I44)</f>
        <v>0</v>
      </c>
      <c r="J45" s="355"/>
      <c r="K45" s="353"/>
      <c r="L45" s="357" t="e">
        <f>SUM(L41:L44)</f>
        <v>#DIV/0!</v>
      </c>
      <c r="M45" s="357" t="e">
        <f>SUM(M41:M44)</f>
        <v>#DIV/0!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2:25" customFormat="1" ht="15" thickBot="1" x14ac:dyDescent="0.25">
      <c r="M46" s="450"/>
      <c r="N46" s="450"/>
      <c r="O46" s="450"/>
      <c r="P46" s="450"/>
      <c r="Q46" s="450"/>
      <c r="R46" s="450"/>
      <c r="S46" s="450"/>
      <c r="T46" s="450"/>
      <c r="U46" s="450"/>
      <c r="V46" s="450"/>
      <c r="W46" s="450"/>
      <c r="X46" s="450"/>
      <c r="Y46" s="450"/>
    </row>
    <row r="47" spans="2:25" ht="15" thickBot="1" x14ac:dyDescent="0.25">
      <c r="B47" s="434" t="s">
        <v>3</v>
      </c>
      <c r="C47" s="333">
        <f>SUMIF(Tarifas!E4:E303,'Diciembre - 2013'!C49,Tarifas!D4:D303)</f>
        <v>5</v>
      </c>
      <c r="D47" s="425" t="s">
        <v>147</v>
      </c>
      <c r="E47" s="426" t="s">
        <v>145</v>
      </c>
      <c r="F47" s="426" t="s">
        <v>150</v>
      </c>
      <c r="G47" s="426" t="s">
        <v>148</v>
      </c>
      <c r="H47" s="382"/>
      <c r="I47" s="331" t="s">
        <v>120</v>
      </c>
      <c r="J47" s="332"/>
      <c r="K47" s="332"/>
      <c r="L47" s="364" t="s">
        <v>105</v>
      </c>
      <c r="M47" s="365"/>
      <c r="N47" s="365"/>
      <c r="O47" s="365"/>
      <c r="P47" s="365"/>
      <c r="Q47" s="365"/>
      <c r="R47" s="366"/>
      <c r="S47" s="2267" t="s">
        <v>121</v>
      </c>
      <c r="T47" s="2268"/>
      <c r="U47" s="2268"/>
      <c r="V47" s="2268"/>
      <c r="W47" s="2268"/>
      <c r="X47" s="2268"/>
      <c r="Y47" s="2269"/>
    </row>
    <row r="48" spans="2:25" ht="33.75" x14ac:dyDescent="0.2">
      <c r="C48" s="383" t="s">
        <v>122</v>
      </c>
      <c r="D48" s="384" t="s">
        <v>125</v>
      </c>
      <c r="E48" s="385" t="s">
        <v>149</v>
      </c>
      <c r="F48" s="385" t="s">
        <v>151</v>
      </c>
      <c r="G48" s="385" t="s">
        <v>152</v>
      </c>
      <c r="H48" s="386" t="s">
        <v>123</v>
      </c>
      <c r="I48" s="329" t="s">
        <v>109</v>
      </c>
      <c r="J48" s="330" t="s">
        <v>25</v>
      </c>
      <c r="K48" s="330" t="s">
        <v>26</v>
      </c>
      <c r="L48" s="367" t="s">
        <v>115</v>
      </c>
      <c r="M48" s="362" t="s">
        <v>106</v>
      </c>
      <c r="N48" s="362" t="s">
        <v>107</v>
      </c>
      <c r="O48" s="362" t="s">
        <v>108</v>
      </c>
      <c r="P48" s="362" t="s">
        <v>115</v>
      </c>
      <c r="Q48" s="363" t="s">
        <v>116</v>
      </c>
      <c r="R48" s="368" t="s">
        <v>117</v>
      </c>
      <c r="S48" s="369" t="s">
        <v>110</v>
      </c>
      <c r="T48" s="370" t="s">
        <v>111</v>
      </c>
      <c r="U48" s="370" t="s">
        <v>112</v>
      </c>
      <c r="V48" s="371" t="s">
        <v>118</v>
      </c>
      <c r="W48" s="371" t="s">
        <v>119</v>
      </c>
      <c r="X48" s="371" t="s">
        <v>114</v>
      </c>
      <c r="Y48" s="372" t="s">
        <v>113</v>
      </c>
    </row>
    <row r="49" spans="3:25" x14ac:dyDescent="0.2">
      <c r="C49" s="387">
        <f>G7</f>
        <v>41609</v>
      </c>
      <c r="D49" s="388">
        <f>($F$24*$H$24)/$G$24</f>
        <v>83276.66064516129</v>
      </c>
      <c r="E49" s="389">
        <f>P49+Q49+R49</f>
        <v>0</v>
      </c>
      <c r="F49" s="427">
        <f t="shared" ref="F49:F79" si="0">TRUNC(IFERROR(J$24/K$24,0),8)</f>
        <v>0.90615690000000004</v>
      </c>
      <c r="G49" s="390">
        <f t="shared" ref="G49:G79" si="1">ROUND(I$24*F49*E49,4)</f>
        <v>0</v>
      </c>
      <c r="H49" s="391">
        <f t="shared" ref="H49:H79" si="2">SUM(D49:G49)</f>
        <v>83277.566802061294</v>
      </c>
      <c r="I49" s="324"/>
      <c r="J49" s="325"/>
      <c r="K49" s="325"/>
      <c r="L49" s="317"/>
      <c r="M49" s="318"/>
      <c r="N49" s="318"/>
      <c r="O49" s="318"/>
      <c r="P49" s="389">
        <f>L49</f>
        <v>0</v>
      </c>
      <c r="Q49" s="389">
        <f t="shared" ref="Q49:Q79" si="3">M49+N49</f>
        <v>0</v>
      </c>
      <c r="R49" s="389">
        <f t="shared" ref="R49:R79" si="4">O49</f>
        <v>0</v>
      </c>
      <c r="S49" s="373"/>
      <c r="T49" s="374"/>
      <c r="U49" s="524">
        <f>S49+T49-V49</f>
        <v>0</v>
      </c>
      <c r="V49" s="520">
        <f>I49+J49+K49</f>
        <v>0</v>
      </c>
      <c r="W49" s="524">
        <f>(P49+Q49+R49)*1.055056</f>
        <v>0</v>
      </c>
      <c r="X49" s="520">
        <f>V49-W49</f>
        <v>0</v>
      </c>
      <c r="Y49" s="525">
        <f>AL46+X49</f>
        <v>0</v>
      </c>
    </row>
    <row r="50" spans="3:25" x14ac:dyDescent="0.2">
      <c r="C50" s="387">
        <f t="shared" ref="C50:C79" si="5">C49+1</f>
        <v>41610</v>
      </c>
      <c r="D50" s="388">
        <f t="shared" ref="D50:D79" si="6">($F$24*$H$24)/$G$24</f>
        <v>83276.66064516129</v>
      </c>
      <c r="E50" s="392">
        <f t="shared" ref="E50:E79" si="7">P50+Q50+R50</f>
        <v>0</v>
      </c>
      <c r="F50" s="428">
        <f t="shared" si="0"/>
        <v>0.90615690000000004</v>
      </c>
      <c r="G50" s="390">
        <f t="shared" si="1"/>
        <v>0</v>
      </c>
      <c r="H50" s="391">
        <f t="shared" si="2"/>
        <v>83277.566802061294</v>
      </c>
      <c r="I50" s="324"/>
      <c r="J50" s="325"/>
      <c r="K50" s="325"/>
      <c r="L50" s="319"/>
      <c r="M50" s="320"/>
      <c r="N50" s="320"/>
      <c r="O50" s="320"/>
      <c r="P50" s="392">
        <f t="shared" ref="P50:P79" si="8">L50</f>
        <v>0</v>
      </c>
      <c r="Q50" s="392">
        <f t="shared" si="3"/>
        <v>0</v>
      </c>
      <c r="R50" s="392">
        <f t="shared" si="4"/>
        <v>0</v>
      </c>
      <c r="S50" s="373"/>
      <c r="T50" s="374"/>
      <c r="U50" s="524">
        <f t="shared" ref="U50:U79" si="9">S50+T50-V50</f>
        <v>0</v>
      </c>
      <c r="V50" s="520">
        <f t="shared" ref="V50:V79" si="10">I50+J50+K50</f>
        <v>0</v>
      </c>
      <c r="W50" s="524">
        <f t="shared" ref="W50:W79" si="11">(P50+Q50+R50)*1.055056</f>
        <v>0</v>
      </c>
      <c r="X50" s="520">
        <f t="shared" ref="X50:X79" si="12">V50-W50</f>
        <v>0</v>
      </c>
      <c r="Y50" s="525">
        <f>Y49+X50</f>
        <v>0</v>
      </c>
    </row>
    <row r="51" spans="3:25" x14ac:dyDescent="0.2">
      <c r="C51" s="387">
        <f t="shared" si="5"/>
        <v>41611</v>
      </c>
      <c r="D51" s="388">
        <f t="shared" si="6"/>
        <v>83276.66064516129</v>
      </c>
      <c r="E51" s="392">
        <f t="shared" si="7"/>
        <v>0</v>
      </c>
      <c r="F51" s="428">
        <f t="shared" si="0"/>
        <v>0.90615690000000004</v>
      </c>
      <c r="G51" s="390">
        <f t="shared" si="1"/>
        <v>0</v>
      </c>
      <c r="H51" s="391">
        <f t="shared" si="2"/>
        <v>83277.566802061294</v>
      </c>
      <c r="I51" s="324"/>
      <c r="J51" s="325"/>
      <c r="K51" s="325"/>
      <c r="L51" s="317"/>
      <c r="M51" s="318"/>
      <c r="N51" s="318"/>
      <c r="O51" s="318"/>
      <c r="P51" s="392">
        <f t="shared" si="8"/>
        <v>0</v>
      </c>
      <c r="Q51" s="392">
        <f t="shared" si="3"/>
        <v>0</v>
      </c>
      <c r="R51" s="392">
        <f t="shared" si="4"/>
        <v>0</v>
      </c>
      <c r="S51" s="373"/>
      <c r="T51" s="374"/>
      <c r="U51" s="524">
        <f t="shared" si="9"/>
        <v>0</v>
      </c>
      <c r="V51" s="520">
        <f t="shared" si="10"/>
        <v>0</v>
      </c>
      <c r="W51" s="524">
        <f t="shared" si="11"/>
        <v>0</v>
      </c>
      <c r="X51" s="520">
        <f t="shared" si="12"/>
        <v>0</v>
      </c>
      <c r="Y51" s="525">
        <f t="shared" ref="Y51:Y79" si="13">Y50+X51</f>
        <v>0</v>
      </c>
    </row>
    <row r="52" spans="3:25" x14ac:dyDescent="0.2">
      <c r="C52" s="387">
        <f t="shared" si="5"/>
        <v>41612</v>
      </c>
      <c r="D52" s="388">
        <f t="shared" si="6"/>
        <v>83276.66064516129</v>
      </c>
      <c r="E52" s="392">
        <f t="shared" si="7"/>
        <v>0</v>
      </c>
      <c r="F52" s="428">
        <f t="shared" si="0"/>
        <v>0.90615690000000004</v>
      </c>
      <c r="G52" s="390">
        <f t="shared" si="1"/>
        <v>0</v>
      </c>
      <c r="H52" s="391">
        <f t="shared" si="2"/>
        <v>83277.566802061294</v>
      </c>
      <c r="I52" s="324"/>
      <c r="J52" s="325"/>
      <c r="K52" s="325"/>
      <c r="L52" s="319"/>
      <c r="M52" s="320"/>
      <c r="N52" s="320"/>
      <c r="O52" s="320"/>
      <c r="P52" s="392">
        <f t="shared" si="8"/>
        <v>0</v>
      </c>
      <c r="Q52" s="392">
        <f t="shared" si="3"/>
        <v>0</v>
      </c>
      <c r="R52" s="392">
        <f t="shared" si="4"/>
        <v>0</v>
      </c>
      <c r="S52" s="373"/>
      <c r="T52" s="374"/>
      <c r="U52" s="524">
        <f t="shared" si="9"/>
        <v>0</v>
      </c>
      <c r="V52" s="520">
        <f t="shared" si="10"/>
        <v>0</v>
      </c>
      <c r="W52" s="524">
        <f t="shared" si="11"/>
        <v>0</v>
      </c>
      <c r="X52" s="520">
        <f t="shared" si="12"/>
        <v>0</v>
      </c>
      <c r="Y52" s="525">
        <f t="shared" si="13"/>
        <v>0</v>
      </c>
    </row>
    <row r="53" spans="3:25" x14ac:dyDescent="0.2">
      <c r="C53" s="387">
        <f t="shared" si="5"/>
        <v>41613</v>
      </c>
      <c r="D53" s="388">
        <f t="shared" si="6"/>
        <v>83276.66064516129</v>
      </c>
      <c r="E53" s="392">
        <f t="shared" si="7"/>
        <v>0</v>
      </c>
      <c r="F53" s="428">
        <f t="shared" si="0"/>
        <v>0.90615690000000004</v>
      </c>
      <c r="G53" s="390">
        <f t="shared" si="1"/>
        <v>0</v>
      </c>
      <c r="H53" s="391">
        <f t="shared" si="2"/>
        <v>83277.566802061294</v>
      </c>
      <c r="I53" s="324"/>
      <c r="J53" s="325"/>
      <c r="K53" s="325"/>
      <c r="L53" s="317"/>
      <c r="M53" s="318"/>
      <c r="N53" s="318"/>
      <c r="O53" s="318"/>
      <c r="P53" s="392">
        <f t="shared" si="8"/>
        <v>0</v>
      </c>
      <c r="Q53" s="392">
        <f t="shared" si="3"/>
        <v>0</v>
      </c>
      <c r="R53" s="392">
        <f t="shared" si="4"/>
        <v>0</v>
      </c>
      <c r="S53" s="373"/>
      <c r="T53" s="374"/>
      <c r="U53" s="524">
        <f t="shared" si="9"/>
        <v>0</v>
      </c>
      <c r="V53" s="520">
        <f t="shared" si="10"/>
        <v>0</v>
      </c>
      <c r="W53" s="524">
        <f t="shared" si="11"/>
        <v>0</v>
      </c>
      <c r="X53" s="520">
        <f t="shared" si="12"/>
        <v>0</v>
      </c>
      <c r="Y53" s="525">
        <f t="shared" si="13"/>
        <v>0</v>
      </c>
    </row>
    <row r="54" spans="3:25" x14ac:dyDescent="0.2">
      <c r="C54" s="387">
        <f t="shared" si="5"/>
        <v>41614</v>
      </c>
      <c r="D54" s="388">
        <f t="shared" si="6"/>
        <v>83276.66064516129</v>
      </c>
      <c r="E54" s="392">
        <f t="shared" si="7"/>
        <v>0</v>
      </c>
      <c r="F54" s="428">
        <f t="shared" si="0"/>
        <v>0.90615690000000004</v>
      </c>
      <c r="G54" s="390">
        <f t="shared" si="1"/>
        <v>0</v>
      </c>
      <c r="H54" s="391">
        <f t="shared" si="2"/>
        <v>83277.566802061294</v>
      </c>
      <c r="I54" s="324"/>
      <c r="J54" s="325"/>
      <c r="K54" s="325"/>
      <c r="L54" s="319"/>
      <c r="M54" s="320"/>
      <c r="N54" s="320"/>
      <c r="O54" s="320"/>
      <c r="P54" s="392">
        <f t="shared" si="8"/>
        <v>0</v>
      </c>
      <c r="Q54" s="392">
        <f t="shared" si="3"/>
        <v>0</v>
      </c>
      <c r="R54" s="392">
        <f t="shared" si="4"/>
        <v>0</v>
      </c>
      <c r="S54" s="373"/>
      <c r="T54" s="374"/>
      <c r="U54" s="524">
        <f t="shared" si="9"/>
        <v>0</v>
      </c>
      <c r="V54" s="520">
        <f t="shared" si="10"/>
        <v>0</v>
      </c>
      <c r="W54" s="524">
        <f t="shared" si="11"/>
        <v>0</v>
      </c>
      <c r="X54" s="520">
        <f t="shared" si="12"/>
        <v>0</v>
      </c>
      <c r="Y54" s="525">
        <f t="shared" si="13"/>
        <v>0</v>
      </c>
    </row>
    <row r="55" spans="3:25" x14ac:dyDescent="0.2">
      <c r="C55" s="387">
        <f t="shared" si="5"/>
        <v>41615</v>
      </c>
      <c r="D55" s="388">
        <f t="shared" si="6"/>
        <v>83276.66064516129</v>
      </c>
      <c r="E55" s="392">
        <f t="shared" si="7"/>
        <v>0</v>
      </c>
      <c r="F55" s="428">
        <f t="shared" si="0"/>
        <v>0.90615690000000004</v>
      </c>
      <c r="G55" s="390">
        <f t="shared" si="1"/>
        <v>0</v>
      </c>
      <c r="H55" s="391">
        <f t="shared" si="2"/>
        <v>83277.566802061294</v>
      </c>
      <c r="I55" s="324"/>
      <c r="J55" s="325"/>
      <c r="K55" s="325"/>
      <c r="L55" s="317"/>
      <c r="M55" s="318"/>
      <c r="N55" s="318"/>
      <c r="O55" s="318"/>
      <c r="P55" s="392">
        <f t="shared" si="8"/>
        <v>0</v>
      </c>
      <c r="Q55" s="392">
        <f t="shared" si="3"/>
        <v>0</v>
      </c>
      <c r="R55" s="392">
        <f t="shared" si="4"/>
        <v>0</v>
      </c>
      <c r="S55" s="373"/>
      <c r="T55" s="374"/>
      <c r="U55" s="524">
        <f t="shared" si="9"/>
        <v>0</v>
      </c>
      <c r="V55" s="520">
        <f t="shared" si="10"/>
        <v>0</v>
      </c>
      <c r="W55" s="524">
        <f t="shared" si="11"/>
        <v>0</v>
      </c>
      <c r="X55" s="520">
        <f t="shared" si="12"/>
        <v>0</v>
      </c>
      <c r="Y55" s="525">
        <f t="shared" si="13"/>
        <v>0</v>
      </c>
    </row>
    <row r="56" spans="3:25" x14ac:dyDescent="0.2">
      <c r="C56" s="387">
        <f t="shared" si="5"/>
        <v>41616</v>
      </c>
      <c r="D56" s="388">
        <f t="shared" si="6"/>
        <v>83276.66064516129</v>
      </c>
      <c r="E56" s="392">
        <f t="shared" si="7"/>
        <v>0</v>
      </c>
      <c r="F56" s="428">
        <f t="shared" si="0"/>
        <v>0.90615690000000004</v>
      </c>
      <c r="G56" s="390">
        <f t="shared" si="1"/>
        <v>0</v>
      </c>
      <c r="H56" s="391">
        <f t="shared" si="2"/>
        <v>83277.566802061294</v>
      </c>
      <c r="I56" s="324"/>
      <c r="J56" s="325"/>
      <c r="K56" s="325"/>
      <c r="L56" s="319"/>
      <c r="M56" s="320"/>
      <c r="N56" s="320"/>
      <c r="O56" s="320"/>
      <c r="P56" s="392">
        <f t="shared" si="8"/>
        <v>0</v>
      </c>
      <c r="Q56" s="392">
        <f t="shared" si="3"/>
        <v>0</v>
      </c>
      <c r="R56" s="392">
        <f t="shared" si="4"/>
        <v>0</v>
      </c>
      <c r="S56" s="373"/>
      <c r="T56" s="374"/>
      <c r="U56" s="524">
        <f t="shared" si="9"/>
        <v>0</v>
      </c>
      <c r="V56" s="520">
        <f t="shared" si="10"/>
        <v>0</v>
      </c>
      <c r="W56" s="524">
        <f t="shared" si="11"/>
        <v>0</v>
      </c>
      <c r="X56" s="520">
        <f t="shared" si="12"/>
        <v>0</v>
      </c>
      <c r="Y56" s="525">
        <f t="shared" si="13"/>
        <v>0</v>
      </c>
    </row>
    <row r="57" spans="3:25" x14ac:dyDescent="0.2">
      <c r="C57" s="387">
        <f t="shared" si="5"/>
        <v>41617</v>
      </c>
      <c r="D57" s="388">
        <f t="shared" si="6"/>
        <v>83276.66064516129</v>
      </c>
      <c r="E57" s="392">
        <f t="shared" si="7"/>
        <v>0</v>
      </c>
      <c r="F57" s="428">
        <f t="shared" si="0"/>
        <v>0.90615690000000004</v>
      </c>
      <c r="G57" s="390">
        <f t="shared" si="1"/>
        <v>0</v>
      </c>
      <c r="H57" s="391">
        <f t="shared" si="2"/>
        <v>83277.566802061294</v>
      </c>
      <c r="I57" s="324"/>
      <c r="J57" s="325"/>
      <c r="K57" s="325"/>
      <c r="L57" s="317"/>
      <c r="M57" s="318"/>
      <c r="N57" s="318"/>
      <c r="O57" s="318"/>
      <c r="P57" s="392">
        <f t="shared" si="8"/>
        <v>0</v>
      </c>
      <c r="Q57" s="392">
        <f t="shared" si="3"/>
        <v>0</v>
      </c>
      <c r="R57" s="392">
        <f t="shared" si="4"/>
        <v>0</v>
      </c>
      <c r="S57" s="373"/>
      <c r="T57" s="374"/>
      <c r="U57" s="524">
        <f t="shared" si="9"/>
        <v>0</v>
      </c>
      <c r="V57" s="520">
        <f t="shared" si="10"/>
        <v>0</v>
      </c>
      <c r="W57" s="524">
        <f t="shared" si="11"/>
        <v>0</v>
      </c>
      <c r="X57" s="520">
        <f t="shared" si="12"/>
        <v>0</v>
      </c>
      <c r="Y57" s="525">
        <f t="shared" si="13"/>
        <v>0</v>
      </c>
    </row>
    <row r="58" spans="3:25" x14ac:dyDescent="0.2">
      <c r="C58" s="387">
        <f t="shared" si="5"/>
        <v>41618</v>
      </c>
      <c r="D58" s="388">
        <f t="shared" si="6"/>
        <v>83276.66064516129</v>
      </c>
      <c r="E58" s="392">
        <f t="shared" si="7"/>
        <v>0</v>
      </c>
      <c r="F58" s="428">
        <f t="shared" si="0"/>
        <v>0.90615690000000004</v>
      </c>
      <c r="G58" s="390">
        <f t="shared" si="1"/>
        <v>0</v>
      </c>
      <c r="H58" s="391">
        <f t="shared" si="2"/>
        <v>83277.566802061294</v>
      </c>
      <c r="I58" s="324"/>
      <c r="J58" s="325"/>
      <c r="K58" s="325"/>
      <c r="L58" s="319"/>
      <c r="M58" s="320"/>
      <c r="N58" s="320"/>
      <c r="O58" s="320"/>
      <c r="P58" s="392">
        <f t="shared" si="8"/>
        <v>0</v>
      </c>
      <c r="Q58" s="392">
        <f t="shared" si="3"/>
        <v>0</v>
      </c>
      <c r="R58" s="392">
        <f t="shared" si="4"/>
        <v>0</v>
      </c>
      <c r="S58" s="373"/>
      <c r="T58" s="374"/>
      <c r="U58" s="524">
        <f t="shared" si="9"/>
        <v>0</v>
      </c>
      <c r="V58" s="520">
        <f t="shared" si="10"/>
        <v>0</v>
      </c>
      <c r="W58" s="524">
        <f t="shared" si="11"/>
        <v>0</v>
      </c>
      <c r="X58" s="520">
        <f t="shared" si="12"/>
        <v>0</v>
      </c>
      <c r="Y58" s="525">
        <f t="shared" si="13"/>
        <v>0</v>
      </c>
    </row>
    <row r="59" spans="3:25" x14ac:dyDescent="0.2">
      <c r="C59" s="387">
        <f t="shared" si="5"/>
        <v>41619</v>
      </c>
      <c r="D59" s="388">
        <f t="shared" si="6"/>
        <v>83276.66064516129</v>
      </c>
      <c r="E59" s="392">
        <f t="shared" si="7"/>
        <v>0</v>
      </c>
      <c r="F59" s="428">
        <f t="shared" si="0"/>
        <v>0.90615690000000004</v>
      </c>
      <c r="G59" s="390">
        <f t="shared" si="1"/>
        <v>0</v>
      </c>
      <c r="H59" s="391">
        <f t="shared" si="2"/>
        <v>83277.566802061294</v>
      </c>
      <c r="I59" s="324"/>
      <c r="J59" s="325"/>
      <c r="K59" s="325"/>
      <c r="L59" s="317"/>
      <c r="M59" s="318"/>
      <c r="N59" s="318"/>
      <c r="O59" s="318"/>
      <c r="P59" s="392">
        <f t="shared" si="8"/>
        <v>0</v>
      </c>
      <c r="Q59" s="392">
        <f t="shared" si="3"/>
        <v>0</v>
      </c>
      <c r="R59" s="392">
        <f t="shared" si="4"/>
        <v>0</v>
      </c>
      <c r="S59" s="373"/>
      <c r="T59" s="374"/>
      <c r="U59" s="524">
        <f t="shared" si="9"/>
        <v>0</v>
      </c>
      <c r="V59" s="520">
        <f t="shared" si="10"/>
        <v>0</v>
      </c>
      <c r="W59" s="524">
        <f t="shared" si="11"/>
        <v>0</v>
      </c>
      <c r="X59" s="520">
        <f t="shared" si="12"/>
        <v>0</v>
      </c>
      <c r="Y59" s="525">
        <f t="shared" si="13"/>
        <v>0</v>
      </c>
    </row>
    <row r="60" spans="3:25" x14ac:dyDescent="0.2">
      <c r="C60" s="387">
        <f t="shared" si="5"/>
        <v>41620</v>
      </c>
      <c r="D60" s="388">
        <f t="shared" si="6"/>
        <v>83276.66064516129</v>
      </c>
      <c r="E60" s="392">
        <f t="shared" si="7"/>
        <v>0</v>
      </c>
      <c r="F60" s="428">
        <f t="shared" si="0"/>
        <v>0.90615690000000004</v>
      </c>
      <c r="G60" s="390">
        <f t="shared" si="1"/>
        <v>0</v>
      </c>
      <c r="H60" s="391">
        <f t="shared" si="2"/>
        <v>83277.566802061294</v>
      </c>
      <c r="I60" s="324"/>
      <c r="J60" s="325"/>
      <c r="K60" s="325"/>
      <c r="L60" s="319"/>
      <c r="M60" s="320"/>
      <c r="N60" s="320"/>
      <c r="O60" s="320"/>
      <c r="P60" s="392">
        <f t="shared" si="8"/>
        <v>0</v>
      </c>
      <c r="Q60" s="392">
        <f t="shared" si="3"/>
        <v>0</v>
      </c>
      <c r="R60" s="392">
        <f t="shared" si="4"/>
        <v>0</v>
      </c>
      <c r="S60" s="373"/>
      <c r="T60" s="374"/>
      <c r="U60" s="524">
        <f t="shared" si="9"/>
        <v>0</v>
      </c>
      <c r="V60" s="520">
        <f t="shared" si="10"/>
        <v>0</v>
      </c>
      <c r="W60" s="524">
        <f t="shared" si="11"/>
        <v>0</v>
      </c>
      <c r="X60" s="520">
        <f t="shared" si="12"/>
        <v>0</v>
      </c>
      <c r="Y60" s="525">
        <f t="shared" si="13"/>
        <v>0</v>
      </c>
    </row>
    <row r="61" spans="3:25" x14ac:dyDescent="0.2">
      <c r="C61" s="387">
        <f t="shared" si="5"/>
        <v>41621</v>
      </c>
      <c r="D61" s="388">
        <f t="shared" si="6"/>
        <v>83276.66064516129</v>
      </c>
      <c r="E61" s="392">
        <f t="shared" si="7"/>
        <v>0</v>
      </c>
      <c r="F61" s="428">
        <f t="shared" si="0"/>
        <v>0.90615690000000004</v>
      </c>
      <c r="G61" s="390">
        <f t="shared" si="1"/>
        <v>0</v>
      </c>
      <c r="H61" s="391">
        <f t="shared" si="2"/>
        <v>83277.566802061294</v>
      </c>
      <c r="I61" s="324"/>
      <c r="J61" s="325"/>
      <c r="K61" s="325"/>
      <c r="L61" s="317"/>
      <c r="M61" s="318"/>
      <c r="N61" s="318"/>
      <c r="O61" s="318"/>
      <c r="P61" s="392">
        <f t="shared" si="8"/>
        <v>0</v>
      </c>
      <c r="Q61" s="392">
        <f t="shared" si="3"/>
        <v>0</v>
      </c>
      <c r="R61" s="392">
        <f t="shared" si="4"/>
        <v>0</v>
      </c>
      <c r="S61" s="373"/>
      <c r="T61" s="374"/>
      <c r="U61" s="524">
        <f t="shared" si="9"/>
        <v>0</v>
      </c>
      <c r="V61" s="520">
        <f t="shared" si="10"/>
        <v>0</v>
      </c>
      <c r="W61" s="524">
        <f t="shared" si="11"/>
        <v>0</v>
      </c>
      <c r="X61" s="520">
        <f t="shared" si="12"/>
        <v>0</v>
      </c>
      <c r="Y61" s="525">
        <f t="shared" si="13"/>
        <v>0</v>
      </c>
    </row>
    <row r="62" spans="3:25" x14ac:dyDescent="0.2">
      <c r="C62" s="387">
        <f t="shared" si="5"/>
        <v>41622</v>
      </c>
      <c r="D62" s="388">
        <f t="shared" si="6"/>
        <v>83276.66064516129</v>
      </c>
      <c r="E62" s="392">
        <f t="shared" si="7"/>
        <v>0</v>
      </c>
      <c r="F62" s="428">
        <f t="shared" si="0"/>
        <v>0.90615690000000004</v>
      </c>
      <c r="G62" s="390">
        <f t="shared" si="1"/>
        <v>0</v>
      </c>
      <c r="H62" s="391">
        <f t="shared" si="2"/>
        <v>83277.566802061294</v>
      </c>
      <c r="I62" s="324"/>
      <c r="J62" s="325"/>
      <c r="K62" s="325"/>
      <c r="L62" s="319"/>
      <c r="M62" s="320"/>
      <c r="N62" s="320"/>
      <c r="O62" s="320"/>
      <c r="P62" s="392">
        <f t="shared" si="8"/>
        <v>0</v>
      </c>
      <c r="Q62" s="392">
        <f t="shared" si="3"/>
        <v>0</v>
      </c>
      <c r="R62" s="392">
        <f t="shared" si="4"/>
        <v>0</v>
      </c>
      <c r="S62" s="373"/>
      <c r="T62" s="374"/>
      <c r="U62" s="524">
        <f t="shared" si="9"/>
        <v>0</v>
      </c>
      <c r="V62" s="520">
        <f t="shared" si="10"/>
        <v>0</v>
      </c>
      <c r="W62" s="524">
        <f t="shared" si="11"/>
        <v>0</v>
      </c>
      <c r="X62" s="520">
        <f t="shared" si="12"/>
        <v>0</v>
      </c>
      <c r="Y62" s="525">
        <f t="shared" si="13"/>
        <v>0</v>
      </c>
    </row>
    <row r="63" spans="3:25" x14ac:dyDescent="0.2">
      <c r="C63" s="387">
        <f t="shared" si="5"/>
        <v>41623</v>
      </c>
      <c r="D63" s="388">
        <f t="shared" si="6"/>
        <v>83276.66064516129</v>
      </c>
      <c r="E63" s="392">
        <f t="shared" si="7"/>
        <v>0</v>
      </c>
      <c r="F63" s="428">
        <f t="shared" si="0"/>
        <v>0.90615690000000004</v>
      </c>
      <c r="G63" s="390">
        <f t="shared" si="1"/>
        <v>0</v>
      </c>
      <c r="H63" s="391">
        <f t="shared" si="2"/>
        <v>83277.566802061294</v>
      </c>
      <c r="I63" s="324"/>
      <c r="J63" s="325"/>
      <c r="K63" s="325"/>
      <c r="L63" s="317"/>
      <c r="M63" s="318"/>
      <c r="N63" s="318"/>
      <c r="O63" s="318"/>
      <c r="P63" s="392">
        <f t="shared" si="8"/>
        <v>0</v>
      </c>
      <c r="Q63" s="392">
        <f t="shared" si="3"/>
        <v>0</v>
      </c>
      <c r="R63" s="392">
        <f t="shared" si="4"/>
        <v>0</v>
      </c>
      <c r="S63" s="373"/>
      <c r="T63" s="374"/>
      <c r="U63" s="524">
        <f t="shared" si="9"/>
        <v>0</v>
      </c>
      <c r="V63" s="520">
        <f t="shared" si="10"/>
        <v>0</v>
      </c>
      <c r="W63" s="524">
        <f t="shared" si="11"/>
        <v>0</v>
      </c>
      <c r="X63" s="520">
        <f t="shared" si="12"/>
        <v>0</v>
      </c>
      <c r="Y63" s="525">
        <f t="shared" si="13"/>
        <v>0</v>
      </c>
    </row>
    <row r="64" spans="3:25" x14ac:dyDescent="0.2">
      <c r="C64" s="387">
        <f t="shared" si="5"/>
        <v>41624</v>
      </c>
      <c r="D64" s="388">
        <f t="shared" si="6"/>
        <v>83276.66064516129</v>
      </c>
      <c r="E64" s="392">
        <f t="shared" si="7"/>
        <v>0</v>
      </c>
      <c r="F64" s="428">
        <f t="shared" si="0"/>
        <v>0.90615690000000004</v>
      </c>
      <c r="G64" s="390">
        <f t="shared" si="1"/>
        <v>0</v>
      </c>
      <c r="H64" s="391">
        <f t="shared" si="2"/>
        <v>83277.566802061294</v>
      </c>
      <c r="I64" s="324"/>
      <c r="J64" s="325"/>
      <c r="K64" s="325"/>
      <c r="L64" s="319"/>
      <c r="M64" s="320"/>
      <c r="N64" s="320"/>
      <c r="O64" s="320"/>
      <c r="P64" s="392">
        <f t="shared" si="8"/>
        <v>0</v>
      </c>
      <c r="Q64" s="392">
        <f t="shared" si="3"/>
        <v>0</v>
      </c>
      <c r="R64" s="392">
        <f t="shared" si="4"/>
        <v>0</v>
      </c>
      <c r="S64" s="373"/>
      <c r="T64" s="374"/>
      <c r="U64" s="524">
        <f t="shared" si="9"/>
        <v>0</v>
      </c>
      <c r="V64" s="520">
        <f t="shared" si="10"/>
        <v>0</v>
      </c>
      <c r="W64" s="524">
        <f t="shared" si="11"/>
        <v>0</v>
      </c>
      <c r="X64" s="520">
        <f t="shared" si="12"/>
        <v>0</v>
      </c>
      <c r="Y64" s="525">
        <f t="shared" si="13"/>
        <v>0</v>
      </c>
    </row>
    <row r="65" spans="3:38" x14ac:dyDescent="0.2">
      <c r="C65" s="387">
        <f t="shared" si="5"/>
        <v>41625</v>
      </c>
      <c r="D65" s="388">
        <f t="shared" si="6"/>
        <v>83276.66064516129</v>
      </c>
      <c r="E65" s="392">
        <f t="shared" si="7"/>
        <v>0</v>
      </c>
      <c r="F65" s="428">
        <f t="shared" si="0"/>
        <v>0.90615690000000004</v>
      </c>
      <c r="G65" s="390">
        <f t="shared" si="1"/>
        <v>0</v>
      </c>
      <c r="H65" s="391">
        <f t="shared" si="2"/>
        <v>83277.566802061294</v>
      </c>
      <c r="I65" s="324"/>
      <c r="J65" s="325"/>
      <c r="K65" s="325"/>
      <c r="L65" s="317"/>
      <c r="M65" s="318"/>
      <c r="N65" s="318"/>
      <c r="O65" s="318"/>
      <c r="P65" s="392">
        <f t="shared" si="8"/>
        <v>0</v>
      </c>
      <c r="Q65" s="392">
        <f t="shared" si="3"/>
        <v>0</v>
      </c>
      <c r="R65" s="392">
        <f t="shared" si="4"/>
        <v>0</v>
      </c>
      <c r="S65" s="373"/>
      <c r="T65" s="374"/>
      <c r="U65" s="524">
        <f t="shared" si="9"/>
        <v>0</v>
      </c>
      <c r="V65" s="520">
        <f t="shared" si="10"/>
        <v>0</v>
      </c>
      <c r="W65" s="524">
        <f t="shared" si="11"/>
        <v>0</v>
      </c>
      <c r="X65" s="520">
        <f t="shared" si="12"/>
        <v>0</v>
      </c>
      <c r="Y65" s="525">
        <f t="shared" si="13"/>
        <v>0</v>
      </c>
    </row>
    <row r="66" spans="3:38" x14ac:dyDescent="0.2">
      <c r="C66" s="387">
        <f t="shared" si="5"/>
        <v>41626</v>
      </c>
      <c r="D66" s="388">
        <f t="shared" si="6"/>
        <v>83276.66064516129</v>
      </c>
      <c r="E66" s="392">
        <f t="shared" si="7"/>
        <v>0</v>
      </c>
      <c r="F66" s="428">
        <f t="shared" si="0"/>
        <v>0.90615690000000004</v>
      </c>
      <c r="G66" s="390">
        <f t="shared" si="1"/>
        <v>0</v>
      </c>
      <c r="H66" s="391">
        <f t="shared" si="2"/>
        <v>83277.566802061294</v>
      </c>
      <c r="I66" s="324"/>
      <c r="J66" s="325"/>
      <c r="K66" s="325"/>
      <c r="L66" s="319"/>
      <c r="M66" s="320"/>
      <c r="N66" s="320"/>
      <c r="O66" s="320"/>
      <c r="P66" s="392">
        <f t="shared" si="8"/>
        <v>0</v>
      </c>
      <c r="Q66" s="392">
        <f t="shared" si="3"/>
        <v>0</v>
      </c>
      <c r="R66" s="392">
        <f t="shared" si="4"/>
        <v>0</v>
      </c>
      <c r="S66" s="373"/>
      <c r="T66" s="374"/>
      <c r="U66" s="524">
        <f t="shared" si="9"/>
        <v>0</v>
      </c>
      <c r="V66" s="520">
        <f t="shared" si="10"/>
        <v>0</v>
      </c>
      <c r="W66" s="524">
        <f t="shared" si="11"/>
        <v>0</v>
      </c>
      <c r="X66" s="520">
        <f t="shared" si="12"/>
        <v>0</v>
      </c>
      <c r="Y66" s="525">
        <f t="shared" si="13"/>
        <v>0</v>
      </c>
    </row>
    <row r="67" spans="3:38" x14ac:dyDescent="0.2">
      <c r="C67" s="387">
        <f t="shared" si="5"/>
        <v>41627</v>
      </c>
      <c r="D67" s="388">
        <f t="shared" si="6"/>
        <v>83276.66064516129</v>
      </c>
      <c r="E67" s="392">
        <f t="shared" si="7"/>
        <v>0</v>
      </c>
      <c r="F67" s="428">
        <f t="shared" si="0"/>
        <v>0.90615690000000004</v>
      </c>
      <c r="G67" s="390">
        <f t="shared" si="1"/>
        <v>0</v>
      </c>
      <c r="H67" s="391">
        <f t="shared" si="2"/>
        <v>83277.566802061294</v>
      </c>
      <c r="I67" s="324"/>
      <c r="J67" s="325"/>
      <c r="K67" s="325"/>
      <c r="L67" s="317"/>
      <c r="M67" s="318"/>
      <c r="N67" s="318"/>
      <c r="O67" s="318"/>
      <c r="P67" s="392">
        <f t="shared" si="8"/>
        <v>0</v>
      </c>
      <c r="Q67" s="392">
        <f t="shared" si="3"/>
        <v>0</v>
      </c>
      <c r="R67" s="392">
        <f t="shared" si="4"/>
        <v>0</v>
      </c>
      <c r="S67" s="373"/>
      <c r="T67" s="374"/>
      <c r="U67" s="524">
        <f t="shared" si="9"/>
        <v>0</v>
      </c>
      <c r="V67" s="520">
        <f t="shared" si="10"/>
        <v>0</v>
      </c>
      <c r="W67" s="524">
        <f t="shared" si="11"/>
        <v>0</v>
      </c>
      <c r="X67" s="520">
        <f t="shared" si="12"/>
        <v>0</v>
      </c>
      <c r="Y67" s="525">
        <f t="shared" si="13"/>
        <v>0</v>
      </c>
    </row>
    <row r="68" spans="3:38" x14ac:dyDescent="0.2">
      <c r="C68" s="387">
        <f t="shared" si="5"/>
        <v>41628</v>
      </c>
      <c r="D68" s="388">
        <f t="shared" si="6"/>
        <v>83276.66064516129</v>
      </c>
      <c r="E68" s="392">
        <f t="shared" si="7"/>
        <v>0</v>
      </c>
      <c r="F68" s="428">
        <f t="shared" si="0"/>
        <v>0.90615690000000004</v>
      </c>
      <c r="G68" s="390">
        <f t="shared" si="1"/>
        <v>0</v>
      </c>
      <c r="H68" s="391">
        <f t="shared" si="2"/>
        <v>83277.566802061294</v>
      </c>
      <c r="I68" s="324"/>
      <c r="J68" s="325"/>
      <c r="K68" s="325"/>
      <c r="L68" s="319"/>
      <c r="M68" s="320"/>
      <c r="N68" s="320"/>
      <c r="O68" s="320"/>
      <c r="P68" s="392">
        <f t="shared" si="8"/>
        <v>0</v>
      </c>
      <c r="Q68" s="392">
        <f t="shared" si="3"/>
        <v>0</v>
      </c>
      <c r="R68" s="392">
        <f t="shared" si="4"/>
        <v>0</v>
      </c>
      <c r="S68" s="373"/>
      <c r="T68" s="374"/>
      <c r="U68" s="524">
        <f t="shared" si="9"/>
        <v>0</v>
      </c>
      <c r="V68" s="520">
        <f t="shared" si="10"/>
        <v>0</v>
      </c>
      <c r="W68" s="524">
        <f t="shared" si="11"/>
        <v>0</v>
      </c>
      <c r="X68" s="520">
        <f t="shared" si="12"/>
        <v>0</v>
      </c>
      <c r="Y68" s="525">
        <f t="shared" si="13"/>
        <v>0</v>
      </c>
    </row>
    <row r="69" spans="3:38" x14ac:dyDescent="0.2">
      <c r="C69" s="387">
        <f t="shared" si="5"/>
        <v>41629</v>
      </c>
      <c r="D69" s="388">
        <f t="shared" si="6"/>
        <v>83276.66064516129</v>
      </c>
      <c r="E69" s="392">
        <f t="shared" si="7"/>
        <v>0</v>
      </c>
      <c r="F69" s="428">
        <f t="shared" si="0"/>
        <v>0.90615690000000004</v>
      </c>
      <c r="G69" s="390">
        <f t="shared" si="1"/>
        <v>0</v>
      </c>
      <c r="H69" s="391">
        <f t="shared" si="2"/>
        <v>83277.566802061294</v>
      </c>
      <c r="I69" s="324"/>
      <c r="J69" s="325"/>
      <c r="K69" s="325"/>
      <c r="L69" s="317"/>
      <c r="M69" s="318"/>
      <c r="N69" s="318"/>
      <c r="O69" s="318"/>
      <c r="P69" s="392">
        <f t="shared" si="8"/>
        <v>0</v>
      </c>
      <c r="Q69" s="392">
        <f t="shared" si="3"/>
        <v>0</v>
      </c>
      <c r="R69" s="392">
        <f t="shared" si="4"/>
        <v>0</v>
      </c>
      <c r="S69" s="373"/>
      <c r="T69" s="374"/>
      <c r="U69" s="524">
        <f t="shared" si="9"/>
        <v>0</v>
      </c>
      <c r="V69" s="520">
        <f t="shared" si="10"/>
        <v>0</v>
      </c>
      <c r="W69" s="524">
        <f t="shared" si="11"/>
        <v>0</v>
      </c>
      <c r="X69" s="520">
        <f t="shared" si="12"/>
        <v>0</v>
      </c>
      <c r="Y69" s="525">
        <f t="shared" si="13"/>
        <v>0</v>
      </c>
    </row>
    <row r="70" spans="3:38" x14ac:dyDescent="0.2">
      <c r="C70" s="387">
        <f t="shared" si="5"/>
        <v>41630</v>
      </c>
      <c r="D70" s="388">
        <f t="shared" si="6"/>
        <v>83276.66064516129</v>
      </c>
      <c r="E70" s="392">
        <f t="shared" si="7"/>
        <v>0</v>
      </c>
      <c r="F70" s="428">
        <f t="shared" si="0"/>
        <v>0.90615690000000004</v>
      </c>
      <c r="G70" s="390">
        <f t="shared" si="1"/>
        <v>0</v>
      </c>
      <c r="H70" s="391">
        <f t="shared" si="2"/>
        <v>83277.566802061294</v>
      </c>
      <c r="I70" s="324"/>
      <c r="J70" s="325"/>
      <c r="K70" s="325"/>
      <c r="L70" s="319"/>
      <c r="M70" s="320"/>
      <c r="N70" s="320"/>
      <c r="O70" s="320"/>
      <c r="P70" s="392">
        <f t="shared" si="8"/>
        <v>0</v>
      </c>
      <c r="Q70" s="392">
        <f t="shared" si="3"/>
        <v>0</v>
      </c>
      <c r="R70" s="392">
        <f t="shared" si="4"/>
        <v>0</v>
      </c>
      <c r="S70" s="373"/>
      <c r="T70" s="374"/>
      <c r="U70" s="524">
        <f t="shared" si="9"/>
        <v>0</v>
      </c>
      <c r="V70" s="520">
        <f t="shared" si="10"/>
        <v>0</v>
      </c>
      <c r="W70" s="524">
        <f t="shared" si="11"/>
        <v>0</v>
      </c>
      <c r="X70" s="520">
        <f t="shared" si="12"/>
        <v>0</v>
      </c>
      <c r="Y70" s="525">
        <f t="shared" si="13"/>
        <v>0</v>
      </c>
    </row>
    <row r="71" spans="3:38" x14ac:dyDescent="0.2">
      <c r="C71" s="387">
        <f t="shared" si="5"/>
        <v>41631</v>
      </c>
      <c r="D71" s="388">
        <f t="shared" si="6"/>
        <v>83276.66064516129</v>
      </c>
      <c r="E71" s="392">
        <f t="shared" si="7"/>
        <v>0</v>
      </c>
      <c r="F71" s="428">
        <f t="shared" si="0"/>
        <v>0.90615690000000004</v>
      </c>
      <c r="G71" s="390">
        <f t="shared" si="1"/>
        <v>0</v>
      </c>
      <c r="H71" s="391">
        <f t="shared" si="2"/>
        <v>83277.566802061294</v>
      </c>
      <c r="I71" s="324"/>
      <c r="J71" s="325"/>
      <c r="K71" s="325"/>
      <c r="L71" s="317"/>
      <c r="M71" s="318"/>
      <c r="N71" s="318"/>
      <c r="O71" s="318"/>
      <c r="P71" s="392">
        <f t="shared" si="8"/>
        <v>0</v>
      </c>
      <c r="Q71" s="392">
        <f t="shared" si="3"/>
        <v>0</v>
      </c>
      <c r="R71" s="392">
        <f t="shared" si="4"/>
        <v>0</v>
      </c>
      <c r="S71" s="373"/>
      <c r="T71" s="374"/>
      <c r="U71" s="524">
        <f t="shared" si="9"/>
        <v>0</v>
      </c>
      <c r="V71" s="520">
        <f t="shared" si="10"/>
        <v>0</v>
      </c>
      <c r="W71" s="524">
        <f t="shared" si="11"/>
        <v>0</v>
      </c>
      <c r="X71" s="520">
        <f t="shared" si="12"/>
        <v>0</v>
      </c>
      <c r="Y71" s="525">
        <f t="shared" si="13"/>
        <v>0</v>
      </c>
    </row>
    <row r="72" spans="3:38" x14ac:dyDescent="0.2">
      <c r="C72" s="387">
        <f t="shared" si="5"/>
        <v>41632</v>
      </c>
      <c r="D72" s="388">
        <f t="shared" si="6"/>
        <v>83276.66064516129</v>
      </c>
      <c r="E72" s="392">
        <f t="shared" si="7"/>
        <v>0</v>
      </c>
      <c r="F72" s="428">
        <f t="shared" si="0"/>
        <v>0.90615690000000004</v>
      </c>
      <c r="G72" s="390">
        <f t="shared" si="1"/>
        <v>0</v>
      </c>
      <c r="H72" s="391">
        <f t="shared" si="2"/>
        <v>83277.566802061294</v>
      </c>
      <c r="I72" s="324"/>
      <c r="J72" s="325"/>
      <c r="K72" s="325"/>
      <c r="L72" s="319"/>
      <c r="M72" s="320"/>
      <c r="N72" s="320"/>
      <c r="O72" s="320"/>
      <c r="P72" s="392">
        <f t="shared" si="8"/>
        <v>0</v>
      </c>
      <c r="Q72" s="392">
        <f t="shared" si="3"/>
        <v>0</v>
      </c>
      <c r="R72" s="392">
        <f t="shared" si="4"/>
        <v>0</v>
      </c>
      <c r="S72" s="373"/>
      <c r="T72" s="374"/>
      <c r="U72" s="524">
        <f t="shared" si="9"/>
        <v>0</v>
      </c>
      <c r="V72" s="520">
        <f t="shared" si="10"/>
        <v>0</v>
      </c>
      <c r="W72" s="524">
        <f t="shared" si="11"/>
        <v>0</v>
      </c>
      <c r="X72" s="520">
        <f t="shared" si="12"/>
        <v>0</v>
      </c>
      <c r="Y72" s="525">
        <f t="shared" si="13"/>
        <v>0</v>
      </c>
    </row>
    <row r="73" spans="3:38" x14ac:dyDescent="0.2">
      <c r="C73" s="387">
        <f t="shared" si="5"/>
        <v>41633</v>
      </c>
      <c r="D73" s="388">
        <f t="shared" si="6"/>
        <v>83276.66064516129</v>
      </c>
      <c r="E73" s="392">
        <f t="shared" si="7"/>
        <v>0</v>
      </c>
      <c r="F73" s="428">
        <f t="shared" si="0"/>
        <v>0.90615690000000004</v>
      </c>
      <c r="G73" s="390">
        <f t="shared" si="1"/>
        <v>0</v>
      </c>
      <c r="H73" s="391">
        <f t="shared" si="2"/>
        <v>83277.566802061294</v>
      </c>
      <c r="I73" s="324"/>
      <c r="J73" s="325"/>
      <c r="K73" s="325"/>
      <c r="L73" s="317"/>
      <c r="M73" s="318"/>
      <c r="N73" s="318"/>
      <c r="O73" s="318"/>
      <c r="P73" s="392">
        <f t="shared" si="8"/>
        <v>0</v>
      </c>
      <c r="Q73" s="392">
        <f t="shared" si="3"/>
        <v>0</v>
      </c>
      <c r="R73" s="392">
        <f t="shared" si="4"/>
        <v>0</v>
      </c>
      <c r="S73" s="373"/>
      <c r="T73" s="374"/>
      <c r="U73" s="524">
        <f t="shared" si="9"/>
        <v>0</v>
      </c>
      <c r="V73" s="520">
        <f t="shared" si="10"/>
        <v>0</v>
      </c>
      <c r="W73" s="524">
        <f t="shared" si="11"/>
        <v>0</v>
      </c>
      <c r="X73" s="520">
        <f t="shared" si="12"/>
        <v>0</v>
      </c>
      <c r="Y73" s="525">
        <f t="shared" si="13"/>
        <v>0</v>
      </c>
    </row>
    <row r="74" spans="3:38" x14ac:dyDescent="0.2">
      <c r="C74" s="387">
        <f t="shared" si="5"/>
        <v>41634</v>
      </c>
      <c r="D74" s="388">
        <f t="shared" si="6"/>
        <v>83276.66064516129</v>
      </c>
      <c r="E74" s="392">
        <f t="shared" si="7"/>
        <v>0</v>
      </c>
      <c r="F74" s="428">
        <f t="shared" si="0"/>
        <v>0.90615690000000004</v>
      </c>
      <c r="G74" s="390">
        <f t="shared" si="1"/>
        <v>0</v>
      </c>
      <c r="H74" s="391">
        <f t="shared" si="2"/>
        <v>83277.566802061294</v>
      </c>
      <c r="I74" s="324"/>
      <c r="J74" s="325"/>
      <c r="K74" s="325"/>
      <c r="L74" s="319"/>
      <c r="M74" s="320"/>
      <c r="N74" s="320"/>
      <c r="O74" s="320"/>
      <c r="P74" s="392">
        <f t="shared" si="8"/>
        <v>0</v>
      </c>
      <c r="Q74" s="392">
        <f t="shared" si="3"/>
        <v>0</v>
      </c>
      <c r="R74" s="392">
        <f t="shared" si="4"/>
        <v>0</v>
      </c>
      <c r="S74" s="373"/>
      <c r="T74" s="374"/>
      <c r="U74" s="524">
        <f t="shared" si="9"/>
        <v>0</v>
      </c>
      <c r="V74" s="520">
        <f t="shared" si="10"/>
        <v>0</v>
      </c>
      <c r="W74" s="524">
        <f t="shared" si="11"/>
        <v>0</v>
      </c>
      <c r="X74" s="520">
        <f t="shared" si="12"/>
        <v>0</v>
      </c>
      <c r="Y74" s="525">
        <f t="shared" si="13"/>
        <v>0</v>
      </c>
    </row>
    <row r="75" spans="3:38" x14ac:dyDescent="0.2">
      <c r="C75" s="387">
        <f t="shared" si="5"/>
        <v>41635</v>
      </c>
      <c r="D75" s="388">
        <f t="shared" si="6"/>
        <v>83276.66064516129</v>
      </c>
      <c r="E75" s="392">
        <f t="shared" si="7"/>
        <v>0</v>
      </c>
      <c r="F75" s="428">
        <f t="shared" si="0"/>
        <v>0.90615690000000004</v>
      </c>
      <c r="G75" s="390">
        <f t="shared" si="1"/>
        <v>0</v>
      </c>
      <c r="H75" s="391">
        <f t="shared" si="2"/>
        <v>83277.566802061294</v>
      </c>
      <c r="I75" s="324"/>
      <c r="J75" s="325"/>
      <c r="K75" s="325"/>
      <c r="L75" s="317"/>
      <c r="M75" s="318"/>
      <c r="N75" s="318"/>
      <c r="O75" s="318"/>
      <c r="P75" s="392">
        <f t="shared" si="8"/>
        <v>0</v>
      </c>
      <c r="Q75" s="392">
        <f t="shared" si="3"/>
        <v>0</v>
      </c>
      <c r="R75" s="392">
        <f t="shared" si="4"/>
        <v>0</v>
      </c>
      <c r="S75" s="373"/>
      <c r="T75" s="374"/>
      <c r="U75" s="524">
        <f t="shared" si="9"/>
        <v>0</v>
      </c>
      <c r="V75" s="520">
        <f t="shared" si="10"/>
        <v>0</v>
      </c>
      <c r="W75" s="524">
        <f t="shared" si="11"/>
        <v>0</v>
      </c>
      <c r="X75" s="520">
        <f t="shared" si="12"/>
        <v>0</v>
      </c>
      <c r="Y75" s="525">
        <f t="shared" si="13"/>
        <v>0</v>
      </c>
    </row>
    <row r="76" spans="3:38" x14ac:dyDescent="0.2">
      <c r="C76" s="387">
        <f t="shared" si="5"/>
        <v>41636</v>
      </c>
      <c r="D76" s="388">
        <f t="shared" si="6"/>
        <v>83276.66064516129</v>
      </c>
      <c r="E76" s="392">
        <f t="shared" si="7"/>
        <v>0</v>
      </c>
      <c r="F76" s="428">
        <f t="shared" si="0"/>
        <v>0.90615690000000004</v>
      </c>
      <c r="G76" s="390">
        <f t="shared" si="1"/>
        <v>0</v>
      </c>
      <c r="H76" s="391">
        <f t="shared" si="2"/>
        <v>83277.566802061294</v>
      </c>
      <c r="I76" s="324"/>
      <c r="J76" s="325"/>
      <c r="K76" s="325"/>
      <c r="L76" s="319"/>
      <c r="M76" s="320"/>
      <c r="N76" s="320"/>
      <c r="O76" s="320"/>
      <c r="P76" s="392">
        <f t="shared" si="8"/>
        <v>0</v>
      </c>
      <c r="Q76" s="392">
        <f t="shared" si="3"/>
        <v>0</v>
      </c>
      <c r="R76" s="392">
        <f t="shared" si="4"/>
        <v>0</v>
      </c>
      <c r="S76" s="373"/>
      <c r="T76" s="374"/>
      <c r="U76" s="524">
        <f t="shared" si="9"/>
        <v>0</v>
      </c>
      <c r="V76" s="520">
        <f t="shared" si="10"/>
        <v>0</v>
      </c>
      <c r="W76" s="524">
        <f t="shared" si="11"/>
        <v>0</v>
      </c>
      <c r="X76" s="520">
        <f t="shared" si="12"/>
        <v>0</v>
      </c>
      <c r="Y76" s="525">
        <f t="shared" si="13"/>
        <v>0</v>
      </c>
    </row>
    <row r="77" spans="3:38" x14ac:dyDescent="0.2">
      <c r="C77" s="387">
        <f t="shared" si="5"/>
        <v>41637</v>
      </c>
      <c r="D77" s="388">
        <f t="shared" si="6"/>
        <v>83276.66064516129</v>
      </c>
      <c r="E77" s="392">
        <f t="shared" si="7"/>
        <v>0</v>
      </c>
      <c r="F77" s="428">
        <f t="shared" si="0"/>
        <v>0.90615690000000004</v>
      </c>
      <c r="G77" s="390">
        <f t="shared" si="1"/>
        <v>0</v>
      </c>
      <c r="H77" s="391">
        <f t="shared" si="2"/>
        <v>83277.566802061294</v>
      </c>
      <c r="I77" s="324"/>
      <c r="J77" s="325"/>
      <c r="K77" s="325"/>
      <c r="L77" s="317"/>
      <c r="M77" s="318"/>
      <c r="N77" s="318"/>
      <c r="O77" s="318"/>
      <c r="P77" s="392">
        <f t="shared" si="8"/>
        <v>0</v>
      </c>
      <c r="Q77" s="392">
        <f t="shared" si="3"/>
        <v>0</v>
      </c>
      <c r="R77" s="392">
        <f t="shared" si="4"/>
        <v>0</v>
      </c>
      <c r="S77" s="373"/>
      <c r="T77" s="374"/>
      <c r="U77" s="524">
        <f t="shared" si="9"/>
        <v>0</v>
      </c>
      <c r="V77" s="520">
        <f t="shared" si="10"/>
        <v>0</v>
      </c>
      <c r="W77" s="524">
        <f t="shared" si="11"/>
        <v>0</v>
      </c>
      <c r="X77" s="520">
        <f t="shared" si="12"/>
        <v>0</v>
      </c>
      <c r="Y77" s="525">
        <f t="shared" si="13"/>
        <v>0</v>
      </c>
    </row>
    <row r="78" spans="3:38" x14ac:dyDescent="0.2">
      <c r="C78" s="387">
        <f t="shared" si="5"/>
        <v>41638</v>
      </c>
      <c r="D78" s="388">
        <f t="shared" si="6"/>
        <v>83276.66064516129</v>
      </c>
      <c r="E78" s="392">
        <f t="shared" si="7"/>
        <v>0</v>
      </c>
      <c r="F78" s="428">
        <f t="shared" si="0"/>
        <v>0.90615690000000004</v>
      </c>
      <c r="G78" s="390">
        <f t="shared" si="1"/>
        <v>0</v>
      </c>
      <c r="H78" s="391">
        <f t="shared" si="2"/>
        <v>83277.566802061294</v>
      </c>
      <c r="I78" s="324"/>
      <c r="J78" s="325"/>
      <c r="K78" s="325"/>
      <c r="L78" s="319"/>
      <c r="M78" s="320"/>
      <c r="N78" s="320"/>
      <c r="O78" s="320"/>
      <c r="P78" s="392">
        <f t="shared" si="8"/>
        <v>0</v>
      </c>
      <c r="Q78" s="392">
        <f t="shared" si="3"/>
        <v>0</v>
      </c>
      <c r="R78" s="392">
        <f t="shared" si="4"/>
        <v>0</v>
      </c>
      <c r="S78" s="373"/>
      <c r="T78" s="374"/>
      <c r="U78" s="524">
        <f t="shared" si="9"/>
        <v>0</v>
      </c>
      <c r="V78" s="520">
        <f t="shared" si="10"/>
        <v>0</v>
      </c>
      <c r="W78" s="524">
        <f t="shared" si="11"/>
        <v>0</v>
      </c>
      <c r="X78" s="520">
        <f t="shared" si="12"/>
        <v>0</v>
      </c>
      <c r="Y78" s="525">
        <f t="shared" si="13"/>
        <v>0</v>
      </c>
    </row>
    <row r="79" spans="3:38" ht="15" thickBot="1" x14ac:dyDescent="0.25">
      <c r="C79" s="393">
        <f t="shared" si="5"/>
        <v>41639</v>
      </c>
      <c r="D79" s="394">
        <f t="shared" si="6"/>
        <v>83276.66064516129</v>
      </c>
      <c r="E79" s="395">
        <f t="shared" si="7"/>
        <v>0</v>
      </c>
      <c r="F79" s="429">
        <f t="shared" si="0"/>
        <v>0.90615690000000004</v>
      </c>
      <c r="G79" s="396">
        <f t="shared" si="1"/>
        <v>0</v>
      </c>
      <c r="H79" s="397">
        <f t="shared" si="2"/>
        <v>83277.566802061294</v>
      </c>
      <c r="I79" s="326"/>
      <c r="J79" s="327"/>
      <c r="K79" s="327"/>
      <c r="L79" s="321"/>
      <c r="M79" s="322"/>
      <c r="N79" s="322"/>
      <c r="O79" s="322"/>
      <c r="P79" s="395">
        <f t="shared" si="8"/>
        <v>0</v>
      </c>
      <c r="Q79" s="395">
        <f t="shared" si="3"/>
        <v>0</v>
      </c>
      <c r="R79" s="395">
        <f t="shared" si="4"/>
        <v>0</v>
      </c>
      <c r="S79" s="375"/>
      <c r="T79" s="376"/>
      <c r="U79" s="521">
        <f t="shared" si="9"/>
        <v>0</v>
      </c>
      <c r="V79" s="528">
        <f t="shared" si="10"/>
        <v>0</v>
      </c>
      <c r="W79" s="521">
        <f t="shared" si="11"/>
        <v>0</v>
      </c>
      <c r="X79" s="528">
        <f t="shared" si="12"/>
        <v>0</v>
      </c>
      <c r="Y79" s="529">
        <f t="shared" si="13"/>
        <v>0</v>
      </c>
    </row>
    <row r="80" spans="3:38" ht="15" thickBot="1" x14ac:dyDescent="0.25">
      <c r="C80" s="398"/>
      <c r="D80" s="399">
        <f>SUM(D49:D79)</f>
        <v>2581576.48</v>
      </c>
      <c r="E80" s="400">
        <f>SUM(E49:E79)</f>
        <v>0</v>
      </c>
      <c r="F80" s="400"/>
      <c r="G80" s="401">
        <f>SUM(G49:G79)</f>
        <v>0</v>
      </c>
      <c r="H80" s="399">
        <f>SUM(H49:H79)</f>
        <v>2581604.5708639007</v>
      </c>
      <c r="I80" s="432">
        <f>SUM(I49:I79)</f>
        <v>0</v>
      </c>
      <c r="J80" s="432">
        <f t="shared" ref="J80:R80" si="14">SUM(J49:J79)</f>
        <v>0</v>
      </c>
      <c r="K80" s="432">
        <f t="shared" si="14"/>
        <v>0</v>
      </c>
      <c r="L80" s="432">
        <f t="shared" si="14"/>
        <v>0</v>
      </c>
      <c r="M80" s="432">
        <f t="shared" si="14"/>
        <v>0</v>
      </c>
      <c r="N80" s="432">
        <f t="shared" si="14"/>
        <v>0</v>
      </c>
      <c r="O80" s="432">
        <f t="shared" si="14"/>
        <v>0</v>
      </c>
      <c r="P80" s="432">
        <f t="shared" si="14"/>
        <v>0</v>
      </c>
      <c r="Q80" s="432">
        <f t="shared" si="14"/>
        <v>0</v>
      </c>
      <c r="R80" s="432">
        <f t="shared" si="14"/>
        <v>0</v>
      </c>
      <c r="U80" s="530"/>
      <c r="V80" s="328">
        <f>SUM(V49:V79)</f>
        <v>0</v>
      </c>
      <c r="W80" s="328">
        <f>SUM(W49:W79)</f>
        <v>0</v>
      </c>
      <c r="X80" s="328">
        <f>SUM(X49:X79)</f>
        <v>0</v>
      </c>
      <c r="Y80" s="323">
        <f>Y79</f>
        <v>0</v>
      </c>
      <c r="AL80" s="361">
        <f>Y79</f>
        <v>0</v>
      </c>
    </row>
    <row r="81" spans="2:14" ht="15" customHeight="1" x14ac:dyDescent="0.2">
      <c r="B81"/>
      <c r="C81"/>
      <c r="D81"/>
      <c r="E81"/>
      <c r="F81"/>
      <c r="G81"/>
      <c r="H81"/>
      <c r="I81"/>
      <c r="J81"/>
      <c r="K81"/>
      <c r="L81"/>
      <c r="N81" s="2"/>
    </row>
  </sheetData>
  <mergeCells count="12">
    <mergeCell ref="C10:D10"/>
    <mergeCell ref="C11:D11"/>
    <mergeCell ref="C3:M4"/>
    <mergeCell ref="C5:M5"/>
    <mergeCell ref="C6:M6"/>
    <mergeCell ref="G7:H7"/>
    <mergeCell ref="C9:D9"/>
    <mergeCell ref="D23:E23"/>
    <mergeCell ref="D24:E24"/>
    <mergeCell ref="C28:F28"/>
    <mergeCell ref="C39:F39"/>
    <mergeCell ref="S47:Y47"/>
  </mergeCells>
  <conditionalFormatting sqref="L49:O79">
    <cfRule type="cellIs" dxfId="165" priority="1" stopIfTrue="1" operator="equal">
      <formula>0</formula>
    </cfRule>
  </conditionalFormatting>
  <pageMargins left="0.7" right="0.7" top="0.75" bottom="0.75" header="0.3" footer="0.3"/>
  <pageSetup orientation="portrait" r:id="rId1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AL80"/>
  <sheetViews>
    <sheetView workbookViewId="0"/>
  </sheetViews>
  <sheetFormatPr baseColWidth="10" defaultColWidth="11" defaultRowHeight="14.25" x14ac:dyDescent="0.2"/>
  <cols>
    <col min="1" max="1" width="11" style="2"/>
    <col min="2" max="2" width="3.875" style="2" bestFit="1" customWidth="1"/>
    <col min="3" max="3" width="16.125" style="2" customWidth="1"/>
    <col min="4" max="4" width="12.375" style="2" bestFit="1" customWidth="1"/>
    <col min="5" max="5" width="10.875" style="2" bestFit="1" customWidth="1"/>
    <col min="6" max="6" width="17.125" style="2" bestFit="1" customWidth="1"/>
    <col min="7" max="7" width="13.125" style="2" bestFit="1" customWidth="1"/>
    <col min="8" max="8" width="11" style="2" customWidth="1"/>
    <col min="9" max="9" width="11.125" style="2" bestFit="1" customWidth="1"/>
    <col min="10" max="10" width="11.875" style="2" bestFit="1" customWidth="1"/>
    <col min="11" max="11" width="11.625" style="2" bestFit="1" customWidth="1"/>
    <col min="12" max="12" width="12.125" style="2" customWidth="1"/>
    <col min="13" max="13" width="10.5" style="2" bestFit="1" customWidth="1"/>
    <col min="14" max="14" width="9" style="1" customWidth="1"/>
    <col min="15" max="15" width="10.375" style="2" customWidth="1"/>
    <col min="16" max="25" width="11" style="2"/>
    <col min="26" max="31" width="10.875" customWidth="1"/>
    <col min="32" max="16384" width="11" style="2"/>
  </cols>
  <sheetData>
    <row r="2" spans="2:25" x14ac:dyDescent="0.2"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2:25" ht="15" customHeight="1" x14ac:dyDescent="0.2">
      <c r="B3" s="1"/>
      <c r="C3" s="2254" t="s">
        <v>0</v>
      </c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</row>
    <row r="4" spans="2:25" ht="15" customHeight="1" x14ac:dyDescent="0.2"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</row>
    <row r="5" spans="2:25" x14ac:dyDescent="0.2">
      <c r="B5" s="1"/>
      <c r="C5" s="2257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</row>
    <row r="6" spans="2:25" x14ac:dyDescent="0.2">
      <c r="B6" s="1"/>
      <c r="C6" s="2257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</row>
    <row r="7" spans="2:25" x14ac:dyDescent="0.2">
      <c r="B7" s="1"/>
      <c r="C7" s="516"/>
      <c r="D7" s="516"/>
      <c r="E7" s="516"/>
      <c r="F7" s="516"/>
      <c r="G7" s="2271">
        <v>41640</v>
      </c>
      <c r="H7" s="2257"/>
      <c r="I7" s="516"/>
      <c r="J7" s="516"/>
      <c r="K7" s="516"/>
      <c r="L7" s="516"/>
      <c r="M7" s="516"/>
      <c r="N7" s="18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2:25" x14ac:dyDescent="0.2">
      <c r="B8" s="1"/>
      <c r="C8" s="516"/>
      <c r="D8" s="516"/>
      <c r="E8" s="516"/>
      <c r="F8" s="516"/>
      <c r="G8" s="516"/>
      <c r="H8" s="516"/>
      <c r="I8" s="516"/>
      <c r="J8" s="516"/>
      <c r="K8" s="516"/>
      <c r="L8" s="516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2:25" ht="25.5" x14ac:dyDescent="0.2">
      <c r="B9" s="1"/>
      <c r="C9" s="2272" t="s">
        <v>6</v>
      </c>
      <c r="D9" s="2272"/>
      <c r="E9" s="517" t="s">
        <v>94</v>
      </c>
      <c r="F9" s="517" t="s">
        <v>126</v>
      </c>
      <c r="G9" s="410" t="s">
        <v>133</v>
      </c>
      <c r="H9" s="517" t="s">
        <v>127</v>
      </c>
      <c r="I9" s="517" t="s">
        <v>128</v>
      </c>
      <c r="J9" s="516"/>
      <c r="K9" s="516"/>
      <c r="L9" s="516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2:25" x14ac:dyDescent="0.2">
      <c r="B10" s="1"/>
      <c r="C10" s="2270" t="s">
        <v>131</v>
      </c>
      <c r="D10" s="2270"/>
      <c r="E10" s="433">
        <f>IF(C15=0,D15,C15)</f>
        <v>4627948.08</v>
      </c>
      <c r="F10" s="407">
        <f>E10*0.16</f>
        <v>740471.69280000008</v>
      </c>
      <c r="G10" s="407">
        <f>E10+F10</f>
        <v>5368419.7728000004</v>
      </c>
      <c r="H10" s="408"/>
      <c r="I10" s="411">
        <v>19</v>
      </c>
      <c r="J10" s="516"/>
      <c r="K10" s="516"/>
      <c r="L10" s="516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2:25" x14ac:dyDescent="0.2">
      <c r="B11" s="1"/>
      <c r="C11" s="2270" t="s">
        <v>132</v>
      </c>
      <c r="D11" s="2270"/>
      <c r="E11" s="433">
        <f>IF(C16=0,D16,C16)</f>
        <v>2047.42</v>
      </c>
      <c r="F11" s="407">
        <f>E11*0.16</f>
        <v>327.5872</v>
      </c>
      <c r="G11" s="407">
        <f>E11+F11</f>
        <v>2375.0072</v>
      </c>
      <c r="H11" s="408"/>
      <c r="I11" s="411">
        <v>19</v>
      </c>
      <c r="J11" s="516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2:25" x14ac:dyDescent="0.2">
      <c r="B12" s="1"/>
      <c r="C12" s="516"/>
      <c r="D12" s="516"/>
      <c r="E12" s="516"/>
      <c r="F12" s="516"/>
      <c r="G12" s="516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2:25" ht="15" thickBot="1" x14ac:dyDescent="0.25">
      <c r="B13" s="1"/>
      <c r="C13" s="516"/>
      <c r="D13" s="516"/>
      <c r="E13" s="516"/>
      <c r="F13" s="516"/>
      <c r="G13" s="516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2:25" x14ac:dyDescent="0.2">
      <c r="B14" s="1"/>
      <c r="C14" s="440" t="s">
        <v>155</v>
      </c>
      <c r="D14" s="441" t="s">
        <v>156</v>
      </c>
      <c r="E14" s="442" t="s">
        <v>112</v>
      </c>
      <c r="F14" s="516"/>
      <c r="G14" s="516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2:25" x14ac:dyDescent="0.2">
      <c r="B15" s="1"/>
      <c r="C15" s="443">
        <v>4627948.08</v>
      </c>
      <c r="D15" s="444">
        <f>D79</f>
        <v>4376086.9600000028</v>
      </c>
      <c r="E15" s="445">
        <f>C15-D15</f>
        <v>251861.11999999732</v>
      </c>
      <c r="F15" s="516"/>
      <c r="G15" s="516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2:25" ht="15" thickBot="1" x14ac:dyDescent="0.25">
      <c r="B16" s="1"/>
      <c r="C16" s="446">
        <v>2047.42</v>
      </c>
      <c r="D16" s="447">
        <f>ROUND(G79,2)</f>
        <v>2047.42</v>
      </c>
      <c r="E16" s="448">
        <f>C16-D16</f>
        <v>0</v>
      </c>
      <c r="F16" s="516"/>
      <c r="G16" s="516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2:25" x14ac:dyDescent="0.2">
      <c r="B17" s="1"/>
      <c r="C17" s="516"/>
      <c r="D17" s="516"/>
      <c r="E17" s="516"/>
      <c r="F17" s="516"/>
      <c r="G17" s="516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2:25" x14ac:dyDescent="0.2">
      <c r="B18" s="1"/>
      <c r="C18" s="516"/>
      <c r="D18" s="516"/>
      <c r="E18" s="516"/>
      <c r="F18" s="516"/>
      <c r="G18" s="516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2:25" x14ac:dyDescent="0.2">
      <c r="B19" s="1"/>
      <c r="C19" s="516"/>
      <c r="D19" s="516"/>
      <c r="E19" s="516"/>
      <c r="F19" s="516"/>
      <c r="G19" s="516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2:25" x14ac:dyDescent="0.2">
      <c r="B20" s="1"/>
      <c r="C20" s="516"/>
      <c r="D20" s="516"/>
      <c r="E20" s="516"/>
      <c r="F20" s="516"/>
      <c r="G20" s="516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2:25" x14ac:dyDescent="0.2">
      <c r="B21" s="1"/>
      <c r="C21" s="516"/>
      <c r="D21" s="516"/>
      <c r="E21" s="516"/>
      <c r="F21" s="516"/>
      <c r="G21" s="516"/>
      <c r="H21" s="1"/>
      <c r="I21" s="1"/>
      <c r="J21" s="1"/>
      <c r="K21" s="1"/>
      <c r="L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2:25" ht="15" thickBot="1" x14ac:dyDescent="0.25">
      <c r="B22" s="1"/>
      <c r="C22" s="419" t="s">
        <v>137</v>
      </c>
      <c r="D22" s="516" t="s">
        <v>138</v>
      </c>
      <c r="E22" s="516"/>
      <c r="F22" s="516" t="s">
        <v>139</v>
      </c>
      <c r="G22" s="516"/>
      <c r="H22" s="516" t="s">
        <v>143</v>
      </c>
      <c r="I22" s="516" t="s">
        <v>142</v>
      </c>
      <c r="J22" s="516" t="s">
        <v>141</v>
      </c>
      <c r="K22" s="516" t="s">
        <v>140</v>
      </c>
      <c r="L22" s="516" t="s">
        <v>144</v>
      </c>
      <c r="M22" s="516" t="s">
        <v>146</v>
      </c>
      <c r="N22" s="516"/>
      <c r="O22" s="516"/>
      <c r="P22" s="516"/>
      <c r="Q22" s="1"/>
      <c r="R22" s="1"/>
      <c r="S22" s="1"/>
      <c r="T22" s="1"/>
      <c r="U22" s="1"/>
      <c r="V22" s="1"/>
      <c r="W22" s="1"/>
      <c r="X22" s="1"/>
      <c r="Y22" s="1"/>
    </row>
    <row r="23" spans="2:25" ht="30.6" customHeight="1" x14ac:dyDescent="0.2">
      <c r="B23" s="1"/>
      <c r="C23" s="402" t="s">
        <v>134</v>
      </c>
      <c r="D23" s="2261" t="s">
        <v>135</v>
      </c>
      <c r="E23" s="2262"/>
      <c r="F23" s="518" t="s">
        <v>136</v>
      </c>
      <c r="G23" s="518" t="s">
        <v>153</v>
      </c>
      <c r="H23" s="420" t="s">
        <v>129</v>
      </c>
      <c r="I23" s="403" t="s">
        <v>130</v>
      </c>
      <c r="J23" s="422"/>
      <c r="K23" s="422"/>
      <c r="L23" s="422"/>
      <c r="M23" s="404" t="s">
        <v>124</v>
      </c>
      <c r="N23" s="516"/>
      <c r="O23" s="516"/>
      <c r="P23" s="516"/>
      <c r="Q23" s="516"/>
      <c r="R23" s="516"/>
      <c r="S23" s="516"/>
      <c r="T23" s="516"/>
      <c r="U23" s="1"/>
      <c r="V23" s="1"/>
      <c r="W23" s="1"/>
      <c r="X23" s="1"/>
      <c r="Y23" s="1"/>
    </row>
    <row r="24" spans="2:25" x14ac:dyDescent="0.2">
      <c r="B24" s="1"/>
      <c r="C24" s="405">
        <v>850</v>
      </c>
      <c r="D24" s="2263">
        <v>850</v>
      </c>
      <c r="E24" s="2264"/>
      <c r="F24" s="418">
        <v>31482640</v>
      </c>
      <c r="G24" s="418">
        <v>31</v>
      </c>
      <c r="H24" s="423">
        <f>VLOOKUP(C46,Tarifas!D4:H303,3)</f>
        <v>0.13900000000000001</v>
      </c>
      <c r="I24" s="424">
        <f>VLOOKUP(C46,Tarifas!D4:H303,5)</f>
        <v>1E-3</v>
      </c>
      <c r="J24" s="421">
        <v>183.8</v>
      </c>
      <c r="K24" s="421">
        <v>201.4</v>
      </c>
      <c r="L24" s="421"/>
      <c r="M24" s="431">
        <f>E79</f>
        <v>2243469.3189999997</v>
      </c>
      <c r="N24" s="430" t="s">
        <v>62</v>
      </c>
      <c r="O24" s="516"/>
      <c r="P24" s="516"/>
      <c r="Q24" s="516"/>
      <c r="R24" s="516"/>
      <c r="S24" s="516"/>
      <c r="T24" s="516"/>
      <c r="U24" s="1"/>
      <c r="V24" s="1"/>
      <c r="W24" s="1"/>
      <c r="X24" s="1"/>
      <c r="Y24" s="1"/>
    </row>
    <row r="25" spans="2:25" x14ac:dyDescent="0.2">
      <c r="B25" s="1"/>
      <c r="C25" s="516"/>
      <c r="D25" s="516"/>
      <c r="E25" s="516"/>
      <c r="F25" s="516"/>
      <c r="G25" s="516"/>
      <c r="H25" s="516"/>
      <c r="I25" s="516"/>
      <c r="J25" s="516"/>
      <c r="K25" s="516"/>
      <c r="L25" s="516"/>
      <c r="M25" s="516"/>
      <c r="N25" s="516"/>
      <c r="O25" s="516"/>
      <c r="P25" s="516"/>
      <c r="Q25" s="516"/>
      <c r="R25" s="516"/>
      <c r="S25" s="1"/>
      <c r="T25" s="1"/>
      <c r="U25" s="1"/>
      <c r="V25" s="1"/>
      <c r="W25" s="1"/>
      <c r="X25" s="1"/>
      <c r="Y25" s="1"/>
    </row>
    <row r="26" spans="2:25" x14ac:dyDescent="0.2">
      <c r="B26" s="1"/>
      <c r="C26" s="516"/>
      <c r="D26" s="516"/>
      <c r="E26" s="516"/>
      <c r="F26" s="516"/>
      <c r="G26" s="516"/>
      <c r="H26" s="516"/>
      <c r="I26" s="516"/>
      <c r="J26" s="516"/>
      <c r="K26" s="516"/>
      <c r="L26" s="516"/>
      <c r="M26" s="516"/>
      <c r="N26" s="516"/>
      <c r="O26" s="516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2:25" x14ac:dyDescent="0.2">
      <c r="B27" s="1"/>
      <c r="C27" s="516"/>
      <c r="D27" s="516"/>
      <c r="E27" s="516"/>
      <c r="F27" s="516"/>
      <c r="G27" s="516"/>
      <c r="H27" s="516"/>
      <c r="I27" s="516"/>
      <c r="J27" s="516"/>
      <c r="K27" s="516"/>
      <c r="L27" s="516"/>
      <c r="M27" s="516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2:25" ht="15" thickBot="1" x14ac:dyDescent="0.25">
      <c r="B28" s="1"/>
      <c r="C28" s="2266" t="s">
        <v>86</v>
      </c>
      <c r="D28" s="2266"/>
      <c r="E28" s="2266"/>
      <c r="F28" s="2266"/>
      <c r="G28" s="334"/>
      <c r="H28" s="334"/>
      <c r="I28" s="334"/>
      <c r="J28" s="519"/>
      <c r="K28" s="336"/>
      <c r="L28" s="336"/>
      <c r="M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2:25" ht="22.5" x14ac:dyDescent="0.2">
      <c r="B29" s="1"/>
      <c r="C29" s="337" t="s">
        <v>87</v>
      </c>
      <c r="D29" s="514" t="s">
        <v>88</v>
      </c>
      <c r="E29" s="514" t="s">
        <v>89</v>
      </c>
      <c r="F29" s="514" t="s">
        <v>20</v>
      </c>
      <c r="G29" s="514" t="s">
        <v>90</v>
      </c>
      <c r="H29" s="514" t="s">
        <v>91</v>
      </c>
      <c r="I29" s="514" t="s">
        <v>92</v>
      </c>
      <c r="J29" s="514" t="s">
        <v>93</v>
      </c>
      <c r="K29" s="514" t="s">
        <v>94</v>
      </c>
      <c r="L29" s="515" t="s">
        <v>95</v>
      </c>
      <c r="M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2:25" x14ac:dyDescent="0.2">
      <c r="B30" s="1"/>
      <c r="C30" s="338"/>
      <c r="D30" s="339">
        <v>1</v>
      </c>
      <c r="E30" s="339" t="s">
        <v>96</v>
      </c>
      <c r="F30" s="340" t="s">
        <v>97</v>
      </c>
      <c r="G30" s="339">
        <v>20823</v>
      </c>
      <c r="H30" s="341"/>
      <c r="I30" s="339">
        <v>138.15</v>
      </c>
      <c r="J30" s="342">
        <f>H30/H$34</f>
        <v>0</v>
      </c>
      <c r="K30" s="343">
        <f>ROUND(J30*E$10,2)</f>
        <v>0</v>
      </c>
      <c r="L30" s="344">
        <f>K30*I$10</f>
        <v>0</v>
      </c>
      <c r="M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2:25" x14ac:dyDescent="0.2">
      <c r="B31" s="1"/>
      <c r="C31" s="338"/>
      <c r="D31" s="339">
        <v>2</v>
      </c>
      <c r="E31" s="339" t="s">
        <v>98</v>
      </c>
      <c r="F31" s="340" t="s">
        <v>97</v>
      </c>
      <c r="G31" s="339">
        <v>20824</v>
      </c>
      <c r="H31" s="341"/>
      <c r="I31" s="339">
        <v>138.15</v>
      </c>
      <c r="J31" s="342">
        <f>H31/H$34</f>
        <v>0</v>
      </c>
      <c r="K31" s="343">
        <f>ROUND(J31*E$10,2)</f>
        <v>0</v>
      </c>
      <c r="L31" s="344">
        <f>K31*I$10</f>
        <v>0</v>
      </c>
      <c r="M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2:25" x14ac:dyDescent="0.2">
      <c r="B32" s="1"/>
      <c r="C32" s="338"/>
      <c r="D32" s="339">
        <v>1</v>
      </c>
      <c r="E32" s="339" t="s">
        <v>99</v>
      </c>
      <c r="F32" s="340" t="s">
        <v>100</v>
      </c>
      <c r="G32" s="339">
        <v>22228</v>
      </c>
      <c r="H32" s="341">
        <v>32000</v>
      </c>
      <c r="I32" s="339">
        <v>130.80000000000001</v>
      </c>
      <c r="J32" s="342">
        <f>H32/H$34</f>
        <v>0.2857142857142857</v>
      </c>
      <c r="K32" s="343">
        <f>ROUND(J32*E$10,2)</f>
        <v>1322270.8799999999</v>
      </c>
      <c r="L32" s="344">
        <f>K32*I$10</f>
        <v>25123146.719999999</v>
      </c>
      <c r="M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ht="15" thickBot="1" x14ac:dyDescent="0.25">
      <c r="B33" s="1"/>
      <c r="C33" s="345"/>
      <c r="D33" s="346">
        <v>1</v>
      </c>
      <c r="E33" s="347" t="s">
        <v>101</v>
      </c>
      <c r="F33" s="348" t="s">
        <v>23</v>
      </c>
      <c r="G33" s="347"/>
      <c r="H33" s="349">
        <v>80000</v>
      </c>
      <c r="I33" s="346"/>
      <c r="J33" s="350">
        <f>H33/H$34</f>
        <v>0.7142857142857143</v>
      </c>
      <c r="K33" s="351">
        <f>ROUND(J33*E$10,2)</f>
        <v>3305677.2</v>
      </c>
      <c r="L33" s="352">
        <f>K33*I$10</f>
        <v>62807866.800000004</v>
      </c>
      <c r="M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x14ac:dyDescent="0.2">
      <c r="B34" s="1"/>
      <c r="C34" s="406">
        <v>3000623</v>
      </c>
      <c r="D34" s="353" t="s">
        <v>102</v>
      </c>
      <c r="E34" s="353"/>
      <c r="F34" s="353"/>
      <c r="G34" s="354"/>
      <c r="H34" s="355">
        <f>SUM(H30:H33)</f>
        <v>112000</v>
      </c>
      <c r="I34" s="353"/>
      <c r="J34" s="356">
        <f>SUM(J30:J33)</f>
        <v>1</v>
      </c>
      <c r="K34" s="357">
        <f>SUM(K30:K33)</f>
        <v>4627948.08</v>
      </c>
      <c r="L34" s="357">
        <f>SUM(L30:L33)</f>
        <v>87931013.520000011</v>
      </c>
      <c r="M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x14ac:dyDescent="0.2">
      <c r="B35" s="1"/>
      <c r="C35" s="336"/>
      <c r="D35" s="336"/>
      <c r="E35" s="336"/>
      <c r="F35" s="358"/>
      <c r="G35" s="358"/>
      <c r="H35" s="336"/>
      <c r="I35" s="336"/>
      <c r="J35" s="336"/>
      <c r="K35" s="336"/>
      <c r="L35" s="359"/>
      <c r="M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x14ac:dyDescent="0.2">
      <c r="B36" s="1"/>
      <c r="C36" s="336"/>
      <c r="D36" s="336"/>
      <c r="E36" s="336"/>
      <c r="F36" s="358"/>
      <c r="G36" s="358"/>
      <c r="H36" s="336"/>
      <c r="I36" s="336"/>
      <c r="J36" s="336"/>
      <c r="K36" s="336"/>
      <c r="L36" s="359"/>
      <c r="M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x14ac:dyDescent="0.2">
      <c r="B37" s="1"/>
      <c r="C37" s="336"/>
      <c r="D37" s="336"/>
      <c r="E37" s="336"/>
      <c r="F37" s="358"/>
      <c r="G37" s="358"/>
      <c r="H37" s="336"/>
      <c r="I37" s="336"/>
      <c r="J37" s="336"/>
      <c r="K37" s="336"/>
      <c r="L37" s="359"/>
      <c r="M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ht="15" thickBot="1" x14ac:dyDescent="0.25">
      <c r="B38" s="1"/>
      <c r="C38" s="2266" t="s">
        <v>103</v>
      </c>
      <c r="D38" s="2266"/>
      <c r="E38" s="2266"/>
      <c r="F38" s="2266"/>
      <c r="G38" s="334"/>
      <c r="H38" s="334"/>
      <c r="I38" s="334"/>
      <c r="J38" s="336"/>
      <c r="K38" s="336"/>
      <c r="L38" s="360"/>
      <c r="M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ht="22.5" x14ac:dyDescent="0.2">
      <c r="B39" s="1"/>
      <c r="C39" s="337" t="s">
        <v>87</v>
      </c>
      <c r="D39" s="514" t="s">
        <v>88</v>
      </c>
      <c r="E39" s="514" t="s">
        <v>89</v>
      </c>
      <c r="F39" s="514" t="s">
        <v>20</v>
      </c>
      <c r="G39" s="514" t="s">
        <v>90</v>
      </c>
      <c r="H39" s="514" t="s">
        <v>104</v>
      </c>
      <c r="I39" s="514" t="s">
        <v>93</v>
      </c>
      <c r="J39" s="514" t="s">
        <v>92</v>
      </c>
      <c r="K39" s="514" t="s">
        <v>94</v>
      </c>
      <c r="L39" s="515" t="s">
        <v>95</v>
      </c>
      <c r="M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x14ac:dyDescent="0.2">
      <c r="B40" s="1"/>
      <c r="C40" s="338"/>
      <c r="D40" s="339">
        <v>1</v>
      </c>
      <c r="E40" s="339" t="s">
        <v>96</v>
      </c>
      <c r="F40" s="340" t="s">
        <v>97</v>
      </c>
      <c r="G40" s="339">
        <v>20823</v>
      </c>
      <c r="H40" s="341">
        <f>M79</f>
        <v>0</v>
      </c>
      <c r="I40" s="342">
        <f>H40/H$44</f>
        <v>0</v>
      </c>
      <c r="J40" s="339">
        <v>138.15</v>
      </c>
      <c r="K40" s="343">
        <f>ROUND(I40*$E$11,2)</f>
        <v>0</v>
      </c>
      <c r="L40" s="344">
        <f>K40*L24</f>
        <v>0</v>
      </c>
      <c r="M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x14ac:dyDescent="0.2">
      <c r="B41" s="1"/>
      <c r="C41" s="338"/>
      <c r="D41" s="339">
        <v>2</v>
      </c>
      <c r="E41" s="339" t="s">
        <v>98</v>
      </c>
      <c r="F41" s="340" t="s">
        <v>97</v>
      </c>
      <c r="G41" s="339">
        <v>20824</v>
      </c>
      <c r="H41" s="341">
        <f>N79</f>
        <v>0</v>
      </c>
      <c r="I41" s="342">
        <f>H41/H$44</f>
        <v>0</v>
      </c>
      <c r="J41" s="339">
        <v>138.15</v>
      </c>
      <c r="K41" s="343">
        <f>ROUND(I41*$E$11,2)</f>
        <v>0</v>
      </c>
      <c r="L41" s="344">
        <f>K41*L25</f>
        <v>0</v>
      </c>
      <c r="M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x14ac:dyDescent="0.2">
      <c r="B42" s="1"/>
      <c r="C42" s="338"/>
      <c r="D42" s="339">
        <v>1</v>
      </c>
      <c r="E42" s="339" t="s">
        <v>99</v>
      </c>
      <c r="F42" s="340" t="s">
        <v>100</v>
      </c>
      <c r="G42" s="339">
        <v>22228</v>
      </c>
      <c r="H42" s="341">
        <f>O79</f>
        <v>0</v>
      </c>
      <c r="I42" s="342">
        <f>H42/H$44</f>
        <v>0</v>
      </c>
      <c r="J42" s="339">
        <v>130.80000000000001</v>
      </c>
      <c r="K42" s="343">
        <f>ROUND(I42*$E$11,2)</f>
        <v>0</v>
      </c>
      <c r="L42" s="344">
        <f>K42*L26</f>
        <v>0</v>
      </c>
      <c r="M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ht="15" thickBot="1" x14ac:dyDescent="0.25">
      <c r="B43" s="1"/>
      <c r="C43" s="345"/>
      <c r="D43" s="346">
        <v>1</v>
      </c>
      <c r="E43" s="347" t="s">
        <v>101</v>
      </c>
      <c r="F43" s="348" t="s">
        <v>23</v>
      </c>
      <c r="G43" s="347"/>
      <c r="H43" s="349">
        <f>L79</f>
        <v>2243469.3189999997</v>
      </c>
      <c r="I43" s="350">
        <f>H43/H$44</f>
        <v>1</v>
      </c>
      <c r="J43" s="346">
        <v>138.15</v>
      </c>
      <c r="K43" s="351">
        <f>ROUND(I43*$E$11,2)</f>
        <v>2047.42</v>
      </c>
      <c r="L43" s="352">
        <f>K43*L24</f>
        <v>0</v>
      </c>
      <c r="M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x14ac:dyDescent="0.2">
      <c r="B44" s="1"/>
      <c r="C44" s="353"/>
      <c r="D44" s="353"/>
      <c r="E44" s="353"/>
      <c r="F44" s="353"/>
      <c r="G44" s="354"/>
      <c r="H44" s="449">
        <f>SUM(H40:H43)</f>
        <v>2243469.3189999997</v>
      </c>
      <c r="I44" s="355"/>
      <c r="J44" s="353"/>
      <c r="K44" s="357">
        <f>SUM(K40:K43)</f>
        <v>2047.42</v>
      </c>
      <c r="L44" s="357">
        <f>SUM(L40:L43)</f>
        <v>0</v>
      </c>
      <c r="M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customFormat="1" ht="15" thickBot="1" x14ac:dyDescent="0.25">
      <c r="M45" s="450"/>
      <c r="N45" s="450"/>
      <c r="O45" s="450"/>
      <c r="P45" s="450"/>
      <c r="Q45" s="450"/>
      <c r="R45" s="450"/>
      <c r="S45" s="450"/>
      <c r="T45" s="450"/>
      <c r="U45" s="450"/>
      <c r="V45" s="450"/>
      <c r="W45" s="450"/>
      <c r="X45" s="450"/>
      <c r="Y45" s="450"/>
    </row>
    <row r="46" spans="1:25" ht="15" thickBot="1" x14ac:dyDescent="0.25">
      <c r="B46" s="434" t="s">
        <v>3</v>
      </c>
      <c r="C46" s="333">
        <f>SUMIF(Tarifas!E4:E303,'Enero - 2014'!C48,Tarifas!D4:D303)</f>
        <v>6</v>
      </c>
      <c r="D46" s="425" t="s">
        <v>147</v>
      </c>
      <c r="E46" s="426" t="s">
        <v>145</v>
      </c>
      <c r="F46" s="426" t="s">
        <v>150</v>
      </c>
      <c r="G46" s="426" t="s">
        <v>148</v>
      </c>
      <c r="H46" s="382"/>
      <c r="I46" s="331" t="s">
        <v>120</v>
      </c>
      <c r="J46" s="332"/>
      <c r="K46" s="332"/>
      <c r="L46" s="364" t="s">
        <v>105</v>
      </c>
      <c r="M46" s="365"/>
      <c r="N46" s="365"/>
      <c r="O46" s="365"/>
      <c r="P46" s="365"/>
      <c r="Q46" s="365"/>
      <c r="R46" s="366"/>
      <c r="S46" s="2267" t="s">
        <v>121</v>
      </c>
      <c r="T46" s="2268"/>
      <c r="U46" s="2268"/>
      <c r="V46" s="2268"/>
      <c r="W46" s="2268"/>
      <c r="X46" s="2268"/>
      <c r="Y46" s="2269"/>
    </row>
    <row r="47" spans="1:25" ht="33.75" x14ac:dyDescent="0.2">
      <c r="A47" s="2" t="s">
        <v>29</v>
      </c>
      <c r="B47" s="2" t="s">
        <v>154</v>
      </c>
      <c r="C47" s="383" t="s">
        <v>122</v>
      </c>
      <c r="D47" s="384" t="s">
        <v>125</v>
      </c>
      <c r="E47" s="385" t="s">
        <v>149</v>
      </c>
      <c r="F47" s="385" t="s">
        <v>151</v>
      </c>
      <c r="G47" s="385" t="s">
        <v>152</v>
      </c>
      <c r="H47" s="386" t="s">
        <v>123</v>
      </c>
      <c r="I47" s="329" t="s">
        <v>109</v>
      </c>
      <c r="J47" s="330" t="s">
        <v>25</v>
      </c>
      <c r="K47" s="330" t="s">
        <v>26</v>
      </c>
      <c r="L47" s="367" t="s">
        <v>115</v>
      </c>
      <c r="M47" s="362" t="s">
        <v>106</v>
      </c>
      <c r="N47" s="362" t="s">
        <v>107</v>
      </c>
      <c r="O47" s="362" t="s">
        <v>108</v>
      </c>
      <c r="P47" s="362" t="s">
        <v>115</v>
      </c>
      <c r="Q47" s="363" t="s">
        <v>116</v>
      </c>
      <c r="R47" s="368" t="s">
        <v>117</v>
      </c>
      <c r="S47" s="369" t="s">
        <v>110</v>
      </c>
      <c r="T47" s="370" t="s">
        <v>111</v>
      </c>
      <c r="U47" s="370" t="s">
        <v>112</v>
      </c>
      <c r="V47" s="371" t="s">
        <v>118</v>
      </c>
      <c r="W47" s="371" t="s">
        <v>119</v>
      </c>
      <c r="X47" s="371" t="s">
        <v>114</v>
      </c>
      <c r="Y47" s="372" t="s">
        <v>113</v>
      </c>
    </row>
    <row r="48" spans="1:25" x14ac:dyDescent="0.2">
      <c r="A48" s="2">
        <f>MONTH(C48)</f>
        <v>1</v>
      </c>
      <c r="B48" s="2">
        <f>YEAR(C48)</f>
        <v>2014</v>
      </c>
      <c r="C48" s="387">
        <f>G7</f>
        <v>41640</v>
      </c>
      <c r="D48" s="388">
        <f>($F$24*$H$24)/$G$24</f>
        <v>141164.09548387097</v>
      </c>
      <c r="E48" s="389">
        <f>P48+Q48+R48</f>
        <v>58724.406000000003</v>
      </c>
      <c r="F48" s="427">
        <f t="shared" ref="F48:F78" si="0">TRUNC(IFERROR(J$24/K$24,0),8)</f>
        <v>0.91261170999999996</v>
      </c>
      <c r="G48" s="390">
        <f t="shared" ref="G48:G78" si="1">ROUND(I$24*F48*E48,4)</f>
        <v>53.592599999999997</v>
      </c>
      <c r="H48" s="391">
        <f t="shared" ref="H48:H78" si="2">SUM(D48:G48)</f>
        <v>199943.00669558096</v>
      </c>
      <c r="I48" s="324">
        <v>64993</v>
      </c>
      <c r="J48" s="325"/>
      <c r="K48" s="325"/>
      <c r="L48" s="317">
        <v>58724.406000000003</v>
      </c>
      <c r="M48" s="318"/>
      <c r="N48" s="318"/>
      <c r="O48" s="318"/>
      <c r="P48" s="389">
        <f>L48</f>
        <v>58724.406000000003</v>
      </c>
      <c r="Q48" s="389">
        <f t="shared" ref="Q48:Q78" si="3">M48+N48</f>
        <v>0</v>
      </c>
      <c r="R48" s="389">
        <f t="shared" ref="R48:R78" si="4">O48</f>
        <v>0</v>
      </c>
      <c r="S48" s="522"/>
      <c r="T48" s="523"/>
      <c r="U48" s="524">
        <f>S48+T48-V48</f>
        <v>-64993</v>
      </c>
      <c r="V48" s="520">
        <f>I48+J48+K48</f>
        <v>64993</v>
      </c>
      <c r="W48" s="520">
        <f>(P48+Q48+R48)*1.055056</f>
        <v>61957.536896736005</v>
      </c>
      <c r="X48" s="520">
        <f>V48-W48</f>
        <v>3035.4631032639954</v>
      </c>
      <c r="Y48" s="525">
        <f>AL45+X48</f>
        <v>3035.4631032639954</v>
      </c>
    </row>
    <row r="49" spans="3:25" x14ac:dyDescent="0.2">
      <c r="C49" s="387">
        <f t="shared" ref="C49:C78" si="5">C48+1</f>
        <v>41641</v>
      </c>
      <c r="D49" s="388">
        <f t="shared" ref="D49:D78" si="6">($F$24*$H$24)/$G$24</f>
        <v>141164.09548387097</v>
      </c>
      <c r="E49" s="392">
        <f t="shared" ref="E49:E78" si="7">P49+Q49+R49</f>
        <v>70412.850000000006</v>
      </c>
      <c r="F49" s="428">
        <f t="shared" si="0"/>
        <v>0.91261170999999996</v>
      </c>
      <c r="G49" s="390">
        <f t="shared" si="1"/>
        <v>64.259600000000006</v>
      </c>
      <c r="H49" s="391">
        <f t="shared" si="2"/>
        <v>211642.11769558096</v>
      </c>
      <c r="I49" s="324">
        <v>64993</v>
      </c>
      <c r="J49" s="325"/>
      <c r="K49" s="325"/>
      <c r="L49" s="319">
        <v>70412.850000000006</v>
      </c>
      <c r="M49" s="320"/>
      <c r="N49" s="320"/>
      <c r="O49" s="320"/>
      <c r="P49" s="392">
        <f t="shared" ref="P49:P78" si="8">L49</f>
        <v>70412.850000000006</v>
      </c>
      <c r="Q49" s="392">
        <f t="shared" si="3"/>
        <v>0</v>
      </c>
      <c r="R49" s="392">
        <f t="shared" si="4"/>
        <v>0</v>
      </c>
      <c r="S49" s="522"/>
      <c r="T49" s="523"/>
      <c r="U49" s="524">
        <f t="shared" ref="U49:U78" si="9">S49+T49-V49</f>
        <v>-64993</v>
      </c>
      <c r="V49" s="520">
        <f t="shared" ref="V49:V78" si="10">I49+J49+K49</f>
        <v>64993</v>
      </c>
      <c r="W49" s="520">
        <f t="shared" ref="W49:W78" si="11">(P49+Q49+R49)*1.055056</f>
        <v>74289.499869600011</v>
      </c>
      <c r="X49" s="520">
        <f t="shared" ref="X49:X78" si="12">V49-W49</f>
        <v>-9296.4998696000112</v>
      </c>
      <c r="Y49" s="525">
        <f>Y48+X49</f>
        <v>-6261.0367663360157</v>
      </c>
    </row>
    <row r="50" spans="3:25" x14ac:dyDescent="0.2">
      <c r="C50" s="387">
        <f t="shared" si="5"/>
        <v>41642</v>
      </c>
      <c r="D50" s="388">
        <f t="shared" si="6"/>
        <v>141164.09548387097</v>
      </c>
      <c r="E50" s="392">
        <f t="shared" si="7"/>
        <v>70756.3</v>
      </c>
      <c r="F50" s="428">
        <f t="shared" si="0"/>
        <v>0.91261170999999996</v>
      </c>
      <c r="G50" s="390">
        <f t="shared" si="1"/>
        <v>64.572999999999993</v>
      </c>
      <c r="H50" s="391">
        <f t="shared" si="2"/>
        <v>211985.88109558099</v>
      </c>
      <c r="I50" s="324">
        <v>64993</v>
      </c>
      <c r="J50" s="325"/>
      <c r="K50" s="325"/>
      <c r="L50" s="317">
        <v>70756.3</v>
      </c>
      <c r="M50" s="318"/>
      <c r="N50" s="318"/>
      <c r="O50" s="318"/>
      <c r="P50" s="392">
        <f t="shared" si="8"/>
        <v>70756.3</v>
      </c>
      <c r="Q50" s="392">
        <f t="shared" si="3"/>
        <v>0</v>
      </c>
      <c r="R50" s="392">
        <f t="shared" si="4"/>
        <v>0</v>
      </c>
      <c r="S50" s="522"/>
      <c r="T50" s="523"/>
      <c r="U50" s="524">
        <f t="shared" si="9"/>
        <v>-64993</v>
      </c>
      <c r="V50" s="520">
        <f t="shared" si="10"/>
        <v>64993</v>
      </c>
      <c r="W50" s="520">
        <f t="shared" si="11"/>
        <v>74651.858852799996</v>
      </c>
      <c r="X50" s="520">
        <f t="shared" si="12"/>
        <v>-9658.8588527999964</v>
      </c>
      <c r="Y50" s="525">
        <f t="shared" ref="Y50:Y78" si="13">Y49+X50</f>
        <v>-15919.895619136012</v>
      </c>
    </row>
    <row r="51" spans="3:25" x14ac:dyDescent="0.2">
      <c r="C51" s="387">
        <f t="shared" si="5"/>
        <v>41643</v>
      </c>
      <c r="D51" s="388">
        <f t="shared" si="6"/>
        <v>141164.09548387097</v>
      </c>
      <c r="E51" s="392">
        <f t="shared" si="7"/>
        <v>68233.089000000007</v>
      </c>
      <c r="F51" s="428">
        <f t="shared" si="0"/>
        <v>0.91261170999999996</v>
      </c>
      <c r="G51" s="390">
        <f t="shared" si="1"/>
        <v>62.270299999999999</v>
      </c>
      <c r="H51" s="391">
        <f t="shared" si="2"/>
        <v>209460.36739558098</v>
      </c>
      <c r="I51" s="324">
        <v>64993</v>
      </c>
      <c r="J51" s="325"/>
      <c r="K51" s="325"/>
      <c r="L51" s="319">
        <v>68233.089000000007</v>
      </c>
      <c r="M51" s="320"/>
      <c r="N51" s="320"/>
      <c r="O51" s="320"/>
      <c r="P51" s="392">
        <f t="shared" si="8"/>
        <v>68233.089000000007</v>
      </c>
      <c r="Q51" s="392">
        <f t="shared" si="3"/>
        <v>0</v>
      </c>
      <c r="R51" s="392">
        <f t="shared" si="4"/>
        <v>0</v>
      </c>
      <c r="S51" s="522"/>
      <c r="T51" s="523"/>
      <c r="U51" s="524">
        <f t="shared" si="9"/>
        <v>-64993</v>
      </c>
      <c r="V51" s="520">
        <f t="shared" si="10"/>
        <v>64993</v>
      </c>
      <c r="W51" s="520">
        <f t="shared" si="11"/>
        <v>71989.729947984</v>
      </c>
      <c r="X51" s="520">
        <f t="shared" si="12"/>
        <v>-6996.7299479840003</v>
      </c>
      <c r="Y51" s="525">
        <f t="shared" si="13"/>
        <v>-22916.625567120012</v>
      </c>
    </row>
    <row r="52" spans="3:25" x14ac:dyDescent="0.2">
      <c r="C52" s="387">
        <f t="shared" si="5"/>
        <v>41644</v>
      </c>
      <c r="D52" s="388">
        <f t="shared" si="6"/>
        <v>141164.09548387097</v>
      </c>
      <c r="E52" s="392">
        <f t="shared" si="7"/>
        <v>71497.119999999995</v>
      </c>
      <c r="F52" s="428">
        <f t="shared" si="0"/>
        <v>0.91261170999999996</v>
      </c>
      <c r="G52" s="390">
        <f t="shared" si="1"/>
        <v>65.249099999999999</v>
      </c>
      <c r="H52" s="391">
        <f t="shared" si="2"/>
        <v>212727.37719558095</v>
      </c>
      <c r="I52" s="324">
        <v>69984</v>
      </c>
      <c r="J52" s="325"/>
      <c r="K52" s="325"/>
      <c r="L52" s="317">
        <v>71497.119999999995</v>
      </c>
      <c r="M52" s="318"/>
      <c r="N52" s="318"/>
      <c r="O52" s="318"/>
      <c r="P52" s="392">
        <f t="shared" si="8"/>
        <v>71497.119999999995</v>
      </c>
      <c r="Q52" s="392">
        <f t="shared" si="3"/>
        <v>0</v>
      </c>
      <c r="R52" s="392">
        <f t="shared" si="4"/>
        <v>0</v>
      </c>
      <c r="S52" s="522"/>
      <c r="T52" s="523"/>
      <c r="U52" s="524">
        <f t="shared" si="9"/>
        <v>-69984</v>
      </c>
      <c r="V52" s="520">
        <f t="shared" si="10"/>
        <v>69984</v>
      </c>
      <c r="W52" s="520">
        <f t="shared" si="11"/>
        <v>75433.465438719999</v>
      </c>
      <c r="X52" s="520">
        <f t="shared" si="12"/>
        <v>-5449.4654387199989</v>
      </c>
      <c r="Y52" s="525">
        <f t="shared" si="13"/>
        <v>-28366.091005840011</v>
      </c>
    </row>
    <row r="53" spans="3:25" x14ac:dyDescent="0.2">
      <c r="C53" s="387">
        <f t="shared" si="5"/>
        <v>41645</v>
      </c>
      <c r="D53" s="388">
        <f t="shared" si="6"/>
        <v>141164.09548387097</v>
      </c>
      <c r="E53" s="392">
        <f t="shared" si="7"/>
        <v>74684.679999999993</v>
      </c>
      <c r="F53" s="428">
        <f t="shared" si="0"/>
        <v>0.91261170999999996</v>
      </c>
      <c r="G53" s="390">
        <f t="shared" si="1"/>
        <v>68.158100000000005</v>
      </c>
      <c r="H53" s="391">
        <f t="shared" si="2"/>
        <v>215917.84619558096</v>
      </c>
      <c r="I53" s="324">
        <v>70000</v>
      </c>
      <c r="J53" s="325"/>
      <c r="K53" s="325"/>
      <c r="L53" s="319">
        <v>74684.679999999993</v>
      </c>
      <c r="M53" s="320"/>
      <c r="N53" s="320"/>
      <c r="O53" s="320"/>
      <c r="P53" s="392">
        <f t="shared" si="8"/>
        <v>74684.679999999993</v>
      </c>
      <c r="Q53" s="392">
        <f t="shared" si="3"/>
        <v>0</v>
      </c>
      <c r="R53" s="392">
        <f t="shared" si="4"/>
        <v>0</v>
      </c>
      <c r="S53" s="522"/>
      <c r="T53" s="523"/>
      <c r="U53" s="524">
        <f t="shared" si="9"/>
        <v>-70000</v>
      </c>
      <c r="V53" s="520">
        <f t="shared" si="10"/>
        <v>70000</v>
      </c>
      <c r="W53" s="520">
        <f t="shared" si="11"/>
        <v>78796.519742079996</v>
      </c>
      <c r="X53" s="520">
        <f t="shared" si="12"/>
        <v>-8796.5197420799959</v>
      </c>
      <c r="Y53" s="525">
        <f t="shared" si="13"/>
        <v>-37162.610747920007</v>
      </c>
    </row>
    <row r="54" spans="3:25" x14ac:dyDescent="0.2">
      <c r="C54" s="387">
        <f t="shared" si="5"/>
        <v>41646</v>
      </c>
      <c r="D54" s="388">
        <f t="shared" si="6"/>
        <v>141164.09548387097</v>
      </c>
      <c r="E54" s="392">
        <f t="shared" si="7"/>
        <v>76708.039999999994</v>
      </c>
      <c r="F54" s="428">
        <f t="shared" si="0"/>
        <v>0.91261170999999996</v>
      </c>
      <c r="G54" s="390">
        <f t="shared" si="1"/>
        <v>70.0047</v>
      </c>
      <c r="H54" s="391">
        <f t="shared" si="2"/>
        <v>217943.05279558097</v>
      </c>
      <c r="I54" s="324">
        <v>70000</v>
      </c>
      <c r="J54" s="325"/>
      <c r="K54" s="325"/>
      <c r="L54" s="317">
        <v>76708.039999999994</v>
      </c>
      <c r="M54" s="318"/>
      <c r="N54" s="318"/>
      <c r="O54" s="318"/>
      <c r="P54" s="392">
        <f t="shared" si="8"/>
        <v>76708.039999999994</v>
      </c>
      <c r="Q54" s="392">
        <f t="shared" si="3"/>
        <v>0</v>
      </c>
      <c r="R54" s="392">
        <f t="shared" si="4"/>
        <v>0</v>
      </c>
      <c r="S54" s="522"/>
      <c r="T54" s="523"/>
      <c r="U54" s="524">
        <f t="shared" si="9"/>
        <v>-70000</v>
      </c>
      <c r="V54" s="520">
        <f t="shared" si="10"/>
        <v>70000</v>
      </c>
      <c r="W54" s="520">
        <f t="shared" si="11"/>
        <v>80931.277850239989</v>
      </c>
      <c r="X54" s="520">
        <f t="shared" si="12"/>
        <v>-10931.277850239989</v>
      </c>
      <c r="Y54" s="525">
        <f t="shared" si="13"/>
        <v>-48093.888598159996</v>
      </c>
    </row>
    <row r="55" spans="3:25" x14ac:dyDescent="0.2">
      <c r="C55" s="387">
        <f t="shared" si="5"/>
        <v>41647</v>
      </c>
      <c r="D55" s="388">
        <f t="shared" si="6"/>
        <v>141164.09548387097</v>
      </c>
      <c r="E55" s="392">
        <f t="shared" si="7"/>
        <v>75908.831000000006</v>
      </c>
      <c r="F55" s="428">
        <f t="shared" si="0"/>
        <v>0.91261170999999996</v>
      </c>
      <c r="G55" s="390">
        <f t="shared" si="1"/>
        <v>69.275300000000001</v>
      </c>
      <c r="H55" s="391">
        <f t="shared" si="2"/>
        <v>217143.11439558098</v>
      </c>
      <c r="I55" s="324">
        <v>68000</v>
      </c>
      <c r="J55" s="325"/>
      <c r="K55" s="325"/>
      <c r="L55" s="319">
        <v>75908.831000000006</v>
      </c>
      <c r="M55" s="320"/>
      <c r="N55" s="320"/>
      <c r="O55" s="320"/>
      <c r="P55" s="392">
        <f t="shared" si="8"/>
        <v>75908.831000000006</v>
      </c>
      <c r="Q55" s="392">
        <f t="shared" si="3"/>
        <v>0</v>
      </c>
      <c r="R55" s="392">
        <f t="shared" si="4"/>
        <v>0</v>
      </c>
      <c r="S55" s="522"/>
      <c r="T55" s="523"/>
      <c r="U55" s="524">
        <f t="shared" si="9"/>
        <v>-68000</v>
      </c>
      <c r="V55" s="520">
        <f t="shared" si="10"/>
        <v>68000</v>
      </c>
      <c r="W55" s="520">
        <f t="shared" si="11"/>
        <v>80088.067599536007</v>
      </c>
      <c r="X55" s="520">
        <f t="shared" si="12"/>
        <v>-12088.067599536007</v>
      </c>
      <c r="Y55" s="525">
        <f t="shared" si="13"/>
        <v>-60181.956197696003</v>
      </c>
    </row>
    <row r="56" spans="3:25" x14ac:dyDescent="0.2">
      <c r="C56" s="387">
        <f t="shared" si="5"/>
        <v>41648</v>
      </c>
      <c r="D56" s="388">
        <f t="shared" si="6"/>
        <v>141164.09548387097</v>
      </c>
      <c r="E56" s="392">
        <f t="shared" si="7"/>
        <v>69581.02</v>
      </c>
      <c r="F56" s="428">
        <f t="shared" si="0"/>
        <v>0.91261170999999996</v>
      </c>
      <c r="G56" s="390">
        <f t="shared" si="1"/>
        <v>63.500500000000002</v>
      </c>
      <c r="H56" s="391">
        <f t="shared" si="2"/>
        <v>210809.52859558095</v>
      </c>
      <c r="I56" s="324">
        <v>68000</v>
      </c>
      <c r="J56" s="325"/>
      <c r="K56" s="325"/>
      <c r="L56" s="317">
        <v>69581.02</v>
      </c>
      <c r="M56" s="318"/>
      <c r="N56" s="318"/>
      <c r="O56" s="318"/>
      <c r="P56" s="392">
        <f t="shared" si="8"/>
        <v>69581.02</v>
      </c>
      <c r="Q56" s="392">
        <f t="shared" si="3"/>
        <v>0</v>
      </c>
      <c r="R56" s="392">
        <f t="shared" si="4"/>
        <v>0</v>
      </c>
      <c r="S56" s="522"/>
      <c r="T56" s="523"/>
      <c r="U56" s="524">
        <f t="shared" si="9"/>
        <v>-68000</v>
      </c>
      <c r="V56" s="520">
        <f t="shared" si="10"/>
        <v>68000</v>
      </c>
      <c r="W56" s="520">
        <f t="shared" si="11"/>
        <v>73411.872637120003</v>
      </c>
      <c r="X56" s="520">
        <f t="shared" si="12"/>
        <v>-5411.8726371200028</v>
      </c>
      <c r="Y56" s="525">
        <f t="shared" si="13"/>
        <v>-65593.828834815999</v>
      </c>
    </row>
    <row r="57" spans="3:25" x14ac:dyDescent="0.2">
      <c r="C57" s="387">
        <f t="shared" si="5"/>
        <v>41649</v>
      </c>
      <c r="D57" s="388">
        <f t="shared" si="6"/>
        <v>141164.09548387097</v>
      </c>
      <c r="E57" s="392">
        <f t="shared" si="7"/>
        <v>68289.119999999995</v>
      </c>
      <c r="F57" s="428">
        <f t="shared" si="0"/>
        <v>0.91261170999999996</v>
      </c>
      <c r="G57" s="390">
        <f t="shared" si="1"/>
        <v>62.3215</v>
      </c>
      <c r="H57" s="391">
        <f t="shared" si="2"/>
        <v>209516.44959558095</v>
      </c>
      <c r="I57" s="324">
        <v>68000</v>
      </c>
      <c r="J57" s="325"/>
      <c r="K57" s="325"/>
      <c r="L57" s="319">
        <v>68289.119999999995</v>
      </c>
      <c r="M57" s="320"/>
      <c r="N57" s="320"/>
      <c r="O57" s="320"/>
      <c r="P57" s="392">
        <f t="shared" si="8"/>
        <v>68289.119999999995</v>
      </c>
      <c r="Q57" s="392">
        <f t="shared" si="3"/>
        <v>0</v>
      </c>
      <c r="R57" s="392">
        <f t="shared" si="4"/>
        <v>0</v>
      </c>
      <c r="S57" s="522"/>
      <c r="T57" s="523"/>
      <c r="U57" s="524">
        <f t="shared" si="9"/>
        <v>-68000</v>
      </c>
      <c r="V57" s="520">
        <f t="shared" si="10"/>
        <v>68000</v>
      </c>
      <c r="W57" s="520">
        <f t="shared" si="11"/>
        <v>72048.845790719992</v>
      </c>
      <c r="X57" s="520">
        <f t="shared" si="12"/>
        <v>-4048.8457907199918</v>
      </c>
      <c r="Y57" s="525">
        <f t="shared" si="13"/>
        <v>-69642.67462553599</v>
      </c>
    </row>
    <row r="58" spans="3:25" x14ac:dyDescent="0.2">
      <c r="C58" s="387">
        <f t="shared" si="5"/>
        <v>41650</v>
      </c>
      <c r="D58" s="388">
        <f t="shared" si="6"/>
        <v>141164.09548387097</v>
      </c>
      <c r="E58" s="392">
        <f t="shared" si="7"/>
        <v>71435.823999999993</v>
      </c>
      <c r="F58" s="428">
        <f t="shared" si="0"/>
        <v>0.91261170999999996</v>
      </c>
      <c r="G58" s="390">
        <f t="shared" si="1"/>
        <v>65.193200000000004</v>
      </c>
      <c r="H58" s="391">
        <f t="shared" si="2"/>
        <v>212666.02529558097</v>
      </c>
      <c r="I58" s="324">
        <v>68000</v>
      </c>
      <c r="J58" s="325"/>
      <c r="K58" s="325"/>
      <c r="L58" s="317">
        <v>71435.823999999993</v>
      </c>
      <c r="M58" s="318"/>
      <c r="N58" s="318"/>
      <c r="O58" s="318"/>
      <c r="P58" s="392">
        <f t="shared" si="8"/>
        <v>71435.823999999993</v>
      </c>
      <c r="Q58" s="392">
        <f t="shared" si="3"/>
        <v>0</v>
      </c>
      <c r="R58" s="392">
        <f t="shared" si="4"/>
        <v>0</v>
      </c>
      <c r="S58" s="522"/>
      <c r="T58" s="523"/>
      <c r="U58" s="524">
        <f t="shared" si="9"/>
        <v>-68000</v>
      </c>
      <c r="V58" s="520">
        <f t="shared" si="10"/>
        <v>68000</v>
      </c>
      <c r="W58" s="520">
        <f t="shared" si="11"/>
        <v>75368.794726143999</v>
      </c>
      <c r="X58" s="520">
        <f t="shared" si="12"/>
        <v>-7368.7947261439986</v>
      </c>
      <c r="Y58" s="525">
        <f t="shared" si="13"/>
        <v>-77011.469351679989</v>
      </c>
    </row>
    <row r="59" spans="3:25" x14ac:dyDescent="0.2">
      <c r="C59" s="387">
        <f t="shared" si="5"/>
        <v>41651</v>
      </c>
      <c r="D59" s="388">
        <f t="shared" si="6"/>
        <v>141164.09548387097</v>
      </c>
      <c r="E59" s="392">
        <f t="shared" si="7"/>
        <v>72697.013999999996</v>
      </c>
      <c r="F59" s="428">
        <f t="shared" si="0"/>
        <v>0.91261170999999996</v>
      </c>
      <c r="G59" s="390">
        <f t="shared" si="1"/>
        <v>66.344099999999997</v>
      </c>
      <c r="H59" s="391">
        <f t="shared" si="2"/>
        <v>213928.36619558095</v>
      </c>
      <c r="I59" s="324">
        <v>70000</v>
      </c>
      <c r="J59" s="325"/>
      <c r="K59" s="325"/>
      <c r="L59" s="319">
        <v>72697.013999999996</v>
      </c>
      <c r="M59" s="320"/>
      <c r="N59" s="320"/>
      <c r="O59" s="320"/>
      <c r="P59" s="392">
        <f t="shared" si="8"/>
        <v>72697.013999999996</v>
      </c>
      <c r="Q59" s="392">
        <f t="shared" si="3"/>
        <v>0</v>
      </c>
      <c r="R59" s="392">
        <f t="shared" si="4"/>
        <v>0</v>
      </c>
      <c r="S59" s="522"/>
      <c r="T59" s="523"/>
      <c r="U59" s="524">
        <f t="shared" si="9"/>
        <v>-70000</v>
      </c>
      <c r="V59" s="520">
        <f t="shared" si="10"/>
        <v>70000</v>
      </c>
      <c r="W59" s="520">
        <f t="shared" si="11"/>
        <v>76699.420802783992</v>
      </c>
      <c r="X59" s="520">
        <f t="shared" si="12"/>
        <v>-6699.4208027839923</v>
      </c>
      <c r="Y59" s="525">
        <f t="shared" si="13"/>
        <v>-83710.890154463981</v>
      </c>
    </row>
    <row r="60" spans="3:25" x14ac:dyDescent="0.2">
      <c r="C60" s="387">
        <f t="shared" si="5"/>
        <v>41652</v>
      </c>
      <c r="D60" s="388">
        <f t="shared" si="6"/>
        <v>141164.09548387097</v>
      </c>
      <c r="E60" s="392">
        <f t="shared" si="7"/>
        <v>74445.55</v>
      </c>
      <c r="F60" s="428">
        <f t="shared" si="0"/>
        <v>0.91261170999999996</v>
      </c>
      <c r="G60" s="390">
        <f t="shared" si="1"/>
        <v>67.939899999999994</v>
      </c>
      <c r="H60" s="391">
        <f t="shared" si="2"/>
        <v>215678.49799558098</v>
      </c>
      <c r="I60" s="324">
        <v>72000</v>
      </c>
      <c r="J60" s="325"/>
      <c r="K60" s="325"/>
      <c r="L60" s="317">
        <v>74445.55</v>
      </c>
      <c r="M60" s="318"/>
      <c r="N60" s="318"/>
      <c r="O60" s="318"/>
      <c r="P60" s="392">
        <f t="shared" si="8"/>
        <v>74445.55</v>
      </c>
      <c r="Q60" s="392">
        <f t="shared" si="3"/>
        <v>0</v>
      </c>
      <c r="R60" s="392">
        <f t="shared" si="4"/>
        <v>0</v>
      </c>
      <c r="S60" s="522"/>
      <c r="T60" s="523"/>
      <c r="U60" s="524">
        <f t="shared" si="9"/>
        <v>-72000</v>
      </c>
      <c r="V60" s="520">
        <f t="shared" si="10"/>
        <v>72000</v>
      </c>
      <c r="W60" s="520">
        <f t="shared" si="11"/>
        <v>78544.224200800003</v>
      </c>
      <c r="X60" s="520">
        <f t="shared" si="12"/>
        <v>-6544.224200800003</v>
      </c>
      <c r="Y60" s="525">
        <f t="shared" si="13"/>
        <v>-90255.114355263984</v>
      </c>
    </row>
    <row r="61" spans="3:25" x14ac:dyDescent="0.2">
      <c r="C61" s="387">
        <f t="shared" si="5"/>
        <v>41653</v>
      </c>
      <c r="D61" s="388">
        <f t="shared" si="6"/>
        <v>141164.09548387097</v>
      </c>
      <c r="E61" s="392">
        <f t="shared" si="7"/>
        <v>73934.429999999993</v>
      </c>
      <c r="F61" s="428">
        <f t="shared" si="0"/>
        <v>0.91261170999999996</v>
      </c>
      <c r="G61" s="390">
        <f t="shared" si="1"/>
        <v>67.473399999999998</v>
      </c>
      <c r="H61" s="391">
        <f t="shared" si="2"/>
        <v>215166.91149558095</v>
      </c>
      <c r="I61" s="324">
        <v>70000</v>
      </c>
      <c r="J61" s="325"/>
      <c r="K61" s="325"/>
      <c r="L61" s="319">
        <v>73934.429999999993</v>
      </c>
      <c r="M61" s="320"/>
      <c r="N61" s="320"/>
      <c r="O61" s="320"/>
      <c r="P61" s="392">
        <f t="shared" si="8"/>
        <v>73934.429999999993</v>
      </c>
      <c r="Q61" s="392">
        <f t="shared" si="3"/>
        <v>0</v>
      </c>
      <c r="R61" s="392">
        <f t="shared" si="4"/>
        <v>0</v>
      </c>
      <c r="S61" s="522"/>
      <c r="T61" s="523"/>
      <c r="U61" s="524">
        <f t="shared" si="9"/>
        <v>-70000</v>
      </c>
      <c r="V61" s="520">
        <f t="shared" si="10"/>
        <v>70000</v>
      </c>
      <c r="W61" s="520">
        <f t="shared" si="11"/>
        <v>78004.963978079992</v>
      </c>
      <c r="X61" s="520">
        <f t="shared" si="12"/>
        <v>-8004.9639780799916</v>
      </c>
      <c r="Y61" s="525">
        <f t="shared" si="13"/>
        <v>-98260.078333343976</v>
      </c>
    </row>
    <row r="62" spans="3:25" x14ac:dyDescent="0.2">
      <c r="C62" s="387">
        <f t="shared" si="5"/>
        <v>41654</v>
      </c>
      <c r="D62" s="388">
        <f t="shared" si="6"/>
        <v>141164.09548387097</v>
      </c>
      <c r="E62" s="392">
        <f t="shared" si="7"/>
        <v>74160.210000000006</v>
      </c>
      <c r="F62" s="428">
        <f t="shared" si="0"/>
        <v>0.91261170999999996</v>
      </c>
      <c r="G62" s="390">
        <f t="shared" si="1"/>
        <v>67.679500000000004</v>
      </c>
      <c r="H62" s="391">
        <f t="shared" si="2"/>
        <v>215392.89759558096</v>
      </c>
      <c r="I62" s="324">
        <v>70000</v>
      </c>
      <c r="J62" s="325"/>
      <c r="K62" s="325"/>
      <c r="L62" s="317">
        <v>74160.210000000006</v>
      </c>
      <c r="M62" s="318"/>
      <c r="N62" s="318"/>
      <c r="O62" s="318"/>
      <c r="P62" s="392">
        <f t="shared" si="8"/>
        <v>74160.210000000006</v>
      </c>
      <c r="Q62" s="392">
        <f t="shared" si="3"/>
        <v>0</v>
      </c>
      <c r="R62" s="392">
        <f t="shared" si="4"/>
        <v>0</v>
      </c>
      <c r="S62" s="522"/>
      <c r="T62" s="523"/>
      <c r="U62" s="524">
        <f t="shared" si="9"/>
        <v>-70000</v>
      </c>
      <c r="V62" s="520">
        <f t="shared" si="10"/>
        <v>70000</v>
      </c>
      <c r="W62" s="520">
        <f t="shared" si="11"/>
        <v>78243.174521760011</v>
      </c>
      <c r="X62" s="520">
        <f t="shared" si="12"/>
        <v>-8243.174521760011</v>
      </c>
      <c r="Y62" s="525">
        <f t="shared" si="13"/>
        <v>-106503.25285510399</v>
      </c>
    </row>
    <row r="63" spans="3:25" x14ac:dyDescent="0.2">
      <c r="C63" s="387">
        <f t="shared" si="5"/>
        <v>41655</v>
      </c>
      <c r="D63" s="388">
        <f t="shared" si="6"/>
        <v>141164.09548387097</v>
      </c>
      <c r="E63" s="392">
        <f t="shared" si="7"/>
        <v>73607.05</v>
      </c>
      <c r="F63" s="428">
        <f t="shared" si="0"/>
        <v>0.91261170999999996</v>
      </c>
      <c r="G63" s="390">
        <f t="shared" si="1"/>
        <v>67.174700000000001</v>
      </c>
      <c r="H63" s="391">
        <f t="shared" si="2"/>
        <v>214839.23279558099</v>
      </c>
      <c r="I63" s="324">
        <v>70000</v>
      </c>
      <c r="J63" s="325"/>
      <c r="K63" s="325"/>
      <c r="L63" s="319">
        <v>73607.05</v>
      </c>
      <c r="M63" s="320"/>
      <c r="N63" s="320"/>
      <c r="O63" s="320"/>
      <c r="P63" s="392">
        <f t="shared" si="8"/>
        <v>73607.05</v>
      </c>
      <c r="Q63" s="392">
        <f t="shared" si="3"/>
        <v>0</v>
      </c>
      <c r="R63" s="392">
        <f t="shared" si="4"/>
        <v>0</v>
      </c>
      <c r="S63" s="522"/>
      <c r="T63" s="523"/>
      <c r="U63" s="524">
        <f t="shared" si="9"/>
        <v>-70000</v>
      </c>
      <c r="V63" s="520">
        <f t="shared" si="10"/>
        <v>70000</v>
      </c>
      <c r="W63" s="520">
        <f t="shared" si="11"/>
        <v>77659.559744800004</v>
      </c>
      <c r="X63" s="520">
        <f t="shared" si="12"/>
        <v>-7659.5597448000044</v>
      </c>
      <c r="Y63" s="525">
        <f t="shared" si="13"/>
        <v>-114162.81259990399</v>
      </c>
    </row>
    <row r="64" spans="3:25" x14ac:dyDescent="0.2">
      <c r="C64" s="387">
        <f t="shared" si="5"/>
        <v>41656</v>
      </c>
      <c r="D64" s="388">
        <f t="shared" si="6"/>
        <v>141164.09548387097</v>
      </c>
      <c r="E64" s="392">
        <f t="shared" si="7"/>
        <v>72570.960000000006</v>
      </c>
      <c r="F64" s="428">
        <f t="shared" si="0"/>
        <v>0.91261170999999996</v>
      </c>
      <c r="G64" s="390">
        <f t="shared" si="1"/>
        <v>66.229100000000003</v>
      </c>
      <c r="H64" s="391">
        <f t="shared" si="2"/>
        <v>213802.19719558096</v>
      </c>
      <c r="I64" s="324">
        <v>70000</v>
      </c>
      <c r="J64" s="325"/>
      <c r="K64" s="325"/>
      <c r="L64" s="317">
        <v>72570.960000000006</v>
      </c>
      <c r="M64" s="318"/>
      <c r="N64" s="318"/>
      <c r="O64" s="318"/>
      <c r="P64" s="392">
        <f t="shared" si="8"/>
        <v>72570.960000000006</v>
      </c>
      <c r="Q64" s="392">
        <f t="shared" si="3"/>
        <v>0</v>
      </c>
      <c r="R64" s="392">
        <f t="shared" si="4"/>
        <v>0</v>
      </c>
      <c r="S64" s="522"/>
      <c r="T64" s="523"/>
      <c r="U64" s="524">
        <f t="shared" si="9"/>
        <v>-70000</v>
      </c>
      <c r="V64" s="520">
        <f t="shared" si="10"/>
        <v>70000</v>
      </c>
      <c r="W64" s="520">
        <f t="shared" si="11"/>
        <v>76566.426773760002</v>
      </c>
      <c r="X64" s="520">
        <f t="shared" si="12"/>
        <v>-6566.4267737600021</v>
      </c>
      <c r="Y64" s="525">
        <f t="shared" si="13"/>
        <v>-120729.23937366399</v>
      </c>
    </row>
    <row r="65" spans="2:38" x14ac:dyDescent="0.2">
      <c r="C65" s="387">
        <f t="shared" si="5"/>
        <v>41657</v>
      </c>
      <c r="D65" s="388">
        <f t="shared" si="6"/>
        <v>141164.09548387097</v>
      </c>
      <c r="E65" s="392">
        <f t="shared" si="7"/>
        <v>71629.012000000002</v>
      </c>
      <c r="F65" s="428">
        <f t="shared" si="0"/>
        <v>0.91261170999999996</v>
      </c>
      <c r="G65" s="390">
        <f t="shared" si="1"/>
        <v>65.369500000000002</v>
      </c>
      <c r="H65" s="391">
        <f t="shared" si="2"/>
        <v>212859.38959558099</v>
      </c>
      <c r="I65" s="324">
        <v>70000</v>
      </c>
      <c r="J65" s="325"/>
      <c r="K65" s="325"/>
      <c r="L65" s="319">
        <v>71629.012000000002</v>
      </c>
      <c r="M65" s="320"/>
      <c r="N65" s="320"/>
      <c r="O65" s="320"/>
      <c r="P65" s="392">
        <f t="shared" si="8"/>
        <v>71629.012000000002</v>
      </c>
      <c r="Q65" s="392">
        <f t="shared" si="3"/>
        <v>0</v>
      </c>
      <c r="R65" s="392">
        <f t="shared" si="4"/>
        <v>0</v>
      </c>
      <c r="S65" s="522"/>
      <c r="T65" s="523"/>
      <c r="U65" s="524">
        <f t="shared" si="9"/>
        <v>-70000</v>
      </c>
      <c r="V65" s="520">
        <f t="shared" si="10"/>
        <v>70000</v>
      </c>
      <c r="W65" s="520">
        <f t="shared" si="11"/>
        <v>75572.618884672003</v>
      </c>
      <c r="X65" s="520">
        <f t="shared" si="12"/>
        <v>-5572.6188846720033</v>
      </c>
      <c r="Y65" s="525">
        <f t="shared" si="13"/>
        <v>-126301.858258336</v>
      </c>
    </row>
    <row r="66" spans="2:38" x14ac:dyDescent="0.2">
      <c r="C66" s="387">
        <f t="shared" si="5"/>
        <v>41658</v>
      </c>
      <c r="D66" s="388">
        <f t="shared" si="6"/>
        <v>141164.09548387097</v>
      </c>
      <c r="E66" s="392">
        <f t="shared" si="7"/>
        <v>71213.899999999994</v>
      </c>
      <c r="F66" s="428">
        <f t="shared" si="0"/>
        <v>0.91261170999999996</v>
      </c>
      <c r="G66" s="390">
        <f t="shared" si="1"/>
        <v>64.990600000000001</v>
      </c>
      <c r="H66" s="391">
        <f t="shared" si="2"/>
        <v>212443.89869558095</v>
      </c>
      <c r="I66" s="324">
        <v>70000</v>
      </c>
      <c r="J66" s="325"/>
      <c r="K66" s="325"/>
      <c r="L66" s="317">
        <v>71213.899999999994</v>
      </c>
      <c r="M66" s="318"/>
      <c r="N66" s="318"/>
      <c r="O66" s="318"/>
      <c r="P66" s="392">
        <f t="shared" si="8"/>
        <v>71213.899999999994</v>
      </c>
      <c r="Q66" s="392">
        <f t="shared" si="3"/>
        <v>0</v>
      </c>
      <c r="R66" s="392">
        <f t="shared" si="4"/>
        <v>0</v>
      </c>
      <c r="S66" s="522"/>
      <c r="T66" s="523"/>
      <c r="U66" s="524">
        <f t="shared" si="9"/>
        <v>-70000</v>
      </c>
      <c r="V66" s="520">
        <f t="shared" si="10"/>
        <v>70000</v>
      </c>
      <c r="W66" s="520">
        <f t="shared" si="11"/>
        <v>75134.652478399992</v>
      </c>
      <c r="X66" s="520">
        <f t="shared" si="12"/>
        <v>-5134.6524783999921</v>
      </c>
      <c r="Y66" s="525">
        <f t="shared" si="13"/>
        <v>-131436.510736736</v>
      </c>
    </row>
    <row r="67" spans="2:38" x14ac:dyDescent="0.2">
      <c r="C67" s="387">
        <f t="shared" si="5"/>
        <v>41659</v>
      </c>
      <c r="D67" s="388">
        <f t="shared" si="6"/>
        <v>141164.09548387097</v>
      </c>
      <c r="E67" s="392">
        <f t="shared" si="7"/>
        <v>69863.39</v>
      </c>
      <c r="F67" s="428">
        <f t="shared" si="0"/>
        <v>0.91261170999999996</v>
      </c>
      <c r="G67" s="390">
        <f t="shared" si="1"/>
        <v>63.758099999999999</v>
      </c>
      <c r="H67" s="391">
        <f t="shared" si="2"/>
        <v>211092.15619558096</v>
      </c>
      <c r="I67" s="324">
        <v>70000</v>
      </c>
      <c r="J67" s="325"/>
      <c r="K67" s="325"/>
      <c r="L67" s="319">
        <v>69863.39</v>
      </c>
      <c r="M67" s="320"/>
      <c r="N67" s="320"/>
      <c r="O67" s="320"/>
      <c r="P67" s="392">
        <f t="shared" si="8"/>
        <v>69863.39</v>
      </c>
      <c r="Q67" s="392">
        <f t="shared" si="3"/>
        <v>0</v>
      </c>
      <c r="R67" s="392">
        <f t="shared" si="4"/>
        <v>0</v>
      </c>
      <c r="S67" s="522"/>
      <c r="T67" s="523"/>
      <c r="U67" s="524">
        <f t="shared" si="9"/>
        <v>-70000</v>
      </c>
      <c r="V67" s="520">
        <f t="shared" si="10"/>
        <v>70000</v>
      </c>
      <c r="W67" s="520">
        <f t="shared" si="11"/>
        <v>73709.788799839996</v>
      </c>
      <c r="X67" s="520">
        <f t="shared" si="12"/>
        <v>-3709.7887998399965</v>
      </c>
      <c r="Y67" s="525">
        <f t="shared" si="13"/>
        <v>-135146.299536576</v>
      </c>
    </row>
    <row r="68" spans="2:38" x14ac:dyDescent="0.2">
      <c r="C68" s="387">
        <f t="shared" si="5"/>
        <v>41660</v>
      </c>
      <c r="D68" s="388">
        <f t="shared" si="6"/>
        <v>141164.09548387097</v>
      </c>
      <c r="E68" s="392">
        <f t="shared" si="7"/>
        <v>73998.03</v>
      </c>
      <c r="F68" s="428">
        <f t="shared" si="0"/>
        <v>0.91261170999999996</v>
      </c>
      <c r="G68" s="390">
        <f t="shared" si="1"/>
        <v>67.531499999999994</v>
      </c>
      <c r="H68" s="391">
        <f t="shared" si="2"/>
        <v>215230.56959558098</v>
      </c>
      <c r="I68" s="324">
        <v>70000</v>
      </c>
      <c r="J68" s="325"/>
      <c r="K68" s="325"/>
      <c r="L68" s="317">
        <v>73998.03</v>
      </c>
      <c r="M68" s="318"/>
      <c r="N68" s="318"/>
      <c r="O68" s="318"/>
      <c r="P68" s="392">
        <f t="shared" si="8"/>
        <v>73998.03</v>
      </c>
      <c r="Q68" s="392">
        <f t="shared" si="3"/>
        <v>0</v>
      </c>
      <c r="R68" s="392">
        <f t="shared" si="4"/>
        <v>0</v>
      </c>
      <c r="S68" s="522"/>
      <c r="T68" s="523"/>
      <c r="U68" s="524">
        <f t="shared" si="9"/>
        <v>-70000</v>
      </c>
      <c r="V68" s="520">
        <f t="shared" si="10"/>
        <v>70000</v>
      </c>
      <c r="W68" s="520">
        <f t="shared" si="11"/>
        <v>78072.065539679999</v>
      </c>
      <c r="X68" s="520">
        <f t="shared" si="12"/>
        <v>-8072.0655396799993</v>
      </c>
      <c r="Y68" s="525">
        <f t="shared" si="13"/>
        <v>-143218.36507625598</v>
      </c>
    </row>
    <row r="69" spans="2:38" x14ac:dyDescent="0.2">
      <c r="C69" s="387">
        <f t="shared" si="5"/>
        <v>41661</v>
      </c>
      <c r="D69" s="388">
        <f t="shared" si="6"/>
        <v>141164.09548387097</v>
      </c>
      <c r="E69" s="392">
        <f t="shared" si="7"/>
        <v>74220</v>
      </c>
      <c r="F69" s="428">
        <f t="shared" si="0"/>
        <v>0.91261170999999996</v>
      </c>
      <c r="G69" s="390">
        <f t="shared" si="1"/>
        <v>67.733999999999995</v>
      </c>
      <c r="H69" s="391">
        <f t="shared" si="2"/>
        <v>215452.74209558096</v>
      </c>
      <c r="I69" s="324">
        <v>60000</v>
      </c>
      <c r="J69" s="325"/>
      <c r="K69" s="325"/>
      <c r="L69" s="319">
        <v>74220</v>
      </c>
      <c r="M69" s="320"/>
      <c r="N69" s="320"/>
      <c r="O69" s="320"/>
      <c r="P69" s="392">
        <f t="shared" si="8"/>
        <v>74220</v>
      </c>
      <c r="Q69" s="392">
        <f t="shared" si="3"/>
        <v>0</v>
      </c>
      <c r="R69" s="392">
        <f t="shared" si="4"/>
        <v>0</v>
      </c>
      <c r="S69" s="522"/>
      <c r="T69" s="523"/>
      <c r="U69" s="524">
        <f t="shared" si="9"/>
        <v>-60000</v>
      </c>
      <c r="V69" s="520">
        <f t="shared" si="10"/>
        <v>60000</v>
      </c>
      <c r="W69" s="520">
        <f t="shared" si="11"/>
        <v>78306.25632</v>
      </c>
      <c r="X69" s="520">
        <f t="shared" si="12"/>
        <v>-18306.25632</v>
      </c>
      <c r="Y69" s="525">
        <f t="shared" si="13"/>
        <v>-161524.62139625597</v>
      </c>
    </row>
    <row r="70" spans="2:38" x14ac:dyDescent="0.2">
      <c r="C70" s="387">
        <f t="shared" si="5"/>
        <v>41662</v>
      </c>
      <c r="D70" s="388">
        <f t="shared" si="6"/>
        <v>141164.09548387097</v>
      </c>
      <c r="E70" s="392">
        <f t="shared" si="7"/>
        <v>72171.244000000006</v>
      </c>
      <c r="F70" s="428">
        <f t="shared" si="0"/>
        <v>0.91261170999999996</v>
      </c>
      <c r="G70" s="390">
        <f t="shared" si="1"/>
        <v>65.8643</v>
      </c>
      <c r="H70" s="391">
        <f t="shared" si="2"/>
        <v>213402.11639558096</v>
      </c>
      <c r="I70" s="324">
        <v>60000</v>
      </c>
      <c r="J70" s="325"/>
      <c r="K70" s="325"/>
      <c r="L70" s="317">
        <v>72171.244000000006</v>
      </c>
      <c r="M70" s="318"/>
      <c r="N70" s="318"/>
      <c r="O70" s="318"/>
      <c r="P70" s="392">
        <f t="shared" si="8"/>
        <v>72171.244000000006</v>
      </c>
      <c r="Q70" s="392">
        <f t="shared" si="3"/>
        <v>0</v>
      </c>
      <c r="R70" s="392">
        <f t="shared" si="4"/>
        <v>0</v>
      </c>
      <c r="S70" s="522"/>
      <c r="T70" s="523"/>
      <c r="U70" s="524">
        <f t="shared" si="9"/>
        <v>-60000</v>
      </c>
      <c r="V70" s="520">
        <f t="shared" si="10"/>
        <v>60000</v>
      </c>
      <c r="W70" s="520">
        <f t="shared" si="11"/>
        <v>76144.704009664012</v>
      </c>
      <c r="X70" s="520">
        <f t="shared" si="12"/>
        <v>-16144.704009664012</v>
      </c>
      <c r="Y70" s="525">
        <f t="shared" si="13"/>
        <v>-177669.32540591998</v>
      </c>
    </row>
    <row r="71" spans="2:38" x14ac:dyDescent="0.2">
      <c r="C71" s="387">
        <f t="shared" si="5"/>
        <v>41663</v>
      </c>
      <c r="D71" s="388">
        <f t="shared" si="6"/>
        <v>141164.09548387097</v>
      </c>
      <c r="E71" s="392">
        <f t="shared" si="7"/>
        <v>73160.55</v>
      </c>
      <c r="F71" s="428">
        <f t="shared" si="0"/>
        <v>0.91261170999999996</v>
      </c>
      <c r="G71" s="390">
        <f t="shared" si="1"/>
        <v>66.767200000000003</v>
      </c>
      <c r="H71" s="391">
        <f t="shared" si="2"/>
        <v>214392.32529558099</v>
      </c>
      <c r="I71" s="324">
        <v>60000</v>
      </c>
      <c r="J71" s="325"/>
      <c r="K71" s="325"/>
      <c r="L71" s="319">
        <v>73160.55</v>
      </c>
      <c r="M71" s="320"/>
      <c r="N71" s="320"/>
      <c r="O71" s="320"/>
      <c r="P71" s="392">
        <f t="shared" si="8"/>
        <v>73160.55</v>
      </c>
      <c r="Q71" s="392">
        <f t="shared" si="3"/>
        <v>0</v>
      </c>
      <c r="R71" s="392">
        <f t="shared" si="4"/>
        <v>0</v>
      </c>
      <c r="S71" s="522"/>
      <c r="T71" s="523"/>
      <c r="U71" s="524">
        <f t="shared" si="9"/>
        <v>-60000</v>
      </c>
      <c r="V71" s="520">
        <f t="shared" si="10"/>
        <v>60000</v>
      </c>
      <c r="W71" s="520">
        <f t="shared" si="11"/>
        <v>77188.477240799999</v>
      </c>
      <c r="X71" s="520">
        <f t="shared" si="12"/>
        <v>-17188.477240799999</v>
      </c>
      <c r="Y71" s="525">
        <f t="shared" si="13"/>
        <v>-194857.80264671997</v>
      </c>
    </row>
    <row r="72" spans="2:38" x14ac:dyDescent="0.2">
      <c r="C72" s="387">
        <f t="shared" si="5"/>
        <v>41664</v>
      </c>
      <c r="D72" s="388">
        <f t="shared" si="6"/>
        <v>141164.09548387097</v>
      </c>
      <c r="E72" s="392">
        <f t="shared" si="7"/>
        <v>74265.27</v>
      </c>
      <c r="F72" s="428">
        <f t="shared" si="0"/>
        <v>0.91261170999999996</v>
      </c>
      <c r="G72" s="390">
        <f t="shared" si="1"/>
        <v>67.775400000000005</v>
      </c>
      <c r="H72" s="391">
        <f t="shared" si="2"/>
        <v>215498.05349558097</v>
      </c>
      <c r="I72" s="324">
        <v>60000</v>
      </c>
      <c r="J72" s="325"/>
      <c r="K72" s="325"/>
      <c r="L72" s="317">
        <v>74265.27</v>
      </c>
      <c r="M72" s="318"/>
      <c r="N72" s="318"/>
      <c r="O72" s="318"/>
      <c r="P72" s="392">
        <f t="shared" si="8"/>
        <v>74265.27</v>
      </c>
      <c r="Q72" s="392">
        <f t="shared" si="3"/>
        <v>0</v>
      </c>
      <c r="R72" s="392">
        <f t="shared" si="4"/>
        <v>0</v>
      </c>
      <c r="S72" s="522"/>
      <c r="T72" s="523"/>
      <c r="U72" s="524">
        <f t="shared" si="9"/>
        <v>-60000</v>
      </c>
      <c r="V72" s="520">
        <f t="shared" si="10"/>
        <v>60000</v>
      </c>
      <c r="W72" s="520">
        <f t="shared" si="11"/>
        <v>78354.018705120005</v>
      </c>
      <c r="X72" s="520">
        <f t="shared" si="12"/>
        <v>-18354.018705120005</v>
      </c>
      <c r="Y72" s="525">
        <f t="shared" si="13"/>
        <v>-213211.82135183999</v>
      </c>
    </row>
    <row r="73" spans="2:38" x14ac:dyDescent="0.2">
      <c r="C73" s="387">
        <f t="shared" si="5"/>
        <v>41665</v>
      </c>
      <c r="D73" s="388">
        <f t="shared" si="6"/>
        <v>141164.09548387097</v>
      </c>
      <c r="E73" s="392">
        <f t="shared" si="7"/>
        <v>74629.815000000002</v>
      </c>
      <c r="F73" s="428">
        <f t="shared" si="0"/>
        <v>0.91261170999999996</v>
      </c>
      <c r="G73" s="390">
        <f t="shared" si="1"/>
        <v>68.108000000000004</v>
      </c>
      <c r="H73" s="391">
        <f t="shared" si="2"/>
        <v>215862.93109558098</v>
      </c>
      <c r="I73" s="324">
        <v>60000</v>
      </c>
      <c r="J73" s="325"/>
      <c r="K73" s="325"/>
      <c r="L73" s="319">
        <v>74629.815000000002</v>
      </c>
      <c r="M73" s="320"/>
      <c r="N73" s="320"/>
      <c r="O73" s="320"/>
      <c r="P73" s="392">
        <f t="shared" si="8"/>
        <v>74629.815000000002</v>
      </c>
      <c r="Q73" s="392">
        <f t="shared" si="3"/>
        <v>0</v>
      </c>
      <c r="R73" s="392">
        <f t="shared" si="4"/>
        <v>0</v>
      </c>
      <c r="S73" s="522"/>
      <c r="T73" s="523"/>
      <c r="U73" s="524">
        <f t="shared" si="9"/>
        <v>-60000</v>
      </c>
      <c r="V73" s="520">
        <f t="shared" si="10"/>
        <v>60000</v>
      </c>
      <c r="W73" s="520">
        <f t="shared" si="11"/>
        <v>78738.634094640001</v>
      </c>
      <c r="X73" s="520">
        <f t="shared" si="12"/>
        <v>-18738.634094640001</v>
      </c>
      <c r="Y73" s="525">
        <f t="shared" si="13"/>
        <v>-231950.45544647999</v>
      </c>
    </row>
    <row r="74" spans="2:38" x14ac:dyDescent="0.2">
      <c r="C74" s="387">
        <f t="shared" si="5"/>
        <v>41666</v>
      </c>
      <c r="D74" s="388">
        <f t="shared" si="6"/>
        <v>141164.09548387097</v>
      </c>
      <c r="E74" s="392">
        <f t="shared" si="7"/>
        <v>74639.06</v>
      </c>
      <c r="F74" s="428">
        <f t="shared" si="0"/>
        <v>0.91261170999999996</v>
      </c>
      <c r="G74" s="390">
        <f t="shared" si="1"/>
        <v>68.116500000000002</v>
      </c>
      <c r="H74" s="391">
        <f t="shared" si="2"/>
        <v>215872.18459558097</v>
      </c>
      <c r="I74" s="324">
        <v>60000</v>
      </c>
      <c r="J74" s="325"/>
      <c r="K74" s="325"/>
      <c r="L74" s="317">
        <v>74639.06</v>
      </c>
      <c r="M74" s="318"/>
      <c r="N74" s="318"/>
      <c r="O74" s="318"/>
      <c r="P74" s="392">
        <f t="shared" si="8"/>
        <v>74639.06</v>
      </c>
      <c r="Q74" s="392">
        <f t="shared" si="3"/>
        <v>0</v>
      </c>
      <c r="R74" s="392">
        <f t="shared" si="4"/>
        <v>0</v>
      </c>
      <c r="S74" s="522"/>
      <c r="T74" s="523"/>
      <c r="U74" s="524">
        <f t="shared" si="9"/>
        <v>-60000</v>
      </c>
      <c r="V74" s="520">
        <f t="shared" si="10"/>
        <v>60000</v>
      </c>
      <c r="W74" s="520">
        <f t="shared" si="11"/>
        <v>78748.388087359999</v>
      </c>
      <c r="X74" s="520">
        <f t="shared" si="12"/>
        <v>-18748.388087359999</v>
      </c>
      <c r="Y74" s="525">
        <f t="shared" si="13"/>
        <v>-250698.84353383997</v>
      </c>
    </row>
    <row r="75" spans="2:38" x14ac:dyDescent="0.2">
      <c r="C75" s="387">
        <f t="shared" si="5"/>
        <v>41667</v>
      </c>
      <c r="D75" s="388">
        <f t="shared" si="6"/>
        <v>141164.09548387097</v>
      </c>
      <c r="E75" s="392">
        <f t="shared" si="7"/>
        <v>72516.73</v>
      </c>
      <c r="F75" s="428">
        <f t="shared" si="0"/>
        <v>0.91261170999999996</v>
      </c>
      <c r="G75" s="390">
        <f t="shared" si="1"/>
        <v>66.179599999999994</v>
      </c>
      <c r="H75" s="391">
        <f t="shared" si="2"/>
        <v>213747.91769558098</v>
      </c>
      <c r="I75" s="324">
        <v>70000</v>
      </c>
      <c r="J75" s="325"/>
      <c r="K75" s="325"/>
      <c r="L75" s="319">
        <v>72516.73</v>
      </c>
      <c r="M75" s="320"/>
      <c r="N75" s="320"/>
      <c r="O75" s="320"/>
      <c r="P75" s="392">
        <f t="shared" si="8"/>
        <v>72516.73</v>
      </c>
      <c r="Q75" s="392">
        <f t="shared" si="3"/>
        <v>0</v>
      </c>
      <c r="R75" s="392">
        <f t="shared" si="4"/>
        <v>0</v>
      </c>
      <c r="S75" s="522"/>
      <c r="T75" s="523"/>
      <c r="U75" s="524">
        <f t="shared" si="9"/>
        <v>-70000</v>
      </c>
      <c r="V75" s="520">
        <f t="shared" si="10"/>
        <v>70000</v>
      </c>
      <c r="W75" s="520">
        <f t="shared" si="11"/>
        <v>76509.211086879994</v>
      </c>
      <c r="X75" s="520">
        <f t="shared" si="12"/>
        <v>-6509.2110868799937</v>
      </c>
      <c r="Y75" s="525">
        <f t="shared" si="13"/>
        <v>-257208.05462071998</v>
      </c>
    </row>
    <row r="76" spans="2:38" x14ac:dyDescent="0.2">
      <c r="C76" s="387">
        <f t="shared" si="5"/>
        <v>41668</v>
      </c>
      <c r="D76" s="388">
        <f t="shared" si="6"/>
        <v>141164.09548387097</v>
      </c>
      <c r="E76" s="392">
        <f t="shared" si="7"/>
        <v>74368.372000000003</v>
      </c>
      <c r="F76" s="428">
        <f t="shared" si="0"/>
        <v>0.91261170999999996</v>
      </c>
      <c r="G76" s="390">
        <f t="shared" si="1"/>
        <v>67.869399999999999</v>
      </c>
      <c r="H76" s="391">
        <f t="shared" si="2"/>
        <v>215601.24949558097</v>
      </c>
      <c r="I76" s="324">
        <v>68000</v>
      </c>
      <c r="J76" s="325"/>
      <c r="K76" s="325"/>
      <c r="L76" s="317">
        <v>74368.372000000003</v>
      </c>
      <c r="M76" s="318"/>
      <c r="N76" s="318"/>
      <c r="O76" s="318"/>
      <c r="P76" s="392">
        <f t="shared" si="8"/>
        <v>74368.372000000003</v>
      </c>
      <c r="Q76" s="392">
        <f t="shared" si="3"/>
        <v>0</v>
      </c>
      <c r="R76" s="392">
        <f t="shared" si="4"/>
        <v>0</v>
      </c>
      <c r="S76" s="522"/>
      <c r="T76" s="523"/>
      <c r="U76" s="524">
        <f t="shared" si="9"/>
        <v>-68000</v>
      </c>
      <c r="V76" s="520">
        <f t="shared" si="10"/>
        <v>68000</v>
      </c>
      <c r="W76" s="520">
        <f t="shared" si="11"/>
        <v>78462.797088831998</v>
      </c>
      <c r="X76" s="520">
        <f t="shared" si="12"/>
        <v>-10462.797088831998</v>
      </c>
      <c r="Y76" s="525">
        <f t="shared" si="13"/>
        <v>-267670.85170955199</v>
      </c>
    </row>
    <row r="77" spans="2:38" x14ac:dyDescent="0.2">
      <c r="C77" s="387">
        <f t="shared" si="5"/>
        <v>41669</v>
      </c>
      <c r="D77" s="388">
        <f t="shared" si="6"/>
        <v>141164.09548387097</v>
      </c>
      <c r="E77" s="392">
        <f t="shared" si="7"/>
        <v>74447.740000000005</v>
      </c>
      <c r="F77" s="428">
        <f t="shared" si="0"/>
        <v>0.91261170999999996</v>
      </c>
      <c r="G77" s="390">
        <f t="shared" si="1"/>
        <v>67.941900000000004</v>
      </c>
      <c r="H77" s="391">
        <f t="shared" si="2"/>
        <v>215680.68999558099</v>
      </c>
      <c r="I77" s="324">
        <v>68000</v>
      </c>
      <c r="J77" s="325"/>
      <c r="K77" s="325"/>
      <c r="L77" s="319">
        <v>74447.740000000005</v>
      </c>
      <c r="M77" s="320"/>
      <c r="N77" s="320"/>
      <c r="O77" s="320"/>
      <c r="P77" s="392">
        <f t="shared" si="8"/>
        <v>74447.740000000005</v>
      </c>
      <c r="Q77" s="392">
        <f t="shared" si="3"/>
        <v>0</v>
      </c>
      <c r="R77" s="392">
        <f t="shared" si="4"/>
        <v>0</v>
      </c>
      <c r="S77" s="522"/>
      <c r="T77" s="523"/>
      <c r="U77" s="524">
        <f t="shared" si="9"/>
        <v>-68000</v>
      </c>
      <c r="V77" s="520">
        <f t="shared" si="10"/>
        <v>68000</v>
      </c>
      <c r="W77" s="520">
        <f t="shared" si="11"/>
        <v>78546.534773439998</v>
      </c>
      <c r="X77" s="520">
        <f t="shared" si="12"/>
        <v>-10546.534773439998</v>
      </c>
      <c r="Y77" s="525">
        <f t="shared" si="13"/>
        <v>-278217.38648299198</v>
      </c>
    </row>
    <row r="78" spans="2:38" ht="15" thickBot="1" x14ac:dyDescent="0.25">
      <c r="C78" s="393">
        <f t="shared" si="5"/>
        <v>41670</v>
      </c>
      <c r="D78" s="394">
        <f t="shared" si="6"/>
        <v>141164.09548387097</v>
      </c>
      <c r="E78" s="395">
        <f t="shared" si="7"/>
        <v>74699.712</v>
      </c>
      <c r="F78" s="429">
        <f t="shared" si="0"/>
        <v>0.91261170999999996</v>
      </c>
      <c r="G78" s="396">
        <f t="shared" si="1"/>
        <v>68.171800000000005</v>
      </c>
      <c r="H78" s="397">
        <f t="shared" si="2"/>
        <v>215932.89189558098</v>
      </c>
      <c r="I78" s="326">
        <v>68000</v>
      </c>
      <c r="J78" s="327"/>
      <c r="K78" s="327"/>
      <c r="L78" s="321">
        <v>74699.712</v>
      </c>
      <c r="M78" s="322"/>
      <c r="N78" s="322"/>
      <c r="O78" s="322"/>
      <c r="P78" s="395">
        <f t="shared" si="8"/>
        <v>74699.712</v>
      </c>
      <c r="Q78" s="395">
        <f t="shared" si="3"/>
        <v>0</v>
      </c>
      <c r="R78" s="395">
        <f t="shared" si="4"/>
        <v>0</v>
      </c>
      <c r="S78" s="526"/>
      <c r="T78" s="527"/>
      <c r="U78" s="521">
        <f t="shared" si="9"/>
        <v>-68000</v>
      </c>
      <c r="V78" s="528">
        <f t="shared" si="10"/>
        <v>68000</v>
      </c>
      <c r="W78" s="528">
        <f t="shared" si="11"/>
        <v>78812.379343872002</v>
      </c>
      <c r="X78" s="528">
        <f t="shared" si="12"/>
        <v>-10812.379343872002</v>
      </c>
      <c r="Y78" s="529">
        <f t="shared" si="13"/>
        <v>-289029.76582686399</v>
      </c>
    </row>
    <row r="79" spans="2:38" ht="15" thickBot="1" x14ac:dyDescent="0.25">
      <c r="C79" s="398"/>
      <c r="D79" s="399">
        <f>SUM(D48:D78)</f>
        <v>4376086.9600000028</v>
      </c>
      <c r="E79" s="400">
        <f>SUM(E48:E78)</f>
        <v>2243469.3189999997</v>
      </c>
      <c r="F79" s="400"/>
      <c r="G79" s="401">
        <f>SUM(G48:G78)</f>
        <v>2047.4164000000001</v>
      </c>
      <c r="H79" s="399">
        <f>SUM(H48:H78)</f>
        <v>6621631.9863630095</v>
      </c>
      <c r="I79" s="432">
        <f>SUM(I48:I78)</f>
        <v>2077956</v>
      </c>
      <c r="J79" s="432">
        <f t="shared" ref="J79:R79" si="14">SUM(J48:J78)</f>
        <v>0</v>
      </c>
      <c r="K79" s="432">
        <f t="shared" si="14"/>
        <v>0</v>
      </c>
      <c r="L79" s="432">
        <f t="shared" si="14"/>
        <v>2243469.3189999997</v>
      </c>
      <c r="M79" s="432">
        <f t="shared" si="14"/>
        <v>0</v>
      </c>
      <c r="N79" s="432">
        <f t="shared" si="14"/>
        <v>0</v>
      </c>
      <c r="O79" s="432">
        <f t="shared" si="14"/>
        <v>0</v>
      </c>
      <c r="P79" s="432">
        <f t="shared" si="14"/>
        <v>2243469.3189999997</v>
      </c>
      <c r="Q79" s="432">
        <f t="shared" si="14"/>
        <v>0</v>
      </c>
      <c r="R79" s="432">
        <f t="shared" si="14"/>
        <v>0</v>
      </c>
      <c r="U79" s="1"/>
      <c r="V79" s="328">
        <f>SUM(V48:V78)</f>
        <v>2077956</v>
      </c>
      <c r="W79" s="328">
        <f>SUM(W48:W78)</f>
        <v>2366985.7658268642</v>
      </c>
      <c r="X79" s="328">
        <v>15500</v>
      </c>
      <c r="Y79" s="323">
        <f>SUM(L48:L78)</f>
        <v>2243469.3189999997</v>
      </c>
      <c r="AL79" s="361">
        <f>Y78</f>
        <v>-289029.76582686399</v>
      </c>
    </row>
    <row r="80" spans="2:38" ht="15" customHeight="1" x14ac:dyDescent="0.2">
      <c r="B80"/>
      <c r="C80"/>
      <c r="D80"/>
      <c r="E80"/>
      <c r="F80"/>
      <c r="G80"/>
      <c r="H80"/>
      <c r="I80"/>
      <c r="J80"/>
      <c r="K80"/>
      <c r="L80"/>
      <c r="N80" s="2"/>
    </row>
  </sheetData>
  <mergeCells count="12">
    <mergeCell ref="C10:D10"/>
    <mergeCell ref="C11:D11"/>
    <mergeCell ref="C3:M4"/>
    <mergeCell ref="C5:M5"/>
    <mergeCell ref="C6:M6"/>
    <mergeCell ref="G7:H7"/>
    <mergeCell ref="C9:D9"/>
    <mergeCell ref="D23:E23"/>
    <mergeCell ref="D24:E24"/>
    <mergeCell ref="C28:F28"/>
    <mergeCell ref="C38:F38"/>
    <mergeCell ref="S46:Y46"/>
  </mergeCells>
  <conditionalFormatting sqref="L48:O78">
    <cfRule type="cellIs" dxfId="164" priority="1" stopIfTrue="1" operator="equal">
      <formula>0</formula>
    </cfRule>
  </conditionalFormatting>
  <pageMargins left="0.7" right="0.7" top="0.75" bottom="0.75" header="0.3" footer="0.3"/>
  <pageSetup orientation="portrait" r:id="rId1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81"/>
  <sheetViews>
    <sheetView workbookViewId="0"/>
  </sheetViews>
  <sheetFormatPr baseColWidth="10" defaultColWidth="11" defaultRowHeight="14.25" x14ac:dyDescent="0.2"/>
  <cols>
    <col min="1" max="1" width="11" style="2"/>
    <col min="2" max="2" width="3.875" style="2" bestFit="1" customWidth="1"/>
    <col min="3" max="3" width="16.125" style="2" customWidth="1"/>
    <col min="4" max="4" width="12.375" style="2" bestFit="1" customWidth="1"/>
    <col min="5" max="5" width="10.875" style="2" bestFit="1" customWidth="1"/>
    <col min="6" max="6" width="17.125" style="2" bestFit="1" customWidth="1"/>
    <col min="7" max="7" width="13.125" style="2" bestFit="1" customWidth="1"/>
    <col min="8" max="8" width="12.125" style="2" bestFit="1" customWidth="1"/>
    <col min="9" max="9" width="11.125" style="2" bestFit="1" customWidth="1"/>
    <col min="10" max="10" width="11.875" style="2" bestFit="1" customWidth="1"/>
    <col min="11" max="11" width="11.625" style="2" bestFit="1" customWidth="1"/>
    <col min="12" max="12" width="12.125" style="2" customWidth="1"/>
    <col min="13" max="13" width="11.625" style="2" bestFit="1" customWidth="1"/>
    <col min="14" max="14" width="9" style="1" customWidth="1"/>
    <col min="15" max="15" width="10.375" style="2" customWidth="1"/>
    <col min="16" max="25" width="11" style="2"/>
    <col min="26" max="35" width="10.875" customWidth="1"/>
    <col min="36" max="16384" width="11" style="2"/>
  </cols>
  <sheetData>
    <row r="1" spans="1:25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25" x14ac:dyDescent="0.2">
      <c r="A2" s="1"/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1:25" ht="15" customHeight="1" x14ac:dyDescent="0.2">
      <c r="A3" s="1"/>
      <c r="B3" s="1"/>
      <c r="C3" s="2254" t="s">
        <v>0</v>
      </c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</row>
    <row r="4" spans="1:25" ht="15" customHeight="1" x14ac:dyDescent="0.2">
      <c r="A4" s="1"/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</row>
    <row r="5" spans="1:25" x14ac:dyDescent="0.2">
      <c r="A5" s="1"/>
      <c r="B5" s="1"/>
      <c r="C5" s="2257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</row>
    <row r="6" spans="1:25" x14ac:dyDescent="0.2">
      <c r="A6" s="1"/>
      <c r="B6" s="1"/>
      <c r="C6" s="2257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</row>
    <row r="7" spans="1:25" x14ac:dyDescent="0.2">
      <c r="A7" s="1"/>
      <c r="B7" s="1"/>
      <c r="C7" s="516"/>
      <c r="D7" s="516"/>
      <c r="E7" s="516"/>
      <c r="F7" s="516"/>
      <c r="G7" s="2271">
        <v>41671</v>
      </c>
      <c r="H7" s="2257"/>
      <c r="I7" s="516"/>
      <c r="J7" s="516"/>
      <c r="K7" s="516"/>
      <c r="L7" s="516"/>
      <c r="M7" s="516"/>
      <c r="N7" s="18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x14ac:dyDescent="0.2">
      <c r="A8" s="1"/>
      <c r="B8" s="1"/>
      <c r="C8" s="516"/>
      <c r="D8" s="516"/>
      <c r="E8" s="516"/>
      <c r="F8" s="516"/>
      <c r="G8" s="516"/>
      <c r="H8" s="516"/>
      <c r="I8" s="516"/>
      <c r="J8" s="516"/>
      <c r="K8" s="516"/>
      <c r="L8" s="516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25.5" x14ac:dyDescent="0.2">
      <c r="A9" s="1"/>
      <c r="B9" s="1"/>
      <c r="C9" s="2272" t="s">
        <v>6</v>
      </c>
      <c r="D9" s="2272"/>
      <c r="E9" s="517" t="s">
        <v>94</v>
      </c>
      <c r="F9" s="517" t="s">
        <v>126</v>
      </c>
      <c r="G9" s="410" t="s">
        <v>133</v>
      </c>
      <c r="H9" s="517" t="s">
        <v>127</v>
      </c>
      <c r="I9" s="517" t="s">
        <v>128</v>
      </c>
      <c r="J9" s="516"/>
      <c r="K9" s="516"/>
      <c r="L9" s="516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x14ac:dyDescent="0.2">
      <c r="A10" s="1"/>
      <c r="B10" s="1"/>
      <c r="C10" s="2270" t="s">
        <v>131</v>
      </c>
      <c r="D10" s="2270"/>
      <c r="E10" s="433">
        <f>IF(C15=0,D15,C15)</f>
        <v>4627948.08</v>
      </c>
      <c r="F10" s="407">
        <f>E10*0.16</f>
        <v>740471.69280000008</v>
      </c>
      <c r="G10" s="407">
        <f>E10+F10</f>
        <v>5368419.7728000004</v>
      </c>
      <c r="H10" s="408" t="s">
        <v>161</v>
      </c>
      <c r="I10" s="411">
        <v>19</v>
      </c>
      <c r="J10" s="516"/>
      <c r="K10" s="516"/>
      <c r="L10" s="516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x14ac:dyDescent="0.2">
      <c r="A11" s="1"/>
      <c r="B11" s="1"/>
      <c r="C11" s="2270" t="s">
        <v>132</v>
      </c>
      <c r="D11" s="2270"/>
      <c r="E11" s="433">
        <f>IF(C16=0,D16,C16)</f>
        <v>1885.67</v>
      </c>
      <c r="F11" s="407">
        <f>E11*0.16</f>
        <v>301.7072</v>
      </c>
      <c r="G11" s="407">
        <f>E11+F11</f>
        <v>2187.3771999999999</v>
      </c>
      <c r="H11" s="408" t="s">
        <v>161</v>
      </c>
      <c r="I11" s="411">
        <v>19</v>
      </c>
      <c r="J11" s="516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x14ac:dyDescent="0.2">
      <c r="A12" s="1"/>
      <c r="B12" s="1"/>
      <c r="C12" s="516"/>
      <c r="D12" s="516"/>
      <c r="E12" s="516"/>
      <c r="F12" s="516"/>
      <c r="G12" s="516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ht="15" thickBot="1" x14ac:dyDescent="0.25">
      <c r="A13" s="1"/>
      <c r="B13" s="1"/>
      <c r="C13" s="516"/>
      <c r="D13" s="516"/>
      <c r="E13" s="516"/>
      <c r="F13" s="516"/>
      <c r="G13" s="516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x14ac:dyDescent="0.2">
      <c r="A14" s="1"/>
      <c r="B14" s="1"/>
      <c r="C14" s="440" t="s">
        <v>155</v>
      </c>
      <c r="D14" s="441" t="s">
        <v>156</v>
      </c>
      <c r="E14" s="442" t="s">
        <v>112</v>
      </c>
      <c r="F14" s="516"/>
      <c r="G14" s="516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x14ac:dyDescent="0.2">
      <c r="A15" s="1"/>
      <c r="B15" s="1"/>
      <c r="C15" s="443">
        <v>4627948.08</v>
      </c>
      <c r="D15" s="444">
        <f>D80</f>
        <v>4376086.96</v>
      </c>
      <c r="E15" s="445">
        <f>C15-D15</f>
        <v>251861.12000000011</v>
      </c>
      <c r="F15" s="516"/>
      <c r="G15" s="516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ht="15" thickBot="1" x14ac:dyDescent="0.25">
      <c r="A16" s="1"/>
      <c r="B16" s="1"/>
      <c r="C16" s="446">
        <v>1885.67</v>
      </c>
      <c r="D16" s="447">
        <f>ROUND(G80,2)</f>
        <v>1885.67</v>
      </c>
      <c r="E16" s="448">
        <f>C16-D16</f>
        <v>0</v>
      </c>
      <c r="F16" s="516"/>
      <c r="G16" s="516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x14ac:dyDescent="0.2">
      <c r="A17" s="1"/>
      <c r="B17" s="1"/>
      <c r="C17" s="516"/>
      <c r="D17" s="516"/>
      <c r="E17" s="516"/>
      <c r="F17" s="516"/>
      <c r="G17" s="516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x14ac:dyDescent="0.2">
      <c r="A18" s="1"/>
      <c r="B18" s="1"/>
      <c r="C18" s="516"/>
      <c r="D18" s="516"/>
      <c r="E18" s="516"/>
      <c r="F18" s="516"/>
      <c r="G18" s="516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x14ac:dyDescent="0.2">
      <c r="A19" s="1"/>
      <c r="B19" s="1"/>
      <c r="C19" s="516"/>
      <c r="D19" s="516"/>
      <c r="E19" s="516"/>
      <c r="F19" s="516"/>
      <c r="G19" s="516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x14ac:dyDescent="0.2">
      <c r="A20" s="1"/>
      <c r="B20" s="1"/>
      <c r="C20" s="516"/>
      <c r="D20" s="516"/>
      <c r="E20" s="516"/>
      <c r="F20" s="516"/>
      <c r="G20" s="516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x14ac:dyDescent="0.2">
      <c r="A21" s="1"/>
      <c r="B21" s="1"/>
      <c r="C21" s="516"/>
      <c r="D21" s="516"/>
      <c r="E21" s="516"/>
      <c r="F21" s="516"/>
      <c r="G21" s="516"/>
      <c r="H21" s="1"/>
      <c r="I21" s="1"/>
      <c r="J21" s="1"/>
      <c r="K21" s="1"/>
      <c r="L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ht="15" thickBot="1" x14ac:dyDescent="0.25">
      <c r="A22" s="1"/>
      <c r="B22" s="1"/>
      <c r="C22" s="419" t="s">
        <v>137</v>
      </c>
      <c r="D22" s="516" t="s">
        <v>138</v>
      </c>
      <c r="E22" s="516"/>
      <c r="F22" s="516" t="s">
        <v>139</v>
      </c>
      <c r="G22" s="516" t="s">
        <v>157</v>
      </c>
      <c r="H22" s="516" t="s">
        <v>143</v>
      </c>
      <c r="I22" s="516" t="s">
        <v>142</v>
      </c>
      <c r="J22" s="516" t="s">
        <v>141</v>
      </c>
      <c r="K22" s="516" t="s">
        <v>140</v>
      </c>
      <c r="L22" s="516" t="s">
        <v>144</v>
      </c>
      <c r="M22" s="516" t="s">
        <v>146</v>
      </c>
      <c r="N22" s="516"/>
      <c r="O22" s="516"/>
      <c r="P22" s="516"/>
      <c r="Q22" s="1"/>
      <c r="R22" s="1"/>
      <c r="S22" s="1"/>
      <c r="T22" s="1"/>
      <c r="U22" s="1"/>
      <c r="V22" s="1"/>
      <c r="W22" s="1"/>
      <c r="X22" s="1"/>
      <c r="Y22" s="1"/>
    </row>
    <row r="23" spans="1:25" ht="36.75" customHeight="1" x14ac:dyDescent="0.2">
      <c r="A23" s="1"/>
      <c r="B23" s="1"/>
      <c r="C23" s="402" t="s">
        <v>134</v>
      </c>
      <c r="D23" s="2261" t="s">
        <v>135</v>
      </c>
      <c r="E23" s="2262"/>
      <c r="F23" s="518" t="s">
        <v>136</v>
      </c>
      <c r="G23" s="461" t="s">
        <v>153</v>
      </c>
      <c r="H23" s="420" t="s">
        <v>129</v>
      </c>
      <c r="I23" s="403" t="s">
        <v>130</v>
      </c>
      <c r="J23" s="422"/>
      <c r="K23" s="422"/>
      <c r="L23" s="422"/>
      <c r="M23" s="404" t="s">
        <v>158</v>
      </c>
      <c r="N23" s="516"/>
      <c r="O23" s="516"/>
      <c r="P23" s="516"/>
      <c r="Q23" s="516"/>
      <c r="R23" s="516"/>
      <c r="S23" s="516"/>
      <c r="T23" s="516"/>
      <c r="U23" s="1"/>
      <c r="V23" s="1"/>
      <c r="W23" s="1"/>
      <c r="X23" s="1"/>
      <c r="Y23" s="1"/>
    </row>
    <row r="24" spans="1:25" x14ac:dyDescent="0.2">
      <c r="A24" s="1"/>
      <c r="B24" s="1"/>
      <c r="C24" s="405">
        <v>850</v>
      </c>
      <c r="D24" s="2263">
        <v>850</v>
      </c>
      <c r="E24" s="2264"/>
      <c r="F24" s="418">
        <v>31482640</v>
      </c>
      <c r="G24" s="462">
        <v>29</v>
      </c>
      <c r="H24" s="460">
        <f>VLOOKUP(C47,Tarifas!D4:H303,3)</f>
        <v>0.13900000000000001</v>
      </c>
      <c r="I24" s="424">
        <f>VLOOKUP(C47,Tarifas!D4:H303,5)</f>
        <v>1E-3</v>
      </c>
      <c r="J24" s="421">
        <v>182.5</v>
      </c>
      <c r="K24" s="421">
        <v>201.4</v>
      </c>
      <c r="L24" s="421"/>
      <c r="M24" s="431">
        <f>E80</f>
        <v>2080956.9680320001</v>
      </c>
      <c r="N24" s="430" t="s">
        <v>62</v>
      </c>
      <c r="O24" s="516"/>
      <c r="P24" s="516"/>
      <c r="Q24" s="516"/>
      <c r="R24" s="516"/>
      <c r="S24" s="516"/>
      <c r="T24" s="516"/>
      <c r="U24" s="1"/>
      <c r="V24" s="1"/>
      <c r="W24" s="1"/>
      <c r="X24" s="1"/>
      <c r="Y24" s="1"/>
    </row>
    <row r="25" spans="1:25" x14ac:dyDescent="0.2">
      <c r="A25" s="1"/>
      <c r="B25" s="1"/>
      <c r="C25" s="516"/>
      <c r="D25" s="516"/>
      <c r="E25" s="516"/>
      <c r="F25" s="516"/>
      <c r="G25" s="516"/>
      <c r="H25" s="516"/>
      <c r="I25" s="516"/>
      <c r="J25" s="516"/>
      <c r="K25" s="516"/>
      <c r="L25" s="516"/>
      <c r="M25" s="516"/>
      <c r="N25" s="516"/>
      <c r="O25" s="516"/>
      <c r="P25" s="516"/>
      <c r="Q25" s="516"/>
      <c r="R25" s="516"/>
      <c r="S25" s="1"/>
      <c r="T25" s="1"/>
      <c r="U25" s="1"/>
      <c r="V25" s="1"/>
      <c r="W25" s="1"/>
      <c r="X25" s="1"/>
      <c r="Y25" s="1"/>
    </row>
    <row r="26" spans="1:25" x14ac:dyDescent="0.2">
      <c r="A26" s="1"/>
      <c r="B26" s="1"/>
      <c r="C26" s="516"/>
      <c r="D26" s="516"/>
      <c r="E26" s="516"/>
      <c r="F26" s="516"/>
      <c r="G26" s="516"/>
      <c r="H26" s="516"/>
      <c r="I26" s="516"/>
      <c r="J26" s="516"/>
      <c r="K26" s="516"/>
      <c r="L26" s="516"/>
      <c r="M26" s="516"/>
      <c r="N26" s="516"/>
      <c r="O26" s="516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x14ac:dyDescent="0.2">
      <c r="A27" s="1"/>
      <c r="B27" s="1"/>
      <c r="C27" s="516"/>
      <c r="D27" s="516"/>
      <c r="E27" s="516"/>
      <c r="F27" s="516"/>
      <c r="G27" s="516"/>
      <c r="H27" s="516"/>
      <c r="I27" s="516"/>
      <c r="J27" s="516"/>
      <c r="K27" s="516"/>
      <c r="L27" s="516"/>
      <c r="M27" s="516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ht="15" thickBot="1" x14ac:dyDescent="0.25">
      <c r="A28" s="1"/>
      <c r="B28" s="1"/>
      <c r="C28" s="2265" t="s">
        <v>86</v>
      </c>
      <c r="D28" s="2265"/>
      <c r="E28" s="2265"/>
      <c r="F28" s="2265"/>
      <c r="G28" s="519"/>
      <c r="H28" s="334"/>
      <c r="I28" s="334"/>
      <c r="J28" s="334"/>
      <c r="K28" s="519"/>
      <c r="L28" s="336"/>
      <c r="M28" s="336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ht="22.5" x14ac:dyDescent="0.2">
      <c r="A29" s="1"/>
      <c r="B29" s="1"/>
      <c r="C29" s="337" t="s">
        <v>87</v>
      </c>
      <c r="D29" s="514" t="s">
        <v>88</v>
      </c>
      <c r="E29" s="514" t="s">
        <v>89</v>
      </c>
      <c r="F29" s="514" t="s">
        <v>20</v>
      </c>
      <c r="G29" s="514" t="s">
        <v>160</v>
      </c>
      <c r="H29" s="514" t="s">
        <v>90</v>
      </c>
      <c r="I29" s="514" t="s">
        <v>91</v>
      </c>
      <c r="J29" s="514" t="s">
        <v>92</v>
      </c>
      <c r="K29" s="514" t="s">
        <v>93</v>
      </c>
      <c r="L29" s="514" t="s">
        <v>94</v>
      </c>
      <c r="M29" s="515" t="s">
        <v>95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x14ac:dyDescent="0.2">
      <c r="A30" s="1"/>
      <c r="B30" s="1"/>
      <c r="C30" s="338"/>
      <c r="D30" s="339">
        <v>1</v>
      </c>
      <c r="E30" s="339" t="s">
        <v>96</v>
      </c>
      <c r="F30" s="340" t="s">
        <v>97</v>
      </c>
      <c r="G30" s="340">
        <v>2201</v>
      </c>
      <c r="H30" s="339">
        <v>20823</v>
      </c>
      <c r="I30" s="341"/>
      <c r="J30" s="339">
        <v>138.15</v>
      </c>
      <c r="K30" s="342">
        <f>I30/I$35</f>
        <v>0</v>
      </c>
      <c r="L30" s="343">
        <f>ROUND(K30*E$10,2)</f>
        <v>0</v>
      </c>
      <c r="M30" s="344">
        <f>L30*$I$10</f>
        <v>0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x14ac:dyDescent="0.2">
      <c r="A31" s="1"/>
      <c r="B31" s="1"/>
      <c r="C31" s="338"/>
      <c r="D31" s="339">
        <v>2</v>
      </c>
      <c r="E31" s="339" t="s">
        <v>98</v>
      </c>
      <c r="F31" s="340" t="s">
        <v>97</v>
      </c>
      <c r="G31" s="340">
        <v>2201</v>
      </c>
      <c r="H31" s="339">
        <v>20824</v>
      </c>
      <c r="I31" s="341"/>
      <c r="J31" s="339">
        <v>138.15</v>
      </c>
      <c r="K31" s="342">
        <f>I31/I$35</f>
        <v>0</v>
      </c>
      <c r="L31" s="343">
        <f>ROUND(K31*E$10,2)</f>
        <v>0</v>
      </c>
      <c r="M31" s="344">
        <f>L31*$I$10</f>
        <v>0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x14ac:dyDescent="0.2">
      <c r="A32" s="1"/>
      <c r="B32" s="1"/>
      <c r="C32" s="338"/>
      <c r="D32" s="339">
        <v>1</v>
      </c>
      <c r="E32" s="339" t="s">
        <v>99</v>
      </c>
      <c r="F32" s="340" t="s">
        <v>100</v>
      </c>
      <c r="G32" s="340">
        <v>2230</v>
      </c>
      <c r="H32" s="339">
        <v>22228</v>
      </c>
      <c r="I32" s="341"/>
      <c r="J32" s="339">
        <v>130.80000000000001</v>
      </c>
      <c r="K32" s="342">
        <f>I32/I$35</f>
        <v>0</v>
      </c>
      <c r="L32" s="343">
        <f>ROUND(K32*E$10,2)</f>
        <v>0</v>
      </c>
      <c r="M32" s="344">
        <f>L32*$I$10</f>
        <v>0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x14ac:dyDescent="0.2">
      <c r="A33" s="1"/>
      <c r="B33" s="1"/>
      <c r="C33" s="338">
        <v>800762390</v>
      </c>
      <c r="D33" s="339">
        <v>1</v>
      </c>
      <c r="E33" s="354" t="s">
        <v>101</v>
      </c>
      <c r="F33" s="463" t="s">
        <v>23</v>
      </c>
      <c r="G33" s="463">
        <v>2044</v>
      </c>
      <c r="H33" s="354">
        <v>591000420</v>
      </c>
      <c r="I33" s="341">
        <v>80000</v>
      </c>
      <c r="J33" s="339"/>
      <c r="K33" s="342">
        <f>I33/I$35</f>
        <v>9.4117647058823528E-2</v>
      </c>
      <c r="L33" s="343">
        <f>ROUND(K33*E$10,2)</f>
        <v>435571.58</v>
      </c>
      <c r="M33" s="344">
        <f>L33*$I$10</f>
        <v>8275860.0200000005</v>
      </c>
      <c r="N33" s="464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ht="15" thickBot="1" x14ac:dyDescent="0.25">
      <c r="A34" s="1"/>
      <c r="B34" s="1"/>
      <c r="C34" s="345">
        <v>800642440</v>
      </c>
      <c r="D34" s="346">
        <v>5</v>
      </c>
      <c r="E34" s="347" t="s">
        <v>101</v>
      </c>
      <c r="F34" s="348" t="s">
        <v>159</v>
      </c>
      <c r="G34" s="348">
        <v>2277</v>
      </c>
      <c r="H34" s="347">
        <v>22770</v>
      </c>
      <c r="I34" s="349">
        <f>850000-I30-I31-I32-I33</f>
        <v>770000</v>
      </c>
      <c r="J34" s="346"/>
      <c r="K34" s="350">
        <f>I34/I$35</f>
        <v>0.90588235294117647</v>
      </c>
      <c r="L34" s="351">
        <f>ROUND(K34*E$10,2)</f>
        <v>4192376.5</v>
      </c>
      <c r="M34" s="352">
        <f>L34*$I$10</f>
        <v>79655153.5</v>
      </c>
      <c r="N34" s="464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x14ac:dyDescent="0.2">
      <c r="A35" s="1"/>
      <c r="B35" s="1"/>
      <c r="C35" s="406">
        <v>3000623</v>
      </c>
      <c r="D35" s="353" t="s">
        <v>102</v>
      </c>
      <c r="E35" s="353"/>
      <c r="F35" s="353"/>
      <c r="G35" s="353"/>
      <c r="H35" s="354"/>
      <c r="I35" s="355">
        <f>SUM(I30:I34)</f>
        <v>850000</v>
      </c>
      <c r="J35" s="353"/>
      <c r="K35" s="356">
        <f>SUM(K30:K34)</f>
        <v>1</v>
      </c>
      <c r="L35" s="357">
        <f>SUM(L30:L34)</f>
        <v>4627948.08</v>
      </c>
      <c r="M35" s="357">
        <f>SUM(M30:M33)</f>
        <v>8275860.0200000005</v>
      </c>
      <c r="N35" s="472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x14ac:dyDescent="0.2">
      <c r="A36" s="1"/>
      <c r="B36" s="1"/>
      <c r="C36" s="336"/>
      <c r="D36" s="336"/>
      <c r="E36" s="336"/>
      <c r="F36" s="358"/>
      <c r="G36" s="358"/>
      <c r="H36" s="358"/>
      <c r="I36" s="336"/>
      <c r="J36" s="336"/>
      <c r="K36" s="336"/>
      <c r="L36" s="336"/>
      <c r="M36" s="359"/>
      <c r="N36" s="464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x14ac:dyDescent="0.2">
      <c r="A37" s="1"/>
      <c r="B37" s="1"/>
      <c r="C37" s="336"/>
      <c r="D37" s="336"/>
      <c r="E37" s="336"/>
      <c r="F37" s="358"/>
      <c r="G37" s="358"/>
      <c r="H37" s="358"/>
      <c r="I37" s="336"/>
      <c r="J37" s="336"/>
      <c r="K37" s="336"/>
      <c r="L37" s="336"/>
      <c r="M37" s="359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x14ac:dyDescent="0.2">
      <c r="A38" s="1"/>
      <c r="B38" s="1"/>
      <c r="C38" s="336"/>
      <c r="D38" s="336"/>
      <c r="E38" s="336"/>
      <c r="F38" s="358"/>
      <c r="G38" s="358"/>
      <c r="H38" s="358"/>
      <c r="I38" s="336"/>
      <c r="J38" s="336"/>
      <c r="K38" s="336"/>
      <c r="L38" s="336"/>
      <c r="M38" s="359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ht="15" thickBot="1" x14ac:dyDescent="0.25">
      <c r="A39" s="1"/>
      <c r="B39" s="1"/>
      <c r="C39" s="2266" t="s">
        <v>103</v>
      </c>
      <c r="D39" s="2266"/>
      <c r="E39" s="2266"/>
      <c r="F39" s="2266"/>
      <c r="G39" s="519"/>
      <c r="H39" s="334"/>
      <c r="I39" s="334"/>
      <c r="J39" s="334"/>
      <c r="K39" s="336"/>
      <c r="L39" s="336"/>
      <c r="M39" s="360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ht="22.5" x14ac:dyDescent="0.2">
      <c r="A40" s="1"/>
      <c r="B40" s="1"/>
      <c r="C40" s="337" t="s">
        <v>87</v>
      </c>
      <c r="D40" s="514" t="s">
        <v>88</v>
      </c>
      <c r="E40" s="514" t="s">
        <v>89</v>
      </c>
      <c r="F40" s="514" t="s">
        <v>20</v>
      </c>
      <c r="G40" s="514"/>
      <c r="H40" s="514" t="s">
        <v>90</v>
      </c>
      <c r="I40" s="514" t="s">
        <v>104</v>
      </c>
      <c r="J40" s="514" t="s">
        <v>93</v>
      </c>
      <c r="K40" s="514" t="s">
        <v>92</v>
      </c>
      <c r="L40" s="514" t="s">
        <v>94</v>
      </c>
      <c r="M40" s="515" t="s">
        <v>95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x14ac:dyDescent="0.2">
      <c r="A41" s="1"/>
      <c r="B41" s="1"/>
      <c r="C41" s="338"/>
      <c r="D41" s="339">
        <v>1</v>
      </c>
      <c r="E41" s="339" t="s">
        <v>96</v>
      </c>
      <c r="F41" s="340" t="s">
        <v>97</v>
      </c>
      <c r="G41" s="340"/>
      <c r="H41" s="339">
        <v>20823</v>
      </c>
      <c r="I41" s="341">
        <f>M80</f>
        <v>0</v>
      </c>
      <c r="J41" s="342">
        <f>I41/I$45</f>
        <v>0</v>
      </c>
      <c r="K41" s="339">
        <v>138.15</v>
      </c>
      <c r="L41" s="343">
        <f>ROUND(J41*$E$11,2)</f>
        <v>0</v>
      </c>
      <c r="M41" s="344">
        <f>L41*L24</f>
        <v>0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x14ac:dyDescent="0.2">
      <c r="A42" s="1"/>
      <c r="B42" s="1"/>
      <c r="C42" s="338"/>
      <c r="D42" s="339">
        <v>2</v>
      </c>
      <c r="E42" s="339" t="s">
        <v>98</v>
      </c>
      <c r="F42" s="340" t="s">
        <v>97</v>
      </c>
      <c r="G42" s="340"/>
      <c r="H42" s="339">
        <v>20824</v>
      </c>
      <c r="I42" s="341">
        <f>N80</f>
        <v>0</v>
      </c>
      <c r="J42" s="342">
        <f>I42/I$45</f>
        <v>0</v>
      </c>
      <c r="K42" s="339">
        <v>138.15</v>
      </c>
      <c r="L42" s="343">
        <f>ROUND(J42*$E$11,2)</f>
        <v>0</v>
      </c>
      <c r="M42" s="344">
        <f>L42*L25</f>
        <v>0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x14ac:dyDescent="0.2">
      <c r="A43" s="1"/>
      <c r="B43" s="1"/>
      <c r="C43" s="338"/>
      <c r="D43" s="339">
        <v>1</v>
      </c>
      <c r="E43" s="339" t="s">
        <v>99</v>
      </c>
      <c r="F43" s="340" t="s">
        <v>100</v>
      </c>
      <c r="G43" s="340"/>
      <c r="H43" s="339">
        <v>22228</v>
      </c>
      <c r="I43" s="341">
        <f>O80</f>
        <v>0</v>
      </c>
      <c r="J43" s="342">
        <f>I43/I$45</f>
        <v>0</v>
      </c>
      <c r="K43" s="339">
        <v>130.80000000000001</v>
      </c>
      <c r="L43" s="343">
        <f>ROUND(J43*$E$11,2)</f>
        <v>0</v>
      </c>
      <c r="M43" s="344">
        <f>L43*L26</f>
        <v>0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ht="15" thickBot="1" x14ac:dyDescent="0.25">
      <c r="A44" s="1"/>
      <c r="B44" s="1"/>
      <c r="C44" s="345">
        <v>800762390</v>
      </c>
      <c r="D44" s="346">
        <v>2</v>
      </c>
      <c r="E44" s="347" t="s">
        <v>101</v>
      </c>
      <c r="F44" s="348" t="s">
        <v>23</v>
      </c>
      <c r="G44" s="348"/>
      <c r="H44" s="347"/>
      <c r="I44" s="349">
        <f>L80</f>
        <v>2080956.9680320001</v>
      </c>
      <c r="J44" s="350">
        <f>I44/I$45</f>
        <v>1</v>
      </c>
      <c r="K44" s="346">
        <v>138.15</v>
      </c>
      <c r="L44" s="351">
        <f>ROUND(J44*$E$11,2)</f>
        <v>1885.67</v>
      </c>
      <c r="M44" s="352">
        <f>L44*L27</f>
        <v>0</v>
      </c>
      <c r="N44" s="464" t="s">
        <v>162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x14ac:dyDescent="0.2">
      <c r="A45" s="1"/>
      <c r="B45" s="1"/>
      <c r="C45" s="353"/>
      <c r="D45" s="353"/>
      <c r="E45" s="353"/>
      <c r="F45" s="353"/>
      <c r="G45" s="353"/>
      <c r="H45" s="354"/>
      <c r="I45" s="449">
        <f>SUM(I41:I44)</f>
        <v>2080956.9680320001</v>
      </c>
      <c r="J45" s="355"/>
      <c r="K45" s="353"/>
      <c r="L45" s="357">
        <f>SUM(L41:L44)</f>
        <v>1885.67</v>
      </c>
      <c r="M45" s="357">
        <f>SUM(M41:M44)</f>
        <v>0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customFormat="1" ht="15" thickBot="1" x14ac:dyDescent="0.25">
      <c r="A46" s="450"/>
      <c r="B46" s="450"/>
      <c r="M46" s="450"/>
      <c r="N46" s="450"/>
      <c r="O46" s="450"/>
      <c r="P46" s="450"/>
      <c r="Q46" s="450"/>
      <c r="R46" s="450"/>
      <c r="S46" s="450"/>
      <c r="T46" s="450"/>
      <c r="U46" s="450"/>
      <c r="V46" s="450"/>
      <c r="W46" s="450"/>
      <c r="X46" s="450"/>
      <c r="Y46" s="450"/>
    </row>
    <row r="47" spans="1:25" ht="15" thickBot="1" x14ac:dyDescent="0.25">
      <c r="A47" s="1"/>
      <c r="B47" s="465" t="s">
        <v>3</v>
      </c>
      <c r="C47" s="333">
        <f>SUMIF(Tarifas!E4:E303,'Febrero - 2014'!C49,Tarifas!D4:D303)</f>
        <v>7</v>
      </c>
      <c r="D47" s="425" t="s">
        <v>147</v>
      </c>
      <c r="E47" s="426" t="s">
        <v>145</v>
      </c>
      <c r="F47" s="426" t="s">
        <v>150</v>
      </c>
      <c r="G47" s="426" t="s">
        <v>148</v>
      </c>
      <c r="H47" s="382"/>
      <c r="I47" s="331" t="s">
        <v>120</v>
      </c>
      <c r="J47" s="332"/>
      <c r="K47" s="332"/>
      <c r="L47" s="364" t="s">
        <v>105</v>
      </c>
      <c r="M47" s="365"/>
      <c r="N47" s="365"/>
      <c r="O47" s="365"/>
      <c r="P47" s="365"/>
      <c r="Q47" s="365"/>
      <c r="R47" s="366"/>
      <c r="S47" s="2267" t="s">
        <v>121</v>
      </c>
      <c r="T47" s="2268"/>
      <c r="U47" s="2268"/>
      <c r="V47" s="2268"/>
      <c r="W47" s="2268"/>
      <c r="X47" s="2268"/>
      <c r="Y47" s="2269"/>
    </row>
    <row r="48" spans="1:25" ht="33.75" x14ac:dyDescent="0.2">
      <c r="A48" s="1" t="s">
        <v>29</v>
      </c>
      <c r="B48" s="1" t="s">
        <v>154</v>
      </c>
      <c r="C48" s="383" t="s">
        <v>122</v>
      </c>
      <c r="D48" s="384" t="s">
        <v>125</v>
      </c>
      <c r="E48" s="385" t="s">
        <v>149</v>
      </c>
      <c r="F48" s="385" t="s">
        <v>151</v>
      </c>
      <c r="G48" s="385" t="s">
        <v>152</v>
      </c>
      <c r="H48" s="386" t="s">
        <v>123</v>
      </c>
      <c r="I48" s="329" t="s">
        <v>109</v>
      </c>
      <c r="J48" s="330" t="s">
        <v>25</v>
      </c>
      <c r="K48" s="330" t="s">
        <v>26</v>
      </c>
      <c r="L48" s="367" t="s">
        <v>115</v>
      </c>
      <c r="M48" s="362" t="s">
        <v>106</v>
      </c>
      <c r="N48" s="362" t="s">
        <v>107</v>
      </c>
      <c r="O48" s="362" t="s">
        <v>108</v>
      </c>
      <c r="P48" s="362" t="s">
        <v>115</v>
      </c>
      <c r="Q48" s="363" t="s">
        <v>116</v>
      </c>
      <c r="R48" s="368" t="s">
        <v>117</v>
      </c>
      <c r="S48" s="369" t="s">
        <v>110</v>
      </c>
      <c r="T48" s="370" t="s">
        <v>111</v>
      </c>
      <c r="U48" s="370" t="s">
        <v>112</v>
      </c>
      <c r="V48" s="371" t="s">
        <v>118</v>
      </c>
      <c r="W48" s="371" t="s">
        <v>119</v>
      </c>
      <c r="X48" s="371" t="s">
        <v>114</v>
      </c>
      <c r="Y48" s="372" t="s">
        <v>113</v>
      </c>
    </row>
    <row r="49" spans="1:25" x14ac:dyDescent="0.2">
      <c r="A49" s="1">
        <f>MONTH(C49)</f>
        <v>2</v>
      </c>
      <c r="B49" s="1">
        <f>YEAR(C49)</f>
        <v>2014</v>
      </c>
      <c r="C49" s="387">
        <f>G7</f>
        <v>41671</v>
      </c>
      <c r="D49" s="388">
        <f>($F$24*$H$24)/$G$24</f>
        <v>150899.55034482758</v>
      </c>
      <c r="E49" s="389">
        <f>P49+Q49+R49</f>
        <v>76994.63</v>
      </c>
      <c r="F49" s="427">
        <f t="shared" ref="F49:F77" si="0">TRUNC(IFERROR(J$24/K$24,0),8)</f>
        <v>0.90615690000000004</v>
      </c>
      <c r="G49" s="390">
        <f t="shared" ref="G49:G77" si="1">ROUND(I$24*F49*E49,4)</f>
        <v>69.769199999999998</v>
      </c>
      <c r="H49" s="391">
        <f t="shared" ref="H49:H77" si="2">SUM(D49:G49)</f>
        <v>227964.85570172759</v>
      </c>
      <c r="I49" s="324">
        <v>68000</v>
      </c>
      <c r="J49" s="325"/>
      <c r="K49" s="325"/>
      <c r="L49" s="317">
        <v>76994.63</v>
      </c>
      <c r="M49" s="318"/>
      <c r="N49" s="318"/>
      <c r="O49" s="318"/>
      <c r="P49" s="389">
        <f>L49</f>
        <v>76994.63</v>
      </c>
      <c r="Q49" s="389">
        <f t="shared" ref="Q49:Q77" si="3">M49+N49</f>
        <v>0</v>
      </c>
      <c r="R49" s="389">
        <f t="shared" ref="R49:R77" si="4">O49</f>
        <v>0</v>
      </c>
      <c r="S49" s="373"/>
      <c r="T49" s="374"/>
      <c r="U49" s="524">
        <f>S49+T49-V49</f>
        <v>-68000</v>
      </c>
      <c r="V49" s="520">
        <f>I49+J49+K49</f>
        <v>68000</v>
      </c>
      <c r="W49" s="520">
        <f>(P49+Q49+R49)*1.055056</f>
        <v>81233.64634928001</v>
      </c>
      <c r="X49" s="520">
        <f>V49-W49</f>
        <v>-13233.64634928001</v>
      </c>
      <c r="Y49" s="525">
        <f>Y46+X49</f>
        <v>-13233.64634928001</v>
      </c>
    </row>
    <row r="50" spans="1:25" x14ac:dyDescent="0.2">
      <c r="A50" s="1"/>
      <c r="B50" s="1"/>
      <c r="C50" s="387">
        <f t="shared" ref="C50:C77" si="5">C49+1</f>
        <v>41672</v>
      </c>
      <c r="D50" s="388">
        <f t="shared" ref="D50:D77" si="6">($F$24*$H$24)/$G$24</f>
        <v>150899.55034482758</v>
      </c>
      <c r="E50" s="392">
        <f t="shared" ref="E50:E77" si="7">P50+Q50+R50</f>
        <v>78985.89</v>
      </c>
      <c r="F50" s="428">
        <f t="shared" si="0"/>
        <v>0.90615690000000004</v>
      </c>
      <c r="G50" s="390">
        <f t="shared" si="1"/>
        <v>71.573599999999999</v>
      </c>
      <c r="H50" s="391">
        <f t="shared" si="2"/>
        <v>229957.92010172759</v>
      </c>
      <c r="I50" s="324">
        <v>68052</v>
      </c>
      <c r="J50" s="325"/>
      <c r="K50" s="325"/>
      <c r="L50" s="319">
        <v>78985.89</v>
      </c>
      <c r="M50" s="320"/>
      <c r="N50" s="320"/>
      <c r="O50" s="320"/>
      <c r="P50" s="392">
        <f t="shared" ref="P50:P77" si="8">L50</f>
        <v>78985.89</v>
      </c>
      <c r="Q50" s="392">
        <f t="shared" si="3"/>
        <v>0</v>
      </c>
      <c r="R50" s="392">
        <f t="shared" si="4"/>
        <v>0</v>
      </c>
      <c r="S50" s="373"/>
      <c r="T50" s="374"/>
      <c r="U50" s="524">
        <f t="shared" ref="U50:U77" si="9">S50+T50-V50</f>
        <v>-68052</v>
      </c>
      <c r="V50" s="520">
        <f t="shared" ref="V50:V77" si="10">I50+J50+K50</f>
        <v>68052</v>
      </c>
      <c r="W50" s="520">
        <f t="shared" ref="W50:W77" si="11">(P50+Q50+R50)*1.055056</f>
        <v>83334.537159839994</v>
      </c>
      <c r="X50" s="520">
        <f t="shared" ref="X50:X77" si="12">V50-W50</f>
        <v>-15282.537159839994</v>
      </c>
      <c r="Y50" s="525">
        <f>Y49+X50</f>
        <v>-28516.183509120005</v>
      </c>
    </row>
    <row r="51" spans="1:25" x14ac:dyDescent="0.2">
      <c r="A51" s="1"/>
      <c r="B51" s="1"/>
      <c r="C51" s="387">
        <f t="shared" si="5"/>
        <v>41673</v>
      </c>
      <c r="D51" s="388">
        <f t="shared" si="6"/>
        <v>150899.55034482758</v>
      </c>
      <c r="E51" s="392">
        <f t="shared" si="7"/>
        <v>74586.97</v>
      </c>
      <c r="F51" s="428">
        <f t="shared" si="0"/>
        <v>0.90615690000000004</v>
      </c>
      <c r="G51" s="390">
        <f t="shared" si="1"/>
        <v>67.587500000000006</v>
      </c>
      <c r="H51" s="391">
        <f t="shared" si="2"/>
        <v>225555.01400172757</v>
      </c>
      <c r="I51" s="324">
        <v>72000</v>
      </c>
      <c r="J51" s="325"/>
      <c r="K51" s="325"/>
      <c r="L51" s="317">
        <v>74586.97</v>
      </c>
      <c r="M51" s="318"/>
      <c r="N51" s="318"/>
      <c r="O51" s="318"/>
      <c r="P51" s="392">
        <f t="shared" si="8"/>
        <v>74586.97</v>
      </c>
      <c r="Q51" s="392">
        <f t="shared" si="3"/>
        <v>0</v>
      </c>
      <c r="R51" s="392">
        <f t="shared" si="4"/>
        <v>0</v>
      </c>
      <c r="S51" s="373"/>
      <c r="T51" s="374"/>
      <c r="U51" s="524">
        <f t="shared" si="9"/>
        <v>-72000</v>
      </c>
      <c r="V51" s="520">
        <f t="shared" si="10"/>
        <v>72000</v>
      </c>
      <c r="W51" s="520">
        <f t="shared" si="11"/>
        <v>78693.430220320006</v>
      </c>
      <c r="X51" s="520">
        <f t="shared" si="12"/>
        <v>-6693.4302203200059</v>
      </c>
      <c r="Y51" s="525">
        <f t="shared" ref="Y51:Y77" si="13">Y50+X51</f>
        <v>-35209.613729440011</v>
      </c>
    </row>
    <row r="52" spans="1:25" x14ac:dyDescent="0.2">
      <c r="A52" s="1"/>
      <c r="B52" s="1"/>
      <c r="C52" s="387">
        <f t="shared" si="5"/>
        <v>41674</v>
      </c>
      <c r="D52" s="388">
        <f t="shared" si="6"/>
        <v>150899.55034482758</v>
      </c>
      <c r="E52" s="392">
        <f t="shared" si="7"/>
        <v>74499.02</v>
      </c>
      <c r="F52" s="428">
        <f t="shared" si="0"/>
        <v>0.90615690000000004</v>
      </c>
      <c r="G52" s="390">
        <f t="shared" si="1"/>
        <v>67.507800000000003</v>
      </c>
      <c r="H52" s="391">
        <f t="shared" si="2"/>
        <v>225466.98430172759</v>
      </c>
      <c r="I52" s="324">
        <v>72000</v>
      </c>
      <c r="J52" s="325"/>
      <c r="K52" s="325"/>
      <c r="L52" s="319">
        <v>74499.02</v>
      </c>
      <c r="M52" s="320"/>
      <c r="N52" s="320"/>
      <c r="O52" s="320"/>
      <c r="P52" s="392">
        <f t="shared" si="8"/>
        <v>74499.02</v>
      </c>
      <c r="Q52" s="392">
        <f t="shared" si="3"/>
        <v>0</v>
      </c>
      <c r="R52" s="392">
        <f t="shared" si="4"/>
        <v>0</v>
      </c>
      <c r="S52" s="373"/>
      <c r="T52" s="374"/>
      <c r="U52" s="524">
        <f t="shared" si="9"/>
        <v>-72000</v>
      </c>
      <c r="V52" s="520">
        <f t="shared" si="10"/>
        <v>72000</v>
      </c>
      <c r="W52" s="520">
        <f t="shared" si="11"/>
        <v>78600.638045120009</v>
      </c>
      <c r="X52" s="520">
        <f t="shared" si="12"/>
        <v>-6600.6380451200093</v>
      </c>
      <c r="Y52" s="525">
        <f t="shared" si="13"/>
        <v>-41810.25177456002</v>
      </c>
    </row>
    <row r="53" spans="1:25" x14ac:dyDescent="0.2">
      <c r="A53" s="1"/>
      <c r="B53" s="1"/>
      <c r="C53" s="387">
        <f t="shared" si="5"/>
        <v>41675</v>
      </c>
      <c r="D53" s="388">
        <f t="shared" si="6"/>
        <v>150899.55034482758</v>
      </c>
      <c r="E53" s="392">
        <f t="shared" si="7"/>
        <v>62785.55</v>
      </c>
      <c r="F53" s="428">
        <f t="shared" si="0"/>
        <v>0.90615690000000004</v>
      </c>
      <c r="G53" s="390">
        <f t="shared" si="1"/>
        <v>56.893599999999999</v>
      </c>
      <c r="H53" s="391">
        <f t="shared" si="2"/>
        <v>213742.90010172757</v>
      </c>
      <c r="I53" s="324">
        <v>73000</v>
      </c>
      <c r="J53" s="325"/>
      <c r="K53" s="325"/>
      <c r="L53" s="317">
        <v>62785.55</v>
      </c>
      <c r="M53" s="318"/>
      <c r="N53" s="318"/>
      <c r="O53" s="318"/>
      <c r="P53" s="392">
        <f t="shared" si="8"/>
        <v>62785.55</v>
      </c>
      <c r="Q53" s="392">
        <f t="shared" si="3"/>
        <v>0</v>
      </c>
      <c r="R53" s="392">
        <f t="shared" si="4"/>
        <v>0</v>
      </c>
      <c r="S53" s="373"/>
      <c r="T53" s="374"/>
      <c r="U53" s="524">
        <f t="shared" si="9"/>
        <v>-73000</v>
      </c>
      <c r="V53" s="520">
        <f t="shared" si="10"/>
        <v>73000</v>
      </c>
      <c r="W53" s="520">
        <f t="shared" si="11"/>
        <v>66242.271240800008</v>
      </c>
      <c r="X53" s="520">
        <f t="shared" si="12"/>
        <v>6757.7287591999921</v>
      </c>
      <c r="Y53" s="525">
        <f t="shared" si="13"/>
        <v>-35052.523015360028</v>
      </c>
    </row>
    <row r="54" spans="1:25" x14ac:dyDescent="0.2">
      <c r="A54" s="1"/>
      <c r="B54" s="1"/>
      <c r="C54" s="387">
        <f t="shared" si="5"/>
        <v>41676</v>
      </c>
      <c r="D54" s="388">
        <f t="shared" si="6"/>
        <v>150899.55034482758</v>
      </c>
      <c r="E54" s="392">
        <f t="shared" si="7"/>
        <v>41980</v>
      </c>
      <c r="F54" s="428">
        <f t="shared" si="0"/>
        <v>0.90615690000000004</v>
      </c>
      <c r="G54" s="390">
        <f t="shared" si="1"/>
        <v>38.040500000000002</v>
      </c>
      <c r="H54" s="391">
        <f t="shared" si="2"/>
        <v>192918.49700172758</v>
      </c>
      <c r="I54" s="324">
        <v>68000</v>
      </c>
      <c r="J54" s="325"/>
      <c r="K54" s="325"/>
      <c r="L54" s="319">
        <v>41980</v>
      </c>
      <c r="M54" s="320"/>
      <c r="N54" s="320"/>
      <c r="O54" s="320"/>
      <c r="P54" s="392">
        <f t="shared" si="8"/>
        <v>41980</v>
      </c>
      <c r="Q54" s="392">
        <f t="shared" si="3"/>
        <v>0</v>
      </c>
      <c r="R54" s="392">
        <f t="shared" si="4"/>
        <v>0</v>
      </c>
      <c r="S54" s="373"/>
      <c r="T54" s="374"/>
      <c r="U54" s="524">
        <f t="shared" si="9"/>
        <v>-68000</v>
      </c>
      <c r="V54" s="520">
        <f t="shared" si="10"/>
        <v>68000</v>
      </c>
      <c r="W54" s="520">
        <f t="shared" si="11"/>
        <v>44291.25088</v>
      </c>
      <c r="X54" s="520">
        <f t="shared" si="12"/>
        <v>23708.74912</v>
      </c>
      <c r="Y54" s="525">
        <f t="shared" si="13"/>
        <v>-11343.773895360027</v>
      </c>
    </row>
    <row r="55" spans="1:25" x14ac:dyDescent="0.2">
      <c r="A55" s="1"/>
      <c r="B55" s="1"/>
      <c r="C55" s="387">
        <f t="shared" si="5"/>
        <v>41677</v>
      </c>
      <c r="D55" s="388">
        <f t="shared" si="6"/>
        <v>150899.55034482758</v>
      </c>
      <c r="E55" s="392">
        <f t="shared" si="7"/>
        <v>61511.94</v>
      </c>
      <c r="F55" s="428">
        <f t="shared" si="0"/>
        <v>0.90615690000000004</v>
      </c>
      <c r="G55" s="390">
        <f t="shared" si="1"/>
        <v>55.7395</v>
      </c>
      <c r="H55" s="391">
        <f t="shared" si="2"/>
        <v>212468.13600172757</v>
      </c>
      <c r="I55" s="324">
        <v>68000</v>
      </c>
      <c r="J55" s="325"/>
      <c r="K55" s="325"/>
      <c r="L55" s="317">
        <v>61511.94</v>
      </c>
      <c r="M55" s="318"/>
      <c r="N55" s="318"/>
      <c r="O55" s="318"/>
      <c r="P55" s="392">
        <f t="shared" si="8"/>
        <v>61511.94</v>
      </c>
      <c r="Q55" s="392">
        <f t="shared" si="3"/>
        <v>0</v>
      </c>
      <c r="R55" s="392">
        <f t="shared" si="4"/>
        <v>0</v>
      </c>
      <c r="S55" s="373"/>
      <c r="T55" s="374"/>
      <c r="U55" s="524">
        <f t="shared" si="9"/>
        <v>-68000</v>
      </c>
      <c r="V55" s="520">
        <f t="shared" si="10"/>
        <v>68000</v>
      </c>
      <c r="W55" s="520">
        <f t="shared" si="11"/>
        <v>64898.541368639999</v>
      </c>
      <c r="X55" s="520">
        <f t="shared" si="12"/>
        <v>3101.4586313600012</v>
      </c>
      <c r="Y55" s="525">
        <f t="shared" si="13"/>
        <v>-8242.3152640000262</v>
      </c>
    </row>
    <row r="56" spans="1:25" x14ac:dyDescent="0.2">
      <c r="A56" s="1"/>
      <c r="B56" s="1"/>
      <c r="C56" s="387">
        <f t="shared" si="5"/>
        <v>41678</v>
      </c>
      <c r="D56" s="388">
        <f t="shared" si="6"/>
        <v>150899.55034482758</v>
      </c>
      <c r="E56" s="392">
        <f t="shared" si="7"/>
        <v>74421.05</v>
      </c>
      <c r="F56" s="428">
        <f t="shared" si="0"/>
        <v>0.90615690000000004</v>
      </c>
      <c r="G56" s="390">
        <f t="shared" si="1"/>
        <v>67.437100000000001</v>
      </c>
      <c r="H56" s="391">
        <f t="shared" si="2"/>
        <v>225388.94360172757</v>
      </c>
      <c r="I56" s="324">
        <v>68000</v>
      </c>
      <c r="J56" s="325"/>
      <c r="K56" s="325"/>
      <c r="L56" s="319">
        <v>74421.05</v>
      </c>
      <c r="M56" s="320"/>
      <c r="N56" s="320"/>
      <c r="O56" s="320"/>
      <c r="P56" s="392">
        <f t="shared" si="8"/>
        <v>74421.05</v>
      </c>
      <c r="Q56" s="392">
        <f t="shared" si="3"/>
        <v>0</v>
      </c>
      <c r="R56" s="392">
        <f t="shared" si="4"/>
        <v>0</v>
      </c>
      <c r="S56" s="373"/>
      <c r="T56" s="374"/>
      <c r="U56" s="524">
        <f t="shared" si="9"/>
        <v>-68000</v>
      </c>
      <c r="V56" s="520">
        <f t="shared" si="10"/>
        <v>68000</v>
      </c>
      <c r="W56" s="520">
        <f t="shared" si="11"/>
        <v>78518.375328800001</v>
      </c>
      <c r="X56" s="520">
        <f t="shared" si="12"/>
        <v>-10518.375328800001</v>
      </c>
      <c r="Y56" s="525">
        <f t="shared" si="13"/>
        <v>-18760.690592800027</v>
      </c>
    </row>
    <row r="57" spans="1:25" x14ac:dyDescent="0.2">
      <c r="A57" s="1"/>
      <c r="B57" s="1"/>
      <c r="C57" s="387">
        <f t="shared" si="5"/>
        <v>41679</v>
      </c>
      <c r="D57" s="388">
        <f t="shared" si="6"/>
        <v>150899.55034482758</v>
      </c>
      <c r="E57" s="392">
        <f t="shared" si="7"/>
        <v>74701.19</v>
      </c>
      <c r="F57" s="428">
        <f t="shared" si="0"/>
        <v>0.90615690000000004</v>
      </c>
      <c r="G57" s="390">
        <f t="shared" si="1"/>
        <v>67.691000000000003</v>
      </c>
      <c r="H57" s="391">
        <f t="shared" si="2"/>
        <v>225669.33750172757</v>
      </c>
      <c r="I57" s="324">
        <v>60000</v>
      </c>
      <c r="J57" s="325"/>
      <c r="K57" s="325"/>
      <c r="L57" s="317">
        <v>74701.19</v>
      </c>
      <c r="M57" s="318"/>
      <c r="N57" s="318"/>
      <c r="O57" s="318"/>
      <c r="P57" s="392">
        <f t="shared" si="8"/>
        <v>74701.19</v>
      </c>
      <c r="Q57" s="392">
        <f t="shared" si="3"/>
        <v>0</v>
      </c>
      <c r="R57" s="392">
        <f t="shared" si="4"/>
        <v>0</v>
      </c>
      <c r="S57" s="373"/>
      <c r="T57" s="374"/>
      <c r="U57" s="524">
        <f t="shared" si="9"/>
        <v>-60000</v>
      </c>
      <c r="V57" s="520">
        <f t="shared" si="10"/>
        <v>60000</v>
      </c>
      <c r="W57" s="520">
        <f t="shared" si="11"/>
        <v>78813.938716639997</v>
      </c>
      <c r="X57" s="520">
        <f t="shared" si="12"/>
        <v>-18813.938716639997</v>
      </c>
      <c r="Y57" s="525">
        <f t="shared" si="13"/>
        <v>-37574.629309440024</v>
      </c>
    </row>
    <row r="58" spans="1:25" x14ac:dyDescent="0.2">
      <c r="A58" s="1"/>
      <c r="B58" s="1"/>
      <c r="C58" s="387">
        <f t="shared" si="5"/>
        <v>41680</v>
      </c>
      <c r="D58" s="388">
        <f t="shared" si="6"/>
        <v>150899.55034482758</v>
      </c>
      <c r="E58" s="392">
        <f t="shared" si="7"/>
        <v>56658.42</v>
      </c>
      <c r="F58" s="428">
        <f t="shared" si="0"/>
        <v>0.90615690000000004</v>
      </c>
      <c r="G58" s="390">
        <f t="shared" si="1"/>
        <v>51.3414</v>
      </c>
      <c r="H58" s="391">
        <f t="shared" si="2"/>
        <v>207610.21790172756</v>
      </c>
      <c r="I58" s="324">
        <v>69000</v>
      </c>
      <c r="J58" s="325"/>
      <c r="K58" s="325"/>
      <c r="L58" s="319">
        <v>56658.42</v>
      </c>
      <c r="M58" s="320"/>
      <c r="N58" s="320"/>
      <c r="O58" s="320"/>
      <c r="P58" s="392">
        <f t="shared" si="8"/>
        <v>56658.42</v>
      </c>
      <c r="Q58" s="392">
        <f t="shared" si="3"/>
        <v>0</v>
      </c>
      <c r="R58" s="392">
        <f t="shared" si="4"/>
        <v>0</v>
      </c>
      <c r="S58" s="373"/>
      <c r="T58" s="374"/>
      <c r="U58" s="524">
        <f t="shared" si="9"/>
        <v>-69000</v>
      </c>
      <c r="V58" s="520">
        <f t="shared" si="10"/>
        <v>69000</v>
      </c>
      <c r="W58" s="520">
        <f t="shared" si="11"/>
        <v>59777.80597152</v>
      </c>
      <c r="X58" s="520">
        <f t="shared" si="12"/>
        <v>9222.1940284800003</v>
      </c>
      <c r="Y58" s="525">
        <f t="shared" si="13"/>
        <v>-28352.435280960024</v>
      </c>
    </row>
    <row r="59" spans="1:25" x14ac:dyDescent="0.2">
      <c r="A59" s="1"/>
      <c r="B59" s="1"/>
      <c r="C59" s="387">
        <f t="shared" si="5"/>
        <v>41681</v>
      </c>
      <c r="D59" s="388">
        <f t="shared" si="6"/>
        <v>150899.55034482758</v>
      </c>
      <c r="E59" s="392">
        <f t="shared" si="7"/>
        <v>73495.820000000007</v>
      </c>
      <c r="F59" s="428">
        <f t="shared" si="0"/>
        <v>0.90615690000000004</v>
      </c>
      <c r="G59" s="390">
        <f t="shared" si="1"/>
        <v>66.598699999999994</v>
      </c>
      <c r="H59" s="391">
        <f t="shared" si="2"/>
        <v>224462.87520172758</v>
      </c>
      <c r="I59" s="324">
        <v>69000</v>
      </c>
      <c r="J59" s="325"/>
      <c r="K59" s="325"/>
      <c r="L59" s="317">
        <v>73495.820000000007</v>
      </c>
      <c r="M59" s="318"/>
      <c r="N59" s="318"/>
      <c r="O59" s="318"/>
      <c r="P59" s="392">
        <f t="shared" si="8"/>
        <v>73495.820000000007</v>
      </c>
      <c r="Q59" s="392">
        <f t="shared" si="3"/>
        <v>0</v>
      </c>
      <c r="R59" s="392">
        <f t="shared" si="4"/>
        <v>0</v>
      </c>
      <c r="S59" s="373"/>
      <c r="T59" s="374"/>
      <c r="U59" s="524">
        <f t="shared" si="9"/>
        <v>-69000</v>
      </c>
      <c r="V59" s="520">
        <f t="shared" si="10"/>
        <v>69000</v>
      </c>
      <c r="W59" s="520">
        <f t="shared" si="11"/>
        <v>77542.205865920012</v>
      </c>
      <c r="X59" s="520">
        <f t="shared" si="12"/>
        <v>-8542.205865920012</v>
      </c>
      <c r="Y59" s="525">
        <f t="shared" si="13"/>
        <v>-36894.641146880036</v>
      </c>
    </row>
    <row r="60" spans="1:25" x14ac:dyDescent="0.2">
      <c r="A60" s="1"/>
      <c r="B60" s="1"/>
      <c r="C60" s="387">
        <f t="shared" si="5"/>
        <v>41682</v>
      </c>
      <c r="D60" s="388">
        <f t="shared" si="6"/>
        <v>150899.55034482758</v>
      </c>
      <c r="E60" s="392">
        <f t="shared" si="7"/>
        <v>74141.8</v>
      </c>
      <c r="F60" s="428">
        <f t="shared" si="0"/>
        <v>0.90615690000000004</v>
      </c>
      <c r="G60" s="390">
        <f t="shared" si="1"/>
        <v>67.184100000000001</v>
      </c>
      <c r="H60" s="391">
        <f t="shared" si="2"/>
        <v>225109.44060172758</v>
      </c>
      <c r="I60" s="324">
        <v>70000</v>
      </c>
      <c r="J60" s="325"/>
      <c r="K60" s="325"/>
      <c r="L60" s="319">
        <v>74141.8</v>
      </c>
      <c r="M60" s="320"/>
      <c r="N60" s="320"/>
      <c r="O60" s="320"/>
      <c r="P60" s="392">
        <f t="shared" si="8"/>
        <v>74141.8</v>
      </c>
      <c r="Q60" s="392">
        <f t="shared" si="3"/>
        <v>0</v>
      </c>
      <c r="R60" s="392">
        <f t="shared" si="4"/>
        <v>0</v>
      </c>
      <c r="S60" s="373"/>
      <c r="T60" s="374"/>
      <c r="U60" s="524">
        <f t="shared" si="9"/>
        <v>-70000</v>
      </c>
      <c r="V60" s="520">
        <f t="shared" si="10"/>
        <v>70000</v>
      </c>
      <c r="W60" s="520">
        <f t="shared" si="11"/>
        <v>78223.750940800004</v>
      </c>
      <c r="X60" s="520">
        <f t="shared" si="12"/>
        <v>-8223.7509408000042</v>
      </c>
      <c r="Y60" s="525">
        <f t="shared" si="13"/>
        <v>-45118.39208768004</v>
      </c>
    </row>
    <row r="61" spans="1:25" x14ac:dyDescent="0.2">
      <c r="A61" s="1"/>
      <c r="B61" s="1"/>
      <c r="C61" s="387">
        <f t="shared" si="5"/>
        <v>41683</v>
      </c>
      <c r="D61" s="388">
        <f t="shared" si="6"/>
        <v>150899.55034482758</v>
      </c>
      <c r="E61" s="392">
        <f t="shared" si="7"/>
        <v>74364.34</v>
      </c>
      <c r="F61" s="428">
        <f t="shared" si="0"/>
        <v>0.90615690000000004</v>
      </c>
      <c r="G61" s="390">
        <f t="shared" si="1"/>
        <v>67.385800000000003</v>
      </c>
      <c r="H61" s="391">
        <f t="shared" si="2"/>
        <v>225332.18230172756</v>
      </c>
      <c r="I61" s="324">
        <v>67000</v>
      </c>
      <c r="J61" s="325"/>
      <c r="K61" s="325"/>
      <c r="L61" s="317">
        <v>74364.34</v>
      </c>
      <c r="M61" s="318"/>
      <c r="N61" s="318"/>
      <c r="O61" s="318"/>
      <c r="P61" s="392">
        <f t="shared" si="8"/>
        <v>74364.34</v>
      </c>
      <c r="Q61" s="392">
        <f t="shared" si="3"/>
        <v>0</v>
      </c>
      <c r="R61" s="392">
        <f t="shared" si="4"/>
        <v>0</v>
      </c>
      <c r="S61" s="373"/>
      <c r="T61" s="374"/>
      <c r="U61" s="524">
        <f t="shared" si="9"/>
        <v>-67000</v>
      </c>
      <c r="V61" s="520">
        <f t="shared" si="10"/>
        <v>67000</v>
      </c>
      <c r="W61" s="520">
        <f t="shared" si="11"/>
        <v>78458.543103039992</v>
      </c>
      <c r="X61" s="520">
        <f t="shared" si="12"/>
        <v>-11458.543103039992</v>
      </c>
      <c r="Y61" s="525">
        <f t="shared" si="13"/>
        <v>-56576.935190720033</v>
      </c>
    </row>
    <row r="62" spans="1:25" x14ac:dyDescent="0.2">
      <c r="A62" s="1"/>
      <c r="B62" s="1"/>
      <c r="C62" s="387">
        <f t="shared" si="5"/>
        <v>41684</v>
      </c>
      <c r="D62" s="388">
        <f t="shared" si="6"/>
        <v>150899.55034482758</v>
      </c>
      <c r="E62" s="392">
        <f t="shared" si="7"/>
        <v>74664.323999999993</v>
      </c>
      <c r="F62" s="428">
        <f t="shared" si="0"/>
        <v>0.90615690000000004</v>
      </c>
      <c r="G62" s="390">
        <f t="shared" si="1"/>
        <v>67.657600000000002</v>
      </c>
      <c r="H62" s="391">
        <f t="shared" si="2"/>
        <v>225632.43810172757</v>
      </c>
      <c r="I62" s="324">
        <v>67000</v>
      </c>
      <c r="J62" s="325"/>
      <c r="K62" s="325"/>
      <c r="L62" s="319">
        <v>74664.323999999993</v>
      </c>
      <c r="M62" s="320"/>
      <c r="N62" s="320"/>
      <c r="O62" s="320"/>
      <c r="P62" s="392">
        <f t="shared" si="8"/>
        <v>74664.323999999993</v>
      </c>
      <c r="Q62" s="392">
        <f t="shared" si="3"/>
        <v>0</v>
      </c>
      <c r="R62" s="392">
        <f t="shared" si="4"/>
        <v>0</v>
      </c>
      <c r="S62" s="373"/>
      <c r="T62" s="374"/>
      <c r="U62" s="524">
        <f t="shared" si="9"/>
        <v>-67000</v>
      </c>
      <c r="V62" s="520">
        <f t="shared" si="10"/>
        <v>67000</v>
      </c>
      <c r="W62" s="520">
        <f t="shared" si="11"/>
        <v>78775.043022143989</v>
      </c>
      <c r="X62" s="520">
        <f t="shared" si="12"/>
        <v>-11775.043022143989</v>
      </c>
      <c r="Y62" s="525">
        <f t="shared" si="13"/>
        <v>-68351.978212864022</v>
      </c>
    </row>
    <row r="63" spans="1:25" x14ac:dyDescent="0.2">
      <c r="A63" s="1"/>
      <c r="B63" s="1"/>
      <c r="C63" s="387">
        <f t="shared" si="5"/>
        <v>41685</v>
      </c>
      <c r="D63" s="388">
        <f t="shared" si="6"/>
        <v>150899.55034482758</v>
      </c>
      <c r="E63" s="392">
        <f t="shared" si="7"/>
        <v>74687.342999999993</v>
      </c>
      <c r="F63" s="428">
        <f t="shared" si="0"/>
        <v>0.90615690000000004</v>
      </c>
      <c r="G63" s="390">
        <f t="shared" si="1"/>
        <v>67.6785</v>
      </c>
      <c r="H63" s="391">
        <f t="shared" si="2"/>
        <v>225655.47800172758</v>
      </c>
      <c r="I63" s="324">
        <v>67000</v>
      </c>
      <c r="J63" s="325"/>
      <c r="K63" s="325"/>
      <c r="L63" s="317">
        <v>74687.342999999993</v>
      </c>
      <c r="M63" s="318"/>
      <c r="N63" s="318"/>
      <c r="O63" s="318"/>
      <c r="P63" s="392">
        <f t="shared" si="8"/>
        <v>74687.342999999993</v>
      </c>
      <c r="Q63" s="392">
        <f t="shared" si="3"/>
        <v>0</v>
      </c>
      <c r="R63" s="392">
        <f t="shared" si="4"/>
        <v>0</v>
      </c>
      <c r="S63" s="373"/>
      <c r="T63" s="374"/>
      <c r="U63" s="524">
        <f t="shared" si="9"/>
        <v>-67000</v>
      </c>
      <c r="V63" s="520">
        <f t="shared" si="10"/>
        <v>67000</v>
      </c>
      <c r="W63" s="520">
        <f t="shared" si="11"/>
        <v>78799.329356207993</v>
      </c>
      <c r="X63" s="520">
        <f t="shared" si="12"/>
        <v>-11799.329356207993</v>
      </c>
      <c r="Y63" s="525">
        <f t="shared" si="13"/>
        <v>-80151.307569072014</v>
      </c>
    </row>
    <row r="64" spans="1:25" x14ac:dyDescent="0.2">
      <c r="A64" s="1"/>
      <c r="B64" s="1"/>
      <c r="C64" s="387">
        <f t="shared" si="5"/>
        <v>41686</v>
      </c>
      <c r="D64" s="388">
        <f t="shared" si="6"/>
        <v>150899.55034482758</v>
      </c>
      <c r="E64" s="392">
        <f t="shared" si="7"/>
        <v>74498.63</v>
      </c>
      <c r="F64" s="428">
        <f t="shared" si="0"/>
        <v>0.90615690000000004</v>
      </c>
      <c r="G64" s="390">
        <f t="shared" si="1"/>
        <v>67.507400000000004</v>
      </c>
      <c r="H64" s="391">
        <f t="shared" si="2"/>
        <v>225466.59390172758</v>
      </c>
      <c r="I64" s="324">
        <v>67000</v>
      </c>
      <c r="J64" s="325"/>
      <c r="K64" s="325"/>
      <c r="L64" s="319">
        <v>74498.63</v>
      </c>
      <c r="M64" s="320"/>
      <c r="N64" s="320"/>
      <c r="O64" s="320"/>
      <c r="P64" s="392">
        <f t="shared" si="8"/>
        <v>74498.63</v>
      </c>
      <c r="Q64" s="392">
        <f t="shared" si="3"/>
        <v>0</v>
      </c>
      <c r="R64" s="392">
        <f t="shared" si="4"/>
        <v>0</v>
      </c>
      <c r="S64" s="373"/>
      <c r="T64" s="374"/>
      <c r="U64" s="524">
        <f t="shared" si="9"/>
        <v>-67000</v>
      </c>
      <c r="V64" s="520">
        <f t="shared" si="10"/>
        <v>67000</v>
      </c>
      <c r="W64" s="520">
        <f t="shared" si="11"/>
        <v>78600.226573280001</v>
      </c>
      <c r="X64" s="520">
        <f t="shared" si="12"/>
        <v>-11600.226573280001</v>
      </c>
      <c r="Y64" s="525">
        <f t="shared" si="13"/>
        <v>-91751.534142352015</v>
      </c>
    </row>
    <row r="65" spans="1:38" x14ac:dyDescent="0.2">
      <c r="A65" s="1"/>
      <c r="B65" s="1"/>
      <c r="C65" s="387">
        <f t="shared" si="5"/>
        <v>41687</v>
      </c>
      <c r="D65" s="388">
        <f t="shared" si="6"/>
        <v>150899.55034482758</v>
      </c>
      <c r="E65" s="392">
        <f t="shared" si="7"/>
        <v>74026.856</v>
      </c>
      <c r="F65" s="428">
        <f t="shared" si="0"/>
        <v>0.90615690000000004</v>
      </c>
      <c r="G65" s="390">
        <f t="shared" si="1"/>
        <v>67.079899999999995</v>
      </c>
      <c r="H65" s="391">
        <f t="shared" si="2"/>
        <v>224994.39240172759</v>
      </c>
      <c r="I65" s="324">
        <v>65000</v>
      </c>
      <c r="J65" s="325"/>
      <c r="K65" s="325"/>
      <c r="L65" s="317">
        <v>74026.856</v>
      </c>
      <c r="M65" s="318"/>
      <c r="N65" s="318"/>
      <c r="O65" s="318"/>
      <c r="P65" s="392">
        <f t="shared" si="8"/>
        <v>74026.856</v>
      </c>
      <c r="Q65" s="392">
        <f t="shared" si="3"/>
        <v>0</v>
      </c>
      <c r="R65" s="392">
        <f t="shared" si="4"/>
        <v>0</v>
      </c>
      <c r="S65" s="373"/>
      <c r="T65" s="374"/>
      <c r="U65" s="524">
        <f t="shared" si="9"/>
        <v>-65000</v>
      </c>
      <c r="V65" s="520">
        <f t="shared" si="10"/>
        <v>65000</v>
      </c>
      <c r="W65" s="520">
        <f t="shared" si="11"/>
        <v>78102.478583935997</v>
      </c>
      <c r="X65" s="520">
        <f t="shared" si="12"/>
        <v>-13102.478583935997</v>
      </c>
      <c r="Y65" s="525">
        <f t="shared" si="13"/>
        <v>-104854.01272628801</v>
      </c>
    </row>
    <row r="66" spans="1:38" x14ac:dyDescent="0.2">
      <c r="A66" s="1"/>
      <c r="B66" s="1"/>
      <c r="C66" s="387">
        <f t="shared" si="5"/>
        <v>41688</v>
      </c>
      <c r="D66" s="388">
        <f t="shared" si="6"/>
        <v>150899.55034482758</v>
      </c>
      <c r="E66" s="392">
        <f t="shared" si="7"/>
        <v>74566.66</v>
      </c>
      <c r="F66" s="428">
        <f t="shared" si="0"/>
        <v>0.90615690000000004</v>
      </c>
      <c r="G66" s="390">
        <f t="shared" si="1"/>
        <v>67.569100000000006</v>
      </c>
      <c r="H66" s="391">
        <f t="shared" si="2"/>
        <v>225534.68560172757</v>
      </c>
      <c r="I66" s="324">
        <v>65000</v>
      </c>
      <c r="J66" s="325"/>
      <c r="K66" s="325"/>
      <c r="L66" s="319">
        <v>74566.66</v>
      </c>
      <c r="M66" s="320"/>
      <c r="N66" s="320"/>
      <c r="O66" s="320"/>
      <c r="P66" s="392">
        <f t="shared" si="8"/>
        <v>74566.66</v>
      </c>
      <c r="Q66" s="392">
        <f t="shared" si="3"/>
        <v>0</v>
      </c>
      <c r="R66" s="392">
        <f t="shared" si="4"/>
        <v>0</v>
      </c>
      <c r="S66" s="373"/>
      <c r="T66" s="374"/>
      <c r="U66" s="524">
        <f t="shared" si="9"/>
        <v>-65000</v>
      </c>
      <c r="V66" s="520">
        <f t="shared" si="10"/>
        <v>65000</v>
      </c>
      <c r="W66" s="520">
        <f t="shared" si="11"/>
        <v>78672.002032960008</v>
      </c>
      <c r="X66" s="520">
        <f t="shared" si="12"/>
        <v>-13672.002032960008</v>
      </c>
      <c r="Y66" s="525">
        <f t="shared" si="13"/>
        <v>-118526.01475924802</v>
      </c>
    </row>
    <row r="67" spans="1:38" x14ac:dyDescent="0.2">
      <c r="A67" s="1"/>
      <c r="B67" s="1"/>
      <c r="C67" s="387">
        <f t="shared" si="5"/>
        <v>41689</v>
      </c>
      <c r="D67" s="388">
        <f t="shared" si="6"/>
        <v>150899.55034482758</v>
      </c>
      <c r="E67" s="392">
        <f t="shared" si="7"/>
        <v>74706.657999999996</v>
      </c>
      <c r="F67" s="428">
        <f t="shared" si="0"/>
        <v>0.90615690000000004</v>
      </c>
      <c r="G67" s="390">
        <f t="shared" si="1"/>
        <v>67.695999999999998</v>
      </c>
      <c r="H67" s="391">
        <f t="shared" si="2"/>
        <v>225674.81050172757</v>
      </c>
      <c r="I67" s="324">
        <v>65000</v>
      </c>
      <c r="J67" s="325"/>
      <c r="K67" s="325"/>
      <c r="L67" s="317">
        <v>74706.657999999996</v>
      </c>
      <c r="M67" s="318"/>
      <c r="N67" s="318"/>
      <c r="O67" s="318"/>
      <c r="P67" s="392">
        <f t="shared" si="8"/>
        <v>74706.657999999996</v>
      </c>
      <c r="Q67" s="392">
        <f t="shared" si="3"/>
        <v>0</v>
      </c>
      <c r="R67" s="392">
        <f t="shared" si="4"/>
        <v>0</v>
      </c>
      <c r="S67" s="373"/>
      <c r="T67" s="374"/>
      <c r="U67" s="524">
        <f t="shared" si="9"/>
        <v>-65000</v>
      </c>
      <c r="V67" s="520">
        <f t="shared" si="10"/>
        <v>65000</v>
      </c>
      <c r="W67" s="520">
        <f t="shared" si="11"/>
        <v>78819.707762847989</v>
      </c>
      <c r="X67" s="520">
        <f t="shared" si="12"/>
        <v>-13819.707762847989</v>
      </c>
      <c r="Y67" s="525">
        <f t="shared" si="13"/>
        <v>-132345.72252209601</v>
      </c>
    </row>
    <row r="68" spans="1:38" x14ac:dyDescent="0.2">
      <c r="A68" s="1"/>
      <c r="B68" s="1"/>
      <c r="C68" s="387">
        <f t="shared" si="5"/>
        <v>41690</v>
      </c>
      <c r="D68" s="388">
        <f t="shared" si="6"/>
        <v>150899.55034482758</v>
      </c>
      <c r="E68" s="392">
        <f t="shared" si="7"/>
        <v>73257.05</v>
      </c>
      <c r="F68" s="428">
        <f t="shared" si="0"/>
        <v>0.90615690000000004</v>
      </c>
      <c r="G68" s="390">
        <f t="shared" si="1"/>
        <v>66.382400000000004</v>
      </c>
      <c r="H68" s="391">
        <f t="shared" si="2"/>
        <v>224223.88890172757</v>
      </c>
      <c r="I68" s="324">
        <v>65000</v>
      </c>
      <c r="J68" s="325"/>
      <c r="K68" s="325"/>
      <c r="L68" s="319">
        <v>73257.05</v>
      </c>
      <c r="M68" s="320"/>
      <c r="N68" s="320"/>
      <c r="O68" s="320"/>
      <c r="P68" s="392">
        <f t="shared" si="8"/>
        <v>73257.05</v>
      </c>
      <c r="Q68" s="392">
        <f t="shared" si="3"/>
        <v>0</v>
      </c>
      <c r="R68" s="392">
        <f t="shared" si="4"/>
        <v>0</v>
      </c>
      <c r="S68" s="373"/>
      <c r="T68" s="374"/>
      <c r="U68" s="524">
        <f t="shared" si="9"/>
        <v>-65000</v>
      </c>
      <c r="V68" s="520">
        <f t="shared" si="10"/>
        <v>65000</v>
      </c>
      <c r="W68" s="520">
        <f t="shared" si="11"/>
        <v>77290.290144800005</v>
      </c>
      <c r="X68" s="520">
        <f t="shared" si="12"/>
        <v>-12290.290144800005</v>
      </c>
      <c r="Y68" s="525">
        <f t="shared" si="13"/>
        <v>-144636.01266689601</v>
      </c>
    </row>
    <row r="69" spans="1:38" x14ac:dyDescent="0.2">
      <c r="A69" s="1"/>
      <c r="B69" s="1"/>
      <c r="C69" s="387">
        <f t="shared" si="5"/>
        <v>41691</v>
      </c>
      <c r="D69" s="388">
        <f t="shared" si="6"/>
        <v>150899.55034482758</v>
      </c>
      <c r="E69" s="392">
        <f t="shared" si="7"/>
        <v>72740.320000000007</v>
      </c>
      <c r="F69" s="428">
        <f t="shared" si="0"/>
        <v>0.90615690000000004</v>
      </c>
      <c r="G69" s="390">
        <f t="shared" si="1"/>
        <v>65.914100000000005</v>
      </c>
      <c r="H69" s="391">
        <f t="shared" si="2"/>
        <v>223706.69060172758</v>
      </c>
      <c r="I69" s="324">
        <v>65000</v>
      </c>
      <c r="J69" s="325"/>
      <c r="K69" s="325"/>
      <c r="L69" s="317">
        <v>72740.320000000007</v>
      </c>
      <c r="M69" s="318"/>
      <c r="N69" s="318"/>
      <c r="O69" s="318"/>
      <c r="P69" s="392">
        <f t="shared" si="8"/>
        <v>72740.320000000007</v>
      </c>
      <c r="Q69" s="392">
        <f t="shared" si="3"/>
        <v>0</v>
      </c>
      <c r="R69" s="392">
        <f t="shared" si="4"/>
        <v>0</v>
      </c>
      <c r="S69" s="373"/>
      <c r="T69" s="374"/>
      <c r="U69" s="524">
        <f t="shared" si="9"/>
        <v>-65000</v>
      </c>
      <c r="V69" s="520">
        <f t="shared" si="10"/>
        <v>65000</v>
      </c>
      <c r="W69" s="520">
        <f t="shared" si="11"/>
        <v>76745.111057920003</v>
      </c>
      <c r="X69" s="520">
        <f t="shared" si="12"/>
        <v>-11745.111057920003</v>
      </c>
      <c r="Y69" s="525">
        <f t="shared" si="13"/>
        <v>-156381.12372481602</v>
      </c>
    </row>
    <row r="70" spans="1:38" x14ac:dyDescent="0.2">
      <c r="A70" s="1"/>
      <c r="B70" s="1"/>
      <c r="C70" s="387">
        <f t="shared" si="5"/>
        <v>41692</v>
      </c>
      <c r="D70" s="388">
        <f t="shared" si="6"/>
        <v>150899.55034482758</v>
      </c>
      <c r="E70" s="392">
        <f t="shared" si="7"/>
        <v>74288.53</v>
      </c>
      <c r="F70" s="428">
        <f t="shared" si="0"/>
        <v>0.90615690000000004</v>
      </c>
      <c r="G70" s="390">
        <f t="shared" si="1"/>
        <v>67.317099999999996</v>
      </c>
      <c r="H70" s="391">
        <f t="shared" si="2"/>
        <v>225256.30360172756</v>
      </c>
      <c r="I70" s="324">
        <v>65000</v>
      </c>
      <c r="J70" s="325"/>
      <c r="K70" s="325"/>
      <c r="L70" s="319">
        <v>74288.53</v>
      </c>
      <c r="M70" s="320"/>
      <c r="N70" s="320"/>
      <c r="O70" s="320"/>
      <c r="P70" s="392">
        <f t="shared" si="8"/>
        <v>74288.53</v>
      </c>
      <c r="Q70" s="392">
        <f t="shared" si="3"/>
        <v>0</v>
      </c>
      <c r="R70" s="392">
        <f t="shared" si="4"/>
        <v>0</v>
      </c>
      <c r="S70" s="373"/>
      <c r="T70" s="374"/>
      <c r="U70" s="524">
        <f t="shared" si="9"/>
        <v>-65000</v>
      </c>
      <c r="V70" s="520">
        <f t="shared" si="10"/>
        <v>65000</v>
      </c>
      <c r="W70" s="520">
        <f t="shared" si="11"/>
        <v>78378.55930768</v>
      </c>
      <c r="X70" s="520">
        <f t="shared" si="12"/>
        <v>-13378.55930768</v>
      </c>
      <c r="Y70" s="525">
        <f t="shared" si="13"/>
        <v>-169759.68303249602</v>
      </c>
    </row>
    <row r="71" spans="1:38" x14ac:dyDescent="0.2">
      <c r="A71" s="1"/>
      <c r="B71" s="1"/>
      <c r="C71" s="387">
        <f t="shared" si="5"/>
        <v>41693</v>
      </c>
      <c r="D71" s="388">
        <f t="shared" si="6"/>
        <v>150899.55034482758</v>
      </c>
      <c r="E71" s="392">
        <f t="shared" si="7"/>
        <v>74256.27</v>
      </c>
      <c r="F71" s="428">
        <f t="shared" si="0"/>
        <v>0.90615690000000004</v>
      </c>
      <c r="G71" s="390">
        <f t="shared" si="1"/>
        <v>67.287800000000004</v>
      </c>
      <c r="H71" s="391">
        <f t="shared" si="2"/>
        <v>225224.01430172758</v>
      </c>
      <c r="I71" s="324">
        <v>68000</v>
      </c>
      <c r="J71" s="325"/>
      <c r="K71" s="325"/>
      <c r="L71" s="317">
        <v>74256.27</v>
      </c>
      <c r="M71" s="318"/>
      <c r="N71" s="318"/>
      <c r="O71" s="318"/>
      <c r="P71" s="392">
        <f t="shared" si="8"/>
        <v>74256.27</v>
      </c>
      <c r="Q71" s="392">
        <f t="shared" si="3"/>
        <v>0</v>
      </c>
      <c r="R71" s="392">
        <f t="shared" si="4"/>
        <v>0</v>
      </c>
      <c r="S71" s="373"/>
      <c r="T71" s="374"/>
      <c r="U71" s="524">
        <f t="shared" si="9"/>
        <v>-68000</v>
      </c>
      <c r="V71" s="520">
        <f t="shared" si="10"/>
        <v>68000</v>
      </c>
      <c r="W71" s="520">
        <f t="shared" si="11"/>
        <v>78344.523201119999</v>
      </c>
      <c r="X71" s="520">
        <f t="shared" si="12"/>
        <v>-10344.523201119999</v>
      </c>
      <c r="Y71" s="525">
        <f t="shared" si="13"/>
        <v>-180104.20623361602</v>
      </c>
    </row>
    <row r="72" spans="1:38" x14ac:dyDescent="0.2">
      <c r="A72" s="1"/>
      <c r="B72" s="1"/>
      <c r="C72" s="387">
        <f t="shared" si="5"/>
        <v>41694</v>
      </c>
      <c r="D72" s="388">
        <f t="shared" si="6"/>
        <v>150899.55034482758</v>
      </c>
      <c r="E72" s="392">
        <f t="shared" si="7"/>
        <v>73032.546875</v>
      </c>
      <c r="F72" s="428">
        <f t="shared" si="0"/>
        <v>0.90615690000000004</v>
      </c>
      <c r="G72" s="390">
        <f t="shared" si="1"/>
        <v>66.178899999999999</v>
      </c>
      <c r="H72" s="391">
        <f t="shared" si="2"/>
        <v>223999.18227672757</v>
      </c>
      <c r="I72" s="324">
        <v>68000</v>
      </c>
      <c r="J72" s="325"/>
      <c r="K72" s="325"/>
      <c r="L72" s="319">
        <v>73032.546875</v>
      </c>
      <c r="M72" s="320"/>
      <c r="N72" s="320"/>
      <c r="O72" s="320"/>
      <c r="P72" s="392">
        <f t="shared" si="8"/>
        <v>73032.546875</v>
      </c>
      <c r="Q72" s="392">
        <f t="shared" si="3"/>
        <v>0</v>
      </c>
      <c r="R72" s="392">
        <f t="shared" si="4"/>
        <v>0</v>
      </c>
      <c r="S72" s="373"/>
      <c r="T72" s="374"/>
      <c r="U72" s="524">
        <f t="shared" si="9"/>
        <v>-68000</v>
      </c>
      <c r="V72" s="520">
        <f t="shared" si="10"/>
        <v>68000</v>
      </c>
      <c r="W72" s="520">
        <f t="shared" si="11"/>
        <v>77053.426775750006</v>
      </c>
      <c r="X72" s="520">
        <f t="shared" si="12"/>
        <v>-9053.4267757500056</v>
      </c>
      <c r="Y72" s="525">
        <f t="shared" si="13"/>
        <v>-189157.63300936602</v>
      </c>
    </row>
    <row r="73" spans="1:38" x14ac:dyDescent="0.2">
      <c r="A73" s="1"/>
      <c r="B73" s="1"/>
      <c r="C73" s="387">
        <f t="shared" si="5"/>
        <v>41695</v>
      </c>
      <c r="D73" s="388">
        <f t="shared" si="6"/>
        <v>150899.55034482758</v>
      </c>
      <c r="E73" s="392">
        <f t="shared" si="7"/>
        <v>73016.757813000004</v>
      </c>
      <c r="F73" s="428">
        <f t="shared" si="0"/>
        <v>0.90615690000000004</v>
      </c>
      <c r="G73" s="390">
        <f t="shared" si="1"/>
        <v>66.164599999999993</v>
      </c>
      <c r="H73" s="391">
        <f t="shared" si="2"/>
        <v>223983.37891472757</v>
      </c>
      <c r="I73" s="324">
        <v>69727</v>
      </c>
      <c r="J73" s="325"/>
      <c r="K73" s="325"/>
      <c r="L73" s="317">
        <v>73016.757813000004</v>
      </c>
      <c r="M73" s="318"/>
      <c r="N73" s="318"/>
      <c r="O73" s="318"/>
      <c r="P73" s="392">
        <f t="shared" si="8"/>
        <v>73016.757813000004</v>
      </c>
      <c r="Q73" s="392">
        <f t="shared" si="3"/>
        <v>0</v>
      </c>
      <c r="R73" s="392">
        <f t="shared" si="4"/>
        <v>0</v>
      </c>
      <c r="S73" s="373"/>
      <c r="T73" s="374"/>
      <c r="U73" s="524">
        <f t="shared" si="9"/>
        <v>-69727</v>
      </c>
      <c r="V73" s="520">
        <f t="shared" si="10"/>
        <v>69727</v>
      </c>
      <c r="W73" s="520">
        <f t="shared" si="11"/>
        <v>77036.768431152537</v>
      </c>
      <c r="X73" s="520">
        <f t="shared" si="12"/>
        <v>-7309.7684311525372</v>
      </c>
      <c r="Y73" s="525">
        <f t="shared" si="13"/>
        <v>-196467.40144051856</v>
      </c>
    </row>
    <row r="74" spans="1:38" x14ac:dyDescent="0.2">
      <c r="A74" s="1"/>
      <c r="B74" s="1"/>
      <c r="C74" s="387">
        <f t="shared" si="5"/>
        <v>41696</v>
      </c>
      <c r="D74" s="388">
        <f t="shared" si="6"/>
        <v>150899.55034482758</v>
      </c>
      <c r="E74" s="392">
        <f t="shared" si="7"/>
        <v>73239.953125</v>
      </c>
      <c r="F74" s="428">
        <f t="shared" si="0"/>
        <v>0.90615690000000004</v>
      </c>
      <c r="G74" s="390">
        <f t="shared" si="1"/>
        <v>66.366900000000001</v>
      </c>
      <c r="H74" s="391">
        <f t="shared" si="2"/>
        <v>224206.77652672757</v>
      </c>
      <c r="I74" s="324">
        <v>70000</v>
      </c>
      <c r="J74" s="325"/>
      <c r="K74" s="325"/>
      <c r="L74" s="319">
        <v>73239.953125</v>
      </c>
      <c r="M74" s="320"/>
      <c r="N74" s="320"/>
      <c r="O74" s="320"/>
      <c r="P74" s="392">
        <f t="shared" si="8"/>
        <v>73239.953125</v>
      </c>
      <c r="Q74" s="392">
        <f t="shared" si="3"/>
        <v>0</v>
      </c>
      <c r="R74" s="392">
        <f t="shared" si="4"/>
        <v>0</v>
      </c>
      <c r="S74" s="373"/>
      <c r="T74" s="374"/>
      <c r="U74" s="524">
        <f t="shared" si="9"/>
        <v>-70000</v>
      </c>
      <c r="V74" s="520">
        <f t="shared" si="10"/>
        <v>70000</v>
      </c>
      <c r="W74" s="520">
        <f t="shared" si="11"/>
        <v>77272.251984250004</v>
      </c>
      <c r="X74" s="520">
        <f t="shared" si="12"/>
        <v>-7272.2519842500042</v>
      </c>
      <c r="Y74" s="525">
        <f t="shared" si="13"/>
        <v>-203739.65342476856</v>
      </c>
    </row>
    <row r="75" spans="1:38" x14ac:dyDescent="0.2">
      <c r="A75" s="1"/>
      <c r="B75" s="1"/>
      <c r="C75" s="387">
        <f t="shared" si="5"/>
        <v>41697</v>
      </c>
      <c r="D75" s="388">
        <f t="shared" si="6"/>
        <v>150899.55034482758</v>
      </c>
      <c r="E75" s="392">
        <f t="shared" si="7"/>
        <v>74051.887208</v>
      </c>
      <c r="F75" s="428">
        <f t="shared" si="0"/>
        <v>0.90615690000000004</v>
      </c>
      <c r="G75" s="390">
        <f t="shared" si="1"/>
        <v>67.102599999999995</v>
      </c>
      <c r="H75" s="391">
        <f t="shared" si="2"/>
        <v>225019.44630972759</v>
      </c>
      <c r="I75" s="324">
        <v>70000</v>
      </c>
      <c r="J75" s="325"/>
      <c r="K75" s="325"/>
      <c r="L75" s="317">
        <v>74051.887208</v>
      </c>
      <c r="M75" s="318"/>
      <c r="N75" s="318"/>
      <c r="O75" s="318"/>
      <c r="P75" s="392">
        <f t="shared" si="8"/>
        <v>74051.887208</v>
      </c>
      <c r="Q75" s="392">
        <f t="shared" si="3"/>
        <v>0</v>
      </c>
      <c r="R75" s="392">
        <f t="shared" si="4"/>
        <v>0</v>
      </c>
      <c r="S75" s="373"/>
      <c r="T75" s="374"/>
      <c r="U75" s="524">
        <f t="shared" si="9"/>
        <v>-70000</v>
      </c>
      <c r="V75" s="520">
        <f t="shared" si="10"/>
        <v>70000</v>
      </c>
      <c r="W75" s="520">
        <f t="shared" si="11"/>
        <v>78128.887910123653</v>
      </c>
      <c r="X75" s="520">
        <f t="shared" si="12"/>
        <v>-8128.8879101236525</v>
      </c>
      <c r="Y75" s="525">
        <f t="shared" si="13"/>
        <v>-211868.54133489222</v>
      </c>
    </row>
    <row r="76" spans="1:38" x14ac:dyDescent="0.2">
      <c r="A76" s="1"/>
      <c r="B76" s="1"/>
      <c r="C76" s="387">
        <f t="shared" si="5"/>
        <v>41698</v>
      </c>
      <c r="D76" s="388">
        <f t="shared" si="6"/>
        <v>150899.55034482758</v>
      </c>
      <c r="E76" s="392">
        <f t="shared" si="7"/>
        <v>73039.234375</v>
      </c>
      <c r="F76" s="428">
        <f t="shared" si="0"/>
        <v>0.90615690000000004</v>
      </c>
      <c r="G76" s="390">
        <f t="shared" si="1"/>
        <v>66.185000000000002</v>
      </c>
      <c r="H76" s="391">
        <f t="shared" si="2"/>
        <v>224005.87587672757</v>
      </c>
      <c r="I76" s="324">
        <v>70000</v>
      </c>
      <c r="J76" s="325"/>
      <c r="K76" s="325"/>
      <c r="L76" s="319">
        <v>73039.234375</v>
      </c>
      <c r="M76" s="320"/>
      <c r="N76" s="320"/>
      <c r="O76" s="320"/>
      <c r="P76" s="392">
        <f t="shared" si="8"/>
        <v>73039.234375</v>
      </c>
      <c r="Q76" s="392">
        <f t="shared" si="3"/>
        <v>0</v>
      </c>
      <c r="R76" s="392">
        <f t="shared" si="4"/>
        <v>0</v>
      </c>
      <c r="S76" s="373"/>
      <c r="T76" s="374"/>
      <c r="U76" s="524">
        <f t="shared" si="9"/>
        <v>-70000</v>
      </c>
      <c r="V76" s="520">
        <f t="shared" si="10"/>
        <v>70000</v>
      </c>
      <c r="W76" s="520">
        <f t="shared" si="11"/>
        <v>77060.482462750006</v>
      </c>
      <c r="X76" s="520">
        <f t="shared" si="12"/>
        <v>-7060.4824627500057</v>
      </c>
      <c r="Y76" s="525">
        <f t="shared" si="13"/>
        <v>-218929.02379764221</v>
      </c>
    </row>
    <row r="77" spans="1:38" x14ac:dyDescent="0.2">
      <c r="A77" s="1"/>
      <c r="B77" s="1"/>
      <c r="C77" s="387">
        <f t="shared" si="5"/>
        <v>41699</v>
      </c>
      <c r="D77" s="388">
        <f t="shared" si="6"/>
        <v>150899.55034482758</v>
      </c>
      <c r="E77" s="392">
        <f t="shared" si="7"/>
        <v>73757.327636000002</v>
      </c>
      <c r="F77" s="428">
        <f t="shared" si="0"/>
        <v>0.90615690000000004</v>
      </c>
      <c r="G77" s="390">
        <f t="shared" si="1"/>
        <v>66.835700000000003</v>
      </c>
      <c r="H77" s="391">
        <f t="shared" si="2"/>
        <v>224724.61983772757</v>
      </c>
      <c r="I77" s="324">
        <v>70000</v>
      </c>
      <c r="J77" s="325"/>
      <c r="K77" s="325"/>
      <c r="L77" s="317">
        <v>73757.327636000002</v>
      </c>
      <c r="M77" s="318"/>
      <c r="N77" s="318"/>
      <c r="O77" s="318"/>
      <c r="P77" s="392">
        <f t="shared" si="8"/>
        <v>73757.327636000002</v>
      </c>
      <c r="Q77" s="392">
        <f t="shared" si="3"/>
        <v>0</v>
      </c>
      <c r="R77" s="392">
        <f t="shared" si="4"/>
        <v>0</v>
      </c>
      <c r="S77" s="373"/>
      <c r="T77" s="374"/>
      <c r="U77" s="524">
        <f t="shared" si="9"/>
        <v>-70000</v>
      </c>
      <c r="V77" s="520">
        <f t="shared" si="10"/>
        <v>70000</v>
      </c>
      <c r="W77" s="520">
        <f t="shared" si="11"/>
        <v>77818.111066327619</v>
      </c>
      <c r="X77" s="520">
        <f t="shared" si="12"/>
        <v>-7818.1110663276195</v>
      </c>
      <c r="Y77" s="525">
        <f t="shared" si="13"/>
        <v>-226747.13486396981</v>
      </c>
    </row>
    <row r="78" spans="1:38" x14ac:dyDescent="0.2">
      <c r="A78" s="1"/>
      <c r="B78" s="1"/>
      <c r="C78" s="387"/>
      <c r="D78" s="388"/>
      <c r="E78" s="392"/>
      <c r="F78" s="428"/>
      <c r="G78" s="390"/>
      <c r="H78" s="391"/>
      <c r="I78" s="324"/>
      <c r="J78" s="325"/>
      <c r="K78" s="325"/>
      <c r="L78" s="319"/>
      <c r="M78" s="320"/>
      <c r="N78" s="320"/>
      <c r="O78" s="320"/>
      <c r="P78" s="392"/>
      <c r="Q78" s="392"/>
      <c r="R78" s="392"/>
      <c r="S78" s="373"/>
      <c r="T78" s="374"/>
      <c r="U78" s="524"/>
      <c r="V78" s="520"/>
      <c r="W78" s="520"/>
      <c r="X78" s="520"/>
      <c r="Y78" s="525"/>
    </row>
    <row r="79" spans="1:38" ht="15" thickBot="1" x14ac:dyDescent="0.25">
      <c r="A79" s="1"/>
      <c r="B79" s="1"/>
      <c r="C79" s="393"/>
      <c r="D79" s="394"/>
      <c r="E79" s="395"/>
      <c r="F79" s="429"/>
      <c r="G79" s="396"/>
      <c r="H79" s="397"/>
      <c r="I79" s="326"/>
      <c r="J79" s="327"/>
      <c r="K79" s="327"/>
      <c r="L79" s="321"/>
      <c r="M79" s="322"/>
      <c r="N79" s="322"/>
      <c r="O79" s="322"/>
      <c r="P79" s="395"/>
      <c r="Q79" s="395"/>
      <c r="R79" s="395"/>
      <c r="S79" s="375"/>
      <c r="T79" s="376"/>
      <c r="U79" s="521"/>
      <c r="V79" s="528"/>
      <c r="W79" s="521"/>
      <c r="X79" s="528"/>
      <c r="Y79" s="529"/>
    </row>
    <row r="80" spans="1:38" ht="15" thickBot="1" x14ac:dyDescent="0.25">
      <c r="C80" s="398"/>
      <c r="D80" s="399">
        <f>SUM(D49:D79)</f>
        <v>4376086.96</v>
      </c>
      <c r="E80" s="400">
        <f>SUM(E49:E79)</f>
        <v>2080956.9680320001</v>
      </c>
      <c r="F80" s="400"/>
      <c r="G80" s="401">
        <f t="shared" ref="G80:R80" si="14">SUM(G49:G79)</f>
        <v>1885.6733999999999</v>
      </c>
      <c r="H80" s="399">
        <f t="shared" si="14"/>
        <v>6458955.8799820999</v>
      </c>
      <c r="I80" s="432">
        <f t="shared" si="14"/>
        <v>1968779</v>
      </c>
      <c r="J80" s="432">
        <f t="shared" si="14"/>
        <v>0</v>
      </c>
      <c r="K80" s="432">
        <f t="shared" si="14"/>
        <v>0</v>
      </c>
      <c r="L80" s="432">
        <f t="shared" si="14"/>
        <v>2080956.9680320001</v>
      </c>
      <c r="M80" s="432">
        <f t="shared" si="14"/>
        <v>0</v>
      </c>
      <c r="N80" s="432">
        <f t="shared" si="14"/>
        <v>0</v>
      </c>
      <c r="O80" s="432">
        <f t="shared" si="14"/>
        <v>0</v>
      </c>
      <c r="P80" s="432">
        <f t="shared" si="14"/>
        <v>2080956.9680320001</v>
      </c>
      <c r="Q80" s="432">
        <f t="shared" si="14"/>
        <v>0</v>
      </c>
      <c r="R80" s="432">
        <f t="shared" si="14"/>
        <v>0</v>
      </c>
      <c r="U80" s="530"/>
      <c r="V80" s="328">
        <f>SUM(V49:V79)</f>
        <v>1968779</v>
      </c>
      <c r="W80" s="328">
        <f>SUM(W49:W79)</f>
        <v>2195526.1348639699</v>
      </c>
      <c r="X80" s="328">
        <f>SUM(X49:X77)</f>
        <v>-226747.13486396981</v>
      </c>
      <c r="Y80" s="323">
        <f>Y77</f>
        <v>-226747.13486396981</v>
      </c>
      <c r="AL80" s="361">
        <f>Y79</f>
        <v>0</v>
      </c>
    </row>
    <row r="81" spans="2:14" ht="15" customHeight="1" x14ac:dyDescent="0.2">
      <c r="B81"/>
      <c r="C81"/>
      <c r="D81"/>
      <c r="E81"/>
      <c r="F81"/>
      <c r="G81"/>
      <c r="H81"/>
      <c r="I81"/>
      <c r="J81"/>
      <c r="K81"/>
      <c r="L81"/>
      <c r="N81" s="2"/>
    </row>
  </sheetData>
  <mergeCells count="12">
    <mergeCell ref="C10:D10"/>
    <mergeCell ref="C11:D11"/>
    <mergeCell ref="C3:M4"/>
    <mergeCell ref="C5:M5"/>
    <mergeCell ref="C6:M6"/>
    <mergeCell ref="G7:H7"/>
    <mergeCell ref="C9:D9"/>
    <mergeCell ref="D23:E23"/>
    <mergeCell ref="D24:E24"/>
    <mergeCell ref="C28:F28"/>
    <mergeCell ref="C39:F39"/>
    <mergeCell ref="S47:Y47"/>
  </mergeCells>
  <conditionalFormatting sqref="L49:O79">
    <cfRule type="cellIs" dxfId="163" priority="1" stopIfTrue="1" operator="equal">
      <formula>0</formula>
    </cfRule>
  </conditionalFormatting>
  <pageMargins left="0" right="0" top="0.74803149606299213" bottom="0.74803149606299213" header="0.31496062992125984" footer="0.31496062992125984"/>
  <pageSetup scale="85" orientation="landscape" r:id="rId1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L81"/>
  <sheetViews>
    <sheetView workbookViewId="0"/>
  </sheetViews>
  <sheetFormatPr baseColWidth="10" defaultColWidth="11" defaultRowHeight="14.25" x14ac:dyDescent="0.2"/>
  <cols>
    <col min="1" max="1" width="11" style="2"/>
    <col min="2" max="2" width="3.875" style="2" bestFit="1" customWidth="1"/>
    <col min="3" max="3" width="16.125" style="2" customWidth="1"/>
    <col min="4" max="4" width="12.375" style="2" customWidth="1"/>
    <col min="5" max="5" width="12.125" style="2" customWidth="1"/>
    <col min="6" max="6" width="17.125" style="2" bestFit="1" customWidth="1"/>
    <col min="7" max="7" width="13.125" style="2" customWidth="1"/>
    <col min="8" max="8" width="12.125" style="2" customWidth="1"/>
    <col min="9" max="9" width="11.125" style="2" bestFit="1" customWidth="1"/>
    <col min="10" max="10" width="11.875" style="2" bestFit="1" customWidth="1"/>
    <col min="11" max="11" width="11.625" style="2" bestFit="1" customWidth="1"/>
    <col min="12" max="12" width="12.125" style="2" customWidth="1"/>
    <col min="13" max="13" width="11.875" style="2" bestFit="1" customWidth="1"/>
    <col min="14" max="14" width="9" style="1" customWidth="1"/>
    <col min="15" max="15" width="10.375" style="2" customWidth="1"/>
    <col min="16" max="25" width="11" style="2"/>
    <col min="26" max="31" width="10.875" customWidth="1"/>
    <col min="32" max="16384" width="11" style="2"/>
  </cols>
  <sheetData>
    <row r="2" spans="2:25" x14ac:dyDescent="0.2"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2:25" ht="15" customHeight="1" x14ac:dyDescent="0.2">
      <c r="B3" s="1"/>
      <c r="C3" s="2254" t="s">
        <v>0</v>
      </c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</row>
    <row r="4" spans="2:25" ht="15" customHeight="1" x14ac:dyDescent="0.2"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</row>
    <row r="5" spans="2:25" x14ac:dyDescent="0.2">
      <c r="B5" s="1"/>
      <c r="C5" s="2257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</row>
    <row r="6" spans="2:25" x14ac:dyDescent="0.2">
      <c r="B6" s="1"/>
      <c r="C6" s="2257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</row>
    <row r="7" spans="2:25" x14ac:dyDescent="0.2">
      <c r="B7" s="1"/>
      <c r="C7" s="516"/>
      <c r="D7" s="516"/>
      <c r="E7" s="516"/>
      <c r="F7" s="516"/>
      <c r="G7" s="2271">
        <v>41699</v>
      </c>
      <c r="H7" s="2257"/>
      <c r="I7" s="516"/>
      <c r="J7" s="516"/>
      <c r="K7" s="516"/>
      <c r="L7" s="516"/>
      <c r="M7" s="516"/>
      <c r="N7" s="18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2:25" x14ac:dyDescent="0.2">
      <c r="B8" s="1"/>
      <c r="C8" s="516"/>
      <c r="D8" s="516"/>
      <c r="E8" s="516"/>
      <c r="F8" s="516"/>
      <c r="G8" s="516"/>
      <c r="H8" s="516"/>
      <c r="I8" s="516"/>
      <c r="J8" s="516"/>
      <c r="K8" s="516"/>
      <c r="L8" s="516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2:25" ht="25.5" x14ac:dyDescent="0.2">
      <c r="B9" s="1"/>
      <c r="C9" s="2272" t="s">
        <v>6</v>
      </c>
      <c r="D9" s="2272"/>
      <c r="E9" s="517" t="s">
        <v>94</v>
      </c>
      <c r="F9" s="517" t="s">
        <v>126</v>
      </c>
      <c r="G9" s="410" t="s">
        <v>133</v>
      </c>
      <c r="H9" s="517" t="s">
        <v>127</v>
      </c>
      <c r="I9" s="517" t="s">
        <v>128</v>
      </c>
      <c r="J9" s="516"/>
      <c r="K9" s="516"/>
      <c r="L9" s="516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2:25" x14ac:dyDescent="0.2">
      <c r="B10" s="1"/>
      <c r="C10" s="2273" t="s">
        <v>131</v>
      </c>
      <c r="D10" s="2273"/>
      <c r="E10" s="476">
        <f>IF(C15=0,D15,C15)</f>
        <v>4627948.08</v>
      </c>
      <c r="F10" s="473">
        <f>E10*0.16</f>
        <v>740471.69280000008</v>
      </c>
      <c r="G10" s="473">
        <f>E10+F10</f>
        <v>5368419.7728000004</v>
      </c>
      <c r="H10" s="475" t="s">
        <v>163</v>
      </c>
      <c r="I10" s="474">
        <v>19</v>
      </c>
      <c r="J10" s="516"/>
      <c r="K10" s="516"/>
      <c r="L10" s="516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2:25" x14ac:dyDescent="0.2">
      <c r="B11" s="1"/>
      <c r="C11" s="2273" t="s">
        <v>132</v>
      </c>
      <c r="D11" s="2273"/>
      <c r="E11" s="476">
        <f>IF(C16=0,D16,C16)</f>
        <v>2069.34</v>
      </c>
      <c r="F11" s="473">
        <f>E11*0.16</f>
        <v>331.09440000000001</v>
      </c>
      <c r="G11" s="473">
        <f>E11+F11</f>
        <v>2400.4344000000001</v>
      </c>
      <c r="H11" s="475" t="s">
        <v>163</v>
      </c>
      <c r="I11" s="474">
        <v>19</v>
      </c>
      <c r="J11" s="516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2:25" x14ac:dyDescent="0.2">
      <c r="B12" s="1"/>
      <c r="C12" s="516"/>
      <c r="D12" s="516"/>
      <c r="E12" s="516"/>
      <c r="F12" s="516"/>
      <c r="G12" s="516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2:25" ht="15" thickBot="1" x14ac:dyDescent="0.25">
      <c r="B13" s="1"/>
      <c r="C13" s="516"/>
      <c r="D13" s="516"/>
      <c r="E13" s="516"/>
      <c r="F13" s="516"/>
      <c r="G13" s="516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2:25" x14ac:dyDescent="0.2">
      <c r="B14" s="1"/>
      <c r="C14" s="440" t="s">
        <v>155</v>
      </c>
      <c r="D14" s="441" t="s">
        <v>156</v>
      </c>
      <c r="E14" s="442" t="s">
        <v>112</v>
      </c>
      <c r="F14" s="516"/>
      <c r="G14" s="516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2:25" x14ac:dyDescent="0.2">
      <c r="B15" s="1"/>
      <c r="C15" s="443">
        <v>4627948.08</v>
      </c>
      <c r="D15" s="444">
        <f>D80</f>
        <v>4376086.9600000028</v>
      </c>
      <c r="E15" s="445">
        <f>C15-D15</f>
        <v>251861.11999999732</v>
      </c>
      <c r="F15" s="516"/>
      <c r="G15" s="516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2:25" ht="15" thickBot="1" x14ac:dyDescent="0.25">
      <c r="B16" s="1"/>
      <c r="C16" s="446">
        <v>2069.34</v>
      </c>
      <c r="D16" s="447">
        <f>ROUND(G80,2)</f>
        <v>2069.34</v>
      </c>
      <c r="E16" s="448">
        <f>C16-D16</f>
        <v>0</v>
      </c>
      <c r="F16" s="516"/>
      <c r="G16" s="516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2:25" x14ac:dyDescent="0.2">
      <c r="B17" s="1"/>
      <c r="C17" s="516"/>
      <c r="D17" s="516"/>
      <c r="E17" s="516"/>
      <c r="F17" s="516"/>
      <c r="G17" s="516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2:25" x14ac:dyDescent="0.2">
      <c r="B18" s="1"/>
      <c r="C18" s="516"/>
      <c r="D18" s="516"/>
      <c r="E18" s="516"/>
      <c r="F18" s="516"/>
      <c r="G18" s="516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2:25" x14ac:dyDescent="0.2">
      <c r="B19" s="1"/>
      <c r="C19" s="516"/>
      <c r="D19" s="516"/>
      <c r="E19" s="516"/>
      <c r="F19" s="516"/>
      <c r="G19" s="516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2:25" x14ac:dyDescent="0.2">
      <c r="B20" s="1"/>
      <c r="C20" s="516"/>
      <c r="D20" s="516"/>
      <c r="E20" s="516"/>
      <c r="F20" s="516"/>
      <c r="G20" s="516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2:25" x14ac:dyDescent="0.2">
      <c r="B21" s="1"/>
      <c r="C21" s="516"/>
      <c r="D21" s="516"/>
      <c r="E21" s="516"/>
      <c r="F21" s="516"/>
      <c r="G21" s="516"/>
      <c r="H21" s="1"/>
      <c r="I21" s="1"/>
      <c r="J21" s="1"/>
      <c r="K21" s="1"/>
      <c r="L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2:25" ht="15" thickBot="1" x14ac:dyDescent="0.25">
      <c r="B22" s="1"/>
      <c r="C22" s="419" t="s">
        <v>137</v>
      </c>
      <c r="D22" s="516" t="s">
        <v>138</v>
      </c>
      <c r="E22" s="516"/>
      <c r="F22" s="516" t="s">
        <v>139</v>
      </c>
      <c r="G22" s="516" t="s">
        <v>164</v>
      </c>
      <c r="H22" s="516" t="s">
        <v>143</v>
      </c>
      <c r="I22" s="516" t="s">
        <v>142</v>
      </c>
      <c r="J22" s="516" t="s">
        <v>141</v>
      </c>
      <c r="K22" s="516" t="s">
        <v>140</v>
      </c>
      <c r="L22" s="516" t="s">
        <v>144</v>
      </c>
      <c r="M22" s="516" t="s">
        <v>146</v>
      </c>
      <c r="N22" s="516"/>
      <c r="O22" s="516"/>
      <c r="P22" s="516"/>
      <c r="Q22" s="1"/>
      <c r="R22" s="1"/>
      <c r="S22" s="1"/>
      <c r="T22" s="1"/>
      <c r="U22" s="1"/>
      <c r="V22" s="1"/>
      <c r="W22" s="1"/>
      <c r="X22" s="1"/>
      <c r="Y22" s="1"/>
    </row>
    <row r="23" spans="2:25" ht="36.75" customHeight="1" x14ac:dyDescent="0.2">
      <c r="B23" s="1"/>
      <c r="C23" s="402" t="s">
        <v>134</v>
      </c>
      <c r="D23" s="2261" t="s">
        <v>135</v>
      </c>
      <c r="E23" s="2262"/>
      <c r="F23" s="518" t="s">
        <v>136</v>
      </c>
      <c r="G23" s="461" t="s">
        <v>153</v>
      </c>
      <c r="H23" s="420" t="s">
        <v>129</v>
      </c>
      <c r="I23" s="403" t="s">
        <v>130</v>
      </c>
      <c r="J23" s="422"/>
      <c r="K23" s="422"/>
      <c r="L23" s="422"/>
      <c r="M23" s="404" t="s">
        <v>158</v>
      </c>
      <c r="N23" s="516"/>
      <c r="O23" s="516"/>
      <c r="P23" s="516"/>
      <c r="Q23" s="516"/>
      <c r="R23" s="516"/>
      <c r="S23" s="516"/>
      <c r="T23" s="516"/>
      <c r="U23" s="1"/>
      <c r="V23" s="1"/>
      <c r="W23" s="1"/>
      <c r="X23" s="1"/>
      <c r="Y23" s="1"/>
    </row>
    <row r="24" spans="2:25" x14ac:dyDescent="0.2">
      <c r="B24" s="1"/>
      <c r="C24" s="405">
        <v>850</v>
      </c>
      <c r="D24" s="2263">
        <v>850</v>
      </c>
      <c r="E24" s="2264"/>
      <c r="F24" s="418">
        <v>31482640</v>
      </c>
      <c r="G24" s="462">
        <v>31</v>
      </c>
      <c r="H24" s="460">
        <f>VLOOKUP(C47,Tarifas!D4:H303,3)</f>
        <v>0.13900000000000001</v>
      </c>
      <c r="I24" s="424">
        <f>VLOOKUP(C47,Tarifas!D4:H303,5)</f>
        <v>1E-3</v>
      </c>
      <c r="J24" s="421">
        <v>181.5</v>
      </c>
      <c r="K24" s="421">
        <v>201.4</v>
      </c>
      <c r="L24" s="421">
        <f>I11</f>
        <v>19</v>
      </c>
      <c r="M24" s="431">
        <f>E80</f>
        <v>2296226.9477340006</v>
      </c>
      <c r="N24" s="430" t="s">
        <v>62</v>
      </c>
      <c r="O24" s="516"/>
      <c r="P24" s="516"/>
      <c r="Q24" s="516"/>
      <c r="R24" s="516"/>
      <c r="S24" s="516"/>
      <c r="T24" s="516"/>
      <c r="U24" s="1"/>
      <c r="V24" s="1"/>
      <c r="W24" s="1"/>
      <c r="X24" s="1"/>
      <c r="Y24" s="1"/>
    </row>
    <row r="25" spans="2:25" x14ac:dyDescent="0.2">
      <c r="B25" s="1"/>
      <c r="C25" s="516"/>
      <c r="D25" s="516"/>
      <c r="E25" s="516"/>
      <c r="F25" s="516"/>
      <c r="G25" s="516"/>
      <c r="H25" s="516"/>
      <c r="I25" s="516"/>
      <c r="J25" s="516"/>
      <c r="K25" s="516"/>
      <c r="L25" s="516"/>
      <c r="M25" s="516"/>
      <c r="N25" s="516"/>
      <c r="O25" s="516"/>
      <c r="P25" s="516"/>
      <c r="Q25" s="516"/>
      <c r="R25" s="516"/>
      <c r="S25" s="1"/>
      <c r="T25" s="1"/>
      <c r="U25" s="1"/>
      <c r="V25" s="1"/>
      <c r="W25" s="1"/>
      <c r="X25" s="1"/>
      <c r="Y25" s="1"/>
    </row>
    <row r="26" spans="2:25" x14ac:dyDescent="0.2">
      <c r="B26" s="1"/>
      <c r="C26" s="516"/>
      <c r="D26" s="516"/>
      <c r="E26" s="516"/>
      <c r="F26" s="516"/>
      <c r="G26" s="516"/>
      <c r="H26" s="516"/>
      <c r="I26" s="516"/>
      <c r="J26" s="516"/>
      <c r="K26" s="516"/>
      <c r="L26" s="516"/>
      <c r="M26" s="516"/>
      <c r="N26" s="516"/>
      <c r="O26" s="516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2:25" x14ac:dyDescent="0.2">
      <c r="B27" s="1"/>
      <c r="C27" s="516"/>
      <c r="D27" s="516"/>
      <c r="E27" s="516"/>
      <c r="F27" s="516"/>
      <c r="G27" s="516"/>
      <c r="H27" s="516"/>
      <c r="I27" s="516"/>
      <c r="J27" s="516"/>
      <c r="K27" s="516"/>
      <c r="L27" s="516"/>
      <c r="M27" s="516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2:25" ht="15" thickBot="1" x14ac:dyDescent="0.25">
      <c r="B28" s="1"/>
      <c r="C28" s="2265" t="s">
        <v>86</v>
      </c>
      <c r="D28" s="2265"/>
      <c r="E28" s="2265"/>
      <c r="F28" s="2265"/>
      <c r="G28" s="519"/>
      <c r="H28" s="334"/>
      <c r="I28" s="334"/>
      <c r="J28" s="334"/>
      <c r="K28" s="519"/>
      <c r="L28" s="336"/>
      <c r="M28" s="336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2:25" ht="22.5" x14ac:dyDescent="0.2">
      <c r="B29" s="1"/>
      <c r="C29" s="337" t="s">
        <v>87</v>
      </c>
      <c r="D29" s="514" t="s">
        <v>88</v>
      </c>
      <c r="E29" s="514" t="s">
        <v>89</v>
      </c>
      <c r="F29" s="514" t="s">
        <v>20</v>
      </c>
      <c r="G29" s="514" t="s">
        <v>160</v>
      </c>
      <c r="H29" s="514" t="s">
        <v>90</v>
      </c>
      <c r="I29" s="514" t="s">
        <v>91</v>
      </c>
      <c r="J29" s="514" t="s">
        <v>92</v>
      </c>
      <c r="K29" s="514" t="s">
        <v>93</v>
      </c>
      <c r="L29" s="514" t="s">
        <v>94</v>
      </c>
      <c r="M29" s="515" t="s">
        <v>95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2:25" x14ac:dyDescent="0.2">
      <c r="B30" s="1"/>
      <c r="C30" s="338"/>
      <c r="D30" s="339">
        <v>1</v>
      </c>
      <c r="E30" s="339" t="s">
        <v>96</v>
      </c>
      <c r="F30" s="340" t="s">
        <v>97</v>
      </c>
      <c r="G30" s="339">
        <v>2201</v>
      </c>
      <c r="H30" s="339">
        <v>20823</v>
      </c>
      <c r="I30" s="341">
        <v>0</v>
      </c>
      <c r="J30" s="339">
        <v>138.15</v>
      </c>
      <c r="K30" s="342">
        <f>I30/I$35</f>
        <v>0</v>
      </c>
      <c r="L30" s="343">
        <f>ROUND(K30*E$10,2)</f>
        <v>0</v>
      </c>
      <c r="M30" s="344">
        <f>L30*$I$10</f>
        <v>0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2:25" x14ac:dyDescent="0.2">
      <c r="B31" s="1"/>
      <c r="C31" s="338"/>
      <c r="D31" s="339">
        <v>2</v>
      </c>
      <c r="E31" s="339" t="s">
        <v>98</v>
      </c>
      <c r="F31" s="340" t="s">
        <v>97</v>
      </c>
      <c r="G31" s="339">
        <v>2201</v>
      </c>
      <c r="H31" s="339">
        <v>20824</v>
      </c>
      <c r="I31" s="341">
        <v>0</v>
      </c>
      <c r="J31" s="339">
        <v>138.15</v>
      </c>
      <c r="K31" s="342">
        <f>I31/I$35</f>
        <v>0</v>
      </c>
      <c r="L31" s="343">
        <f>ROUND(K31*E$10,2)</f>
        <v>0</v>
      </c>
      <c r="M31" s="344">
        <f>L31*$I$10</f>
        <v>0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2:25" x14ac:dyDescent="0.2">
      <c r="B32" s="1"/>
      <c r="C32" s="338"/>
      <c r="D32" s="339">
        <v>1</v>
      </c>
      <c r="E32" s="339" t="s">
        <v>99</v>
      </c>
      <c r="F32" s="340" t="s">
        <v>100</v>
      </c>
      <c r="G32" s="339">
        <v>2230</v>
      </c>
      <c r="H32" s="339">
        <v>22228</v>
      </c>
      <c r="I32" s="341">
        <v>0</v>
      </c>
      <c r="J32" s="339">
        <v>130.80000000000001</v>
      </c>
      <c r="K32" s="342">
        <f>I32/I$35</f>
        <v>0</v>
      </c>
      <c r="L32" s="343">
        <f>ROUND(K32*E$10,2)</f>
        <v>0</v>
      </c>
      <c r="M32" s="344">
        <f>L32*$I$10</f>
        <v>0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2:25" x14ac:dyDescent="0.2">
      <c r="B33" s="1"/>
      <c r="C33" s="338">
        <v>800762390</v>
      </c>
      <c r="D33" s="339">
        <v>3</v>
      </c>
      <c r="E33" s="354" t="s">
        <v>101</v>
      </c>
      <c r="F33" s="463" t="s">
        <v>23</v>
      </c>
      <c r="G33" s="354">
        <v>2044</v>
      </c>
      <c r="H33" s="354">
        <v>591000500</v>
      </c>
      <c r="I33" s="341">
        <v>80000</v>
      </c>
      <c r="J33" s="339">
        <v>433</v>
      </c>
      <c r="K33" s="342">
        <f>I33/I$35</f>
        <v>9.4117647058823528E-2</v>
      </c>
      <c r="L33" s="343">
        <f>ROUND(K33*E$10,2)</f>
        <v>435571.58</v>
      </c>
      <c r="M33" s="344">
        <f>L33*$I$10</f>
        <v>8275860.0200000005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2:25" ht="15" thickBot="1" x14ac:dyDescent="0.25">
      <c r="B34" s="1"/>
      <c r="C34" s="345">
        <v>800642440</v>
      </c>
      <c r="D34" s="346">
        <v>5</v>
      </c>
      <c r="E34" s="347" t="s">
        <v>101</v>
      </c>
      <c r="F34" s="348" t="s">
        <v>159</v>
      </c>
      <c r="G34" s="347">
        <v>2277</v>
      </c>
      <c r="H34" s="347">
        <v>22770</v>
      </c>
      <c r="I34" s="349">
        <f>850000-I30-I31-I32-I33</f>
        <v>770000</v>
      </c>
      <c r="J34" s="346"/>
      <c r="K34" s="350">
        <f>I34/I$35</f>
        <v>0.90588235294117647</v>
      </c>
      <c r="L34" s="351">
        <f>ROUND(K34*E$10,2)</f>
        <v>4192376.5</v>
      </c>
      <c r="M34" s="352">
        <f>L34*$I$10</f>
        <v>79655153.5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2:25" x14ac:dyDescent="0.2">
      <c r="B35" s="1"/>
      <c r="C35" s="477">
        <v>3000623</v>
      </c>
      <c r="D35" s="353" t="s">
        <v>102</v>
      </c>
      <c r="E35" s="353"/>
      <c r="F35" s="353"/>
      <c r="G35" s="353"/>
      <c r="H35" s="354"/>
      <c r="I35" s="355">
        <f>SUM(I30:I34)</f>
        <v>850000</v>
      </c>
      <c r="J35" s="353"/>
      <c r="K35" s="356">
        <f>SUM(K30:K34)</f>
        <v>1</v>
      </c>
      <c r="L35" s="357">
        <f>SUM(L30:L34)</f>
        <v>4627948.08</v>
      </c>
      <c r="M35" s="357">
        <f>SUM(M30:M33)</f>
        <v>8275860.0200000005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2:25" x14ac:dyDescent="0.2">
      <c r="B36" s="1"/>
      <c r="C36" s="336"/>
      <c r="D36" s="336"/>
      <c r="E36" s="336"/>
      <c r="F36" s="358"/>
      <c r="G36" s="358"/>
      <c r="H36" s="336"/>
      <c r="I36" s="336"/>
      <c r="J36" s="336"/>
      <c r="K36" s="336"/>
      <c r="L36" s="359"/>
      <c r="M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2:25" x14ac:dyDescent="0.2">
      <c r="B37" s="1"/>
      <c r="C37" s="336"/>
      <c r="D37" s="336"/>
      <c r="E37" s="336"/>
      <c r="F37" s="358"/>
      <c r="G37" s="358"/>
      <c r="H37" s="336"/>
      <c r="I37" s="336"/>
      <c r="J37" s="336"/>
      <c r="K37" s="336"/>
      <c r="L37" s="359"/>
      <c r="M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2:25" x14ac:dyDescent="0.2">
      <c r="B38" s="1"/>
      <c r="C38" s="336"/>
      <c r="D38" s="336"/>
      <c r="E38" s="336"/>
      <c r="F38" s="358"/>
      <c r="G38" s="358"/>
      <c r="H38" s="336"/>
      <c r="I38" s="336"/>
      <c r="J38" s="336"/>
      <c r="K38" s="336"/>
      <c r="L38" s="359"/>
      <c r="M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2:25" ht="15" thickBot="1" x14ac:dyDescent="0.25">
      <c r="B39" s="1"/>
      <c r="C39" s="2266" t="s">
        <v>103</v>
      </c>
      <c r="D39" s="2266"/>
      <c r="E39" s="2266"/>
      <c r="F39" s="2266"/>
      <c r="G39" s="519"/>
      <c r="H39" s="334"/>
      <c r="I39" s="334"/>
      <c r="J39" s="334"/>
      <c r="K39" s="336"/>
      <c r="L39" s="336"/>
      <c r="M39" s="360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2:25" ht="22.5" x14ac:dyDescent="0.2">
      <c r="B40" s="1"/>
      <c r="C40" s="337" t="s">
        <v>87</v>
      </c>
      <c r="D40" s="514" t="s">
        <v>88</v>
      </c>
      <c r="E40" s="514" t="s">
        <v>89</v>
      </c>
      <c r="F40" s="514" t="s">
        <v>20</v>
      </c>
      <c r="G40" s="514"/>
      <c r="H40" s="514" t="s">
        <v>90</v>
      </c>
      <c r="I40" s="514" t="s">
        <v>104</v>
      </c>
      <c r="J40" s="514" t="s">
        <v>93</v>
      </c>
      <c r="K40" s="514" t="s">
        <v>92</v>
      </c>
      <c r="L40" s="514" t="s">
        <v>94</v>
      </c>
      <c r="M40" s="515" t="s">
        <v>95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2:25" x14ac:dyDescent="0.2">
      <c r="B41" s="1"/>
      <c r="C41" s="338"/>
      <c r="D41" s="339">
        <v>1</v>
      </c>
      <c r="E41" s="339" t="s">
        <v>96</v>
      </c>
      <c r="F41" s="340" t="s">
        <v>97</v>
      </c>
      <c r="G41" s="340"/>
      <c r="H41" s="339">
        <v>20823</v>
      </c>
      <c r="I41" s="341">
        <f>M80</f>
        <v>0</v>
      </c>
      <c r="J41" s="342">
        <f>I41/I$45</f>
        <v>0</v>
      </c>
      <c r="K41" s="339">
        <v>138.15</v>
      </c>
      <c r="L41" s="343">
        <f>ROUND(J41*$E$11,2)</f>
        <v>0</v>
      </c>
      <c r="M41" s="344">
        <f>L41*L24</f>
        <v>0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2:25" x14ac:dyDescent="0.2">
      <c r="B42" s="1"/>
      <c r="C42" s="338"/>
      <c r="D42" s="339">
        <v>2</v>
      </c>
      <c r="E42" s="339" t="s">
        <v>98</v>
      </c>
      <c r="F42" s="340" t="s">
        <v>97</v>
      </c>
      <c r="G42" s="340"/>
      <c r="H42" s="339">
        <v>20824</v>
      </c>
      <c r="I42" s="341">
        <f>N80</f>
        <v>0</v>
      </c>
      <c r="J42" s="342">
        <f>I42/I$45</f>
        <v>0</v>
      </c>
      <c r="K42" s="339">
        <v>138.15</v>
      </c>
      <c r="L42" s="343">
        <f>ROUND(J42*$E$11,2)</f>
        <v>0</v>
      </c>
      <c r="M42" s="344">
        <f>L42*L25</f>
        <v>0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2:25" x14ac:dyDescent="0.2">
      <c r="B43" s="1"/>
      <c r="C43" s="338"/>
      <c r="D43" s="339">
        <v>1</v>
      </c>
      <c r="E43" s="339" t="s">
        <v>99</v>
      </c>
      <c r="F43" s="340" t="s">
        <v>100</v>
      </c>
      <c r="G43" s="340"/>
      <c r="H43" s="339">
        <v>22228</v>
      </c>
      <c r="I43" s="341">
        <f>O80</f>
        <v>0</v>
      </c>
      <c r="J43" s="342">
        <f>I43/I$45</f>
        <v>0</v>
      </c>
      <c r="K43" s="339">
        <v>130.80000000000001</v>
      </c>
      <c r="L43" s="343">
        <f>ROUND(J43*$E$11,2)</f>
        <v>0</v>
      </c>
      <c r="M43" s="344">
        <f>L43*L26</f>
        <v>0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2:25" ht="15" thickBot="1" x14ac:dyDescent="0.25">
      <c r="B44" s="1"/>
      <c r="C44" s="345">
        <v>800762390</v>
      </c>
      <c r="D44" s="346">
        <v>4</v>
      </c>
      <c r="E44" s="347" t="s">
        <v>101</v>
      </c>
      <c r="F44" s="348" t="s">
        <v>23</v>
      </c>
      <c r="G44" s="348"/>
      <c r="H44" s="347">
        <v>591000500</v>
      </c>
      <c r="I44" s="349">
        <f>L80</f>
        <v>2296226.9477340006</v>
      </c>
      <c r="J44" s="350">
        <f>I44/I$45</f>
        <v>1</v>
      </c>
      <c r="K44" s="346">
        <v>138.15</v>
      </c>
      <c r="L44" s="351">
        <f>ROUND(J44*$E$11,2)</f>
        <v>2069.34</v>
      </c>
      <c r="M44" s="352">
        <f>L44*L27</f>
        <v>0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2:25" x14ac:dyDescent="0.2">
      <c r="B45" s="1"/>
      <c r="C45" s="353"/>
      <c r="D45" s="353"/>
      <c r="E45" s="353"/>
      <c r="F45" s="353"/>
      <c r="G45" s="353"/>
      <c r="H45" s="354"/>
      <c r="I45" s="449">
        <f>SUM(I41:I44)</f>
        <v>2296226.9477340006</v>
      </c>
      <c r="J45" s="355"/>
      <c r="K45" s="353"/>
      <c r="L45" s="357">
        <f>SUM(L41:L44)</f>
        <v>2069.34</v>
      </c>
      <c r="M45" s="357">
        <f>SUM(M41:M44)</f>
        <v>0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2:25" customFormat="1" ht="15" thickBot="1" x14ac:dyDescent="0.25">
      <c r="M46" s="450"/>
      <c r="N46" s="450"/>
      <c r="O46" s="450"/>
      <c r="P46" s="450"/>
      <c r="Q46" s="450"/>
      <c r="R46" s="450"/>
      <c r="S46" s="450"/>
      <c r="T46" s="450"/>
      <c r="U46" s="450"/>
      <c r="V46" s="450"/>
      <c r="W46" s="450"/>
      <c r="X46" s="450"/>
      <c r="Y46" s="450"/>
    </row>
    <row r="47" spans="2:25" ht="15" thickBot="1" x14ac:dyDescent="0.25">
      <c r="B47" s="434" t="s">
        <v>3</v>
      </c>
      <c r="C47" s="333">
        <f>SUMIF(Tarifas!E4:E303,'Marzo - 2014'!C49,Tarifas!D4:D303)</f>
        <v>8</v>
      </c>
      <c r="D47" s="425" t="s">
        <v>147</v>
      </c>
      <c r="E47" s="426" t="s">
        <v>145</v>
      </c>
      <c r="F47" s="426" t="s">
        <v>150</v>
      </c>
      <c r="G47" s="426" t="s">
        <v>148</v>
      </c>
      <c r="H47" s="382"/>
      <c r="I47" s="331" t="s">
        <v>120</v>
      </c>
      <c r="J47" s="332"/>
      <c r="K47" s="332"/>
      <c r="L47" s="364" t="s">
        <v>105</v>
      </c>
      <c r="M47" s="365"/>
      <c r="N47" s="365"/>
      <c r="O47" s="365"/>
      <c r="P47" s="365"/>
      <c r="Q47" s="365"/>
      <c r="R47" s="366"/>
      <c r="S47" s="2267" t="s">
        <v>121</v>
      </c>
      <c r="T47" s="2268"/>
      <c r="U47" s="2268"/>
      <c r="V47" s="2268"/>
      <c r="W47" s="2268"/>
      <c r="X47" s="2268"/>
      <c r="Y47" s="2269"/>
    </row>
    <row r="48" spans="2:25" ht="33.75" x14ac:dyDescent="0.2">
      <c r="C48" s="383" t="s">
        <v>122</v>
      </c>
      <c r="D48" s="384" t="s">
        <v>125</v>
      </c>
      <c r="E48" s="385" t="s">
        <v>149</v>
      </c>
      <c r="F48" s="385" t="s">
        <v>151</v>
      </c>
      <c r="G48" s="385" t="s">
        <v>152</v>
      </c>
      <c r="H48" s="386" t="s">
        <v>123</v>
      </c>
      <c r="I48" s="329" t="s">
        <v>109</v>
      </c>
      <c r="J48" s="330" t="s">
        <v>25</v>
      </c>
      <c r="K48" s="330" t="s">
        <v>26</v>
      </c>
      <c r="L48" s="367" t="s">
        <v>115</v>
      </c>
      <c r="M48" s="362" t="s">
        <v>106</v>
      </c>
      <c r="N48" s="362" t="s">
        <v>107</v>
      </c>
      <c r="O48" s="362" t="s">
        <v>108</v>
      </c>
      <c r="P48" s="362" t="s">
        <v>115</v>
      </c>
      <c r="Q48" s="363" t="s">
        <v>116</v>
      </c>
      <c r="R48" s="368" t="s">
        <v>117</v>
      </c>
      <c r="S48" s="369" t="s">
        <v>110</v>
      </c>
      <c r="T48" s="370" t="s">
        <v>111</v>
      </c>
      <c r="U48" s="370" t="s">
        <v>112</v>
      </c>
      <c r="V48" s="371" t="s">
        <v>118</v>
      </c>
      <c r="W48" s="371" t="s">
        <v>119</v>
      </c>
      <c r="X48" s="371" t="s">
        <v>114</v>
      </c>
      <c r="Y48" s="372" t="s">
        <v>113</v>
      </c>
    </row>
    <row r="49" spans="3:25" x14ac:dyDescent="0.2">
      <c r="C49" s="387">
        <f>G7</f>
        <v>41699</v>
      </c>
      <c r="D49" s="388">
        <f>($F$24*$H$24)/$G$24</f>
        <v>141164.09548387097</v>
      </c>
      <c r="E49" s="389">
        <f>P49+Q49+R49</f>
        <v>74537.273438000004</v>
      </c>
      <c r="F49" s="427">
        <f t="shared" ref="F49:F79" si="0">TRUNC(IFERROR(J$24/K$24,0),8)</f>
        <v>0.90119165000000001</v>
      </c>
      <c r="G49" s="390">
        <f t="shared" ref="G49:G79" si="1">ROUND(I$24*F49*E49,4)</f>
        <v>67.172399999999996</v>
      </c>
      <c r="H49" s="391">
        <f t="shared" ref="H49:H79" si="2">SUM(D49:G49)</f>
        <v>215769.44251352097</v>
      </c>
      <c r="I49" s="324">
        <v>70000</v>
      </c>
      <c r="J49" s="325"/>
      <c r="K49" s="325"/>
      <c r="L49" s="317">
        <v>74537.273438000004</v>
      </c>
      <c r="M49" s="318"/>
      <c r="N49" s="318"/>
      <c r="O49" s="318"/>
      <c r="P49" s="389">
        <f>L49</f>
        <v>74537.273438000004</v>
      </c>
      <c r="Q49" s="389">
        <f t="shared" ref="Q49:Q79" si="3">M49+N49</f>
        <v>0</v>
      </c>
      <c r="R49" s="389">
        <f t="shared" ref="R49:R79" si="4">O49</f>
        <v>0</v>
      </c>
      <c r="S49" s="373"/>
      <c r="T49" s="374"/>
      <c r="U49" s="18">
        <f>S49+T49-V49</f>
        <v>-70000</v>
      </c>
      <c r="V49" s="377">
        <f>I49+J49+K49</f>
        <v>70000</v>
      </c>
      <c r="W49" s="18">
        <f>(P49+Q49+R49)*1.055056</f>
        <v>78640.997564402525</v>
      </c>
      <c r="X49" s="377">
        <f>V49-W49</f>
        <v>-8640.9975644025253</v>
      </c>
      <c r="Y49" s="378">
        <f>AL46+X49</f>
        <v>-8640.9975644025253</v>
      </c>
    </row>
    <row r="50" spans="3:25" x14ac:dyDescent="0.2">
      <c r="C50" s="387">
        <f t="shared" ref="C50:C79" si="5">C49+1</f>
        <v>41700</v>
      </c>
      <c r="D50" s="388">
        <f t="shared" ref="D50:D79" si="6">($F$24*$H$24)/$G$24</f>
        <v>141164.09548387097</v>
      </c>
      <c r="E50" s="392">
        <f t="shared" ref="E50:E79" si="7">P50+Q50+R50</f>
        <v>73908.223877000011</v>
      </c>
      <c r="F50" s="428">
        <f t="shared" si="0"/>
        <v>0.90119165000000001</v>
      </c>
      <c r="G50" s="390">
        <f t="shared" si="1"/>
        <v>66.605500000000006</v>
      </c>
      <c r="H50" s="391">
        <f t="shared" si="2"/>
        <v>215139.82605252098</v>
      </c>
      <c r="I50" s="324">
        <v>69000</v>
      </c>
      <c r="J50" s="325"/>
      <c r="K50" s="325"/>
      <c r="L50" s="319">
        <v>73908.223877000011</v>
      </c>
      <c r="M50" s="320"/>
      <c r="N50" s="320"/>
      <c r="O50" s="320"/>
      <c r="P50" s="392">
        <f t="shared" ref="P50:P79" si="8">L50</f>
        <v>73908.223877000011</v>
      </c>
      <c r="Q50" s="392">
        <f t="shared" si="3"/>
        <v>0</v>
      </c>
      <c r="R50" s="392">
        <f t="shared" si="4"/>
        <v>0</v>
      </c>
      <c r="S50" s="373"/>
      <c r="T50" s="374"/>
      <c r="U50" s="18">
        <f t="shared" ref="U50:U79" si="9">S50+T50-V50</f>
        <v>-69000</v>
      </c>
      <c r="V50" s="377">
        <f t="shared" ref="V50:V79" si="10">I50+J50+K50</f>
        <v>69000</v>
      </c>
      <c r="W50" s="18">
        <f t="shared" ref="W50:W79" si="11">(P50+Q50+R50)*1.055056</f>
        <v>77977.315050772129</v>
      </c>
      <c r="X50" s="377">
        <f t="shared" ref="X50:X79" si="12">V50-W50</f>
        <v>-8977.3150507721293</v>
      </c>
      <c r="Y50" s="378">
        <f>Y49+X50</f>
        <v>-17618.312615174655</v>
      </c>
    </row>
    <row r="51" spans="3:25" x14ac:dyDescent="0.2">
      <c r="C51" s="387">
        <f t="shared" si="5"/>
        <v>41701</v>
      </c>
      <c r="D51" s="388">
        <f t="shared" si="6"/>
        <v>141164.09548387097</v>
      </c>
      <c r="E51" s="392">
        <f t="shared" si="7"/>
        <v>76929.109375</v>
      </c>
      <c r="F51" s="428">
        <f t="shared" si="0"/>
        <v>0.90119165000000001</v>
      </c>
      <c r="G51" s="390">
        <f t="shared" si="1"/>
        <v>69.3279</v>
      </c>
      <c r="H51" s="391">
        <f t="shared" si="2"/>
        <v>218163.43395052096</v>
      </c>
      <c r="I51" s="324">
        <v>70000</v>
      </c>
      <c r="J51" s="325"/>
      <c r="K51" s="325"/>
      <c r="L51" s="317">
        <v>76929.109375</v>
      </c>
      <c r="M51" s="318"/>
      <c r="N51" s="318"/>
      <c r="O51" s="318"/>
      <c r="P51" s="392">
        <f t="shared" si="8"/>
        <v>76929.109375</v>
      </c>
      <c r="Q51" s="392">
        <f t="shared" si="3"/>
        <v>0</v>
      </c>
      <c r="R51" s="392">
        <f t="shared" si="4"/>
        <v>0</v>
      </c>
      <c r="S51" s="373"/>
      <c r="T51" s="374"/>
      <c r="U51" s="18">
        <f t="shared" si="9"/>
        <v>-70000</v>
      </c>
      <c r="V51" s="377">
        <f t="shared" si="10"/>
        <v>70000</v>
      </c>
      <c r="W51" s="18">
        <f t="shared" si="11"/>
        <v>81164.518420749999</v>
      </c>
      <c r="X51" s="377">
        <f t="shared" si="12"/>
        <v>-11164.518420749999</v>
      </c>
      <c r="Y51" s="378">
        <f t="shared" ref="Y51:Y79" si="13">Y50+X51</f>
        <v>-28782.831035924653</v>
      </c>
    </row>
    <row r="52" spans="3:25" x14ac:dyDescent="0.2">
      <c r="C52" s="387">
        <f t="shared" si="5"/>
        <v>41702</v>
      </c>
      <c r="D52" s="388">
        <f t="shared" si="6"/>
        <v>141164.09548387097</v>
      </c>
      <c r="E52" s="392">
        <f t="shared" si="7"/>
        <v>73695.359375</v>
      </c>
      <c r="F52" s="428">
        <f t="shared" si="0"/>
        <v>0.90119165000000001</v>
      </c>
      <c r="G52" s="390">
        <f t="shared" si="1"/>
        <v>66.413600000000002</v>
      </c>
      <c r="H52" s="391">
        <f t="shared" si="2"/>
        <v>214926.76965052096</v>
      </c>
      <c r="I52" s="324">
        <v>70000</v>
      </c>
      <c r="J52" s="325"/>
      <c r="K52" s="325"/>
      <c r="L52" s="319">
        <v>73695.359375</v>
      </c>
      <c r="M52" s="320"/>
      <c r="N52" s="320"/>
      <c r="O52" s="320"/>
      <c r="P52" s="392">
        <f t="shared" si="8"/>
        <v>73695.359375</v>
      </c>
      <c r="Q52" s="392">
        <f t="shared" si="3"/>
        <v>0</v>
      </c>
      <c r="R52" s="392">
        <f t="shared" si="4"/>
        <v>0</v>
      </c>
      <c r="S52" s="373"/>
      <c r="T52" s="374"/>
      <c r="U52" s="18">
        <f t="shared" si="9"/>
        <v>-70000</v>
      </c>
      <c r="V52" s="377">
        <f t="shared" si="10"/>
        <v>70000</v>
      </c>
      <c r="W52" s="18">
        <f t="shared" si="11"/>
        <v>77752.731080750003</v>
      </c>
      <c r="X52" s="377">
        <f t="shared" si="12"/>
        <v>-7752.7310807500035</v>
      </c>
      <c r="Y52" s="378">
        <f t="shared" si="13"/>
        <v>-36535.562116674657</v>
      </c>
    </row>
    <row r="53" spans="3:25" x14ac:dyDescent="0.2">
      <c r="C53" s="387">
        <f t="shared" si="5"/>
        <v>41703</v>
      </c>
      <c r="D53" s="388">
        <f t="shared" si="6"/>
        <v>141164.09548387097</v>
      </c>
      <c r="E53" s="392">
        <f t="shared" si="7"/>
        <v>61369.058594000002</v>
      </c>
      <c r="F53" s="428">
        <f t="shared" si="0"/>
        <v>0.90119165000000001</v>
      </c>
      <c r="G53" s="390">
        <f t="shared" si="1"/>
        <v>55.305300000000003</v>
      </c>
      <c r="H53" s="391">
        <f t="shared" si="2"/>
        <v>202589.36056952097</v>
      </c>
      <c r="I53" s="324">
        <v>69000</v>
      </c>
      <c r="J53" s="325"/>
      <c r="K53" s="325"/>
      <c r="L53" s="317">
        <v>61369.058594000002</v>
      </c>
      <c r="M53" s="318"/>
      <c r="N53" s="318"/>
      <c r="O53" s="318"/>
      <c r="P53" s="392">
        <f t="shared" si="8"/>
        <v>61369.058594000002</v>
      </c>
      <c r="Q53" s="392">
        <f t="shared" si="3"/>
        <v>0</v>
      </c>
      <c r="R53" s="392">
        <f t="shared" si="4"/>
        <v>0</v>
      </c>
      <c r="S53" s="373"/>
      <c r="T53" s="374"/>
      <c r="U53" s="18">
        <f t="shared" si="9"/>
        <v>-69000</v>
      </c>
      <c r="V53" s="377">
        <f t="shared" si="10"/>
        <v>69000</v>
      </c>
      <c r="W53" s="18">
        <f t="shared" si="11"/>
        <v>64747.793483951267</v>
      </c>
      <c r="X53" s="377">
        <f t="shared" si="12"/>
        <v>4252.2065160487327</v>
      </c>
      <c r="Y53" s="378">
        <f t="shared" si="13"/>
        <v>-32283.355600625924</v>
      </c>
    </row>
    <row r="54" spans="3:25" x14ac:dyDescent="0.2">
      <c r="C54" s="387">
        <f t="shared" si="5"/>
        <v>41704</v>
      </c>
      <c r="D54" s="388">
        <f t="shared" si="6"/>
        <v>141164.09548387097</v>
      </c>
      <c r="E54" s="392">
        <f t="shared" si="7"/>
        <v>52879.410767000008</v>
      </c>
      <c r="F54" s="428">
        <f t="shared" si="0"/>
        <v>0.90119165000000001</v>
      </c>
      <c r="G54" s="390">
        <f t="shared" si="1"/>
        <v>47.654499999999999</v>
      </c>
      <c r="H54" s="391">
        <f t="shared" si="2"/>
        <v>194092.06194252099</v>
      </c>
      <c r="I54" s="324">
        <v>69000</v>
      </c>
      <c r="J54" s="325"/>
      <c r="K54" s="325"/>
      <c r="L54" s="319">
        <v>52879.410767000008</v>
      </c>
      <c r="M54" s="320"/>
      <c r="N54" s="320"/>
      <c r="O54" s="320"/>
      <c r="P54" s="392">
        <f t="shared" si="8"/>
        <v>52879.410767000008</v>
      </c>
      <c r="Q54" s="392">
        <f t="shared" si="3"/>
        <v>0</v>
      </c>
      <c r="R54" s="392">
        <f t="shared" si="4"/>
        <v>0</v>
      </c>
      <c r="S54" s="373"/>
      <c r="T54" s="374"/>
      <c r="U54" s="18">
        <f t="shared" si="9"/>
        <v>-69000</v>
      </c>
      <c r="V54" s="377">
        <f t="shared" si="10"/>
        <v>69000</v>
      </c>
      <c r="W54" s="18">
        <f t="shared" si="11"/>
        <v>55790.739606187963</v>
      </c>
      <c r="X54" s="377">
        <f t="shared" si="12"/>
        <v>13209.260393812037</v>
      </c>
      <c r="Y54" s="378">
        <f t="shared" si="13"/>
        <v>-19074.095206813887</v>
      </c>
    </row>
    <row r="55" spans="3:25" x14ac:dyDescent="0.2">
      <c r="C55" s="387">
        <f t="shared" si="5"/>
        <v>41705</v>
      </c>
      <c r="D55" s="388">
        <f t="shared" si="6"/>
        <v>141164.09548387097</v>
      </c>
      <c r="E55" s="392">
        <f t="shared" si="7"/>
        <v>77540</v>
      </c>
      <c r="F55" s="428">
        <f t="shared" si="0"/>
        <v>0.90119165000000001</v>
      </c>
      <c r="G55" s="390">
        <f t="shared" si="1"/>
        <v>69.878399999999999</v>
      </c>
      <c r="H55" s="391">
        <f t="shared" si="2"/>
        <v>218774.87507552095</v>
      </c>
      <c r="I55" s="324">
        <v>69000</v>
      </c>
      <c r="J55" s="325"/>
      <c r="K55" s="325"/>
      <c r="L55" s="317">
        <v>77540</v>
      </c>
      <c r="M55" s="318"/>
      <c r="N55" s="318"/>
      <c r="O55" s="318"/>
      <c r="P55" s="392">
        <f t="shared" si="8"/>
        <v>77540</v>
      </c>
      <c r="Q55" s="392">
        <f t="shared" si="3"/>
        <v>0</v>
      </c>
      <c r="R55" s="392">
        <f t="shared" si="4"/>
        <v>0</v>
      </c>
      <c r="S55" s="373"/>
      <c r="T55" s="374"/>
      <c r="U55" s="18">
        <f t="shared" si="9"/>
        <v>-69000</v>
      </c>
      <c r="V55" s="377">
        <f t="shared" si="10"/>
        <v>69000</v>
      </c>
      <c r="W55" s="18">
        <f t="shared" si="11"/>
        <v>81809.042239999995</v>
      </c>
      <c r="X55" s="377">
        <f t="shared" si="12"/>
        <v>-12809.042239999995</v>
      </c>
      <c r="Y55" s="378">
        <f t="shared" si="13"/>
        <v>-31883.137446813882</v>
      </c>
    </row>
    <row r="56" spans="3:25" x14ac:dyDescent="0.2">
      <c r="C56" s="387">
        <f t="shared" si="5"/>
        <v>41706</v>
      </c>
      <c r="D56" s="388">
        <f t="shared" si="6"/>
        <v>141164.09548387097</v>
      </c>
      <c r="E56" s="392">
        <f t="shared" si="7"/>
        <v>76761.036865999995</v>
      </c>
      <c r="F56" s="428">
        <f t="shared" si="0"/>
        <v>0.90119165000000001</v>
      </c>
      <c r="G56" s="390">
        <f t="shared" si="1"/>
        <v>69.176400000000001</v>
      </c>
      <c r="H56" s="391">
        <f t="shared" si="2"/>
        <v>217995.20994152097</v>
      </c>
      <c r="I56" s="324">
        <v>71000</v>
      </c>
      <c r="J56" s="325"/>
      <c r="K56" s="325"/>
      <c r="L56" s="319">
        <v>76761.036865999995</v>
      </c>
      <c r="M56" s="320"/>
      <c r="N56" s="320"/>
      <c r="O56" s="320"/>
      <c r="P56" s="392">
        <f t="shared" si="8"/>
        <v>76761.036865999995</v>
      </c>
      <c r="Q56" s="392">
        <f t="shared" si="3"/>
        <v>0</v>
      </c>
      <c r="R56" s="392">
        <f t="shared" si="4"/>
        <v>0</v>
      </c>
      <c r="S56" s="373"/>
      <c r="T56" s="374"/>
      <c r="U56" s="18">
        <f t="shared" si="9"/>
        <v>-71000</v>
      </c>
      <c r="V56" s="377">
        <f t="shared" si="10"/>
        <v>71000</v>
      </c>
      <c r="W56" s="18">
        <f t="shared" si="11"/>
        <v>80987.192511694491</v>
      </c>
      <c r="X56" s="377">
        <f t="shared" si="12"/>
        <v>-9987.1925116944913</v>
      </c>
      <c r="Y56" s="378">
        <f t="shared" si="13"/>
        <v>-41870.329958508373</v>
      </c>
    </row>
    <row r="57" spans="3:25" x14ac:dyDescent="0.2">
      <c r="C57" s="387">
        <f t="shared" si="5"/>
        <v>41707</v>
      </c>
      <c r="D57" s="388">
        <f t="shared" si="6"/>
        <v>141164.09548387097</v>
      </c>
      <c r="E57" s="392">
        <f t="shared" si="7"/>
        <v>74596.945313000004</v>
      </c>
      <c r="F57" s="428">
        <f t="shared" si="0"/>
        <v>0.90119165000000001</v>
      </c>
      <c r="G57" s="390">
        <f t="shared" si="1"/>
        <v>67.226100000000002</v>
      </c>
      <c r="H57" s="391">
        <f t="shared" si="2"/>
        <v>215829.16808852096</v>
      </c>
      <c r="I57" s="324">
        <v>71000</v>
      </c>
      <c r="J57" s="325"/>
      <c r="K57" s="325"/>
      <c r="L57" s="317">
        <v>74596.945313000004</v>
      </c>
      <c r="M57" s="318"/>
      <c r="N57" s="318"/>
      <c r="O57" s="318"/>
      <c r="P57" s="392">
        <f t="shared" si="8"/>
        <v>74596.945313000004</v>
      </c>
      <c r="Q57" s="392">
        <f t="shared" si="3"/>
        <v>0</v>
      </c>
      <c r="R57" s="392">
        <f t="shared" si="4"/>
        <v>0</v>
      </c>
      <c r="S57" s="373"/>
      <c r="T57" s="374"/>
      <c r="U57" s="18">
        <f t="shared" si="9"/>
        <v>-71000</v>
      </c>
      <c r="V57" s="377">
        <f t="shared" si="10"/>
        <v>71000</v>
      </c>
      <c r="W57" s="18">
        <f t="shared" si="11"/>
        <v>78703.954734152532</v>
      </c>
      <c r="X57" s="377">
        <f t="shared" si="12"/>
        <v>-7703.9547341525322</v>
      </c>
      <c r="Y57" s="378">
        <f t="shared" si="13"/>
        <v>-49574.284692660905</v>
      </c>
    </row>
    <row r="58" spans="3:25" x14ac:dyDescent="0.2">
      <c r="C58" s="387">
        <f t="shared" si="5"/>
        <v>41708</v>
      </c>
      <c r="D58" s="388">
        <f t="shared" si="6"/>
        <v>141164.09548387097</v>
      </c>
      <c r="E58" s="392">
        <f t="shared" si="7"/>
        <v>73888.320313000004</v>
      </c>
      <c r="F58" s="428">
        <f t="shared" si="0"/>
        <v>0.90119165000000001</v>
      </c>
      <c r="G58" s="390">
        <f t="shared" si="1"/>
        <v>66.587500000000006</v>
      </c>
      <c r="H58" s="391">
        <f t="shared" si="2"/>
        <v>215119.90448852096</v>
      </c>
      <c r="I58" s="324">
        <v>71000</v>
      </c>
      <c r="J58" s="325"/>
      <c r="K58" s="325"/>
      <c r="L58" s="319">
        <v>73888.320313000004</v>
      </c>
      <c r="M58" s="320"/>
      <c r="N58" s="320"/>
      <c r="O58" s="320"/>
      <c r="P58" s="392">
        <f t="shared" si="8"/>
        <v>73888.320313000004</v>
      </c>
      <c r="Q58" s="392">
        <f t="shared" si="3"/>
        <v>0</v>
      </c>
      <c r="R58" s="392">
        <f t="shared" si="4"/>
        <v>0</v>
      </c>
      <c r="S58" s="373"/>
      <c r="T58" s="374"/>
      <c r="U58" s="18">
        <f t="shared" si="9"/>
        <v>-71000</v>
      </c>
      <c r="V58" s="377">
        <f t="shared" si="10"/>
        <v>71000</v>
      </c>
      <c r="W58" s="18">
        <f t="shared" si="11"/>
        <v>77956.315676152532</v>
      </c>
      <c r="X58" s="377">
        <f t="shared" si="12"/>
        <v>-6956.3156761525315</v>
      </c>
      <c r="Y58" s="378">
        <f t="shared" si="13"/>
        <v>-56530.600368813437</v>
      </c>
    </row>
    <row r="59" spans="3:25" x14ac:dyDescent="0.2">
      <c r="C59" s="387">
        <f t="shared" si="5"/>
        <v>41709</v>
      </c>
      <c r="D59" s="388">
        <f t="shared" si="6"/>
        <v>141164.09548387097</v>
      </c>
      <c r="E59" s="392">
        <f t="shared" si="7"/>
        <v>73709.273438000004</v>
      </c>
      <c r="F59" s="428">
        <f t="shared" si="0"/>
        <v>0.90119165000000001</v>
      </c>
      <c r="G59" s="390">
        <f t="shared" si="1"/>
        <v>66.426199999999994</v>
      </c>
      <c r="H59" s="391">
        <f t="shared" si="2"/>
        <v>214940.69631352095</v>
      </c>
      <c r="I59" s="324">
        <v>72000</v>
      </c>
      <c r="J59" s="325"/>
      <c r="K59" s="325"/>
      <c r="L59" s="317">
        <v>73709.273438000004</v>
      </c>
      <c r="M59" s="318"/>
      <c r="N59" s="318"/>
      <c r="O59" s="318"/>
      <c r="P59" s="392">
        <f t="shared" si="8"/>
        <v>73709.273438000004</v>
      </c>
      <c r="Q59" s="392">
        <f t="shared" si="3"/>
        <v>0</v>
      </c>
      <c r="R59" s="392">
        <f t="shared" si="4"/>
        <v>0</v>
      </c>
      <c r="S59" s="373"/>
      <c r="T59" s="374"/>
      <c r="U59" s="18">
        <f t="shared" si="9"/>
        <v>-72000</v>
      </c>
      <c r="V59" s="377">
        <f t="shared" si="10"/>
        <v>72000</v>
      </c>
      <c r="W59" s="18">
        <f t="shared" si="11"/>
        <v>77767.411196402536</v>
      </c>
      <c r="X59" s="377">
        <f t="shared" si="12"/>
        <v>-5767.411196402536</v>
      </c>
      <c r="Y59" s="378">
        <f t="shared" si="13"/>
        <v>-62298.011565215973</v>
      </c>
    </row>
    <row r="60" spans="3:25" x14ac:dyDescent="0.2">
      <c r="C60" s="387">
        <f t="shared" si="5"/>
        <v>41710</v>
      </c>
      <c r="D60" s="388">
        <f t="shared" si="6"/>
        <v>141164.09548387097</v>
      </c>
      <c r="E60" s="392">
        <f t="shared" si="7"/>
        <v>74350.320313000004</v>
      </c>
      <c r="F60" s="428">
        <f t="shared" si="0"/>
        <v>0.90119165000000001</v>
      </c>
      <c r="G60" s="390">
        <f t="shared" si="1"/>
        <v>67.003900000000002</v>
      </c>
      <c r="H60" s="391">
        <f t="shared" si="2"/>
        <v>215582.32088852098</v>
      </c>
      <c r="I60" s="324">
        <v>70000</v>
      </c>
      <c r="J60" s="325"/>
      <c r="K60" s="325"/>
      <c r="L60" s="319">
        <v>74350.320313000004</v>
      </c>
      <c r="M60" s="320"/>
      <c r="N60" s="320"/>
      <c r="O60" s="320"/>
      <c r="P60" s="392">
        <f t="shared" si="8"/>
        <v>74350.320313000004</v>
      </c>
      <c r="Q60" s="392">
        <f t="shared" si="3"/>
        <v>0</v>
      </c>
      <c r="R60" s="392">
        <f t="shared" si="4"/>
        <v>0</v>
      </c>
      <c r="S60" s="373"/>
      <c r="T60" s="374"/>
      <c r="U60" s="18">
        <f t="shared" si="9"/>
        <v>-70000</v>
      </c>
      <c r="V60" s="377">
        <f t="shared" si="10"/>
        <v>70000</v>
      </c>
      <c r="W60" s="18">
        <f t="shared" si="11"/>
        <v>78443.751548152533</v>
      </c>
      <c r="X60" s="377">
        <f t="shared" si="12"/>
        <v>-8443.7515481525334</v>
      </c>
      <c r="Y60" s="378">
        <f t="shared" si="13"/>
        <v>-70741.763113368506</v>
      </c>
    </row>
    <row r="61" spans="3:25" x14ac:dyDescent="0.2">
      <c r="C61" s="387">
        <f t="shared" si="5"/>
        <v>41711</v>
      </c>
      <c r="D61" s="388">
        <f t="shared" si="6"/>
        <v>141164.09548387097</v>
      </c>
      <c r="E61" s="392">
        <f t="shared" si="7"/>
        <v>74497.601563000004</v>
      </c>
      <c r="F61" s="428">
        <f t="shared" si="0"/>
        <v>0.90119165000000001</v>
      </c>
      <c r="G61" s="390">
        <f t="shared" si="1"/>
        <v>67.136600000000001</v>
      </c>
      <c r="H61" s="391">
        <f t="shared" si="2"/>
        <v>215729.73483852096</v>
      </c>
      <c r="I61" s="324">
        <v>70000</v>
      </c>
      <c r="J61" s="325"/>
      <c r="K61" s="325"/>
      <c r="L61" s="317">
        <v>74497.601563000004</v>
      </c>
      <c r="M61" s="318"/>
      <c r="N61" s="318"/>
      <c r="O61" s="318"/>
      <c r="P61" s="392">
        <f t="shared" si="8"/>
        <v>74497.601563000004</v>
      </c>
      <c r="Q61" s="392">
        <f t="shared" si="3"/>
        <v>0</v>
      </c>
      <c r="R61" s="392">
        <f t="shared" si="4"/>
        <v>0</v>
      </c>
      <c r="S61" s="373"/>
      <c r="T61" s="374"/>
      <c r="U61" s="18">
        <f t="shared" si="9"/>
        <v>-70000</v>
      </c>
      <c r="V61" s="377">
        <f t="shared" si="10"/>
        <v>70000</v>
      </c>
      <c r="W61" s="18">
        <f t="shared" si="11"/>
        <v>78599.141514652525</v>
      </c>
      <c r="X61" s="377">
        <f t="shared" si="12"/>
        <v>-8599.1415146525251</v>
      </c>
      <c r="Y61" s="378">
        <f t="shared" si="13"/>
        <v>-79340.904628021031</v>
      </c>
    </row>
    <row r="62" spans="3:25" x14ac:dyDescent="0.2">
      <c r="C62" s="387">
        <f t="shared" si="5"/>
        <v>41712</v>
      </c>
      <c r="D62" s="388">
        <f t="shared" si="6"/>
        <v>141164.09548387097</v>
      </c>
      <c r="E62" s="392">
        <f t="shared" si="7"/>
        <v>76556.945313000004</v>
      </c>
      <c r="F62" s="428">
        <f t="shared" si="0"/>
        <v>0.90119165000000001</v>
      </c>
      <c r="G62" s="390">
        <f t="shared" si="1"/>
        <v>68.992500000000007</v>
      </c>
      <c r="H62" s="391">
        <f t="shared" si="2"/>
        <v>217790.93448852096</v>
      </c>
      <c r="I62" s="324">
        <v>70000</v>
      </c>
      <c r="J62" s="325"/>
      <c r="K62" s="325"/>
      <c r="L62" s="319">
        <v>76556.945313000004</v>
      </c>
      <c r="M62" s="320"/>
      <c r="N62" s="320"/>
      <c r="O62" s="320"/>
      <c r="P62" s="392">
        <f t="shared" si="8"/>
        <v>76556.945313000004</v>
      </c>
      <c r="Q62" s="392">
        <f t="shared" si="3"/>
        <v>0</v>
      </c>
      <c r="R62" s="392">
        <f t="shared" si="4"/>
        <v>0</v>
      </c>
      <c r="S62" s="373"/>
      <c r="T62" s="374"/>
      <c r="U62" s="18">
        <f t="shared" si="9"/>
        <v>-70000</v>
      </c>
      <c r="V62" s="377">
        <f t="shared" si="10"/>
        <v>70000</v>
      </c>
      <c r="W62" s="18">
        <f t="shared" si="11"/>
        <v>80771.864494152527</v>
      </c>
      <c r="X62" s="377">
        <f t="shared" si="12"/>
        <v>-10771.864494152527</v>
      </c>
      <c r="Y62" s="378">
        <f t="shared" si="13"/>
        <v>-90112.769122173559</v>
      </c>
    </row>
    <row r="63" spans="3:25" x14ac:dyDescent="0.2">
      <c r="C63" s="387">
        <f t="shared" si="5"/>
        <v>41713</v>
      </c>
      <c r="D63" s="388">
        <f t="shared" si="6"/>
        <v>141164.09548387097</v>
      </c>
      <c r="E63" s="392">
        <f t="shared" si="7"/>
        <v>77378.234375</v>
      </c>
      <c r="F63" s="428">
        <f t="shared" si="0"/>
        <v>0.90119165000000001</v>
      </c>
      <c r="G63" s="390">
        <f t="shared" si="1"/>
        <v>69.732600000000005</v>
      </c>
      <c r="H63" s="391">
        <f t="shared" si="2"/>
        <v>218612.96365052095</v>
      </c>
      <c r="I63" s="324">
        <v>73000</v>
      </c>
      <c r="J63" s="325"/>
      <c r="K63" s="325"/>
      <c r="L63" s="317">
        <v>77378.234375</v>
      </c>
      <c r="M63" s="318"/>
      <c r="N63" s="318"/>
      <c r="O63" s="318"/>
      <c r="P63" s="392">
        <f t="shared" si="8"/>
        <v>77378.234375</v>
      </c>
      <c r="Q63" s="392">
        <f t="shared" si="3"/>
        <v>0</v>
      </c>
      <c r="R63" s="392">
        <f t="shared" si="4"/>
        <v>0</v>
      </c>
      <c r="S63" s="373"/>
      <c r="T63" s="374"/>
      <c r="U63" s="18">
        <f t="shared" si="9"/>
        <v>-73000</v>
      </c>
      <c r="V63" s="377">
        <f t="shared" si="10"/>
        <v>73000</v>
      </c>
      <c r="W63" s="18">
        <f t="shared" si="11"/>
        <v>81638.370446750007</v>
      </c>
      <c r="X63" s="377">
        <f t="shared" si="12"/>
        <v>-8638.3704467500065</v>
      </c>
      <c r="Y63" s="378">
        <f t="shared" si="13"/>
        <v>-98751.139568923565</v>
      </c>
    </row>
    <row r="64" spans="3:25" x14ac:dyDescent="0.2">
      <c r="C64" s="387">
        <f t="shared" si="5"/>
        <v>41714</v>
      </c>
      <c r="D64" s="388">
        <f t="shared" si="6"/>
        <v>141164.09548387097</v>
      </c>
      <c r="E64" s="392">
        <f t="shared" si="7"/>
        <v>78516.8125</v>
      </c>
      <c r="F64" s="428">
        <f t="shared" si="0"/>
        <v>0.90119165000000001</v>
      </c>
      <c r="G64" s="390">
        <f t="shared" si="1"/>
        <v>70.758700000000005</v>
      </c>
      <c r="H64" s="391">
        <f t="shared" si="2"/>
        <v>219752.56787552097</v>
      </c>
      <c r="I64" s="324">
        <v>73000</v>
      </c>
      <c r="J64" s="325"/>
      <c r="K64" s="325"/>
      <c r="L64" s="319">
        <v>78516.8125</v>
      </c>
      <c r="M64" s="320"/>
      <c r="N64" s="320"/>
      <c r="O64" s="320"/>
      <c r="P64" s="392">
        <f t="shared" si="8"/>
        <v>78516.8125</v>
      </c>
      <c r="Q64" s="392">
        <f t="shared" si="3"/>
        <v>0</v>
      </c>
      <c r="R64" s="392">
        <f t="shared" si="4"/>
        <v>0</v>
      </c>
      <c r="S64" s="373"/>
      <c r="T64" s="374"/>
      <c r="U64" s="18">
        <f t="shared" si="9"/>
        <v>-73000</v>
      </c>
      <c r="V64" s="377">
        <f t="shared" si="10"/>
        <v>73000</v>
      </c>
      <c r="W64" s="18">
        <f t="shared" si="11"/>
        <v>82839.634128999998</v>
      </c>
      <c r="X64" s="377">
        <f t="shared" si="12"/>
        <v>-9839.6341289999982</v>
      </c>
      <c r="Y64" s="378">
        <f t="shared" si="13"/>
        <v>-108590.77369792356</v>
      </c>
    </row>
    <row r="65" spans="3:38" x14ac:dyDescent="0.2">
      <c r="C65" s="387">
        <f t="shared" si="5"/>
        <v>41715</v>
      </c>
      <c r="D65" s="388">
        <f t="shared" si="6"/>
        <v>141164.09548387097</v>
      </c>
      <c r="E65" s="392">
        <f t="shared" si="7"/>
        <v>77115.914063000004</v>
      </c>
      <c r="F65" s="428">
        <f t="shared" si="0"/>
        <v>0.90119165000000001</v>
      </c>
      <c r="G65" s="390">
        <f t="shared" si="1"/>
        <v>69.496200000000002</v>
      </c>
      <c r="H65" s="391">
        <f t="shared" si="2"/>
        <v>218350.40693852096</v>
      </c>
      <c r="I65" s="324">
        <v>73000</v>
      </c>
      <c r="J65" s="325"/>
      <c r="K65" s="325"/>
      <c r="L65" s="317">
        <v>77115.914063000004</v>
      </c>
      <c r="M65" s="318"/>
      <c r="N65" s="318"/>
      <c r="O65" s="318"/>
      <c r="P65" s="392">
        <f t="shared" si="8"/>
        <v>77115.914063000004</v>
      </c>
      <c r="Q65" s="392">
        <f t="shared" si="3"/>
        <v>0</v>
      </c>
      <c r="R65" s="392">
        <f t="shared" si="4"/>
        <v>0</v>
      </c>
      <c r="S65" s="373"/>
      <c r="T65" s="374"/>
      <c r="U65" s="18">
        <f t="shared" si="9"/>
        <v>-73000</v>
      </c>
      <c r="V65" s="377">
        <f t="shared" si="10"/>
        <v>73000</v>
      </c>
      <c r="W65" s="18">
        <f t="shared" si="11"/>
        <v>81361.607827652537</v>
      </c>
      <c r="X65" s="377">
        <f t="shared" si="12"/>
        <v>-8361.6078276525368</v>
      </c>
      <c r="Y65" s="378">
        <f t="shared" si="13"/>
        <v>-116952.3815255761</v>
      </c>
    </row>
    <row r="66" spans="3:38" x14ac:dyDescent="0.2">
      <c r="C66" s="387">
        <f t="shared" si="5"/>
        <v>41716</v>
      </c>
      <c r="D66" s="388">
        <f t="shared" si="6"/>
        <v>141164.09548387097</v>
      </c>
      <c r="E66" s="392">
        <f t="shared" si="7"/>
        <v>76862.453125</v>
      </c>
      <c r="F66" s="428">
        <f t="shared" si="0"/>
        <v>0.90119165000000001</v>
      </c>
      <c r="G66" s="390">
        <f t="shared" si="1"/>
        <v>69.267799999999994</v>
      </c>
      <c r="H66" s="391">
        <f t="shared" si="2"/>
        <v>218096.71760052096</v>
      </c>
      <c r="I66" s="324">
        <v>73000</v>
      </c>
      <c r="J66" s="325"/>
      <c r="K66" s="325"/>
      <c r="L66" s="319">
        <v>76862.453125</v>
      </c>
      <c r="M66" s="320"/>
      <c r="N66" s="320"/>
      <c r="O66" s="320"/>
      <c r="P66" s="392">
        <f t="shared" si="8"/>
        <v>76862.453125</v>
      </c>
      <c r="Q66" s="392">
        <f t="shared" si="3"/>
        <v>0</v>
      </c>
      <c r="R66" s="392">
        <f t="shared" si="4"/>
        <v>0</v>
      </c>
      <c r="S66" s="373"/>
      <c r="T66" s="374"/>
      <c r="U66" s="18">
        <f t="shared" si="9"/>
        <v>-73000</v>
      </c>
      <c r="V66" s="377">
        <f t="shared" si="10"/>
        <v>73000</v>
      </c>
      <c r="W66" s="18">
        <f t="shared" si="11"/>
        <v>81094.192344249997</v>
      </c>
      <c r="X66" s="377">
        <f t="shared" si="12"/>
        <v>-8094.1923442499974</v>
      </c>
      <c r="Y66" s="378">
        <f t="shared" si="13"/>
        <v>-125046.5738698261</v>
      </c>
    </row>
    <row r="67" spans="3:38" x14ac:dyDescent="0.2">
      <c r="C67" s="387">
        <f t="shared" si="5"/>
        <v>41717</v>
      </c>
      <c r="D67" s="388">
        <f t="shared" si="6"/>
        <v>141164.09548387097</v>
      </c>
      <c r="E67" s="392">
        <f t="shared" si="7"/>
        <v>73990.445313000004</v>
      </c>
      <c r="F67" s="428">
        <f t="shared" si="0"/>
        <v>0.90119165000000001</v>
      </c>
      <c r="G67" s="390">
        <f t="shared" si="1"/>
        <v>66.679599999999994</v>
      </c>
      <c r="H67" s="391">
        <f t="shared" si="2"/>
        <v>215222.12158852097</v>
      </c>
      <c r="I67" s="324">
        <v>69000</v>
      </c>
      <c r="J67" s="325"/>
      <c r="K67" s="325"/>
      <c r="L67" s="317">
        <v>73990.445313000004</v>
      </c>
      <c r="M67" s="318"/>
      <c r="N67" s="318"/>
      <c r="O67" s="318"/>
      <c r="P67" s="392">
        <f t="shared" si="8"/>
        <v>73990.445313000004</v>
      </c>
      <c r="Q67" s="392">
        <f t="shared" si="3"/>
        <v>0</v>
      </c>
      <c r="R67" s="392">
        <f t="shared" si="4"/>
        <v>0</v>
      </c>
      <c r="S67" s="373"/>
      <c r="T67" s="374"/>
      <c r="U67" s="18">
        <f t="shared" si="9"/>
        <v>-69000</v>
      </c>
      <c r="V67" s="377">
        <f t="shared" si="10"/>
        <v>69000</v>
      </c>
      <c r="W67" s="18">
        <f t="shared" si="11"/>
        <v>78064.063270152532</v>
      </c>
      <c r="X67" s="377">
        <f t="shared" si="12"/>
        <v>-9064.0632701525319</v>
      </c>
      <c r="Y67" s="378">
        <f t="shared" si="13"/>
        <v>-134110.63713997864</v>
      </c>
    </row>
    <row r="68" spans="3:38" x14ac:dyDescent="0.2">
      <c r="C68" s="387">
        <f t="shared" si="5"/>
        <v>41718</v>
      </c>
      <c r="D68" s="388">
        <f t="shared" si="6"/>
        <v>141164.09548387097</v>
      </c>
      <c r="E68" s="392">
        <f t="shared" si="7"/>
        <v>73822.726563000004</v>
      </c>
      <c r="F68" s="428">
        <f t="shared" si="0"/>
        <v>0.90119165000000001</v>
      </c>
      <c r="G68" s="390">
        <f t="shared" si="1"/>
        <v>66.528400000000005</v>
      </c>
      <c r="H68" s="391">
        <f t="shared" si="2"/>
        <v>215054.25163852097</v>
      </c>
      <c r="I68" s="324">
        <v>69000</v>
      </c>
      <c r="J68" s="325"/>
      <c r="K68" s="325"/>
      <c r="L68" s="319">
        <v>73822.726563000004</v>
      </c>
      <c r="M68" s="320"/>
      <c r="N68" s="320"/>
      <c r="O68" s="320"/>
      <c r="P68" s="392">
        <f t="shared" si="8"/>
        <v>73822.726563000004</v>
      </c>
      <c r="Q68" s="392">
        <f t="shared" si="3"/>
        <v>0</v>
      </c>
      <c r="R68" s="392">
        <f t="shared" si="4"/>
        <v>0</v>
      </c>
      <c r="S68" s="373"/>
      <c r="T68" s="374"/>
      <c r="U68" s="18">
        <f t="shared" si="9"/>
        <v>-69000</v>
      </c>
      <c r="V68" s="377">
        <f t="shared" si="10"/>
        <v>69000</v>
      </c>
      <c r="W68" s="18">
        <f t="shared" si="11"/>
        <v>77887.110596652536</v>
      </c>
      <c r="X68" s="377">
        <f t="shared" si="12"/>
        <v>-8887.1105966525356</v>
      </c>
      <c r="Y68" s="378">
        <f t="shared" si="13"/>
        <v>-142997.74773663119</v>
      </c>
    </row>
    <row r="69" spans="3:38" x14ac:dyDescent="0.2">
      <c r="C69" s="387">
        <f t="shared" si="5"/>
        <v>41719</v>
      </c>
      <c r="D69" s="388">
        <f t="shared" si="6"/>
        <v>141164.09548387097</v>
      </c>
      <c r="E69" s="392">
        <f t="shared" si="7"/>
        <v>73915.15625</v>
      </c>
      <c r="F69" s="428">
        <f t="shared" si="0"/>
        <v>0.90119165000000001</v>
      </c>
      <c r="G69" s="390">
        <f t="shared" si="1"/>
        <v>66.611699999999999</v>
      </c>
      <c r="H69" s="391">
        <f t="shared" si="2"/>
        <v>215146.76462552097</v>
      </c>
      <c r="I69" s="324">
        <v>69000</v>
      </c>
      <c r="J69" s="325"/>
      <c r="K69" s="325"/>
      <c r="L69" s="317">
        <v>73915.15625</v>
      </c>
      <c r="M69" s="318"/>
      <c r="N69" s="318"/>
      <c r="O69" s="318"/>
      <c r="P69" s="392">
        <f t="shared" si="8"/>
        <v>73915.15625</v>
      </c>
      <c r="Q69" s="392">
        <f t="shared" si="3"/>
        <v>0</v>
      </c>
      <c r="R69" s="392">
        <f t="shared" si="4"/>
        <v>0</v>
      </c>
      <c r="S69" s="373"/>
      <c r="T69" s="374"/>
      <c r="U69" s="18">
        <f t="shared" si="9"/>
        <v>-69000</v>
      </c>
      <c r="V69" s="377">
        <f t="shared" si="10"/>
        <v>69000</v>
      </c>
      <c r="W69" s="18">
        <f t="shared" si="11"/>
        <v>77984.629092500007</v>
      </c>
      <c r="X69" s="377">
        <f t="shared" si="12"/>
        <v>-8984.6290925000067</v>
      </c>
      <c r="Y69" s="378">
        <f t="shared" si="13"/>
        <v>-151982.37682913122</v>
      </c>
    </row>
    <row r="70" spans="3:38" x14ac:dyDescent="0.2">
      <c r="C70" s="387">
        <f t="shared" si="5"/>
        <v>41720</v>
      </c>
      <c r="D70" s="388">
        <f t="shared" si="6"/>
        <v>141164.09548387097</v>
      </c>
      <c r="E70" s="392">
        <f t="shared" si="7"/>
        <v>74887.03</v>
      </c>
      <c r="F70" s="428">
        <f t="shared" si="0"/>
        <v>0.90119165000000001</v>
      </c>
      <c r="G70" s="390">
        <f t="shared" si="1"/>
        <v>67.4876</v>
      </c>
      <c r="H70" s="391">
        <f t="shared" si="2"/>
        <v>216119.51427552095</v>
      </c>
      <c r="I70" s="324">
        <v>71000</v>
      </c>
      <c r="J70" s="325"/>
      <c r="K70" s="325"/>
      <c r="L70" s="319">
        <v>74887.03</v>
      </c>
      <c r="M70" s="320"/>
      <c r="N70" s="320"/>
      <c r="O70" s="320"/>
      <c r="P70" s="392">
        <f t="shared" si="8"/>
        <v>74887.03</v>
      </c>
      <c r="Q70" s="392">
        <f t="shared" si="3"/>
        <v>0</v>
      </c>
      <c r="R70" s="392">
        <f t="shared" si="4"/>
        <v>0</v>
      </c>
      <c r="S70" s="373"/>
      <c r="T70" s="374"/>
      <c r="U70" s="18">
        <f t="shared" si="9"/>
        <v>-71000</v>
      </c>
      <c r="V70" s="377">
        <f t="shared" si="10"/>
        <v>71000</v>
      </c>
      <c r="W70" s="18">
        <f t="shared" si="11"/>
        <v>79010.010323679991</v>
      </c>
      <c r="X70" s="377">
        <f t="shared" si="12"/>
        <v>-8010.0103236799914</v>
      </c>
      <c r="Y70" s="378">
        <f t="shared" si="13"/>
        <v>-159992.38715281122</v>
      </c>
    </row>
    <row r="71" spans="3:38" x14ac:dyDescent="0.2">
      <c r="C71" s="387">
        <f t="shared" si="5"/>
        <v>41721</v>
      </c>
      <c r="D71" s="388">
        <f t="shared" si="6"/>
        <v>141164.09548387097</v>
      </c>
      <c r="E71" s="392">
        <f t="shared" si="7"/>
        <v>76320.02</v>
      </c>
      <c r="F71" s="428">
        <f t="shared" si="0"/>
        <v>0.90119165000000001</v>
      </c>
      <c r="G71" s="390">
        <f t="shared" si="1"/>
        <v>68.778999999999996</v>
      </c>
      <c r="H71" s="391">
        <f t="shared" si="2"/>
        <v>217553.79567552096</v>
      </c>
      <c r="I71" s="324">
        <v>71000</v>
      </c>
      <c r="J71" s="325"/>
      <c r="K71" s="325"/>
      <c r="L71" s="317">
        <v>76320.02</v>
      </c>
      <c r="M71" s="318"/>
      <c r="N71" s="318"/>
      <c r="O71" s="318"/>
      <c r="P71" s="392">
        <f t="shared" si="8"/>
        <v>76320.02</v>
      </c>
      <c r="Q71" s="392">
        <f t="shared" si="3"/>
        <v>0</v>
      </c>
      <c r="R71" s="392">
        <f t="shared" si="4"/>
        <v>0</v>
      </c>
      <c r="S71" s="373"/>
      <c r="T71" s="374"/>
      <c r="U71" s="18">
        <f t="shared" si="9"/>
        <v>-71000</v>
      </c>
      <c r="V71" s="377">
        <f t="shared" si="10"/>
        <v>71000</v>
      </c>
      <c r="W71" s="18">
        <f t="shared" si="11"/>
        <v>80521.895021119999</v>
      </c>
      <c r="X71" s="377">
        <f t="shared" si="12"/>
        <v>-9521.895021119999</v>
      </c>
      <c r="Y71" s="378">
        <f t="shared" si="13"/>
        <v>-169514.28217393122</v>
      </c>
    </row>
    <row r="72" spans="3:38" x14ac:dyDescent="0.2">
      <c r="C72" s="387">
        <f t="shared" si="5"/>
        <v>41722</v>
      </c>
      <c r="D72" s="388">
        <f t="shared" si="6"/>
        <v>141164.09548387097</v>
      </c>
      <c r="E72" s="392">
        <f t="shared" si="7"/>
        <v>73146.59</v>
      </c>
      <c r="F72" s="428">
        <f t="shared" si="0"/>
        <v>0.90119165000000001</v>
      </c>
      <c r="G72" s="390">
        <f t="shared" si="1"/>
        <v>65.9191</v>
      </c>
      <c r="H72" s="391">
        <f t="shared" si="2"/>
        <v>214377.50577552096</v>
      </c>
      <c r="I72" s="324">
        <v>71000</v>
      </c>
      <c r="J72" s="325"/>
      <c r="K72" s="325"/>
      <c r="L72" s="319">
        <v>73146.59</v>
      </c>
      <c r="M72" s="320"/>
      <c r="N72" s="320"/>
      <c r="O72" s="320"/>
      <c r="P72" s="392">
        <f t="shared" si="8"/>
        <v>73146.59</v>
      </c>
      <c r="Q72" s="392">
        <f t="shared" si="3"/>
        <v>0</v>
      </c>
      <c r="R72" s="392">
        <f t="shared" si="4"/>
        <v>0</v>
      </c>
      <c r="S72" s="373"/>
      <c r="T72" s="374"/>
      <c r="U72" s="18">
        <f t="shared" si="9"/>
        <v>-71000</v>
      </c>
      <c r="V72" s="377">
        <f t="shared" si="10"/>
        <v>71000</v>
      </c>
      <c r="W72" s="18">
        <f t="shared" si="11"/>
        <v>77173.748659039993</v>
      </c>
      <c r="X72" s="377">
        <f t="shared" si="12"/>
        <v>-6173.7486590399931</v>
      </c>
      <c r="Y72" s="378">
        <f t="shared" si="13"/>
        <v>-175688.03083297121</v>
      </c>
    </row>
    <row r="73" spans="3:38" x14ac:dyDescent="0.2">
      <c r="C73" s="387">
        <f t="shared" si="5"/>
        <v>41723</v>
      </c>
      <c r="D73" s="388">
        <f t="shared" si="6"/>
        <v>141164.09548387097</v>
      </c>
      <c r="E73" s="392">
        <f t="shared" si="7"/>
        <v>73407.37</v>
      </c>
      <c r="F73" s="428">
        <f t="shared" si="0"/>
        <v>0.90119165000000001</v>
      </c>
      <c r="G73" s="390">
        <f t="shared" si="1"/>
        <v>66.1541</v>
      </c>
      <c r="H73" s="391">
        <f t="shared" si="2"/>
        <v>214638.52077552097</v>
      </c>
      <c r="I73" s="324">
        <v>65000</v>
      </c>
      <c r="J73" s="325"/>
      <c r="K73" s="325"/>
      <c r="L73" s="317">
        <v>73407.37</v>
      </c>
      <c r="M73" s="318"/>
      <c r="N73" s="318"/>
      <c r="O73" s="318"/>
      <c r="P73" s="392">
        <f t="shared" si="8"/>
        <v>73407.37</v>
      </c>
      <c r="Q73" s="392">
        <f t="shared" si="3"/>
        <v>0</v>
      </c>
      <c r="R73" s="392">
        <f t="shared" si="4"/>
        <v>0</v>
      </c>
      <c r="S73" s="373"/>
      <c r="T73" s="374"/>
      <c r="U73" s="18">
        <f t="shared" si="9"/>
        <v>-65000</v>
      </c>
      <c r="V73" s="377">
        <f t="shared" si="10"/>
        <v>65000</v>
      </c>
      <c r="W73" s="18">
        <f t="shared" si="11"/>
        <v>77448.886162719995</v>
      </c>
      <c r="X73" s="377">
        <f t="shared" si="12"/>
        <v>-12448.886162719995</v>
      </c>
      <c r="Y73" s="378">
        <f t="shared" si="13"/>
        <v>-188136.91699569119</v>
      </c>
    </row>
    <row r="74" spans="3:38" x14ac:dyDescent="0.2">
      <c r="C74" s="387">
        <f t="shared" si="5"/>
        <v>41724</v>
      </c>
      <c r="D74" s="388">
        <f t="shared" si="6"/>
        <v>141164.09548387097</v>
      </c>
      <c r="E74" s="392">
        <f t="shared" si="7"/>
        <v>75424.990000000005</v>
      </c>
      <c r="F74" s="428">
        <f t="shared" si="0"/>
        <v>0.90119165000000001</v>
      </c>
      <c r="G74" s="390">
        <f t="shared" si="1"/>
        <v>67.972399999999993</v>
      </c>
      <c r="H74" s="391">
        <f t="shared" si="2"/>
        <v>216657.95907552098</v>
      </c>
      <c r="I74" s="324">
        <v>65000</v>
      </c>
      <c r="J74" s="325"/>
      <c r="K74" s="325"/>
      <c r="L74" s="319">
        <v>75424.990000000005</v>
      </c>
      <c r="M74" s="320"/>
      <c r="N74" s="320"/>
      <c r="O74" s="320"/>
      <c r="P74" s="392">
        <f t="shared" si="8"/>
        <v>75424.990000000005</v>
      </c>
      <c r="Q74" s="392">
        <f t="shared" si="3"/>
        <v>0</v>
      </c>
      <c r="R74" s="392">
        <f t="shared" si="4"/>
        <v>0</v>
      </c>
      <c r="S74" s="373"/>
      <c r="T74" s="374"/>
      <c r="U74" s="18">
        <f t="shared" si="9"/>
        <v>-65000</v>
      </c>
      <c r="V74" s="377">
        <f t="shared" si="10"/>
        <v>65000</v>
      </c>
      <c r="W74" s="18">
        <f t="shared" si="11"/>
        <v>79577.588249439999</v>
      </c>
      <c r="X74" s="377">
        <f t="shared" si="12"/>
        <v>-14577.588249439999</v>
      </c>
      <c r="Y74" s="378">
        <f t="shared" si="13"/>
        <v>-202714.50524513121</v>
      </c>
    </row>
    <row r="75" spans="3:38" x14ac:dyDescent="0.2">
      <c r="C75" s="387">
        <f t="shared" si="5"/>
        <v>41725</v>
      </c>
      <c r="D75" s="388">
        <f t="shared" si="6"/>
        <v>141164.09548387097</v>
      </c>
      <c r="E75" s="392">
        <f t="shared" si="7"/>
        <v>73686.7</v>
      </c>
      <c r="F75" s="428">
        <f t="shared" si="0"/>
        <v>0.90119165000000001</v>
      </c>
      <c r="G75" s="390">
        <f t="shared" si="1"/>
        <v>66.405799999999999</v>
      </c>
      <c r="H75" s="391">
        <f t="shared" si="2"/>
        <v>214918.10247552095</v>
      </c>
      <c r="I75" s="324">
        <v>64998</v>
      </c>
      <c r="J75" s="325"/>
      <c r="K75" s="325"/>
      <c r="L75" s="317">
        <v>73686.7</v>
      </c>
      <c r="M75" s="318"/>
      <c r="N75" s="318"/>
      <c r="O75" s="318"/>
      <c r="P75" s="392">
        <f t="shared" si="8"/>
        <v>73686.7</v>
      </c>
      <c r="Q75" s="392">
        <f t="shared" si="3"/>
        <v>0</v>
      </c>
      <c r="R75" s="392">
        <f t="shared" si="4"/>
        <v>0</v>
      </c>
      <c r="S75" s="373"/>
      <c r="T75" s="374"/>
      <c r="U75" s="18">
        <f t="shared" si="9"/>
        <v>-64998</v>
      </c>
      <c r="V75" s="377">
        <f t="shared" si="10"/>
        <v>64998</v>
      </c>
      <c r="W75" s="18">
        <f t="shared" si="11"/>
        <v>77743.594955199995</v>
      </c>
      <c r="X75" s="377">
        <f t="shared" si="12"/>
        <v>-12745.594955199995</v>
      </c>
      <c r="Y75" s="378">
        <f t="shared" si="13"/>
        <v>-215460.10020033119</v>
      </c>
    </row>
    <row r="76" spans="3:38" x14ac:dyDescent="0.2">
      <c r="C76" s="387">
        <f t="shared" si="5"/>
        <v>41726</v>
      </c>
      <c r="D76" s="388">
        <f t="shared" si="6"/>
        <v>141164.09548387097</v>
      </c>
      <c r="E76" s="392">
        <f t="shared" si="7"/>
        <v>73490.786999999997</v>
      </c>
      <c r="F76" s="428">
        <f t="shared" si="0"/>
        <v>0.90119165000000001</v>
      </c>
      <c r="G76" s="390">
        <f t="shared" si="1"/>
        <v>66.229299999999995</v>
      </c>
      <c r="H76" s="391">
        <f t="shared" si="2"/>
        <v>214722.01297552095</v>
      </c>
      <c r="I76" s="324">
        <v>65000</v>
      </c>
      <c r="J76" s="325"/>
      <c r="K76" s="325"/>
      <c r="L76" s="319">
        <v>73490.786999999997</v>
      </c>
      <c r="M76" s="320"/>
      <c r="N76" s="320"/>
      <c r="O76" s="320"/>
      <c r="P76" s="392">
        <f t="shared" si="8"/>
        <v>73490.786999999997</v>
      </c>
      <c r="Q76" s="392">
        <f t="shared" si="3"/>
        <v>0</v>
      </c>
      <c r="R76" s="392">
        <f t="shared" si="4"/>
        <v>0</v>
      </c>
      <c r="S76" s="373"/>
      <c r="T76" s="374"/>
      <c r="U76" s="18">
        <f t="shared" si="9"/>
        <v>-65000</v>
      </c>
      <c r="V76" s="377">
        <f t="shared" si="10"/>
        <v>65000</v>
      </c>
      <c r="W76" s="18">
        <f t="shared" si="11"/>
        <v>77536.895769071998</v>
      </c>
      <c r="X76" s="377">
        <f t="shared" si="12"/>
        <v>-12536.895769071998</v>
      </c>
      <c r="Y76" s="378">
        <f t="shared" si="13"/>
        <v>-227996.99596940319</v>
      </c>
    </row>
    <row r="77" spans="3:38" x14ac:dyDescent="0.2">
      <c r="C77" s="387">
        <f t="shared" si="5"/>
        <v>41727</v>
      </c>
      <c r="D77" s="388">
        <f t="shared" si="6"/>
        <v>141164.09548387097</v>
      </c>
      <c r="E77" s="392">
        <f t="shared" si="7"/>
        <v>74443.98</v>
      </c>
      <c r="F77" s="428">
        <f t="shared" si="0"/>
        <v>0.90119165000000001</v>
      </c>
      <c r="G77" s="390">
        <f t="shared" si="1"/>
        <v>67.088300000000004</v>
      </c>
      <c r="H77" s="391">
        <f t="shared" si="2"/>
        <v>215676.06497552097</v>
      </c>
      <c r="I77" s="324">
        <v>74000</v>
      </c>
      <c r="J77" s="325"/>
      <c r="K77" s="325"/>
      <c r="L77" s="317">
        <v>74443.98</v>
      </c>
      <c r="M77" s="318"/>
      <c r="N77" s="318"/>
      <c r="O77" s="318"/>
      <c r="P77" s="392">
        <f t="shared" si="8"/>
        <v>74443.98</v>
      </c>
      <c r="Q77" s="392">
        <f t="shared" si="3"/>
        <v>0</v>
      </c>
      <c r="R77" s="392">
        <f t="shared" si="4"/>
        <v>0</v>
      </c>
      <c r="S77" s="373"/>
      <c r="T77" s="374"/>
      <c r="U77" s="18">
        <f t="shared" si="9"/>
        <v>-74000</v>
      </c>
      <c r="V77" s="377">
        <f t="shared" si="10"/>
        <v>74000</v>
      </c>
      <c r="W77" s="18">
        <f t="shared" si="11"/>
        <v>78542.567762879989</v>
      </c>
      <c r="X77" s="377">
        <f t="shared" si="12"/>
        <v>-4542.5677628799895</v>
      </c>
      <c r="Y77" s="378">
        <f t="shared" si="13"/>
        <v>-232539.56373228319</v>
      </c>
    </row>
    <row r="78" spans="3:38" x14ac:dyDescent="0.2">
      <c r="C78" s="387">
        <f t="shared" si="5"/>
        <v>41728</v>
      </c>
      <c r="D78" s="388">
        <f t="shared" si="6"/>
        <v>141164.09548387097</v>
      </c>
      <c r="E78" s="392">
        <f t="shared" si="7"/>
        <v>77249.09</v>
      </c>
      <c r="F78" s="428">
        <f t="shared" si="0"/>
        <v>0.90119165000000001</v>
      </c>
      <c r="G78" s="390">
        <f t="shared" si="1"/>
        <v>69.616200000000006</v>
      </c>
      <c r="H78" s="391">
        <f t="shared" si="2"/>
        <v>218483.70287552095</v>
      </c>
      <c r="I78" s="324">
        <v>73000</v>
      </c>
      <c r="J78" s="325"/>
      <c r="K78" s="325"/>
      <c r="L78" s="319">
        <v>77249.09</v>
      </c>
      <c r="M78" s="320"/>
      <c r="N78" s="320"/>
      <c r="O78" s="320"/>
      <c r="P78" s="392">
        <f t="shared" si="8"/>
        <v>77249.09</v>
      </c>
      <c r="Q78" s="392">
        <f t="shared" si="3"/>
        <v>0</v>
      </c>
      <c r="R78" s="392">
        <f t="shared" si="4"/>
        <v>0</v>
      </c>
      <c r="S78" s="373"/>
      <c r="T78" s="374"/>
      <c r="U78" s="18">
        <f t="shared" si="9"/>
        <v>-73000</v>
      </c>
      <c r="V78" s="377">
        <f t="shared" si="10"/>
        <v>73000</v>
      </c>
      <c r="W78" s="18">
        <f t="shared" si="11"/>
        <v>81502.11589904</v>
      </c>
      <c r="X78" s="377">
        <f t="shared" si="12"/>
        <v>-8502.1158990399999</v>
      </c>
      <c r="Y78" s="378">
        <f t="shared" si="13"/>
        <v>-241041.6796313232</v>
      </c>
    </row>
    <row r="79" spans="3:38" ht="15" thickBot="1" x14ac:dyDescent="0.25">
      <c r="C79" s="393">
        <f t="shared" si="5"/>
        <v>41729</v>
      </c>
      <c r="D79" s="394">
        <f t="shared" si="6"/>
        <v>141164.09548387097</v>
      </c>
      <c r="E79" s="395">
        <f t="shared" si="7"/>
        <v>77349.77</v>
      </c>
      <c r="F79" s="429">
        <f t="shared" si="0"/>
        <v>0.90119165000000001</v>
      </c>
      <c r="G79" s="396">
        <f t="shared" si="1"/>
        <v>69.706999999999994</v>
      </c>
      <c r="H79" s="397">
        <f t="shared" si="2"/>
        <v>218584.47367552095</v>
      </c>
      <c r="I79" s="326">
        <v>73000</v>
      </c>
      <c r="J79" s="327"/>
      <c r="K79" s="327"/>
      <c r="L79" s="321">
        <v>77349.77</v>
      </c>
      <c r="M79" s="322"/>
      <c r="N79" s="322"/>
      <c r="O79" s="322"/>
      <c r="P79" s="395">
        <f t="shared" si="8"/>
        <v>77349.77</v>
      </c>
      <c r="Q79" s="395">
        <f t="shared" si="3"/>
        <v>0</v>
      </c>
      <c r="R79" s="395">
        <f t="shared" si="4"/>
        <v>0</v>
      </c>
      <c r="S79" s="375"/>
      <c r="T79" s="376"/>
      <c r="U79" s="379">
        <f t="shared" si="9"/>
        <v>-73000</v>
      </c>
      <c r="V79" s="380">
        <f t="shared" si="10"/>
        <v>73000</v>
      </c>
      <c r="W79" s="379">
        <f t="shared" si="11"/>
        <v>81608.338937120003</v>
      </c>
      <c r="X79" s="380">
        <f t="shared" si="12"/>
        <v>-8608.3389371200028</v>
      </c>
      <c r="Y79" s="381">
        <f t="shared" si="13"/>
        <v>-249650.01856844319</v>
      </c>
    </row>
    <row r="80" spans="3:38" ht="15" thickBot="1" x14ac:dyDescent="0.25">
      <c r="C80" s="398"/>
      <c r="D80" s="399">
        <f>SUM(D49:D79)</f>
        <v>4376086.9600000028</v>
      </c>
      <c r="E80" s="400">
        <f>SUM(E49:E79)</f>
        <v>2296226.9477340006</v>
      </c>
      <c r="F80" s="400"/>
      <c r="G80" s="401">
        <f>SUM(G49:G79)</f>
        <v>2069.3405999999995</v>
      </c>
      <c r="H80" s="399">
        <f>SUM(H49:H79)</f>
        <v>6674411.1852751514</v>
      </c>
      <c r="I80" s="432">
        <f>SUM(I49:I79)</f>
        <v>2172998</v>
      </c>
      <c r="J80" s="432">
        <f t="shared" ref="J80:R80" si="14">SUM(J49:J79)</f>
        <v>0</v>
      </c>
      <c r="K80" s="432">
        <f t="shared" si="14"/>
        <v>0</v>
      </c>
      <c r="L80" s="432">
        <f t="shared" si="14"/>
        <v>2296226.9477340006</v>
      </c>
      <c r="M80" s="432">
        <f t="shared" si="14"/>
        <v>0</v>
      </c>
      <c r="N80" s="432">
        <f t="shared" si="14"/>
        <v>0</v>
      </c>
      <c r="O80" s="432">
        <f t="shared" si="14"/>
        <v>0</v>
      </c>
      <c r="P80" s="432">
        <f t="shared" si="14"/>
        <v>2296226.9477340006</v>
      </c>
      <c r="Q80" s="432">
        <f t="shared" si="14"/>
        <v>0</v>
      </c>
      <c r="R80" s="432">
        <f t="shared" si="14"/>
        <v>0</v>
      </c>
      <c r="U80" s="1"/>
      <c r="V80" s="328">
        <f>SUM(V49:V79)</f>
        <v>2172998</v>
      </c>
      <c r="W80" s="328">
        <f>SUM(W49:W79)</f>
        <v>2422648.0185684436</v>
      </c>
      <c r="X80" s="328">
        <f>SUM(X49:X79)</f>
        <v>-249650.01856844319</v>
      </c>
      <c r="Y80" s="323">
        <f>Y79</f>
        <v>-249650.01856844319</v>
      </c>
      <c r="AL80" s="361">
        <f>Y79</f>
        <v>-249650.01856844319</v>
      </c>
    </row>
    <row r="81" spans="2:14" ht="15" customHeight="1" x14ac:dyDescent="0.2">
      <c r="B81"/>
      <c r="C81"/>
      <c r="D81"/>
      <c r="E81"/>
      <c r="F81"/>
      <c r="G81"/>
      <c r="H81"/>
      <c r="I81"/>
      <c r="J81"/>
      <c r="K81"/>
      <c r="L81"/>
      <c r="N81" s="2"/>
    </row>
  </sheetData>
  <mergeCells count="12">
    <mergeCell ref="C10:D10"/>
    <mergeCell ref="C11:D11"/>
    <mergeCell ref="C3:M4"/>
    <mergeCell ref="C5:M5"/>
    <mergeCell ref="C6:M6"/>
    <mergeCell ref="G7:H7"/>
    <mergeCell ref="C9:D9"/>
    <mergeCell ref="D23:E23"/>
    <mergeCell ref="D24:E24"/>
    <mergeCell ref="C28:F28"/>
    <mergeCell ref="C39:F39"/>
    <mergeCell ref="S47:Y47"/>
  </mergeCells>
  <conditionalFormatting sqref="L49:O79">
    <cfRule type="cellIs" dxfId="162" priority="1" stopIfTrue="1" operator="equal">
      <formula>0</formula>
    </cfRule>
  </conditionalFormatting>
  <printOptions horizontalCentered="1"/>
  <pageMargins left="0" right="0.31496062992125984" top="0.35433070866141736" bottom="0.35433070866141736" header="0.31496062992125984" footer="0.31496062992125984"/>
  <pageSetup scale="83" orientation="landscape" r:id="rId1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L81"/>
  <sheetViews>
    <sheetView workbookViewId="0"/>
  </sheetViews>
  <sheetFormatPr baseColWidth="10" defaultColWidth="11" defaultRowHeight="14.25" x14ac:dyDescent="0.2"/>
  <cols>
    <col min="1" max="1" width="11" style="2"/>
    <col min="2" max="2" width="3.875" style="2" bestFit="1" customWidth="1"/>
    <col min="3" max="3" width="16.125" style="2" customWidth="1"/>
    <col min="4" max="4" width="12.375" style="2" bestFit="1" customWidth="1"/>
    <col min="5" max="5" width="10.875" style="2" bestFit="1" customWidth="1"/>
    <col min="6" max="6" width="17.125" style="2" bestFit="1" customWidth="1"/>
    <col min="7" max="7" width="13.125" style="2" bestFit="1" customWidth="1"/>
    <col min="8" max="8" width="12.125" style="2" bestFit="1" customWidth="1"/>
    <col min="9" max="9" width="11.125" style="2" bestFit="1" customWidth="1"/>
    <col min="10" max="10" width="11.875" style="2" bestFit="1" customWidth="1"/>
    <col min="11" max="11" width="11.625" style="2" bestFit="1" customWidth="1"/>
    <col min="12" max="12" width="12.125" style="2" customWidth="1"/>
    <col min="13" max="13" width="12" style="2" bestFit="1" customWidth="1"/>
    <col min="14" max="14" width="9" style="1" customWidth="1"/>
    <col min="15" max="15" width="10.375" style="2" customWidth="1"/>
    <col min="16" max="25" width="11" style="2"/>
    <col min="26" max="31" width="10.875" customWidth="1"/>
    <col min="32" max="16384" width="11" style="2"/>
  </cols>
  <sheetData>
    <row r="2" spans="2:25" x14ac:dyDescent="0.2"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2:25" ht="15" customHeight="1" x14ac:dyDescent="0.2">
      <c r="B3" s="1"/>
      <c r="C3" s="2254" t="s">
        <v>0</v>
      </c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</row>
    <row r="4" spans="2:25" ht="15" customHeight="1" x14ac:dyDescent="0.2"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</row>
    <row r="5" spans="2:25" x14ac:dyDescent="0.2">
      <c r="B5" s="1"/>
      <c r="C5" s="2257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</row>
    <row r="6" spans="2:25" x14ac:dyDescent="0.2">
      <c r="B6" s="1"/>
      <c r="C6" s="2257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</row>
    <row r="7" spans="2:25" x14ac:dyDescent="0.2">
      <c r="B7" s="1"/>
      <c r="C7" s="516"/>
      <c r="D7" s="516"/>
      <c r="E7" s="516"/>
      <c r="F7" s="516"/>
      <c r="G7" s="2271">
        <v>41730</v>
      </c>
      <c r="H7" s="2257"/>
      <c r="I7" s="516"/>
      <c r="J7" s="516"/>
      <c r="K7" s="516"/>
      <c r="L7" s="516"/>
      <c r="M7" s="516"/>
      <c r="N7" s="18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2:25" x14ac:dyDescent="0.2">
      <c r="B8" s="1"/>
      <c r="C8" s="516"/>
      <c r="D8" s="516"/>
      <c r="E8" s="516"/>
      <c r="F8" s="516"/>
      <c r="G8" s="516"/>
      <c r="H8" s="516"/>
      <c r="I8" s="516"/>
      <c r="J8" s="516"/>
      <c r="K8" s="516"/>
      <c r="L8" s="516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2:25" ht="25.5" x14ac:dyDescent="0.2">
      <c r="B9" s="1"/>
      <c r="C9" s="2272" t="s">
        <v>6</v>
      </c>
      <c r="D9" s="2272"/>
      <c r="E9" s="517" t="s">
        <v>94</v>
      </c>
      <c r="F9" s="517" t="s">
        <v>126</v>
      </c>
      <c r="G9" s="410" t="s">
        <v>133</v>
      </c>
      <c r="H9" s="517" t="s">
        <v>127</v>
      </c>
      <c r="I9" s="517" t="s">
        <v>128</v>
      </c>
      <c r="J9" s="516"/>
      <c r="K9" s="516"/>
      <c r="L9" s="516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2:25" x14ac:dyDescent="0.2">
      <c r="B10" s="1"/>
      <c r="C10" s="2270" t="s">
        <v>131</v>
      </c>
      <c r="D10" s="2270"/>
      <c r="E10" s="433">
        <f>IF(C15=0,D15,C15)</f>
        <v>4627948.08</v>
      </c>
      <c r="F10" s="407">
        <f>E10*0.16</f>
        <v>740471.69280000008</v>
      </c>
      <c r="G10" s="407">
        <f>E10+F10</f>
        <v>5368419.7728000004</v>
      </c>
      <c r="H10" s="512" t="s">
        <v>169</v>
      </c>
      <c r="I10" s="513">
        <v>19</v>
      </c>
      <c r="J10" s="516"/>
      <c r="K10" s="516"/>
      <c r="L10" s="516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2:25" x14ac:dyDescent="0.2">
      <c r="B11" s="1"/>
      <c r="C11" s="2270" t="s">
        <v>132</v>
      </c>
      <c r="D11" s="2270"/>
      <c r="E11" s="433">
        <f>IF(C16=0,D16,C16)</f>
        <v>2027.78</v>
      </c>
      <c r="F11" s="407">
        <f>E11*0.16</f>
        <v>324.44479999999999</v>
      </c>
      <c r="G11" s="407">
        <f>E11+F11</f>
        <v>2352.2248</v>
      </c>
      <c r="H11" s="512" t="s">
        <v>169</v>
      </c>
      <c r="I11" s="513">
        <v>19</v>
      </c>
      <c r="J11" s="516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2:25" x14ac:dyDescent="0.2">
      <c r="B12" s="1"/>
      <c r="C12" s="516"/>
      <c r="D12" s="516"/>
      <c r="E12" s="516"/>
      <c r="F12" s="516"/>
      <c r="G12" s="516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2:25" ht="15" thickBot="1" x14ac:dyDescent="0.25">
      <c r="B13" s="1"/>
      <c r="C13" s="516"/>
      <c r="D13" s="516"/>
      <c r="E13" s="516"/>
      <c r="F13" s="516"/>
      <c r="G13" s="516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2:25" x14ac:dyDescent="0.2">
      <c r="B14" s="1"/>
      <c r="C14" s="440" t="s">
        <v>155</v>
      </c>
      <c r="D14" s="441" t="s">
        <v>156</v>
      </c>
      <c r="E14" s="442" t="s">
        <v>112</v>
      </c>
      <c r="F14" s="516"/>
      <c r="G14" s="516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2:25" x14ac:dyDescent="0.2">
      <c r="B15" s="1"/>
      <c r="C15" s="443">
        <v>4627948.08</v>
      </c>
      <c r="D15" s="444">
        <f>D80</f>
        <v>4376086.959999999</v>
      </c>
      <c r="E15" s="445">
        <f>C15-D15</f>
        <v>251861.12000000104</v>
      </c>
      <c r="F15" s="516"/>
      <c r="G15" s="516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2:25" ht="15" thickBot="1" x14ac:dyDescent="0.25">
      <c r="B16" s="1"/>
      <c r="C16" s="446">
        <v>2027.78</v>
      </c>
      <c r="D16" s="447">
        <f>ROUND(G80,2)</f>
        <v>2027.78</v>
      </c>
      <c r="E16" s="448">
        <f>C16-D16</f>
        <v>0</v>
      </c>
      <c r="F16" s="516"/>
      <c r="G16" s="516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2:25" x14ac:dyDescent="0.2">
      <c r="B17" s="1"/>
      <c r="C17" s="516"/>
      <c r="D17" s="516"/>
      <c r="E17" s="516"/>
      <c r="F17" s="516"/>
      <c r="G17" s="516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2:25" x14ac:dyDescent="0.2">
      <c r="B18" s="1"/>
      <c r="C18" s="516"/>
      <c r="D18" s="516"/>
      <c r="E18" s="516"/>
      <c r="F18" s="516"/>
      <c r="G18" s="516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2:25" x14ac:dyDescent="0.2">
      <c r="B19" s="1"/>
      <c r="C19" s="516"/>
      <c r="D19" s="516"/>
      <c r="E19" s="516"/>
      <c r="F19" s="516"/>
      <c r="G19" s="516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2:25" x14ac:dyDescent="0.2">
      <c r="B20" s="1"/>
      <c r="C20" s="516"/>
      <c r="D20" s="516"/>
      <c r="E20" s="516"/>
      <c r="F20" s="516"/>
      <c r="G20" s="516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2:25" x14ac:dyDescent="0.2">
      <c r="B21" s="1"/>
      <c r="C21" s="516"/>
      <c r="D21" s="516"/>
      <c r="E21" s="516"/>
      <c r="F21" s="516"/>
      <c r="G21" s="516"/>
      <c r="H21" s="1"/>
      <c r="I21" s="1"/>
      <c r="J21" s="1"/>
      <c r="K21" s="1"/>
      <c r="L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2:25" ht="15" thickBot="1" x14ac:dyDescent="0.25">
      <c r="B22" s="1"/>
      <c r="C22" s="419" t="s">
        <v>137</v>
      </c>
      <c r="D22" s="516" t="s">
        <v>138</v>
      </c>
      <c r="E22" s="516"/>
      <c r="F22" s="516" t="s">
        <v>139</v>
      </c>
      <c r="G22" s="516" t="s">
        <v>157</v>
      </c>
      <c r="H22" s="516" t="s">
        <v>143</v>
      </c>
      <c r="I22" s="516" t="s">
        <v>142</v>
      </c>
      <c r="J22" s="516" t="s">
        <v>141</v>
      </c>
      <c r="K22" s="516" t="s">
        <v>140</v>
      </c>
      <c r="L22" s="516" t="s">
        <v>144</v>
      </c>
      <c r="M22" s="516" t="s">
        <v>146</v>
      </c>
      <c r="N22" s="516"/>
      <c r="O22" s="516"/>
      <c r="P22" s="516"/>
      <c r="Q22" s="1"/>
      <c r="R22" s="1"/>
      <c r="S22" s="1"/>
      <c r="T22" s="1"/>
      <c r="U22" s="1"/>
      <c r="V22" s="1"/>
      <c r="W22" s="1"/>
      <c r="X22" s="1"/>
      <c r="Y22" s="1"/>
    </row>
    <row r="23" spans="2:25" ht="36.75" customHeight="1" x14ac:dyDescent="0.2">
      <c r="B23" s="1"/>
      <c r="C23" s="402" t="s">
        <v>134</v>
      </c>
      <c r="D23" s="2261" t="s">
        <v>135</v>
      </c>
      <c r="E23" s="2262"/>
      <c r="F23" s="518" t="s">
        <v>136</v>
      </c>
      <c r="G23" s="461" t="s">
        <v>153</v>
      </c>
      <c r="H23" s="420" t="s">
        <v>129</v>
      </c>
      <c r="I23" s="403" t="s">
        <v>130</v>
      </c>
      <c r="J23" s="422"/>
      <c r="K23" s="422"/>
      <c r="L23" s="422"/>
      <c r="M23" s="404" t="s">
        <v>158</v>
      </c>
      <c r="N23" s="516"/>
      <c r="O23" s="516"/>
      <c r="P23" s="516"/>
      <c r="Q23" s="516"/>
      <c r="R23" s="516"/>
      <c r="S23" s="516"/>
      <c r="T23" s="516"/>
      <c r="U23" s="1"/>
      <c r="V23" s="1"/>
      <c r="W23" s="1"/>
      <c r="X23" s="1"/>
      <c r="Y23" s="1"/>
    </row>
    <row r="24" spans="2:25" x14ac:dyDescent="0.2">
      <c r="B24" s="1"/>
      <c r="C24" s="405">
        <v>850</v>
      </c>
      <c r="D24" s="2263">
        <v>850</v>
      </c>
      <c r="E24" s="2264"/>
      <c r="F24" s="418">
        <v>31482640</v>
      </c>
      <c r="G24" s="462">
        <v>30</v>
      </c>
      <c r="H24" s="460">
        <f>VLOOKUP(C47,Tarifas!D4:H303,3)</f>
        <v>0.13900000000000001</v>
      </c>
      <c r="I24" s="424">
        <f>VLOOKUP(C47,Tarifas!D4:H303,5)</f>
        <v>1E-3</v>
      </c>
      <c r="J24" s="421">
        <v>182.4</v>
      </c>
      <c r="K24" s="421">
        <v>201.4</v>
      </c>
      <c r="L24" s="421">
        <f>I11</f>
        <v>19</v>
      </c>
      <c r="M24" s="431">
        <f>E80</f>
        <v>2239008.1475</v>
      </c>
      <c r="N24" s="430" t="s">
        <v>62</v>
      </c>
      <c r="O24" s="516"/>
      <c r="P24" s="516"/>
      <c r="Q24" s="516"/>
      <c r="R24" s="516"/>
      <c r="S24" s="516"/>
      <c r="T24" s="516"/>
      <c r="U24" s="1"/>
      <c r="V24" s="1"/>
      <c r="W24" s="1"/>
      <c r="X24" s="1"/>
      <c r="Y24" s="1"/>
    </row>
    <row r="25" spans="2:25" x14ac:dyDescent="0.2">
      <c r="B25" s="1"/>
      <c r="C25" s="516"/>
      <c r="D25" s="516"/>
      <c r="E25" s="516"/>
      <c r="F25" s="516"/>
      <c r="G25" s="516"/>
      <c r="H25" s="516"/>
      <c r="I25" s="516"/>
      <c r="J25" s="516"/>
      <c r="K25" s="516"/>
      <c r="L25" s="516"/>
      <c r="M25" s="516"/>
      <c r="N25" s="516"/>
      <c r="O25" s="516"/>
      <c r="P25" s="516"/>
      <c r="Q25" s="516"/>
      <c r="R25" s="516"/>
      <c r="S25" s="1"/>
      <c r="T25" s="1"/>
      <c r="U25" s="1"/>
      <c r="V25" s="1"/>
      <c r="W25" s="1"/>
      <c r="X25" s="1"/>
      <c r="Y25" s="1"/>
    </row>
    <row r="26" spans="2:25" x14ac:dyDescent="0.2">
      <c r="B26" s="1"/>
      <c r="C26" s="516"/>
      <c r="D26" s="516"/>
      <c r="E26" s="516"/>
      <c r="F26" s="516"/>
      <c r="G26" s="516"/>
      <c r="H26" s="516"/>
      <c r="I26" s="516"/>
      <c r="J26" s="516"/>
      <c r="K26" s="516"/>
      <c r="L26" s="516"/>
      <c r="M26" s="516"/>
      <c r="N26" s="516"/>
      <c r="O26" s="516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2:25" x14ac:dyDescent="0.2">
      <c r="B27" s="1"/>
      <c r="C27" s="516"/>
      <c r="D27" s="516"/>
      <c r="E27" s="516"/>
      <c r="F27" s="516"/>
      <c r="G27" s="516"/>
      <c r="H27" s="516"/>
      <c r="I27" s="516"/>
      <c r="J27" s="516"/>
      <c r="K27" s="516"/>
      <c r="L27" s="516"/>
      <c r="M27" s="516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2:25" ht="15" thickBot="1" x14ac:dyDescent="0.25">
      <c r="B28" s="1"/>
      <c r="C28" s="2265" t="s">
        <v>86</v>
      </c>
      <c r="D28" s="2265"/>
      <c r="E28" s="2265"/>
      <c r="F28" s="2265"/>
      <c r="G28" s="519"/>
      <c r="H28" s="334"/>
      <c r="I28" s="334"/>
      <c r="J28" s="334"/>
      <c r="K28" s="519"/>
      <c r="L28" s="336"/>
      <c r="M28" s="336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2:25" ht="22.5" x14ac:dyDescent="0.2">
      <c r="B29" s="1"/>
      <c r="C29" s="337" t="s">
        <v>87</v>
      </c>
      <c r="D29" s="514" t="s">
        <v>88</v>
      </c>
      <c r="E29" s="514" t="s">
        <v>89</v>
      </c>
      <c r="F29" s="514" t="s">
        <v>20</v>
      </c>
      <c r="G29" s="514" t="s">
        <v>160</v>
      </c>
      <c r="H29" s="514" t="s">
        <v>90</v>
      </c>
      <c r="I29" s="514" t="s">
        <v>91</v>
      </c>
      <c r="J29" s="514" t="s">
        <v>92</v>
      </c>
      <c r="K29" s="514" t="s">
        <v>93</v>
      </c>
      <c r="L29" s="514" t="s">
        <v>94</v>
      </c>
      <c r="M29" s="515" t="s">
        <v>95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2:25" x14ac:dyDescent="0.2">
      <c r="B30" s="1"/>
      <c r="C30" s="338"/>
      <c r="D30" s="339">
        <v>1</v>
      </c>
      <c r="E30" s="339" t="s">
        <v>96</v>
      </c>
      <c r="F30" s="340" t="s">
        <v>97</v>
      </c>
      <c r="G30" s="340">
        <v>2201</v>
      </c>
      <c r="H30" s="339">
        <v>20823</v>
      </c>
      <c r="I30" s="341">
        <v>0</v>
      </c>
      <c r="J30" s="339">
        <v>138.15</v>
      </c>
      <c r="K30" s="342">
        <f>I30/I$35</f>
        <v>0</v>
      </c>
      <c r="L30" s="343">
        <f>ROUND(K30*E$10,2)</f>
        <v>0</v>
      </c>
      <c r="M30" s="344">
        <f>L30*$I$10</f>
        <v>0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2:25" x14ac:dyDescent="0.2">
      <c r="B31" s="1"/>
      <c r="C31" s="338"/>
      <c r="D31" s="339">
        <v>2</v>
      </c>
      <c r="E31" s="339" t="s">
        <v>98</v>
      </c>
      <c r="F31" s="340" t="s">
        <v>97</v>
      </c>
      <c r="G31" s="340">
        <v>2201</v>
      </c>
      <c r="H31" s="339">
        <v>20824</v>
      </c>
      <c r="I31" s="341">
        <v>0</v>
      </c>
      <c r="J31" s="339">
        <v>138.15</v>
      </c>
      <c r="K31" s="342">
        <f>I31/I$35</f>
        <v>0</v>
      </c>
      <c r="L31" s="343">
        <f>ROUND(K31*E$10,2)</f>
        <v>0</v>
      </c>
      <c r="M31" s="344">
        <f>L31*$I$10</f>
        <v>0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2:25" x14ac:dyDescent="0.2">
      <c r="B32" s="1"/>
      <c r="C32" s="338"/>
      <c r="D32" s="339">
        <v>1</v>
      </c>
      <c r="E32" s="339" t="s">
        <v>99</v>
      </c>
      <c r="F32" s="340" t="s">
        <v>100</v>
      </c>
      <c r="G32" s="340">
        <v>2230</v>
      </c>
      <c r="H32" s="339">
        <v>22228</v>
      </c>
      <c r="I32" s="341">
        <v>0</v>
      </c>
      <c r="J32" s="339">
        <v>130.80000000000001</v>
      </c>
      <c r="K32" s="342">
        <f>I32/I$35</f>
        <v>0</v>
      </c>
      <c r="L32" s="343">
        <f>ROUND(K32*E$10,2)</f>
        <v>0</v>
      </c>
      <c r="M32" s="344">
        <f>L32*$I$10</f>
        <v>0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2:25" x14ac:dyDescent="0.2">
      <c r="B33" s="1"/>
      <c r="C33" s="338">
        <v>800762390</v>
      </c>
      <c r="D33" s="339">
        <v>3</v>
      </c>
      <c r="E33" s="354" t="s">
        <v>101</v>
      </c>
      <c r="F33" s="463" t="s">
        <v>23</v>
      </c>
      <c r="G33" s="463">
        <v>2044</v>
      </c>
      <c r="H33" s="354">
        <v>591000500</v>
      </c>
      <c r="I33" s="341">
        <v>80000</v>
      </c>
      <c r="J33" s="339"/>
      <c r="K33" s="342">
        <f>I33/I$35</f>
        <v>9.4117647058823528E-2</v>
      </c>
      <c r="L33" s="343">
        <f>ROUND(K33*E$10,2)</f>
        <v>435571.58</v>
      </c>
      <c r="M33" s="344">
        <f>L33*$I$10</f>
        <v>8275860.0200000005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2:25" ht="15" thickBot="1" x14ac:dyDescent="0.25">
      <c r="B34" s="1"/>
      <c r="C34" s="345">
        <v>800642440</v>
      </c>
      <c r="D34" s="346">
        <v>5</v>
      </c>
      <c r="E34" s="347" t="s">
        <v>101</v>
      </c>
      <c r="F34" s="348" t="s">
        <v>159</v>
      </c>
      <c r="G34" s="348">
        <v>2277</v>
      </c>
      <c r="H34" s="347">
        <v>22770</v>
      </c>
      <c r="I34" s="349">
        <f>850000-I30-I31-I32-I33</f>
        <v>770000</v>
      </c>
      <c r="J34" s="346"/>
      <c r="K34" s="350">
        <f>I34/I$35</f>
        <v>0.90588235294117647</v>
      </c>
      <c r="L34" s="351">
        <f>ROUND(K34*E$10,2)</f>
        <v>4192376.5</v>
      </c>
      <c r="M34" s="352">
        <f>L34*$I$10</f>
        <v>79655153.5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2:25" x14ac:dyDescent="0.2">
      <c r="B35" s="1"/>
      <c r="C35" s="406">
        <v>3000623</v>
      </c>
      <c r="D35" s="353" t="s">
        <v>102</v>
      </c>
      <c r="E35" s="353"/>
      <c r="F35" s="353"/>
      <c r="G35" s="353"/>
      <c r="H35" s="354"/>
      <c r="I35" s="355">
        <f>SUM(I30:I34)</f>
        <v>850000</v>
      </c>
      <c r="J35" s="353"/>
      <c r="K35" s="356">
        <f>SUM(K30:K34)</f>
        <v>1</v>
      </c>
      <c r="L35" s="357">
        <f>SUM(L30:L34)</f>
        <v>4627948.08</v>
      </c>
      <c r="M35" s="357">
        <f>SUM(M30:M33)</f>
        <v>8275860.0200000005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2:25" x14ac:dyDescent="0.2">
      <c r="B36" s="1"/>
      <c r="C36" s="336"/>
      <c r="D36" s="336"/>
      <c r="E36" s="336"/>
      <c r="F36" s="358"/>
      <c r="G36" s="358"/>
      <c r="H36" s="336"/>
      <c r="I36" s="336"/>
      <c r="J36" s="336"/>
      <c r="K36" s="336"/>
      <c r="L36" s="359"/>
      <c r="M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2:25" x14ac:dyDescent="0.2">
      <c r="B37" s="1"/>
      <c r="C37" s="336"/>
      <c r="D37" s="336"/>
      <c r="E37" s="336"/>
      <c r="F37" s="358"/>
      <c r="G37" s="358"/>
      <c r="H37" s="336"/>
      <c r="I37" s="336"/>
      <c r="J37" s="336"/>
      <c r="K37" s="336"/>
      <c r="L37" s="359"/>
      <c r="M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2:25" x14ac:dyDescent="0.2">
      <c r="B38" s="1"/>
      <c r="C38" s="336"/>
      <c r="D38" s="336"/>
      <c r="E38" s="336"/>
      <c r="F38" s="358"/>
      <c r="G38" s="358"/>
      <c r="H38" s="336"/>
      <c r="I38" s="336"/>
      <c r="J38" s="336"/>
      <c r="K38" s="336"/>
      <c r="L38" s="359"/>
      <c r="M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2:25" ht="15" thickBot="1" x14ac:dyDescent="0.25">
      <c r="B39" s="1"/>
      <c r="C39" s="2266" t="s">
        <v>103</v>
      </c>
      <c r="D39" s="2266"/>
      <c r="E39" s="2266"/>
      <c r="F39" s="2266"/>
      <c r="G39" s="519"/>
      <c r="H39" s="334"/>
      <c r="I39" s="334"/>
      <c r="J39" s="334"/>
      <c r="K39" s="336"/>
      <c r="L39" s="336"/>
      <c r="M39" s="360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2:25" ht="22.5" x14ac:dyDescent="0.2">
      <c r="B40" s="1"/>
      <c r="C40" s="337" t="s">
        <v>87</v>
      </c>
      <c r="D40" s="514" t="s">
        <v>88</v>
      </c>
      <c r="E40" s="514" t="s">
        <v>89</v>
      </c>
      <c r="F40" s="514" t="s">
        <v>20</v>
      </c>
      <c r="G40" s="514"/>
      <c r="H40" s="514" t="s">
        <v>90</v>
      </c>
      <c r="I40" s="514" t="s">
        <v>104</v>
      </c>
      <c r="J40" s="514" t="s">
        <v>93</v>
      </c>
      <c r="K40" s="514" t="s">
        <v>92</v>
      </c>
      <c r="L40" s="514" t="s">
        <v>94</v>
      </c>
      <c r="M40" s="515" t="s">
        <v>95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2:25" x14ac:dyDescent="0.2">
      <c r="B41" s="1"/>
      <c r="C41" s="338"/>
      <c r="D41" s="339">
        <v>1</v>
      </c>
      <c r="E41" s="339" t="s">
        <v>96</v>
      </c>
      <c r="F41" s="340" t="s">
        <v>97</v>
      </c>
      <c r="G41" s="340"/>
      <c r="H41" s="339">
        <v>20823</v>
      </c>
      <c r="I41" s="341">
        <f>M80</f>
        <v>0</v>
      </c>
      <c r="J41" s="342">
        <f>I41/I$45</f>
        <v>0</v>
      </c>
      <c r="K41" s="339">
        <v>138.15</v>
      </c>
      <c r="L41" s="343">
        <f>ROUND(J41*$E$11,2)</f>
        <v>0</v>
      </c>
      <c r="M41" s="344">
        <f>L41*L24</f>
        <v>0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2:25" x14ac:dyDescent="0.2">
      <c r="B42" s="1"/>
      <c r="C42" s="338"/>
      <c r="D42" s="339">
        <v>2</v>
      </c>
      <c r="E42" s="339" t="s">
        <v>98</v>
      </c>
      <c r="F42" s="340" t="s">
        <v>97</v>
      </c>
      <c r="G42" s="340"/>
      <c r="H42" s="339">
        <v>20824</v>
      </c>
      <c r="I42" s="341">
        <f>N80</f>
        <v>0</v>
      </c>
      <c r="J42" s="342">
        <f>I42/I$45</f>
        <v>0</v>
      </c>
      <c r="K42" s="339">
        <v>138.15</v>
      </c>
      <c r="L42" s="343">
        <f>ROUND(J42*$E$11,2)</f>
        <v>0</v>
      </c>
      <c r="M42" s="344">
        <f>L42*L25</f>
        <v>0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2:25" x14ac:dyDescent="0.2">
      <c r="B43" s="1"/>
      <c r="C43" s="338"/>
      <c r="D43" s="339">
        <v>1</v>
      </c>
      <c r="E43" s="339" t="s">
        <v>99</v>
      </c>
      <c r="F43" s="340" t="s">
        <v>100</v>
      </c>
      <c r="G43" s="340"/>
      <c r="H43" s="339">
        <v>22228</v>
      </c>
      <c r="I43" s="341">
        <f>O80</f>
        <v>0</v>
      </c>
      <c r="J43" s="342">
        <f>I43/I$45</f>
        <v>0</v>
      </c>
      <c r="K43" s="339">
        <v>130.80000000000001</v>
      </c>
      <c r="L43" s="343">
        <f>ROUND(J43*$E$11,2)</f>
        <v>0</v>
      </c>
      <c r="M43" s="344">
        <f>L43*L26</f>
        <v>0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2:25" ht="15" thickBot="1" x14ac:dyDescent="0.25">
      <c r="B44" s="1"/>
      <c r="C44" s="345">
        <v>800762390</v>
      </c>
      <c r="D44" s="346">
        <v>4</v>
      </c>
      <c r="E44" s="347" t="s">
        <v>101</v>
      </c>
      <c r="F44" s="348" t="s">
        <v>23</v>
      </c>
      <c r="G44" s="348"/>
      <c r="H44" s="347"/>
      <c r="I44" s="349">
        <f>L80</f>
        <v>2239008.1475</v>
      </c>
      <c r="J44" s="350">
        <f>I44/I$45</f>
        <v>1</v>
      </c>
      <c r="K44" s="346">
        <v>138.15</v>
      </c>
      <c r="L44" s="351">
        <f>ROUND(J44*$E$11,2)</f>
        <v>2027.78</v>
      </c>
      <c r="M44" s="352">
        <f>L44*L27</f>
        <v>0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2:25" x14ac:dyDescent="0.2">
      <c r="B45" s="1"/>
      <c r="C45" s="353"/>
      <c r="D45" s="353"/>
      <c r="E45" s="353"/>
      <c r="F45" s="353"/>
      <c r="G45" s="353"/>
      <c r="H45" s="354"/>
      <c r="I45" s="449">
        <f>SUM(I41:I44)</f>
        <v>2239008.1475</v>
      </c>
      <c r="J45" s="355"/>
      <c r="K45" s="353"/>
      <c r="L45" s="357">
        <f>SUM(L41:L44)</f>
        <v>2027.78</v>
      </c>
      <c r="M45" s="357">
        <f>SUM(M41:M44)</f>
        <v>0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2:25" customFormat="1" ht="15" thickBot="1" x14ac:dyDescent="0.25">
      <c r="M46" s="450"/>
      <c r="N46" s="450"/>
      <c r="O46" s="450"/>
      <c r="P46" s="450"/>
      <c r="Q46" s="450"/>
      <c r="R46" s="450"/>
      <c r="S46" s="450"/>
      <c r="T46" s="450"/>
      <c r="U46" s="450"/>
      <c r="V46" s="450"/>
      <c r="W46" s="450"/>
      <c r="X46" s="450"/>
      <c r="Y46" s="450"/>
    </row>
    <row r="47" spans="2:25" ht="15" thickBot="1" x14ac:dyDescent="0.25">
      <c r="B47" s="434" t="s">
        <v>3</v>
      </c>
      <c r="C47" s="333">
        <f>SUMIF(Tarifas!E4:E303,'Abril - 2014'!C49,Tarifas!D4:D303)</f>
        <v>9</v>
      </c>
      <c r="D47" s="425" t="s">
        <v>147</v>
      </c>
      <c r="E47" s="426" t="s">
        <v>145</v>
      </c>
      <c r="F47" s="426" t="s">
        <v>150</v>
      </c>
      <c r="G47" s="426" t="s">
        <v>148</v>
      </c>
      <c r="H47" s="382"/>
      <c r="I47" s="331" t="s">
        <v>120</v>
      </c>
      <c r="J47" s="332"/>
      <c r="K47" s="332"/>
      <c r="L47" s="364" t="s">
        <v>105</v>
      </c>
      <c r="M47" s="365"/>
      <c r="N47" s="365"/>
      <c r="O47" s="365"/>
      <c r="P47" s="365"/>
      <c r="Q47" s="365"/>
      <c r="R47" s="366"/>
      <c r="S47" s="2267" t="s">
        <v>121</v>
      </c>
      <c r="T47" s="2268"/>
      <c r="U47" s="2268"/>
      <c r="V47" s="2268"/>
      <c r="W47" s="2268"/>
      <c r="X47" s="2268"/>
      <c r="Y47" s="2269"/>
    </row>
    <row r="48" spans="2:25" ht="33.75" x14ac:dyDescent="0.2">
      <c r="C48" s="383" t="s">
        <v>122</v>
      </c>
      <c r="D48" s="384" t="s">
        <v>125</v>
      </c>
      <c r="E48" s="385" t="s">
        <v>149</v>
      </c>
      <c r="F48" s="385" t="s">
        <v>151</v>
      </c>
      <c r="G48" s="385" t="s">
        <v>152</v>
      </c>
      <c r="H48" s="386" t="s">
        <v>123</v>
      </c>
      <c r="I48" s="329" t="s">
        <v>109</v>
      </c>
      <c r="J48" s="330" t="s">
        <v>25</v>
      </c>
      <c r="K48" s="330" t="s">
        <v>26</v>
      </c>
      <c r="L48" s="367" t="s">
        <v>115</v>
      </c>
      <c r="M48" s="362" t="s">
        <v>106</v>
      </c>
      <c r="N48" s="362" t="s">
        <v>107</v>
      </c>
      <c r="O48" s="362" t="s">
        <v>108</v>
      </c>
      <c r="P48" s="362" t="s">
        <v>115</v>
      </c>
      <c r="Q48" s="363" t="s">
        <v>116</v>
      </c>
      <c r="R48" s="368" t="s">
        <v>117</v>
      </c>
      <c r="S48" s="369" t="s">
        <v>110</v>
      </c>
      <c r="T48" s="370" t="s">
        <v>111</v>
      </c>
      <c r="U48" s="370" t="s">
        <v>112</v>
      </c>
      <c r="V48" s="371" t="s">
        <v>118</v>
      </c>
      <c r="W48" s="371" t="s">
        <v>119</v>
      </c>
      <c r="X48" s="371" t="s">
        <v>114</v>
      </c>
      <c r="Y48" s="372" t="s">
        <v>113</v>
      </c>
    </row>
    <row r="49" spans="3:25" x14ac:dyDescent="0.2">
      <c r="C49" s="387">
        <f>G7</f>
        <v>41730</v>
      </c>
      <c r="D49" s="388">
        <f>($F$24*$H$24)/$G$24</f>
        <v>145869.56533333333</v>
      </c>
      <c r="E49" s="389">
        <f>P49+Q49+R49</f>
        <v>76736.89</v>
      </c>
      <c r="F49" s="427">
        <f t="shared" ref="F49:F78" si="0">TRUNC(IFERROR(J$24/K$24,0),8)</f>
        <v>0.90566036999999999</v>
      </c>
      <c r="G49" s="390">
        <f t="shared" ref="G49:G78" si="1">ROUND(I$24*F49*E49,4)</f>
        <v>69.497600000000006</v>
      </c>
      <c r="H49" s="391">
        <f t="shared" ref="H49:H78" si="2">SUM(D49:G49)</f>
        <v>222676.85859370333</v>
      </c>
      <c r="I49" s="324">
        <v>71186</v>
      </c>
      <c r="J49" s="325"/>
      <c r="K49" s="325"/>
      <c r="L49" s="317">
        <v>76736.89</v>
      </c>
      <c r="M49" s="318"/>
      <c r="N49" s="318"/>
      <c r="O49" s="318"/>
      <c r="P49" s="389">
        <f>L49</f>
        <v>76736.89</v>
      </c>
      <c r="Q49" s="389">
        <f t="shared" ref="Q49:Q78" si="3">M49+N49</f>
        <v>0</v>
      </c>
      <c r="R49" s="389">
        <f t="shared" ref="R49:R78" si="4">O49</f>
        <v>0</v>
      </c>
      <c r="S49" s="373"/>
      <c r="T49" s="374"/>
      <c r="U49" s="524">
        <f>S49+T49-V49</f>
        <v>-71186</v>
      </c>
      <c r="V49" s="520">
        <f>I49+J49+K49</f>
        <v>71186</v>
      </c>
      <c r="W49" s="520">
        <f>(P49+Q49+R49)*1.055056</f>
        <v>80961.716215840002</v>
      </c>
      <c r="X49" s="520">
        <f>V49-W49</f>
        <v>-9775.7162158400024</v>
      </c>
      <c r="Y49" s="525">
        <f>AL46+X49</f>
        <v>-9775.7162158400024</v>
      </c>
    </row>
    <row r="50" spans="3:25" x14ac:dyDescent="0.2">
      <c r="C50" s="387">
        <f t="shared" ref="C50:C78" si="5">C49+1</f>
        <v>41731</v>
      </c>
      <c r="D50" s="388">
        <f t="shared" ref="D50:D78" si="6">($F$24*$H$24)/$G$24</f>
        <v>145869.56533333333</v>
      </c>
      <c r="E50" s="392">
        <f t="shared" ref="E50:E78" si="7">P50+Q50+R50</f>
        <v>74852.990000000005</v>
      </c>
      <c r="F50" s="428">
        <f t="shared" si="0"/>
        <v>0.90566036999999999</v>
      </c>
      <c r="G50" s="390">
        <f t="shared" si="1"/>
        <v>67.791399999999996</v>
      </c>
      <c r="H50" s="391">
        <f t="shared" si="2"/>
        <v>220791.2523937033</v>
      </c>
      <c r="I50" s="324">
        <v>68261</v>
      </c>
      <c r="J50" s="325"/>
      <c r="K50" s="325"/>
      <c r="L50" s="319">
        <v>74852.990000000005</v>
      </c>
      <c r="M50" s="320"/>
      <c r="N50" s="320"/>
      <c r="O50" s="320"/>
      <c r="P50" s="392">
        <f t="shared" ref="P50:P78" si="8">L50</f>
        <v>74852.990000000005</v>
      </c>
      <c r="Q50" s="392">
        <f t="shared" si="3"/>
        <v>0</v>
      </c>
      <c r="R50" s="392">
        <f t="shared" si="4"/>
        <v>0</v>
      </c>
      <c r="S50" s="373"/>
      <c r="T50" s="374"/>
      <c r="U50" s="524">
        <f t="shared" ref="U50:U78" si="9">S50+T50-V50</f>
        <v>-68261</v>
      </c>
      <c r="V50" s="520">
        <f t="shared" ref="V50:V78" si="10">I50+J50+K50</f>
        <v>68261</v>
      </c>
      <c r="W50" s="520">
        <f t="shared" ref="W50:W78" si="11">(P50+Q50+R50)*1.055056</f>
        <v>78974.096217440005</v>
      </c>
      <c r="X50" s="520">
        <f t="shared" ref="X50:X78" si="12">V50-W50</f>
        <v>-10713.096217440005</v>
      </c>
      <c r="Y50" s="525">
        <f>Y49+X50</f>
        <v>-20488.812433280007</v>
      </c>
    </row>
    <row r="51" spans="3:25" x14ac:dyDescent="0.2">
      <c r="C51" s="387">
        <f t="shared" si="5"/>
        <v>41732</v>
      </c>
      <c r="D51" s="388">
        <f t="shared" si="6"/>
        <v>145869.56533333333</v>
      </c>
      <c r="E51" s="392">
        <f t="shared" si="7"/>
        <v>72165.66</v>
      </c>
      <c r="F51" s="428">
        <f t="shared" si="0"/>
        <v>0.90566036999999999</v>
      </c>
      <c r="G51" s="390">
        <f t="shared" si="1"/>
        <v>65.357600000000005</v>
      </c>
      <c r="H51" s="391">
        <f t="shared" si="2"/>
        <v>218101.48859370331</v>
      </c>
      <c r="I51" s="324">
        <v>68261</v>
      </c>
      <c r="J51" s="325"/>
      <c r="K51" s="325"/>
      <c r="L51" s="317">
        <v>72165.66</v>
      </c>
      <c r="M51" s="318"/>
      <c r="N51" s="318"/>
      <c r="O51" s="318"/>
      <c r="P51" s="392">
        <f t="shared" si="8"/>
        <v>72165.66</v>
      </c>
      <c r="Q51" s="392">
        <f t="shared" si="3"/>
        <v>0</v>
      </c>
      <c r="R51" s="392">
        <f t="shared" si="4"/>
        <v>0</v>
      </c>
      <c r="S51" s="373"/>
      <c r="T51" s="374"/>
      <c r="U51" s="524">
        <f t="shared" si="9"/>
        <v>-68261</v>
      </c>
      <c r="V51" s="520">
        <f t="shared" si="10"/>
        <v>68261</v>
      </c>
      <c r="W51" s="520">
        <f t="shared" si="11"/>
        <v>76138.812576960001</v>
      </c>
      <c r="X51" s="520">
        <f t="shared" si="12"/>
        <v>-7877.812576960001</v>
      </c>
      <c r="Y51" s="525">
        <f t="shared" ref="Y51:Y78" si="13">Y50+X51</f>
        <v>-28366.625010240008</v>
      </c>
    </row>
    <row r="52" spans="3:25" x14ac:dyDescent="0.2">
      <c r="C52" s="387">
        <f t="shared" si="5"/>
        <v>41733</v>
      </c>
      <c r="D52" s="388">
        <f t="shared" si="6"/>
        <v>145869.56533333333</v>
      </c>
      <c r="E52" s="392">
        <f t="shared" si="7"/>
        <v>71365.66</v>
      </c>
      <c r="F52" s="428">
        <f t="shared" si="0"/>
        <v>0.90566036999999999</v>
      </c>
      <c r="G52" s="390">
        <f t="shared" si="1"/>
        <v>64.633099999999999</v>
      </c>
      <c r="H52" s="391">
        <f t="shared" si="2"/>
        <v>217300.76409370333</v>
      </c>
      <c r="I52" s="324">
        <v>68261</v>
      </c>
      <c r="J52" s="325"/>
      <c r="K52" s="325"/>
      <c r="L52" s="319">
        <v>71365.66</v>
      </c>
      <c r="M52" s="320"/>
      <c r="N52" s="320"/>
      <c r="O52" s="320"/>
      <c r="P52" s="392">
        <f t="shared" si="8"/>
        <v>71365.66</v>
      </c>
      <c r="Q52" s="392">
        <f t="shared" si="3"/>
        <v>0</v>
      </c>
      <c r="R52" s="392">
        <f t="shared" si="4"/>
        <v>0</v>
      </c>
      <c r="S52" s="373"/>
      <c r="T52" s="374"/>
      <c r="U52" s="524">
        <f t="shared" si="9"/>
        <v>-68261</v>
      </c>
      <c r="V52" s="520">
        <f t="shared" si="10"/>
        <v>68261</v>
      </c>
      <c r="W52" s="520">
        <f t="shared" si="11"/>
        <v>75294.767776959998</v>
      </c>
      <c r="X52" s="520">
        <f t="shared" si="12"/>
        <v>-7033.7677769599977</v>
      </c>
      <c r="Y52" s="525">
        <f t="shared" si="13"/>
        <v>-35400.392787200006</v>
      </c>
    </row>
    <row r="53" spans="3:25" x14ac:dyDescent="0.2">
      <c r="C53" s="387">
        <f t="shared" si="5"/>
        <v>41734</v>
      </c>
      <c r="D53" s="388">
        <f t="shared" si="6"/>
        <v>145869.56533333333</v>
      </c>
      <c r="E53" s="392">
        <f t="shared" si="7"/>
        <v>76333.039999999994</v>
      </c>
      <c r="F53" s="428">
        <f t="shared" si="0"/>
        <v>0.90566036999999999</v>
      </c>
      <c r="G53" s="390">
        <f t="shared" si="1"/>
        <v>69.131799999999998</v>
      </c>
      <c r="H53" s="391">
        <f t="shared" si="2"/>
        <v>222272.6427937033</v>
      </c>
      <c r="I53" s="324">
        <v>72161</v>
      </c>
      <c r="J53" s="325"/>
      <c r="K53" s="325"/>
      <c r="L53" s="317">
        <v>76333.039999999994</v>
      </c>
      <c r="M53" s="318"/>
      <c r="N53" s="318"/>
      <c r="O53" s="318"/>
      <c r="P53" s="392">
        <f t="shared" si="8"/>
        <v>76333.039999999994</v>
      </c>
      <c r="Q53" s="392">
        <f t="shared" si="3"/>
        <v>0</v>
      </c>
      <c r="R53" s="392">
        <f t="shared" si="4"/>
        <v>0</v>
      </c>
      <c r="S53" s="373"/>
      <c r="T53" s="374"/>
      <c r="U53" s="524">
        <f t="shared" si="9"/>
        <v>-72161</v>
      </c>
      <c r="V53" s="520">
        <f t="shared" si="10"/>
        <v>72161</v>
      </c>
      <c r="W53" s="520">
        <f t="shared" si="11"/>
        <v>80535.631850239995</v>
      </c>
      <c r="X53" s="520">
        <f t="shared" si="12"/>
        <v>-8374.6318502399954</v>
      </c>
      <c r="Y53" s="525">
        <f t="shared" si="13"/>
        <v>-43775.024637440001</v>
      </c>
    </row>
    <row r="54" spans="3:25" x14ac:dyDescent="0.2">
      <c r="C54" s="387">
        <f t="shared" si="5"/>
        <v>41735</v>
      </c>
      <c r="D54" s="388">
        <f t="shared" si="6"/>
        <v>145869.56533333333</v>
      </c>
      <c r="E54" s="392">
        <f t="shared" si="7"/>
        <v>76487.58</v>
      </c>
      <c r="F54" s="428">
        <f t="shared" si="0"/>
        <v>0.90566036999999999</v>
      </c>
      <c r="G54" s="390">
        <f t="shared" si="1"/>
        <v>69.271799999999999</v>
      </c>
      <c r="H54" s="391">
        <f t="shared" si="2"/>
        <v>222427.32279370332</v>
      </c>
      <c r="I54" s="324">
        <v>72161</v>
      </c>
      <c r="J54" s="325"/>
      <c r="K54" s="325"/>
      <c r="L54" s="319">
        <v>76487.58</v>
      </c>
      <c r="M54" s="320"/>
      <c r="N54" s="320"/>
      <c r="O54" s="320"/>
      <c r="P54" s="392">
        <f t="shared" si="8"/>
        <v>76487.58</v>
      </c>
      <c r="Q54" s="392">
        <f t="shared" si="3"/>
        <v>0</v>
      </c>
      <c r="R54" s="392">
        <f t="shared" si="4"/>
        <v>0</v>
      </c>
      <c r="S54" s="373"/>
      <c r="T54" s="374"/>
      <c r="U54" s="524">
        <f t="shared" si="9"/>
        <v>-72161</v>
      </c>
      <c r="V54" s="520">
        <f t="shared" si="10"/>
        <v>72161</v>
      </c>
      <c r="W54" s="520">
        <f t="shared" si="11"/>
        <v>80698.680204479999</v>
      </c>
      <c r="X54" s="520">
        <f t="shared" si="12"/>
        <v>-8537.6802044799988</v>
      </c>
      <c r="Y54" s="525">
        <f t="shared" si="13"/>
        <v>-52312.70484192</v>
      </c>
    </row>
    <row r="55" spans="3:25" x14ac:dyDescent="0.2">
      <c r="C55" s="387">
        <f t="shared" si="5"/>
        <v>41736</v>
      </c>
      <c r="D55" s="388">
        <f t="shared" si="6"/>
        <v>145869.56533333333</v>
      </c>
      <c r="E55" s="392">
        <f t="shared" si="7"/>
        <v>76022.990000000005</v>
      </c>
      <c r="F55" s="428">
        <f t="shared" si="0"/>
        <v>0.90566036999999999</v>
      </c>
      <c r="G55" s="390">
        <f t="shared" si="1"/>
        <v>68.850999999999999</v>
      </c>
      <c r="H55" s="391">
        <f t="shared" si="2"/>
        <v>221962.3119937033</v>
      </c>
      <c r="I55" s="324">
        <v>72161</v>
      </c>
      <c r="J55" s="325"/>
      <c r="K55" s="325"/>
      <c r="L55" s="317">
        <v>76022.990000000005</v>
      </c>
      <c r="M55" s="318"/>
      <c r="N55" s="318"/>
      <c r="O55" s="318"/>
      <c r="P55" s="392">
        <f t="shared" si="8"/>
        <v>76022.990000000005</v>
      </c>
      <c r="Q55" s="392">
        <f t="shared" si="3"/>
        <v>0</v>
      </c>
      <c r="R55" s="392">
        <f t="shared" si="4"/>
        <v>0</v>
      </c>
      <c r="S55" s="373"/>
      <c r="T55" s="374"/>
      <c r="U55" s="524">
        <f t="shared" si="9"/>
        <v>-72161</v>
      </c>
      <c r="V55" s="520">
        <f t="shared" si="10"/>
        <v>72161</v>
      </c>
      <c r="W55" s="520">
        <f t="shared" si="11"/>
        <v>80208.51173744</v>
      </c>
      <c r="X55" s="520">
        <f t="shared" si="12"/>
        <v>-8047.5117374399997</v>
      </c>
      <c r="Y55" s="525">
        <f t="shared" si="13"/>
        <v>-60360.21657936</v>
      </c>
    </row>
    <row r="56" spans="3:25" x14ac:dyDescent="0.2">
      <c r="C56" s="387">
        <f t="shared" si="5"/>
        <v>41737</v>
      </c>
      <c r="D56" s="388">
        <f t="shared" si="6"/>
        <v>145869.56533333333</v>
      </c>
      <c r="E56" s="392">
        <f t="shared" si="7"/>
        <v>75614.97</v>
      </c>
      <c r="F56" s="428">
        <f t="shared" si="0"/>
        <v>0.90566036999999999</v>
      </c>
      <c r="G56" s="390">
        <f t="shared" si="1"/>
        <v>68.481499999999997</v>
      </c>
      <c r="H56" s="391">
        <f t="shared" si="2"/>
        <v>221553.92249370331</v>
      </c>
      <c r="I56" s="324">
        <v>72161</v>
      </c>
      <c r="J56" s="325"/>
      <c r="K56" s="325"/>
      <c r="L56" s="319">
        <v>75614.97</v>
      </c>
      <c r="M56" s="320"/>
      <c r="N56" s="320"/>
      <c r="O56" s="320"/>
      <c r="P56" s="392">
        <f t="shared" si="8"/>
        <v>75614.97</v>
      </c>
      <c r="Q56" s="392">
        <f t="shared" si="3"/>
        <v>0</v>
      </c>
      <c r="R56" s="392">
        <f t="shared" si="4"/>
        <v>0</v>
      </c>
      <c r="S56" s="373"/>
      <c r="T56" s="374"/>
      <c r="U56" s="524">
        <f t="shared" si="9"/>
        <v>-72161</v>
      </c>
      <c r="V56" s="520">
        <f t="shared" si="10"/>
        <v>72161</v>
      </c>
      <c r="W56" s="520">
        <f t="shared" si="11"/>
        <v>79778.027788320003</v>
      </c>
      <c r="X56" s="520">
        <f t="shared" si="12"/>
        <v>-7617.0277883200033</v>
      </c>
      <c r="Y56" s="525">
        <f t="shared" si="13"/>
        <v>-67977.244367680003</v>
      </c>
    </row>
    <row r="57" spans="3:25" x14ac:dyDescent="0.2">
      <c r="C57" s="387">
        <f t="shared" si="5"/>
        <v>41738</v>
      </c>
      <c r="D57" s="388">
        <f t="shared" si="6"/>
        <v>145869.56533333333</v>
      </c>
      <c r="E57" s="392">
        <f t="shared" si="7"/>
        <v>74927.08</v>
      </c>
      <c r="F57" s="428">
        <f t="shared" si="0"/>
        <v>0.90566036999999999</v>
      </c>
      <c r="G57" s="390">
        <f t="shared" si="1"/>
        <v>67.858500000000006</v>
      </c>
      <c r="H57" s="391">
        <f t="shared" si="2"/>
        <v>220865.40949370334</v>
      </c>
      <c r="I57" s="324">
        <v>68261</v>
      </c>
      <c r="J57" s="325"/>
      <c r="K57" s="325"/>
      <c r="L57" s="317">
        <v>74927.08</v>
      </c>
      <c r="M57" s="318"/>
      <c r="N57" s="318"/>
      <c r="O57" s="318"/>
      <c r="P57" s="392">
        <f t="shared" si="8"/>
        <v>74927.08</v>
      </c>
      <c r="Q57" s="392">
        <f t="shared" si="3"/>
        <v>0</v>
      </c>
      <c r="R57" s="392">
        <f t="shared" si="4"/>
        <v>0</v>
      </c>
      <c r="S57" s="373"/>
      <c r="T57" s="374"/>
      <c r="U57" s="524">
        <f t="shared" si="9"/>
        <v>-68261</v>
      </c>
      <c r="V57" s="520">
        <f t="shared" si="10"/>
        <v>68261</v>
      </c>
      <c r="W57" s="520">
        <f t="shared" si="11"/>
        <v>79052.265316479999</v>
      </c>
      <c r="X57" s="520">
        <f t="shared" si="12"/>
        <v>-10791.265316479999</v>
      </c>
      <c r="Y57" s="525">
        <f t="shared" si="13"/>
        <v>-78768.509684160003</v>
      </c>
    </row>
    <row r="58" spans="3:25" x14ac:dyDescent="0.2">
      <c r="C58" s="387">
        <f t="shared" si="5"/>
        <v>41739</v>
      </c>
      <c r="D58" s="388">
        <f t="shared" si="6"/>
        <v>145869.56533333333</v>
      </c>
      <c r="E58" s="392">
        <f t="shared" si="7"/>
        <v>76261.429999999993</v>
      </c>
      <c r="F58" s="428">
        <f t="shared" si="0"/>
        <v>0.90566036999999999</v>
      </c>
      <c r="G58" s="390">
        <f t="shared" si="1"/>
        <v>69.066999999999993</v>
      </c>
      <c r="H58" s="391">
        <f t="shared" si="2"/>
        <v>222200.96799370332</v>
      </c>
      <c r="I58" s="324">
        <v>68261</v>
      </c>
      <c r="J58" s="325"/>
      <c r="K58" s="325"/>
      <c r="L58" s="319">
        <v>76261.429999999993</v>
      </c>
      <c r="M58" s="320"/>
      <c r="N58" s="320"/>
      <c r="O58" s="320"/>
      <c r="P58" s="392">
        <f t="shared" si="8"/>
        <v>76261.429999999993</v>
      </c>
      <c r="Q58" s="392">
        <f t="shared" si="3"/>
        <v>0</v>
      </c>
      <c r="R58" s="392">
        <f t="shared" si="4"/>
        <v>0</v>
      </c>
      <c r="S58" s="373"/>
      <c r="T58" s="374"/>
      <c r="U58" s="524">
        <f t="shared" si="9"/>
        <v>-68261</v>
      </c>
      <c r="V58" s="520">
        <f t="shared" si="10"/>
        <v>68261</v>
      </c>
      <c r="W58" s="520">
        <f t="shared" si="11"/>
        <v>80460.079290079986</v>
      </c>
      <c r="X58" s="520">
        <f t="shared" si="12"/>
        <v>-12199.079290079986</v>
      </c>
      <c r="Y58" s="525">
        <f t="shared" si="13"/>
        <v>-90967.588974239989</v>
      </c>
    </row>
    <row r="59" spans="3:25" x14ac:dyDescent="0.2">
      <c r="C59" s="387">
        <f t="shared" si="5"/>
        <v>41740</v>
      </c>
      <c r="D59" s="388">
        <f t="shared" si="6"/>
        <v>145869.56533333333</v>
      </c>
      <c r="E59" s="392">
        <f t="shared" si="7"/>
        <v>76253.31</v>
      </c>
      <c r="F59" s="428">
        <f t="shared" si="0"/>
        <v>0.90566036999999999</v>
      </c>
      <c r="G59" s="390">
        <f t="shared" si="1"/>
        <v>69.059600000000003</v>
      </c>
      <c r="H59" s="391">
        <f t="shared" si="2"/>
        <v>222192.84059370332</v>
      </c>
      <c r="I59" s="324">
        <v>68261</v>
      </c>
      <c r="J59" s="325"/>
      <c r="K59" s="325"/>
      <c r="L59" s="317">
        <v>76253.31</v>
      </c>
      <c r="M59" s="318"/>
      <c r="N59" s="318"/>
      <c r="O59" s="318"/>
      <c r="P59" s="392">
        <f t="shared" si="8"/>
        <v>76253.31</v>
      </c>
      <c r="Q59" s="392">
        <f t="shared" si="3"/>
        <v>0</v>
      </c>
      <c r="R59" s="392">
        <f t="shared" si="4"/>
        <v>0</v>
      </c>
      <c r="S59" s="373"/>
      <c r="T59" s="374"/>
      <c r="U59" s="524">
        <f t="shared" si="9"/>
        <v>-68261</v>
      </c>
      <c r="V59" s="520">
        <f t="shared" si="10"/>
        <v>68261</v>
      </c>
      <c r="W59" s="520">
        <f t="shared" si="11"/>
        <v>80451.512235360002</v>
      </c>
      <c r="X59" s="520">
        <f t="shared" si="12"/>
        <v>-12190.512235360002</v>
      </c>
      <c r="Y59" s="525">
        <f t="shared" si="13"/>
        <v>-103158.10120959999</v>
      </c>
    </row>
    <row r="60" spans="3:25" x14ac:dyDescent="0.2">
      <c r="C60" s="387">
        <f t="shared" si="5"/>
        <v>41741</v>
      </c>
      <c r="D60" s="388">
        <f t="shared" si="6"/>
        <v>145869.56533333333</v>
      </c>
      <c r="E60" s="392">
        <f t="shared" si="7"/>
        <v>76301.58</v>
      </c>
      <c r="F60" s="428">
        <f t="shared" si="0"/>
        <v>0.90566036999999999</v>
      </c>
      <c r="G60" s="390">
        <f t="shared" si="1"/>
        <v>69.103300000000004</v>
      </c>
      <c r="H60" s="391">
        <f t="shared" si="2"/>
        <v>222241.15429370332</v>
      </c>
      <c r="I60" s="324">
        <v>72161</v>
      </c>
      <c r="J60" s="325"/>
      <c r="K60" s="325"/>
      <c r="L60" s="319">
        <v>76301.58</v>
      </c>
      <c r="M60" s="320"/>
      <c r="N60" s="320"/>
      <c r="O60" s="320"/>
      <c r="P60" s="392">
        <f t="shared" si="8"/>
        <v>76301.58</v>
      </c>
      <c r="Q60" s="392">
        <f t="shared" si="3"/>
        <v>0</v>
      </c>
      <c r="R60" s="392">
        <f t="shared" si="4"/>
        <v>0</v>
      </c>
      <c r="S60" s="373"/>
      <c r="T60" s="374"/>
      <c r="U60" s="524">
        <f t="shared" si="9"/>
        <v>-72161</v>
      </c>
      <c r="V60" s="520">
        <f t="shared" si="10"/>
        <v>72161</v>
      </c>
      <c r="W60" s="520">
        <f t="shared" si="11"/>
        <v>80502.439788479998</v>
      </c>
      <c r="X60" s="520">
        <f t="shared" si="12"/>
        <v>-8341.4397884799982</v>
      </c>
      <c r="Y60" s="525">
        <f t="shared" si="13"/>
        <v>-111499.54099807999</v>
      </c>
    </row>
    <row r="61" spans="3:25" x14ac:dyDescent="0.2">
      <c r="C61" s="387">
        <f t="shared" si="5"/>
        <v>41742</v>
      </c>
      <c r="D61" s="388">
        <f t="shared" si="6"/>
        <v>145869.56533333333</v>
      </c>
      <c r="E61" s="392">
        <f t="shared" si="7"/>
        <v>74898.080000000002</v>
      </c>
      <c r="F61" s="428">
        <f t="shared" si="0"/>
        <v>0.90566036999999999</v>
      </c>
      <c r="G61" s="390">
        <f t="shared" si="1"/>
        <v>67.8322</v>
      </c>
      <c r="H61" s="391">
        <f t="shared" si="2"/>
        <v>220836.38319370334</v>
      </c>
      <c r="I61" s="324">
        <v>72161</v>
      </c>
      <c r="J61" s="325"/>
      <c r="K61" s="325"/>
      <c r="L61" s="317">
        <v>74898.080000000002</v>
      </c>
      <c r="M61" s="318"/>
      <c r="N61" s="318"/>
      <c r="O61" s="318"/>
      <c r="P61" s="392">
        <f t="shared" si="8"/>
        <v>74898.080000000002</v>
      </c>
      <c r="Q61" s="392">
        <f t="shared" si="3"/>
        <v>0</v>
      </c>
      <c r="R61" s="392">
        <f t="shared" si="4"/>
        <v>0</v>
      </c>
      <c r="S61" s="373"/>
      <c r="T61" s="374"/>
      <c r="U61" s="524">
        <f t="shared" si="9"/>
        <v>-72161</v>
      </c>
      <c r="V61" s="520">
        <f t="shared" si="10"/>
        <v>72161</v>
      </c>
      <c r="W61" s="520">
        <f t="shared" si="11"/>
        <v>79021.668692480001</v>
      </c>
      <c r="X61" s="520">
        <f t="shared" si="12"/>
        <v>-6860.6686924800015</v>
      </c>
      <c r="Y61" s="525">
        <f t="shared" si="13"/>
        <v>-118360.20969055999</v>
      </c>
    </row>
    <row r="62" spans="3:25" x14ac:dyDescent="0.2">
      <c r="C62" s="387">
        <f t="shared" si="5"/>
        <v>41743</v>
      </c>
      <c r="D62" s="388">
        <f t="shared" si="6"/>
        <v>145869.56533333333</v>
      </c>
      <c r="E62" s="392">
        <f t="shared" si="7"/>
        <v>70157.69</v>
      </c>
      <c r="F62" s="428">
        <f t="shared" si="0"/>
        <v>0.90566036999999999</v>
      </c>
      <c r="G62" s="390">
        <f t="shared" si="1"/>
        <v>63.539000000000001</v>
      </c>
      <c r="H62" s="391">
        <f t="shared" si="2"/>
        <v>216091.69999370331</v>
      </c>
      <c r="I62" s="324">
        <v>72161</v>
      </c>
      <c r="J62" s="325"/>
      <c r="K62" s="325"/>
      <c r="L62" s="319">
        <v>70157.69</v>
      </c>
      <c r="M62" s="320"/>
      <c r="N62" s="320"/>
      <c r="O62" s="320"/>
      <c r="P62" s="392">
        <f t="shared" si="8"/>
        <v>70157.69</v>
      </c>
      <c r="Q62" s="392">
        <f t="shared" si="3"/>
        <v>0</v>
      </c>
      <c r="R62" s="392">
        <f t="shared" si="4"/>
        <v>0</v>
      </c>
      <c r="S62" s="373"/>
      <c r="T62" s="374"/>
      <c r="U62" s="524">
        <f t="shared" si="9"/>
        <v>-72161</v>
      </c>
      <c r="V62" s="520">
        <f t="shared" si="10"/>
        <v>72161</v>
      </c>
      <c r="W62" s="520">
        <f t="shared" si="11"/>
        <v>74020.291780640007</v>
      </c>
      <c r="X62" s="520">
        <f t="shared" si="12"/>
        <v>-1859.2917806400073</v>
      </c>
      <c r="Y62" s="525">
        <f t="shared" si="13"/>
        <v>-120219.5014712</v>
      </c>
    </row>
    <row r="63" spans="3:25" x14ac:dyDescent="0.2">
      <c r="C63" s="387">
        <f t="shared" si="5"/>
        <v>41744</v>
      </c>
      <c r="D63" s="388">
        <f t="shared" si="6"/>
        <v>145869.56533333333</v>
      </c>
      <c r="E63" s="392">
        <f t="shared" si="7"/>
        <v>75694.899999999994</v>
      </c>
      <c r="F63" s="428">
        <f t="shared" si="0"/>
        <v>0.90566036999999999</v>
      </c>
      <c r="G63" s="390">
        <f t="shared" si="1"/>
        <v>68.553899999999999</v>
      </c>
      <c r="H63" s="391">
        <f t="shared" si="2"/>
        <v>221633.92489370331</v>
      </c>
      <c r="I63" s="324">
        <v>72161</v>
      </c>
      <c r="J63" s="325"/>
      <c r="K63" s="325"/>
      <c r="L63" s="317">
        <v>75694.899999999994</v>
      </c>
      <c r="M63" s="318"/>
      <c r="N63" s="318"/>
      <c r="O63" s="318"/>
      <c r="P63" s="392">
        <f t="shared" si="8"/>
        <v>75694.899999999994</v>
      </c>
      <c r="Q63" s="392">
        <f t="shared" si="3"/>
        <v>0</v>
      </c>
      <c r="R63" s="392">
        <f t="shared" si="4"/>
        <v>0</v>
      </c>
      <c r="S63" s="373"/>
      <c r="T63" s="374"/>
      <c r="U63" s="524">
        <f t="shared" si="9"/>
        <v>-72161</v>
      </c>
      <c r="V63" s="520">
        <f t="shared" si="10"/>
        <v>72161</v>
      </c>
      <c r="W63" s="520">
        <f t="shared" si="11"/>
        <v>79862.358414399991</v>
      </c>
      <c r="X63" s="520">
        <f t="shared" si="12"/>
        <v>-7701.3584143999906</v>
      </c>
      <c r="Y63" s="525">
        <f t="shared" si="13"/>
        <v>-127920.85988559999</v>
      </c>
    </row>
    <row r="64" spans="3:25" x14ac:dyDescent="0.2">
      <c r="C64" s="387">
        <f t="shared" si="5"/>
        <v>41745</v>
      </c>
      <c r="D64" s="388">
        <f t="shared" si="6"/>
        <v>145869.56533333333</v>
      </c>
      <c r="E64" s="392">
        <f t="shared" si="7"/>
        <v>74189.490000000005</v>
      </c>
      <c r="F64" s="428">
        <f t="shared" si="0"/>
        <v>0.90566036999999999</v>
      </c>
      <c r="G64" s="390">
        <f t="shared" si="1"/>
        <v>67.1905</v>
      </c>
      <c r="H64" s="391">
        <f t="shared" si="2"/>
        <v>220127.15149370331</v>
      </c>
      <c r="I64" s="324">
        <v>70211</v>
      </c>
      <c r="J64" s="325"/>
      <c r="K64" s="325"/>
      <c r="L64" s="319">
        <v>74189.490000000005</v>
      </c>
      <c r="M64" s="320"/>
      <c r="N64" s="320"/>
      <c r="O64" s="320"/>
      <c r="P64" s="392">
        <f t="shared" si="8"/>
        <v>74189.490000000005</v>
      </c>
      <c r="Q64" s="392">
        <f t="shared" si="3"/>
        <v>0</v>
      </c>
      <c r="R64" s="392">
        <f t="shared" si="4"/>
        <v>0</v>
      </c>
      <c r="S64" s="373"/>
      <c r="T64" s="374"/>
      <c r="U64" s="524">
        <f t="shared" si="9"/>
        <v>-70211</v>
      </c>
      <c r="V64" s="520">
        <f t="shared" si="10"/>
        <v>70211</v>
      </c>
      <c r="W64" s="520">
        <f t="shared" si="11"/>
        <v>78274.066561440006</v>
      </c>
      <c r="X64" s="520">
        <f t="shared" si="12"/>
        <v>-8063.0665614400059</v>
      </c>
      <c r="Y64" s="525">
        <f t="shared" si="13"/>
        <v>-135983.92644703999</v>
      </c>
    </row>
    <row r="65" spans="3:38" x14ac:dyDescent="0.2">
      <c r="C65" s="387">
        <f t="shared" si="5"/>
        <v>41746</v>
      </c>
      <c r="D65" s="388">
        <f t="shared" si="6"/>
        <v>145869.56533333333</v>
      </c>
      <c r="E65" s="392">
        <f t="shared" si="7"/>
        <v>73752.98</v>
      </c>
      <c r="F65" s="428">
        <f t="shared" si="0"/>
        <v>0.90566036999999999</v>
      </c>
      <c r="G65" s="390">
        <f t="shared" si="1"/>
        <v>66.795199999999994</v>
      </c>
      <c r="H65" s="391">
        <f t="shared" si="2"/>
        <v>219690.24619370329</v>
      </c>
      <c r="I65" s="324">
        <v>70211</v>
      </c>
      <c r="J65" s="325"/>
      <c r="K65" s="325"/>
      <c r="L65" s="317">
        <v>73752.98</v>
      </c>
      <c r="M65" s="318"/>
      <c r="N65" s="318"/>
      <c r="O65" s="318"/>
      <c r="P65" s="392">
        <f t="shared" si="8"/>
        <v>73752.98</v>
      </c>
      <c r="Q65" s="392">
        <f t="shared" si="3"/>
        <v>0</v>
      </c>
      <c r="R65" s="392">
        <f t="shared" si="4"/>
        <v>0</v>
      </c>
      <c r="S65" s="373"/>
      <c r="T65" s="374"/>
      <c r="U65" s="524">
        <f t="shared" si="9"/>
        <v>-70211</v>
      </c>
      <c r="V65" s="520">
        <f t="shared" si="10"/>
        <v>70211</v>
      </c>
      <c r="W65" s="520">
        <f t="shared" si="11"/>
        <v>77813.524066879996</v>
      </c>
      <c r="X65" s="520">
        <f t="shared" si="12"/>
        <v>-7602.5240668799961</v>
      </c>
      <c r="Y65" s="525">
        <f t="shared" si="13"/>
        <v>-143586.45051391999</v>
      </c>
    </row>
    <row r="66" spans="3:38" x14ac:dyDescent="0.2">
      <c r="C66" s="387">
        <f t="shared" si="5"/>
        <v>41747</v>
      </c>
      <c r="D66" s="388">
        <f t="shared" si="6"/>
        <v>145869.56533333333</v>
      </c>
      <c r="E66" s="392">
        <f t="shared" si="7"/>
        <v>74056.649999999994</v>
      </c>
      <c r="F66" s="428">
        <f t="shared" si="0"/>
        <v>0.90566036999999999</v>
      </c>
      <c r="G66" s="390">
        <f t="shared" si="1"/>
        <v>67.0702</v>
      </c>
      <c r="H66" s="391">
        <f t="shared" si="2"/>
        <v>219994.1911937033</v>
      </c>
      <c r="I66" s="324">
        <v>70211</v>
      </c>
      <c r="J66" s="325"/>
      <c r="K66" s="325"/>
      <c r="L66" s="319">
        <v>74056.649999999994</v>
      </c>
      <c r="M66" s="320"/>
      <c r="N66" s="320"/>
      <c r="O66" s="320"/>
      <c r="P66" s="392">
        <f t="shared" si="8"/>
        <v>74056.649999999994</v>
      </c>
      <c r="Q66" s="392">
        <f t="shared" si="3"/>
        <v>0</v>
      </c>
      <c r="R66" s="392">
        <f t="shared" si="4"/>
        <v>0</v>
      </c>
      <c r="S66" s="373"/>
      <c r="T66" s="374"/>
      <c r="U66" s="524">
        <f t="shared" si="9"/>
        <v>-70211</v>
      </c>
      <c r="V66" s="520">
        <f t="shared" si="10"/>
        <v>70211</v>
      </c>
      <c r="W66" s="520">
        <f t="shared" si="11"/>
        <v>78133.912922399992</v>
      </c>
      <c r="X66" s="520">
        <f t="shared" si="12"/>
        <v>-7922.9129223999917</v>
      </c>
      <c r="Y66" s="525">
        <f t="shared" si="13"/>
        <v>-151509.36343631998</v>
      </c>
    </row>
    <row r="67" spans="3:38" x14ac:dyDescent="0.2">
      <c r="C67" s="387">
        <f t="shared" si="5"/>
        <v>41748</v>
      </c>
      <c r="D67" s="388">
        <f t="shared" si="6"/>
        <v>145869.56533333333</v>
      </c>
      <c r="E67" s="392">
        <f t="shared" si="7"/>
        <v>71925.2</v>
      </c>
      <c r="F67" s="428">
        <f t="shared" si="0"/>
        <v>0.90566036999999999</v>
      </c>
      <c r="G67" s="390">
        <f t="shared" si="1"/>
        <v>65.139799999999994</v>
      </c>
      <c r="H67" s="391">
        <f t="shared" si="2"/>
        <v>217860.81079370333</v>
      </c>
      <c r="I67" s="324">
        <v>70211</v>
      </c>
      <c r="J67" s="325"/>
      <c r="K67" s="325"/>
      <c r="L67" s="317">
        <v>71925.2</v>
      </c>
      <c r="M67" s="318"/>
      <c r="N67" s="318"/>
      <c r="O67" s="318"/>
      <c r="P67" s="392">
        <f t="shared" si="8"/>
        <v>71925.2</v>
      </c>
      <c r="Q67" s="392">
        <f t="shared" si="3"/>
        <v>0</v>
      </c>
      <c r="R67" s="392">
        <f t="shared" si="4"/>
        <v>0</v>
      </c>
      <c r="S67" s="373"/>
      <c r="T67" s="374"/>
      <c r="U67" s="524">
        <f t="shared" si="9"/>
        <v>-70211</v>
      </c>
      <c r="V67" s="520">
        <f t="shared" si="10"/>
        <v>70211</v>
      </c>
      <c r="W67" s="520">
        <f t="shared" si="11"/>
        <v>75885.11381119999</v>
      </c>
      <c r="X67" s="520">
        <f t="shared" si="12"/>
        <v>-5674.1138111999899</v>
      </c>
      <c r="Y67" s="525">
        <f t="shared" si="13"/>
        <v>-157183.47724751997</v>
      </c>
    </row>
    <row r="68" spans="3:38" x14ac:dyDescent="0.2">
      <c r="C68" s="387">
        <f t="shared" si="5"/>
        <v>41749</v>
      </c>
      <c r="D68" s="388">
        <f t="shared" si="6"/>
        <v>145869.56533333333</v>
      </c>
      <c r="E68" s="392">
        <f t="shared" si="7"/>
        <v>73658.649999999994</v>
      </c>
      <c r="F68" s="428">
        <f t="shared" si="0"/>
        <v>0.90566036999999999</v>
      </c>
      <c r="G68" s="390">
        <f t="shared" si="1"/>
        <v>66.709699999999998</v>
      </c>
      <c r="H68" s="391">
        <f t="shared" si="2"/>
        <v>219595.83069370332</v>
      </c>
      <c r="I68" s="324">
        <v>72161</v>
      </c>
      <c r="J68" s="325"/>
      <c r="K68" s="325"/>
      <c r="L68" s="319">
        <v>73658.649999999994</v>
      </c>
      <c r="M68" s="320"/>
      <c r="N68" s="320"/>
      <c r="O68" s="320"/>
      <c r="P68" s="392">
        <f t="shared" si="8"/>
        <v>73658.649999999994</v>
      </c>
      <c r="Q68" s="392">
        <f t="shared" si="3"/>
        <v>0</v>
      </c>
      <c r="R68" s="392">
        <f t="shared" si="4"/>
        <v>0</v>
      </c>
      <c r="S68" s="373"/>
      <c r="T68" s="374"/>
      <c r="U68" s="524">
        <f t="shared" si="9"/>
        <v>-72161</v>
      </c>
      <c r="V68" s="520">
        <f t="shared" si="10"/>
        <v>72161</v>
      </c>
      <c r="W68" s="520">
        <f t="shared" si="11"/>
        <v>77714.000634399999</v>
      </c>
      <c r="X68" s="520">
        <f t="shared" si="12"/>
        <v>-5553.0006343999994</v>
      </c>
      <c r="Y68" s="525">
        <f t="shared" si="13"/>
        <v>-162736.47788191997</v>
      </c>
    </row>
    <row r="69" spans="3:38" x14ac:dyDescent="0.2">
      <c r="C69" s="387">
        <f t="shared" si="5"/>
        <v>41750</v>
      </c>
      <c r="D69" s="388">
        <f t="shared" si="6"/>
        <v>145869.56533333333</v>
      </c>
      <c r="E69" s="392">
        <f t="shared" si="7"/>
        <v>73338.320000000007</v>
      </c>
      <c r="F69" s="428">
        <f t="shared" si="0"/>
        <v>0.90566036999999999</v>
      </c>
      <c r="G69" s="390">
        <f t="shared" si="1"/>
        <v>66.419600000000003</v>
      </c>
      <c r="H69" s="391">
        <f t="shared" si="2"/>
        <v>219275.21059370332</v>
      </c>
      <c r="I69" s="324">
        <v>72955</v>
      </c>
      <c r="J69" s="325"/>
      <c r="K69" s="325"/>
      <c r="L69" s="317">
        <v>73338.320000000007</v>
      </c>
      <c r="M69" s="318"/>
      <c r="N69" s="318"/>
      <c r="O69" s="318"/>
      <c r="P69" s="392">
        <f t="shared" si="8"/>
        <v>73338.320000000007</v>
      </c>
      <c r="Q69" s="392">
        <f t="shared" si="3"/>
        <v>0</v>
      </c>
      <c r="R69" s="392">
        <f t="shared" si="4"/>
        <v>0</v>
      </c>
      <c r="S69" s="373"/>
      <c r="T69" s="374"/>
      <c r="U69" s="524">
        <f t="shared" si="9"/>
        <v>-72955</v>
      </c>
      <c r="V69" s="520">
        <f t="shared" si="10"/>
        <v>72955</v>
      </c>
      <c r="W69" s="520">
        <f t="shared" si="11"/>
        <v>77376.034545920003</v>
      </c>
      <c r="X69" s="520">
        <f t="shared" si="12"/>
        <v>-4421.0345459200034</v>
      </c>
      <c r="Y69" s="525">
        <f t="shared" si="13"/>
        <v>-167157.51242783997</v>
      </c>
    </row>
    <row r="70" spans="3:38" x14ac:dyDescent="0.2">
      <c r="C70" s="387">
        <f t="shared" si="5"/>
        <v>41751</v>
      </c>
      <c r="D70" s="388">
        <f t="shared" si="6"/>
        <v>145869.56533333333</v>
      </c>
      <c r="E70" s="392">
        <f t="shared" si="7"/>
        <v>73311.870999999999</v>
      </c>
      <c r="F70" s="428">
        <f t="shared" si="0"/>
        <v>0.90566036999999999</v>
      </c>
      <c r="G70" s="390">
        <f t="shared" si="1"/>
        <v>66.395700000000005</v>
      </c>
      <c r="H70" s="391">
        <f t="shared" si="2"/>
        <v>219248.7376937033</v>
      </c>
      <c r="I70" s="324">
        <v>72955</v>
      </c>
      <c r="J70" s="325"/>
      <c r="K70" s="325"/>
      <c r="L70" s="319">
        <v>73311.870999999999</v>
      </c>
      <c r="M70" s="320"/>
      <c r="N70" s="320"/>
      <c r="O70" s="320"/>
      <c r="P70" s="392">
        <f t="shared" si="8"/>
        <v>73311.870999999999</v>
      </c>
      <c r="Q70" s="392">
        <f t="shared" si="3"/>
        <v>0</v>
      </c>
      <c r="R70" s="392">
        <f t="shared" si="4"/>
        <v>0</v>
      </c>
      <c r="S70" s="373"/>
      <c r="T70" s="374"/>
      <c r="U70" s="524">
        <f t="shared" si="9"/>
        <v>-72955</v>
      </c>
      <c r="V70" s="520">
        <f t="shared" si="10"/>
        <v>72955</v>
      </c>
      <c r="W70" s="520">
        <f t="shared" si="11"/>
        <v>77348.129369775997</v>
      </c>
      <c r="X70" s="520">
        <f t="shared" si="12"/>
        <v>-4393.1293697759975</v>
      </c>
      <c r="Y70" s="525">
        <f t="shared" si="13"/>
        <v>-171550.64179761597</v>
      </c>
    </row>
    <row r="71" spans="3:38" x14ac:dyDescent="0.2">
      <c r="C71" s="387">
        <f t="shared" si="5"/>
        <v>41752</v>
      </c>
      <c r="D71" s="388">
        <f t="shared" si="6"/>
        <v>145869.56533333333</v>
      </c>
      <c r="E71" s="392">
        <f t="shared" si="7"/>
        <v>73212.142000000007</v>
      </c>
      <c r="F71" s="428">
        <f t="shared" si="0"/>
        <v>0.90566036999999999</v>
      </c>
      <c r="G71" s="390">
        <f t="shared" si="1"/>
        <v>66.305300000000003</v>
      </c>
      <c r="H71" s="391">
        <f t="shared" si="2"/>
        <v>219148.91829370332</v>
      </c>
      <c r="I71" s="324">
        <v>72955</v>
      </c>
      <c r="J71" s="325"/>
      <c r="K71" s="325"/>
      <c r="L71" s="317">
        <v>73212.142000000007</v>
      </c>
      <c r="M71" s="318"/>
      <c r="N71" s="318"/>
      <c r="O71" s="318"/>
      <c r="P71" s="392">
        <f t="shared" si="8"/>
        <v>73212.142000000007</v>
      </c>
      <c r="Q71" s="392">
        <f t="shared" si="3"/>
        <v>0</v>
      </c>
      <c r="R71" s="392">
        <f t="shared" si="4"/>
        <v>0</v>
      </c>
      <c r="S71" s="373"/>
      <c r="T71" s="374"/>
      <c r="U71" s="524">
        <f t="shared" si="9"/>
        <v>-72955</v>
      </c>
      <c r="V71" s="520">
        <f t="shared" si="10"/>
        <v>72955</v>
      </c>
      <c r="W71" s="520">
        <f t="shared" si="11"/>
        <v>77242.909689952008</v>
      </c>
      <c r="X71" s="520">
        <f t="shared" si="12"/>
        <v>-4287.9096899520082</v>
      </c>
      <c r="Y71" s="525">
        <f t="shared" si="13"/>
        <v>-175838.55148756798</v>
      </c>
    </row>
    <row r="72" spans="3:38" x14ac:dyDescent="0.2">
      <c r="C72" s="387">
        <f t="shared" si="5"/>
        <v>41753</v>
      </c>
      <c r="D72" s="388">
        <f t="shared" si="6"/>
        <v>145869.56533333333</v>
      </c>
      <c r="E72" s="392">
        <f t="shared" si="7"/>
        <v>74523.88</v>
      </c>
      <c r="F72" s="428">
        <f t="shared" si="0"/>
        <v>0.90566036999999999</v>
      </c>
      <c r="G72" s="390">
        <f t="shared" si="1"/>
        <v>67.493300000000005</v>
      </c>
      <c r="H72" s="391">
        <f t="shared" si="2"/>
        <v>220461.84429370333</v>
      </c>
      <c r="I72" s="324">
        <v>72955</v>
      </c>
      <c r="J72" s="325"/>
      <c r="K72" s="325"/>
      <c r="L72" s="319">
        <v>74523.88</v>
      </c>
      <c r="M72" s="320"/>
      <c r="N72" s="320"/>
      <c r="O72" s="320"/>
      <c r="P72" s="392">
        <f t="shared" si="8"/>
        <v>74523.88</v>
      </c>
      <c r="Q72" s="392">
        <f t="shared" si="3"/>
        <v>0</v>
      </c>
      <c r="R72" s="392">
        <f t="shared" si="4"/>
        <v>0</v>
      </c>
      <c r="S72" s="373"/>
      <c r="T72" s="374"/>
      <c r="U72" s="524">
        <f t="shared" si="9"/>
        <v>-72955</v>
      </c>
      <c r="V72" s="520">
        <f t="shared" si="10"/>
        <v>72955</v>
      </c>
      <c r="W72" s="520">
        <f t="shared" si="11"/>
        <v>78626.866737279997</v>
      </c>
      <c r="X72" s="520">
        <f t="shared" si="12"/>
        <v>-5671.8667372799973</v>
      </c>
      <c r="Y72" s="525">
        <f t="shared" si="13"/>
        <v>-181510.41822484799</v>
      </c>
    </row>
    <row r="73" spans="3:38" x14ac:dyDescent="0.2">
      <c r="C73" s="387">
        <f t="shared" si="5"/>
        <v>41754</v>
      </c>
      <c r="D73" s="388">
        <f t="shared" si="6"/>
        <v>145869.56533333333</v>
      </c>
      <c r="E73" s="392">
        <f t="shared" si="7"/>
        <v>76416.95</v>
      </c>
      <c r="F73" s="428">
        <f t="shared" si="0"/>
        <v>0.90566036999999999</v>
      </c>
      <c r="G73" s="390">
        <f t="shared" si="1"/>
        <v>69.207800000000006</v>
      </c>
      <c r="H73" s="391">
        <f t="shared" si="2"/>
        <v>222356.62879370333</v>
      </c>
      <c r="I73" s="324">
        <v>72955</v>
      </c>
      <c r="J73" s="325"/>
      <c r="K73" s="325"/>
      <c r="L73" s="317">
        <v>76416.95</v>
      </c>
      <c r="M73" s="318"/>
      <c r="N73" s="318"/>
      <c r="O73" s="318"/>
      <c r="P73" s="392">
        <f t="shared" si="8"/>
        <v>76416.95</v>
      </c>
      <c r="Q73" s="392">
        <f t="shared" si="3"/>
        <v>0</v>
      </c>
      <c r="R73" s="392">
        <f t="shared" si="4"/>
        <v>0</v>
      </c>
      <c r="S73" s="373"/>
      <c r="T73" s="374"/>
      <c r="U73" s="524">
        <f t="shared" si="9"/>
        <v>-72955</v>
      </c>
      <c r="V73" s="520">
        <f t="shared" si="10"/>
        <v>72955</v>
      </c>
      <c r="W73" s="520">
        <f t="shared" si="11"/>
        <v>80624.161599200001</v>
      </c>
      <c r="X73" s="520">
        <f t="shared" si="12"/>
        <v>-7669.1615992000006</v>
      </c>
      <c r="Y73" s="525">
        <f t="shared" si="13"/>
        <v>-189179.57982404798</v>
      </c>
    </row>
    <row r="74" spans="3:38" x14ac:dyDescent="0.2">
      <c r="C74" s="387">
        <f t="shared" si="5"/>
        <v>41755</v>
      </c>
      <c r="D74" s="388">
        <f t="shared" si="6"/>
        <v>145869.56533333333</v>
      </c>
      <c r="E74" s="392">
        <f t="shared" si="7"/>
        <v>76484.381999999998</v>
      </c>
      <c r="F74" s="428">
        <f t="shared" si="0"/>
        <v>0.90566036999999999</v>
      </c>
      <c r="G74" s="390">
        <f t="shared" si="1"/>
        <v>69.268900000000002</v>
      </c>
      <c r="H74" s="391">
        <f t="shared" si="2"/>
        <v>222424.1218937033</v>
      </c>
      <c r="I74" s="324">
        <v>72955</v>
      </c>
      <c r="J74" s="325"/>
      <c r="K74" s="325"/>
      <c r="L74" s="319">
        <v>76484.381999999998</v>
      </c>
      <c r="M74" s="320"/>
      <c r="N74" s="320"/>
      <c r="O74" s="320"/>
      <c r="P74" s="392">
        <f t="shared" si="8"/>
        <v>76484.381999999998</v>
      </c>
      <c r="Q74" s="392">
        <f t="shared" si="3"/>
        <v>0</v>
      </c>
      <c r="R74" s="392">
        <f t="shared" si="4"/>
        <v>0</v>
      </c>
      <c r="S74" s="373"/>
      <c r="T74" s="374"/>
      <c r="U74" s="524">
        <f t="shared" si="9"/>
        <v>-72955</v>
      </c>
      <c r="V74" s="520">
        <f t="shared" si="10"/>
        <v>72955</v>
      </c>
      <c r="W74" s="520">
        <f t="shared" si="11"/>
        <v>80695.306135391991</v>
      </c>
      <c r="X74" s="520">
        <f t="shared" si="12"/>
        <v>-7740.3061353919911</v>
      </c>
      <c r="Y74" s="525">
        <f t="shared" si="13"/>
        <v>-196919.88595943997</v>
      </c>
    </row>
    <row r="75" spans="3:38" x14ac:dyDescent="0.2">
      <c r="C75" s="387">
        <f t="shared" si="5"/>
        <v>41756</v>
      </c>
      <c r="D75" s="388">
        <f t="shared" si="6"/>
        <v>145869.56533333333</v>
      </c>
      <c r="E75" s="392">
        <f t="shared" si="7"/>
        <v>75920.02</v>
      </c>
      <c r="F75" s="428">
        <f t="shared" si="0"/>
        <v>0.90566036999999999</v>
      </c>
      <c r="G75" s="390">
        <f t="shared" si="1"/>
        <v>68.757800000000003</v>
      </c>
      <c r="H75" s="391">
        <f t="shared" si="2"/>
        <v>221859.24879370333</v>
      </c>
      <c r="I75" s="324">
        <v>72955</v>
      </c>
      <c r="J75" s="325"/>
      <c r="K75" s="325"/>
      <c r="L75" s="317">
        <v>75920.02</v>
      </c>
      <c r="M75" s="318"/>
      <c r="N75" s="318"/>
      <c r="O75" s="318"/>
      <c r="P75" s="392">
        <f t="shared" si="8"/>
        <v>75920.02</v>
      </c>
      <c r="Q75" s="392">
        <f t="shared" si="3"/>
        <v>0</v>
      </c>
      <c r="R75" s="392">
        <f t="shared" si="4"/>
        <v>0</v>
      </c>
      <c r="S75" s="373"/>
      <c r="T75" s="374"/>
      <c r="U75" s="524">
        <f t="shared" si="9"/>
        <v>-72955</v>
      </c>
      <c r="V75" s="520">
        <f t="shared" si="10"/>
        <v>72955</v>
      </c>
      <c r="W75" s="520">
        <f t="shared" si="11"/>
        <v>80099.872621119997</v>
      </c>
      <c r="X75" s="520">
        <f t="shared" si="12"/>
        <v>-7144.8726211199973</v>
      </c>
      <c r="Y75" s="525">
        <f t="shared" si="13"/>
        <v>-204064.75858055998</v>
      </c>
    </row>
    <row r="76" spans="3:38" x14ac:dyDescent="0.2">
      <c r="C76" s="387">
        <f t="shared" si="5"/>
        <v>41757</v>
      </c>
      <c r="D76" s="388">
        <f t="shared" si="6"/>
        <v>145869.56533333333</v>
      </c>
      <c r="E76" s="392">
        <f t="shared" si="7"/>
        <v>75975.45</v>
      </c>
      <c r="F76" s="428">
        <f t="shared" si="0"/>
        <v>0.90566036999999999</v>
      </c>
      <c r="G76" s="390">
        <f t="shared" si="1"/>
        <v>68.808000000000007</v>
      </c>
      <c r="H76" s="391">
        <f t="shared" si="2"/>
        <v>221914.72899370332</v>
      </c>
      <c r="I76" s="324">
        <v>72955</v>
      </c>
      <c r="J76" s="325"/>
      <c r="K76" s="325"/>
      <c r="L76" s="319">
        <v>75975.45</v>
      </c>
      <c r="M76" s="320"/>
      <c r="N76" s="320"/>
      <c r="O76" s="320"/>
      <c r="P76" s="392">
        <f t="shared" si="8"/>
        <v>75975.45</v>
      </c>
      <c r="Q76" s="392">
        <f t="shared" si="3"/>
        <v>0</v>
      </c>
      <c r="R76" s="392">
        <f t="shared" si="4"/>
        <v>0</v>
      </c>
      <c r="S76" s="373"/>
      <c r="T76" s="374"/>
      <c r="U76" s="524">
        <f t="shared" si="9"/>
        <v>-72955</v>
      </c>
      <c r="V76" s="520">
        <f t="shared" si="10"/>
        <v>72955</v>
      </c>
      <c r="W76" s="520">
        <f t="shared" si="11"/>
        <v>80158.354375199997</v>
      </c>
      <c r="X76" s="520">
        <f t="shared" si="12"/>
        <v>-7203.3543751999969</v>
      </c>
      <c r="Y76" s="525">
        <f t="shared" si="13"/>
        <v>-211268.11295575998</v>
      </c>
    </row>
    <row r="77" spans="3:38" x14ac:dyDescent="0.2">
      <c r="C77" s="387">
        <f t="shared" si="5"/>
        <v>41758</v>
      </c>
      <c r="D77" s="388">
        <f t="shared" si="6"/>
        <v>145869.56533333333</v>
      </c>
      <c r="E77" s="392">
        <f t="shared" si="7"/>
        <v>74486.25</v>
      </c>
      <c r="F77" s="428">
        <f t="shared" si="0"/>
        <v>0.90566036999999999</v>
      </c>
      <c r="G77" s="390">
        <f t="shared" si="1"/>
        <v>67.459199999999996</v>
      </c>
      <c r="H77" s="391">
        <f t="shared" si="2"/>
        <v>220424.18019370333</v>
      </c>
      <c r="I77" s="324">
        <v>72955</v>
      </c>
      <c r="J77" s="325"/>
      <c r="K77" s="325"/>
      <c r="L77" s="317">
        <v>74486.25</v>
      </c>
      <c r="M77" s="318"/>
      <c r="N77" s="318"/>
      <c r="O77" s="318"/>
      <c r="P77" s="392">
        <f t="shared" si="8"/>
        <v>74486.25</v>
      </c>
      <c r="Q77" s="392">
        <f t="shared" si="3"/>
        <v>0</v>
      </c>
      <c r="R77" s="392">
        <f t="shared" si="4"/>
        <v>0</v>
      </c>
      <c r="S77" s="373"/>
      <c r="T77" s="374"/>
      <c r="U77" s="524">
        <f t="shared" si="9"/>
        <v>-72955</v>
      </c>
      <c r="V77" s="520">
        <f t="shared" si="10"/>
        <v>72955</v>
      </c>
      <c r="W77" s="520">
        <f t="shared" si="11"/>
        <v>78587.164980000001</v>
      </c>
      <c r="X77" s="520">
        <f t="shared" si="12"/>
        <v>-5632.1649800000014</v>
      </c>
      <c r="Y77" s="525">
        <f t="shared" si="13"/>
        <v>-216900.27793575998</v>
      </c>
    </row>
    <row r="78" spans="3:38" x14ac:dyDescent="0.2">
      <c r="C78" s="387">
        <f t="shared" si="5"/>
        <v>41759</v>
      </c>
      <c r="D78" s="388">
        <f t="shared" si="6"/>
        <v>145869.56533333333</v>
      </c>
      <c r="E78" s="392">
        <f t="shared" si="7"/>
        <v>73682.0625</v>
      </c>
      <c r="F78" s="428">
        <f t="shared" si="0"/>
        <v>0.90566036999999999</v>
      </c>
      <c r="G78" s="390">
        <f t="shared" si="1"/>
        <v>66.730900000000005</v>
      </c>
      <c r="H78" s="391">
        <f t="shared" si="2"/>
        <v>219619.26439370331</v>
      </c>
      <c r="I78" s="324">
        <v>72955</v>
      </c>
      <c r="J78" s="325"/>
      <c r="K78" s="325"/>
      <c r="L78" s="319">
        <v>73682.0625</v>
      </c>
      <c r="M78" s="320"/>
      <c r="N78" s="320"/>
      <c r="O78" s="320"/>
      <c r="P78" s="392">
        <f t="shared" si="8"/>
        <v>73682.0625</v>
      </c>
      <c r="Q78" s="392">
        <f t="shared" si="3"/>
        <v>0</v>
      </c>
      <c r="R78" s="392">
        <f t="shared" si="4"/>
        <v>0</v>
      </c>
      <c r="S78" s="373"/>
      <c r="T78" s="374"/>
      <c r="U78" s="524">
        <f t="shared" si="9"/>
        <v>-72955</v>
      </c>
      <c r="V78" s="520">
        <f t="shared" si="10"/>
        <v>72955</v>
      </c>
      <c r="W78" s="520">
        <f t="shared" si="11"/>
        <v>77738.702132999999</v>
      </c>
      <c r="X78" s="520">
        <f t="shared" si="12"/>
        <v>-4783.7021329999989</v>
      </c>
      <c r="Y78" s="525">
        <f t="shared" si="13"/>
        <v>-221683.98006875999</v>
      </c>
    </row>
    <row r="79" spans="3:38" ht="15" thickBot="1" x14ac:dyDescent="0.25">
      <c r="C79" s="393"/>
      <c r="D79" s="394"/>
      <c r="E79" s="395"/>
      <c r="F79" s="429"/>
      <c r="G79" s="396"/>
      <c r="H79" s="397"/>
      <c r="I79" s="326"/>
      <c r="J79" s="327"/>
      <c r="K79" s="327"/>
      <c r="L79" s="321"/>
      <c r="M79" s="322"/>
      <c r="N79" s="322"/>
      <c r="O79" s="322"/>
      <c r="P79" s="395"/>
      <c r="Q79" s="395"/>
      <c r="R79" s="395"/>
      <c r="S79" s="375"/>
      <c r="T79" s="376"/>
      <c r="U79" s="379"/>
      <c r="V79" s="380"/>
      <c r="W79" s="379"/>
      <c r="X79" s="380"/>
      <c r="Y79" s="381"/>
    </row>
    <row r="80" spans="3:38" ht="15" thickBot="1" x14ac:dyDescent="0.25">
      <c r="C80" s="398"/>
      <c r="D80" s="399">
        <f>SUM(D49:D79)</f>
        <v>4376086.959999999</v>
      </c>
      <c r="E80" s="400">
        <f>SUM(E49:E79)</f>
        <v>2239008.1475</v>
      </c>
      <c r="F80" s="400"/>
      <c r="G80" s="401">
        <f>SUM(G49:G79)</f>
        <v>2027.7811999999999</v>
      </c>
      <c r="H80" s="399">
        <f>SUM(H49:H79)</f>
        <v>6617150.0585111007</v>
      </c>
      <c r="I80" s="432">
        <f>SUM(I49:I79)</f>
        <v>2140595</v>
      </c>
      <c r="J80" s="432">
        <f t="shared" ref="J80:R80" si="14">SUM(J49:J79)</f>
        <v>0</v>
      </c>
      <c r="K80" s="432">
        <f t="shared" si="14"/>
        <v>0</v>
      </c>
      <c r="L80" s="432">
        <f t="shared" si="14"/>
        <v>2239008.1475</v>
      </c>
      <c r="M80" s="432">
        <f t="shared" si="14"/>
        <v>0</v>
      </c>
      <c r="N80" s="432">
        <f t="shared" si="14"/>
        <v>0</v>
      </c>
      <c r="O80" s="432">
        <f t="shared" si="14"/>
        <v>0</v>
      </c>
      <c r="P80" s="432">
        <f t="shared" si="14"/>
        <v>2239008.1475</v>
      </c>
      <c r="Q80" s="432">
        <f t="shared" si="14"/>
        <v>0</v>
      </c>
      <c r="R80" s="432">
        <f t="shared" si="14"/>
        <v>0</v>
      </c>
      <c r="U80" s="1"/>
      <c r="V80" s="328">
        <f>SUM(V49:V79)</f>
        <v>2140595</v>
      </c>
      <c r="W80" s="328">
        <f>SUM(W49:W79)</f>
        <v>2362278.9800687595</v>
      </c>
      <c r="X80" s="328">
        <f>SUM(X49:X79)</f>
        <v>-221683.98006875999</v>
      </c>
      <c r="Y80" s="323">
        <f>Y78</f>
        <v>-221683.98006875999</v>
      </c>
      <c r="AL80" s="361">
        <f>Y79</f>
        <v>0</v>
      </c>
    </row>
    <row r="81" spans="2:14" ht="15" customHeight="1" x14ac:dyDescent="0.2">
      <c r="B81"/>
      <c r="C81"/>
      <c r="D81"/>
      <c r="E81"/>
      <c r="F81"/>
      <c r="G81"/>
      <c r="H81"/>
      <c r="I81"/>
      <c r="J81"/>
      <c r="K81"/>
      <c r="L81"/>
      <c r="N81" s="2"/>
    </row>
  </sheetData>
  <mergeCells count="12">
    <mergeCell ref="C10:D10"/>
    <mergeCell ref="C11:D11"/>
    <mergeCell ref="C3:M4"/>
    <mergeCell ref="C5:M5"/>
    <mergeCell ref="C6:M6"/>
    <mergeCell ref="G7:H7"/>
    <mergeCell ref="C9:D9"/>
    <mergeCell ref="D23:E23"/>
    <mergeCell ref="D24:E24"/>
    <mergeCell ref="C28:F28"/>
    <mergeCell ref="C39:F39"/>
    <mergeCell ref="S47:Y47"/>
  </mergeCells>
  <conditionalFormatting sqref="L49:O79">
    <cfRule type="cellIs" dxfId="161" priority="1" stopIfTrue="1" operator="equal">
      <formula>0</formula>
    </cfRule>
  </conditionalFormatting>
  <printOptions horizontalCentered="1"/>
  <pageMargins left="0" right="0.31496062992125984" top="0.35433070866141736" bottom="0.35433070866141736" header="0.31496062992125984" footer="0.31496062992125984"/>
  <pageSetup scale="80" orientation="landscape" r:id="rId1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L81"/>
  <sheetViews>
    <sheetView workbookViewId="0"/>
  </sheetViews>
  <sheetFormatPr baseColWidth="10" defaultColWidth="11" defaultRowHeight="14.25" x14ac:dyDescent="0.2"/>
  <cols>
    <col min="1" max="1" width="11" style="2"/>
    <col min="2" max="2" width="3.875" style="2" bestFit="1" customWidth="1"/>
    <col min="3" max="3" width="16.125" style="2" customWidth="1"/>
    <col min="4" max="4" width="12.375" style="2" bestFit="1" customWidth="1"/>
    <col min="5" max="5" width="10.875" style="2" bestFit="1" customWidth="1"/>
    <col min="6" max="6" width="17.125" style="2" bestFit="1" customWidth="1"/>
    <col min="7" max="8" width="13.125" style="2" bestFit="1" customWidth="1"/>
    <col min="9" max="9" width="11.125" style="2" bestFit="1" customWidth="1"/>
    <col min="10" max="10" width="11.875" style="2" bestFit="1" customWidth="1"/>
    <col min="11" max="11" width="11.625" style="2" bestFit="1" customWidth="1"/>
    <col min="12" max="12" width="12.125" style="2" customWidth="1"/>
    <col min="13" max="13" width="12" style="2" bestFit="1" customWidth="1"/>
    <col min="14" max="14" width="9" style="1" customWidth="1"/>
    <col min="15" max="15" width="10.375" style="2" customWidth="1"/>
    <col min="16" max="25" width="11" style="2"/>
    <col min="26" max="31" width="10.875" customWidth="1"/>
    <col min="32" max="16384" width="11" style="2"/>
  </cols>
  <sheetData>
    <row r="2" spans="2:25" x14ac:dyDescent="0.2"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2:25" ht="15" customHeight="1" x14ac:dyDescent="0.2">
      <c r="B3" s="1"/>
      <c r="C3" s="2254" t="s">
        <v>0</v>
      </c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</row>
    <row r="4" spans="2:25" ht="15" customHeight="1" x14ac:dyDescent="0.2"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</row>
    <row r="5" spans="2:25" x14ac:dyDescent="0.2">
      <c r="B5" s="1"/>
      <c r="C5" s="2257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</row>
    <row r="6" spans="2:25" x14ac:dyDescent="0.2">
      <c r="B6" s="1"/>
      <c r="C6" s="2257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</row>
    <row r="7" spans="2:25" x14ac:dyDescent="0.2">
      <c r="B7" s="1"/>
      <c r="C7" s="516"/>
      <c r="D7" s="516"/>
      <c r="E7" s="516"/>
      <c r="F7" s="516"/>
      <c r="G7" s="2271">
        <v>41760</v>
      </c>
      <c r="H7" s="2257"/>
      <c r="I7" s="516"/>
      <c r="J7" s="516"/>
      <c r="K7" s="516"/>
      <c r="L7" s="516"/>
      <c r="M7" s="516"/>
      <c r="N7" s="18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2:25" x14ac:dyDescent="0.2">
      <c r="B8" s="1"/>
      <c r="C8" s="516"/>
      <c r="D8" s="516"/>
      <c r="E8" s="516"/>
      <c r="F8" s="516"/>
      <c r="G8" s="516"/>
      <c r="H8" s="516"/>
      <c r="I8" s="516"/>
      <c r="J8" s="516"/>
      <c r="K8" s="516"/>
      <c r="L8" s="516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2:25" ht="25.5" x14ac:dyDescent="0.2">
      <c r="B9" s="1"/>
      <c r="C9" s="2272" t="s">
        <v>6</v>
      </c>
      <c r="D9" s="2272"/>
      <c r="E9" s="517" t="s">
        <v>94</v>
      </c>
      <c r="F9" s="517" t="s">
        <v>126</v>
      </c>
      <c r="G9" s="410" t="s">
        <v>133</v>
      </c>
      <c r="H9" s="517" t="s">
        <v>127</v>
      </c>
      <c r="I9" s="517" t="s">
        <v>128</v>
      </c>
      <c r="J9" s="516"/>
      <c r="K9" s="516"/>
      <c r="L9" s="516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2:25" x14ac:dyDescent="0.2">
      <c r="B10" s="1"/>
      <c r="C10" s="2270" t="s">
        <v>131</v>
      </c>
      <c r="D10" s="2270"/>
      <c r="E10" s="433">
        <f>IF(C15=0,D15,C15)</f>
        <v>4627948.08</v>
      </c>
      <c r="F10" s="407">
        <f>E10*0.16</f>
        <v>740471.69280000008</v>
      </c>
      <c r="G10" s="407">
        <f>E10+F10</f>
        <v>5368419.7728000004</v>
      </c>
      <c r="H10" s="511" t="s">
        <v>193</v>
      </c>
      <c r="I10" s="474">
        <v>19</v>
      </c>
      <c r="J10" s="516"/>
      <c r="K10" s="516"/>
      <c r="L10" s="516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2:25" x14ac:dyDescent="0.2">
      <c r="B11" s="1"/>
      <c r="C11" s="2270" t="s">
        <v>132</v>
      </c>
      <c r="D11" s="2270"/>
      <c r="E11" s="433">
        <f>IF(C16=0,D16,C16)</f>
        <v>2087.0500000000002</v>
      </c>
      <c r="F11" s="407">
        <f>E11*0.16</f>
        <v>333.92800000000005</v>
      </c>
      <c r="G11" s="407">
        <f>E11+F11</f>
        <v>2420.9780000000001</v>
      </c>
      <c r="H11" s="511" t="s">
        <v>193</v>
      </c>
      <c r="I11" s="474">
        <v>19</v>
      </c>
      <c r="J11" s="516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2:25" x14ac:dyDescent="0.2">
      <c r="B12" s="1"/>
      <c r="C12" s="516"/>
      <c r="D12" s="516"/>
      <c r="E12" s="516"/>
      <c r="F12" s="516"/>
      <c r="G12" s="516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2:25" ht="15" thickBot="1" x14ac:dyDescent="0.25">
      <c r="B13" s="1"/>
      <c r="C13" s="516"/>
      <c r="D13" s="516"/>
      <c r="E13" s="516"/>
      <c r="F13" s="516"/>
      <c r="G13" s="516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2:25" x14ac:dyDescent="0.2">
      <c r="B14" s="1"/>
      <c r="C14" s="440" t="s">
        <v>155</v>
      </c>
      <c r="D14" s="441" t="s">
        <v>156</v>
      </c>
      <c r="E14" s="442" t="s">
        <v>112</v>
      </c>
      <c r="F14" s="516"/>
      <c r="G14" s="516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2:25" x14ac:dyDescent="0.2">
      <c r="B15" s="1"/>
      <c r="C15" s="443">
        <v>4627948.08</v>
      </c>
      <c r="D15" s="444">
        <f>D80</f>
        <v>4376086.9600000028</v>
      </c>
      <c r="E15" s="445">
        <f>C15-D15</f>
        <v>251861.11999999732</v>
      </c>
      <c r="F15" s="516"/>
      <c r="G15" s="516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2:25" ht="15" thickBot="1" x14ac:dyDescent="0.25">
      <c r="B16" s="1"/>
      <c r="C16" s="446">
        <v>2087.0500000000002</v>
      </c>
      <c r="D16" s="447">
        <f>ROUND(G80,2)</f>
        <v>2087.0500000000002</v>
      </c>
      <c r="E16" s="448">
        <f>C16-D16</f>
        <v>0</v>
      </c>
      <c r="F16" s="516"/>
      <c r="G16" s="516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2:25" x14ac:dyDescent="0.2">
      <c r="B17" s="1"/>
      <c r="C17" s="516"/>
      <c r="D17" s="516"/>
      <c r="E17" s="516"/>
      <c r="F17" s="516"/>
      <c r="G17" s="516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2:25" x14ac:dyDescent="0.2">
      <c r="B18" s="1"/>
      <c r="C18" s="516"/>
      <c r="D18" s="516"/>
      <c r="E18" s="516"/>
      <c r="F18" s="516"/>
      <c r="G18" s="516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2:25" x14ac:dyDescent="0.2">
      <c r="B19" s="1"/>
      <c r="C19" s="516"/>
      <c r="D19" s="516"/>
      <c r="E19" s="516"/>
      <c r="F19" s="516"/>
      <c r="G19" s="516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2:25" x14ac:dyDescent="0.2">
      <c r="B20" s="1"/>
      <c r="C20" s="516"/>
      <c r="D20" s="516"/>
      <c r="E20" s="516"/>
      <c r="F20" s="516"/>
      <c r="G20" s="516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2:25" x14ac:dyDescent="0.2">
      <c r="B21" s="1"/>
      <c r="C21" s="516"/>
      <c r="D21" s="516"/>
      <c r="E21" s="516"/>
      <c r="F21" s="516"/>
      <c r="G21" s="516"/>
      <c r="H21" s="1"/>
      <c r="I21" s="1"/>
      <c r="J21" s="1"/>
      <c r="K21" s="1"/>
      <c r="L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2:25" ht="15" thickBot="1" x14ac:dyDescent="0.25">
      <c r="B22" s="1"/>
      <c r="C22" s="419" t="s">
        <v>137</v>
      </c>
      <c r="D22" s="516" t="s">
        <v>138</v>
      </c>
      <c r="E22" s="516"/>
      <c r="F22" s="516" t="s">
        <v>139</v>
      </c>
      <c r="G22" s="516" t="s">
        <v>191</v>
      </c>
      <c r="H22" s="516" t="s">
        <v>143</v>
      </c>
      <c r="I22" s="516" t="s">
        <v>142</v>
      </c>
      <c r="J22" s="516" t="s">
        <v>141</v>
      </c>
      <c r="K22" s="516" t="s">
        <v>140</v>
      </c>
      <c r="L22" s="516" t="s">
        <v>144</v>
      </c>
      <c r="M22" s="516" t="s">
        <v>146</v>
      </c>
      <c r="N22" s="516"/>
      <c r="O22" s="516"/>
      <c r="P22" s="516"/>
      <c r="Q22" s="1"/>
      <c r="R22" s="1"/>
      <c r="S22" s="1"/>
      <c r="T22" s="1"/>
      <c r="U22" s="1"/>
      <c r="V22" s="1"/>
      <c r="W22" s="1"/>
      <c r="X22" s="1"/>
      <c r="Y22" s="1"/>
    </row>
    <row r="23" spans="2:25" ht="36.75" customHeight="1" x14ac:dyDescent="0.2">
      <c r="B23" s="1"/>
      <c r="C23" s="402" t="s">
        <v>134</v>
      </c>
      <c r="D23" s="2261" t="s">
        <v>135</v>
      </c>
      <c r="E23" s="2262"/>
      <c r="F23" s="518" t="s">
        <v>136</v>
      </c>
      <c r="G23" s="461" t="s">
        <v>153</v>
      </c>
      <c r="H23" s="420" t="s">
        <v>129</v>
      </c>
      <c r="I23" s="403" t="s">
        <v>130</v>
      </c>
      <c r="J23" s="422"/>
      <c r="K23" s="422"/>
      <c r="L23" s="422"/>
      <c r="M23" s="404" t="s">
        <v>158</v>
      </c>
      <c r="N23" s="516"/>
      <c r="O23" s="516"/>
      <c r="P23" s="516"/>
      <c r="Q23" s="516"/>
      <c r="R23" s="516"/>
      <c r="S23" s="516"/>
      <c r="T23" s="516"/>
      <c r="U23" s="1"/>
      <c r="V23" s="1"/>
      <c r="W23" s="1"/>
      <c r="X23" s="1"/>
      <c r="Y23" s="1"/>
    </row>
    <row r="24" spans="2:25" x14ac:dyDescent="0.2">
      <c r="B24" s="1"/>
      <c r="C24" s="405">
        <v>850</v>
      </c>
      <c r="D24" s="2263">
        <v>850</v>
      </c>
      <c r="E24" s="2264"/>
      <c r="F24" s="418">
        <v>31482640</v>
      </c>
      <c r="G24" s="462">
        <v>31</v>
      </c>
      <c r="H24" s="460">
        <f>VLOOKUP(C47,Tarifas!D4:H303,3)</f>
        <v>0.13900000000000001</v>
      </c>
      <c r="I24" s="424">
        <f>VLOOKUP(C47,Tarifas!D4:H303,5)</f>
        <v>1E-3</v>
      </c>
      <c r="J24" s="421">
        <v>183.3</v>
      </c>
      <c r="K24" s="421">
        <v>201.4</v>
      </c>
      <c r="L24" s="421">
        <f>I11</f>
        <v>19</v>
      </c>
      <c r="M24" s="431">
        <f>E80</f>
        <v>2293137.4949579998</v>
      </c>
      <c r="N24" s="430" t="s">
        <v>62</v>
      </c>
      <c r="O24" s="516"/>
      <c r="P24" s="516"/>
      <c r="Q24" s="516"/>
      <c r="R24" s="516"/>
      <c r="S24" s="516"/>
      <c r="T24" s="516"/>
      <c r="U24" s="1"/>
      <c r="V24" s="1"/>
      <c r="W24" s="1"/>
      <c r="X24" s="1"/>
      <c r="Y24" s="1"/>
    </row>
    <row r="25" spans="2:25" x14ac:dyDescent="0.2">
      <c r="B25" s="1"/>
      <c r="C25" s="516"/>
      <c r="D25" s="516"/>
      <c r="E25" s="516"/>
      <c r="F25" s="516"/>
      <c r="G25" s="516"/>
      <c r="H25" s="516"/>
      <c r="I25" s="516"/>
      <c r="J25" s="516"/>
      <c r="K25" s="516"/>
      <c r="L25" s="516"/>
      <c r="M25" s="516"/>
      <c r="N25" s="516"/>
      <c r="O25" s="516"/>
      <c r="P25" s="516"/>
      <c r="Q25" s="516"/>
      <c r="R25" s="516"/>
      <c r="S25" s="1"/>
      <c r="T25" s="1"/>
      <c r="U25" s="1"/>
      <c r="V25" s="1"/>
      <c r="W25" s="1"/>
      <c r="X25" s="1"/>
      <c r="Y25" s="1"/>
    </row>
    <row r="26" spans="2:25" x14ac:dyDescent="0.2">
      <c r="B26" s="1"/>
      <c r="C26" s="516"/>
      <c r="D26" s="516"/>
      <c r="E26" s="516"/>
      <c r="F26" s="516"/>
      <c r="G26" s="516"/>
      <c r="H26" s="516"/>
      <c r="I26" s="516"/>
      <c r="J26" s="516"/>
      <c r="K26" s="516"/>
      <c r="L26" s="516"/>
      <c r="M26" s="516"/>
      <c r="N26" s="516"/>
      <c r="O26" s="516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2:25" x14ac:dyDescent="0.2">
      <c r="B27" s="1"/>
      <c r="C27" s="516"/>
      <c r="D27" s="516"/>
      <c r="E27" s="516"/>
      <c r="F27" s="516"/>
      <c r="G27" s="516"/>
      <c r="H27" s="516"/>
      <c r="I27" s="516"/>
      <c r="J27" s="516"/>
      <c r="K27" s="516"/>
      <c r="L27" s="516"/>
      <c r="M27" s="516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2:25" ht="15" thickBot="1" x14ac:dyDescent="0.25">
      <c r="B28" s="1"/>
      <c r="C28" s="2265" t="s">
        <v>86</v>
      </c>
      <c r="D28" s="2265"/>
      <c r="E28" s="2265"/>
      <c r="F28" s="2265"/>
      <c r="G28" s="519"/>
      <c r="H28" s="334"/>
      <c r="I28" s="334"/>
      <c r="J28" s="334"/>
      <c r="K28" s="519"/>
      <c r="L28" s="336"/>
      <c r="M28" s="336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2:25" ht="22.5" x14ac:dyDescent="0.2">
      <c r="B29" s="1"/>
      <c r="C29" s="337" t="s">
        <v>87</v>
      </c>
      <c r="D29" s="514" t="s">
        <v>88</v>
      </c>
      <c r="E29" s="514" t="s">
        <v>89</v>
      </c>
      <c r="F29" s="514" t="s">
        <v>20</v>
      </c>
      <c r="G29" s="514" t="s">
        <v>160</v>
      </c>
      <c r="H29" s="514" t="s">
        <v>90</v>
      </c>
      <c r="I29" s="514" t="s">
        <v>91</v>
      </c>
      <c r="J29" s="514" t="s">
        <v>92</v>
      </c>
      <c r="K29" s="514" t="s">
        <v>93</v>
      </c>
      <c r="L29" s="514" t="s">
        <v>94</v>
      </c>
      <c r="M29" s="515" t="s">
        <v>95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2:25" x14ac:dyDescent="0.2">
      <c r="B30" s="1"/>
      <c r="C30" s="338"/>
      <c r="D30" s="339">
        <v>0</v>
      </c>
      <c r="E30" s="339" t="s">
        <v>96</v>
      </c>
      <c r="F30" s="340" t="s">
        <v>97</v>
      </c>
      <c r="G30" s="340">
        <v>2201</v>
      </c>
      <c r="H30" s="339">
        <v>20823</v>
      </c>
      <c r="I30" s="341">
        <v>0</v>
      </c>
      <c r="J30" s="339">
        <v>138.15</v>
      </c>
      <c r="K30" s="342">
        <v>0</v>
      </c>
      <c r="L30" s="343">
        <f>ROUND(K30*E$10,2)</f>
        <v>0</v>
      </c>
      <c r="M30" s="344">
        <f>L30*$I$10</f>
        <v>0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2:25" x14ac:dyDescent="0.2">
      <c r="B31" s="1"/>
      <c r="C31" s="338"/>
      <c r="D31" s="339">
        <v>0</v>
      </c>
      <c r="E31" s="339" t="s">
        <v>98</v>
      </c>
      <c r="F31" s="340" t="s">
        <v>97</v>
      </c>
      <c r="G31" s="340">
        <v>2201</v>
      </c>
      <c r="H31" s="339">
        <v>20824</v>
      </c>
      <c r="I31" s="341">
        <v>0</v>
      </c>
      <c r="J31" s="339">
        <v>138.15</v>
      </c>
      <c r="K31" s="342">
        <v>0</v>
      </c>
      <c r="L31" s="343">
        <f>ROUND(K31*E$10,2)</f>
        <v>0</v>
      </c>
      <c r="M31" s="344">
        <f>L31*$I$10</f>
        <v>0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2:25" x14ac:dyDescent="0.2">
      <c r="B32" s="1"/>
      <c r="C32" s="338"/>
      <c r="D32" s="339">
        <v>0</v>
      </c>
      <c r="E32" s="339" t="s">
        <v>99</v>
      </c>
      <c r="F32" s="340" t="s">
        <v>100</v>
      </c>
      <c r="G32" s="340">
        <v>2230</v>
      </c>
      <c r="H32" s="339">
        <v>22228</v>
      </c>
      <c r="I32" s="341">
        <v>0</v>
      </c>
      <c r="J32" s="339">
        <v>130.80000000000001</v>
      </c>
      <c r="K32" s="342">
        <v>0</v>
      </c>
      <c r="L32" s="343">
        <f>ROUND(K32*E$10,2)</f>
        <v>0</v>
      </c>
      <c r="M32" s="344">
        <f>L32*$I$10</f>
        <v>0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2:25" x14ac:dyDescent="0.2">
      <c r="B33" s="1"/>
      <c r="C33" s="338">
        <v>800762390</v>
      </c>
      <c r="D33" s="339">
        <v>3</v>
      </c>
      <c r="E33" s="354" t="s">
        <v>101</v>
      </c>
      <c r="F33" s="463" t="s">
        <v>194</v>
      </c>
      <c r="G33" s="463">
        <v>2044</v>
      </c>
      <c r="H33" s="354">
        <v>591000420</v>
      </c>
      <c r="I33" s="341">
        <v>80000</v>
      </c>
      <c r="J33" s="339"/>
      <c r="K33" s="342">
        <v>0.09</v>
      </c>
      <c r="L33" s="343">
        <f>ROUND(K33*E$10,2)</f>
        <v>416515.33</v>
      </c>
      <c r="M33" s="344">
        <f>L33*$I$10</f>
        <v>7913791.2700000005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2:25" ht="15" thickBot="1" x14ac:dyDescent="0.25">
      <c r="B34" s="1"/>
      <c r="C34" s="345">
        <v>800642440</v>
      </c>
      <c r="D34" s="346">
        <v>5</v>
      </c>
      <c r="E34" s="347" t="s">
        <v>101</v>
      </c>
      <c r="F34" s="348" t="s">
        <v>159</v>
      </c>
      <c r="G34" s="348">
        <v>2277</v>
      </c>
      <c r="H34" s="347">
        <v>22770</v>
      </c>
      <c r="I34" s="349">
        <f>850000-I30-I31-I32-I33</f>
        <v>770000</v>
      </c>
      <c r="J34" s="346"/>
      <c r="K34" s="350">
        <v>0.91</v>
      </c>
      <c r="L34" s="351">
        <f>ROUND(K34*E$10,2)</f>
        <v>4211432.75</v>
      </c>
      <c r="M34" s="352">
        <f>L34*$I$10</f>
        <v>80017222.25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2:25" x14ac:dyDescent="0.2">
      <c r="B35" s="1"/>
      <c r="C35" s="406">
        <v>3000623</v>
      </c>
      <c r="D35" s="353" t="s">
        <v>102</v>
      </c>
      <c r="E35" s="353"/>
      <c r="F35" s="353"/>
      <c r="G35" s="353"/>
      <c r="H35" s="354"/>
      <c r="I35" s="355">
        <f>SUM(I30:I34)</f>
        <v>850000</v>
      </c>
      <c r="J35" s="353"/>
      <c r="K35" s="356">
        <f>SUM(K30:K34)</f>
        <v>1</v>
      </c>
      <c r="L35" s="357">
        <f>SUM(L30:L34)</f>
        <v>4627948.08</v>
      </c>
      <c r="M35" s="357">
        <f>SUM(M30:M33)</f>
        <v>7913791.2700000005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2:25" x14ac:dyDescent="0.2">
      <c r="B36" s="1"/>
      <c r="C36" s="336"/>
      <c r="D36" s="336"/>
      <c r="E36" s="336"/>
      <c r="F36" s="358"/>
      <c r="G36" s="358"/>
      <c r="H36" s="336"/>
      <c r="I36" s="336"/>
      <c r="J36" s="336"/>
      <c r="K36" s="336"/>
      <c r="L36" s="359"/>
      <c r="M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2:25" x14ac:dyDescent="0.2">
      <c r="B37" s="1"/>
      <c r="C37" s="336"/>
      <c r="D37" s="336"/>
      <c r="E37" s="336"/>
      <c r="F37" s="358"/>
      <c r="G37" s="358"/>
      <c r="H37" s="336"/>
      <c r="I37" s="336"/>
      <c r="J37" s="336"/>
      <c r="K37" s="336"/>
      <c r="L37" s="359"/>
      <c r="M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2:25" x14ac:dyDescent="0.2">
      <c r="B38" s="1"/>
      <c r="C38" s="336"/>
      <c r="D38" s="336"/>
      <c r="E38" s="336"/>
      <c r="F38" s="358"/>
      <c r="G38" s="358"/>
      <c r="H38" s="336"/>
      <c r="I38" s="336"/>
      <c r="J38" s="336"/>
      <c r="K38" s="336"/>
      <c r="L38" s="359"/>
      <c r="M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2:25" ht="15" thickBot="1" x14ac:dyDescent="0.25">
      <c r="B39" s="1"/>
      <c r="C39" s="2266" t="s">
        <v>103</v>
      </c>
      <c r="D39" s="2266"/>
      <c r="E39" s="2266"/>
      <c r="F39" s="2266"/>
      <c r="G39" s="519"/>
      <c r="H39" s="334"/>
      <c r="I39" s="334"/>
      <c r="J39" s="334"/>
      <c r="K39" s="336"/>
      <c r="L39" s="336"/>
      <c r="M39" s="360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2:25" ht="22.5" x14ac:dyDescent="0.2">
      <c r="B40" s="1"/>
      <c r="C40" s="337" t="s">
        <v>87</v>
      </c>
      <c r="D40" s="514" t="s">
        <v>88</v>
      </c>
      <c r="E40" s="514" t="s">
        <v>89</v>
      </c>
      <c r="F40" s="514" t="s">
        <v>20</v>
      </c>
      <c r="G40" s="514"/>
      <c r="H40" s="514" t="s">
        <v>90</v>
      </c>
      <c r="I40" s="514" t="s">
        <v>104</v>
      </c>
      <c r="J40" s="514" t="s">
        <v>93</v>
      </c>
      <c r="K40" s="514" t="s">
        <v>92</v>
      </c>
      <c r="L40" s="514" t="s">
        <v>94</v>
      </c>
      <c r="M40" s="515" t="s">
        <v>95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2:25" x14ac:dyDescent="0.2">
      <c r="B41" s="1"/>
      <c r="C41" s="338"/>
      <c r="D41" s="339">
        <v>0</v>
      </c>
      <c r="E41" s="339" t="s">
        <v>96</v>
      </c>
      <c r="F41" s="340" t="s">
        <v>97</v>
      </c>
      <c r="G41" s="340"/>
      <c r="H41" s="339">
        <v>20823</v>
      </c>
      <c r="I41" s="341">
        <f>M80</f>
        <v>0</v>
      </c>
      <c r="J41" s="342">
        <f>I41/I$45</f>
        <v>0</v>
      </c>
      <c r="K41" s="339">
        <v>138.15</v>
      </c>
      <c r="L41" s="343">
        <f>ROUND(J41*$E$11,2)</f>
        <v>0</v>
      </c>
      <c r="M41" s="344">
        <f>L41*L24</f>
        <v>0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2:25" x14ac:dyDescent="0.2">
      <c r="B42" s="1"/>
      <c r="C42" s="338"/>
      <c r="D42" s="339">
        <v>0</v>
      </c>
      <c r="E42" s="339" t="s">
        <v>98</v>
      </c>
      <c r="F42" s="340" t="s">
        <v>97</v>
      </c>
      <c r="G42" s="340"/>
      <c r="H42" s="339">
        <v>20824</v>
      </c>
      <c r="I42" s="341">
        <f>N80</f>
        <v>0</v>
      </c>
      <c r="J42" s="342">
        <f>I42/I$45</f>
        <v>0</v>
      </c>
      <c r="K42" s="339">
        <v>138.15</v>
      </c>
      <c r="L42" s="343">
        <f>ROUND(J42*$E$11,2)</f>
        <v>0</v>
      </c>
      <c r="M42" s="344">
        <f>L42*L25</f>
        <v>0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2:25" x14ac:dyDescent="0.2">
      <c r="B43" s="1"/>
      <c r="C43" s="338"/>
      <c r="D43" s="339">
        <v>0</v>
      </c>
      <c r="E43" s="339" t="s">
        <v>99</v>
      </c>
      <c r="F43" s="340" t="s">
        <v>100</v>
      </c>
      <c r="G43" s="340"/>
      <c r="H43" s="339">
        <v>22228</v>
      </c>
      <c r="I43" s="341">
        <f>O80</f>
        <v>0</v>
      </c>
      <c r="J43" s="342">
        <f>I43/I$45</f>
        <v>0</v>
      </c>
      <c r="K43" s="339">
        <v>130.80000000000001</v>
      </c>
      <c r="L43" s="343">
        <f>ROUND(J43*$E$11,2)</f>
        <v>0</v>
      </c>
      <c r="M43" s="344">
        <f>L43*L26</f>
        <v>0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2:25" ht="15" thickBot="1" x14ac:dyDescent="0.25">
      <c r="B44" s="1"/>
      <c r="C44" s="345">
        <v>800762390</v>
      </c>
      <c r="D44" s="346">
        <v>4</v>
      </c>
      <c r="E44" s="347" t="s">
        <v>101</v>
      </c>
      <c r="F44" s="348" t="s">
        <v>194</v>
      </c>
      <c r="G44" s="348"/>
      <c r="H44" s="347"/>
      <c r="I44" s="349">
        <f>L80</f>
        <v>2293137.4949579998</v>
      </c>
      <c r="J44" s="350">
        <f>I44/I$45</f>
        <v>1</v>
      </c>
      <c r="K44" s="346">
        <v>138.15</v>
      </c>
      <c r="L44" s="351">
        <f>ROUND(J44*$E$11,2)</f>
        <v>2087.0500000000002</v>
      </c>
      <c r="M44" s="352">
        <f>L44*L27</f>
        <v>0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2:25" x14ac:dyDescent="0.2">
      <c r="B45" s="1"/>
      <c r="C45" s="353"/>
      <c r="D45" s="353"/>
      <c r="E45" s="353"/>
      <c r="F45" s="353"/>
      <c r="G45" s="353"/>
      <c r="H45" s="354"/>
      <c r="I45" s="449">
        <f>SUM(I41:I44)</f>
        <v>2293137.4949579998</v>
      </c>
      <c r="J45" s="355"/>
      <c r="K45" s="353"/>
      <c r="L45" s="357">
        <f>SUM(L41:L44)</f>
        <v>2087.0500000000002</v>
      </c>
      <c r="M45" s="357">
        <f>SUM(M41:M44)</f>
        <v>0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2:25" customFormat="1" ht="15" thickBot="1" x14ac:dyDescent="0.25">
      <c r="M46" s="450"/>
      <c r="N46" s="450"/>
      <c r="O46" s="450"/>
      <c r="P46" s="450"/>
      <c r="Q46" s="450"/>
      <c r="R46" s="450"/>
      <c r="S46" s="450"/>
      <c r="T46" s="450"/>
      <c r="U46" s="450"/>
      <c r="V46" s="450"/>
      <c r="W46" s="450"/>
      <c r="X46" s="450"/>
      <c r="Y46" s="450"/>
    </row>
    <row r="47" spans="2:25" ht="15" thickBot="1" x14ac:dyDescent="0.25">
      <c r="B47" s="434" t="s">
        <v>3</v>
      </c>
      <c r="C47" s="333">
        <f>SUMIF(Tarifas!E4:E303,'Mayo - 2014'!C49,Tarifas!D4:D303)</f>
        <v>10</v>
      </c>
      <c r="D47" s="425" t="s">
        <v>147</v>
      </c>
      <c r="E47" s="426" t="s">
        <v>145</v>
      </c>
      <c r="F47" s="426" t="s">
        <v>150</v>
      </c>
      <c r="G47" s="426" t="s">
        <v>148</v>
      </c>
      <c r="H47" s="382"/>
      <c r="I47" s="331" t="s">
        <v>120</v>
      </c>
      <c r="J47" s="332"/>
      <c r="K47" s="332"/>
      <c r="L47" s="364" t="s">
        <v>105</v>
      </c>
      <c r="M47" s="365"/>
      <c r="N47" s="365"/>
      <c r="O47" s="365"/>
      <c r="P47" s="365"/>
      <c r="Q47" s="365"/>
      <c r="R47" s="366"/>
      <c r="S47" s="2267" t="s">
        <v>121</v>
      </c>
      <c r="T47" s="2268"/>
      <c r="U47" s="2268"/>
      <c r="V47" s="2268"/>
      <c r="W47" s="2268"/>
      <c r="X47" s="2268"/>
      <c r="Y47" s="2269"/>
    </row>
    <row r="48" spans="2:25" ht="33.75" x14ac:dyDescent="0.2">
      <c r="C48" s="383" t="s">
        <v>122</v>
      </c>
      <c r="D48" s="384" t="s">
        <v>125</v>
      </c>
      <c r="E48" s="385" t="s">
        <v>149</v>
      </c>
      <c r="F48" s="385" t="s">
        <v>151</v>
      </c>
      <c r="G48" s="385" t="s">
        <v>152</v>
      </c>
      <c r="H48" s="386" t="s">
        <v>123</v>
      </c>
      <c r="I48" s="329" t="s">
        <v>109</v>
      </c>
      <c r="J48" s="330" t="s">
        <v>25</v>
      </c>
      <c r="K48" s="330" t="s">
        <v>26</v>
      </c>
      <c r="L48" s="367" t="s">
        <v>115</v>
      </c>
      <c r="M48" s="362" t="s">
        <v>106</v>
      </c>
      <c r="N48" s="362" t="s">
        <v>107</v>
      </c>
      <c r="O48" s="362" t="s">
        <v>108</v>
      </c>
      <c r="P48" s="362" t="s">
        <v>115</v>
      </c>
      <c r="Q48" s="363" t="s">
        <v>116</v>
      </c>
      <c r="R48" s="368" t="s">
        <v>117</v>
      </c>
      <c r="S48" s="369" t="s">
        <v>192</v>
      </c>
      <c r="T48" s="370" t="s">
        <v>111</v>
      </c>
      <c r="U48" s="370" t="s">
        <v>112</v>
      </c>
      <c r="V48" s="371" t="s">
        <v>118</v>
      </c>
      <c r="W48" s="371" t="s">
        <v>119</v>
      </c>
      <c r="X48" s="371" t="s">
        <v>114</v>
      </c>
      <c r="Y48" s="372" t="s">
        <v>113</v>
      </c>
    </row>
    <row r="49" spans="3:25" x14ac:dyDescent="0.2">
      <c r="C49" s="387">
        <f>G7</f>
        <v>41760</v>
      </c>
      <c r="D49" s="388">
        <f>($F$24*$H$24)/$G$24</f>
        <v>141164.09548387097</v>
      </c>
      <c r="E49" s="389">
        <f>P49+Q49+R49</f>
        <v>72705.265382000012</v>
      </c>
      <c r="F49" s="427">
        <f t="shared" ref="F49:F79" si="0">TRUNC(IFERROR(J$24/K$24,0),8)</f>
        <v>0.91012908999999997</v>
      </c>
      <c r="G49" s="390">
        <f>ROUND(I$24*F49*E49,4)</f>
        <v>66.171199999999999</v>
      </c>
      <c r="H49" s="391">
        <f t="shared" ref="H49:H79" si="1">SUM(D49:G49)</f>
        <v>213936.44219496101</v>
      </c>
      <c r="I49" s="324">
        <v>72955</v>
      </c>
      <c r="J49" s="325"/>
      <c r="K49" s="325"/>
      <c r="L49" s="317">
        <v>72705.265382000012</v>
      </c>
      <c r="M49" s="508"/>
      <c r="N49" s="508"/>
      <c r="O49" s="508"/>
      <c r="P49" s="389">
        <f>L49</f>
        <v>72705.265382000012</v>
      </c>
      <c r="Q49" s="389">
        <f t="shared" ref="Q49:Q79" si="2">M49+N49</f>
        <v>0</v>
      </c>
      <c r="R49" s="389">
        <f t="shared" ref="R49:R79" si="3">O49</f>
        <v>0</v>
      </c>
      <c r="S49" s="373"/>
      <c r="T49" s="374"/>
      <c r="U49" s="18">
        <f>S49+T49-V49</f>
        <v>-72955</v>
      </c>
      <c r="V49" s="377">
        <f>I49+J49+K49</f>
        <v>72955</v>
      </c>
      <c r="W49" s="18">
        <f>(P49+Q49+R49)*1.055056</f>
        <v>76708.126472871401</v>
      </c>
      <c r="X49" s="377">
        <f>V49-W49</f>
        <v>-3753.1264728714013</v>
      </c>
      <c r="Y49" s="378">
        <f>AL46+X49</f>
        <v>-3753.1264728714013</v>
      </c>
    </row>
    <row r="50" spans="3:25" x14ac:dyDescent="0.2">
      <c r="C50" s="387">
        <f t="shared" ref="C50:C79" si="4">C49+1</f>
        <v>41761</v>
      </c>
      <c r="D50" s="388">
        <f t="shared" ref="D50:D79" si="5">($F$24*$H$24)/$G$24</f>
        <v>141164.09548387097</v>
      </c>
      <c r="E50" s="392">
        <f t="shared" ref="E50:E79" si="6">P50+Q50+R50</f>
        <v>74389.328125</v>
      </c>
      <c r="F50" s="428">
        <f t="shared" si="0"/>
        <v>0.91012908999999997</v>
      </c>
      <c r="G50" s="390">
        <f t="shared" ref="G50:G79" si="7">ROUND(I$24*F50*E50,4)</f>
        <v>67.703900000000004</v>
      </c>
      <c r="H50" s="391">
        <f t="shared" si="1"/>
        <v>215622.03763796098</v>
      </c>
      <c r="I50" s="324">
        <v>72955</v>
      </c>
      <c r="J50" s="325"/>
      <c r="K50" s="325"/>
      <c r="L50" s="319">
        <v>74389.328125</v>
      </c>
      <c r="M50" s="509"/>
      <c r="N50" s="509"/>
      <c r="O50" s="509"/>
      <c r="P50" s="392">
        <f t="shared" ref="P50:P79" si="8">L50</f>
        <v>74389.328125</v>
      </c>
      <c r="Q50" s="392">
        <f t="shared" si="2"/>
        <v>0</v>
      </c>
      <c r="R50" s="392">
        <f t="shared" si="3"/>
        <v>0</v>
      </c>
      <c r="S50" s="373"/>
      <c r="T50" s="374"/>
      <c r="U50" s="18">
        <f t="shared" ref="U50:U79" si="9">S50+T50-V50</f>
        <v>-72955</v>
      </c>
      <c r="V50" s="377">
        <f t="shared" ref="V50:V79" si="10">I50+J50+K50</f>
        <v>72955</v>
      </c>
      <c r="W50" s="18">
        <f t="shared" ref="W50:W79" si="11">(P50+Q50+R50)*1.055056</f>
        <v>78484.90697425</v>
      </c>
      <c r="X50" s="377">
        <f t="shared" ref="X50:X79" si="12">V50-W50</f>
        <v>-5529.9069742499996</v>
      </c>
      <c r="Y50" s="378">
        <f>Y49+X50</f>
        <v>-9283.033447121401</v>
      </c>
    </row>
    <row r="51" spans="3:25" x14ac:dyDescent="0.2">
      <c r="C51" s="387">
        <f t="shared" si="4"/>
        <v>41762</v>
      </c>
      <c r="D51" s="388">
        <f t="shared" si="5"/>
        <v>141164.09548387097</v>
      </c>
      <c r="E51" s="392">
        <f t="shared" si="6"/>
        <v>73427.000488999984</v>
      </c>
      <c r="F51" s="428">
        <f t="shared" si="0"/>
        <v>0.91012908999999997</v>
      </c>
      <c r="G51" s="390">
        <f t="shared" si="7"/>
        <v>66.828000000000003</v>
      </c>
      <c r="H51" s="391">
        <f t="shared" si="1"/>
        <v>214658.83410196097</v>
      </c>
      <c r="I51" s="324">
        <v>72955</v>
      </c>
      <c r="J51" s="325"/>
      <c r="K51" s="325"/>
      <c r="L51" s="317">
        <v>73427.000488999984</v>
      </c>
      <c r="M51" s="508"/>
      <c r="N51" s="508"/>
      <c r="O51" s="508"/>
      <c r="P51" s="392">
        <f t="shared" si="8"/>
        <v>73427.000488999984</v>
      </c>
      <c r="Q51" s="392">
        <f t="shared" si="2"/>
        <v>0</v>
      </c>
      <c r="R51" s="392">
        <f t="shared" si="3"/>
        <v>0</v>
      </c>
      <c r="S51" s="373"/>
      <c r="T51" s="374"/>
      <c r="U51" s="18">
        <f t="shared" si="9"/>
        <v>-72955</v>
      </c>
      <c r="V51" s="377">
        <f t="shared" si="10"/>
        <v>72955</v>
      </c>
      <c r="W51" s="18">
        <f t="shared" si="11"/>
        <v>77469.597427922359</v>
      </c>
      <c r="X51" s="377">
        <f t="shared" si="12"/>
        <v>-4514.5974279223592</v>
      </c>
      <c r="Y51" s="378">
        <f t="shared" ref="Y51:Y78" si="13">Y50+X51</f>
        <v>-13797.63087504376</v>
      </c>
    </row>
    <row r="52" spans="3:25" x14ac:dyDescent="0.2">
      <c r="C52" s="387">
        <f t="shared" si="4"/>
        <v>41763</v>
      </c>
      <c r="D52" s="388">
        <f t="shared" si="5"/>
        <v>141164.09548387097</v>
      </c>
      <c r="E52" s="392">
        <f t="shared" si="6"/>
        <v>74231.078125</v>
      </c>
      <c r="F52" s="428">
        <f t="shared" si="0"/>
        <v>0.91012908999999997</v>
      </c>
      <c r="G52" s="390">
        <f t="shared" si="7"/>
        <v>67.559899999999999</v>
      </c>
      <c r="H52" s="391">
        <f t="shared" si="1"/>
        <v>215463.64363796098</v>
      </c>
      <c r="I52" s="324">
        <v>72955</v>
      </c>
      <c r="J52" s="325"/>
      <c r="K52" s="325"/>
      <c r="L52" s="319">
        <v>74231.078125</v>
      </c>
      <c r="M52" s="509"/>
      <c r="N52" s="509"/>
      <c r="O52" s="509"/>
      <c r="P52" s="392">
        <f t="shared" si="8"/>
        <v>74231.078125</v>
      </c>
      <c r="Q52" s="392">
        <f t="shared" si="2"/>
        <v>0</v>
      </c>
      <c r="R52" s="392">
        <f t="shared" si="3"/>
        <v>0</v>
      </c>
      <c r="S52" s="373"/>
      <c r="T52" s="374"/>
      <c r="U52" s="18">
        <f t="shared" si="9"/>
        <v>-72955</v>
      </c>
      <c r="V52" s="377">
        <f t="shared" si="10"/>
        <v>72955</v>
      </c>
      <c r="W52" s="18">
        <f t="shared" si="11"/>
        <v>78317.944362249997</v>
      </c>
      <c r="X52" s="377">
        <f t="shared" si="12"/>
        <v>-5362.9443622499966</v>
      </c>
      <c r="Y52" s="378">
        <f t="shared" si="13"/>
        <v>-19160.575237293757</v>
      </c>
    </row>
    <row r="53" spans="3:25" x14ac:dyDescent="0.2">
      <c r="C53" s="387">
        <f t="shared" si="4"/>
        <v>41764</v>
      </c>
      <c r="D53" s="388">
        <f t="shared" si="5"/>
        <v>141164.09548387097</v>
      </c>
      <c r="E53" s="392">
        <f t="shared" si="6"/>
        <v>74057.390625</v>
      </c>
      <c r="F53" s="428">
        <f t="shared" si="0"/>
        <v>0.91012908999999997</v>
      </c>
      <c r="G53" s="390">
        <f t="shared" si="7"/>
        <v>67.401799999999994</v>
      </c>
      <c r="H53" s="391">
        <f t="shared" si="1"/>
        <v>215289.79803796098</v>
      </c>
      <c r="I53" s="324">
        <v>72955</v>
      </c>
      <c r="J53" s="325"/>
      <c r="K53" s="325"/>
      <c r="L53" s="317">
        <v>74057.390625</v>
      </c>
      <c r="M53" s="508"/>
      <c r="N53" s="508"/>
      <c r="O53" s="508"/>
      <c r="P53" s="392">
        <f t="shared" si="8"/>
        <v>74057.390625</v>
      </c>
      <c r="Q53" s="392">
        <f t="shared" si="2"/>
        <v>0</v>
      </c>
      <c r="R53" s="392">
        <f t="shared" si="3"/>
        <v>0</v>
      </c>
      <c r="S53" s="373"/>
      <c r="T53" s="374"/>
      <c r="U53" s="18">
        <f t="shared" si="9"/>
        <v>-72955</v>
      </c>
      <c r="V53" s="377">
        <f t="shared" si="10"/>
        <v>72955</v>
      </c>
      <c r="W53" s="18">
        <f t="shared" si="11"/>
        <v>78134.694323250005</v>
      </c>
      <c r="X53" s="377">
        <f t="shared" si="12"/>
        <v>-5179.6943232500053</v>
      </c>
      <c r="Y53" s="378">
        <f t="shared" si="13"/>
        <v>-24340.269560543762</v>
      </c>
    </row>
    <row r="54" spans="3:25" x14ac:dyDescent="0.2">
      <c r="C54" s="387">
        <f t="shared" si="4"/>
        <v>41765</v>
      </c>
      <c r="D54" s="388">
        <f t="shared" si="5"/>
        <v>141164.09548387097</v>
      </c>
      <c r="E54" s="392">
        <f t="shared" si="6"/>
        <v>74067.671875</v>
      </c>
      <c r="F54" s="428">
        <f t="shared" si="0"/>
        <v>0.91012908999999997</v>
      </c>
      <c r="G54" s="390">
        <f t="shared" si="7"/>
        <v>67.411100000000005</v>
      </c>
      <c r="H54" s="391">
        <f t="shared" si="1"/>
        <v>215300.08858796099</v>
      </c>
      <c r="I54" s="324">
        <v>72955</v>
      </c>
      <c r="J54" s="325"/>
      <c r="K54" s="325"/>
      <c r="L54" s="319">
        <v>74067.671875</v>
      </c>
      <c r="M54" s="509"/>
      <c r="N54" s="509"/>
      <c r="O54" s="509"/>
      <c r="P54" s="392">
        <f t="shared" si="8"/>
        <v>74067.671875</v>
      </c>
      <c r="Q54" s="392">
        <f t="shared" si="2"/>
        <v>0</v>
      </c>
      <c r="R54" s="392">
        <f t="shared" si="3"/>
        <v>0</v>
      </c>
      <c r="S54" s="373"/>
      <c r="T54" s="374"/>
      <c r="U54" s="18">
        <f t="shared" si="9"/>
        <v>-72955</v>
      </c>
      <c r="V54" s="377">
        <f t="shared" si="10"/>
        <v>72955</v>
      </c>
      <c r="W54" s="18">
        <f t="shared" si="11"/>
        <v>78145.541617750001</v>
      </c>
      <c r="X54" s="377">
        <f t="shared" si="12"/>
        <v>-5190.541617750001</v>
      </c>
      <c r="Y54" s="378">
        <f t="shared" si="13"/>
        <v>-29530.811178293763</v>
      </c>
    </row>
    <row r="55" spans="3:25" x14ac:dyDescent="0.2">
      <c r="C55" s="387">
        <f t="shared" si="4"/>
        <v>41766</v>
      </c>
      <c r="D55" s="388">
        <f t="shared" si="5"/>
        <v>141164.09548387097</v>
      </c>
      <c r="E55" s="392">
        <f t="shared" si="6"/>
        <v>73907.728271999993</v>
      </c>
      <c r="F55" s="428">
        <f t="shared" si="0"/>
        <v>0.91012908999999997</v>
      </c>
      <c r="G55" s="390">
        <f t="shared" si="7"/>
        <v>67.265600000000006</v>
      </c>
      <c r="H55" s="391">
        <f t="shared" si="1"/>
        <v>215139.99948496101</v>
      </c>
      <c r="I55" s="324">
        <v>72955</v>
      </c>
      <c r="J55" s="325"/>
      <c r="K55" s="325"/>
      <c r="L55" s="317">
        <v>73907.728271999993</v>
      </c>
      <c r="M55" s="508"/>
      <c r="N55" s="508"/>
      <c r="O55" s="508"/>
      <c r="P55" s="392">
        <f t="shared" si="8"/>
        <v>73907.728271999993</v>
      </c>
      <c r="Q55" s="392">
        <f t="shared" si="2"/>
        <v>0</v>
      </c>
      <c r="R55" s="392">
        <f t="shared" si="3"/>
        <v>0</v>
      </c>
      <c r="S55" s="373"/>
      <c r="T55" s="374"/>
      <c r="U55" s="18">
        <f t="shared" si="9"/>
        <v>-72955</v>
      </c>
      <c r="V55" s="377">
        <f t="shared" si="10"/>
        <v>72955</v>
      </c>
      <c r="W55" s="18">
        <f t="shared" si="11"/>
        <v>77976.792159743229</v>
      </c>
      <c r="X55" s="377">
        <f t="shared" si="12"/>
        <v>-5021.7921597432287</v>
      </c>
      <c r="Y55" s="378">
        <f t="shared" si="13"/>
        <v>-34552.603338036992</v>
      </c>
    </row>
    <row r="56" spans="3:25" x14ac:dyDescent="0.2">
      <c r="C56" s="387">
        <f t="shared" si="4"/>
        <v>41767</v>
      </c>
      <c r="D56" s="388">
        <f t="shared" si="5"/>
        <v>141164.09548387097</v>
      </c>
      <c r="E56" s="392">
        <f t="shared" si="6"/>
        <v>74258.839844000016</v>
      </c>
      <c r="F56" s="428">
        <f t="shared" si="0"/>
        <v>0.91012908999999997</v>
      </c>
      <c r="G56" s="390">
        <f t="shared" si="7"/>
        <v>67.585099999999997</v>
      </c>
      <c r="H56" s="391">
        <f t="shared" si="1"/>
        <v>215491.43055696102</v>
      </c>
      <c r="I56" s="324">
        <v>72955</v>
      </c>
      <c r="J56" s="325"/>
      <c r="K56" s="325"/>
      <c r="L56" s="319">
        <v>74258.839844000016</v>
      </c>
      <c r="M56" s="509"/>
      <c r="N56" s="509"/>
      <c r="O56" s="509"/>
      <c r="P56" s="392">
        <f t="shared" si="8"/>
        <v>74258.839844000016</v>
      </c>
      <c r="Q56" s="392">
        <f t="shared" si="2"/>
        <v>0</v>
      </c>
      <c r="R56" s="392">
        <f t="shared" si="3"/>
        <v>0</v>
      </c>
      <c r="S56" s="373"/>
      <c r="T56" s="374"/>
      <c r="U56" s="18">
        <f t="shared" si="9"/>
        <v>-72955</v>
      </c>
      <c r="V56" s="377">
        <f t="shared" si="10"/>
        <v>72955</v>
      </c>
      <c r="W56" s="18">
        <f t="shared" si="11"/>
        <v>78347.234530451286</v>
      </c>
      <c r="X56" s="377">
        <f t="shared" si="12"/>
        <v>-5392.2345304512855</v>
      </c>
      <c r="Y56" s="378">
        <f t="shared" si="13"/>
        <v>-39944.837868488277</v>
      </c>
    </row>
    <row r="57" spans="3:25" x14ac:dyDescent="0.2">
      <c r="C57" s="387">
        <f t="shared" si="4"/>
        <v>41768</v>
      </c>
      <c r="D57" s="388">
        <f t="shared" si="5"/>
        <v>141164.09548387097</v>
      </c>
      <c r="E57" s="392">
        <f t="shared" si="6"/>
        <v>74488.847164999985</v>
      </c>
      <c r="F57" s="428">
        <f t="shared" si="0"/>
        <v>0.91012908999999997</v>
      </c>
      <c r="G57" s="390">
        <f t="shared" si="7"/>
        <v>67.794499999999999</v>
      </c>
      <c r="H57" s="391">
        <f t="shared" si="1"/>
        <v>215721.64727796096</v>
      </c>
      <c r="I57" s="324">
        <v>72955</v>
      </c>
      <c r="J57" s="325"/>
      <c r="K57" s="325"/>
      <c r="L57" s="317">
        <v>74488.847164999985</v>
      </c>
      <c r="M57" s="508"/>
      <c r="N57" s="508"/>
      <c r="O57" s="508"/>
      <c r="P57" s="392">
        <f t="shared" si="8"/>
        <v>74488.847164999985</v>
      </c>
      <c r="Q57" s="392">
        <f t="shared" si="2"/>
        <v>0</v>
      </c>
      <c r="R57" s="392">
        <f t="shared" si="3"/>
        <v>0</v>
      </c>
      <c r="S57" s="373"/>
      <c r="T57" s="374"/>
      <c r="U57" s="18">
        <f t="shared" si="9"/>
        <v>-72955</v>
      </c>
      <c r="V57" s="377">
        <f t="shared" si="10"/>
        <v>72955</v>
      </c>
      <c r="W57" s="18">
        <f t="shared" si="11"/>
        <v>78589.90513451623</v>
      </c>
      <c r="X57" s="377">
        <f t="shared" si="12"/>
        <v>-5634.9051345162297</v>
      </c>
      <c r="Y57" s="378">
        <f t="shared" si="13"/>
        <v>-45579.743003004507</v>
      </c>
    </row>
    <row r="58" spans="3:25" x14ac:dyDescent="0.2">
      <c r="C58" s="387">
        <f t="shared" si="4"/>
        <v>41769</v>
      </c>
      <c r="D58" s="388">
        <f t="shared" si="5"/>
        <v>141164.09548387097</v>
      </c>
      <c r="E58" s="392">
        <f t="shared" si="6"/>
        <v>74741.299314999997</v>
      </c>
      <c r="F58" s="428">
        <f t="shared" si="0"/>
        <v>0.91012908999999997</v>
      </c>
      <c r="G58" s="390">
        <f t="shared" si="7"/>
        <v>68.024199999999993</v>
      </c>
      <c r="H58" s="391">
        <f t="shared" si="1"/>
        <v>215974.32912796098</v>
      </c>
      <c r="I58" s="324">
        <v>72955</v>
      </c>
      <c r="J58" s="325"/>
      <c r="K58" s="325"/>
      <c r="L58" s="319">
        <v>74741.299314999997</v>
      </c>
      <c r="M58" s="509"/>
      <c r="N58" s="509"/>
      <c r="O58" s="509"/>
      <c r="P58" s="392">
        <f t="shared" si="8"/>
        <v>74741.299314999997</v>
      </c>
      <c r="Q58" s="392">
        <f t="shared" si="2"/>
        <v>0</v>
      </c>
      <c r="R58" s="392">
        <f t="shared" si="3"/>
        <v>0</v>
      </c>
      <c r="S58" s="373"/>
      <c r="T58" s="374"/>
      <c r="U58" s="18">
        <f t="shared" si="9"/>
        <v>-72955</v>
      </c>
      <c r="V58" s="377">
        <f t="shared" si="10"/>
        <v>72955</v>
      </c>
      <c r="W58" s="18">
        <f t="shared" si="11"/>
        <v>78856.256290086632</v>
      </c>
      <c r="X58" s="377">
        <f t="shared" si="12"/>
        <v>-5901.2562900866324</v>
      </c>
      <c r="Y58" s="378">
        <f t="shared" si="13"/>
        <v>-51480.999293091139</v>
      </c>
    </row>
    <row r="59" spans="3:25" x14ac:dyDescent="0.2">
      <c r="C59" s="387">
        <f t="shared" si="4"/>
        <v>41770</v>
      </c>
      <c r="D59" s="388">
        <f t="shared" si="5"/>
        <v>141164.09548387097</v>
      </c>
      <c r="E59" s="392">
        <f t="shared" si="6"/>
        <v>76387.489258999994</v>
      </c>
      <c r="F59" s="428">
        <f t="shared" si="0"/>
        <v>0.91012908999999997</v>
      </c>
      <c r="G59" s="390">
        <f t="shared" si="7"/>
        <v>69.522499999999994</v>
      </c>
      <c r="H59" s="391">
        <f t="shared" si="1"/>
        <v>217622.01737196097</v>
      </c>
      <c r="I59" s="324">
        <v>72955</v>
      </c>
      <c r="J59" s="325"/>
      <c r="K59" s="325"/>
      <c r="L59" s="317">
        <v>76387.489258999994</v>
      </c>
      <c r="M59" s="508"/>
      <c r="N59" s="508"/>
      <c r="O59" s="508"/>
      <c r="P59" s="392">
        <f t="shared" si="8"/>
        <v>76387.489258999994</v>
      </c>
      <c r="Q59" s="392">
        <f t="shared" si="2"/>
        <v>0</v>
      </c>
      <c r="R59" s="392">
        <f t="shared" si="3"/>
        <v>0</v>
      </c>
      <c r="S59" s="373"/>
      <c r="T59" s="374"/>
      <c r="U59" s="18">
        <f t="shared" si="9"/>
        <v>-72955</v>
      </c>
      <c r="V59" s="377">
        <f t="shared" si="10"/>
        <v>72955</v>
      </c>
      <c r="W59" s="18">
        <f t="shared" si="11"/>
        <v>80593.078867643504</v>
      </c>
      <c r="X59" s="377">
        <f t="shared" si="12"/>
        <v>-7638.0788676435041</v>
      </c>
      <c r="Y59" s="378">
        <f t="shared" si="13"/>
        <v>-59119.078160734643</v>
      </c>
    </row>
    <row r="60" spans="3:25" x14ac:dyDescent="0.2">
      <c r="C60" s="387">
        <f t="shared" si="4"/>
        <v>41771</v>
      </c>
      <c r="D60" s="388">
        <f t="shared" si="5"/>
        <v>141164.09548387097</v>
      </c>
      <c r="E60" s="392">
        <f t="shared" si="6"/>
        <v>75998.344482</v>
      </c>
      <c r="F60" s="428">
        <f t="shared" si="0"/>
        <v>0.91012908999999997</v>
      </c>
      <c r="G60" s="390">
        <f t="shared" si="7"/>
        <v>69.168300000000002</v>
      </c>
      <c r="H60" s="391">
        <f t="shared" si="1"/>
        <v>217232.51839496099</v>
      </c>
      <c r="I60" s="324">
        <v>72955</v>
      </c>
      <c r="J60" s="325"/>
      <c r="K60" s="325"/>
      <c r="L60" s="319">
        <v>75998.344482</v>
      </c>
      <c r="M60" s="509"/>
      <c r="N60" s="509"/>
      <c r="O60" s="509"/>
      <c r="P60" s="392">
        <f t="shared" si="8"/>
        <v>75998.344482</v>
      </c>
      <c r="Q60" s="392">
        <f t="shared" si="2"/>
        <v>0</v>
      </c>
      <c r="R60" s="392">
        <f t="shared" si="3"/>
        <v>0</v>
      </c>
      <c r="S60" s="373"/>
      <c r="T60" s="374"/>
      <c r="U60" s="18">
        <f t="shared" si="9"/>
        <v>-72955</v>
      </c>
      <c r="V60" s="377">
        <f t="shared" si="10"/>
        <v>72955</v>
      </c>
      <c r="W60" s="18">
        <f t="shared" si="11"/>
        <v>80182.509335800991</v>
      </c>
      <c r="X60" s="377">
        <f t="shared" si="12"/>
        <v>-7227.5093358009908</v>
      </c>
      <c r="Y60" s="378">
        <f t="shared" si="13"/>
        <v>-66346.587496535634</v>
      </c>
    </row>
    <row r="61" spans="3:25" x14ac:dyDescent="0.2">
      <c r="C61" s="387">
        <f t="shared" si="4"/>
        <v>41772</v>
      </c>
      <c r="D61" s="388">
        <f t="shared" si="5"/>
        <v>141164.09548387097</v>
      </c>
      <c r="E61" s="392">
        <f t="shared" si="6"/>
        <v>74583.55</v>
      </c>
      <c r="F61" s="428">
        <f t="shared" si="0"/>
        <v>0.91012908999999997</v>
      </c>
      <c r="G61" s="390">
        <f t="shared" si="7"/>
        <v>67.880700000000004</v>
      </c>
      <c r="H61" s="391">
        <f t="shared" si="1"/>
        <v>215816.43631296101</v>
      </c>
      <c r="I61" s="324">
        <v>72955</v>
      </c>
      <c r="J61" s="325"/>
      <c r="K61" s="325"/>
      <c r="L61" s="317">
        <v>74583.55</v>
      </c>
      <c r="M61" s="508"/>
      <c r="N61" s="508"/>
      <c r="O61" s="508"/>
      <c r="P61" s="392">
        <f t="shared" si="8"/>
        <v>74583.55</v>
      </c>
      <c r="Q61" s="392">
        <f t="shared" si="2"/>
        <v>0</v>
      </c>
      <c r="R61" s="392">
        <f t="shared" si="3"/>
        <v>0</v>
      </c>
      <c r="S61" s="373"/>
      <c r="T61" s="374"/>
      <c r="U61" s="18">
        <f t="shared" si="9"/>
        <v>-72955</v>
      </c>
      <c r="V61" s="377">
        <f t="shared" si="10"/>
        <v>72955</v>
      </c>
      <c r="W61" s="18">
        <f t="shared" si="11"/>
        <v>78689.821928799996</v>
      </c>
      <c r="X61" s="377">
        <f t="shared" si="12"/>
        <v>-5734.8219287999964</v>
      </c>
      <c r="Y61" s="378">
        <f t="shared" si="13"/>
        <v>-72081.409425335631</v>
      </c>
    </row>
    <row r="62" spans="3:25" x14ac:dyDescent="0.2">
      <c r="C62" s="387">
        <f t="shared" si="4"/>
        <v>41773</v>
      </c>
      <c r="D62" s="388">
        <f t="shared" si="5"/>
        <v>141164.09548387097</v>
      </c>
      <c r="E62" s="392">
        <f t="shared" si="6"/>
        <v>69263.16</v>
      </c>
      <c r="F62" s="428">
        <f t="shared" si="0"/>
        <v>0.91012908999999997</v>
      </c>
      <c r="G62" s="390">
        <f t="shared" si="7"/>
        <v>63.038400000000003</v>
      </c>
      <c r="H62" s="391">
        <f t="shared" si="1"/>
        <v>210491.20401296098</v>
      </c>
      <c r="I62" s="324">
        <v>72955</v>
      </c>
      <c r="J62" s="325"/>
      <c r="K62" s="325"/>
      <c r="L62" s="319">
        <v>69263.16</v>
      </c>
      <c r="M62" s="509"/>
      <c r="N62" s="509"/>
      <c r="O62" s="509"/>
      <c r="P62" s="392">
        <f t="shared" si="8"/>
        <v>69263.16</v>
      </c>
      <c r="Q62" s="392">
        <f t="shared" si="2"/>
        <v>0</v>
      </c>
      <c r="R62" s="392">
        <f t="shared" si="3"/>
        <v>0</v>
      </c>
      <c r="S62" s="373"/>
      <c r="T62" s="374"/>
      <c r="U62" s="18">
        <f t="shared" si="9"/>
        <v>-72955</v>
      </c>
      <c r="V62" s="377">
        <f t="shared" si="10"/>
        <v>72955</v>
      </c>
      <c r="W62" s="18">
        <f t="shared" si="11"/>
        <v>73076.512536959999</v>
      </c>
      <c r="X62" s="377">
        <f t="shared" si="12"/>
        <v>-121.51253695999912</v>
      </c>
      <c r="Y62" s="378">
        <f t="shared" si="13"/>
        <v>-72202.92196229563</v>
      </c>
    </row>
    <row r="63" spans="3:25" x14ac:dyDescent="0.2">
      <c r="C63" s="387">
        <f t="shared" si="4"/>
        <v>41774</v>
      </c>
      <c r="D63" s="388">
        <f t="shared" si="5"/>
        <v>141164.09548387097</v>
      </c>
      <c r="E63" s="392">
        <f t="shared" si="6"/>
        <v>73522.38</v>
      </c>
      <c r="F63" s="428">
        <f t="shared" si="0"/>
        <v>0.91012908999999997</v>
      </c>
      <c r="G63" s="390">
        <f t="shared" si="7"/>
        <v>66.914900000000003</v>
      </c>
      <c r="H63" s="391">
        <f t="shared" si="1"/>
        <v>214754.300512961</v>
      </c>
      <c r="I63" s="324">
        <v>72955</v>
      </c>
      <c r="J63" s="325"/>
      <c r="K63" s="325"/>
      <c r="L63" s="317">
        <v>73522.38</v>
      </c>
      <c r="M63" s="508"/>
      <c r="N63" s="508"/>
      <c r="O63" s="508"/>
      <c r="P63" s="392">
        <f t="shared" si="8"/>
        <v>73522.38</v>
      </c>
      <c r="Q63" s="392">
        <f t="shared" si="2"/>
        <v>0</v>
      </c>
      <c r="R63" s="392">
        <f t="shared" si="3"/>
        <v>0</v>
      </c>
      <c r="S63" s="373"/>
      <c r="T63" s="374"/>
      <c r="U63" s="18">
        <f t="shared" si="9"/>
        <v>-72955</v>
      </c>
      <c r="V63" s="377">
        <f t="shared" si="10"/>
        <v>72955</v>
      </c>
      <c r="W63" s="18">
        <f t="shared" si="11"/>
        <v>77570.228153280012</v>
      </c>
      <c r="X63" s="377">
        <f t="shared" si="12"/>
        <v>-4615.2281532800116</v>
      </c>
      <c r="Y63" s="378">
        <f t="shared" si="13"/>
        <v>-76818.150115575641</v>
      </c>
    </row>
    <row r="64" spans="3:25" x14ac:dyDescent="0.2">
      <c r="C64" s="387">
        <f t="shared" si="4"/>
        <v>41775</v>
      </c>
      <c r="D64" s="388">
        <f t="shared" si="5"/>
        <v>141164.09548387097</v>
      </c>
      <c r="E64" s="392">
        <f t="shared" si="6"/>
        <v>74653.52</v>
      </c>
      <c r="F64" s="428">
        <f t="shared" si="0"/>
        <v>0.91012908999999997</v>
      </c>
      <c r="G64" s="390">
        <f t="shared" si="7"/>
        <v>67.944299999999998</v>
      </c>
      <c r="H64" s="391">
        <f t="shared" si="1"/>
        <v>215886.46991296098</v>
      </c>
      <c r="I64" s="324">
        <v>72955</v>
      </c>
      <c r="J64" s="325"/>
      <c r="K64" s="325"/>
      <c r="L64" s="319">
        <v>74653.52</v>
      </c>
      <c r="M64" s="509"/>
      <c r="N64" s="509"/>
      <c r="O64" s="509"/>
      <c r="P64" s="392">
        <f t="shared" si="8"/>
        <v>74653.52</v>
      </c>
      <c r="Q64" s="392">
        <f t="shared" si="2"/>
        <v>0</v>
      </c>
      <c r="R64" s="392">
        <f t="shared" si="3"/>
        <v>0</v>
      </c>
      <c r="S64" s="373"/>
      <c r="T64" s="374"/>
      <c r="U64" s="18">
        <f t="shared" si="9"/>
        <v>-72955</v>
      </c>
      <c r="V64" s="377">
        <f t="shared" si="10"/>
        <v>72955</v>
      </c>
      <c r="W64" s="18">
        <f t="shared" si="11"/>
        <v>78763.644197120011</v>
      </c>
      <c r="X64" s="377">
        <f t="shared" si="12"/>
        <v>-5808.6441971200111</v>
      </c>
      <c r="Y64" s="378">
        <f t="shared" si="13"/>
        <v>-82626.794312695652</v>
      </c>
    </row>
    <row r="65" spans="3:38" x14ac:dyDescent="0.2">
      <c r="C65" s="387">
        <f t="shared" si="4"/>
        <v>41776</v>
      </c>
      <c r="D65" s="388">
        <f t="shared" si="5"/>
        <v>141164.09548387097</v>
      </c>
      <c r="E65" s="392">
        <f t="shared" si="6"/>
        <v>76100.851999999999</v>
      </c>
      <c r="F65" s="428">
        <f t="shared" si="0"/>
        <v>0.91012908999999997</v>
      </c>
      <c r="G65" s="390">
        <f t="shared" si="7"/>
        <v>69.261600000000001</v>
      </c>
      <c r="H65" s="391">
        <f t="shared" si="1"/>
        <v>217335.11921296097</v>
      </c>
      <c r="I65" s="324">
        <v>72955</v>
      </c>
      <c r="J65" s="325"/>
      <c r="K65" s="325"/>
      <c r="L65" s="317">
        <v>76100.851999999999</v>
      </c>
      <c r="M65" s="508"/>
      <c r="N65" s="508"/>
      <c r="O65" s="508"/>
      <c r="P65" s="392">
        <f t="shared" si="8"/>
        <v>76100.851999999999</v>
      </c>
      <c r="Q65" s="392">
        <f t="shared" si="2"/>
        <v>0</v>
      </c>
      <c r="R65" s="392">
        <f t="shared" si="3"/>
        <v>0</v>
      </c>
      <c r="S65" s="373"/>
      <c r="T65" s="374"/>
      <c r="U65" s="18">
        <f t="shared" si="9"/>
        <v>-72955</v>
      </c>
      <c r="V65" s="377">
        <f t="shared" si="10"/>
        <v>72955</v>
      </c>
      <c r="W65" s="18">
        <f t="shared" si="11"/>
        <v>80290.660507712004</v>
      </c>
      <c r="X65" s="377">
        <f t="shared" si="12"/>
        <v>-7335.6605077120039</v>
      </c>
      <c r="Y65" s="378">
        <f t="shared" si="13"/>
        <v>-89962.454820407656</v>
      </c>
    </row>
    <row r="66" spans="3:38" x14ac:dyDescent="0.2">
      <c r="C66" s="387">
        <f t="shared" si="4"/>
        <v>41777</v>
      </c>
      <c r="D66" s="388">
        <f t="shared" si="5"/>
        <v>141164.09548387097</v>
      </c>
      <c r="E66" s="392">
        <f t="shared" si="6"/>
        <v>76177.539999999994</v>
      </c>
      <c r="F66" s="428">
        <f t="shared" si="0"/>
        <v>0.91012908999999997</v>
      </c>
      <c r="G66" s="390">
        <f t="shared" si="7"/>
        <v>69.331400000000002</v>
      </c>
      <c r="H66" s="391">
        <f t="shared" si="1"/>
        <v>217411.87701296099</v>
      </c>
      <c r="I66" s="324">
        <v>72955</v>
      </c>
      <c r="J66" s="325"/>
      <c r="K66" s="325"/>
      <c r="L66" s="319">
        <v>76177.539999999994</v>
      </c>
      <c r="M66" s="509"/>
      <c r="N66" s="509"/>
      <c r="O66" s="509"/>
      <c r="P66" s="392">
        <f t="shared" si="8"/>
        <v>76177.539999999994</v>
      </c>
      <c r="Q66" s="392">
        <f t="shared" si="2"/>
        <v>0</v>
      </c>
      <c r="R66" s="392">
        <f t="shared" si="3"/>
        <v>0</v>
      </c>
      <c r="S66" s="373"/>
      <c r="T66" s="374"/>
      <c r="U66" s="18">
        <f t="shared" si="9"/>
        <v>-72955</v>
      </c>
      <c r="V66" s="377">
        <f t="shared" si="10"/>
        <v>72955</v>
      </c>
      <c r="W66" s="18">
        <f t="shared" si="11"/>
        <v>80371.570642239996</v>
      </c>
      <c r="X66" s="377">
        <f t="shared" si="12"/>
        <v>-7416.5706422399962</v>
      </c>
      <c r="Y66" s="378">
        <f t="shared" si="13"/>
        <v>-97379.025462647653</v>
      </c>
    </row>
    <row r="67" spans="3:38" x14ac:dyDescent="0.2">
      <c r="C67" s="387">
        <f t="shared" si="4"/>
        <v>41778</v>
      </c>
      <c r="D67" s="388">
        <f t="shared" si="5"/>
        <v>141164.09548387097</v>
      </c>
      <c r="E67" s="392">
        <f t="shared" si="6"/>
        <v>73410.69</v>
      </c>
      <c r="F67" s="428">
        <f t="shared" si="0"/>
        <v>0.91012908999999997</v>
      </c>
      <c r="G67" s="390">
        <f t="shared" si="7"/>
        <v>66.813199999999995</v>
      </c>
      <c r="H67" s="391">
        <f t="shared" si="1"/>
        <v>214642.50881296099</v>
      </c>
      <c r="I67" s="324">
        <v>72955</v>
      </c>
      <c r="J67" s="325"/>
      <c r="K67" s="325"/>
      <c r="L67" s="317">
        <v>73410.69</v>
      </c>
      <c r="M67" s="508"/>
      <c r="N67" s="508"/>
      <c r="O67" s="508"/>
      <c r="P67" s="392">
        <f t="shared" si="8"/>
        <v>73410.69</v>
      </c>
      <c r="Q67" s="392">
        <f t="shared" si="2"/>
        <v>0</v>
      </c>
      <c r="R67" s="392">
        <f t="shared" si="3"/>
        <v>0</v>
      </c>
      <c r="S67" s="373"/>
      <c r="T67" s="374"/>
      <c r="U67" s="18">
        <f t="shared" si="9"/>
        <v>-72955</v>
      </c>
      <c r="V67" s="377">
        <f t="shared" si="10"/>
        <v>72955</v>
      </c>
      <c r="W67" s="18">
        <f t="shared" si="11"/>
        <v>77452.38894864</v>
      </c>
      <c r="X67" s="377">
        <f t="shared" si="12"/>
        <v>-4497.3889486400003</v>
      </c>
      <c r="Y67" s="378">
        <f t="shared" si="13"/>
        <v>-101876.41441128765</v>
      </c>
    </row>
    <row r="68" spans="3:38" x14ac:dyDescent="0.2">
      <c r="C68" s="387">
        <f t="shared" si="4"/>
        <v>41779</v>
      </c>
      <c r="D68" s="388">
        <f t="shared" si="5"/>
        <v>141164.09548387097</v>
      </c>
      <c r="E68" s="392">
        <f t="shared" si="6"/>
        <v>72313.740000000005</v>
      </c>
      <c r="F68" s="428">
        <f t="shared" si="0"/>
        <v>0.91012908999999997</v>
      </c>
      <c r="G68" s="390">
        <f t="shared" si="7"/>
        <v>65.814800000000005</v>
      </c>
      <c r="H68" s="391">
        <f t="shared" si="1"/>
        <v>213544.560412961</v>
      </c>
      <c r="I68" s="324">
        <v>72955</v>
      </c>
      <c r="J68" s="325"/>
      <c r="K68" s="325"/>
      <c r="L68" s="319">
        <v>72313.740000000005</v>
      </c>
      <c r="M68" s="509"/>
      <c r="N68" s="509"/>
      <c r="O68" s="509"/>
      <c r="P68" s="392">
        <f t="shared" si="8"/>
        <v>72313.740000000005</v>
      </c>
      <c r="Q68" s="392">
        <f t="shared" si="2"/>
        <v>0</v>
      </c>
      <c r="R68" s="392">
        <f t="shared" si="3"/>
        <v>0</v>
      </c>
      <c r="S68" s="373"/>
      <c r="T68" s="374"/>
      <c r="U68" s="18">
        <f t="shared" si="9"/>
        <v>-72955</v>
      </c>
      <c r="V68" s="377">
        <f t="shared" si="10"/>
        <v>72955</v>
      </c>
      <c r="W68" s="18">
        <f t="shared" si="11"/>
        <v>76295.045269440001</v>
      </c>
      <c r="X68" s="377">
        <f t="shared" si="12"/>
        <v>-3340.045269440001</v>
      </c>
      <c r="Y68" s="378">
        <f t="shared" si="13"/>
        <v>-105216.45968072765</v>
      </c>
    </row>
    <row r="69" spans="3:38" x14ac:dyDescent="0.2">
      <c r="C69" s="387">
        <f t="shared" si="4"/>
        <v>41780</v>
      </c>
      <c r="D69" s="388">
        <f t="shared" si="5"/>
        <v>141164.09548387097</v>
      </c>
      <c r="E69" s="392">
        <f t="shared" si="6"/>
        <v>75721.38</v>
      </c>
      <c r="F69" s="428">
        <f t="shared" si="0"/>
        <v>0.91012908999999997</v>
      </c>
      <c r="G69" s="390">
        <f t="shared" si="7"/>
        <v>68.916200000000003</v>
      </c>
      <c r="H69" s="391">
        <f t="shared" si="1"/>
        <v>216955.301812961</v>
      </c>
      <c r="I69" s="324">
        <v>72955</v>
      </c>
      <c r="J69" s="325"/>
      <c r="K69" s="325"/>
      <c r="L69" s="317">
        <v>75721.38</v>
      </c>
      <c r="M69" s="508"/>
      <c r="N69" s="508"/>
      <c r="O69" s="508"/>
      <c r="P69" s="392">
        <f t="shared" si="8"/>
        <v>75721.38</v>
      </c>
      <c r="Q69" s="392">
        <f t="shared" si="2"/>
        <v>0</v>
      </c>
      <c r="R69" s="392">
        <f t="shared" si="3"/>
        <v>0</v>
      </c>
      <c r="S69" s="373"/>
      <c r="T69" s="374"/>
      <c r="U69" s="18">
        <f t="shared" si="9"/>
        <v>-72955</v>
      </c>
      <c r="V69" s="377">
        <f t="shared" si="10"/>
        <v>72955</v>
      </c>
      <c r="W69" s="18">
        <f t="shared" si="11"/>
        <v>79890.296297280001</v>
      </c>
      <c r="X69" s="377">
        <f t="shared" si="12"/>
        <v>-6935.2962972800015</v>
      </c>
      <c r="Y69" s="378">
        <f t="shared" si="13"/>
        <v>-112151.75597800766</v>
      </c>
    </row>
    <row r="70" spans="3:38" x14ac:dyDescent="0.2">
      <c r="C70" s="387">
        <f t="shared" si="4"/>
        <v>41781</v>
      </c>
      <c r="D70" s="388">
        <f t="shared" si="5"/>
        <v>141164.09548387097</v>
      </c>
      <c r="E70" s="392">
        <f t="shared" si="6"/>
        <v>71936.3</v>
      </c>
      <c r="F70" s="428">
        <f t="shared" si="0"/>
        <v>0.91012908999999997</v>
      </c>
      <c r="G70" s="390">
        <f t="shared" si="7"/>
        <v>65.471299999999999</v>
      </c>
      <c r="H70" s="391">
        <f t="shared" si="1"/>
        <v>213166.77691296101</v>
      </c>
      <c r="I70" s="324">
        <v>72955</v>
      </c>
      <c r="J70" s="325"/>
      <c r="K70" s="325"/>
      <c r="L70" s="319">
        <v>71936.3</v>
      </c>
      <c r="M70" s="509"/>
      <c r="N70" s="509"/>
      <c r="O70" s="509"/>
      <c r="P70" s="392">
        <f t="shared" si="8"/>
        <v>71936.3</v>
      </c>
      <c r="Q70" s="392">
        <f t="shared" si="2"/>
        <v>0</v>
      </c>
      <c r="R70" s="392">
        <f t="shared" si="3"/>
        <v>0</v>
      </c>
      <c r="S70" s="373"/>
      <c r="T70" s="374"/>
      <c r="U70" s="18">
        <f t="shared" si="9"/>
        <v>-72955</v>
      </c>
      <c r="V70" s="377">
        <f t="shared" si="10"/>
        <v>72955</v>
      </c>
      <c r="W70" s="18">
        <f t="shared" si="11"/>
        <v>75896.824932800009</v>
      </c>
      <c r="X70" s="377">
        <f t="shared" si="12"/>
        <v>-2941.8249328000093</v>
      </c>
      <c r="Y70" s="378">
        <f t="shared" si="13"/>
        <v>-115093.58091080766</v>
      </c>
    </row>
    <row r="71" spans="3:38" x14ac:dyDescent="0.2">
      <c r="C71" s="387">
        <f t="shared" si="4"/>
        <v>41782</v>
      </c>
      <c r="D71" s="388">
        <f t="shared" si="5"/>
        <v>141164.09548387097</v>
      </c>
      <c r="E71" s="392">
        <f t="shared" si="6"/>
        <v>76275.55</v>
      </c>
      <c r="F71" s="428">
        <f t="shared" si="0"/>
        <v>0.91012908999999997</v>
      </c>
      <c r="G71" s="390">
        <f t="shared" si="7"/>
        <v>69.420599999999993</v>
      </c>
      <c r="H71" s="391">
        <f t="shared" si="1"/>
        <v>217509.97621296102</v>
      </c>
      <c r="I71" s="324">
        <v>72955</v>
      </c>
      <c r="J71" s="325"/>
      <c r="K71" s="325"/>
      <c r="L71" s="317">
        <v>76275.55</v>
      </c>
      <c r="M71" s="508"/>
      <c r="N71" s="508"/>
      <c r="O71" s="508"/>
      <c r="P71" s="392">
        <f t="shared" si="8"/>
        <v>76275.55</v>
      </c>
      <c r="Q71" s="392">
        <f t="shared" si="2"/>
        <v>0</v>
      </c>
      <c r="R71" s="392">
        <f t="shared" si="3"/>
        <v>0</v>
      </c>
      <c r="S71" s="373"/>
      <c r="T71" s="374"/>
      <c r="U71" s="18">
        <f t="shared" si="9"/>
        <v>-72955</v>
      </c>
      <c r="V71" s="377">
        <f t="shared" si="10"/>
        <v>72955</v>
      </c>
      <c r="W71" s="18">
        <f t="shared" si="11"/>
        <v>80474.976680799999</v>
      </c>
      <c r="X71" s="377">
        <f t="shared" si="12"/>
        <v>-7519.9766807999986</v>
      </c>
      <c r="Y71" s="378">
        <f t="shared" si="13"/>
        <v>-122613.55759160766</v>
      </c>
    </row>
    <row r="72" spans="3:38" x14ac:dyDescent="0.2">
      <c r="C72" s="387">
        <f t="shared" si="4"/>
        <v>41783</v>
      </c>
      <c r="D72" s="388">
        <f t="shared" si="5"/>
        <v>141164.09548387097</v>
      </c>
      <c r="E72" s="392">
        <f t="shared" si="6"/>
        <v>76274.460000000006</v>
      </c>
      <c r="F72" s="428">
        <f t="shared" si="0"/>
        <v>0.91012908999999997</v>
      </c>
      <c r="G72" s="390">
        <f>ROUND(I$24*F72*E72,4)</f>
        <v>69.419600000000003</v>
      </c>
      <c r="H72" s="391">
        <f t="shared" si="1"/>
        <v>217508.88521296097</v>
      </c>
      <c r="I72" s="324">
        <v>72955</v>
      </c>
      <c r="J72" s="325"/>
      <c r="K72" s="325"/>
      <c r="L72" s="319">
        <v>76274.460000000006</v>
      </c>
      <c r="M72" s="509"/>
      <c r="N72" s="509"/>
      <c r="O72" s="509"/>
      <c r="P72" s="392">
        <f t="shared" si="8"/>
        <v>76274.460000000006</v>
      </c>
      <c r="Q72" s="392">
        <f t="shared" si="2"/>
        <v>0</v>
      </c>
      <c r="R72" s="392">
        <f t="shared" si="3"/>
        <v>0</v>
      </c>
      <c r="S72" s="373"/>
      <c r="T72" s="374"/>
      <c r="U72" s="18">
        <f t="shared" si="9"/>
        <v>-72955</v>
      </c>
      <c r="V72" s="377">
        <f t="shared" si="10"/>
        <v>72955</v>
      </c>
      <c r="W72" s="18">
        <f t="shared" si="11"/>
        <v>80473.826669760005</v>
      </c>
      <c r="X72" s="377">
        <f t="shared" si="12"/>
        <v>-7518.8266697600047</v>
      </c>
      <c r="Y72" s="378">
        <f t="shared" si="13"/>
        <v>-130132.38426136767</v>
      </c>
    </row>
    <row r="73" spans="3:38" x14ac:dyDescent="0.2">
      <c r="C73" s="387">
        <f t="shared" si="4"/>
        <v>41784</v>
      </c>
      <c r="D73" s="388">
        <f t="shared" si="5"/>
        <v>141164.09548387097</v>
      </c>
      <c r="E73" s="392">
        <f t="shared" si="6"/>
        <v>76345.25</v>
      </c>
      <c r="F73" s="428">
        <f t="shared" si="0"/>
        <v>0.91012908999999997</v>
      </c>
      <c r="G73" s="390">
        <f t="shared" si="7"/>
        <v>69.483999999999995</v>
      </c>
      <c r="H73" s="391">
        <f t="shared" si="1"/>
        <v>217579.73961296098</v>
      </c>
      <c r="I73" s="324">
        <v>72955</v>
      </c>
      <c r="J73" s="325"/>
      <c r="K73" s="325"/>
      <c r="L73" s="317">
        <v>76345.25</v>
      </c>
      <c r="M73" s="508"/>
      <c r="N73" s="508"/>
      <c r="O73" s="508"/>
      <c r="P73" s="392">
        <f t="shared" si="8"/>
        <v>76345.25</v>
      </c>
      <c r="Q73" s="392">
        <f t="shared" si="2"/>
        <v>0</v>
      </c>
      <c r="R73" s="392">
        <f t="shared" si="3"/>
        <v>0</v>
      </c>
      <c r="S73" s="373"/>
      <c r="T73" s="374"/>
      <c r="U73" s="18">
        <f t="shared" si="9"/>
        <v>-72955</v>
      </c>
      <c r="V73" s="377">
        <f t="shared" si="10"/>
        <v>72955</v>
      </c>
      <c r="W73" s="18">
        <f t="shared" si="11"/>
        <v>80548.514083999995</v>
      </c>
      <c r="X73" s="377">
        <f t="shared" si="12"/>
        <v>-7593.5140839999949</v>
      </c>
      <c r="Y73" s="378">
        <f t="shared" si="13"/>
        <v>-137725.89834536766</v>
      </c>
    </row>
    <row r="74" spans="3:38" x14ac:dyDescent="0.2">
      <c r="C74" s="387">
        <f t="shared" si="4"/>
        <v>41785</v>
      </c>
      <c r="D74" s="388">
        <f t="shared" si="5"/>
        <v>141164.09548387097</v>
      </c>
      <c r="E74" s="392">
        <f t="shared" si="6"/>
        <v>73697.279999999999</v>
      </c>
      <c r="F74" s="428">
        <f t="shared" si="0"/>
        <v>0.91012908999999997</v>
      </c>
      <c r="G74" s="390">
        <f t="shared" si="7"/>
        <v>67.073999999999998</v>
      </c>
      <c r="H74" s="391">
        <f t="shared" si="1"/>
        <v>214929.35961296098</v>
      </c>
      <c r="I74" s="324">
        <v>72955</v>
      </c>
      <c r="J74" s="325"/>
      <c r="K74" s="325"/>
      <c r="L74" s="319">
        <v>73697.279999999999</v>
      </c>
      <c r="M74" s="509"/>
      <c r="N74" s="509"/>
      <c r="O74" s="509"/>
      <c r="P74" s="392">
        <f t="shared" si="8"/>
        <v>73697.279999999999</v>
      </c>
      <c r="Q74" s="392">
        <f t="shared" si="2"/>
        <v>0</v>
      </c>
      <c r="R74" s="392">
        <f t="shared" si="3"/>
        <v>0</v>
      </c>
      <c r="S74" s="373"/>
      <c r="T74" s="374"/>
      <c r="U74" s="18">
        <f t="shared" si="9"/>
        <v>-72955</v>
      </c>
      <c r="V74" s="377">
        <f t="shared" si="10"/>
        <v>72955</v>
      </c>
      <c r="W74" s="18">
        <f t="shared" si="11"/>
        <v>77754.757447679993</v>
      </c>
      <c r="X74" s="377">
        <f t="shared" si="12"/>
        <v>-4799.7574476799928</v>
      </c>
      <c r="Y74" s="378">
        <f t="shared" si="13"/>
        <v>-142525.65579304766</v>
      </c>
    </row>
    <row r="75" spans="3:38" x14ac:dyDescent="0.2">
      <c r="C75" s="387">
        <f t="shared" si="4"/>
        <v>41786</v>
      </c>
      <c r="D75" s="388">
        <f t="shared" si="5"/>
        <v>141164.09548387097</v>
      </c>
      <c r="E75" s="392">
        <f t="shared" si="6"/>
        <v>72098.89</v>
      </c>
      <c r="F75" s="428">
        <f t="shared" si="0"/>
        <v>0.91012908999999997</v>
      </c>
      <c r="G75" s="390">
        <f t="shared" si="7"/>
        <v>65.619299999999996</v>
      </c>
      <c r="H75" s="391">
        <f t="shared" si="1"/>
        <v>213329.51491296096</v>
      </c>
      <c r="I75" s="324">
        <v>72955</v>
      </c>
      <c r="J75" s="325"/>
      <c r="K75" s="325"/>
      <c r="L75" s="317">
        <v>72098.89</v>
      </c>
      <c r="M75" s="508"/>
      <c r="N75" s="508"/>
      <c r="O75" s="508"/>
      <c r="P75" s="392">
        <f t="shared" si="8"/>
        <v>72098.89</v>
      </c>
      <c r="Q75" s="392">
        <f t="shared" si="2"/>
        <v>0</v>
      </c>
      <c r="R75" s="392">
        <f t="shared" si="3"/>
        <v>0</v>
      </c>
      <c r="S75" s="373"/>
      <c r="T75" s="374"/>
      <c r="U75" s="18">
        <f t="shared" si="9"/>
        <v>-72955</v>
      </c>
      <c r="V75" s="377">
        <f t="shared" si="10"/>
        <v>72955</v>
      </c>
      <c r="W75" s="18">
        <f t="shared" si="11"/>
        <v>76068.366487840001</v>
      </c>
      <c r="X75" s="377">
        <f t="shared" si="12"/>
        <v>-3113.3664878400014</v>
      </c>
      <c r="Y75" s="378">
        <f t="shared" si="13"/>
        <v>-145639.02228088764</v>
      </c>
    </row>
    <row r="76" spans="3:38" x14ac:dyDescent="0.2">
      <c r="C76" s="387">
        <f t="shared" si="4"/>
        <v>41787</v>
      </c>
      <c r="D76" s="388">
        <f t="shared" si="5"/>
        <v>141164.09548387097</v>
      </c>
      <c r="E76" s="392">
        <f t="shared" si="6"/>
        <v>72197.75</v>
      </c>
      <c r="F76" s="428">
        <f t="shared" si="0"/>
        <v>0.91012908999999997</v>
      </c>
      <c r="G76" s="390">
        <f t="shared" si="7"/>
        <v>65.709299999999999</v>
      </c>
      <c r="H76" s="391">
        <f t="shared" si="1"/>
        <v>213428.46491296098</v>
      </c>
      <c r="I76" s="324">
        <v>72955</v>
      </c>
      <c r="J76" s="325"/>
      <c r="K76" s="325"/>
      <c r="L76" s="319">
        <v>72197.75</v>
      </c>
      <c r="M76" s="509"/>
      <c r="N76" s="509"/>
      <c r="O76" s="509"/>
      <c r="P76" s="392">
        <f t="shared" si="8"/>
        <v>72197.75</v>
      </c>
      <c r="Q76" s="392">
        <f t="shared" si="2"/>
        <v>0</v>
      </c>
      <c r="R76" s="392">
        <f t="shared" si="3"/>
        <v>0</v>
      </c>
      <c r="S76" s="373"/>
      <c r="T76" s="374"/>
      <c r="U76" s="18">
        <f t="shared" si="9"/>
        <v>-72955</v>
      </c>
      <c r="V76" s="377">
        <f t="shared" si="10"/>
        <v>72955</v>
      </c>
      <c r="W76" s="18">
        <f t="shared" si="11"/>
        <v>76172.669324000002</v>
      </c>
      <c r="X76" s="377">
        <f t="shared" si="12"/>
        <v>-3217.6693240000022</v>
      </c>
      <c r="Y76" s="378">
        <f t="shared" si="13"/>
        <v>-148856.69160488766</v>
      </c>
    </row>
    <row r="77" spans="3:38" x14ac:dyDescent="0.2">
      <c r="C77" s="387">
        <f t="shared" si="4"/>
        <v>41788</v>
      </c>
      <c r="D77" s="388">
        <f t="shared" si="5"/>
        <v>141164.09548387097</v>
      </c>
      <c r="E77" s="392">
        <f t="shared" si="6"/>
        <v>72079.86</v>
      </c>
      <c r="F77" s="428">
        <f t="shared" si="0"/>
        <v>0.91012908999999997</v>
      </c>
      <c r="G77" s="390">
        <f t="shared" si="7"/>
        <v>65.602000000000004</v>
      </c>
      <c r="H77" s="391">
        <f t="shared" si="1"/>
        <v>213310.46761296102</v>
      </c>
      <c r="I77" s="324">
        <v>72955</v>
      </c>
      <c r="J77" s="325"/>
      <c r="K77" s="325"/>
      <c r="L77" s="317">
        <v>72079.86</v>
      </c>
      <c r="M77" s="508"/>
      <c r="N77" s="508"/>
      <c r="O77" s="508"/>
      <c r="P77" s="392">
        <f t="shared" si="8"/>
        <v>72079.86</v>
      </c>
      <c r="Q77" s="392">
        <f t="shared" si="2"/>
        <v>0</v>
      </c>
      <c r="R77" s="392">
        <f t="shared" si="3"/>
        <v>0</v>
      </c>
      <c r="S77" s="373"/>
      <c r="T77" s="374"/>
      <c r="U77" s="18">
        <f t="shared" si="9"/>
        <v>-72955</v>
      </c>
      <c r="V77" s="377">
        <f t="shared" si="10"/>
        <v>72955</v>
      </c>
      <c r="W77" s="18">
        <f t="shared" si="11"/>
        <v>76048.288772159998</v>
      </c>
      <c r="X77" s="377">
        <f t="shared" si="12"/>
        <v>-3093.2887721599982</v>
      </c>
      <c r="Y77" s="378">
        <f t="shared" si="13"/>
        <v>-151949.98037704767</v>
      </c>
    </row>
    <row r="78" spans="3:38" x14ac:dyDescent="0.2">
      <c r="C78" s="387">
        <f t="shared" si="4"/>
        <v>41789</v>
      </c>
      <c r="D78" s="388">
        <f t="shared" si="5"/>
        <v>141164.09548387097</v>
      </c>
      <c r="E78" s="392">
        <f t="shared" si="6"/>
        <v>72011.039999999994</v>
      </c>
      <c r="F78" s="428">
        <f t="shared" si="0"/>
        <v>0.91012908999999997</v>
      </c>
      <c r="G78" s="390">
        <f t="shared" si="7"/>
        <v>65.539299999999997</v>
      </c>
      <c r="H78" s="391">
        <f t="shared" si="1"/>
        <v>213241.584912961</v>
      </c>
      <c r="I78" s="324">
        <v>72955</v>
      </c>
      <c r="J78" s="325"/>
      <c r="K78" s="325"/>
      <c r="L78" s="319">
        <v>72011.039999999994</v>
      </c>
      <c r="M78" s="509"/>
      <c r="N78" s="509"/>
      <c r="O78" s="509"/>
      <c r="P78" s="392">
        <f t="shared" si="8"/>
        <v>72011.039999999994</v>
      </c>
      <c r="Q78" s="392">
        <f t="shared" si="2"/>
        <v>0</v>
      </c>
      <c r="R78" s="392">
        <f t="shared" si="3"/>
        <v>0</v>
      </c>
      <c r="S78" s="373"/>
      <c r="T78" s="374"/>
      <c r="U78" s="18">
        <f t="shared" si="9"/>
        <v>-72955</v>
      </c>
      <c r="V78" s="377">
        <f t="shared" si="10"/>
        <v>72955</v>
      </c>
      <c r="W78" s="18">
        <f t="shared" si="11"/>
        <v>75975.679818239994</v>
      </c>
      <c r="X78" s="377">
        <f t="shared" si="12"/>
        <v>-3020.6798182399943</v>
      </c>
      <c r="Y78" s="378">
        <f t="shared" si="13"/>
        <v>-154970.66019528767</v>
      </c>
    </row>
    <row r="79" spans="3:38" ht="15" thickBot="1" x14ac:dyDescent="0.25">
      <c r="C79" s="393">
        <f t="shared" si="4"/>
        <v>41790</v>
      </c>
      <c r="D79" s="394">
        <f t="shared" si="5"/>
        <v>141164.09548387097</v>
      </c>
      <c r="E79" s="395">
        <f t="shared" si="6"/>
        <v>71814.02</v>
      </c>
      <c r="F79" s="429">
        <f t="shared" si="0"/>
        <v>0.91012908999999997</v>
      </c>
      <c r="G79" s="396">
        <f t="shared" si="7"/>
        <v>65.36</v>
      </c>
      <c r="H79" s="397">
        <f t="shared" si="1"/>
        <v>213044.38561296096</v>
      </c>
      <c r="I79" s="326">
        <v>72955</v>
      </c>
      <c r="J79" s="327"/>
      <c r="K79" s="327"/>
      <c r="L79" s="321">
        <v>71814.02</v>
      </c>
      <c r="M79" s="510"/>
      <c r="N79" s="510"/>
      <c r="O79" s="510"/>
      <c r="P79" s="395">
        <f t="shared" si="8"/>
        <v>71814.02</v>
      </c>
      <c r="Q79" s="395">
        <f t="shared" si="2"/>
        <v>0</v>
      </c>
      <c r="R79" s="395">
        <f t="shared" si="3"/>
        <v>0</v>
      </c>
      <c r="S79" s="375"/>
      <c r="T79" s="376"/>
      <c r="U79" s="379">
        <f t="shared" si="9"/>
        <v>-72955</v>
      </c>
      <c r="V79" s="380">
        <f t="shared" si="10"/>
        <v>72955</v>
      </c>
      <c r="W79" s="379">
        <f t="shared" si="11"/>
        <v>75767.812685120007</v>
      </c>
      <c r="X79" s="380">
        <f t="shared" si="12"/>
        <v>-2812.8126851200068</v>
      </c>
      <c r="Y79" s="381">
        <f>Y78+X79</f>
        <v>-157783.47288040767</v>
      </c>
    </row>
    <row r="80" spans="3:38" ht="15" thickBot="1" x14ac:dyDescent="0.25">
      <c r="C80" s="398"/>
      <c r="D80" s="399">
        <f>SUM(D49:D79)</f>
        <v>4376086.9600000028</v>
      </c>
      <c r="E80" s="400">
        <f>SUM(E49:E79)</f>
        <v>2293137.4949579998</v>
      </c>
      <c r="F80" s="400"/>
      <c r="G80" s="401">
        <f>SUM(G49:G79)</f>
        <v>2087.0510000000004</v>
      </c>
      <c r="H80" s="399">
        <f>SUM(H49:H79)</f>
        <v>6671339.7199597917</v>
      </c>
      <c r="I80" s="432">
        <f>SUM(I49:I79)</f>
        <v>2261605</v>
      </c>
      <c r="J80" s="432">
        <f t="shared" ref="J80:R80" si="14">SUM(J49:J79)</f>
        <v>0</v>
      </c>
      <c r="K80" s="432">
        <f t="shared" si="14"/>
        <v>0</v>
      </c>
      <c r="L80" s="432">
        <f t="shared" si="14"/>
        <v>2293137.4949579998</v>
      </c>
      <c r="M80" s="432">
        <f t="shared" si="14"/>
        <v>0</v>
      </c>
      <c r="N80" s="432">
        <f t="shared" si="14"/>
        <v>0</v>
      </c>
      <c r="O80" s="432">
        <f t="shared" si="14"/>
        <v>0</v>
      </c>
      <c r="P80" s="432">
        <f t="shared" si="14"/>
        <v>2293137.4949579998</v>
      </c>
      <c r="Q80" s="432">
        <f t="shared" si="14"/>
        <v>0</v>
      </c>
      <c r="R80" s="432">
        <f t="shared" si="14"/>
        <v>0</v>
      </c>
      <c r="U80" s="1"/>
      <c r="V80" s="328">
        <f>SUM(V49:V79)</f>
        <v>2261605</v>
      </c>
      <c r="W80" s="328">
        <f>SUM(W49:W79)</f>
        <v>2419388.4728804072</v>
      </c>
      <c r="X80" s="328">
        <f>SUM(X49:X79)</f>
        <v>-157783.47288040767</v>
      </c>
      <c r="Y80" s="323">
        <f>Y79</f>
        <v>-157783.47288040767</v>
      </c>
      <c r="AL80" s="361">
        <f>Y79</f>
        <v>-157783.47288040767</v>
      </c>
    </row>
    <row r="81" spans="2:14" ht="15" customHeight="1" x14ac:dyDescent="0.2">
      <c r="B81"/>
      <c r="C81"/>
      <c r="D81"/>
      <c r="E81"/>
      <c r="F81"/>
      <c r="G81"/>
      <c r="H81"/>
      <c r="I81"/>
      <c r="J81"/>
      <c r="K81"/>
      <c r="L81"/>
      <c r="N81" s="2"/>
    </row>
  </sheetData>
  <mergeCells count="12">
    <mergeCell ref="C10:D10"/>
    <mergeCell ref="C11:D11"/>
    <mergeCell ref="C3:M4"/>
    <mergeCell ref="C5:M5"/>
    <mergeCell ref="C6:M6"/>
    <mergeCell ref="G7:H7"/>
    <mergeCell ref="C9:D9"/>
    <mergeCell ref="D23:E23"/>
    <mergeCell ref="D24:E24"/>
    <mergeCell ref="C28:F28"/>
    <mergeCell ref="C39:F39"/>
    <mergeCell ref="S47:Y47"/>
  </mergeCells>
  <conditionalFormatting sqref="L49:O79">
    <cfRule type="cellIs" dxfId="160" priority="1" stopIfTrue="1" operator="equal">
      <formula>0</formula>
    </cfRule>
  </conditionalFormatting>
  <printOptions horizontalCentered="1" verticalCentered="1"/>
  <pageMargins left="0" right="0.70866141732283472" top="0.74803149606299213" bottom="0.74803149606299213" header="0.31496062992125984" footer="0.31496062992125984"/>
  <pageSetup scale="80" orientation="landscape" r:id="rId1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L81"/>
  <sheetViews>
    <sheetView workbookViewId="0"/>
  </sheetViews>
  <sheetFormatPr baseColWidth="10" defaultColWidth="11" defaultRowHeight="14.25" x14ac:dyDescent="0.2"/>
  <cols>
    <col min="1" max="1" width="11" style="2"/>
    <col min="2" max="2" width="3.875" style="2" bestFit="1" customWidth="1"/>
    <col min="3" max="3" width="16.125" style="2" customWidth="1"/>
    <col min="4" max="4" width="12.375" style="2" bestFit="1" customWidth="1"/>
    <col min="5" max="5" width="10.875" style="2" bestFit="1" customWidth="1"/>
    <col min="6" max="6" width="17.125" style="2" bestFit="1" customWidth="1"/>
    <col min="7" max="7" width="13.125" style="2" bestFit="1" customWidth="1"/>
    <col min="8" max="8" width="12.125" style="2" bestFit="1" customWidth="1"/>
    <col min="9" max="9" width="11.125" style="2" bestFit="1" customWidth="1"/>
    <col min="10" max="10" width="11.875" style="2" bestFit="1" customWidth="1"/>
    <col min="11" max="11" width="11.625" style="2" bestFit="1" customWidth="1"/>
    <col min="12" max="12" width="12.125" style="2" customWidth="1"/>
    <col min="13" max="13" width="12" style="2" bestFit="1" customWidth="1"/>
    <col min="14" max="14" width="9" style="1" customWidth="1"/>
    <col min="15" max="15" width="10.375" style="2" customWidth="1"/>
    <col min="16" max="25" width="11" style="2"/>
    <col min="26" max="31" width="10.875" customWidth="1"/>
    <col min="32" max="16384" width="11" style="2"/>
  </cols>
  <sheetData>
    <row r="2" spans="2:25" x14ac:dyDescent="0.2"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2:25" ht="15" customHeight="1" x14ac:dyDescent="0.2">
      <c r="B3" s="1"/>
      <c r="C3" s="2254" t="s">
        <v>0</v>
      </c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</row>
    <row r="4" spans="2:25" ht="15" customHeight="1" x14ac:dyDescent="0.2"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</row>
    <row r="5" spans="2:25" x14ac:dyDescent="0.2">
      <c r="B5" s="1"/>
      <c r="C5" s="2257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</row>
    <row r="6" spans="2:25" x14ac:dyDescent="0.2">
      <c r="B6" s="1"/>
      <c r="C6" s="2257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</row>
    <row r="7" spans="2:25" x14ac:dyDescent="0.2">
      <c r="B7" s="1"/>
      <c r="C7" s="516"/>
      <c r="D7" s="516"/>
      <c r="E7" s="516"/>
      <c r="F7" s="516"/>
      <c r="G7" s="2271">
        <v>41791</v>
      </c>
      <c r="H7" s="2257"/>
      <c r="I7" s="516"/>
      <c r="J7" s="516"/>
      <c r="K7" s="516"/>
      <c r="L7" s="516"/>
      <c r="M7" s="516"/>
      <c r="N7" s="18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2:25" x14ac:dyDescent="0.2">
      <c r="B8" s="1"/>
      <c r="C8" s="516"/>
      <c r="D8" s="516"/>
      <c r="E8" s="516"/>
      <c r="F8" s="516"/>
      <c r="G8" s="516"/>
      <c r="H8" s="516"/>
      <c r="I8" s="516"/>
      <c r="J8" s="516"/>
      <c r="K8" s="516"/>
      <c r="L8" s="516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2:25" ht="25.5" x14ac:dyDescent="0.2">
      <c r="B9" s="1"/>
      <c r="C9" s="2272" t="s">
        <v>6</v>
      </c>
      <c r="D9" s="2272"/>
      <c r="E9" s="517" t="s">
        <v>94</v>
      </c>
      <c r="F9" s="517" t="s">
        <v>126</v>
      </c>
      <c r="G9" s="410" t="s">
        <v>133</v>
      </c>
      <c r="H9" s="517" t="s">
        <v>127</v>
      </c>
      <c r="I9" s="517" t="s">
        <v>128</v>
      </c>
      <c r="J9" s="516"/>
      <c r="K9" s="516"/>
      <c r="L9" s="516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2:25" x14ac:dyDescent="0.2">
      <c r="B10" s="1"/>
      <c r="C10" s="2270" t="s">
        <v>131</v>
      </c>
      <c r="D10" s="2270"/>
      <c r="E10" s="433">
        <f>IF(C15=0,D15,C15)</f>
        <v>4627948.08</v>
      </c>
      <c r="F10" s="407">
        <f>E10*0.16</f>
        <v>740471.69280000008</v>
      </c>
      <c r="G10" s="407">
        <f>E10+F10</f>
        <v>5368419.7728000004</v>
      </c>
      <c r="H10" s="511"/>
      <c r="I10" s="474">
        <v>19</v>
      </c>
      <c r="J10" s="516"/>
      <c r="K10" s="516"/>
      <c r="L10" s="516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2:25" x14ac:dyDescent="0.2">
      <c r="B11" s="1"/>
      <c r="C11" s="2270" t="s">
        <v>132</v>
      </c>
      <c r="D11" s="2270"/>
      <c r="E11" s="433">
        <f>IF(C16=0,D16,C16)</f>
        <v>2037.73</v>
      </c>
      <c r="F11" s="407">
        <f>E11*0.16</f>
        <v>326.03680000000003</v>
      </c>
      <c r="G11" s="407">
        <f>E11+F11</f>
        <v>2363.7667999999999</v>
      </c>
      <c r="H11" s="511"/>
      <c r="I11" s="474">
        <v>19</v>
      </c>
      <c r="J11" s="516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2:25" x14ac:dyDescent="0.2">
      <c r="B12" s="1"/>
      <c r="C12" s="516"/>
      <c r="D12" s="516"/>
      <c r="E12" s="516"/>
      <c r="F12" s="516"/>
      <c r="G12" s="516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2:25" ht="15" thickBot="1" x14ac:dyDescent="0.25">
      <c r="B13" s="1"/>
      <c r="C13" s="516"/>
      <c r="D13" s="516"/>
      <c r="E13" s="516"/>
      <c r="F13" s="516"/>
      <c r="G13" s="516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2:25" x14ac:dyDescent="0.2">
      <c r="B14" s="1"/>
      <c r="C14" s="440" t="s">
        <v>155</v>
      </c>
      <c r="D14" s="441" t="s">
        <v>156</v>
      </c>
      <c r="E14" s="442" t="s">
        <v>112</v>
      </c>
      <c r="F14" s="516"/>
      <c r="G14" s="516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2:25" x14ac:dyDescent="0.2">
      <c r="B15" s="1"/>
      <c r="C15" s="443">
        <v>4627948.08</v>
      </c>
      <c r="D15" s="444">
        <f>D80</f>
        <v>4376086.959999999</v>
      </c>
      <c r="E15" s="445">
        <f>C15-D15</f>
        <v>251861.12000000104</v>
      </c>
      <c r="F15" s="516"/>
      <c r="G15" s="516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2:25" ht="15" thickBot="1" x14ac:dyDescent="0.25">
      <c r="B16" s="1"/>
      <c r="C16" s="446">
        <v>2037.73</v>
      </c>
      <c r="D16" s="447">
        <f>ROUND(G80,2)</f>
        <v>2037.73</v>
      </c>
      <c r="E16" s="448">
        <f>C16-D16</f>
        <v>0</v>
      </c>
      <c r="F16" s="516"/>
      <c r="G16" s="516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2:25" x14ac:dyDescent="0.2">
      <c r="B17" s="1"/>
      <c r="C17" s="516"/>
      <c r="D17" s="516"/>
      <c r="E17" s="516"/>
      <c r="F17" s="516"/>
      <c r="G17" s="516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2:25" x14ac:dyDescent="0.2">
      <c r="B18" s="1"/>
      <c r="C18" s="516"/>
      <c r="D18" s="516"/>
      <c r="E18" s="516"/>
      <c r="F18" s="516"/>
      <c r="G18" s="516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2:25" x14ac:dyDescent="0.2">
      <c r="B19" s="1"/>
      <c r="C19" s="516"/>
      <c r="D19" s="516"/>
      <c r="E19" s="516"/>
      <c r="F19" s="516"/>
      <c r="G19" s="516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2:25" x14ac:dyDescent="0.2">
      <c r="B20" s="1"/>
      <c r="C20" s="516"/>
      <c r="D20" s="516"/>
      <c r="E20" s="516"/>
      <c r="F20" s="516"/>
      <c r="G20" s="516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2:25" x14ac:dyDescent="0.2">
      <c r="B21" s="1"/>
      <c r="C21" s="516"/>
      <c r="D21" s="516"/>
      <c r="E21" s="516"/>
      <c r="F21" s="516"/>
      <c r="G21" s="516"/>
      <c r="H21" s="1"/>
      <c r="I21" s="1"/>
      <c r="J21" s="1"/>
      <c r="K21" s="1"/>
      <c r="L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2:25" ht="15" thickBot="1" x14ac:dyDescent="0.25">
      <c r="B22" s="1"/>
      <c r="C22" s="419" t="s">
        <v>137</v>
      </c>
      <c r="D22" s="516" t="s">
        <v>138</v>
      </c>
      <c r="E22" s="516"/>
      <c r="F22" s="516" t="s">
        <v>139</v>
      </c>
      <c r="G22" s="516" t="s">
        <v>157</v>
      </c>
      <c r="H22" s="516" t="s">
        <v>143</v>
      </c>
      <c r="I22" s="516" t="s">
        <v>142</v>
      </c>
      <c r="J22" s="516" t="s">
        <v>141</v>
      </c>
      <c r="K22" s="516" t="s">
        <v>140</v>
      </c>
      <c r="L22" s="516" t="s">
        <v>144</v>
      </c>
      <c r="M22" s="516" t="s">
        <v>146</v>
      </c>
      <c r="N22" s="516"/>
      <c r="O22" s="516"/>
      <c r="P22" s="516"/>
      <c r="Q22" s="1"/>
      <c r="R22" s="1"/>
      <c r="S22" s="1"/>
      <c r="T22" s="1"/>
      <c r="U22" s="1"/>
      <c r="V22" s="1"/>
      <c r="W22" s="1"/>
      <c r="X22" s="1"/>
      <c r="Y22" s="1"/>
    </row>
    <row r="23" spans="2:25" ht="36.75" customHeight="1" x14ac:dyDescent="0.2">
      <c r="B23" s="1"/>
      <c r="C23" s="402" t="s">
        <v>134</v>
      </c>
      <c r="D23" s="2261" t="s">
        <v>135</v>
      </c>
      <c r="E23" s="2262"/>
      <c r="F23" s="518" t="s">
        <v>136</v>
      </c>
      <c r="G23" s="461" t="s">
        <v>153</v>
      </c>
      <c r="H23" s="420" t="s">
        <v>129</v>
      </c>
      <c r="I23" s="403" t="s">
        <v>130</v>
      </c>
      <c r="J23" s="422"/>
      <c r="K23" s="422"/>
      <c r="L23" s="422"/>
      <c r="M23" s="404" t="s">
        <v>158</v>
      </c>
      <c r="N23" s="516"/>
      <c r="O23" s="516"/>
      <c r="P23" s="516"/>
      <c r="Q23" s="516"/>
      <c r="R23" s="516"/>
      <c r="S23" s="516"/>
      <c r="T23" s="516"/>
      <c r="U23" s="1"/>
      <c r="V23" s="1"/>
      <c r="W23" s="1"/>
      <c r="X23" s="1"/>
      <c r="Y23" s="1"/>
    </row>
    <row r="24" spans="2:25" x14ac:dyDescent="0.2">
      <c r="B24" s="1"/>
      <c r="C24" s="405">
        <v>850</v>
      </c>
      <c r="D24" s="2263">
        <v>850</v>
      </c>
      <c r="E24" s="2264"/>
      <c r="F24" s="418">
        <v>31482640</v>
      </c>
      <c r="G24" s="462">
        <v>30</v>
      </c>
      <c r="H24" s="460">
        <f>VLOOKUP(C47,Tarifas!D4:H303,3)</f>
        <v>0.13900000000000001</v>
      </c>
      <c r="I24" s="424">
        <f>VLOOKUP(C47,Tarifas!D4:H303,5)</f>
        <v>1E-3</v>
      </c>
      <c r="J24" s="421">
        <v>185</v>
      </c>
      <c r="K24" s="421">
        <v>201.4</v>
      </c>
      <c r="L24" s="421">
        <f>I11</f>
        <v>19</v>
      </c>
      <c r="M24" s="431">
        <f>E80</f>
        <v>2218375.9019999998</v>
      </c>
      <c r="N24" s="430" t="s">
        <v>62</v>
      </c>
      <c r="O24" s="516"/>
      <c r="P24" s="516"/>
      <c r="Q24" s="516"/>
      <c r="R24" s="516"/>
      <c r="S24" s="516"/>
      <c r="T24" s="516"/>
      <c r="U24" s="1"/>
      <c r="V24" s="1"/>
      <c r="W24" s="1"/>
      <c r="X24" s="1"/>
      <c r="Y24" s="1"/>
    </row>
    <row r="25" spans="2:25" x14ac:dyDescent="0.2">
      <c r="B25" s="1"/>
      <c r="C25" s="516"/>
      <c r="D25" s="516"/>
      <c r="E25" s="516"/>
      <c r="F25" s="516"/>
      <c r="G25" s="516"/>
      <c r="H25" s="516"/>
      <c r="I25" s="516"/>
      <c r="J25" s="516"/>
      <c r="K25" s="516"/>
      <c r="L25" s="516"/>
      <c r="M25" s="516"/>
      <c r="N25" s="516"/>
      <c r="O25" s="516"/>
      <c r="P25" s="516"/>
      <c r="Q25" s="516"/>
      <c r="R25" s="516"/>
      <c r="S25" s="1"/>
      <c r="T25" s="1"/>
      <c r="U25" s="1"/>
      <c r="V25" s="1"/>
      <c r="W25" s="1"/>
      <c r="X25" s="1"/>
      <c r="Y25" s="1"/>
    </row>
    <row r="26" spans="2:25" x14ac:dyDescent="0.2">
      <c r="B26" s="1"/>
      <c r="C26" s="516"/>
      <c r="D26" s="516"/>
      <c r="E26" s="516"/>
      <c r="F26" s="516"/>
      <c r="G26" s="516"/>
      <c r="H26" s="516"/>
      <c r="I26" s="516"/>
      <c r="J26" s="516"/>
      <c r="K26" s="516"/>
      <c r="L26" s="516"/>
      <c r="M26" s="516"/>
      <c r="N26" s="516"/>
      <c r="O26" s="516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2:25" x14ac:dyDescent="0.2">
      <c r="B27" s="1"/>
      <c r="C27" s="516"/>
      <c r="D27" s="516"/>
      <c r="E27" s="516"/>
      <c r="F27" s="516"/>
      <c r="G27" s="516"/>
      <c r="H27" s="516"/>
      <c r="I27" s="516"/>
      <c r="J27" s="516"/>
      <c r="K27" s="516"/>
      <c r="L27" s="516"/>
      <c r="M27" s="516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2:25" ht="15" thickBot="1" x14ac:dyDescent="0.25">
      <c r="B28" s="1"/>
      <c r="C28" s="2265" t="s">
        <v>86</v>
      </c>
      <c r="D28" s="2265"/>
      <c r="E28" s="2265"/>
      <c r="F28" s="2265"/>
      <c r="G28" s="519"/>
      <c r="H28" s="334"/>
      <c r="I28" s="334"/>
      <c r="J28" s="334"/>
      <c r="K28" s="519"/>
      <c r="L28" s="336"/>
      <c r="M28" s="336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2:25" ht="22.5" x14ac:dyDescent="0.2">
      <c r="B29" s="1"/>
      <c r="C29" s="337" t="s">
        <v>87</v>
      </c>
      <c r="D29" s="514" t="s">
        <v>88</v>
      </c>
      <c r="E29" s="514" t="s">
        <v>89</v>
      </c>
      <c r="F29" s="514" t="s">
        <v>20</v>
      </c>
      <c r="G29" s="514" t="s">
        <v>160</v>
      </c>
      <c r="H29" s="514" t="s">
        <v>90</v>
      </c>
      <c r="I29" s="514" t="s">
        <v>91</v>
      </c>
      <c r="J29" s="514" t="s">
        <v>92</v>
      </c>
      <c r="K29" s="514" t="s">
        <v>93</v>
      </c>
      <c r="L29" s="514" t="s">
        <v>94</v>
      </c>
      <c r="M29" s="515" t="s">
        <v>95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2:25" x14ac:dyDescent="0.2">
      <c r="B30" s="1"/>
      <c r="C30" s="338"/>
      <c r="D30" s="339">
        <v>0</v>
      </c>
      <c r="E30" s="339" t="s">
        <v>96</v>
      </c>
      <c r="F30" s="340" t="s">
        <v>97</v>
      </c>
      <c r="G30" s="340">
        <v>2201</v>
      </c>
      <c r="H30" s="339">
        <v>20823</v>
      </c>
      <c r="I30" s="341">
        <v>0</v>
      </c>
      <c r="J30" s="339">
        <v>138.15</v>
      </c>
      <c r="K30" s="342">
        <v>0</v>
      </c>
      <c r="L30" s="343">
        <f>ROUND(K30*E$10,2)</f>
        <v>0</v>
      </c>
      <c r="M30" s="344">
        <f>L30*$I$10</f>
        <v>0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2:25" x14ac:dyDescent="0.2">
      <c r="B31" s="1"/>
      <c r="C31" s="338"/>
      <c r="D31" s="339">
        <v>0</v>
      </c>
      <c r="E31" s="339" t="s">
        <v>98</v>
      </c>
      <c r="F31" s="340" t="s">
        <v>97</v>
      </c>
      <c r="G31" s="340">
        <v>2201</v>
      </c>
      <c r="H31" s="339">
        <v>20824</v>
      </c>
      <c r="I31" s="341">
        <v>0</v>
      </c>
      <c r="J31" s="339">
        <v>138.15</v>
      </c>
      <c r="K31" s="342">
        <v>0</v>
      </c>
      <c r="L31" s="343">
        <f>ROUND(K31*E$10,2)</f>
        <v>0</v>
      </c>
      <c r="M31" s="344">
        <f>L31*$I$10</f>
        <v>0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2:25" x14ac:dyDescent="0.2">
      <c r="B32" s="1"/>
      <c r="C32" s="338"/>
      <c r="D32" s="339">
        <v>0</v>
      </c>
      <c r="E32" s="339" t="s">
        <v>99</v>
      </c>
      <c r="F32" s="340" t="s">
        <v>100</v>
      </c>
      <c r="G32" s="340">
        <v>2230</v>
      </c>
      <c r="H32" s="339">
        <v>22228</v>
      </c>
      <c r="I32" s="341">
        <v>0</v>
      </c>
      <c r="J32" s="339">
        <v>130.80000000000001</v>
      </c>
      <c r="K32" s="342">
        <v>0</v>
      </c>
      <c r="L32" s="343">
        <f>ROUND(K32*E$10,2)</f>
        <v>0</v>
      </c>
      <c r="M32" s="344">
        <f>L32*$I$10</f>
        <v>0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2:25" x14ac:dyDescent="0.2">
      <c r="B33" s="1"/>
      <c r="C33" s="338">
        <v>800762390</v>
      </c>
      <c r="D33" s="339">
        <v>3</v>
      </c>
      <c r="E33" s="354" t="s">
        <v>101</v>
      </c>
      <c r="F33" s="463" t="s">
        <v>194</v>
      </c>
      <c r="G33" s="463">
        <v>2044</v>
      </c>
      <c r="H33" s="354">
        <v>591000420</v>
      </c>
      <c r="I33" s="341">
        <v>80000</v>
      </c>
      <c r="J33" s="339"/>
      <c r="K33" s="342">
        <v>0.09</v>
      </c>
      <c r="L33" s="343">
        <f>ROUND(K33*E$10,2)</f>
        <v>416515.33</v>
      </c>
      <c r="M33" s="344">
        <f>L33*$I$10</f>
        <v>7913791.2700000005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2:25" ht="15" thickBot="1" x14ac:dyDescent="0.25">
      <c r="B34" s="1"/>
      <c r="C34" s="345">
        <v>800642440</v>
      </c>
      <c r="D34" s="346">
        <v>5</v>
      </c>
      <c r="E34" s="347" t="s">
        <v>101</v>
      </c>
      <c r="F34" s="348" t="s">
        <v>159</v>
      </c>
      <c r="G34" s="348">
        <v>2277</v>
      </c>
      <c r="H34" s="347">
        <v>22770</v>
      </c>
      <c r="I34" s="349">
        <f>850000-I30-I31-I32-I33</f>
        <v>770000</v>
      </c>
      <c r="J34" s="346"/>
      <c r="K34" s="350">
        <v>0.91</v>
      </c>
      <c r="L34" s="351">
        <f>ROUND(K34*E$10,2)</f>
        <v>4211432.75</v>
      </c>
      <c r="M34" s="352">
        <f>L34*$I$10</f>
        <v>80017222.25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2:25" x14ac:dyDescent="0.2">
      <c r="B35" s="1"/>
      <c r="C35" s="406">
        <v>3000623</v>
      </c>
      <c r="D35" s="353" t="s">
        <v>102</v>
      </c>
      <c r="E35" s="353"/>
      <c r="F35" s="353"/>
      <c r="G35" s="353"/>
      <c r="H35" s="354"/>
      <c r="I35" s="355">
        <f>SUM(I30:I34)</f>
        <v>850000</v>
      </c>
      <c r="J35" s="353"/>
      <c r="K35" s="356">
        <f>SUM(K30:K34)</f>
        <v>1</v>
      </c>
      <c r="L35" s="357">
        <f>SUM(L30:L34)</f>
        <v>4627948.08</v>
      </c>
      <c r="M35" s="357">
        <f>SUM(M30:M34)</f>
        <v>87931013.519999996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2:25" x14ac:dyDescent="0.2">
      <c r="B36" s="1"/>
      <c r="C36" s="336"/>
      <c r="D36" s="336"/>
      <c r="E36" s="336"/>
      <c r="F36" s="358"/>
      <c r="G36" s="358"/>
      <c r="H36" s="336"/>
      <c r="I36" s="336"/>
      <c r="J36" s="336"/>
      <c r="K36" s="336"/>
      <c r="L36" s="359"/>
      <c r="M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2:25" x14ac:dyDescent="0.2">
      <c r="B37" s="1"/>
      <c r="C37" s="336"/>
      <c r="D37" s="336"/>
      <c r="E37" s="336"/>
      <c r="F37" s="358"/>
      <c r="G37" s="358"/>
      <c r="H37" s="336"/>
      <c r="I37" s="336"/>
      <c r="J37" s="336"/>
      <c r="K37" s="336"/>
      <c r="L37" s="359"/>
      <c r="M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2:25" x14ac:dyDescent="0.2">
      <c r="B38" s="1"/>
      <c r="C38" s="336"/>
      <c r="D38" s="336"/>
      <c r="E38" s="336"/>
      <c r="F38" s="358"/>
      <c r="G38" s="358"/>
      <c r="H38" s="336"/>
      <c r="I38" s="336"/>
      <c r="J38" s="336"/>
      <c r="K38" s="336"/>
      <c r="L38" s="359"/>
      <c r="M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2:25" ht="15" thickBot="1" x14ac:dyDescent="0.25">
      <c r="B39" s="1"/>
      <c r="C39" s="2266" t="s">
        <v>103</v>
      </c>
      <c r="D39" s="2266"/>
      <c r="E39" s="2266"/>
      <c r="F39" s="2266"/>
      <c r="G39" s="519"/>
      <c r="H39" s="334"/>
      <c r="I39" s="334"/>
      <c r="J39" s="334"/>
      <c r="K39" s="336"/>
      <c r="L39" s="336"/>
      <c r="M39" s="360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2:25" ht="22.5" x14ac:dyDescent="0.2">
      <c r="B40" s="1"/>
      <c r="C40" s="337" t="s">
        <v>87</v>
      </c>
      <c r="D40" s="514" t="s">
        <v>88</v>
      </c>
      <c r="E40" s="514" t="s">
        <v>89</v>
      </c>
      <c r="F40" s="514" t="s">
        <v>20</v>
      </c>
      <c r="G40" s="514"/>
      <c r="H40" s="514" t="s">
        <v>90</v>
      </c>
      <c r="I40" s="514" t="s">
        <v>104</v>
      </c>
      <c r="J40" s="514" t="s">
        <v>93</v>
      </c>
      <c r="K40" s="514" t="s">
        <v>92</v>
      </c>
      <c r="L40" s="514" t="s">
        <v>94</v>
      </c>
      <c r="M40" s="515" t="s">
        <v>95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2:25" x14ac:dyDescent="0.2">
      <c r="B41" s="1"/>
      <c r="C41" s="338"/>
      <c r="D41" s="339">
        <v>0</v>
      </c>
      <c r="E41" s="339" t="s">
        <v>96</v>
      </c>
      <c r="F41" s="340" t="s">
        <v>97</v>
      </c>
      <c r="G41" s="340"/>
      <c r="H41" s="339">
        <v>20823</v>
      </c>
      <c r="I41" s="341">
        <f>M80</f>
        <v>0</v>
      </c>
      <c r="J41" s="342">
        <v>0</v>
      </c>
      <c r="K41" s="339">
        <v>138.15</v>
      </c>
      <c r="L41" s="343">
        <f>ROUND(J41*$E$11,2)</f>
        <v>0</v>
      </c>
      <c r="M41" s="344">
        <f>L41*L24</f>
        <v>0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2:25" x14ac:dyDescent="0.2">
      <c r="B42" s="1"/>
      <c r="C42" s="338"/>
      <c r="D42" s="339">
        <v>0</v>
      </c>
      <c r="E42" s="339" t="s">
        <v>98</v>
      </c>
      <c r="F42" s="340" t="s">
        <v>97</v>
      </c>
      <c r="G42" s="340"/>
      <c r="H42" s="339">
        <v>20824</v>
      </c>
      <c r="I42" s="341">
        <f>N80</f>
        <v>0</v>
      </c>
      <c r="J42" s="342">
        <v>0</v>
      </c>
      <c r="K42" s="339">
        <v>138.15</v>
      </c>
      <c r="L42" s="343">
        <f>ROUND(J42*$E$11,2)</f>
        <v>0</v>
      </c>
      <c r="M42" s="344">
        <f>L42*L25</f>
        <v>0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2:25" x14ac:dyDescent="0.2">
      <c r="B43" s="1"/>
      <c r="C43" s="338"/>
      <c r="D43" s="339">
        <v>0</v>
      </c>
      <c r="E43" s="339" t="s">
        <v>99</v>
      </c>
      <c r="F43" s="340" t="s">
        <v>100</v>
      </c>
      <c r="G43" s="340"/>
      <c r="H43" s="339">
        <v>22228</v>
      </c>
      <c r="I43" s="341">
        <f>O80</f>
        <v>0</v>
      </c>
      <c r="J43" s="342">
        <v>0</v>
      </c>
      <c r="K43" s="339">
        <v>130.80000000000001</v>
      </c>
      <c r="L43" s="343">
        <f>ROUND(J43*$E$11,2)</f>
        <v>0</v>
      </c>
      <c r="M43" s="344">
        <f>L43*L26</f>
        <v>0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2:25" ht="15" thickBot="1" x14ac:dyDescent="0.25">
      <c r="B44" s="1"/>
      <c r="C44" s="345">
        <v>800762390</v>
      </c>
      <c r="D44" s="346">
        <v>4</v>
      </c>
      <c r="E44" s="347" t="s">
        <v>101</v>
      </c>
      <c r="F44" s="348" t="s">
        <v>194</v>
      </c>
      <c r="G44" s="348"/>
      <c r="H44" s="347"/>
      <c r="I44" s="349">
        <f>L80</f>
        <v>2218375.9019999998</v>
      </c>
      <c r="J44" s="350">
        <v>1</v>
      </c>
      <c r="K44" s="346">
        <v>138.15</v>
      </c>
      <c r="L44" s="351">
        <f>ROUND(J44*$E$11,2)</f>
        <v>2037.73</v>
      </c>
      <c r="M44" s="352">
        <f>L44*L27</f>
        <v>0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2:25" x14ac:dyDescent="0.2">
      <c r="B45" s="1"/>
      <c r="C45" s="353"/>
      <c r="D45" s="353"/>
      <c r="E45" s="353"/>
      <c r="F45" s="353"/>
      <c r="G45" s="353"/>
      <c r="H45" s="354"/>
      <c r="I45" s="449">
        <f>SUM(I41:I44)</f>
        <v>2218375.9019999998</v>
      </c>
      <c r="J45" s="355"/>
      <c r="K45" s="353"/>
      <c r="L45" s="357">
        <f>SUM(L41:L44)</f>
        <v>2037.73</v>
      </c>
      <c r="M45" s="357">
        <f>SUM(M41:M44)</f>
        <v>0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2:25" customFormat="1" ht="15" thickBot="1" x14ac:dyDescent="0.25">
      <c r="M46" s="450"/>
      <c r="N46" s="450"/>
      <c r="O46" s="450"/>
      <c r="P46" s="450"/>
      <c r="Q46" s="450"/>
      <c r="R46" s="450"/>
      <c r="S46" s="450"/>
      <c r="T46" s="450"/>
      <c r="U46" s="450"/>
      <c r="V46" s="450"/>
      <c r="W46" s="450"/>
      <c r="X46" s="450"/>
      <c r="Y46" s="450"/>
    </row>
    <row r="47" spans="2:25" ht="15" thickBot="1" x14ac:dyDescent="0.25">
      <c r="B47" s="434" t="s">
        <v>3</v>
      </c>
      <c r="C47" s="333">
        <f>SUMIF(Tarifas!E4:E303,'Junio - 2014'!C49,Tarifas!D4:D303)</f>
        <v>11</v>
      </c>
      <c r="D47" s="425" t="s">
        <v>147</v>
      </c>
      <c r="E47" s="426" t="s">
        <v>145</v>
      </c>
      <c r="F47" s="426" t="s">
        <v>150</v>
      </c>
      <c r="G47" s="426" t="s">
        <v>148</v>
      </c>
      <c r="H47" s="382"/>
      <c r="I47" s="331" t="s">
        <v>120</v>
      </c>
      <c r="J47" s="332"/>
      <c r="K47" s="332"/>
      <c r="L47" s="364" t="s">
        <v>105</v>
      </c>
      <c r="M47" s="365"/>
      <c r="N47" s="365"/>
      <c r="O47" s="365"/>
      <c r="P47" s="365"/>
      <c r="Q47" s="365"/>
      <c r="R47" s="366"/>
      <c r="S47" s="2267" t="s">
        <v>121</v>
      </c>
      <c r="T47" s="2268"/>
      <c r="U47" s="2268"/>
      <c r="V47" s="2268"/>
      <c r="W47" s="2268"/>
      <c r="X47" s="2268"/>
      <c r="Y47" s="2269"/>
    </row>
    <row r="48" spans="2:25" ht="33.75" x14ac:dyDescent="0.2">
      <c r="C48" s="383" t="s">
        <v>122</v>
      </c>
      <c r="D48" s="384" t="s">
        <v>125</v>
      </c>
      <c r="E48" s="385" t="s">
        <v>149</v>
      </c>
      <c r="F48" s="385" t="s">
        <v>151</v>
      </c>
      <c r="G48" s="385" t="s">
        <v>152</v>
      </c>
      <c r="H48" s="386" t="s">
        <v>123</v>
      </c>
      <c r="I48" s="329" t="s">
        <v>109</v>
      </c>
      <c r="J48" s="330" t="s">
        <v>25</v>
      </c>
      <c r="K48" s="330" t="s">
        <v>26</v>
      </c>
      <c r="L48" s="367" t="s">
        <v>115</v>
      </c>
      <c r="M48" s="362" t="s">
        <v>106</v>
      </c>
      <c r="N48" s="362" t="s">
        <v>107</v>
      </c>
      <c r="O48" s="362" t="s">
        <v>108</v>
      </c>
      <c r="P48" s="362" t="s">
        <v>115</v>
      </c>
      <c r="Q48" s="363" t="s">
        <v>116</v>
      </c>
      <c r="R48" s="368" t="s">
        <v>117</v>
      </c>
      <c r="S48" s="369" t="s">
        <v>110</v>
      </c>
      <c r="T48" s="370" t="s">
        <v>111</v>
      </c>
      <c r="U48" s="370" t="s">
        <v>112</v>
      </c>
      <c r="V48" s="371" t="s">
        <v>118</v>
      </c>
      <c r="W48" s="371" t="s">
        <v>119</v>
      </c>
      <c r="X48" s="371" t="s">
        <v>114</v>
      </c>
      <c r="Y48" s="372" t="s">
        <v>113</v>
      </c>
    </row>
    <row r="49" spans="3:25" x14ac:dyDescent="0.2">
      <c r="C49" s="387">
        <f>G7</f>
        <v>41791</v>
      </c>
      <c r="D49" s="388">
        <f>($F$24*$H$24)/$G$24</f>
        <v>145869.56533333333</v>
      </c>
      <c r="E49" s="389">
        <f>P49+Q49+R49</f>
        <v>71718.47</v>
      </c>
      <c r="F49" s="427">
        <f t="shared" ref="F49:F78" si="0">TRUNC(IFERROR(J$24/K$24,0),8)</f>
        <v>0.91857</v>
      </c>
      <c r="G49" s="390">
        <f t="shared" ref="G49:G78" si="1">ROUND(I$24*F49*E49,4)</f>
        <v>65.878399999999999</v>
      </c>
      <c r="H49" s="391">
        <f t="shared" ref="H49:H78" si="2">SUM(D49:G49)</f>
        <v>217654.83230333333</v>
      </c>
      <c r="I49" s="324">
        <v>72955</v>
      </c>
      <c r="J49" s="325"/>
      <c r="K49" s="325"/>
      <c r="L49" s="317">
        <v>71718.47</v>
      </c>
      <c r="M49" s="318"/>
      <c r="N49" s="318"/>
      <c r="O49" s="318"/>
      <c r="P49" s="389">
        <f>L49</f>
        <v>71718.47</v>
      </c>
      <c r="Q49" s="389">
        <f t="shared" ref="Q49:Q78" si="3">M49+N49</f>
        <v>0</v>
      </c>
      <c r="R49" s="389">
        <f t="shared" ref="R49:R78" si="4">O49</f>
        <v>0</v>
      </c>
      <c r="S49" s="373"/>
      <c r="T49" s="374"/>
      <c r="U49" s="18">
        <f>S49+T49-V49</f>
        <v>-72955</v>
      </c>
      <c r="V49" s="377">
        <f>I49+J49+K49</f>
        <v>72955</v>
      </c>
      <c r="W49" s="18">
        <f>(P49+Q49+R49)*1.055056</f>
        <v>75667.002084320004</v>
      </c>
      <c r="X49" s="377">
        <f>V49-W49</f>
        <v>-2712.0020843200036</v>
      </c>
      <c r="Y49" s="378">
        <f>AL46+X49</f>
        <v>-2712.0020843200036</v>
      </c>
    </row>
    <row r="50" spans="3:25" x14ac:dyDescent="0.2">
      <c r="C50" s="387">
        <f t="shared" ref="C50:C78" si="5">C49+1</f>
        <v>41792</v>
      </c>
      <c r="D50" s="388">
        <f t="shared" ref="D50:D78" si="6">($F$24*$H$24)/$G$24</f>
        <v>145869.56533333333</v>
      </c>
      <c r="E50" s="392">
        <f t="shared" ref="E50:E78" si="7">P50+Q50+R50</f>
        <v>74578.45</v>
      </c>
      <c r="F50" s="428">
        <f t="shared" si="0"/>
        <v>0.91857</v>
      </c>
      <c r="G50" s="390">
        <f t="shared" si="1"/>
        <v>68.505499999999998</v>
      </c>
      <c r="H50" s="391">
        <f t="shared" si="2"/>
        <v>220517.43940333335</v>
      </c>
      <c r="I50" s="324">
        <v>72955</v>
      </c>
      <c r="J50" s="325"/>
      <c r="K50" s="325"/>
      <c r="L50" s="319">
        <v>74578.45</v>
      </c>
      <c r="M50" s="320"/>
      <c r="N50" s="320"/>
      <c r="O50" s="320"/>
      <c r="P50" s="392">
        <f t="shared" ref="P50:P78" si="8">L50</f>
        <v>74578.45</v>
      </c>
      <c r="Q50" s="392">
        <f t="shared" si="3"/>
        <v>0</v>
      </c>
      <c r="R50" s="392">
        <f t="shared" si="4"/>
        <v>0</v>
      </c>
      <c r="S50" s="373"/>
      <c r="T50" s="374"/>
      <c r="U50" s="18">
        <f t="shared" ref="U50:U78" si="9">S50+T50-V50</f>
        <v>-72955</v>
      </c>
      <c r="V50" s="377">
        <f t="shared" ref="V50:V78" si="10">I50+J50+K50</f>
        <v>72955</v>
      </c>
      <c r="W50" s="18">
        <f t="shared" ref="W50:W78" si="11">(P50+Q50+R50)*1.055056</f>
        <v>78684.441143199991</v>
      </c>
      <c r="X50" s="377">
        <f t="shared" ref="X50:X78" si="12">V50-W50</f>
        <v>-5729.4411431999906</v>
      </c>
      <c r="Y50" s="378">
        <f>Y49+X50</f>
        <v>-8441.4432275199943</v>
      </c>
    </row>
    <row r="51" spans="3:25" x14ac:dyDescent="0.2">
      <c r="C51" s="387">
        <f t="shared" si="5"/>
        <v>41793</v>
      </c>
      <c r="D51" s="388">
        <f t="shared" si="6"/>
        <v>145869.56533333333</v>
      </c>
      <c r="E51" s="392">
        <f t="shared" si="7"/>
        <v>71394.45</v>
      </c>
      <c r="F51" s="428">
        <f t="shared" si="0"/>
        <v>0.91857</v>
      </c>
      <c r="G51" s="390">
        <f t="shared" si="1"/>
        <v>65.580799999999996</v>
      </c>
      <c r="H51" s="391">
        <f t="shared" si="2"/>
        <v>217330.51470333335</v>
      </c>
      <c r="I51" s="324">
        <v>72955</v>
      </c>
      <c r="J51" s="325"/>
      <c r="K51" s="325"/>
      <c r="L51" s="317">
        <v>71394.45</v>
      </c>
      <c r="M51" s="318"/>
      <c r="N51" s="318"/>
      <c r="O51" s="318"/>
      <c r="P51" s="392">
        <f t="shared" si="8"/>
        <v>71394.45</v>
      </c>
      <c r="Q51" s="392">
        <f t="shared" si="3"/>
        <v>0</v>
      </c>
      <c r="R51" s="392">
        <f t="shared" si="4"/>
        <v>0</v>
      </c>
      <c r="S51" s="373"/>
      <c r="T51" s="374"/>
      <c r="U51" s="18">
        <f t="shared" si="9"/>
        <v>-72955</v>
      </c>
      <c r="V51" s="377">
        <f t="shared" si="10"/>
        <v>72955</v>
      </c>
      <c r="W51" s="18">
        <f t="shared" si="11"/>
        <v>75325.142839199994</v>
      </c>
      <c r="X51" s="377">
        <f t="shared" si="12"/>
        <v>-2370.1428391999943</v>
      </c>
      <c r="Y51" s="378">
        <f t="shared" ref="Y51:Y78" si="13">Y50+X51</f>
        <v>-10811.586066719989</v>
      </c>
    </row>
    <row r="52" spans="3:25" x14ac:dyDescent="0.2">
      <c r="C52" s="387">
        <f t="shared" si="5"/>
        <v>41794</v>
      </c>
      <c r="D52" s="388">
        <f t="shared" si="6"/>
        <v>145869.56533333333</v>
      </c>
      <c r="E52" s="392">
        <f t="shared" si="7"/>
        <v>71682.98</v>
      </c>
      <c r="F52" s="428">
        <f t="shared" si="0"/>
        <v>0.91857</v>
      </c>
      <c r="G52" s="390">
        <f t="shared" si="1"/>
        <v>65.845799999999997</v>
      </c>
      <c r="H52" s="391">
        <f t="shared" si="2"/>
        <v>217619.30970333333</v>
      </c>
      <c r="I52" s="324">
        <v>72955</v>
      </c>
      <c r="J52" s="325"/>
      <c r="K52" s="325"/>
      <c r="L52" s="319">
        <v>71682.98</v>
      </c>
      <c r="M52" s="320"/>
      <c r="N52" s="320"/>
      <c r="O52" s="320"/>
      <c r="P52" s="392">
        <f t="shared" si="8"/>
        <v>71682.98</v>
      </c>
      <c r="Q52" s="392">
        <f t="shared" si="3"/>
        <v>0</v>
      </c>
      <c r="R52" s="392">
        <f t="shared" si="4"/>
        <v>0</v>
      </c>
      <c r="S52" s="373"/>
      <c r="T52" s="374"/>
      <c r="U52" s="18">
        <f t="shared" si="9"/>
        <v>-72955</v>
      </c>
      <c r="V52" s="377">
        <f t="shared" si="10"/>
        <v>72955</v>
      </c>
      <c r="W52" s="18">
        <f t="shared" si="11"/>
        <v>75629.558146879994</v>
      </c>
      <c r="X52" s="377">
        <f t="shared" si="12"/>
        <v>-2674.5581468799937</v>
      </c>
      <c r="Y52" s="378">
        <f t="shared" si="13"/>
        <v>-13486.144213599982</v>
      </c>
    </row>
    <row r="53" spans="3:25" x14ac:dyDescent="0.2">
      <c r="C53" s="387">
        <f t="shared" si="5"/>
        <v>41795</v>
      </c>
      <c r="D53" s="388">
        <f t="shared" si="6"/>
        <v>145869.56533333333</v>
      </c>
      <c r="E53" s="392">
        <f t="shared" si="7"/>
        <v>71861.98</v>
      </c>
      <c r="F53" s="428">
        <f t="shared" si="0"/>
        <v>0.91857</v>
      </c>
      <c r="G53" s="390">
        <f t="shared" si="1"/>
        <v>66.010300000000001</v>
      </c>
      <c r="H53" s="391">
        <f t="shared" si="2"/>
        <v>217798.47420333332</v>
      </c>
      <c r="I53" s="324">
        <v>72955</v>
      </c>
      <c r="J53" s="325"/>
      <c r="K53" s="325"/>
      <c r="L53" s="317">
        <v>71861.98</v>
      </c>
      <c r="M53" s="318"/>
      <c r="N53" s="318"/>
      <c r="O53" s="318"/>
      <c r="P53" s="392">
        <f t="shared" si="8"/>
        <v>71861.98</v>
      </c>
      <c r="Q53" s="392">
        <f t="shared" si="3"/>
        <v>0</v>
      </c>
      <c r="R53" s="392">
        <f t="shared" si="4"/>
        <v>0</v>
      </c>
      <c r="S53" s="373"/>
      <c r="T53" s="374"/>
      <c r="U53" s="18">
        <f t="shared" si="9"/>
        <v>-72955</v>
      </c>
      <c r="V53" s="377">
        <f t="shared" si="10"/>
        <v>72955</v>
      </c>
      <c r="W53" s="18">
        <f t="shared" si="11"/>
        <v>75818.413170879998</v>
      </c>
      <c r="X53" s="377">
        <f t="shared" si="12"/>
        <v>-2863.4131708799978</v>
      </c>
      <c r="Y53" s="378">
        <f t="shared" si="13"/>
        <v>-16349.55738447998</v>
      </c>
    </row>
    <row r="54" spans="3:25" x14ac:dyDescent="0.2">
      <c r="C54" s="387">
        <f t="shared" si="5"/>
        <v>41796</v>
      </c>
      <c r="D54" s="388">
        <f t="shared" si="6"/>
        <v>145869.56533333333</v>
      </c>
      <c r="E54" s="392">
        <f t="shared" si="7"/>
        <v>72707.69</v>
      </c>
      <c r="F54" s="428">
        <f t="shared" si="0"/>
        <v>0.91857</v>
      </c>
      <c r="G54" s="390">
        <f t="shared" si="1"/>
        <v>66.787099999999995</v>
      </c>
      <c r="H54" s="391">
        <f t="shared" si="2"/>
        <v>218644.96100333333</v>
      </c>
      <c r="I54" s="324">
        <v>72955</v>
      </c>
      <c r="J54" s="325"/>
      <c r="K54" s="325"/>
      <c r="L54" s="319">
        <v>72707.69</v>
      </c>
      <c r="M54" s="320"/>
      <c r="N54" s="320"/>
      <c r="O54" s="320"/>
      <c r="P54" s="392">
        <f t="shared" si="8"/>
        <v>72707.69</v>
      </c>
      <c r="Q54" s="392">
        <f t="shared" si="3"/>
        <v>0</v>
      </c>
      <c r="R54" s="392">
        <f t="shared" si="4"/>
        <v>0</v>
      </c>
      <c r="S54" s="373"/>
      <c r="T54" s="374"/>
      <c r="U54" s="18">
        <f t="shared" si="9"/>
        <v>-72955</v>
      </c>
      <c r="V54" s="377">
        <f t="shared" si="10"/>
        <v>72955</v>
      </c>
      <c r="W54" s="18">
        <f t="shared" si="11"/>
        <v>76710.684580640009</v>
      </c>
      <c r="X54" s="377">
        <f t="shared" si="12"/>
        <v>-3755.6845806400088</v>
      </c>
      <c r="Y54" s="378">
        <f t="shared" si="13"/>
        <v>-20105.241965119989</v>
      </c>
    </row>
    <row r="55" spans="3:25" x14ac:dyDescent="0.2">
      <c r="C55" s="387">
        <f t="shared" si="5"/>
        <v>41797</v>
      </c>
      <c r="D55" s="388">
        <f t="shared" si="6"/>
        <v>145869.56533333333</v>
      </c>
      <c r="E55" s="392">
        <f t="shared" si="7"/>
        <v>74240.62</v>
      </c>
      <c r="F55" s="428">
        <f t="shared" si="0"/>
        <v>0.91857</v>
      </c>
      <c r="G55" s="390">
        <f t="shared" si="1"/>
        <v>68.1952</v>
      </c>
      <c r="H55" s="391">
        <f t="shared" si="2"/>
        <v>220179.29910333332</v>
      </c>
      <c r="I55" s="324">
        <v>72955</v>
      </c>
      <c r="J55" s="325"/>
      <c r="K55" s="325"/>
      <c r="L55" s="317">
        <v>74240.62</v>
      </c>
      <c r="M55" s="318"/>
      <c r="N55" s="318"/>
      <c r="O55" s="318"/>
      <c r="P55" s="392">
        <f t="shared" si="8"/>
        <v>74240.62</v>
      </c>
      <c r="Q55" s="392">
        <f t="shared" si="3"/>
        <v>0</v>
      </c>
      <c r="R55" s="392">
        <f t="shared" si="4"/>
        <v>0</v>
      </c>
      <c r="S55" s="373"/>
      <c r="T55" s="374"/>
      <c r="U55" s="18">
        <f t="shared" si="9"/>
        <v>-72955</v>
      </c>
      <c r="V55" s="377">
        <f t="shared" si="10"/>
        <v>72955</v>
      </c>
      <c r="W55" s="18">
        <f t="shared" si="11"/>
        <v>78328.011574719989</v>
      </c>
      <c r="X55" s="377">
        <f t="shared" si="12"/>
        <v>-5373.0115747199889</v>
      </c>
      <c r="Y55" s="378">
        <f t="shared" si="13"/>
        <v>-25478.253539839978</v>
      </c>
    </row>
    <row r="56" spans="3:25" x14ac:dyDescent="0.2">
      <c r="C56" s="387">
        <f t="shared" si="5"/>
        <v>41798</v>
      </c>
      <c r="D56" s="388">
        <f t="shared" si="6"/>
        <v>145869.56533333333</v>
      </c>
      <c r="E56" s="392">
        <f t="shared" si="7"/>
        <v>74626.63</v>
      </c>
      <c r="F56" s="428">
        <f t="shared" si="0"/>
        <v>0.91857</v>
      </c>
      <c r="G56" s="390">
        <f t="shared" si="1"/>
        <v>68.549800000000005</v>
      </c>
      <c r="H56" s="391">
        <f t="shared" si="2"/>
        <v>220565.66370333335</v>
      </c>
      <c r="I56" s="324">
        <v>71000</v>
      </c>
      <c r="J56" s="325"/>
      <c r="K56" s="325"/>
      <c r="L56" s="319">
        <v>74626.63</v>
      </c>
      <c r="M56" s="320"/>
      <c r="N56" s="320"/>
      <c r="O56" s="320"/>
      <c r="P56" s="392">
        <f t="shared" si="8"/>
        <v>74626.63</v>
      </c>
      <c r="Q56" s="392">
        <f t="shared" si="3"/>
        <v>0</v>
      </c>
      <c r="R56" s="392">
        <f t="shared" si="4"/>
        <v>0</v>
      </c>
      <c r="S56" s="373"/>
      <c r="T56" s="374"/>
      <c r="U56" s="18">
        <f t="shared" si="9"/>
        <v>-71000</v>
      </c>
      <c r="V56" s="377">
        <f t="shared" si="10"/>
        <v>71000</v>
      </c>
      <c r="W56" s="18">
        <f t="shared" si="11"/>
        <v>78735.273741280005</v>
      </c>
      <c r="X56" s="377">
        <f t="shared" si="12"/>
        <v>-7735.2737412800052</v>
      </c>
      <c r="Y56" s="378">
        <f t="shared" si="13"/>
        <v>-33213.527281119983</v>
      </c>
    </row>
    <row r="57" spans="3:25" x14ac:dyDescent="0.2">
      <c r="C57" s="387">
        <f t="shared" si="5"/>
        <v>41799</v>
      </c>
      <c r="D57" s="388">
        <f t="shared" si="6"/>
        <v>145869.56533333333</v>
      </c>
      <c r="E57" s="392">
        <f t="shared" si="7"/>
        <v>69775.55</v>
      </c>
      <c r="F57" s="428">
        <f t="shared" si="0"/>
        <v>0.91857</v>
      </c>
      <c r="G57" s="390">
        <f t="shared" si="1"/>
        <v>64.093699999999998</v>
      </c>
      <c r="H57" s="391">
        <f t="shared" si="2"/>
        <v>215710.12760333333</v>
      </c>
      <c r="I57" s="324">
        <v>69000</v>
      </c>
      <c r="J57" s="325"/>
      <c r="K57" s="325"/>
      <c r="L57" s="317">
        <v>69775.55</v>
      </c>
      <c r="M57" s="318"/>
      <c r="N57" s="318"/>
      <c r="O57" s="318"/>
      <c r="P57" s="392">
        <f t="shared" si="8"/>
        <v>69775.55</v>
      </c>
      <c r="Q57" s="392">
        <f t="shared" si="3"/>
        <v>0</v>
      </c>
      <c r="R57" s="392">
        <f t="shared" si="4"/>
        <v>0</v>
      </c>
      <c r="S57" s="373"/>
      <c r="T57" s="374"/>
      <c r="U57" s="18">
        <f t="shared" si="9"/>
        <v>-69000</v>
      </c>
      <c r="V57" s="377">
        <f t="shared" si="10"/>
        <v>69000</v>
      </c>
      <c r="W57" s="18">
        <f t="shared" si="11"/>
        <v>73617.112680799997</v>
      </c>
      <c r="X57" s="377">
        <f t="shared" si="12"/>
        <v>-4617.1126807999972</v>
      </c>
      <c r="Y57" s="378">
        <f t="shared" si="13"/>
        <v>-37830.63996191998</v>
      </c>
    </row>
    <row r="58" spans="3:25" x14ac:dyDescent="0.2">
      <c r="C58" s="387">
        <f t="shared" si="5"/>
        <v>41800</v>
      </c>
      <c r="D58" s="388">
        <f t="shared" si="6"/>
        <v>145869.56533333333</v>
      </c>
      <c r="E58" s="392">
        <f t="shared" si="7"/>
        <v>74755.66</v>
      </c>
      <c r="F58" s="428">
        <f t="shared" si="0"/>
        <v>0.91857</v>
      </c>
      <c r="G58" s="390">
        <f t="shared" si="1"/>
        <v>68.668300000000002</v>
      </c>
      <c r="H58" s="391">
        <f t="shared" si="2"/>
        <v>220694.81220333333</v>
      </c>
      <c r="I58" s="324">
        <v>69000</v>
      </c>
      <c r="J58" s="325"/>
      <c r="K58" s="325"/>
      <c r="L58" s="319">
        <v>74755.66</v>
      </c>
      <c r="M58" s="320"/>
      <c r="N58" s="320"/>
      <c r="O58" s="320"/>
      <c r="P58" s="392">
        <f t="shared" si="8"/>
        <v>74755.66</v>
      </c>
      <c r="Q58" s="392">
        <f t="shared" si="3"/>
        <v>0</v>
      </c>
      <c r="R58" s="392">
        <f t="shared" si="4"/>
        <v>0</v>
      </c>
      <c r="S58" s="373"/>
      <c r="T58" s="374"/>
      <c r="U58" s="18">
        <f t="shared" si="9"/>
        <v>-69000</v>
      </c>
      <c r="V58" s="377">
        <f t="shared" si="10"/>
        <v>69000</v>
      </c>
      <c r="W58" s="18">
        <f t="shared" si="11"/>
        <v>78871.407616960001</v>
      </c>
      <c r="X58" s="377">
        <f t="shared" si="12"/>
        <v>-9871.4076169600012</v>
      </c>
      <c r="Y58" s="378">
        <f t="shared" si="13"/>
        <v>-47702.047578879981</v>
      </c>
    </row>
    <row r="59" spans="3:25" x14ac:dyDescent="0.2">
      <c r="C59" s="387">
        <f t="shared" si="5"/>
        <v>41801</v>
      </c>
      <c r="D59" s="388">
        <f t="shared" si="6"/>
        <v>145869.56533333333</v>
      </c>
      <c r="E59" s="392">
        <f t="shared" si="7"/>
        <v>73956.210000000006</v>
      </c>
      <c r="F59" s="428">
        <f t="shared" si="0"/>
        <v>0.91857</v>
      </c>
      <c r="G59" s="390">
        <f t="shared" si="1"/>
        <v>67.933999999999997</v>
      </c>
      <c r="H59" s="391">
        <f t="shared" si="2"/>
        <v>219894.62790333337</v>
      </c>
      <c r="I59" s="324">
        <v>69000</v>
      </c>
      <c r="J59" s="325"/>
      <c r="K59" s="325"/>
      <c r="L59" s="317">
        <v>73956.210000000006</v>
      </c>
      <c r="M59" s="318"/>
      <c r="N59" s="318"/>
      <c r="O59" s="318"/>
      <c r="P59" s="392">
        <f t="shared" si="8"/>
        <v>73956.210000000006</v>
      </c>
      <c r="Q59" s="392">
        <f t="shared" si="3"/>
        <v>0</v>
      </c>
      <c r="R59" s="392">
        <f t="shared" si="4"/>
        <v>0</v>
      </c>
      <c r="S59" s="373"/>
      <c r="T59" s="374"/>
      <c r="U59" s="18">
        <f t="shared" si="9"/>
        <v>-69000</v>
      </c>
      <c r="V59" s="377">
        <f t="shared" si="10"/>
        <v>69000</v>
      </c>
      <c r="W59" s="18">
        <f t="shared" si="11"/>
        <v>78027.943097760013</v>
      </c>
      <c r="X59" s="377">
        <f t="shared" si="12"/>
        <v>-9027.9430977600132</v>
      </c>
      <c r="Y59" s="378">
        <f t="shared" si="13"/>
        <v>-56729.990676639994</v>
      </c>
    </row>
    <row r="60" spans="3:25" x14ac:dyDescent="0.2">
      <c r="C60" s="387">
        <f t="shared" si="5"/>
        <v>41802</v>
      </c>
      <c r="D60" s="388">
        <f t="shared" si="6"/>
        <v>145869.56533333333</v>
      </c>
      <c r="E60" s="392">
        <f t="shared" si="7"/>
        <v>71889.56</v>
      </c>
      <c r="F60" s="428">
        <f t="shared" si="0"/>
        <v>0.91857</v>
      </c>
      <c r="G60" s="390">
        <f t="shared" si="1"/>
        <v>66.035600000000002</v>
      </c>
      <c r="H60" s="391">
        <f t="shared" si="2"/>
        <v>217826.07950333334</v>
      </c>
      <c r="I60" s="324">
        <v>69000</v>
      </c>
      <c r="J60" s="325"/>
      <c r="K60" s="325"/>
      <c r="L60" s="319">
        <v>71889.56</v>
      </c>
      <c r="M60" s="320"/>
      <c r="N60" s="320"/>
      <c r="O60" s="320"/>
      <c r="P60" s="392">
        <f t="shared" si="8"/>
        <v>71889.56</v>
      </c>
      <c r="Q60" s="392">
        <f t="shared" si="3"/>
        <v>0</v>
      </c>
      <c r="R60" s="392">
        <f t="shared" si="4"/>
        <v>0</v>
      </c>
      <c r="S60" s="373"/>
      <c r="T60" s="374"/>
      <c r="U60" s="18">
        <f t="shared" si="9"/>
        <v>-69000</v>
      </c>
      <c r="V60" s="377">
        <f t="shared" si="10"/>
        <v>69000</v>
      </c>
      <c r="W60" s="18">
        <f t="shared" si="11"/>
        <v>75847.511615359996</v>
      </c>
      <c r="X60" s="377">
        <f t="shared" si="12"/>
        <v>-6847.5116153599956</v>
      </c>
      <c r="Y60" s="378">
        <f t="shared" si="13"/>
        <v>-63577.50229199999</v>
      </c>
    </row>
    <row r="61" spans="3:25" x14ac:dyDescent="0.2">
      <c r="C61" s="387">
        <f t="shared" si="5"/>
        <v>41803</v>
      </c>
      <c r="D61" s="388">
        <f t="shared" si="6"/>
        <v>145869.56533333333</v>
      </c>
      <c r="E61" s="392">
        <f t="shared" si="7"/>
        <v>74180.2</v>
      </c>
      <c r="F61" s="428">
        <f t="shared" si="0"/>
        <v>0.91857</v>
      </c>
      <c r="G61" s="390">
        <f t="shared" si="1"/>
        <v>68.139700000000005</v>
      </c>
      <c r="H61" s="391">
        <f t="shared" si="2"/>
        <v>220118.82360333335</v>
      </c>
      <c r="I61" s="324">
        <v>69000</v>
      </c>
      <c r="J61" s="325"/>
      <c r="K61" s="325"/>
      <c r="L61" s="317">
        <v>74180.2</v>
      </c>
      <c r="M61" s="318"/>
      <c r="N61" s="318"/>
      <c r="O61" s="318"/>
      <c r="P61" s="392">
        <f t="shared" si="8"/>
        <v>74180.2</v>
      </c>
      <c r="Q61" s="392">
        <f t="shared" si="3"/>
        <v>0</v>
      </c>
      <c r="R61" s="392">
        <f t="shared" si="4"/>
        <v>0</v>
      </c>
      <c r="S61" s="373"/>
      <c r="T61" s="374"/>
      <c r="U61" s="18">
        <f t="shared" si="9"/>
        <v>-69000</v>
      </c>
      <c r="V61" s="377">
        <f t="shared" si="10"/>
        <v>69000</v>
      </c>
      <c r="W61" s="18">
        <f t="shared" si="11"/>
        <v>78264.265091199995</v>
      </c>
      <c r="X61" s="377">
        <f t="shared" si="12"/>
        <v>-9264.2650911999954</v>
      </c>
      <c r="Y61" s="378">
        <f t="shared" si="13"/>
        <v>-72841.767383199985</v>
      </c>
    </row>
    <row r="62" spans="3:25" x14ac:dyDescent="0.2">
      <c r="C62" s="387">
        <f t="shared" si="5"/>
        <v>41804</v>
      </c>
      <c r="D62" s="388">
        <f t="shared" si="6"/>
        <v>145869.56533333333</v>
      </c>
      <c r="E62" s="392">
        <f t="shared" si="7"/>
        <v>74288.2</v>
      </c>
      <c r="F62" s="428">
        <f t="shared" si="0"/>
        <v>0.91857</v>
      </c>
      <c r="G62" s="390">
        <f t="shared" si="1"/>
        <v>68.238900000000001</v>
      </c>
      <c r="H62" s="391">
        <f t="shared" si="2"/>
        <v>220226.92280333335</v>
      </c>
      <c r="I62" s="324">
        <v>72000</v>
      </c>
      <c r="J62" s="325"/>
      <c r="K62" s="325"/>
      <c r="L62" s="319">
        <v>74288.2</v>
      </c>
      <c r="M62" s="320"/>
      <c r="N62" s="320"/>
      <c r="O62" s="320"/>
      <c r="P62" s="392">
        <f t="shared" si="8"/>
        <v>74288.2</v>
      </c>
      <c r="Q62" s="392">
        <f t="shared" si="3"/>
        <v>0</v>
      </c>
      <c r="R62" s="392">
        <f t="shared" si="4"/>
        <v>0</v>
      </c>
      <c r="S62" s="373"/>
      <c r="T62" s="374"/>
      <c r="U62" s="18">
        <f t="shared" si="9"/>
        <v>-72000</v>
      </c>
      <c r="V62" s="377">
        <f t="shared" si="10"/>
        <v>72000</v>
      </c>
      <c r="W62" s="18">
        <f t="shared" si="11"/>
        <v>78378.211139199993</v>
      </c>
      <c r="X62" s="377">
        <f t="shared" si="12"/>
        <v>-6378.2111391999933</v>
      </c>
      <c r="Y62" s="378">
        <f t="shared" si="13"/>
        <v>-79219.978522399979</v>
      </c>
    </row>
    <row r="63" spans="3:25" x14ac:dyDescent="0.2">
      <c r="C63" s="387">
        <f t="shared" si="5"/>
        <v>41805</v>
      </c>
      <c r="D63" s="388">
        <f t="shared" si="6"/>
        <v>145869.56533333333</v>
      </c>
      <c r="E63" s="392">
        <f t="shared" si="7"/>
        <v>75122.399999999994</v>
      </c>
      <c r="F63" s="428">
        <f t="shared" si="0"/>
        <v>0.91857</v>
      </c>
      <c r="G63" s="390">
        <f t="shared" si="1"/>
        <v>69.005200000000002</v>
      </c>
      <c r="H63" s="391">
        <f t="shared" si="2"/>
        <v>221061.88910333335</v>
      </c>
      <c r="I63" s="324">
        <v>72000</v>
      </c>
      <c r="J63" s="325"/>
      <c r="K63" s="325"/>
      <c r="L63" s="317">
        <v>75122.399999999994</v>
      </c>
      <c r="M63" s="318"/>
      <c r="N63" s="318"/>
      <c r="O63" s="318"/>
      <c r="P63" s="392">
        <f t="shared" si="8"/>
        <v>75122.399999999994</v>
      </c>
      <c r="Q63" s="392">
        <f t="shared" si="3"/>
        <v>0</v>
      </c>
      <c r="R63" s="392">
        <f t="shared" si="4"/>
        <v>0</v>
      </c>
      <c r="S63" s="373"/>
      <c r="T63" s="374"/>
      <c r="U63" s="18">
        <f t="shared" si="9"/>
        <v>-72000</v>
      </c>
      <c r="V63" s="377">
        <f t="shared" si="10"/>
        <v>72000</v>
      </c>
      <c r="W63" s="18">
        <f t="shared" si="11"/>
        <v>79258.33885439999</v>
      </c>
      <c r="X63" s="377">
        <f t="shared" si="12"/>
        <v>-7258.3388543999899</v>
      </c>
      <c r="Y63" s="378">
        <f t="shared" si="13"/>
        <v>-86478.317376799969</v>
      </c>
    </row>
    <row r="64" spans="3:25" x14ac:dyDescent="0.2">
      <c r="C64" s="387">
        <f t="shared" si="5"/>
        <v>41806</v>
      </c>
      <c r="D64" s="388">
        <f t="shared" si="6"/>
        <v>145869.56533333333</v>
      </c>
      <c r="E64" s="392">
        <f t="shared" si="7"/>
        <v>75541.399999999994</v>
      </c>
      <c r="F64" s="428">
        <f t="shared" si="0"/>
        <v>0.91857</v>
      </c>
      <c r="G64" s="390">
        <f t="shared" si="1"/>
        <v>69.390100000000004</v>
      </c>
      <c r="H64" s="391">
        <f t="shared" si="2"/>
        <v>221481.27400333332</v>
      </c>
      <c r="I64" s="324">
        <v>72000</v>
      </c>
      <c r="J64" s="325"/>
      <c r="K64" s="325"/>
      <c r="L64" s="319">
        <v>75541.399999999994</v>
      </c>
      <c r="M64" s="320"/>
      <c r="N64" s="320"/>
      <c r="O64" s="320"/>
      <c r="P64" s="392">
        <f t="shared" si="8"/>
        <v>75541.399999999994</v>
      </c>
      <c r="Q64" s="392">
        <f t="shared" si="3"/>
        <v>0</v>
      </c>
      <c r="R64" s="392">
        <f t="shared" si="4"/>
        <v>0</v>
      </c>
      <c r="S64" s="373"/>
      <c r="T64" s="374"/>
      <c r="U64" s="18">
        <f t="shared" si="9"/>
        <v>-72000</v>
      </c>
      <c r="V64" s="377">
        <f t="shared" si="10"/>
        <v>72000</v>
      </c>
      <c r="W64" s="18">
        <f t="shared" si="11"/>
        <v>79700.407318399986</v>
      </c>
      <c r="X64" s="377">
        <f t="shared" si="12"/>
        <v>-7700.4073183999863</v>
      </c>
      <c r="Y64" s="378">
        <f t="shared" si="13"/>
        <v>-94178.724695199955</v>
      </c>
    </row>
    <row r="65" spans="3:38" x14ac:dyDescent="0.2">
      <c r="C65" s="387">
        <f t="shared" si="5"/>
        <v>41807</v>
      </c>
      <c r="D65" s="388">
        <f t="shared" si="6"/>
        <v>145869.56533333333</v>
      </c>
      <c r="E65" s="392">
        <f t="shared" si="7"/>
        <v>75075.53</v>
      </c>
      <c r="F65" s="428">
        <f t="shared" si="0"/>
        <v>0.91857</v>
      </c>
      <c r="G65" s="390">
        <f t="shared" si="1"/>
        <v>68.962100000000007</v>
      </c>
      <c r="H65" s="391">
        <f t="shared" si="2"/>
        <v>221014.97600333334</v>
      </c>
      <c r="I65" s="324">
        <v>71000</v>
      </c>
      <c r="J65" s="325"/>
      <c r="K65" s="325"/>
      <c r="L65" s="317">
        <v>75075.53</v>
      </c>
      <c r="M65" s="318"/>
      <c r="N65" s="318"/>
      <c r="O65" s="318"/>
      <c r="P65" s="392">
        <f t="shared" si="8"/>
        <v>75075.53</v>
      </c>
      <c r="Q65" s="392">
        <f t="shared" si="3"/>
        <v>0</v>
      </c>
      <c r="R65" s="392">
        <f t="shared" si="4"/>
        <v>0</v>
      </c>
      <c r="S65" s="373"/>
      <c r="T65" s="374"/>
      <c r="U65" s="18">
        <f t="shared" si="9"/>
        <v>-71000</v>
      </c>
      <c r="V65" s="377">
        <f t="shared" si="10"/>
        <v>71000</v>
      </c>
      <c r="W65" s="18">
        <f t="shared" si="11"/>
        <v>79208.888379679993</v>
      </c>
      <c r="X65" s="377">
        <f t="shared" si="12"/>
        <v>-8208.8883796799928</v>
      </c>
      <c r="Y65" s="378">
        <f t="shared" si="13"/>
        <v>-102387.61307487995</v>
      </c>
    </row>
    <row r="66" spans="3:38" x14ac:dyDescent="0.2">
      <c r="C66" s="387">
        <f t="shared" si="5"/>
        <v>41808</v>
      </c>
      <c r="D66" s="388">
        <f t="shared" si="6"/>
        <v>145869.56533333333</v>
      </c>
      <c r="E66" s="392">
        <f t="shared" si="7"/>
        <v>74795.39</v>
      </c>
      <c r="F66" s="428">
        <f t="shared" si="0"/>
        <v>0.91857</v>
      </c>
      <c r="G66" s="390">
        <f t="shared" si="1"/>
        <v>68.704800000000006</v>
      </c>
      <c r="H66" s="391">
        <f t="shared" si="2"/>
        <v>220734.57870333336</v>
      </c>
      <c r="I66" s="324">
        <v>70000</v>
      </c>
      <c r="J66" s="325"/>
      <c r="K66" s="325"/>
      <c r="L66" s="319">
        <v>74795.39</v>
      </c>
      <c r="M66" s="320"/>
      <c r="N66" s="320"/>
      <c r="O66" s="320"/>
      <c r="P66" s="392">
        <f t="shared" si="8"/>
        <v>74795.39</v>
      </c>
      <c r="Q66" s="392">
        <f t="shared" si="3"/>
        <v>0</v>
      </c>
      <c r="R66" s="392">
        <f t="shared" si="4"/>
        <v>0</v>
      </c>
      <c r="S66" s="373"/>
      <c r="T66" s="374"/>
      <c r="U66" s="18">
        <f t="shared" si="9"/>
        <v>-70000</v>
      </c>
      <c r="V66" s="377">
        <f t="shared" si="10"/>
        <v>70000</v>
      </c>
      <c r="W66" s="18">
        <f t="shared" si="11"/>
        <v>78913.324991839996</v>
      </c>
      <c r="X66" s="377">
        <f t="shared" si="12"/>
        <v>-8913.3249918399961</v>
      </c>
      <c r="Y66" s="378">
        <f t="shared" si="13"/>
        <v>-111300.93806671994</v>
      </c>
    </row>
    <row r="67" spans="3:38" x14ac:dyDescent="0.2">
      <c r="C67" s="387">
        <f t="shared" si="5"/>
        <v>41809</v>
      </c>
      <c r="D67" s="388">
        <f t="shared" si="6"/>
        <v>145869.56533333333</v>
      </c>
      <c r="E67" s="392">
        <f t="shared" si="7"/>
        <v>72558.741999999998</v>
      </c>
      <c r="F67" s="428">
        <f t="shared" si="0"/>
        <v>0.91857</v>
      </c>
      <c r="G67" s="390">
        <f t="shared" si="1"/>
        <v>66.650300000000001</v>
      </c>
      <c r="H67" s="391">
        <f t="shared" si="2"/>
        <v>218495.87620333335</v>
      </c>
      <c r="I67" s="324">
        <v>70000</v>
      </c>
      <c r="J67" s="325"/>
      <c r="K67" s="325"/>
      <c r="L67" s="317">
        <v>72558.741999999998</v>
      </c>
      <c r="M67" s="318"/>
      <c r="N67" s="318"/>
      <c r="O67" s="318"/>
      <c r="P67" s="392">
        <f t="shared" si="8"/>
        <v>72558.741999999998</v>
      </c>
      <c r="Q67" s="392">
        <f t="shared" si="3"/>
        <v>0</v>
      </c>
      <c r="R67" s="392">
        <f t="shared" si="4"/>
        <v>0</v>
      </c>
      <c r="S67" s="373"/>
      <c r="T67" s="374"/>
      <c r="U67" s="18">
        <f t="shared" si="9"/>
        <v>-70000</v>
      </c>
      <c r="V67" s="377">
        <f t="shared" si="10"/>
        <v>70000</v>
      </c>
      <c r="W67" s="18">
        <f t="shared" si="11"/>
        <v>76553.536099552002</v>
      </c>
      <c r="X67" s="377">
        <f t="shared" si="12"/>
        <v>-6553.5360995520023</v>
      </c>
      <c r="Y67" s="378">
        <f t="shared" si="13"/>
        <v>-117854.47416627195</v>
      </c>
    </row>
    <row r="68" spans="3:38" x14ac:dyDescent="0.2">
      <c r="C68" s="387">
        <f t="shared" si="5"/>
        <v>41810</v>
      </c>
      <c r="D68" s="388">
        <f t="shared" si="6"/>
        <v>145869.56533333333</v>
      </c>
      <c r="E68" s="392">
        <f t="shared" si="7"/>
        <v>75969.31</v>
      </c>
      <c r="F68" s="428">
        <f t="shared" si="0"/>
        <v>0.91857</v>
      </c>
      <c r="G68" s="390">
        <f t="shared" si="1"/>
        <v>69.783100000000005</v>
      </c>
      <c r="H68" s="391">
        <f t="shared" si="2"/>
        <v>221909.57700333334</v>
      </c>
      <c r="I68" s="324">
        <v>70000</v>
      </c>
      <c r="J68" s="325"/>
      <c r="K68" s="325"/>
      <c r="L68" s="319">
        <v>75969.31</v>
      </c>
      <c r="M68" s="320"/>
      <c r="N68" s="320"/>
      <c r="O68" s="320"/>
      <c r="P68" s="392">
        <f t="shared" si="8"/>
        <v>75969.31</v>
      </c>
      <c r="Q68" s="392">
        <f t="shared" si="3"/>
        <v>0</v>
      </c>
      <c r="R68" s="392">
        <f t="shared" si="4"/>
        <v>0</v>
      </c>
      <c r="S68" s="373"/>
      <c r="T68" s="374"/>
      <c r="U68" s="18">
        <f t="shared" si="9"/>
        <v>-70000</v>
      </c>
      <c r="V68" s="377">
        <f t="shared" si="10"/>
        <v>70000</v>
      </c>
      <c r="W68" s="18">
        <f t="shared" si="11"/>
        <v>80151.876331359992</v>
      </c>
      <c r="X68" s="377">
        <f t="shared" si="12"/>
        <v>-10151.876331359992</v>
      </c>
      <c r="Y68" s="378">
        <f t="shared" si="13"/>
        <v>-128006.35049763194</v>
      </c>
    </row>
    <row r="69" spans="3:38" x14ac:dyDescent="0.2">
      <c r="C69" s="387">
        <f t="shared" si="5"/>
        <v>41811</v>
      </c>
      <c r="D69" s="388">
        <f t="shared" si="6"/>
        <v>145869.56533333333</v>
      </c>
      <c r="E69" s="392">
        <f t="shared" si="7"/>
        <v>75211.41</v>
      </c>
      <c r="F69" s="428">
        <f t="shared" si="0"/>
        <v>0.91857</v>
      </c>
      <c r="G69" s="390">
        <f t="shared" si="1"/>
        <v>69.0869</v>
      </c>
      <c r="H69" s="391">
        <f t="shared" si="2"/>
        <v>221150.98080333334</v>
      </c>
      <c r="I69" s="324">
        <v>72000</v>
      </c>
      <c r="J69" s="325"/>
      <c r="K69" s="325"/>
      <c r="L69" s="317">
        <v>75211.41</v>
      </c>
      <c r="M69" s="318"/>
      <c r="N69" s="318"/>
      <c r="O69" s="318"/>
      <c r="P69" s="392">
        <f t="shared" si="8"/>
        <v>75211.41</v>
      </c>
      <c r="Q69" s="392">
        <f t="shared" si="3"/>
        <v>0</v>
      </c>
      <c r="R69" s="392">
        <f t="shared" si="4"/>
        <v>0</v>
      </c>
      <c r="S69" s="373"/>
      <c r="T69" s="374"/>
      <c r="U69" s="18">
        <f t="shared" si="9"/>
        <v>-72000</v>
      </c>
      <c r="V69" s="377">
        <f t="shared" si="10"/>
        <v>72000</v>
      </c>
      <c r="W69" s="18">
        <f t="shared" si="11"/>
        <v>79352.249388960001</v>
      </c>
      <c r="X69" s="377">
        <f t="shared" si="12"/>
        <v>-7352.2493889600009</v>
      </c>
      <c r="Y69" s="378">
        <f t="shared" si="13"/>
        <v>-135358.59988659195</v>
      </c>
    </row>
    <row r="70" spans="3:38" x14ac:dyDescent="0.2">
      <c r="C70" s="387">
        <f t="shared" si="5"/>
        <v>41812</v>
      </c>
      <c r="D70" s="388">
        <f t="shared" si="6"/>
        <v>145869.56533333333</v>
      </c>
      <c r="E70" s="392">
        <f t="shared" si="7"/>
        <v>75444.22</v>
      </c>
      <c r="F70" s="428">
        <f t="shared" si="0"/>
        <v>0.91857</v>
      </c>
      <c r="G70" s="390">
        <f t="shared" si="1"/>
        <v>69.300799999999995</v>
      </c>
      <c r="H70" s="391">
        <f t="shared" si="2"/>
        <v>221384.00470333334</v>
      </c>
      <c r="I70" s="324">
        <v>72000</v>
      </c>
      <c r="J70" s="325"/>
      <c r="K70" s="325"/>
      <c r="L70" s="319">
        <v>75444.22</v>
      </c>
      <c r="M70" s="320"/>
      <c r="N70" s="320"/>
      <c r="O70" s="320"/>
      <c r="P70" s="392">
        <f t="shared" si="8"/>
        <v>75444.22</v>
      </c>
      <c r="Q70" s="392">
        <f t="shared" si="3"/>
        <v>0</v>
      </c>
      <c r="R70" s="392">
        <f t="shared" si="4"/>
        <v>0</v>
      </c>
      <c r="S70" s="373"/>
      <c r="T70" s="374"/>
      <c r="U70" s="18">
        <f t="shared" si="9"/>
        <v>-72000</v>
      </c>
      <c r="V70" s="377">
        <f t="shared" si="10"/>
        <v>72000</v>
      </c>
      <c r="W70" s="18">
        <f t="shared" si="11"/>
        <v>79597.876976319996</v>
      </c>
      <c r="X70" s="377">
        <f t="shared" si="12"/>
        <v>-7597.8769763199962</v>
      </c>
      <c r="Y70" s="378">
        <f t="shared" si="13"/>
        <v>-142956.47686291195</v>
      </c>
    </row>
    <row r="71" spans="3:38" x14ac:dyDescent="0.2">
      <c r="C71" s="387">
        <f t="shared" si="5"/>
        <v>41813</v>
      </c>
      <c r="D71" s="388">
        <f t="shared" si="6"/>
        <v>145869.56533333333</v>
      </c>
      <c r="E71" s="392">
        <f t="shared" si="7"/>
        <v>76714.899999999994</v>
      </c>
      <c r="F71" s="428">
        <f t="shared" si="0"/>
        <v>0.91857</v>
      </c>
      <c r="G71" s="390">
        <f t="shared" si="1"/>
        <v>70.468000000000004</v>
      </c>
      <c r="H71" s="391">
        <f t="shared" si="2"/>
        <v>222655.85190333333</v>
      </c>
      <c r="I71" s="324">
        <v>72000</v>
      </c>
      <c r="J71" s="325"/>
      <c r="K71" s="325"/>
      <c r="L71" s="317">
        <v>76714.899999999994</v>
      </c>
      <c r="M71" s="318"/>
      <c r="N71" s="318"/>
      <c r="O71" s="318"/>
      <c r="P71" s="392">
        <f t="shared" si="8"/>
        <v>76714.899999999994</v>
      </c>
      <c r="Q71" s="392">
        <f t="shared" si="3"/>
        <v>0</v>
      </c>
      <c r="R71" s="392">
        <f t="shared" si="4"/>
        <v>0</v>
      </c>
      <c r="S71" s="373"/>
      <c r="T71" s="374"/>
      <c r="U71" s="18">
        <f t="shared" si="9"/>
        <v>-72000</v>
      </c>
      <c r="V71" s="377">
        <f t="shared" si="10"/>
        <v>72000</v>
      </c>
      <c r="W71" s="18">
        <f t="shared" si="11"/>
        <v>80938.515534399994</v>
      </c>
      <c r="X71" s="377">
        <f t="shared" si="12"/>
        <v>-8938.5155343999941</v>
      </c>
      <c r="Y71" s="378">
        <f t="shared" si="13"/>
        <v>-151894.99239731196</v>
      </c>
    </row>
    <row r="72" spans="3:38" x14ac:dyDescent="0.2">
      <c r="C72" s="387">
        <f t="shared" si="5"/>
        <v>41814</v>
      </c>
      <c r="D72" s="388">
        <f t="shared" si="6"/>
        <v>145869.56533333333</v>
      </c>
      <c r="E72" s="392">
        <f t="shared" si="7"/>
        <v>75639.320000000007</v>
      </c>
      <c r="F72" s="428">
        <f t="shared" si="0"/>
        <v>0.91857</v>
      </c>
      <c r="G72" s="390">
        <f t="shared" si="1"/>
        <v>69.48</v>
      </c>
      <c r="H72" s="391">
        <f t="shared" si="2"/>
        <v>221579.28390333336</v>
      </c>
      <c r="I72" s="324">
        <v>72000</v>
      </c>
      <c r="J72" s="325"/>
      <c r="K72" s="325"/>
      <c r="L72" s="319">
        <v>75639.320000000007</v>
      </c>
      <c r="M72" s="320"/>
      <c r="N72" s="320"/>
      <c r="O72" s="320"/>
      <c r="P72" s="392">
        <f t="shared" si="8"/>
        <v>75639.320000000007</v>
      </c>
      <c r="Q72" s="392">
        <f t="shared" si="3"/>
        <v>0</v>
      </c>
      <c r="R72" s="392">
        <f t="shared" si="4"/>
        <v>0</v>
      </c>
      <c r="S72" s="373"/>
      <c r="T72" s="374"/>
      <c r="U72" s="18">
        <f t="shared" si="9"/>
        <v>-72000</v>
      </c>
      <c r="V72" s="377">
        <f t="shared" si="10"/>
        <v>72000</v>
      </c>
      <c r="W72" s="18">
        <f t="shared" si="11"/>
        <v>79803.718401920007</v>
      </c>
      <c r="X72" s="377">
        <f t="shared" si="12"/>
        <v>-7803.7184019200067</v>
      </c>
      <c r="Y72" s="378">
        <f t="shared" si="13"/>
        <v>-159698.71079923195</v>
      </c>
    </row>
    <row r="73" spans="3:38" x14ac:dyDescent="0.2">
      <c r="C73" s="387">
        <f t="shared" si="5"/>
        <v>41815</v>
      </c>
      <c r="D73" s="388">
        <f t="shared" si="6"/>
        <v>145869.56533333333</v>
      </c>
      <c r="E73" s="392">
        <f t="shared" si="7"/>
        <v>74920.39</v>
      </c>
      <c r="F73" s="428">
        <f t="shared" si="0"/>
        <v>0.91857</v>
      </c>
      <c r="G73" s="390">
        <f t="shared" si="1"/>
        <v>68.819599999999994</v>
      </c>
      <c r="H73" s="391">
        <f t="shared" si="2"/>
        <v>220859.69350333334</v>
      </c>
      <c r="I73" s="324">
        <v>74001</v>
      </c>
      <c r="J73" s="325"/>
      <c r="K73" s="325"/>
      <c r="L73" s="317">
        <v>74920.39</v>
      </c>
      <c r="M73" s="318"/>
      <c r="N73" s="318"/>
      <c r="O73" s="318"/>
      <c r="P73" s="392">
        <f t="shared" si="8"/>
        <v>74920.39</v>
      </c>
      <c r="Q73" s="392">
        <f t="shared" si="3"/>
        <v>0</v>
      </c>
      <c r="R73" s="392">
        <f t="shared" si="4"/>
        <v>0</v>
      </c>
      <c r="S73" s="373"/>
      <c r="T73" s="374"/>
      <c r="U73" s="18">
        <f t="shared" si="9"/>
        <v>-74001</v>
      </c>
      <c r="V73" s="377">
        <f t="shared" si="10"/>
        <v>74001</v>
      </c>
      <c r="W73" s="18">
        <f t="shared" si="11"/>
        <v>79045.206991839994</v>
      </c>
      <c r="X73" s="377">
        <f t="shared" si="12"/>
        <v>-5044.2069918399939</v>
      </c>
      <c r="Y73" s="378">
        <f t="shared" si="13"/>
        <v>-164742.91779107193</v>
      </c>
    </row>
    <row r="74" spans="3:38" x14ac:dyDescent="0.2">
      <c r="C74" s="387">
        <f t="shared" si="5"/>
        <v>41816</v>
      </c>
      <c r="D74" s="388">
        <f t="shared" si="6"/>
        <v>145869.56533333333</v>
      </c>
      <c r="E74" s="392">
        <f t="shared" si="7"/>
        <v>74257.850000000006</v>
      </c>
      <c r="F74" s="428">
        <f t="shared" si="0"/>
        <v>0.91857</v>
      </c>
      <c r="G74" s="390">
        <f t="shared" si="1"/>
        <v>68.210999999999999</v>
      </c>
      <c r="H74" s="391">
        <f t="shared" si="2"/>
        <v>220196.54490333336</v>
      </c>
      <c r="I74" s="324">
        <v>74001</v>
      </c>
      <c r="J74" s="325"/>
      <c r="K74" s="325"/>
      <c r="L74" s="319">
        <v>74257.850000000006</v>
      </c>
      <c r="M74" s="320"/>
      <c r="N74" s="320"/>
      <c r="O74" s="320"/>
      <c r="P74" s="392">
        <f t="shared" si="8"/>
        <v>74257.850000000006</v>
      </c>
      <c r="Q74" s="392">
        <f t="shared" si="3"/>
        <v>0</v>
      </c>
      <c r="R74" s="392">
        <f t="shared" si="4"/>
        <v>0</v>
      </c>
      <c r="S74" s="373"/>
      <c r="T74" s="374"/>
      <c r="U74" s="18">
        <f t="shared" si="9"/>
        <v>-74001</v>
      </c>
      <c r="V74" s="377">
        <f t="shared" si="10"/>
        <v>74001</v>
      </c>
      <c r="W74" s="18">
        <f t="shared" si="11"/>
        <v>78346.190189600005</v>
      </c>
      <c r="X74" s="377">
        <f t="shared" si="12"/>
        <v>-4345.1901896000054</v>
      </c>
      <c r="Y74" s="378">
        <f t="shared" si="13"/>
        <v>-169088.10798067192</v>
      </c>
    </row>
    <row r="75" spans="3:38" x14ac:dyDescent="0.2">
      <c r="C75" s="387">
        <f t="shared" si="5"/>
        <v>41817</v>
      </c>
      <c r="D75" s="388">
        <f t="shared" si="6"/>
        <v>145869.56533333333</v>
      </c>
      <c r="E75" s="392">
        <f t="shared" si="7"/>
        <v>74256.350000000006</v>
      </c>
      <c r="F75" s="428">
        <f t="shared" si="0"/>
        <v>0.91857</v>
      </c>
      <c r="G75" s="390">
        <f t="shared" si="1"/>
        <v>68.209699999999998</v>
      </c>
      <c r="H75" s="391">
        <f t="shared" si="2"/>
        <v>220195.04360333335</v>
      </c>
      <c r="I75" s="324">
        <v>74001</v>
      </c>
      <c r="J75" s="325"/>
      <c r="K75" s="325"/>
      <c r="L75" s="317">
        <v>74256.350000000006</v>
      </c>
      <c r="M75" s="318"/>
      <c r="N75" s="318"/>
      <c r="O75" s="318"/>
      <c r="P75" s="392">
        <f t="shared" si="8"/>
        <v>74256.350000000006</v>
      </c>
      <c r="Q75" s="392">
        <f t="shared" si="3"/>
        <v>0</v>
      </c>
      <c r="R75" s="392">
        <f t="shared" si="4"/>
        <v>0</v>
      </c>
      <c r="S75" s="373"/>
      <c r="T75" s="374"/>
      <c r="U75" s="18">
        <f t="shared" si="9"/>
        <v>-74001</v>
      </c>
      <c r="V75" s="377">
        <f t="shared" si="10"/>
        <v>74001</v>
      </c>
      <c r="W75" s="18">
        <f t="shared" si="11"/>
        <v>78344.607605600002</v>
      </c>
      <c r="X75" s="377">
        <f t="shared" si="12"/>
        <v>-4343.607605600002</v>
      </c>
      <c r="Y75" s="378">
        <f t="shared" si="13"/>
        <v>-173431.71558627192</v>
      </c>
    </row>
    <row r="76" spans="3:38" x14ac:dyDescent="0.2">
      <c r="C76" s="387">
        <f t="shared" si="5"/>
        <v>41818</v>
      </c>
      <c r="D76" s="388">
        <f t="shared" si="6"/>
        <v>145869.56533333333</v>
      </c>
      <c r="E76" s="392">
        <f t="shared" si="7"/>
        <v>73711.520000000004</v>
      </c>
      <c r="F76" s="428">
        <f t="shared" si="0"/>
        <v>0.91857</v>
      </c>
      <c r="G76" s="390">
        <f t="shared" si="1"/>
        <v>67.709199999999996</v>
      </c>
      <c r="H76" s="391">
        <f t="shared" si="2"/>
        <v>219649.71310333337</v>
      </c>
      <c r="I76" s="324">
        <v>74001</v>
      </c>
      <c r="J76" s="325"/>
      <c r="K76" s="325"/>
      <c r="L76" s="319">
        <v>73711.520000000004</v>
      </c>
      <c r="M76" s="320"/>
      <c r="N76" s="320"/>
      <c r="O76" s="320"/>
      <c r="P76" s="392">
        <f t="shared" si="8"/>
        <v>73711.520000000004</v>
      </c>
      <c r="Q76" s="392">
        <f t="shared" si="3"/>
        <v>0</v>
      </c>
      <c r="R76" s="392">
        <f t="shared" si="4"/>
        <v>0</v>
      </c>
      <c r="S76" s="373"/>
      <c r="T76" s="374"/>
      <c r="U76" s="18">
        <f t="shared" si="9"/>
        <v>-74001</v>
      </c>
      <c r="V76" s="377">
        <f t="shared" si="10"/>
        <v>74001</v>
      </c>
      <c r="W76" s="18">
        <f t="shared" si="11"/>
        <v>77769.78144512001</v>
      </c>
      <c r="X76" s="377">
        <f t="shared" si="12"/>
        <v>-3768.7814451200102</v>
      </c>
      <c r="Y76" s="378">
        <f t="shared" si="13"/>
        <v>-177200.49703139195</v>
      </c>
    </row>
    <row r="77" spans="3:38" x14ac:dyDescent="0.2">
      <c r="C77" s="387">
        <f t="shared" si="5"/>
        <v>41819</v>
      </c>
      <c r="D77" s="388">
        <f t="shared" si="6"/>
        <v>145869.56533333333</v>
      </c>
      <c r="E77" s="392">
        <f t="shared" si="7"/>
        <v>73115.56</v>
      </c>
      <c r="F77" s="428">
        <f t="shared" si="0"/>
        <v>0.91857</v>
      </c>
      <c r="G77" s="390">
        <f t="shared" si="1"/>
        <v>67.161799999999999</v>
      </c>
      <c r="H77" s="391">
        <f t="shared" si="2"/>
        <v>219053.20570333334</v>
      </c>
      <c r="I77" s="324">
        <v>74001</v>
      </c>
      <c r="J77" s="325"/>
      <c r="K77" s="325"/>
      <c r="L77" s="317">
        <v>73115.56</v>
      </c>
      <c r="M77" s="318"/>
      <c r="N77" s="318"/>
      <c r="O77" s="318"/>
      <c r="P77" s="392">
        <f t="shared" si="8"/>
        <v>73115.56</v>
      </c>
      <c r="Q77" s="392">
        <f t="shared" si="3"/>
        <v>0</v>
      </c>
      <c r="R77" s="392">
        <f t="shared" si="4"/>
        <v>0</v>
      </c>
      <c r="S77" s="373"/>
      <c r="T77" s="374"/>
      <c r="U77" s="18">
        <f t="shared" si="9"/>
        <v>-74001</v>
      </c>
      <c r="V77" s="377">
        <f t="shared" si="10"/>
        <v>74001</v>
      </c>
      <c r="W77" s="18">
        <f t="shared" si="11"/>
        <v>77141.010271359992</v>
      </c>
      <c r="X77" s="377">
        <f t="shared" si="12"/>
        <v>-3140.0102713599917</v>
      </c>
      <c r="Y77" s="378">
        <f t="shared" si="13"/>
        <v>-180340.50730275194</v>
      </c>
    </row>
    <row r="78" spans="3:38" x14ac:dyDescent="0.2">
      <c r="C78" s="387">
        <f t="shared" si="5"/>
        <v>41820</v>
      </c>
      <c r="D78" s="388">
        <f t="shared" si="6"/>
        <v>145869.56533333333</v>
      </c>
      <c r="E78" s="392">
        <f t="shared" si="7"/>
        <v>74384.960000000006</v>
      </c>
      <c r="F78" s="428">
        <f t="shared" si="0"/>
        <v>0.91857</v>
      </c>
      <c r="G78" s="390">
        <f t="shared" si="1"/>
        <v>68.327799999999996</v>
      </c>
      <c r="H78" s="391">
        <f t="shared" si="2"/>
        <v>220323.77170333336</v>
      </c>
      <c r="I78" s="324">
        <v>74001</v>
      </c>
      <c r="J78" s="325"/>
      <c r="K78" s="325"/>
      <c r="L78" s="319">
        <v>74384.960000000006</v>
      </c>
      <c r="M78" s="320"/>
      <c r="N78" s="320"/>
      <c r="O78" s="320"/>
      <c r="P78" s="392">
        <f t="shared" si="8"/>
        <v>74384.960000000006</v>
      </c>
      <c r="Q78" s="392">
        <f t="shared" si="3"/>
        <v>0</v>
      </c>
      <c r="R78" s="392">
        <f t="shared" si="4"/>
        <v>0</v>
      </c>
      <c r="S78" s="373"/>
      <c r="T78" s="374"/>
      <c r="U78" s="18">
        <f t="shared" si="9"/>
        <v>-74001</v>
      </c>
      <c r="V78" s="377">
        <f t="shared" si="10"/>
        <v>74001</v>
      </c>
      <c r="W78" s="18">
        <f t="shared" si="11"/>
        <v>78480.29835776001</v>
      </c>
      <c r="X78" s="377">
        <f t="shared" si="12"/>
        <v>-4479.2983577600098</v>
      </c>
      <c r="Y78" s="378">
        <f t="shared" si="13"/>
        <v>-184819.80566051195</v>
      </c>
    </row>
    <row r="79" spans="3:38" ht="15" thickBot="1" x14ac:dyDescent="0.25">
      <c r="C79" s="393"/>
      <c r="D79" s="394"/>
      <c r="E79" s="395"/>
      <c r="F79" s="429"/>
      <c r="G79" s="396"/>
      <c r="H79" s="397"/>
      <c r="I79" s="326"/>
      <c r="J79" s="327"/>
      <c r="K79" s="327"/>
      <c r="L79" s="321"/>
      <c r="M79" s="322"/>
      <c r="N79" s="322"/>
      <c r="O79" s="322"/>
      <c r="P79" s="395"/>
      <c r="Q79" s="395"/>
      <c r="R79" s="395"/>
      <c r="S79" s="375"/>
      <c r="T79" s="376"/>
      <c r="U79" s="379"/>
      <c r="V79" s="380"/>
      <c r="W79" s="379"/>
      <c r="X79" s="380"/>
      <c r="Y79" s="381"/>
    </row>
    <row r="80" spans="3:38" ht="15" thickBot="1" x14ac:dyDescent="0.25">
      <c r="C80" s="398"/>
      <c r="D80" s="399">
        <f>SUM(D49:D79)</f>
        <v>4376086.959999999</v>
      </c>
      <c r="E80" s="400">
        <f>SUM(E49:E79)</f>
        <v>2218375.9019999998</v>
      </c>
      <c r="F80" s="400"/>
      <c r="G80" s="401">
        <f>SUM(G49:G79)</f>
        <v>2037.7335000000007</v>
      </c>
      <c r="H80" s="399">
        <f>SUM(H49:H79)</f>
        <v>6596528.1526000015</v>
      </c>
      <c r="I80" s="432">
        <f>SUM(I49:I79)</f>
        <v>2155691</v>
      </c>
      <c r="J80" s="432">
        <f t="shared" ref="J80:R80" si="14">SUM(J49:J79)</f>
        <v>0</v>
      </c>
      <c r="K80" s="432">
        <f t="shared" si="14"/>
        <v>0</v>
      </c>
      <c r="L80" s="432">
        <f t="shared" si="14"/>
        <v>2218375.9019999998</v>
      </c>
      <c r="M80" s="432">
        <f t="shared" si="14"/>
        <v>0</v>
      </c>
      <c r="N80" s="432">
        <f t="shared" si="14"/>
        <v>0</v>
      </c>
      <c r="O80" s="432">
        <f t="shared" si="14"/>
        <v>0</v>
      </c>
      <c r="P80" s="432">
        <f t="shared" si="14"/>
        <v>2218375.9019999998</v>
      </c>
      <c r="Q80" s="432">
        <f t="shared" si="14"/>
        <v>0</v>
      </c>
      <c r="R80" s="432">
        <f t="shared" si="14"/>
        <v>0</v>
      </c>
      <c r="U80" s="1"/>
      <c r="V80" s="328">
        <f>SUM(V49:V79)</f>
        <v>2155691</v>
      </c>
      <c r="W80" s="328">
        <f>SUM(W49:W79)</f>
        <v>2340510.8056605118</v>
      </c>
      <c r="X80" s="328">
        <f>SUM(X49:X79)</f>
        <v>-184819.80566051195</v>
      </c>
      <c r="Y80" s="531">
        <f>Y78</f>
        <v>-184819.80566051195</v>
      </c>
      <c r="AL80" s="361">
        <f>Y79</f>
        <v>0</v>
      </c>
    </row>
    <row r="81" spans="2:14" ht="15" customHeight="1" x14ac:dyDescent="0.2">
      <c r="B81"/>
      <c r="C81"/>
      <c r="D81"/>
      <c r="E81"/>
      <c r="F81"/>
      <c r="G81"/>
      <c r="H81"/>
      <c r="I81"/>
      <c r="J81"/>
      <c r="K81"/>
      <c r="L81"/>
      <c r="N81" s="2"/>
    </row>
  </sheetData>
  <mergeCells count="12">
    <mergeCell ref="C10:D10"/>
    <mergeCell ref="C11:D11"/>
    <mergeCell ref="C3:M4"/>
    <mergeCell ref="C5:M5"/>
    <mergeCell ref="C6:M6"/>
    <mergeCell ref="G7:H7"/>
    <mergeCell ref="C9:D9"/>
    <mergeCell ref="D23:E23"/>
    <mergeCell ref="D24:E24"/>
    <mergeCell ref="C28:F28"/>
    <mergeCell ref="C39:F39"/>
    <mergeCell ref="S47:Y47"/>
  </mergeCells>
  <conditionalFormatting sqref="L49:O79">
    <cfRule type="cellIs" dxfId="159" priority="1" stopIfTrue="1" operator="equal">
      <formula>0</formula>
    </cfRule>
  </conditionalFormatting>
  <pageMargins left="0.70866141732283472" right="0.70866141732283472" top="0.74803149606299213" bottom="0.74803149606299213" header="0.31496062992125984" footer="0.31496062992125984"/>
  <pageSetup scale="75" orientation="landscape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" defaultRowHeight="14.25" x14ac:dyDescent="0.2"/>
  <sheetData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L81"/>
  <sheetViews>
    <sheetView workbookViewId="0"/>
  </sheetViews>
  <sheetFormatPr baseColWidth="10" defaultColWidth="11" defaultRowHeight="14.25" x14ac:dyDescent="0.2"/>
  <cols>
    <col min="1" max="1" width="11" style="2"/>
    <col min="2" max="2" width="3.875" style="2" bestFit="1" customWidth="1"/>
    <col min="3" max="3" width="16.125" style="2" customWidth="1"/>
    <col min="4" max="4" width="12.375" style="2" bestFit="1" customWidth="1"/>
    <col min="5" max="5" width="10.875" style="2" bestFit="1" customWidth="1"/>
    <col min="6" max="6" width="17.125" style="2" bestFit="1" customWidth="1"/>
    <col min="7" max="7" width="13.125" style="2" bestFit="1" customWidth="1"/>
    <col min="8" max="8" width="12.125" style="2" bestFit="1" customWidth="1"/>
    <col min="9" max="9" width="11.125" style="2" bestFit="1" customWidth="1"/>
    <col min="10" max="10" width="11.875" style="2" bestFit="1" customWidth="1"/>
    <col min="11" max="11" width="11.625" style="2" bestFit="1" customWidth="1"/>
    <col min="12" max="12" width="12.125" style="2" customWidth="1"/>
    <col min="13" max="13" width="12" style="2" bestFit="1" customWidth="1"/>
    <col min="14" max="14" width="9" style="1" customWidth="1"/>
    <col min="15" max="15" width="10.375" style="2" customWidth="1"/>
    <col min="16" max="25" width="11" style="2"/>
    <col min="26" max="32" width="10.875" customWidth="1"/>
    <col min="33" max="16384" width="11" style="2"/>
  </cols>
  <sheetData>
    <row r="2" spans="2:25" x14ac:dyDescent="0.2"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2:25" ht="15" customHeight="1" x14ac:dyDescent="0.2">
      <c r="B3" s="1"/>
      <c r="C3" s="2254" t="s">
        <v>0</v>
      </c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</row>
    <row r="4" spans="2:25" ht="15" customHeight="1" x14ac:dyDescent="0.2"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</row>
    <row r="5" spans="2:25" x14ac:dyDescent="0.2">
      <c r="B5" s="1"/>
      <c r="C5" s="2257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</row>
    <row r="6" spans="2:25" x14ac:dyDescent="0.2">
      <c r="B6" s="1"/>
      <c r="C6" s="2257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</row>
    <row r="7" spans="2:25" x14ac:dyDescent="0.2">
      <c r="B7" s="1"/>
      <c r="C7" s="516"/>
      <c r="D7" s="516"/>
      <c r="E7" s="516"/>
      <c r="F7" s="516"/>
      <c r="G7" s="2271">
        <v>41821</v>
      </c>
      <c r="H7" s="2257"/>
      <c r="I7" s="516"/>
      <c r="J7" s="516"/>
      <c r="K7" s="516"/>
      <c r="L7" s="516"/>
      <c r="M7" s="516"/>
      <c r="N7" s="18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2:25" x14ac:dyDescent="0.2">
      <c r="B8" s="1"/>
      <c r="C8" s="516"/>
      <c r="D8" s="516"/>
      <c r="E8" s="516"/>
      <c r="F8" s="516"/>
      <c r="G8" s="516"/>
      <c r="H8" s="516"/>
      <c r="I8" s="516"/>
      <c r="J8" s="516"/>
      <c r="K8" s="516"/>
      <c r="L8" s="516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2:25" ht="25.5" x14ac:dyDescent="0.2">
      <c r="B9" s="1"/>
      <c r="C9" s="2272" t="s">
        <v>6</v>
      </c>
      <c r="D9" s="2272"/>
      <c r="E9" s="517" t="s">
        <v>94</v>
      </c>
      <c r="F9" s="517" t="s">
        <v>126</v>
      </c>
      <c r="G9" s="410" t="s">
        <v>133</v>
      </c>
      <c r="H9" s="517" t="s">
        <v>127</v>
      </c>
      <c r="I9" s="517" t="s">
        <v>128</v>
      </c>
      <c r="J9" s="516"/>
      <c r="K9" s="516"/>
      <c r="L9" s="516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2:25" x14ac:dyDescent="0.2">
      <c r="B10" s="1"/>
      <c r="C10" s="2270" t="s">
        <v>131</v>
      </c>
      <c r="D10" s="2270"/>
      <c r="E10" s="433">
        <f>IF(C15=0,D15,C15)</f>
        <v>4627948.08</v>
      </c>
      <c r="F10" s="407">
        <f>E10*0.16</f>
        <v>740471.69280000008</v>
      </c>
      <c r="G10" s="407">
        <f>E10+F10</f>
        <v>5368419.7728000004</v>
      </c>
      <c r="H10" s="408"/>
      <c r="I10" s="411">
        <v>19</v>
      </c>
      <c r="J10" s="516"/>
      <c r="K10" s="516"/>
      <c r="L10" s="516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2:25" x14ac:dyDescent="0.2">
      <c r="B11" s="1"/>
      <c r="C11" s="2270" t="s">
        <v>132</v>
      </c>
      <c r="D11" s="2270"/>
      <c r="E11" s="433">
        <f>IF(C16=0,D16,C16)</f>
        <v>2047.42</v>
      </c>
      <c r="F11" s="407">
        <f>E11*0.16</f>
        <v>327.5872</v>
      </c>
      <c r="G11" s="407">
        <f>E11+F11</f>
        <v>2375.0072</v>
      </c>
      <c r="H11" s="408"/>
      <c r="I11" s="411">
        <v>19</v>
      </c>
      <c r="J11" s="516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2:25" x14ac:dyDescent="0.2">
      <c r="B12" s="1"/>
      <c r="C12" s="516"/>
      <c r="D12" s="516"/>
      <c r="E12" s="516"/>
      <c r="F12" s="516"/>
      <c r="G12" s="516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2:25" ht="15" thickBot="1" x14ac:dyDescent="0.25">
      <c r="B13" s="1"/>
      <c r="C13" s="516"/>
      <c r="D13" s="516"/>
      <c r="E13" s="516"/>
      <c r="F13" s="516"/>
      <c r="G13" s="516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2:25" x14ac:dyDescent="0.2">
      <c r="B14" s="1"/>
      <c r="C14" s="440" t="s">
        <v>155</v>
      </c>
      <c r="D14" s="441" t="s">
        <v>156</v>
      </c>
      <c r="E14" s="442" t="s">
        <v>112</v>
      </c>
      <c r="F14" s="516"/>
      <c r="G14" s="516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2:25" x14ac:dyDescent="0.2">
      <c r="B15" s="1"/>
      <c r="C15" s="443">
        <v>4627948.08</v>
      </c>
      <c r="D15" s="444">
        <f>D80</f>
        <v>4376086.9600000028</v>
      </c>
      <c r="E15" s="445">
        <f>C15-D15</f>
        <v>251861.11999999732</v>
      </c>
      <c r="F15" s="516"/>
      <c r="G15" s="516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2:25" ht="15" thickBot="1" x14ac:dyDescent="0.25">
      <c r="B16" s="1"/>
      <c r="C16" s="446">
        <v>2047.42</v>
      </c>
      <c r="D16" s="447">
        <f>ROUND(G80,2)</f>
        <v>603.82000000000005</v>
      </c>
      <c r="E16" s="448">
        <f>C16-D16</f>
        <v>1443.6</v>
      </c>
      <c r="F16" s="516"/>
      <c r="G16" s="516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2:25" x14ac:dyDescent="0.2">
      <c r="B17" s="1"/>
      <c r="C17" s="516"/>
      <c r="D17" s="516"/>
      <c r="E17" s="516"/>
      <c r="F17" s="516"/>
      <c r="G17" s="516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2:25" x14ac:dyDescent="0.2">
      <c r="B18" s="1"/>
      <c r="C18" s="516"/>
      <c r="D18" s="516"/>
      <c r="E18" s="516"/>
      <c r="F18" s="516"/>
      <c r="G18" s="516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2:25" x14ac:dyDescent="0.2">
      <c r="B19" s="1"/>
      <c r="C19" s="516"/>
      <c r="D19" s="516"/>
      <c r="E19" s="516"/>
      <c r="F19" s="516"/>
      <c r="G19" s="516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2:25" x14ac:dyDescent="0.2">
      <c r="B20" s="1"/>
      <c r="C20" s="516"/>
      <c r="D20" s="516"/>
      <c r="E20" s="516"/>
      <c r="F20" s="516"/>
      <c r="G20" s="516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2:25" x14ac:dyDescent="0.2">
      <c r="B21" s="1"/>
      <c r="C21" s="516"/>
      <c r="D21" s="516"/>
      <c r="E21" s="516"/>
      <c r="F21" s="516"/>
      <c r="G21" s="516"/>
      <c r="H21" s="1"/>
      <c r="I21" s="1"/>
      <c r="J21" s="1"/>
      <c r="K21" s="1"/>
      <c r="L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2:25" ht="15" thickBot="1" x14ac:dyDescent="0.25">
      <c r="B22" s="1"/>
      <c r="C22" s="419" t="s">
        <v>137</v>
      </c>
      <c r="D22" s="516" t="s">
        <v>138</v>
      </c>
      <c r="E22" s="516"/>
      <c r="F22" s="516" t="s">
        <v>139</v>
      </c>
      <c r="G22" s="516" t="s">
        <v>157</v>
      </c>
      <c r="H22" s="516" t="s">
        <v>143</v>
      </c>
      <c r="I22" s="516" t="s">
        <v>142</v>
      </c>
      <c r="J22" s="516" t="s">
        <v>141</v>
      </c>
      <c r="K22" s="516" t="s">
        <v>140</v>
      </c>
      <c r="L22" s="516" t="s">
        <v>144</v>
      </c>
      <c r="M22" s="516" t="s">
        <v>146</v>
      </c>
      <c r="N22" s="516"/>
      <c r="O22" s="516"/>
      <c r="P22" s="516"/>
      <c r="Q22" s="1"/>
      <c r="R22" s="1"/>
      <c r="S22" s="1"/>
      <c r="T22" s="1"/>
      <c r="U22" s="1"/>
      <c r="V22" s="1"/>
      <c r="W22" s="1"/>
      <c r="X22" s="1"/>
      <c r="Y22" s="1"/>
    </row>
    <row r="23" spans="2:25" ht="36.75" customHeight="1" x14ac:dyDescent="0.2">
      <c r="B23" s="1"/>
      <c r="C23" s="402" t="s">
        <v>134</v>
      </c>
      <c r="D23" s="2261" t="s">
        <v>135</v>
      </c>
      <c r="E23" s="2262"/>
      <c r="F23" s="518" t="s">
        <v>136</v>
      </c>
      <c r="G23" s="461" t="s">
        <v>153</v>
      </c>
      <c r="H23" s="420" t="s">
        <v>129</v>
      </c>
      <c r="I23" s="403" t="s">
        <v>130</v>
      </c>
      <c r="J23" s="422"/>
      <c r="K23" s="422"/>
      <c r="L23" s="422"/>
      <c r="M23" s="404" t="s">
        <v>158</v>
      </c>
      <c r="N23" s="516"/>
      <c r="O23" s="516"/>
      <c r="P23" s="516"/>
      <c r="Q23" s="516"/>
      <c r="R23" s="516"/>
      <c r="S23" s="516"/>
      <c r="T23" s="516"/>
      <c r="U23" s="1"/>
      <c r="V23" s="1"/>
      <c r="W23" s="1"/>
      <c r="X23" s="1"/>
      <c r="Y23" s="1"/>
    </row>
    <row r="24" spans="2:25" x14ac:dyDescent="0.2">
      <c r="B24" s="1"/>
      <c r="C24" s="405">
        <v>850</v>
      </c>
      <c r="D24" s="2263">
        <v>850</v>
      </c>
      <c r="E24" s="2264"/>
      <c r="F24" s="418">
        <v>31482640</v>
      </c>
      <c r="G24" s="462">
        <v>31</v>
      </c>
      <c r="H24" s="460">
        <f>VLOOKUP(C47,Tarifas!D4:H303,3)</f>
        <v>0.13900000000000001</v>
      </c>
      <c r="I24" s="424">
        <f>VLOOKUP(C47,Tarifas!D4:H303,5)</f>
        <v>1E-3</v>
      </c>
      <c r="J24" s="421">
        <v>182.5</v>
      </c>
      <c r="K24" s="421">
        <v>201.4</v>
      </c>
      <c r="L24" s="421">
        <f>I11</f>
        <v>19</v>
      </c>
      <c r="M24" s="431">
        <f>E80</f>
        <v>666352.87</v>
      </c>
      <c r="N24" s="430" t="s">
        <v>62</v>
      </c>
      <c r="O24" s="516"/>
      <c r="P24" s="516"/>
      <c r="Q24" s="516"/>
      <c r="R24" s="516"/>
      <c r="S24" s="516"/>
      <c r="T24" s="516"/>
      <c r="U24" s="1"/>
      <c r="V24" s="1"/>
      <c r="W24" s="1"/>
      <c r="X24" s="1"/>
      <c r="Y24" s="1"/>
    </row>
    <row r="25" spans="2:25" x14ac:dyDescent="0.2">
      <c r="B25" s="1"/>
      <c r="C25" s="516"/>
      <c r="D25" s="516"/>
      <c r="E25" s="516"/>
      <c r="F25" s="516"/>
      <c r="G25" s="516"/>
      <c r="H25" s="516"/>
      <c r="I25" s="516"/>
      <c r="J25" s="516"/>
      <c r="K25" s="516"/>
      <c r="L25" s="516"/>
      <c r="M25" s="516"/>
      <c r="N25" s="516"/>
      <c r="O25" s="516"/>
      <c r="P25" s="516"/>
      <c r="Q25" s="516"/>
      <c r="R25" s="516"/>
      <c r="S25" s="1"/>
      <c r="T25" s="1"/>
      <c r="U25" s="1"/>
      <c r="V25" s="1"/>
      <c r="W25" s="1"/>
      <c r="X25" s="1"/>
      <c r="Y25" s="1"/>
    </row>
    <row r="26" spans="2:25" x14ac:dyDescent="0.2">
      <c r="B26" s="1"/>
      <c r="C26" s="516"/>
      <c r="D26" s="516"/>
      <c r="E26" s="516"/>
      <c r="F26" s="516"/>
      <c r="G26" s="516"/>
      <c r="H26" s="516"/>
      <c r="I26" s="516"/>
      <c r="J26" s="516"/>
      <c r="K26" s="516"/>
      <c r="L26" s="516"/>
      <c r="M26" s="516"/>
      <c r="N26" s="516"/>
      <c r="O26" s="516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2:25" x14ac:dyDescent="0.2">
      <c r="B27" s="1"/>
      <c r="C27" s="516"/>
      <c r="D27" s="516"/>
      <c r="E27" s="516"/>
      <c r="F27" s="516"/>
      <c r="G27" s="516"/>
      <c r="H27" s="516"/>
      <c r="I27" s="516"/>
      <c r="J27" s="516"/>
      <c r="K27" s="516"/>
      <c r="L27" s="516"/>
      <c r="M27" s="516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2:25" ht="15" thickBot="1" x14ac:dyDescent="0.25">
      <c r="B28" s="1"/>
      <c r="C28" s="2265" t="s">
        <v>86</v>
      </c>
      <c r="D28" s="2265"/>
      <c r="E28" s="2265"/>
      <c r="F28" s="2265"/>
      <c r="G28" s="519"/>
      <c r="H28" s="334"/>
      <c r="I28" s="334"/>
      <c r="J28" s="334"/>
      <c r="K28" s="519"/>
      <c r="L28" s="336"/>
      <c r="M28" s="336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2:25" ht="22.5" x14ac:dyDescent="0.2">
      <c r="B29" s="1"/>
      <c r="C29" s="337" t="s">
        <v>87</v>
      </c>
      <c r="D29" s="514" t="s">
        <v>88</v>
      </c>
      <c r="E29" s="514" t="s">
        <v>89</v>
      </c>
      <c r="F29" s="514" t="s">
        <v>20</v>
      </c>
      <c r="G29" s="514" t="s">
        <v>160</v>
      </c>
      <c r="H29" s="514" t="s">
        <v>90</v>
      </c>
      <c r="I29" s="514" t="s">
        <v>91</v>
      </c>
      <c r="J29" s="514" t="s">
        <v>92</v>
      </c>
      <c r="K29" s="514" t="s">
        <v>93</v>
      </c>
      <c r="L29" s="514" t="s">
        <v>94</v>
      </c>
      <c r="M29" s="515" t="s">
        <v>95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2:25" x14ac:dyDescent="0.2">
      <c r="B30" s="1"/>
      <c r="C30" s="338"/>
      <c r="D30" s="339">
        <v>1</v>
      </c>
      <c r="E30" s="339" t="s">
        <v>96</v>
      </c>
      <c r="F30" s="340" t="s">
        <v>97</v>
      </c>
      <c r="G30" s="340">
        <v>2201</v>
      </c>
      <c r="H30" s="339">
        <v>20823</v>
      </c>
      <c r="I30" s="341">
        <v>40000</v>
      </c>
      <c r="J30" s="339">
        <v>138.15</v>
      </c>
      <c r="K30" s="342">
        <f>I30/I$35</f>
        <v>4.7058823529411764E-2</v>
      </c>
      <c r="L30" s="343">
        <f>ROUND(K30*E$10,2)</f>
        <v>217785.79</v>
      </c>
      <c r="M30" s="344">
        <f>L30*$I$10</f>
        <v>4137930.0100000002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2:25" x14ac:dyDescent="0.2">
      <c r="B31" s="1"/>
      <c r="C31" s="338"/>
      <c r="D31" s="339">
        <v>2</v>
      </c>
      <c r="E31" s="339" t="s">
        <v>98</v>
      </c>
      <c r="F31" s="340" t="s">
        <v>97</v>
      </c>
      <c r="G31" s="340">
        <v>2201</v>
      </c>
      <c r="H31" s="339">
        <v>20824</v>
      </c>
      <c r="I31" s="341">
        <v>40000</v>
      </c>
      <c r="J31" s="339">
        <v>138.15</v>
      </c>
      <c r="K31" s="342">
        <f>I31/I$35</f>
        <v>4.7058823529411764E-2</v>
      </c>
      <c r="L31" s="343">
        <f>ROUND(K31*E$10,2)</f>
        <v>217785.79</v>
      </c>
      <c r="M31" s="344">
        <f>L31*$I$10</f>
        <v>4137930.0100000002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2:25" x14ac:dyDescent="0.2">
      <c r="B32" s="1"/>
      <c r="C32" s="338"/>
      <c r="D32" s="339">
        <v>1</v>
      </c>
      <c r="E32" s="339" t="s">
        <v>99</v>
      </c>
      <c r="F32" s="340" t="s">
        <v>100</v>
      </c>
      <c r="G32" s="340">
        <v>2230</v>
      </c>
      <c r="H32" s="339">
        <v>22228</v>
      </c>
      <c r="I32" s="341">
        <v>32000</v>
      </c>
      <c r="J32" s="339">
        <v>130.80000000000001</v>
      </c>
      <c r="K32" s="342">
        <f>I32/I$35</f>
        <v>3.7647058823529408E-2</v>
      </c>
      <c r="L32" s="343">
        <f>ROUND(K32*E$10,2)</f>
        <v>174228.63</v>
      </c>
      <c r="M32" s="344">
        <f>L32*$I$10</f>
        <v>3310343.97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2:25" x14ac:dyDescent="0.2">
      <c r="B33" s="1"/>
      <c r="C33" s="338">
        <v>800762390</v>
      </c>
      <c r="D33" s="339">
        <v>1</v>
      </c>
      <c r="E33" s="354" t="s">
        <v>101</v>
      </c>
      <c r="F33" s="463" t="s">
        <v>23</v>
      </c>
      <c r="G33" s="463">
        <v>2044</v>
      </c>
      <c r="H33" s="354">
        <v>591000420</v>
      </c>
      <c r="I33" s="341">
        <v>80000</v>
      </c>
      <c r="J33" s="339"/>
      <c r="K33" s="342">
        <f>I33/I$35</f>
        <v>9.4117647058823528E-2</v>
      </c>
      <c r="L33" s="343">
        <f>ROUND(K33*E$10,2)</f>
        <v>435571.58</v>
      </c>
      <c r="M33" s="344">
        <f>L33*$I$10</f>
        <v>8275860.0200000005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2:25" ht="15" thickBot="1" x14ac:dyDescent="0.25">
      <c r="B34" s="1"/>
      <c r="C34" s="345">
        <v>800642440</v>
      </c>
      <c r="D34" s="346">
        <v>5</v>
      </c>
      <c r="E34" s="347" t="s">
        <v>101</v>
      </c>
      <c r="F34" s="348" t="s">
        <v>159</v>
      </c>
      <c r="G34" s="348">
        <v>2277</v>
      </c>
      <c r="H34" s="347">
        <v>22770</v>
      </c>
      <c r="I34" s="349">
        <f>850000-I30-I31-I32-I33</f>
        <v>658000</v>
      </c>
      <c r="J34" s="346"/>
      <c r="K34" s="350">
        <f>I34/I$35</f>
        <v>0.77411764705882358</v>
      </c>
      <c r="L34" s="351">
        <f>ROUND(K34*E$10,2)</f>
        <v>3582576.28</v>
      </c>
      <c r="M34" s="352">
        <f>L34*$I$10</f>
        <v>68068949.319999993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2:25" x14ac:dyDescent="0.2">
      <c r="B35" s="1"/>
      <c r="C35" s="406">
        <v>3000623</v>
      </c>
      <c r="D35" s="353" t="s">
        <v>102</v>
      </c>
      <c r="E35" s="353"/>
      <c r="F35" s="353"/>
      <c r="G35" s="353"/>
      <c r="H35" s="354"/>
      <c r="I35" s="355">
        <f>SUM(I30:I34)</f>
        <v>850000</v>
      </c>
      <c r="J35" s="353"/>
      <c r="K35" s="356">
        <f>SUM(K30:K34)</f>
        <v>1</v>
      </c>
      <c r="L35" s="357">
        <f>SUM(L30:L34)</f>
        <v>4627948.07</v>
      </c>
      <c r="M35" s="357">
        <f>SUM(M30:M34)</f>
        <v>87931013.329999998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2:25" x14ac:dyDescent="0.2">
      <c r="B36" s="1"/>
      <c r="C36" s="336"/>
      <c r="D36" s="336"/>
      <c r="E36" s="336"/>
      <c r="F36" s="358"/>
      <c r="G36" s="358"/>
      <c r="H36" s="336"/>
      <c r="I36" s="336"/>
      <c r="J36" s="336"/>
      <c r="K36" s="336"/>
      <c r="L36" s="359"/>
      <c r="M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2:25" x14ac:dyDescent="0.2">
      <c r="B37" s="1"/>
      <c r="C37" s="336"/>
      <c r="D37" s="336"/>
      <c r="E37" s="336"/>
      <c r="F37" s="358"/>
      <c r="G37" s="358"/>
      <c r="H37" s="336"/>
      <c r="I37" s="336"/>
      <c r="J37" s="336"/>
      <c r="K37" s="336"/>
      <c r="L37" s="359"/>
      <c r="M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2:25" x14ac:dyDescent="0.2">
      <c r="B38" s="1"/>
      <c r="C38" s="336"/>
      <c r="D38" s="336"/>
      <c r="E38" s="336"/>
      <c r="F38" s="358"/>
      <c r="G38" s="358"/>
      <c r="H38" s="336"/>
      <c r="I38" s="336"/>
      <c r="J38" s="336"/>
      <c r="K38" s="336"/>
      <c r="L38" s="359"/>
      <c r="M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2:25" ht="15" thickBot="1" x14ac:dyDescent="0.25">
      <c r="B39" s="1"/>
      <c r="C39" s="2266" t="s">
        <v>103</v>
      </c>
      <c r="D39" s="2266"/>
      <c r="E39" s="2266"/>
      <c r="F39" s="2266"/>
      <c r="G39" s="519"/>
      <c r="H39" s="334"/>
      <c r="I39" s="334"/>
      <c r="J39" s="334"/>
      <c r="K39" s="336"/>
      <c r="L39" s="336"/>
      <c r="M39" s="360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2:25" ht="22.5" x14ac:dyDescent="0.2">
      <c r="B40" s="1"/>
      <c r="C40" s="337" t="s">
        <v>87</v>
      </c>
      <c r="D40" s="514" t="s">
        <v>88</v>
      </c>
      <c r="E40" s="514" t="s">
        <v>89</v>
      </c>
      <c r="F40" s="514" t="s">
        <v>20</v>
      </c>
      <c r="G40" s="514"/>
      <c r="H40" s="514" t="s">
        <v>90</v>
      </c>
      <c r="I40" s="514" t="s">
        <v>104</v>
      </c>
      <c r="J40" s="514" t="s">
        <v>93</v>
      </c>
      <c r="K40" s="514" t="s">
        <v>92</v>
      </c>
      <c r="L40" s="514" t="s">
        <v>94</v>
      </c>
      <c r="M40" s="515" t="s">
        <v>95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2:25" x14ac:dyDescent="0.2">
      <c r="B41" s="1"/>
      <c r="C41" s="338"/>
      <c r="D41" s="339">
        <v>1</v>
      </c>
      <c r="E41" s="339" t="s">
        <v>96</v>
      </c>
      <c r="F41" s="340" t="s">
        <v>97</v>
      </c>
      <c r="G41" s="340"/>
      <c r="H41" s="339">
        <v>20823</v>
      </c>
      <c r="I41" s="341">
        <f>M80</f>
        <v>0</v>
      </c>
      <c r="J41" s="342">
        <f>I41/I$45</f>
        <v>0</v>
      </c>
      <c r="K41" s="339">
        <v>138.15</v>
      </c>
      <c r="L41" s="343">
        <f>ROUND(J41*$E$11,2)</f>
        <v>0</v>
      </c>
      <c r="M41" s="344">
        <f>L41*L24</f>
        <v>0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2:25" x14ac:dyDescent="0.2">
      <c r="B42" s="1"/>
      <c r="C42" s="338"/>
      <c r="D42" s="339">
        <v>2</v>
      </c>
      <c r="E42" s="339" t="s">
        <v>98</v>
      </c>
      <c r="F42" s="340" t="s">
        <v>97</v>
      </c>
      <c r="G42" s="340"/>
      <c r="H42" s="339">
        <v>20824</v>
      </c>
      <c r="I42" s="341">
        <f>N80</f>
        <v>0</v>
      </c>
      <c r="J42" s="342">
        <f>I42/I$45</f>
        <v>0</v>
      </c>
      <c r="K42" s="339">
        <v>138.15</v>
      </c>
      <c r="L42" s="343">
        <f>ROUND(J42*$E$11,2)</f>
        <v>0</v>
      </c>
      <c r="M42" s="344">
        <f>L42*L25</f>
        <v>0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2:25" x14ac:dyDescent="0.2">
      <c r="B43" s="1"/>
      <c r="C43" s="338"/>
      <c r="D43" s="339">
        <v>1</v>
      </c>
      <c r="E43" s="339" t="s">
        <v>99</v>
      </c>
      <c r="F43" s="340" t="s">
        <v>100</v>
      </c>
      <c r="G43" s="340"/>
      <c r="H43" s="339">
        <v>22228</v>
      </c>
      <c r="I43" s="341">
        <f>O80</f>
        <v>0</v>
      </c>
      <c r="J43" s="342">
        <f>I43/I$45</f>
        <v>0</v>
      </c>
      <c r="K43" s="339">
        <v>130.80000000000001</v>
      </c>
      <c r="L43" s="343">
        <f>ROUND(J43*$E$11,2)</f>
        <v>0</v>
      </c>
      <c r="M43" s="344">
        <f>L43*L26</f>
        <v>0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2:25" ht="15" thickBot="1" x14ac:dyDescent="0.25">
      <c r="B44" s="1"/>
      <c r="C44" s="345">
        <v>800762390</v>
      </c>
      <c r="D44" s="346">
        <v>2</v>
      </c>
      <c r="E44" s="347" t="s">
        <v>101</v>
      </c>
      <c r="F44" s="348" t="s">
        <v>23</v>
      </c>
      <c r="G44" s="348"/>
      <c r="H44" s="347"/>
      <c r="I44" s="349">
        <f>L80</f>
        <v>666352.87</v>
      </c>
      <c r="J44" s="350">
        <f>I44/I$45</f>
        <v>1</v>
      </c>
      <c r="K44" s="346">
        <v>138.15</v>
      </c>
      <c r="L44" s="351">
        <f>ROUND(J44*$E$11,2)</f>
        <v>2047.42</v>
      </c>
      <c r="M44" s="352">
        <f>L44*L27</f>
        <v>0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2:25" x14ac:dyDescent="0.2">
      <c r="B45" s="1"/>
      <c r="C45" s="353"/>
      <c r="D45" s="353"/>
      <c r="E45" s="353"/>
      <c r="F45" s="353"/>
      <c r="G45" s="353"/>
      <c r="H45" s="354"/>
      <c r="I45" s="449">
        <f>SUM(I41:I44)</f>
        <v>666352.87</v>
      </c>
      <c r="J45" s="355"/>
      <c r="K45" s="353"/>
      <c r="L45" s="357">
        <f>SUM(L41:L44)</f>
        <v>2047.42</v>
      </c>
      <c r="M45" s="357">
        <f>SUM(M41:M44)</f>
        <v>0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2:25" customFormat="1" ht="15" thickBot="1" x14ac:dyDescent="0.25">
      <c r="M46" s="450"/>
      <c r="N46" s="450"/>
      <c r="O46" s="450"/>
      <c r="P46" s="450"/>
      <c r="Q46" s="450"/>
      <c r="R46" s="450"/>
      <c r="S46" s="450"/>
      <c r="T46" s="450"/>
      <c r="U46" s="450"/>
      <c r="V46" s="450"/>
      <c r="W46" s="450"/>
      <c r="X46" s="450"/>
      <c r="Y46" s="450"/>
    </row>
    <row r="47" spans="2:25" ht="15" thickBot="1" x14ac:dyDescent="0.25">
      <c r="B47" s="434" t="s">
        <v>3</v>
      </c>
      <c r="C47" s="333">
        <f>SUMIF(Tarifas!E4:E303,'Julio - 2014'!C49,Tarifas!D4:D303)</f>
        <v>12</v>
      </c>
      <c r="D47" s="425" t="s">
        <v>147</v>
      </c>
      <c r="E47" s="426" t="s">
        <v>145</v>
      </c>
      <c r="F47" s="426" t="s">
        <v>150</v>
      </c>
      <c r="G47" s="426" t="s">
        <v>148</v>
      </c>
      <c r="H47" s="382"/>
      <c r="I47" s="331" t="s">
        <v>120</v>
      </c>
      <c r="J47" s="332"/>
      <c r="K47" s="332"/>
      <c r="L47" s="364" t="s">
        <v>105</v>
      </c>
      <c r="M47" s="365"/>
      <c r="N47" s="365"/>
      <c r="O47" s="365"/>
      <c r="P47" s="365"/>
      <c r="Q47" s="365"/>
      <c r="R47" s="366"/>
      <c r="S47" s="2267" t="s">
        <v>121</v>
      </c>
      <c r="T47" s="2268"/>
      <c r="U47" s="2268"/>
      <c r="V47" s="2268"/>
      <c r="W47" s="2268"/>
      <c r="X47" s="2268"/>
      <c r="Y47" s="2269"/>
    </row>
    <row r="48" spans="2:25" ht="33.75" x14ac:dyDescent="0.2">
      <c r="C48" s="383" t="s">
        <v>122</v>
      </c>
      <c r="D48" s="384" t="s">
        <v>125</v>
      </c>
      <c r="E48" s="385" t="s">
        <v>149</v>
      </c>
      <c r="F48" s="385" t="s">
        <v>151</v>
      </c>
      <c r="G48" s="385" t="s">
        <v>152</v>
      </c>
      <c r="H48" s="386" t="s">
        <v>123</v>
      </c>
      <c r="I48" s="329" t="s">
        <v>109</v>
      </c>
      <c r="J48" s="330" t="s">
        <v>25</v>
      </c>
      <c r="K48" s="330" t="s">
        <v>26</v>
      </c>
      <c r="L48" s="367" t="s">
        <v>115</v>
      </c>
      <c r="M48" s="362" t="s">
        <v>106</v>
      </c>
      <c r="N48" s="362" t="s">
        <v>107</v>
      </c>
      <c r="O48" s="362" t="s">
        <v>108</v>
      </c>
      <c r="P48" s="362" t="s">
        <v>115</v>
      </c>
      <c r="Q48" s="363" t="s">
        <v>116</v>
      </c>
      <c r="R48" s="368" t="s">
        <v>117</v>
      </c>
      <c r="S48" s="369" t="s">
        <v>192</v>
      </c>
      <c r="T48" s="370" t="s">
        <v>111</v>
      </c>
      <c r="U48" s="370" t="s">
        <v>112</v>
      </c>
      <c r="V48" s="371" t="s">
        <v>118</v>
      </c>
      <c r="W48" s="371" t="s">
        <v>119</v>
      </c>
      <c r="X48" s="371" t="s">
        <v>114</v>
      </c>
      <c r="Y48" s="372" t="s">
        <v>113</v>
      </c>
    </row>
    <row r="49" spans="3:25" x14ac:dyDescent="0.2">
      <c r="C49" s="387">
        <f>G7</f>
        <v>41821</v>
      </c>
      <c r="D49" s="388">
        <f>($F$24*$H$24)/$G$24</f>
        <v>141164.09548387097</v>
      </c>
      <c r="E49" s="389">
        <f>P49+Q49+R49</f>
        <v>73855.45</v>
      </c>
      <c r="F49" s="427">
        <f t="shared" ref="F49:F79" si="0">TRUNC(IFERROR(J$24/K$24,0),8)</f>
        <v>0.90615690000000004</v>
      </c>
      <c r="G49" s="390">
        <f t="shared" ref="G49:G79" si="1">ROUND(I$24*F49*E49,4)</f>
        <v>66.924599999999998</v>
      </c>
      <c r="H49" s="391">
        <f t="shared" ref="H49:H79" si="2">SUM(D49:G49)</f>
        <v>215087.37624077094</v>
      </c>
      <c r="I49" s="324">
        <v>78000</v>
      </c>
      <c r="J49" s="325"/>
      <c r="K49" s="325"/>
      <c r="L49" s="317">
        <v>73855.45</v>
      </c>
      <c r="M49" s="318"/>
      <c r="N49" s="318"/>
      <c r="O49" s="318"/>
      <c r="P49" s="389">
        <f>L49</f>
        <v>73855.45</v>
      </c>
      <c r="Q49" s="389">
        <f t="shared" ref="Q49:Q79" si="3">M49+N49</f>
        <v>0</v>
      </c>
      <c r="R49" s="389">
        <f t="shared" ref="R49:R79" si="4">O49</f>
        <v>0</v>
      </c>
      <c r="S49" s="532">
        <v>78000</v>
      </c>
      <c r="T49" s="374"/>
      <c r="U49" s="520">
        <f>S49+T49-V49</f>
        <v>0</v>
      </c>
      <c r="V49" s="520">
        <f>I49+J49+K49</f>
        <v>78000</v>
      </c>
      <c r="W49" s="520">
        <f>(P49+Q49+R49)*1.055056</f>
        <v>77921.635655199992</v>
      </c>
      <c r="X49" s="520">
        <f>V49-W49</f>
        <v>78.36434480000753</v>
      </c>
      <c r="Y49" s="525">
        <f>AL46+X49</f>
        <v>78.36434480000753</v>
      </c>
    </row>
    <row r="50" spans="3:25" x14ac:dyDescent="0.2">
      <c r="C50" s="387">
        <f t="shared" ref="C50:C79" si="5">C49+1</f>
        <v>41822</v>
      </c>
      <c r="D50" s="388">
        <f t="shared" ref="D50:D79" si="6">($F$24*$H$24)/$G$24</f>
        <v>141164.09548387097</v>
      </c>
      <c r="E50" s="392">
        <f t="shared" ref="E50:E79" si="7">P50+Q50+R50</f>
        <v>73214.03</v>
      </c>
      <c r="F50" s="428">
        <f t="shared" si="0"/>
        <v>0.90615690000000004</v>
      </c>
      <c r="G50" s="390">
        <f t="shared" si="1"/>
        <v>66.343400000000003</v>
      </c>
      <c r="H50" s="391">
        <f t="shared" si="2"/>
        <v>214445.37504077097</v>
      </c>
      <c r="I50" s="324">
        <v>77000</v>
      </c>
      <c r="J50" s="325"/>
      <c r="K50" s="325"/>
      <c r="L50" s="319">
        <v>73214.03</v>
      </c>
      <c r="M50" s="320"/>
      <c r="N50" s="320"/>
      <c r="O50" s="320"/>
      <c r="P50" s="392">
        <f t="shared" ref="P50:P79" si="8">L50</f>
        <v>73214.03</v>
      </c>
      <c r="Q50" s="392">
        <f t="shared" si="3"/>
        <v>0</v>
      </c>
      <c r="R50" s="392">
        <f t="shared" si="4"/>
        <v>0</v>
      </c>
      <c r="S50" s="532">
        <v>77000</v>
      </c>
      <c r="T50" s="374"/>
      <c r="U50" s="524">
        <f t="shared" ref="U50:U79" si="9">S50+T50-V50</f>
        <v>0</v>
      </c>
      <c r="V50" s="520">
        <f t="shared" ref="V50:V79" si="10">I50+J50+K50</f>
        <v>77000</v>
      </c>
      <c r="W50" s="520">
        <f t="shared" ref="W50:W79" si="11">(P50+Q50+R50)*1.055056</f>
        <v>77244.901635679998</v>
      </c>
      <c r="X50" s="520">
        <f t="shared" ref="X50:X79" si="12">V50-W50</f>
        <v>-244.90163567999844</v>
      </c>
      <c r="Y50" s="525">
        <f>Y49+X50</f>
        <v>-166.53729087999091</v>
      </c>
    </row>
    <row r="51" spans="3:25" x14ac:dyDescent="0.2">
      <c r="C51" s="387">
        <f t="shared" si="5"/>
        <v>41823</v>
      </c>
      <c r="D51" s="388">
        <f t="shared" si="6"/>
        <v>141164.09548387097</v>
      </c>
      <c r="E51" s="392">
        <f t="shared" si="7"/>
        <v>71496.73</v>
      </c>
      <c r="F51" s="428">
        <f t="shared" si="0"/>
        <v>0.90615690000000004</v>
      </c>
      <c r="G51" s="390">
        <f t="shared" si="1"/>
        <v>64.787300000000002</v>
      </c>
      <c r="H51" s="391">
        <f t="shared" si="2"/>
        <v>212726.51894077097</v>
      </c>
      <c r="I51" s="324">
        <v>77000</v>
      </c>
      <c r="J51" s="325"/>
      <c r="K51" s="325"/>
      <c r="L51" s="317">
        <v>71496.73</v>
      </c>
      <c r="M51" s="318"/>
      <c r="N51" s="318"/>
      <c r="O51" s="318"/>
      <c r="P51" s="392">
        <f t="shared" si="8"/>
        <v>71496.73</v>
      </c>
      <c r="Q51" s="392">
        <f t="shared" si="3"/>
        <v>0</v>
      </c>
      <c r="R51" s="392">
        <f t="shared" si="4"/>
        <v>0</v>
      </c>
      <c r="S51" s="532">
        <v>77000</v>
      </c>
      <c r="T51" s="374"/>
      <c r="U51" s="524">
        <f t="shared" si="9"/>
        <v>0</v>
      </c>
      <c r="V51" s="520">
        <f t="shared" si="10"/>
        <v>77000</v>
      </c>
      <c r="W51" s="520">
        <f t="shared" si="11"/>
        <v>75433.05396687999</v>
      </c>
      <c r="X51" s="520">
        <f t="shared" si="12"/>
        <v>1566.9460331200098</v>
      </c>
      <c r="Y51" s="525">
        <f t="shared" ref="Y51:Y79" si="13">Y50+X51</f>
        <v>1400.4087422400189</v>
      </c>
    </row>
    <row r="52" spans="3:25" x14ac:dyDescent="0.2">
      <c r="C52" s="387">
        <f t="shared" si="5"/>
        <v>41824</v>
      </c>
      <c r="D52" s="388">
        <f t="shared" si="6"/>
        <v>141164.09548387097</v>
      </c>
      <c r="E52" s="392">
        <f t="shared" si="7"/>
        <v>75754.59</v>
      </c>
      <c r="F52" s="428">
        <f t="shared" si="0"/>
        <v>0.90615690000000004</v>
      </c>
      <c r="G52" s="390">
        <f t="shared" si="1"/>
        <v>68.645499999999998</v>
      </c>
      <c r="H52" s="391">
        <f t="shared" si="2"/>
        <v>216988.23714077097</v>
      </c>
      <c r="I52" s="324">
        <v>77000</v>
      </c>
      <c r="J52" s="325"/>
      <c r="K52" s="325"/>
      <c r="L52" s="319">
        <v>75754.59</v>
      </c>
      <c r="M52" s="320"/>
      <c r="N52" s="320"/>
      <c r="O52" s="320"/>
      <c r="P52" s="392">
        <f t="shared" si="8"/>
        <v>75754.59</v>
      </c>
      <c r="Q52" s="392">
        <f t="shared" si="3"/>
        <v>0</v>
      </c>
      <c r="R52" s="392">
        <f t="shared" si="4"/>
        <v>0</v>
      </c>
      <c r="S52" s="532">
        <v>77000</v>
      </c>
      <c r="T52" s="374"/>
      <c r="U52" s="524">
        <f t="shared" si="9"/>
        <v>0</v>
      </c>
      <c r="V52" s="520">
        <f t="shared" si="10"/>
        <v>77000</v>
      </c>
      <c r="W52" s="520">
        <f t="shared" si="11"/>
        <v>79925.33470703999</v>
      </c>
      <c r="X52" s="520">
        <f t="shared" si="12"/>
        <v>-2925.3347070399905</v>
      </c>
      <c r="Y52" s="525">
        <f t="shared" si="13"/>
        <v>-1524.9259647999716</v>
      </c>
    </row>
    <row r="53" spans="3:25" x14ac:dyDescent="0.2">
      <c r="C53" s="387">
        <f t="shared" si="5"/>
        <v>41825</v>
      </c>
      <c r="D53" s="388">
        <f t="shared" si="6"/>
        <v>141164.09548387097</v>
      </c>
      <c r="E53" s="392">
        <f t="shared" si="7"/>
        <v>75415.320000000007</v>
      </c>
      <c r="F53" s="428">
        <f t="shared" si="0"/>
        <v>0.90615690000000004</v>
      </c>
      <c r="G53" s="390">
        <f t="shared" si="1"/>
        <v>68.338099999999997</v>
      </c>
      <c r="H53" s="391">
        <f t="shared" si="2"/>
        <v>216648.65974077096</v>
      </c>
      <c r="I53" s="324">
        <v>77000</v>
      </c>
      <c r="J53" s="325"/>
      <c r="K53" s="325"/>
      <c r="L53" s="317">
        <v>75415.320000000007</v>
      </c>
      <c r="M53" s="318"/>
      <c r="N53" s="318"/>
      <c r="O53" s="318"/>
      <c r="P53" s="392">
        <f t="shared" si="8"/>
        <v>75415.320000000007</v>
      </c>
      <c r="Q53" s="392">
        <f t="shared" si="3"/>
        <v>0</v>
      </c>
      <c r="R53" s="392">
        <f t="shared" si="4"/>
        <v>0</v>
      </c>
      <c r="S53" s="532">
        <v>77000</v>
      </c>
      <c r="T53" s="374"/>
      <c r="U53" s="524">
        <f t="shared" si="9"/>
        <v>0</v>
      </c>
      <c r="V53" s="520">
        <f t="shared" si="10"/>
        <v>77000</v>
      </c>
      <c r="W53" s="520">
        <f t="shared" si="11"/>
        <v>79567.385857920002</v>
      </c>
      <c r="X53" s="520">
        <f t="shared" si="12"/>
        <v>-2567.3858579200023</v>
      </c>
      <c r="Y53" s="525">
        <f t="shared" si="13"/>
        <v>-4092.3118227199739</v>
      </c>
    </row>
    <row r="54" spans="3:25" x14ac:dyDescent="0.2">
      <c r="C54" s="387">
        <f t="shared" si="5"/>
        <v>41826</v>
      </c>
      <c r="D54" s="388">
        <f t="shared" si="6"/>
        <v>141164.09548387097</v>
      </c>
      <c r="E54" s="392">
        <f t="shared" si="7"/>
        <v>74795.95</v>
      </c>
      <c r="F54" s="428">
        <f t="shared" si="0"/>
        <v>0.90615690000000004</v>
      </c>
      <c r="G54" s="390">
        <f t="shared" si="1"/>
        <v>67.776899999999998</v>
      </c>
      <c r="H54" s="391">
        <f t="shared" si="2"/>
        <v>216028.72854077094</v>
      </c>
      <c r="I54" s="324">
        <v>97515</v>
      </c>
      <c r="J54" s="325"/>
      <c r="K54" s="325"/>
      <c r="L54" s="319">
        <v>74795.95</v>
      </c>
      <c r="M54" s="320"/>
      <c r="N54" s="320"/>
      <c r="O54" s="320"/>
      <c r="P54" s="392">
        <f t="shared" si="8"/>
        <v>74795.95</v>
      </c>
      <c r="Q54" s="392">
        <f t="shared" si="3"/>
        <v>0</v>
      </c>
      <c r="R54" s="392">
        <f t="shared" si="4"/>
        <v>0</v>
      </c>
      <c r="S54" s="532">
        <v>97515</v>
      </c>
      <c r="T54" s="374"/>
      <c r="U54" s="524">
        <f t="shared" si="9"/>
        <v>0</v>
      </c>
      <c r="V54" s="520">
        <f t="shared" si="10"/>
        <v>97515</v>
      </c>
      <c r="W54" s="520">
        <f t="shared" si="11"/>
        <v>78913.91582319999</v>
      </c>
      <c r="X54" s="520">
        <f t="shared" si="12"/>
        <v>18601.08417680001</v>
      </c>
      <c r="Y54" s="525">
        <f t="shared" si="13"/>
        <v>14508.772354080036</v>
      </c>
    </row>
    <row r="55" spans="3:25" x14ac:dyDescent="0.2">
      <c r="C55" s="387">
        <f t="shared" si="5"/>
        <v>41827</v>
      </c>
      <c r="D55" s="388">
        <f t="shared" si="6"/>
        <v>141164.09548387097</v>
      </c>
      <c r="E55" s="392">
        <f t="shared" si="7"/>
        <v>74115.399999999994</v>
      </c>
      <c r="F55" s="428">
        <f t="shared" si="0"/>
        <v>0.90615690000000004</v>
      </c>
      <c r="G55" s="390">
        <f t="shared" si="1"/>
        <v>67.160200000000003</v>
      </c>
      <c r="H55" s="391">
        <f t="shared" si="2"/>
        <v>215347.56184077097</v>
      </c>
      <c r="I55" s="324">
        <v>78000</v>
      </c>
      <c r="J55" s="325"/>
      <c r="K55" s="325"/>
      <c r="L55" s="317">
        <v>74115.399999999994</v>
      </c>
      <c r="M55" s="318"/>
      <c r="N55" s="318"/>
      <c r="O55" s="318"/>
      <c r="P55" s="392">
        <f t="shared" si="8"/>
        <v>74115.399999999994</v>
      </c>
      <c r="Q55" s="392">
        <f t="shared" si="3"/>
        <v>0</v>
      </c>
      <c r="R55" s="392">
        <f t="shared" si="4"/>
        <v>0</v>
      </c>
      <c r="S55" s="532">
        <v>78000</v>
      </c>
      <c r="T55" s="374"/>
      <c r="U55" s="524">
        <f t="shared" si="9"/>
        <v>0</v>
      </c>
      <c r="V55" s="520">
        <f t="shared" si="10"/>
        <v>78000</v>
      </c>
      <c r="W55" s="520">
        <f t="shared" si="11"/>
        <v>78195.897462399997</v>
      </c>
      <c r="X55" s="520">
        <f t="shared" si="12"/>
        <v>-195.89746239999658</v>
      </c>
      <c r="Y55" s="525">
        <f t="shared" si="13"/>
        <v>14312.87489168004</v>
      </c>
    </row>
    <row r="56" spans="3:25" x14ac:dyDescent="0.2">
      <c r="C56" s="387">
        <f t="shared" si="5"/>
        <v>41828</v>
      </c>
      <c r="D56" s="388">
        <f t="shared" si="6"/>
        <v>141164.09548387097</v>
      </c>
      <c r="E56" s="392">
        <f t="shared" si="7"/>
        <v>73213.399999999994</v>
      </c>
      <c r="F56" s="428">
        <f t="shared" si="0"/>
        <v>0.90615690000000004</v>
      </c>
      <c r="G56" s="390">
        <f t="shared" si="1"/>
        <v>66.342799999999997</v>
      </c>
      <c r="H56" s="391">
        <f t="shared" si="2"/>
        <v>214444.74444077097</v>
      </c>
      <c r="I56" s="324">
        <v>77000</v>
      </c>
      <c r="J56" s="325"/>
      <c r="K56" s="325"/>
      <c r="L56" s="319">
        <v>73213.399999999994</v>
      </c>
      <c r="M56" s="320"/>
      <c r="N56" s="320"/>
      <c r="O56" s="320"/>
      <c r="P56" s="392">
        <f t="shared" si="8"/>
        <v>73213.399999999994</v>
      </c>
      <c r="Q56" s="392">
        <f t="shared" si="3"/>
        <v>0</v>
      </c>
      <c r="R56" s="392">
        <f t="shared" si="4"/>
        <v>0</v>
      </c>
      <c r="S56" s="532">
        <v>77000</v>
      </c>
      <c r="T56" s="374"/>
      <c r="U56" s="524">
        <f t="shared" si="9"/>
        <v>0</v>
      </c>
      <c r="V56" s="520">
        <f t="shared" si="10"/>
        <v>77000</v>
      </c>
      <c r="W56" s="520">
        <f t="shared" si="11"/>
        <v>77244.236950399994</v>
      </c>
      <c r="X56" s="520">
        <f t="shared" si="12"/>
        <v>-244.23695039999438</v>
      </c>
      <c r="Y56" s="525">
        <f t="shared" si="13"/>
        <v>14068.637941280045</v>
      </c>
    </row>
    <row r="57" spans="3:25" x14ac:dyDescent="0.2">
      <c r="C57" s="387">
        <f t="shared" si="5"/>
        <v>41829</v>
      </c>
      <c r="D57" s="388">
        <f t="shared" si="6"/>
        <v>141164.09548387097</v>
      </c>
      <c r="E57" s="392">
        <f t="shared" si="7"/>
        <v>74492</v>
      </c>
      <c r="F57" s="428">
        <f t="shared" si="0"/>
        <v>0.90615690000000004</v>
      </c>
      <c r="G57" s="390">
        <f t="shared" si="1"/>
        <v>67.501400000000004</v>
      </c>
      <c r="H57" s="391">
        <f t="shared" si="2"/>
        <v>215724.50304077097</v>
      </c>
      <c r="I57" s="324">
        <v>77000</v>
      </c>
      <c r="J57" s="325"/>
      <c r="K57" s="325"/>
      <c r="L57" s="317">
        <v>74492</v>
      </c>
      <c r="M57" s="318"/>
      <c r="N57" s="318"/>
      <c r="O57" s="318"/>
      <c r="P57" s="392">
        <f t="shared" si="8"/>
        <v>74492</v>
      </c>
      <c r="Q57" s="392">
        <f t="shared" si="3"/>
        <v>0</v>
      </c>
      <c r="R57" s="392">
        <f t="shared" si="4"/>
        <v>0</v>
      </c>
      <c r="S57" s="532">
        <v>77000</v>
      </c>
      <c r="T57" s="374"/>
      <c r="U57" s="524">
        <f t="shared" si="9"/>
        <v>0</v>
      </c>
      <c r="V57" s="520">
        <f t="shared" si="10"/>
        <v>77000</v>
      </c>
      <c r="W57" s="520">
        <f t="shared" si="11"/>
        <v>78593.231551999997</v>
      </c>
      <c r="X57" s="520">
        <f t="shared" si="12"/>
        <v>-1593.2315519999975</v>
      </c>
      <c r="Y57" s="525">
        <f t="shared" si="13"/>
        <v>12475.406389280048</v>
      </c>
    </row>
    <row r="58" spans="3:25" x14ac:dyDescent="0.2">
      <c r="C58" s="387">
        <f t="shared" si="5"/>
        <v>41830</v>
      </c>
      <c r="D58" s="388">
        <f t="shared" si="6"/>
        <v>141164.09548387097</v>
      </c>
      <c r="E58" s="392">
        <f t="shared" si="7"/>
        <v>0</v>
      </c>
      <c r="F58" s="428">
        <f t="shared" si="0"/>
        <v>0.90615690000000004</v>
      </c>
      <c r="G58" s="390">
        <f t="shared" si="1"/>
        <v>0</v>
      </c>
      <c r="H58" s="391">
        <f t="shared" si="2"/>
        <v>141165.00164077096</v>
      </c>
      <c r="I58" s="324"/>
      <c r="J58" s="325"/>
      <c r="K58" s="325"/>
      <c r="L58" s="319"/>
      <c r="M58" s="320"/>
      <c r="N58" s="320"/>
      <c r="O58" s="320"/>
      <c r="P58" s="392">
        <f t="shared" si="8"/>
        <v>0</v>
      </c>
      <c r="Q58" s="392">
        <f t="shared" si="3"/>
        <v>0</v>
      </c>
      <c r="R58" s="392">
        <f t="shared" si="4"/>
        <v>0</v>
      </c>
      <c r="S58" s="373"/>
      <c r="T58" s="374"/>
      <c r="U58" s="524">
        <f t="shared" si="9"/>
        <v>0</v>
      </c>
      <c r="V58" s="520">
        <f t="shared" si="10"/>
        <v>0</v>
      </c>
      <c r="W58" s="524">
        <f t="shared" si="11"/>
        <v>0</v>
      </c>
      <c r="X58" s="520">
        <f t="shared" si="12"/>
        <v>0</v>
      </c>
      <c r="Y58" s="525">
        <f t="shared" si="13"/>
        <v>12475.406389280048</v>
      </c>
    </row>
    <row r="59" spans="3:25" x14ac:dyDescent="0.2">
      <c r="C59" s="387">
        <f t="shared" si="5"/>
        <v>41831</v>
      </c>
      <c r="D59" s="388">
        <f t="shared" si="6"/>
        <v>141164.09548387097</v>
      </c>
      <c r="E59" s="392">
        <f t="shared" si="7"/>
        <v>0</v>
      </c>
      <c r="F59" s="428">
        <f t="shared" si="0"/>
        <v>0.90615690000000004</v>
      </c>
      <c r="G59" s="390">
        <f t="shared" si="1"/>
        <v>0</v>
      </c>
      <c r="H59" s="391">
        <f t="shared" si="2"/>
        <v>141165.00164077096</v>
      </c>
      <c r="I59" s="324"/>
      <c r="J59" s="325"/>
      <c r="K59" s="325"/>
      <c r="L59" s="317"/>
      <c r="M59" s="318"/>
      <c r="N59" s="318"/>
      <c r="O59" s="318"/>
      <c r="P59" s="392">
        <f t="shared" si="8"/>
        <v>0</v>
      </c>
      <c r="Q59" s="392">
        <f t="shared" si="3"/>
        <v>0</v>
      </c>
      <c r="R59" s="392">
        <f t="shared" si="4"/>
        <v>0</v>
      </c>
      <c r="S59" s="373"/>
      <c r="T59" s="374"/>
      <c r="U59" s="524">
        <f t="shared" si="9"/>
        <v>0</v>
      </c>
      <c r="V59" s="520">
        <f t="shared" si="10"/>
        <v>0</v>
      </c>
      <c r="W59" s="524">
        <f t="shared" si="11"/>
        <v>0</v>
      </c>
      <c r="X59" s="520">
        <f t="shared" si="12"/>
        <v>0</v>
      </c>
      <c r="Y59" s="525">
        <f t="shared" si="13"/>
        <v>12475.406389280048</v>
      </c>
    </row>
    <row r="60" spans="3:25" x14ac:dyDescent="0.2">
      <c r="C60" s="387">
        <f t="shared" si="5"/>
        <v>41832</v>
      </c>
      <c r="D60" s="388">
        <f t="shared" si="6"/>
        <v>141164.09548387097</v>
      </c>
      <c r="E60" s="392">
        <f t="shared" si="7"/>
        <v>0</v>
      </c>
      <c r="F60" s="428">
        <f t="shared" si="0"/>
        <v>0.90615690000000004</v>
      </c>
      <c r="G60" s="390">
        <f t="shared" si="1"/>
        <v>0</v>
      </c>
      <c r="H60" s="391">
        <f t="shared" si="2"/>
        <v>141165.00164077096</v>
      </c>
      <c r="I60" s="324"/>
      <c r="J60" s="325"/>
      <c r="K60" s="325"/>
      <c r="L60" s="319"/>
      <c r="M60" s="320"/>
      <c r="N60" s="320"/>
      <c r="O60" s="320"/>
      <c r="P60" s="392">
        <f t="shared" si="8"/>
        <v>0</v>
      </c>
      <c r="Q60" s="392">
        <f t="shared" si="3"/>
        <v>0</v>
      </c>
      <c r="R60" s="392">
        <f t="shared" si="4"/>
        <v>0</v>
      </c>
      <c r="S60" s="373"/>
      <c r="T60" s="374"/>
      <c r="U60" s="524">
        <f t="shared" si="9"/>
        <v>0</v>
      </c>
      <c r="V60" s="520">
        <f t="shared" si="10"/>
        <v>0</v>
      </c>
      <c r="W60" s="524">
        <f t="shared" si="11"/>
        <v>0</v>
      </c>
      <c r="X60" s="520">
        <f t="shared" si="12"/>
        <v>0</v>
      </c>
      <c r="Y60" s="525">
        <f t="shared" si="13"/>
        <v>12475.406389280048</v>
      </c>
    </row>
    <row r="61" spans="3:25" x14ac:dyDescent="0.2">
      <c r="C61" s="387">
        <f t="shared" si="5"/>
        <v>41833</v>
      </c>
      <c r="D61" s="388">
        <f t="shared" si="6"/>
        <v>141164.09548387097</v>
      </c>
      <c r="E61" s="392">
        <f t="shared" si="7"/>
        <v>0</v>
      </c>
      <c r="F61" s="428">
        <f t="shared" si="0"/>
        <v>0.90615690000000004</v>
      </c>
      <c r="G61" s="390">
        <f t="shared" si="1"/>
        <v>0</v>
      </c>
      <c r="H61" s="391">
        <f t="shared" si="2"/>
        <v>141165.00164077096</v>
      </c>
      <c r="I61" s="324"/>
      <c r="J61" s="325"/>
      <c r="K61" s="325"/>
      <c r="L61" s="317"/>
      <c r="M61" s="318"/>
      <c r="N61" s="318"/>
      <c r="O61" s="318"/>
      <c r="P61" s="392">
        <f t="shared" si="8"/>
        <v>0</v>
      </c>
      <c r="Q61" s="392">
        <f t="shared" si="3"/>
        <v>0</v>
      </c>
      <c r="R61" s="392">
        <f t="shared" si="4"/>
        <v>0</v>
      </c>
      <c r="S61" s="373"/>
      <c r="T61" s="374"/>
      <c r="U61" s="524">
        <f t="shared" si="9"/>
        <v>0</v>
      </c>
      <c r="V61" s="520">
        <f t="shared" si="10"/>
        <v>0</v>
      </c>
      <c r="W61" s="524">
        <f t="shared" si="11"/>
        <v>0</v>
      </c>
      <c r="X61" s="520">
        <f t="shared" si="12"/>
        <v>0</v>
      </c>
      <c r="Y61" s="525">
        <f t="shared" si="13"/>
        <v>12475.406389280048</v>
      </c>
    </row>
    <row r="62" spans="3:25" x14ac:dyDescent="0.2">
      <c r="C62" s="387">
        <f t="shared" si="5"/>
        <v>41834</v>
      </c>
      <c r="D62" s="388">
        <f t="shared" si="6"/>
        <v>141164.09548387097</v>
      </c>
      <c r="E62" s="392">
        <f t="shared" si="7"/>
        <v>0</v>
      </c>
      <c r="F62" s="428">
        <f t="shared" si="0"/>
        <v>0.90615690000000004</v>
      </c>
      <c r="G62" s="390">
        <f t="shared" si="1"/>
        <v>0</v>
      </c>
      <c r="H62" s="391">
        <f t="shared" si="2"/>
        <v>141165.00164077096</v>
      </c>
      <c r="I62" s="324"/>
      <c r="J62" s="325"/>
      <c r="K62" s="325"/>
      <c r="L62" s="319"/>
      <c r="M62" s="320"/>
      <c r="N62" s="320"/>
      <c r="O62" s="320"/>
      <c r="P62" s="392">
        <f t="shared" si="8"/>
        <v>0</v>
      </c>
      <c r="Q62" s="392">
        <f t="shared" si="3"/>
        <v>0</v>
      </c>
      <c r="R62" s="392">
        <f t="shared" si="4"/>
        <v>0</v>
      </c>
      <c r="S62" s="373"/>
      <c r="T62" s="374"/>
      <c r="U62" s="524">
        <f t="shared" si="9"/>
        <v>0</v>
      </c>
      <c r="V62" s="520">
        <f t="shared" si="10"/>
        <v>0</v>
      </c>
      <c r="W62" s="524">
        <f t="shared" si="11"/>
        <v>0</v>
      </c>
      <c r="X62" s="520">
        <f t="shared" si="12"/>
        <v>0</v>
      </c>
      <c r="Y62" s="525">
        <f t="shared" si="13"/>
        <v>12475.406389280048</v>
      </c>
    </row>
    <row r="63" spans="3:25" x14ac:dyDescent="0.2">
      <c r="C63" s="387">
        <f t="shared" si="5"/>
        <v>41835</v>
      </c>
      <c r="D63" s="388">
        <f t="shared" si="6"/>
        <v>141164.09548387097</v>
      </c>
      <c r="E63" s="392">
        <f t="shared" si="7"/>
        <v>0</v>
      </c>
      <c r="F63" s="428">
        <f t="shared" si="0"/>
        <v>0.90615690000000004</v>
      </c>
      <c r="G63" s="390">
        <f t="shared" si="1"/>
        <v>0</v>
      </c>
      <c r="H63" s="391">
        <f t="shared" si="2"/>
        <v>141165.00164077096</v>
      </c>
      <c r="I63" s="324"/>
      <c r="J63" s="325"/>
      <c r="K63" s="325"/>
      <c r="L63" s="317"/>
      <c r="M63" s="318"/>
      <c r="N63" s="318"/>
      <c r="O63" s="318"/>
      <c r="P63" s="392">
        <f t="shared" si="8"/>
        <v>0</v>
      </c>
      <c r="Q63" s="392">
        <f t="shared" si="3"/>
        <v>0</v>
      </c>
      <c r="R63" s="392">
        <f t="shared" si="4"/>
        <v>0</v>
      </c>
      <c r="S63" s="373"/>
      <c r="T63" s="374"/>
      <c r="U63" s="524">
        <f t="shared" si="9"/>
        <v>0</v>
      </c>
      <c r="V63" s="520">
        <f t="shared" si="10"/>
        <v>0</v>
      </c>
      <c r="W63" s="524">
        <f t="shared" si="11"/>
        <v>0</v>
      </c>
      <c r="X63" s="520">
        <f t="shared" si="12"/>
        <v>0</v>
      </c>
      <c r="Y63" s="525">
        <f t="shared" si="13"/>
        <v>12475.406389280048</v>
      </c>
    </row>
    <row r="64" spans="3:25" x14ac:dyDescent="0.2">
      <c r="C64" s="387">
        <f t="shared" si="5"/>
        <v>41836</v>
      </c>
      <c r="D64" s="388">
        <f t="shared" si="6"/>
        <v>141164.09548387097</v>
      </c>
      <c r="E64" s="392">
        <f t="shared" si="7"/>
        <v>0</v>
      </c>
      <c r="F64" s="428">
        <f t="shared" si="0"/>
        <v>0.90615690000000004</v>
      </c>
      <c r="G64" s="390">
        <f t="shared" si="1"/>
        <v>0</v>
      </c>
      <c r="H64" s="391">
        <f t="shared" si="2"/>
        <v>141165.00164077096</v>
      </c>
      <c r="I64" s="324"/>
      <c r="J64" s="325"/>
      <c r="K64" s="325"/>
      <c r="L64" s="319"/>
      <c r="M64" s="320"/>
      <c r="N64" s="320"/>
      <c r="O64" s="320"/>
      <c r="P64" s="392">
        <f t="shared" si="8"/>
        <v>0</v>
      </c>
      <c r="Q64" s="392">
        <f t="shared" si="3"/>
        <v>0</v>
      </c>
      <c r="R64" s="392">
        <f t="shared" si="4"/>
        <v>0</v>
      </c>
      <c r="S64" s="373"/>
      <c r="T64" s="374"/>
      <c r="U64" s="524">
        <f t="shared" si="9"/>
        <v>0</v>
      </c>
      <c r="V64" s="520">
        <f t="shared" si="10"/>
        <v>0</v>
      </c>
      <c r="W64" s="524">
        <f t="shared" si="11"/>
        <v>0</v>
      </c>
      <c r="X64" s="520">
        <f t="shared" si="12"/>
        <v>0</v>
      </c>
      <c r="Y64" s="525">
        <f t="shared" si="13"/>
        <v>12475.406389280048</v>
      </c>
    </row>
    <row r="65" spans="3:38" x14ac:dyDescent="0.2">
      <c r="C65" s="387">
        <f t="shared" si="5"/>
        <v>41837</v>
      </c>
      <c r="D65" s="388">
        <f t="shared" si="6"/>
        <v>141164.09548387097</v>
      </c>
      <c r="E65" s="392">
        <f t="shared" si="7"/>
        <v>0</v>
      </c>
      <c r="F65" s="428">
        <f t="shared" si="0"/>
        <v>0.90615690000000004</v>
      </c>
      <c r="G65" s="390">
        <f t="shared" si="1"/>
        <v>0</v>
      </c>
      <c r="H65" s="391">
        <f t="shared" si="2"/>
        <v>141165.00164077096</v>
      </c>
      <c r="I65" s="324"/>
      <c r="J65" s="325"/>
      <c r="K65" s="325"/>
      <c r="L65" s="317"/>
      <c r="M65" s="318"/>
      <c r="N65" s="318"/>
      <c r="O65" s="318"/>
      <c r="P65" s="392">
        <f t="shared" si="8"/>
        <v>0</v>
      </c>
      <c r="Q65" s="392">
        <f t="shared" si="3"/>
        <v>0</v>
      </c>
      <c r="R65" s="392">
        <f t="shared" si="4"/>
        <v>0</v>
      </c>
      <c r="S65" s="373"/>
      <c r="T65" s="374"/>
      <c r="U65" s="524">
        <f t="shared" si="9"/>
        <v>0</v>
      </c>
      <c r="V65" s="520">
        <f t="shared" si="10"/>
        <v>0</v>
      </c>
      <c r="W65" s="524">
        <f t="shared" si="11"/>
        <v>0</v>
      </c>
      <c r="X65" s="520">
        <f t="shared" si="12"/>
        <v>0</v>
      </c>
      <c r="Y65" s="525">
        <f t="shared" si="13"/>
        <v>12475.406389280048</v>
      </c>
    </row>
    <row r="66" spans="3:38" x14ac:dyDescent="0.2">
      <c r="C66" s="387">
        <f t="shared" si="5"/>
        <v>41838</v>
      </c>
      <c r="D66" s="388">
        <f t="shared" si="6"/>
        <v>141164.09548387097</v>
      </c>
      <c r="E66" s="392">
        <f t="shared" si="7"/>
        <v>0</v>
      </c>
      <c r="F66" s="428">
        <f t="shared" si="0"/>
        <v>0.90615690000000004</v>
      </c>
      <c r="G66" s="390">
        <f t="shared" si="1"/>
        <v>0</v>
      </c>
      <c r="H66" s="391">
        <f t="shared" si="2"/>
        <v>141165.00164077096</v>
      </c>
      <c r="I66" s="324"/>
      <c r="J66" s="325"/>
      <c r="K66" s="325"/>
      <c r="L66" s="319"/>
      <c r="M66" s="320"/>
      <c r="N66" s="320"/>
      <c r="O66" s="320"/>
      <c r="P66" s="392">
        <f t="shared" si="8"/>
        <v>0</v>
      </c>
      <c r="Q66" s="392">
        <f t="shared" si="3"/>
        <v>0</v>
      </c>
      <c r="R66" s="392">
        <f t="shared" si="4"/>
        <v>0</v>
      </c>
      <c r="S66" s="373"/>
      <c r="T66" s="374"/>
      <c r="U66" s="524">
        <f t="shared" si="9"/>
        <v>0</v>
      </c>
      <c r="V66" s="520">
        <f t="shared" si="10"/>
        <v>0</v>
      </c>
      <c r="W66" s="524">
        <f t="shared" si="11"/>
        <v>0</v>
      </c>
      <c r="X66" s="520">
        <f t="shared" si="12"/>
        <v>0</v>
      </c>
      <c r="Y66" s="525">
        <f t="shared" si="13"/>
        <v>12475.406389280048</v>
      </c>
    </row>
    <row r="67" spans="3:38" x14ac:dyDescent="0.2">
      <c r="C67" s="387">
        <f t="shared" si="5"/>
        <v>41839</v>
      </c>
      <c r="D67" s="388">
        <f t="shared" si="6"/>
        <v>141164.09548387097</v>
      </c>
      <c r="E67" s="392">
        <f t="shared" si="7"/>
        <v>0</v>
      </c>
      <c r="F67" s="428">
        <f t="shared" si="0"/>
        <v>0.90615690000000004</v>
      </c>
      <c r="G67" s="390">
        <f t="shared" si="1"/>
        <v>0</v>
      </c>
      <c r="H67" s="391">
        <f t="shared" si="2"/>
        <v>141165.00164077096</v>
      </c>
      <c r="I67" s="324"/>
      <c r="J67" s="325"/>
      <c r="K67" s="325"/>
      <c r="L67" s="317"/>
      <c r="M67" s="318"/>
      <c r="N67" s="318"/>
      <c r="O67" s="318"/>
      <c r="P67" s="392">
        <f t="shared" si="8"/>
        <v>0</v>
      </c>
      <c r="Q67" s="392">
        <f t="shared" si="3"/>
        <v>0</v>
      </c>
      <c r="R67" s="392">
        <f t="shared" si="4"/>
        <v>0</v>
      </c>
      <c r="S67" s="373"/>
      <c r="T67" s="374"/>
      <c r="U67" s="524">
        <f t="shared" si="9"/>
        <v>0</v>
      </c>
      <c r="V67" s="520">
        <f t="shared" si="10"/>
        <v>0</v>
      </c>
      <c r="W67" s="524">
        <f t="shared" si="11"/>
        <v>0</v>
      </c>
      <c r="X67" s="520">
        <f t="shared" si="12"/>
        <v>0</v>
      </c>
      <c r="Y67" s="525">
        <f t="shared" si="13"/>
        <v>12475.406389280048</v>
      </c>
    </row>
    <row r="68" spans="3:38" x14ac:dyDescent="0.2">
      <c r="C68" s="387">
        <f t="shared" si="5"/>
        <v>41840</v>
      </c>
      <c r="D68" s="388">
        <f t="shared" si="6"/>
        <v>141164.09548387097</v>
      </c>
      <c r="E68" s="392">
        <f t="shared" si="7"/>
        <v>0</v>
      </c>
      <c r="F68" s="428">
        <f t="shared" si="0"/>
        <v>0.90615690000000004</v>
      </c>
      <c r="G68" s="390">
        <f t="shared" si="1"/>
        <v>0</v>
      </c>
      <c r="H68" s="391">
        <f t="shared" si="2"/>
        <v>141165.00164077096</v>
      </c>
      <c r="I68" s="324"/>
      <c r="J68" s="325"/>
      <c r="K68" s="325"/>
      <c r="L68" s="319"/>
      <c r="M68" s="320"/>
      <c r="N68" s="320"/>
      <c r="O68" s="320"/>
      <c r="P68" s="392">
        <f t="shared" si="8"/>
        <v>0</v>
      </c>
      <c r="Q68" s="392">
        <f t="shared" si="3"/>
        <v>0</v>
      </c>
      <c r="R68" s="392">
        <f t="shared" si="4"/>
        <v>0</v>
      </c>
      <c r="S68" s="373"/>
      <c r="T68" s="374"/>
      <c r="U68" s="524">
        <f t="shared" si="9"/>
        <v>0</v>
      </c>
      <c r="V68" s="520">
        <f t="shared" si="10"/>
        <v>0</v>
      </c>
      <c r="W68" s="524">
        <f t="shared" si="11"/>
        <v>0</v>
      </c>
      <c r="X68" s="520">
        <f t="shared" si="12"/>
        <v>0</v>
      </c>
      <c r="Y68" s="525">
        <f t="shared" si="13"/>
        <v>12475.406389280048</v>
      </c>
    </row>
    <row r="69" spans="3:38" x14ac:dyDescent="0.2">
      <c r="C69" s="387">
        <f t="shared" si="5"/>
        <v>41841</v>
      </c>
      <c r="D69" s="388">
        <f t="shared" si="6"/>
        <v>141164.09548387097</v>
      </c>
      <c r="E69" s="392">
        <f t="shared" si="7"/>
        <v>0</v>
      </c>
      <c r="F69" s="428">
        <f t="shared" si="0"/>
        <v>0.90615690000000004</v>
      </c>
      <c r="G69" s="390">
        <f t="shared" si="1"/>
        <v>0</v>
      </c>
      <c r="H69" s="391">
        <f t="shared" si="2"/>
        <v>141165.00164077096</v>
      </c>
      <c r="I69" s="324"/>
      <c r="J69" s="325"/>
      <c r="K69" s="325"/>
      <c r="L69" s="317"/>
      <c r="M69" s="318"/>
      <c r="N69" s="318"/>
      <c r="O69" s="318"/>
      <c r="P69" s="392">
        <f t="shared" si="8"/>
        <v>0</v>
      </c>
      <c r="Q69" s="392">
        <f t="shared" si="3"/>
        <v>0</v>
      </c>
      <c r="R69" s="392">
        <f t="shared" si="4"/>
        <v>0</v>
      </c>
      <c r="S69" s="373"/>
      <c r="T69" s="374"/>
      <c r="U69" s="524">
        <f t="shared" si="9"/>
        <v>0</v>
      </c>
      <c r="V69" s="520">
        <f t="shared" si="10"/>
        <v>0</v>
      </c>
      <c r="W69" s="524">
        <f t="shared" si="11"/>
        <v>0</v>
      </c>
      <c r="X69" s="520">
        <f t="shared" si="12"/>
        <v>0</v>
      </c>
      <c r="Y69" s="525">
        <f t="shared" si="13"/>
        <v>12475.406389280048</v>
      </c>
    </row>
    <row r="70" spans="3:38" x14ac:dyDescent="0.2">
      <c r="C70" s="387">
        <f t="shared" si="5"/>
        <v>41842</v>
      </c>
      <c r="D70" s="388">
        <f t="shared" si="6"/>
        <v>141164.09548387097</v>
      </c>
      <c r="E70" s="392">
        <f t="shared" si="7"/>
        <v>0</v>
      </c>
      <c r="F70" s="428">
        <f t="shared" si="0"/>
        <v>0.90615690000000004</v>
      </c>
      <c r="G70" s="390">
        <f t="shared" si="1"/>
        <v>0</v>
      </c>
      <c r="H70" s="391">
        <f t="shared" si="2"/>
        <v>141165.00164077096</v>
      </c>
      <c r="I70" s="324"/>
      <c r="J70" s="325"/>
      <c r="K70" s="325"/>
      <c r="L70" s="319"/>
      <c r="M70" s="320"/>
      <c r="N70" s="320"/>
      <c r="O70" s="320"/>
      <c r="P70" s="392">
        <f t="shared" si="8"/>
        <v>0</v>
      </c>
      <c r="Q70" s="392">
        <f t="shared" si="3"/>
        <v>0</v>
      </c>
      <c r="R70" s="392">
        <f t="shared" si="4"/>
        <v>0</v>
      </c>
      <c r="S70" s="373"/>
      <c r="T70" s="374"/>
      <c r="U70" s="524">
        <f t="shared" si="9"/>
        <v>0</v>
      </c>
      <c r="V70" s="520">
        <f t="shared" si="10"/>
        <v>0</v>
      </c>
      <c r="W70" s="524">
        <f t="shared" si="11"/>
        <v>0</v>
      </c>
      <c r="X70" s="520">
        <f t="shared" si="12"/>
        <v>0</v>
      </c>
      <c r="Y70" s="525">
        <f t="shared" si="13"/>
        <v>12475.406389280048</v>
      </c>
    </row>
    <row r="71" spans="3:38" x14ac:dyDescent="0.2">
      <c r="C71" s="387">
        <f t="shared" si="5"/>
        <v>41843</v>
      </c>
      <c r="D71" s="388">
        <f t="shared" si="6"/>
        <v>141164.09548387097</v>
      </c>
      <c r="E71" s="392">
        <f t="shared" si="7"/>
        <v>0</v>
      </c>
      <c r="F71" s="428">
        <f t="shared" si="0"/>
        <v>0.90615690000000004</v>
      </c>
      <c r="G71" s="390">
        <f t="shared" si="1"/>
        <v>0</v>
      </c>
      <c r="H71" s="391">
        <f t="shared" si="2"/>
        <v>141165.00164077096</v>
      </c>
      <c r="I71" s="324"/>
      <c r="J71" s="325"/>
      <c r="K71" s="325"/>
      <c r="L71" s="317"/>
      <c r="M71" s="318"/>
      <c r="N71" s="318"/>
      <c r="O71" s="318"/>
      <c r="P71" s="392">
        <f t="shared" si="8"/>
        <v>0</v>
      </c>
      <c r="Q71" s="392">
        <f t="shared" si="3"/>
        <v>0</v>
      </c>
      <c r="R71" s="392">
        <f t="shared" si="4"/>
        <v>0</v>
      </c>
      <c r="S71" s="373"/>
      <c r="T71" s="374"/>
      <c r="U71" s="524">
        <f t="shared" si="9"/>
        <v>0</v>
      </c>
      <c r="V71" s="520">
        <f t="shared" si="10"/>
        <v>0</v>
      </c>
      <c r="W71" s="524">
        <f t="shared" si="11"/>
        <v>0</v>
      </c>
      <c r="X71" s="520">
        <f t="shared" si="12"/>
        <v>0</v>
      </c>
      <c r="Y71" s="525">
        <f t="shared" si="13"/>
        <v>12475.406389280048</v>
      </c>
    </row>
    <row r="72" spans="3:38" x14ac:dyDescent="0.2">
      <c r="C72" s="387">
        <f t="shared" si="5"/>
        <v>41844</v>
      </c>
      <c r="D72" s="388">
        <f t="shared" si="6"/>
        <v>141164.09548387097</v>
      </c>
      <c r="E72" s="392">
        <f t="shared" si="7"/>
        <v>0</v>
      </c>
      <c r="F72" s="428">
        <f t="shared" si="0"/>
        <v>0.90615690000000004</v>
      </c>
      <c r="G72" s="390">
        <f t="shared" si="1"/>
        <v>0</v>
      </c>
      <c r="H72" s="391">
        <f t="shared" si="2"/>
        <v>141165.00164077096</v>
      </c>
      <c r="I72" s="324"/>
      <c r="J72" s="325"/>
      <c r="K72" s="325"/>
      <c r="L72" s="319"/>
      <c r="M72" s="320"/>
      <c r="N72" s="320"/>
      <c r="O72" s="320"/>
      <c r="P72" s="392">
        <f t="shared" si="8"/>
        <v>0</v>
      </c>
      <c r="Q72" s="392">
        <f t="shared" si="3"/>
        <v>0</v>
      </c>
      <c r="R72" s="392">
        <f t="shared" si="4"/>
        <v>0</v>
      </c>
      <c r="S72" s="373"/>
      <c r="T72" s="374"/>
      <c r="U72" s="524">
        <f t="shared" si="9"/>
        <v>0</v>
      </c>
      <c r="V72" s="520">
        <f t="shared" si="10"/>
        <v>0</v>
      </c>
      <c r="W72" s="524">
        <f t="shared" si="11"/>
        <v>0</v>
      </c>
      <c r="X72" s="520">
        <f t="shared" si="12"/>
        <v>0</v>
      </c>
      <c r="Y72" s="525">
        <f t="shared" si="13"/>
        <v>12475.406389280048</v>
      </c>
    </row>
    <row r="73" spans="3:38" x14ac:dyDescent="0.2">
      <c r="C73" s="387">
        <f t="shared" si="5"/>
        <v>41845</v>
      </c>
      <c r="D73" s="388">
        <f t="shared" si="6"/>
        <v>141164.09548387097</v>
      </c>
      <c r="E73" s="392">
        <f t="shared" si="7"/>
        <v>0</v>
      </c>
      <c r="F73" s="428">
        <f t="shared" si="0"/>
        <v>0.90615690000000004</v>
      </c>
      <c r="G73" s="390">
        <f t="shared" si="1"/>
        <v>0</v>
      </c>
      <c r="H73" s="391">
        <f t="shared" si="2"/>
        <v>141165.00164077096</v>
      </c>
      <c r="I73" s="324"/>
      <c r="J73" s="325"/>
      <c r="K73" s="325"/>
      <c r="L73" s="317"/>
      <c r="M73" s="318"/>
      <c r="N73" s="318"/>
      <c r="O73" s="318"/>
      <c r="P73" s="392">
        <f t="shared" si="8"/>
        <v>0</v>
      </c>
      <c r="Q73" s="392">
        <f t="shared" si="3"/>
        <v>0</v>
      </c>
      <c r="R73" s="392">
        <f t="shared" si="4"/>
        <v>0</v>
      </c>
      <c r="S73" s="373"/>
      <c r="T73" s="374"/>
      <c r="U73" s="524">
        <f t="shared" si="9"/>
        <v>0</v>
      </c>
      <c r="V73" s="520">
        <f t="shared" si="10"/>
        <v>0</v>
      </c>
      <c r="W73" s="524">
        <f t="shared" si="11"/>
        <v>0</v>
      </c>
      <c r="X73" s="520">
        <f t="shared" si="12"/>
        <v>0</v>
      </c>
      <c r="Y73" s="525">
        <f t="shared" si="13"/>
        <v>12475.406389280048</v>
      </c>
    </row>
    <row r="74" spans="3:38" x14ac:dyDescent="0.2">
      <c r="C74" s="387">
        <f t="shared" si="5"/>
        <v>41846</v>
      </c>
      <c r="D74" s="388">
        <f t="shared" si="6"/>
        <v>141164.09548387097</v>
      </c>
      <c r="E74" s="392">
        <f t="shared" si="7"/>
        <v>0</v>
      </c>
      <c r="F74" s="428">
        <f t="shared" si="0"/>
        <v>0.90615690000000004</v>
      </c>
      <c r="G74" s="390">
        <f t="shared" si="1"/>
        <v>0</v>
      </c>
      <c r="H74" s="391">
        <f t="shared" si="2"/>
        <v>141165.00164077096</v>
      </c>
      <c r="I74" s="324"/>
      <c r="J74" s="325"/>
      <c r="K74" s="325"/>
      <c r="L74" s="319"/>
      <c r="M74" s="320"/>
      <c r="N74" s="320"/>
      <c r="O74" s="320"/>
      <c r="P74" s="392">
        <f t="shared" si="8"/>
        <v>0</v>
      </c>
      <c r="Q74" s="392">
        <f t="shared" si="3"/>
        <v>0</v>
      </c>
      <c r="R74" s="392">
        <f t="shared" si="4"/>
        <v>0</v>
      </c>
      <c r="S74" s="373"/>
      <c r="T74" s="374"/>
      <c r="U74" s="524">
        <f t="shared" si="9"/>
        <v>0</v>
      </c>
      <c r="V74" s="520">
        <f t="shared" si="10"/>
        <v>0</v>
      </c>
      <c r="W74" s="524">
        <f t="shared" si="11"/>
        <v>0</v>
      </c>
      <c r="X74" s="520">
        <f t="shared" si="12"/>
        <v>0</v>
      </c>
      <c r="Y74" s="525">
        <f t="shared" si="13"/>
        <v>12475.406389280048</v>
      </c>
    </row>
    <row r="75" spans="3:38" x14ac:dyDescent="0.2">
      <c r="C75" s="387">
        <f t="shared" si="5"/>
        <v>41847</v>
      </c>
      <c r="D75" s="388">
        <f t="shared" si="6"/>
        <v>141164.09548387097</v>
      </c>
      <c r="E75" s="392">
        <f t="shared" si="7"/>
        <v>0</v>
      </c>
      <c r="F75" s="428">
        <f t="shared" si="0"/>
        <v>0.90615690000000004</v>
      </c>
      <c r="G75" s="390">
        <f t="shared" si="1"/>
        <v>0</v>
      </c>
      <c r="H75" s="391">
        <f t="shared" si="2"/>
        <v>141165.00164077096</v>
      </c>
      <c r="I75" s="324"/>
      <c r="J75" s="325"/>
      <c r="K75" s="325"/>
      <c r="L75" s="317"/>
      <c r="M75" s="318"/>
      <c r="N75" s="318"/>
      <c r="O75" s="318"/>
      <c r="P75" s="392">
        <f t="shared" si="8"/>
        <v>0</v>
      </c>
      <c r="Q75" s="392">
        <f t="shared" si="3"/>
        <v>0</v>
      </c>
      <c r="R75" s="392">
        <f t="shared" si="4"/>
        <v>0</v>
      </c>
      <c r="S75" s="373"/>
      <c r="T75" s="374"/>
      <c r="U75" s="524">
        <f t="shared" si="9"/>
        <v>0</v>
      </c>
      <c r="V75" s="520">
        <f t="shared" si="10"/>
        <v>0</v>
      </c>
      <c r="W75" s="524">
        <f t="shared" si="11"/>
        <v>0</v>
      </c>
      <c r="X75" s="520">
        <f t="shared" si="12"/>
        <v>0</v>
      </c>
      <c r="Y75" s="525">
        <f t="shared" si="13"/>
        <v>12475.406389280048</v>
      </c>
    </row>
    <row r="76" spans="3:38" x14ac:dyDescent="0.2">
      <c r="C76" s="387">
        <f t="shared" si="5"/>
        <v>41848</v>
      </c>
      <c r="D76" s="388">
        <f t="shared" si="6"/>
        <v>141164.09548387097</v>
      </c>
      <c r="E76" s="392">
        <f t="shared" si="7"/>
        <v>0</v>
      </c>
      <c r="F76" s="428">
        <f t="shared" si="0"/>
        <v>0.90615690000000004</v>
      </c>
      <c r="G76" s="390">
        <f t="shared" si="1"/>
        <v>0</v>
      </c>
      <c r="H76" s="391">
        <f t="shared" si="2"/>
        <v>141165.00164077096</v>
      </c>
      <c r="I76" s="324"/>
      <c r="J76" s="325"/>
      <c r="K76" s="325"/>
      <c r="L76" s="319"/>
      <c r="M76" s="320"/>
      <c r="N76" s="320"/>
      <c r="O76" s="320"/>
      <c r="P76" s="392">
        <f t="shared" si="8"/>
        <v>0</v>
      </c>
      <c r="Q76" s="392">
        <f t="shared" si="3"/>
        <v>0</v>
      </c>
      <c r="R76" s="392">
        <f t="shared" si="4"/>
        <v>0</v>
      </c>
      <c r="S76" s="373"/>
      <c r="T76" s="374"/>
      <c r="U76" s="524">
        <f t="shared" si="9"/>
        <v>0</v>
      </c>
      <c r="V76" s="520">
        <f t="shared" si="10"/>
        <v>0</v>
      </c>
      <c r="W76" s="524">
        <f t="shared" si="11"/>
        <v>0</v>
      </c>
      <c r="X76" s="520">
        <f t="shared" si="12"/>
        <v>0</v>
      </c>
      <c r="Y76" s="525">
        <f t="shared" si="13"/>
        <v>12475.406389280048</v>
      </c>
    </row>
    <row r="77" spans="3:38" x14ac:dyDescent="0.2">
      <c r="C77" s="387">
        <f t="shared" si="5"/>
        <v>41849</v>
      </c>
      <c r="D77" s="388">
        <f t="shared" si="6"/>
        <v>141164.09548387097</v>
      </c>
      <c r="E77" s="392">
        <f t="shared" si="7"/>
        <v>0</v>
      </c>
      <c r="F77" s="428">
        <f t="shared" si="0"/>
        <v>0.90615690000000004</v>
      </c>
      <c r="G77" s="390">
        <f t="shared" si="1"/>
        <v>0</v>
      </c>
      <c r="H77" s="391">
        <f t="shared" si="2"/>
        <v>141165.00164077096</v>
      </c>
      <c r="I77" s="324"/>
      <c r="J77" s="325"/>
      <c r="K77" s="325"/>
      <c r="L77" s="317"/>
      <c r="M77" s="318"/>
      <c r="N77" s="318"/>
      <c r="O77" s="318"/>
      <c r="P77" s="392">
        <f t="shared" si="8"/>
        <v>0</v>
      </c>
      <c r="Q77" s="392">
        <f t="shared" si="3"/>
        <v>0</v>
      </c>
      <c r="R77" s="392">
        <f t="shared" si="4"/>
        <v>0</v>
      </c>
      <c r="S77" s="373"/>
      <c r="T77" s="374"/>
      <c r="U77" s="524">
        <f t="shared" si="9"/>
        <v>0</v>
      </c>
      <c r="V77" s="520">
        <f t="shared" si="10"/>
        <v>0</v>
      </c>
      <c r="W77" s="524">
        <f t="shared" si="11"/>
        <v>0</v>
      </c>
      <c r="X77" s="520">
        <f t="shared" si="12"/>
        <v>0</v>
      </c>
      <c r="Y77" s="525">
        <f t="shared" si="13"/>
        <v>12475.406389280048</v>
      </c>
    </row>
    <row r="78" spans="3:38" x14ac:dyDescent="0.2">
      <c r="C78" s="387">
        <f t="shared" si="5"/>
        <v>41850</v>
      </c>
      <c r="D78" s="388">
        <f t="shared" si="6"/>
        <v>141164.09548387097</v>
      </c>
      <c r="E78" s="392">
        <f t="shared" si="7"/>
        <v>0</v>
      </c>
      <c r="F78" s="428">
        <f t="shared" si="0"/>
        <v>0.90615690000000004</v>
      </c>
      <c r="G78" s="390">
        <f t="shared" si="1"/>
        <v>0</v>
      </c>
      <c r="H78" s="391">
        <f t="shared" si="2"/>
        <v>141165.00164077096</v>
      </c>
      <c r="I78" s="324"/>
      <c r="J78" s="325"/>
      <c r="K78" s="325"/>
      <c r="L78" s="319"/>
      <c r="M78" s="320"/>
      <c r="N78" s="320"/>
      <c r="O78" s="320"/>
      <c r="P78" s="392">
        <f t="shared" si="8"/>
        <v>0</v>
      </c>
      <c r="Q78" s="392">
        <f t="shared" si="3"/>
        <v>0</v>
      </c>
      <c r="R78" s="392">
        <f t="shared" si="4"/>
        <v>0</v>
      </c>
      <c r="S78" s="373"/>
      <c r="T78" s="374"/>
      <c r="U78" s="524">
        <f t="shared" si="9"/>
        <v>0</v>
      </c>
      <c r="V78" s="520">
        <f t="shared" si="10"/>
        <v>0</v>
      </c>
      <c r="W78" s="524">
        <f t="shared" si="11"/>
        <v>0</v>
      </c>
      <c r="X78" s="520">
        <f t="shared" si="12"/>
        <v>0</v>
      </c>
      <c r="Y78" s="525">
        <f t="shared" si="13"/>
        <v>12475.406389280048</v>
      </c>
    </row>
    <row r="79" spans="3:38" ht="15" thickBot="1" x14ac:dyDescent="0.25">
      <c r="C79" s="393">
        <f t="shared" si="5"/>
        <v>41851</v>
      </c>
      <c r="D79" s="394">
        <f t="shared" si="6"/>
        <v>141164.09548387097</v>
      </c>
      <c r="E79" s="395">
        <f t="shared" si="7"/>
        <v>0</v>
      </c>
      <c r="F79" s="429">
        <f t="shared" si="0"/>
        <v>0.90615690000000004</v>
      </c>
      <c r="G79" s="396">
        <f t="shared" si="1"/>
        <v>0</v>
      </c>
      <c r="H79" s="397">
        <f t="shared" si="2"/>
        <v>141165.00164077096</v>
      </c>
      <c r="I79" s="326"/>
      <c r="J79" s="327"/>
      <c r="K79" s="327"/>
      <c r="L79" s="321"/>
      <c r="M79" s="322"/>
      <c r="N79" s="322"/>
      <c r="O79" s="322"/>
      <c r="P79" s="395">
        <f t="shared" si="8"/>
        <v>0</v>
      </c>
      <c r="Q79" s="395">
        <f t="shared" si="3"/>
        <v>0</v>
      </c>
      <c r="R79" s="395">
        <f t="shared" si="4"/>
        <v>0</v>
      </c>
      <c r="S79" s="375"/>
      <c r="T79" s="376"/>
      <c r="U79" s="521">
        <f t="shared" si="9"/>
        <v>0</v>
      </c>
      <c r="V79" s="528">
        <f t="shared" si="10"/>
        <v>0</v>
      </c>
      <c r="W79" s="521">
        <f t="shared" si="11"/>
        <v>0</v>
      </c>
      <c r="X79" s="528">
        <f t="shared" si="12"/>
        <v>0</v>
      </c>
      <c r="Y79" s="529">
        <f t="shared" si="13"/>
        <v>12475.406389280048</v>
      </c>
    </row>
    <row r="80" spans="3:38" ht="15" thickBot="1" x14ac:dyDescent="0.25">
      <c r="C80" s="398"/>
      <c r="D80" s="399">
        <f>SUM(D49:D79)</f>
        <v>4376086.9600000028</v>
      </c>
      <c r="E80" s="400">
        <f>SUM(E49:E79)</f>
        <v>666352.87</v>
      </c>
      <c r="F80" s="400"/>
      <c r="G80" s="401">
        <f>SUM(G49:G79)</f>
        <v>603.8202</v>
      </c>
      <c r="H80" s="399">
        <f>SUM(H49:H79)</f>
        <v>5043071.7410638984</v>
      </c>
      <c r="I80" s="432">
        <f>SUM(I49:I79)</f>
        <v>715515</v>
      </c>
      <c r="J80" s="432">
        <f t="shared" ref="J80:R80" si="14">SUM(J49:J79)</f>
        <v>0</v>
      </c>
      <c r="K80" s="432">
        <f t="shared" si="14"/>
        <v>0</v>
      </c>
      <c r="L80" s="432">
        <f t="shared" si="14"/>
        <v>666352.87</v>
      </c>
      <c r="M80" s="432">
        <f t="shared" si="14"/>
        <v>0</v>
      </c>
      <c r="N80" s="432">
        <f t="shared" si="14"/>
        <v>0</v>
      </c>
      <c r="O80" s="432">
        <f t="shared" si="14"/>
        <v>0</v>
      </c>
      <c r="P80" s="432">
        <f t="shared" si="14"/>
        <v>666352.87</v>
      </c>
      <c r="Q80" s="432">
        <f t="shared" si="14"/>
        <v>0</v>
      </c>
      <c r="R80" s="432">
        <f t="shared" si="14"/>
        <v>0</v>
      </c>
      <c r="U80" s="1"/>
      <c r="V80" s="328">
        <f>SUM(V49:V79)</f>
        <v>715515</v>
      </c>
      <c r="W80" s="328">
        <f>SUM(W49:W79)</f>
        <v>703039.59361071989</v>
      </c>
      <c r="X80" s="328">
        <f>SUM(X49:X79)</f>
        <v>12475.406389280048</v>
      </c>
      <c r="Y80" s="323">
        <f>Y79</f>
        <v>12475.406389280048</v>
      </c>
      <c r="AL80" s="361">
        <f>Y79</f>
        <v>12475.406389280048</v>
      </c>
    </row>
    <row r="81" spans="2:14" ht="15" customHeight="1" x14ac:dyDescent="0.2">
      <c r="B81"/>
      <c r="C81"/>
      <c r="D81"/>
      <c r="E81"/>
      <c r="F81"/>
      <c r="G81"/>
      <c r="H81"/>
      <c r="I81"/>
      <c r="J81"/>
      <c r="K81"/>
      <c r="L81"/>
      <c r="N81" s="2"/>
    </row>
  </sheetData>
  <mergeCells count="12">
    <mergeCell ref="C10:D10"/>
    <mergeCell ref="C11:D11"/>
    <mergeCell ref="C3:M4"/>
    <mergeCell ref="C5:M5"/>
    <mergeCell ref="C6:M6"/>
    <mergeCell ref="G7:H7"/>
    <mergeCell ref="C9:D9"/>
    <mergeCell ref="D23:E23"/>
    <mergeCell ref="D24:E24"/>
    <mergeCell ref="C28:F28"/>
    <mergeCell ref="C39:F39"/>
    <mergeCell ref="S47:Y47"/>
  </mergeCells>
  <conditionalFormatting sqref="L49:O79">
    <cfRule type="cellIs" dxfId="158" priority="1" stopIfTrue="1" operator="equal">
      <formula>0</formula>
    </cfRule>
  </conditionalFormatting>
  <pageMargins left="0.7" right="0.7" top="0.75" bottom="0.75" header="0.3" footer="0.3"/>
  <pageSetup orientation="portrait" r:id="rId1"/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L81"/>
  <sheetViews>
    <sheetView workbookViewId="0"/>
  </sheetViews>
  <sheetFormatPr baseColWidth="10" defaultColWidth="11" defaultRowHeight="14.25" x14ac:dyDescent="0.2"/>
  <cols>
    <col min="1" max="1" width="11" style="2"/>
    <col min="2" max="2" width="3.875" style="2" bestFit="1" customWidth="1"/>
    <col min="3" max="3" width="16.125" style="2" customWidth="1"/>
    <col min="4" max="4" width="12.375" style="2" bestFit="1" customWidth="1"/>
    <col min="5" max="5" width="10.875" style="2" bestFit="1" customWidth="1"/>
    <col min="6" max="6" width="17.125" style="2" bestFit="1" customWidth="1"/>
    <col min="7" max="7" width="13.125" style="2" bestFit="1" customWidth="1"/>
    <col min="8" max="8" width="12.125" style="2" bestFit="1" customWidth="1"/>
    <col min="9" max="9" width="11.125" style="2" bestFit="1" customWidth="1"/>
    <col min="10" max="10" width="11.875" style="2" bestFit="1" customWidth="1"/>
    <col min="11" max="11" width="11.625" style="2" bestFit="1" customWidth="1"/>
    <col min="12" max="12" width="12.125" style="2" customWidth="1"/>
    <col min="13" max="13" width="10.5" style="2" bestFit="1" customWidth="1"/>
    <col min="14" max="14" width="9" style="1" customWidth="1"/>
    <col min="15" max="15" width="10.375" style="2" customWidth="1"/>
    <col min="16" max="25" width="11" style="2"/>
    <col min="26" max="32" width="10.875" customWidth="1"/>
    <col min="33" max="16384" width="11" style="2"/>
  </cols>
  <sheetData>
    <row r="2" spans="2:25" x14ac:dyDescent="0.2"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2:25" ht="15" customHeight="1" x14ac:dyDescent="0.2">
      <c r="B3" s="1"/>
      <c r="C3" s="2254" t="s">
        <v>0</v>
      </c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</row>
    <row r="4" spans="2:25" ht="15" customHeight="1" x14ac:dyDescent="0.2"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</row>
    <row r="5" spans="2:25" x14ac:dyDescent="0.2">
      <c r="B5" s="1"/>
      <c r="C5" s="2257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</row>
    <row r="6" spans="2:25" x14ac:dyDescent="0.2">
      <c r="B6" s="1"/>
      <c r="C6" s="2257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</row>
    <row r="7" spans="2:25" x14ac:dyDescent="0.2">
      <c r="B7" s="1"/>
      <c r="C7" s="516"/>
      <c r="D7" s="516"/>
      <c r="E7" s="516"/>
      <c r="F7" s="516"/>
      <c r="G7" s="2271">
        <v>41852</v>
      </c>
      <c r="H7" s="2257"/>
      <c r="I7" s="516"/>
      <c r="J7" s="516"/>
      <c r="K7" s="516"/>
      <c r="L7" s="516"/>
      <c r="M7" s="516"/>
      <c r="N7" s="18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2:25" x14ac:dyDescent="0.2">
      <c r="B8" s="1"/>
      <c r="C8" s="516"/>
      <c r="D8" s="516"/>
      <c r="E8" s="516"/>
      <c r="F8" s="516"/>
      <c r="G8" s="516"/>
      <c r="H8" s="516"/>
      <c r="I8" s="516"/>
      <c r="J8" s="516"/>
      <c r="K8" s="516"/>
      <c r="L8" s="516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2:25" ht="25.5" x14ac:dyDescent="0.2">
      <c r="B9" s="1"/>
      <c r="C9" s="2272" t="s">
        <v>6</v>
      </c>
      <c r="D9" s="2272"/>
      <c r="E9" s="517" t="s">
        <v>94</v>
      </c>
      <c r="F9" s="517" t="s">
        <v>126</v>
      </c>
      <c r="G9" s="410" t="s">
        <v>133</v>
      </c>
      <c r="H9" s="517" t="s">
        <v>127</v>
      </c>
      <c r="I9" s="517" t="s">
        <v>128</v>
      </c>
      <c r="J9" s="516"/>
      <c r="K9" s="516"/>
      <c r="L9" s="516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2:25" x14ac:dyDescent="0.2">
      <c r="B10" s="1"/>
      <c r="C10" s="2270" t="s">
        <v>131</v>
      </c>
      <c r="D10" s="2270"/>
      <c r="E10" s="433">
        <f>IF(C15=0,D15,C15)</f>
        <v>4627948.08</v>
      </c>
      <c r="F10" s="407">
        <f>E10*0.16</f>
        <v>740471.69280000008</v>
      </c>
      <c r="G10" s="407">
        <f>E10+F10</f>
        <v>5368419.7728000004</v>
      </c>
      <c r="H10" s="408"/>
      <c r="I10" s="411">
        <v>19</v>
      </c>
      <c r="J10" s="516"/>
      <c r="K10" s="516"/>
      <c r="L10" s="516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2:25" x14ac:dyDescent="0.2">
      <c r="B11" s="1"/>
      <c r="C11" s="2270" t="s">
        <v>132</v>
      </c>
      <c r="D11" s="2270"/>
      <c r="E11" s="433">
        <f>IF(C16=0,D16,C16)</f>
        <v>2047.42</v>
      </c>
      <c r="F11" s="407">
        <f>E11*0.16</f>
        <v>327.5872</v>
      </c>
      <c r="G11" s="407">
        <f>E11+F11</f>
        <v>2375.0072</v>
      </c>
      <c r="H11" s="408"/>
      <c r="I11" s="411">
        <v>19</v>
      </c>
      <c r="J11" s="516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2:25" x14ac:dyDescent="0.2">
      <c r="B12" s="1"/>
      <c r="C12" s="516"/>
      <c r="D12" s="516"/>
      <c r="E12" s="516"/>
      <c r="F12" s="516"/>
      <c r="G12" s="516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2:25" ht="15" thickBot="1" x14ac:dyDescent="0.25">
      <c r="B13" s="1"/>
      <c r="C13" s="516"/>
      <c r="D13" s="516"/>
      <c r="E13" s="516"/>
      <c r="F13" s="516"/>
      <c r="G13" s="516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2:25" x14ac:dyDescent="0.2">
      <c r="B14" s="1"/>
      <c r="C14" s="440" t="s">
        <v>155</v>
      </c>
      <c r="D14" s="441" t="s">
        <v>156</v>
      </c>
      <c r="E14" s="442" t="s">
        <v>112</v>
      </c>
      <c r="F14" s="516"/>
      <c r="G14" s="516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2:25" x14ac:dyDescent="0.2">
      <c r="B15" s="1"/>
      <c r="C15" s="443">
        <v>4627948.08</v>
      </c>
      <c r="D15" s="444">
        <f>D80</f>
        <v>4376086.9600000028</v>
      </c>
      <c r="E15" s="445">
        <f>C15-D15</f>
        <v>251861.11999999732</v>
      </c>
      <c r="F15" s="516"/>
      <c r="G15" s="516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2:25" ht="15" thickBot="1" x14ac:dyDescent="0.25">
      <c r="B16" s="1"/>
      <c r="C16" s="446">
        <v>2047.42</v>
      </c>
      <c r="D16" s="447">
        <f>ROUND(G80,2)</f>
        <v>0</v>
      </c>
      <c r="E16" s="448">
        <f>C16-D16</f>
        <v>2047.42</v>
      </c>
      <c r="F16" s="516"/>
      <c r="G16" s="516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2:25" x14ac:dyDescent="0.2">
      <c r="B17" s="1"/>
      <c r="C17" s="516"/>
      <c r="D17" s="516"/>
      <c r="E17" s="516"/>
      <c r="F17" s="516"/>
      <c r="G17" s="516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2:25" x14ac:dyDescent="0.2">
      <c r="B18" s="1"/>
      <c r="C18" s="516"/>
      <c r="D18" s="516"/>
      <c r="E18" s="516"/>
      <c r="F18" s="516"/>
      <c r="G18" s="516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2:25" x14ac:dyDescent="0.2">
      <c r="B19" s="1"/>
      <c r="C19" s="516"/>
      <c r="D19" s="516"/>
      <c r="E19" s="516"/>
      <c r="F19" s="516"/>
      <c r="G19" s="516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2:25" x14ac:dyDescent="0.2">
      <c r="B20" s="1"/>
      <c r="C20" s="516"/>
      <c r="D20" s="516"/>
      <c r="E20" s="516"/>
      <c r="F20" s="516"/>
      <c r="G20" s="516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2:25" x14ac:dyDescent="0.2">
      <c r="B21" s="1"/>
      <c r="C21" s="516"/>
      <c r="D21" s="516"/>
      <c r="E21" s="516"/>
      <c r="F21" s="516"/>
      <c r="G21" s="516"/>
      <c r="H21" s="1"/>
      <c r="I21" s="1"/>
      <c r="J21" s="1"/>
      <c r="K21" s="1"/>
      <c r="L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2:25" ht="15" thickBot="1" x14ac:dyDescent="0.25">
      <c r="B22" s="1"/>
      <c r="C22" s="419" t="s">
        <v>137</v>
      </c>
      <c r="D22" s="516" t="s">
        <v>138</v>
      </c>
      <c r="E22" s="516"/>
      <c r="F22" s="516" t="s">
        <v>139</v>
      </c>
      <c r="G22" s="516" t="s">
        <v>157</v>
      </c>
      <c r="H22" s="516" t="s">
        <v>143</v>
      </c>
      <c r="I22" s="516" t="s">
        <v>142</v>
      </c>
      <c r="J22" s="516" t="s">
        <v>141</v>
      </c>
      <c r="K22" s="516" t="s">
        <v>140</v>
      </c>
      <c r="L22" s="516" t="s">
        <v>144</v>
      </c>
      <c r="M22" s="516" t="s">
        <v>146</v>
      </c>
      <c r="N22" s="516"/>
      <c r="O22" s="516"/>
      <c r="P22" s="516"/>
      <c r="Q22" s="1"/>
      <c r="R22" s="1"/>
      <c r="S22" s="1"/>
      <c r="T22" s="1"/>
      <c r="U22" s="1"/>
      <c r="V22" s="1"/>
      <c r="W22" s="1"/>
      <c r="X22" s="1"/>
      <c r="Y22" s="1"/>
    </row>
    <row r="23" spans="2:25" ht="36.75" customHeight="1" x14ac:dyDescent="0.2">
      <c r="B23" s="1"/>
      <c r="C23" s="402" t="s">
        <v>134</v>
      </c>
      <c r="D23" s="2261" t="s">
        <v>135</v>
      </c>
      <c r="E23" s="2262"/>
      <c r="F23" s="518" t="s">
        <v>136</v>
      </c>
      <c r="G23" s="461" t="s">
        <v>153</v>
      </c>
      <c r="H23" s="420" t="s">
        <v>129</v>
      </c>
      <c r="I23" s="403" t="s">
        <v>130</v>
      </c>
      <c r="J23" s="422"/>
      <c r="K23" s="422"/>
      <c r="L23" s="422"/>
      <c r="M23" s="404" t="s">
        <v>158</v>
      </c>
      <c r="N23" s="516"/>
      <c r="O23" s="516"/>
      <c r="P23" s="516"/>
      <c r="Q23" s="516"/>
      <c r="R23" s="516"/>
      <c r="S23" s="516"/>
      <c r="T23" s="516"/>
      <c r="U23" s="1"/>
      <c r="V23" s="1"/>
      <c r="W23" s="1"/>
      <c r="X23" s="1"/>
      <c r="Y23" s="1"/>
    </row>
    <row r="24" spans="2:25" x14ac:dyDescent="0.2">
      <c r="B24" s="1"/>
      <c r="C24" s="405">
        <v>850</v>
      </c>
      <c r="D24" s="2263">
        <v>850</v>
      </c>
      <c r="E24" s="2264"/>
      <c r="F24" s="418">
        <v>31482640</v>
      </c>
      <c r="G24" s="462">
        <v>31</v>
      </c>
      <c r="H24" s="460">
        <f>VLOOKUP(C47,Tarifas!D4:H303,3)</f>
        <v>0.13900000000000001</v>
      </c>
      <c r="I24" s="424">
        <f>VLOOKUP(C47,Tarifas!D4:H303,5)</f>
        <v>1E-3</v>
      </c>
      <c r="J24" s="421">
        <v>182.5</v>
      </c>
      <c r="K24" s="421">
        <v>201.4</v>
      </c>
      <c r="L24" s="421">
        <f>I11</f>
        <v>19</v>
      </c>
      <c r="M24" s="431">
        <f>E80</f>
        <v>0</v>
      </c>
      <c r="N24" s="430" t="s">
        <v>62</v>
      </c>
      <c r="O24" s="516"/>
      <c r="P24" s="516"/>
      <c r="Q24" s="516"/>
      <c r="R24" s="516"/>
      <c r="S24" s="516"/>
      <c r="T24" s="516"/>
      <c r="U24" s="1"/>
      <c r="V24" s="1"/>
      <c r="W24" s="1"/>
      <c r="X24" s="1"/>
      <c r="Y24" s="1"/>
    </row>
    <row r="25" spans="2:25" x14ac:dyDescent="0.2">
      <c r="B25" s="1"/>
      <c r="C25" s="516"/>
      <c r="D25" s="516"/>
      <c r="E25" s="516"/>
      <c r="F25" s="516"/>
      <c r="G25" s="516"/>
      <c r="H25" s="516"/>
      <c r="I25" s="516"/>
      <c r="J25" s="516"/>
      <c r="K25" s="516"/>
      <c r="L25" s="516"/>
      <c r="M25" s="516"/>
      <c r="N25" s="516"/>
      <c r="O25" s="516"/>
      <c r="P25" s="516"/>
      <c r="Q25" s="516"/>
      <c r="R25" s="516"/>
      <c r="S25" s="1"/>
      <c r="T25" s="1"/>
      <c r="U25" s="1"/>
      <c r="V25" s="1"/>
      <c r="W25" s="1"/>
      <c r="X25" s="1"/>
      <c r="Y25" s="1"/>
    </row>
    <row r="26" spans="2:25" x14ac:dyDescent="0.2">
      <c r="B26" s="1"/>
      <c r="C26" s="516"/>
      <c r="D26" s="516"/>
      <c r="E26" s="516"/>
      <c r="F26" s="516"/>
      <c r="G26" s="516"/>
      <c r="H26" s="516"/>
      <c r="I26" s="516"/>
      <c r="J26" s="516"/>
      <c r="K26" s="516"/>
      <c r="L26" s="516"/>
      <c r="M26" s="516"/>
      <c r="N26" s="516"/>
      <c r="O26" s="516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2:25" x14ac:dyDescent="0.2">
      <c r="B27" s="1"/>
      <c r="C27" s="516"/>
      <c r="D27" s="516"/>
      <c r="E27" s="516"/>
      <c r="F27" s="516"/>
      <c r="G27" s="516"/>
      <c r="H27" s="516"/>
      <c r="I27" s="516"/>
      <c r="J27" s="516"/>
      <c r="K27" s="516"/>
      <c r="L27" s="516"/>
      <c r="M27" s="516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2:25" ht="15" thickBot="1" x14ac:dyDescent="0.25">
      <c r="B28" s="1"/>
      <c r="C28" s="2265" t="s">
        <v>86</v>
      </c>
      <c r="D28" s="2265"/>
      <c r="E28" s="2265"/>
      <c r="F28" s="2265"/>
      <c r="G28" s="519"/>
      <c r="H28" s="334"/>
      <c r="I28" s="334"/>
      <c r="J28" s="334"/>
      <c r="K28" s="519"/>
      <c r="L28" s="336"/>
      <c r="M28" s="336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2:25" ht="22.5" x14ac:dyDescent="0.2">
      <c r="B29" s="1"/>
      <c r="C29" s="337" t="s">
        <v>87</v>
      </c>
      <c r="D29" s="514" t="s">
        <v>88</v>
      </c>
      <c r="E29" s="514" t="s">
        <v>89</v>
      </c>
      <c r="F29" s="514" t="s">
        <v>20</v>
      </c>
      <c r="G29" s="514" t="s">
        <v>160</v>
      </c>
      <c r="H29" s="514" t="s">
        <v>90</v>
      </c>
      <c r="I29" s="514" t="s">
        <v>91</v>
      </c>
      <c r="J29" s="514" t="s">
        <v>92</v>
      </c>
      <c r="K29" s="514" t="s">
        <v>93</v>
      </c>
      <c r="L29" s="514" t="s">
        <v>94</v>
      </c>
      <c r="M29" s="515" t="s">
        <v>95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2:25" x14ac:dyDescent="0.2">
      <c r="B30" s="1"/>
      <c r="C30" s="338"/>
      <c r="D30" s="339">
        <v>1</v>
      </c>
      <c r="E30" s="339" t="s">
        <v>96</v>
      </c>
      <c r="F30" s="340" t="s">
        <v>97</v>
      </c>
      <c r="G30" s="340">
        <v>2201</v>
      </c>
      <c r="H30" s="339">
        <v>20823</v>
      </c>
      <c r="I30" s="341">
        <v>40000</v>
      </c>
      <c r="J30" s="339">
        <v>138.15</v>
      </c>
      <c r="K30" s="342">
        <f>I30/I$35</f>
        <v>4.7058823529411764E-2</v>
      </c>
      <c r="L30" s="343">
        <f>ROUND(K30*E$10,2)</f>
        <v>217785.79</v>
      </c>
      <c r="M30" s="344">
        <f>L30*$I$10</f>
        <v>4137930.0100000002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2:25" x14ac:dyDescent="0.2">
      <c r="B31" s="1"/>
      <c r="C31" s="338"/>
      <c r="D31" s="339">
        <v>2</v>
      </c>
      <c r="E31" s="339" t="s">
        <v>98</v>
      </c>
      <c r="F31" s="340" t="s">
        <v>97</v>
      </c>
      <c r="G31" s="340">
        <v>2201</v>
      </c>
      <c r="H31" s="339">
        <v>20824</v>
      </c>
      <c r="I31" s="341">
        <v>40000</v>
      </c>
      <c r="J31" s="339">
        <v>138.15</v>
      </c>
      <c r="K31" s="342">
        <f>I31/I$35</f>
        <v>4.7058823529411764E-2</v>
      </c>
      <c r="L31" s="343">
        <f>ROUND(K31*E$10,2)</f>
        <v>217785.79</v>
      </c>
      <c r="M31" s="344">
        <f>L31*$I$10</f>
        <v>4137930.0100000002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2:25" x14ac:dyDescent="0.2">
      <c r="B32" s="1"/>
      <c r="C32" s="338"/>
      <c r="D32" s="339">
        <v>1</v>
      </c>
      <c r="E32" s="339" t="s">
        <v>99</v>
      </c>
      <c r="F32" s="340" t="s">
        <v>100</v>
      </c>
      <c r="G32" s="340">
        <v>2230</v>
      </c>
      <c r="H32" s="339">
        <v>22228</v>
      </c>
      <c r="I32" s="341">
        <v>32000</v>
      </c>
      <c r="J32" s="339">
        <v>130.80000000000001</v>
      </c>
      <c r="K32" s="342">
        <f>I32/I$35</f>
        <v>3.7647058823529408E-2</v>
      </c>
      <c r="L32" s="343">
        <f>ROUND(K32*E$10,2)</f>
        <v>174228.63</v>
      </c>
      <c r="M32" s="344">
        <f>L32*$I$10</f>
        <v>3310343.97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2:25" x14ac:dyDescent="0.2">
      <c r="B33" s="1"/>
      <c r="C33" s="338">
        <v>800762390</v>
      </c>
      <c r="D33" s="339">
        <v>1</v>
      </c>
      <c r="E33" s="354" t="s">
        <v>101</v>
      </c>
      <c r="F33" s="463" t="s">
        <v>23</v>
      </c>
      <c r="G33" s="463">
        <v>2044</v>
      </c>
      <c r="H33" s="354">
        <v>591000420</v>
      </c>
      <c r="I33" s="341">
        <v>80000</v>
      </c>
      <c r="J33" s="339"/>
      <c r="K33" s="342">
        <f>I33/I$35</f>
        <v>9.4117647058823528E-2</v>
      </c>
      <c r="L33" s="343">
        <f>ROUND(K33*E$10,2)</f>
        <v>435571.58</v>
      </c>
      <c r="M33" s="344">
        <f>L33*$I$10</f>
        <v>8275860.0200000005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2:25" ht="15" thickBot="1" x14ac:dyDescent="0.25">
      <c r="B34" s="1"/>
      <c r="C34" s="345">
        <v>800642440</v>
      </c>
      <c r="D34" s="346">
        <v>5</v>
      </c>
      <c r="E34" s="347" t="s">
        <v>101</v>
      </c>
      <c r="F34" s="348" t="s">
        <v>159</v>
      </c>
      <c r="G34" s="348">
        <v>2277</v>
      </c>
      <c r="H34" s="347">
        <v>22770</v>
      </c>
      <c r="I34" s="349">
        <f>850000-I30-I31-I32-I33</f>
        <v>658000</v>
      </c>
      <c r="J34" s="346"/>
      <c r="K34" s="350">
        <f>I34/I$35</f>
        <v>0.77411764705882358</v>
      </c>
      <c r="L34" s="351">
        <f>ROUND(K34*E$10,2)</f>
        <v>3582576.28</v>
      </c>
      <c r="M34" s="352">
        <f>L34*$I$10</f>
        <v>68068949.319999993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2:25" x14ac:dyDescent="0.2">
      <c r="B35" s="1"/>
      <c r="C35" s="406">
        <v>3000623</v>
      </c>
      <c r="D35" s="353" t="s">
        <v>102</v>
      </c>
      <c r="E35" s="353"/>
      <c r="F35" s="353"/>
      <c r="G35" s="353"/>
      <c r="H35" s="354"/>
      <c r="I35" s="355">
        <f>SUM(I30:I34)</f>
        <v>850000</v>
      </c>
      <c r="J35" s="353"/>
      <c r="K35" s="356">
        <f>SUM(K30:K34)</f>
        <v>1</v>
      </c>
      <c r="L35" s="357">
        <f>SUM(L30:L34)</f>
        <v>4627948.07</v>
      </c>
      <c r="M35" s="357">
        <f>SUM(M30:M34)</f>
        <v>87931013.329999998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2:25" x14ac:dyDescent="0.2">
      <c r="B36" s="1"/>
      <c r="C36" s="336"/>
      <c r="D36" s="336"/>
      <c r="E36" s="336"/>
      <c r="F36" s="358"/>
      <c r="G36" s="358"/>
      <c r="H36" s="336"/>
      <c r="I36" s="336"/>
      <c r="J36" s="336"/>
      <c r="K36" s="336"/>
      <c r="L36" s="359"/>
      <c r="M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2:25" x14ac:dyDescent="0.2">
      <c r="B37" s="1"/>
      <c r="C37" s="336"/>
      <c r="D37" s="336"/>
      <c r="E37" s="336"/>
      <c r="F37" s="358"/>
      <c r="G37" s="358"/>
      <c r="H37" s="336"/>
      <c r="I37" s="336"/>
      <c r="J37" s="336"/>
      <c r="K37" s="336"/>
      <c r="L37" s="359"/>
      <c r="M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2:25" x14ac:dyDescent="0.2">
      <c r="B38" s="1"/>
      <c r="C38" s="336"/>
      <c r="D38" s="336"/>
      <c r="E38" s="336"/>
      <c r="F38" s="358"/>
      <c r="G38" s="358"/>
      <c r="H38" s="336"/>
      <c r="I38" s="336"/>
      <c r="J38" s="336"/>
      <c r="K38" s="336"/>
      <c r="L38" s="359"/>
      <c r="M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2:25" ht="15" thickBot="1" x14ac:dyDescent="0.25">
      <c r="B39" s="1"/>
      <c r="C39" s="2266" t="s">
        <v>103</v>
      </c>
      <c r="D39" s="2266"/>
      <c r="E39" s="2266"/>
      <c r="F39" s="2266"/>
      <c r="G39" s="519"/>
      <c r="H39" s="334"/>
      <c r="I39" s="334"/>
      <c r="J39" s="334"/>
      <c r="K39" s="336"/>
      <c r="L39" s="336"/>
      <c r="M39" s="360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2:25" ht="22.5" x14ac:dyDescent="0.2">
      <c r="B40" s="1"/>
      <c r="C40" s="337" t="s">
        <v>87</v>
      </c>
      <c r="D40" s="514" t="s">
        <v>88</v>
      </c>
      <c r="E40" s="514" t="s">
        <v>89</v>
      </c>
      <c r="F40" s="514" t="s">
        <v>20</v>
      </c>
      <c r="G40" s="514"/>
      <c r="H40" s="514" t="s">
        <v>90</v>
      </c>
      <c r="I40" s="514" t="s">
        <v>104</v>
      </c>
      <c r="J40" s="514" t="s">
        <v>93</v>
      </c>
      <c r="K40" s="514" t="s">
        <v>92</v>
      </c>
      <c r="L40" s="514" t="s">
        <v>94</v>
      </c>
      <c r="M40" s="515" t="s">
        <v>95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2:25" x14ac:dyDescent="0.2">
      <c r="B41" s="1"/>
      <c r="C41" s="338"/>
      <c r="D41" s="339">
        <v>1</v>
      </c>
      <c r="E41" s="339" t="s">
        <v>96</v>
      </c>
      <c r="F41" s="340" t="s">
        <v>97</v>
      </c>
      <c r="G41" s="340"/>
      <c r="H41" s="339">
        <v>20823</v>
      </c>
      <c r="I41" s="341">
        <f>M80</f>
        <v>0</v>
      </c>
      <c r="J41" s="342" t="e">
        <f>I41/I$45</f>
        <v>#DIV/0!</v>
      </c>
      <c r="K41" s="339">
        <v>138.15</v>
      </c>
      <c r="L41" s="343" t="e">
        <f>ROUND(J41*$E$11,2)</f>
        <v>#DIV/0!</v>
      </c>
      <c r="M41" s="344" t="e">
        <f>L41*L24</f>
        <v>#DIV/0!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2:25" x14ac:dyDescent="0.2">
      <c r="B42" s="1"/>
      <c r="C42" s="338"/>
      <c r="D42" s="339">
        <v>2</v>
      </c>
      <c r="E42" s="339" t="s">
        <v>98</v>
      </c>
      <c r="F42" s="340" t="s">
        <v>97</v>
      </c>
      <c r="G42" s="340"/>
      <c r="H42" s="339">
        <v>20824</v>
      </c>
      <c r="I42" s="341">
        <f>N80</f>
        <v>0</v>
      </c>
      <c r="J42" s="342" t="e">
        <f>I42/I$45</f>
        <v>#DIV/0!</v>
      </c>
      <c r="K42" s="339">
        <v>138.15</v>
      </c>
      <c r="L42" s="343" t="e">
        <f>ROUND(J42*$E$11,2)</f>
        <v>#DIV/0!</v>
      </c>
      <c r="M42" s="344" t="e">
        <f>L42*L25</f>
        <v>#DIV/0!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2:25" x14ac:dyDescent="0.2">
      <c r="B43" s="1"/>
      <c r="C43" s="338"/>
      <c r="D43" s="339">
        <v>1</v>
      </c>
      <c r="E43" s="339" t="s">
        <v>99</v>
      </c>
      <c r="F43" s="340" t="s">
        <v>100</v>
      </c>
      <c r="G43" s="340"/>
      <c r="H43" s="339">
        <v>22228</v>
      </c>
      <c r="I43" s="341">
        <f>O80</f>
        <v>0</v>
      </c>
      <c r="J43" s="342" t="e">
        <f>I43/I$45</f>
        <v>#DIV/0!</v>
      </c>
      <c r="K43" s="339">
        <v>130.80000000000001</v>
      </c>
      <c r="L43" s="343" t="e">
        <f>ROUND(J43*$E$11,2)</f>
        <v>#DIV/0!</v>
      </c>
      <c r="M43" s="344" t="e">
        <f>L43*L26</f>
        <v>#DIV/0!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2:25" ht="15" thickBot="1" x14ac:dyDescent="0.25">
      <c r="B44" s="1"/>
      <c r="C44" s="345">
        <v>800762390</v>
      </c>
      <c r="D44" s="346">
        <v>2</v>
      </c>
      <c r="E44" s="347" t="s">
        <v>101</v>
      </c>
      <c r="F44" s="348" t="s">
        <v>23</v>
      </c>
      <c r="G44" s="348"/>
      <c r="H44" s="347"/>
      <c r="I44" s="349">
        <f>L80</f>
        <v>0</v>
      </c>
      <c r="J44" s="350" t="e">
        <f>I44/I$45</f>
        <v>#DIV/0!</v>
      </c>
      <c r="K44" s="346">
        <v>138.15</v>
      </c>
      <c r="L44" s="351" t="e">
        <f>ROUND(J44*$E$11,2)</f>
        <v>#DIV/0!</v>
      </c>
      <c r="M44" s="352" t="e">
        <f>L44*L27</f>
        <v>#DIV/0!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2:25" x14ac:dyDescent="0.2">
      <c r="B45" s="1"/>
      <c r="C45" s="353"/>
      <c r="D45" s="353"/>
      <c r="E45" s="353"/>
      <c r="F45" s="353"/>
      <c r="G45" s="353"/>
      <c r="H45" s="354"/>
      <c r="I45" s="449">
        <f>SUM(I41:I44)</f>
        <v>0</v>
      </c>
      <c r="J45" s="355"/>
      <c r="K45" s="353"/>
      <c r="L45" s="357" t="e">
        <f>SUM(L41:L44)</f>
        <v>#DIV/0!</v>
      </c>
      <c r="M45" s="357" t="e">
        <f>SUM(M41:M44)</f>
        <v>#DIV/0!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2:25" customFormat="1" ht="15" thickBot="1" x14ac:dyDescent="0.25">
      <c r="M46" s="450"/>
      <c r="N46" s="450"/>
      <c r="O46" s="450"/>
      <c r="P46" s="450"/>
      <c r="Q46" s="450"/>
      <c r="R46" s="450"/>
      <c r="S46" s="450"/>
      <c r="T46" s="450"/>
      <c r="U46" s="450"/>
      <c r="V46" s="450"/>
      <c r="W46" s="450"/>
      <c r="X46" s="450"/>
      <c r="Y46" s="450"/>
    </row>
    <row r="47" spans="2:25" ht="15" thickBot="1" x14ac:dyDescent="0.25">
      <c r="B47" s="434" t="s">
        <v>3</v>
      </c>
      <c r="C47" s="333">
        <f>SUMIF(Tarifas!E4:E303,'Agosto - 2014'!C49,Tarifas!D4:D303)</f>
        <v>13</v>
      </c>
      <c r="D47" s="425" t="s">
        <v>147</v>
      </c>
      <c r="E47" s="426" t="s">
        <v>145</v>
      </c>
      <c r="F47" s="426" t="s">
        <v>150</v>
      </c>
      <c r="G47" s="426" t="s">
        <v>148</v>
      </c>
      <c r="H47" s="382"/>
      <c r="I47" s="331" t="s">
        <v>120</v>
      </c>
      <c r="J47" s="332"/>
      <c r="K47" s="332"/>
      <c r="L47" s="364" t="s">
        <v>105</v>
      </c>
      <c r="M47" s="365"/>
      <c r="N47" s="365"/>
      <c r="O47" s="365"/>
      <c r="P47" s="365"/>
      <c r="Q47" s="365"/>
      <c r="R47" s="366"/>
      <c r="S47" s="2267" t="s">
        <v>121</v>
      </c>
      <c r="T47" s="2268"/>
      <c r="U47" s="2268"/>
      <c r="V47" s="2268"/>
      <c r="W47" s="2268"/>
      <c r="X47" s="2268"/>
      <c r="Y47" s="2269"/>
    </row>
    <row r="48" spans="2:25" ht="33.75" x14ac:dyDescent="0.2">
      <c r="C48" s="383" t="s">
        <v>122</v>
      </c>
      <c r="D48" s="384" t="s">
        <v>125</v>
      </c>
      <c r="E48" s="385" t="s">
        <v>149</v>
      </c>
      <c r="F48" s="385" t="s">
        <v>151</v>
      </c>
      <c r="G48" s="385" t="s">
        <v>152</v>
      </c>
      <c r="H48" s="386" t="s">
        <v>123</v>
      </c>
      <c r="I48" s="329" t="s">
        <v>109</v>
      </c>
      <c r="J48" s="330" t="s">
        <v>25</v>
      </c>
      <c r="K48" s="330" t="s">
        <v>26</v>
      </c>
      <c r="L48" s="367" t="s">
        <v>115</v>
      </c>
      <c r="M48" s="362" t="s">
        <v>106</v>
      </c>
      <c r="N48" s="362" t="s">
        <v>107</v>
      </c>
      <c r="O48" s="362" t="s">
        <v>108</v>
      </c>
      <c r="P48" s="362" t="s">
        <v>115</v>
      </c>
      <c r="Q48" s="363" t="s">
        <v>116</v>
      </c>
      <c r="R48" s="368" t="s">
        <v>117</v>
      </c>
      <c r="S48" s="369" t="s">
        <v>110</v>
      </c>
      <c r="T48" s="370" t="s">
        <v>111</v>
      </c>
      <c r="U48" s="370" t="s">
        <v>112</v>
      </c>
      <c r="V48" s="371" t="s">
        <v>118</v>
      </c>
      <c r="W48" s="371" t="s">
        <v>119</v>
      </c>
      <c r="X48" s="371" t="s">
        <v>114</v>
      </c>
      <c r="Y48" s="372" t="s">
        <v>113</v>
      </c>
    </row>
    <row r="49" spans="3:25" x14ac:dyDescent="0.2">
      <c r="C49" s="387">
        <f>G7</f>
        <v>41852</v>
      </c>
      <c r="D49" s="388">
        <f>($F$24*$H$24)/$G$24</f>
        <v>141164.09548387097</v>
      </c>
      <c r="E49" s="389">
        <f>P49+Q49+R49</f>
        <v>0</v>
      </c>
      <c r="F49" s="427">
        <f t="shared" ref="F49:F79" si="0">TRUNC(IFERROR(J$24/K$24,0),8)</f>
        <v>0.90615690000000004</v>
      </c>
      <c r="G49" s="390">
        <f t="shared" ref="G49:G79" si="1">ROUND(I$24*F49*E49,4)</f>
        <v>0</v>
      </c>
      <c r="H49" s="391">
        <f t="shared" ref="H49:H79" si="2">SUM(D49:G49)</f>
        <v>141165.00164077096</v>
      </c>
      <c r="I49" s="324"/>
      <c r="J49" s="325"/>
      <c r="K49" s="325"/>
      <c r="L49" s="317"/>
      <c r="M49" s="318"/>
      <c r="N49" s="318"/>
      <c r="O49" s="318"/>
      <c r="P49" s="389">
        <f>L49</f>
        <v>0</v>
      </c>
      <c r="Q49" s="389">
        <f t="shared" ref="Q49:Q79" si="3">M49+N49</f>
        <v>0</v>
      </c>
      <c r="R49" s="389">
        <f t="shared" ref="R49:R79" si="4">O49</f>
        <v>0</v>
      </c>
      <c r="S49" s="373"/>
      <c r="T49" s="374"/>
      <c r="U49" s="524">
        <f>S49+T49-V49</f>
        <v>0</v>
      </c>
      <c r="V49" s="520">
        <f>I49+J49+K49</f>
        <v>0</v>
      </c>
      <c r="W49" s="524">
        <f>(P49+Q49+R49)*1.055056</f>
        <v>0</v>
      </c>
      <c r="X49" s="520">
        <f>V49-W49</f>
        <v>0</v>
      </c>
      <c r="Y49" s="525">
        <f>AL46+X49</f>
        <v>0</v>
      </c>
    </row>
    <row r="50" spans="3:25" x14ac:dyDescent="0.2">
      <c r="C50" s="387">
        <f t="shared" ref="C50:C79" si="5">C49+1</f>
        <v>41853</v>
      </c>
      <c r="D50" s="388">
        <f t="shared" ref="D50:D79" si="6">($F$24*$H$24)/$G$24</f>
        <v>141164.09548387097</v>
      </c>
      <c r="E50" s="392">
        <f t="shared" ref="E50:E79" si="7">P50+Q50+R50</f>
        <v>0</v>
      </c>
      <c r="F50" s="428">
        <f t="shared" si="0"/>
        <v>0.90615690000000004</v>
      </c>
      <c r="G50" s="390">
        <f t="shared" si="1"/>
        <v>0</v>
      </c>
      <c r="H50" s="391">
        <f t="shared" si="2"/>
        <v>141165.00164077096</v>
      </c>
      <c r="I50" s="324"/>
      <c r="J50" s="325"/>
      <c r="K50" s="325"/>
      <c r="L50" s="319"/>
      <c r="M50" s="320"/>
      <c r="N50" s="320"/>
      <c r="O50" s="320"/>
      <c r="P50" s="392">
        <f t="shared" ref="P50:P79" si="8">L50</f>
        <v>0</v>
      </c>
      <c r="Q50" s="392">
        <f t="shared" si="3"/>
        <v>0</v>
      </c>
      <c r="R50" s="392">
        <f t="shared" si="4"/>
        <v>0</v>
      </c>
      <c r="S50" s="373"/>
      <c r="T50" s="374"/>
      <c r="U50" s="524">
        <f t="shared" ref="U50:U79" si="9">S50+T50-V50</f>
        <v>0</v>
      </c>
      <c r="V50" s="520">
        <f t="shared" ref="V50:V79" si="10">I50+J50+K50</f>
        <v>0</v>
      </c>
      <c r="W50" s="524">
        <f t="shared" ref="W50:W79" si="11">(P50+Q50+R50)*1.055056</f>
        <v>0</v>
      </c>
      <c r="X50" s="520">
        <f t="shared" ref="X50:X79" si="12">V50-W50</f>
        <v>0</v>
      </c>
      <c r="Y50" s="525">
        <f>Y49+X50</f>
        <v>0</v>
      </c>
    </row>
    <row r="51" spans="3:25" x14ac:dyDescent="0.2">
      <c r="C51" s="387">
        <f t="shared" si="5"/>
        <v>41854</v>
      </c>
      <c r="D51" s="388">
        <f t="shared" si="6"/>
        <v>141164.09548387097</v>
      </c>
      <c r="E51" s="392">
        <f t="shared" si="7"/>
        <v>0</v>
      </c>
      <c r="F51" s="428">
        <f t="shared" si="0"/>
        <v>0.90615690000000004</v>
      </c>
      <c r="G51" s="390">
        <f t="shared" si="1"/>
        <v>0</v>
      </c>
      <c r="H51" s="391">
        <f t="shared" si="2"/>
        <v>141165.00164077096</v>
      </c>
      <c r="I51" s="324"/>
      <c r="J51" s="325"/>
      <c r="K51" s="325"/>
      <c r="L51" s="317"/>
      <c r="M51" s="318"/>
      <c r="N51" s="318"/>
      <c r="O51" s="318"/>
      <c r="P51" s="392">
        <f t="shared" si="8"/>
        <v>0</v>
      </c>
      <c r="Q51" s="392">
        <f t="shared" si="3"/>
        <v>0</v>
      </c>
      <c r="R51" s="392">
        <f t="shared" si="4"/>
        <v>0</v>
      </c>
      <c r="S51" s="373"/>
      <c r="T51" s="374"/>
      <c r="U51" s="524">
        <f t="shared" si="9"/>
        <v>0</v>
      </c>
      <c r="V51" s="520">
        <f t="shared" si="10"/>
        <v>0</v>
      </c>
      <c r="W51" s="524">
        <f t="shared" si="11"/>
        <v>0</v>
      </c>
      <c r="X51" s="520">
        <f t="shared" si="12"/>
        <v>0</v>
      </c>
      <c r="Y51" s="525">
        <f t="shared" ref="Y51:Y79" si="13">Y50+X51</f>
        <v>0</v>
      </c>
    </row>
    <row r="52" spans="3:25" x14ac:dyDescent="0.2">
      <c r="C52" s="387">
        <f t="shared" si="5"/>
        <v>41855</v>
      </c>
      <c r="D52" s="388">
        <f t="shared" si="6"/>
        <v>141164.09548387097</v>
      </c>
      <c r="E52" s="392">
        <f t="shared" si="7"/>
        <v>0</v>
      </c>
      <c r="F52" s="428">
        <f t="shared" si="0"/>
        <v>0.90615690000000004</v>
      </c>
      <c r="G52" s="390">
        <f t="shared" si="1"/>
        <v>0</v>
      </c>
      <c r="H52" s="391">
        <f t="shared" si="2"/>
        <v>141165.00164077096</v>
      </c>
      <c r="I52" s="324"/>
      <c r="J52" s="325"/>
      <c r="K52" s="325"/>
      <c r="L52" s="319"/>
      <c r="M52" s="320"/>
      <c r="N52" s="320"/>
      <c r="O52" s="320"/>
      <c r="P52" s="392">
        <f t="shared" si="8"/>
        <v>0</v>
      </c>
      <c r="Q52" s="392">
        <f t="shared" si="3"/>
        <v>0</v>
      </c>
      <c r="R52" s="392">
        <f t="shared" si="4"/>
        <v>0</v>
      </c>
      <c r="S52" s="373"/>
      <c r="T52" s="374"/>
      <c r="U52" s="524">
        <f t="shared" si="9"/>
        <v>0</v>
      </c>
      <c r="V52" s="520">
        <f t="shared" si="10"/>
        <v>0</v>
      </c>
      <c r="W52" s="524">
        <f t="shared" si="11"/>
        <v>0</v>
      </c>
      <c r="X52" s="520">
        <f t="shared" si="12"/>
        <v>0</v>
      </c>
      <c r="Y52" s="525">
        <f t="shared" si="13"/>
        <v>0</v>
      </c>
    </row>
    <row r="53" spans="3:25" x14ac:dyDescent="0.2">
      <c r="C53" s="387">
        <f t="shared" si="5"/>
        <v>41856</v>
      </c>
      <c r="D53" s="388">
        <f t="shared" si="6"/>
        <v>141164.09548387097</v>
      </c>
      <c r="E53" s="392">
        <f t="shared" si="7"/>
        <v>0</v>
      </c>
      <c r="F53" s="428">
        <f t="shared" si="0"/>
        <v>0.90615690000000004</v>
      </c>
      <c r="G53" s="390">
        <f t="shared" si="1"/>
        <v>0</v>
      </c>
      <c r="H53" s="391">
        <f t="shared" si="2"/>
        <v>141165.00164077096</v>
      </c>
      <c r="I53" s="324"/>
      <c r="J53" s="325"/>
      <c r="K53" s="325"/>
      <c r="L53" s="317"/>
      <c r="M53" s="318"/>
      <c r="N53" s="318"/>
      <c r="O53" s="318"/>
      <c r="P53" s="392">
        <f t="shared" si="8"/>
        <v>0</v>
      </c>
      <c r="Q53" s="392">
        <f t="shared" si="3"/>
        <v>0</v>
      </c>
      <c r="R53" s="392">
        <f t="shared" si="4"/>
        <v>0</v>
      </c>
      <c r="S53" s="373"/>
      <c r="T53" s="374"/>
      <c r="U53" s="524">
        <f t="shared" si="9"/>
        <v>0</v>
      </c>
      <c r="V53" s="520">
        <f t="shared" si="10"/>
        <v>0</v>
      </c>
      <c r="W53" s="524">
        <f t="shared" si="11"/>
        <v>0</v>
      </c>
      <c r="X53" s="520">
        <f t="shared" si="12"/>
        <v>0</v>
      </c>
      <c r="Y53" s="525">
        <f t="shared" si="13"/>
        <v>0</v>
      </c>
    </row>
    <row r="54" spans="3:25" x14ac:dyDescent="0.2">
      <c r="C54" s="387">
        <f t="shared" si="5"/>
        <v>41857</v>
      </c>
      <c r="D54" s="388">
        <f t="shared" si="6"/>
        <v>141164.09548387097</v>
      </c>
      <c r="E54" s="392">
        <f t="shared" si="7"/>
        <v>0</v>
      </c>
      <c r="F54" s="428">
        <f t="shared" si="0"/>
        <v>0.90615690000000004</v>
      </c>
      <c r="G54" s="390">
        <f t="shared" si="1"/>
        <v>0</v>
      </c>
      <c r="H54" s="391">
        <f t="shared" si="2"/>
        <v>141165.00164077096</v>
      </c>
      <c r="I54" s="324"/>
      <c r="J54" s="325"/>
      <c r="K54" s="325"/>
      <c r="L54" s="319"/>
      <c r="M54" s="320"/>
      <c r="N54" s="320"/>
      <c r="O54" s="320"/>
      <c r="P54" s="392">
        <f t="shared" si="8"/>
        <v>0</v>
      </c>
      <c r="Q54" s="392">
        <f t="shared" si="3"/>
        <v>0</v>
      </c>
      <c r="R54" s="392">
        <f t="shared" si="4"/>
        <v>0</v>
      </c>
      <c r="S54" s="373"/>
      <c r="T54" s="374"/>
      <c r="U54" s="524">
        <f t="shared" si="9"/>
        <v>0</v>
      </c>
      <c r="V54" s="520">
        <f t="shared" si="10"/>
        <v>0</v>
      </c>
      <c r="W54" s="524">
        <f t="shared" si="11"/>
        <v>0</v>
      </c>
      <c r="X54" s="520">
        <f t="shared" si="12"/>
        <v>0</v>
      </c>
      <c r="Y54" s="525">
        <f t="shared" si="13"/>
        <v>0</v>
      </c>
    </row>
    <row r="55" spans="3:25" x14ac:dyDescent="0.2">
      <c r="C55" s="387">
        <f t="shared" si="5"/>
        <v>41858</v>
      </c>
      <c r="D55" s="388">
        <f t="shared" si="6"/>
        <v>141164.09548387097</v>
      </c>
      <c r="E55" s="392">
        <f t="shared" si="7"/>
        <v>0</v>
      </c>
      <c r="F55" s="428">
        <f t="shared" si="0"/>
        <v>0.90615690000000004</v>
      </c>
      <c r="G55" s="390">
        <f t="shared" si="1"/>
        <v>0</v>
      </c>
      <c r="H55" s="391">
        <f t="shared" si="2"/>
        <v>141165.00164077096</v>
      </c>
      <c r="I55" s="324"/>
      <c r="J55" s="325"/>
      <c r="K55" s="325"/>
      <c r="L55" s="317"/>
      <c r="M55" s="318"/>
      <c r="N55" s="318"/>
      <c r="O55" s="318"/>
      <c r="P55" s="392">
        <f t="shared" si="8"/>
        <v>0</v>
      </c>
      <c r="Q55" s="392">
        <f t="shared" si="3"/>
        <v>0</v>
      </c>
      <c r="R55" s="392">
        <f t="shared" si="4"/>
        <v>0</v>
      </c>
      <c r="S55" s="373"/>
      <c r="T55" s="374"/>
      <c r="U55" s="524">
        <f t="shared" si="9"/>
        <v>0</v>
      </c>
      <c r="V55" s="520">
        <f t="shared" si="10"/>
        <v>0</v>
      </c>
      <c r="W55" s="524">
        <f t="shared" si="11"/>
        <v>0</v>
      </c>
      <c r="X55" s="520">
        <f t="shared" si="12"/>
        <v>0</v>
      </c>
      <c r="Y55" s="525">
        <f t="shared" si="13"/>
        <v>0</v>
      </c>
    </row>
    <row r="56" spans="3:25" x14ac:dyDescent="0.2">
      <c r="C56" s="387">
        <f t="shared" si="5"/>
        <v>41859</v>
      </c>
      <c r="D56" s="388">
        <f t="shared" si="6"/>
        <v>141164.09548387097</v>
      </c>
      <c r="E56" s="392">
        <f t="shared" si="7"/>
        <v>0</v>
      </c>
      <c r="F56" s="428">
        <f t="shared" si="0"/>
        <v>0.90615690000000004</v>
      </c>
      <c r="G56" s="390">
        <f t="shared" si="1"/>
        <v>0</v>
      </c>
      <c r="H56" s="391">
        <f t="shared" si="2"/>
        <v>141165.00164077096</v>
      </c>
      <c r="I56" s="324"/>
      <c r="J56" s="325"/>
      <c r="K56" s="325"/>
      <c r="L56" s="319"/>
      <c r="M56" s="320"/>
      <c r="N56" s="320"/>
      <c r="O56" s="320"/>
      <c r="P56" s="392">
        <f t="shared" si="8"/>
        <v>0</v>
      </c>
      <c r="Q56" s="392">
        <f t="shared" si="3"/>
        <v>0</v>
      </c>
      <c r="R56" s="392">
        <f t="shared" si="4"/>
        <v>0</v>
      </c>
      <c r="S56" s="373"/>
      <c r="T56" s="374"/>
      <c r="U56" s="524">
        <f t="shared" si="9"/>
        <v>0</v>
      </c>
      <c r="V56" s="520">
        <f t="shared" si="10"/>
        <v>0</v>
      </c>
      <c r="W56" s="524">
        <f t="shared" si="11"/>
        <v>0</v>
      </c>
      <c r="X56" s="520">
        <f t="shared" si="12"/>
        <v>0</v>
      </c>
      <c r="Y56" s="525">
        <f t="shared" si="13"/>
        <v>0</v>
      </c>
    </row>
    <row r="57" spans="3:25" x14ac:dyDescent="0.2">
      <c r="C57" s="387">
        <f t="shared" si="5"/>
        <v>41860</v>
      </c>
      <c r="D57" s="388">
        <f t="shared" si="6"/>
        <v>141164.09548387097</v>
      </c>
      <c r="E57" s="392">
        <f t="shared" si="7"/>
        <v>0</v>
      </c>
      <c r="F57" s="428">
        <f t="shared" si="0"/>
        <v>0.90615690000000004</v>
      </c>
      <c r="G57" s="390">
        <f t="shared" si="1"/>
        <v>0</v>
      </c>
      <c r="H57" s="391">
        <f t="shared" si="2"/>
        <v>141165.00164077096</v>
      </c>
      <c r="I57" s="324"/>
      <c r="J57" s="325"/>
      <c r="K57" s="325"/>
      <c r="L57" s="317"/>
      <c r="M57" s="318"/>
      <c r="N57" s="318"/>
      <c r="O57" s="318"/>
      <c r="P57" s="392">
        <f t="shared" si="8"/>
        <v>0</v>
      </c>
      <c r="Q57" s="392">
        <f t="shared" si="3"/>
        <v>0</v>
      </c>
      <c r="R57" s="392">
        <f t="shared" si="4"/>
        <v>0</v>
      </c>
      <c r="S57" s="373"/>
      <c r="T57" s="374"/>
      <c r="U57" s="524">
        <f t="shared" si="9"/>
        <v>0</v>
      </c>
      <c r="V57" s="520">
        <f t="shared" si="10"/>
        <v>0</v>
      </c>
      <c r="W57" s="524">
        <f t="shared" si="11"/>
        <v>0</v>
      </c>
      <c r="X57" s="520">
        <f t="shared" si="12"/>
        <v>0</v>
      </c>
      <c r="Y57" s="525">
        <f t="shared" si="13"/>
        <v>0</v>
      </c>
    </row>
    <row r="58" spans="3:25" x14ac:dyDescent="0.2">
      <c r="C58" s="387">
        <f t="shared" si="5"/>
        <v>41861</v>
      </c>
      <c r="D58" s="388">
        <f t="shared" si="6"/>
        <v>141164.09548387097</v>
      </c>
      <c r="E58" s="392">
        <f t="shared" si="7"/>
        <v>0</v>
      </c>
      <c r="F58" s="428">
        <f t="shared" si="0"/>
        <v>0.90615690000000004</v>
      </c>
      <c r="G58" s="390">
        <f t="shared" si="1"/>
        <v>0</v>
      </c>
      <c r="H58" s="391">
        <f t="shared" si="2"/>
        <v>141165.00164077096</v>
      </c>
      <c r="I58" s="324"/>
      <c r="J58" s="325"/>
      <c r="K58" s="325"/>
      <c r="L58" s="319"/>
      <c r="M58" s="320"/>
      <c r="N58" s="320"/>
      <c r="O58" s="320"/>
      <c r="P58" s="392">
        <f t="shared" si="8"/>
        <v>0</v>
      </c>
      <c r="Q58" s="392">
        <f t="shared" si="3"/>
        <v>0</v>
      </c>
      <c r="R58" s="392">
        <f t="shared" si="4"/>
        <v>0</v>
      </c>
      <c r="S58" s="373"/>
      <c r="T58" s="374"/>
      <c r="U58" s="524">
        <f t="shared" si="9"/>
        <v>0</v>
      </c>
      <c r="V58" s="520">
        <f t="shared" si="10"/>
        <v>0</v>
      </c>
      <c r="W58" s="524">
        <f t="shared" si="11"/>
        <v>0</v>
      </c>
      <c r="X58" s="520">
        <f t="shared" si="12"/>
        <v>0</v>
      </c>
      <c r="Y58" s="525">
        <f t="shared" si="13"/>
        <v>0</v>
      </c>
    </row>
    <row r="59" spans="3:25" x14ac:dyDescent="0.2">
      <c r="C59" s="387">
        <f t="shared" si="5"/>
        <v>41862</v>
      </c>
      <c r="D59" s="388">
        <f t="shared" si="6"/>
        <v>141164.09548387097</v>
      </c>
      <c r="E59" s="392">
        <f t="shared" si="7"/>
        <v>0</v>
      </c>
      <c r="F59" s="428">
        <f t="shared" si="0"/>
        <v>0.90615690000000004</v>
      </c>
      <c r="G59" s="390">
        <f t="shared" si="1"/>
        <v>0</v>
      </c>
      <c r="H59" s="391">
        <f t="shared" si="2"/>
        <v>141165.00164077096</v>
      </c>
      <c r="I59" s="324"/>
      <c r="J59" s="325"/>
      <c r="K59" s="325"/>
      <c r="L59" s="317"/>
      <c r="M59" s="318"/>
      <c r="N59" s="318"/>
      <c r="O59" s="318"/>
      <c r="P59" s="392">
        <f t="shared" si="8"/>
        <v>0</v>
      </c>
      <c r="Q59" s="392">
        <f t="shared" si="3"/>
        <v>0</v>
      </c>
      <c r="R59" s="392">
        <f t="shared" si="4"/>
        <v>0</v>
      </c>
      <c r="S59" s="373"/>
      <c r="T59" s="374"/>
      <c r="U59" s="524">
        <f t="shared" si="9"/>
        <v>0</v>
      </c>
      <c r="V59" s="520">
        <f t="shared" si="10"/>
        <v>0</v>
      </c>
      <c r="W59" s="524">
        <f t="shared" si="11"/>
        <v>0</v>
      </c>
      <c r="X59" s="520">
        <f t="shared" si="12"/>
        <v>0</v>
      </c>
      <c r="Y59" s="525">
        <f t="shared" si="13"/>
        <v>0</v>
      </c>
    </row>
    <row r="60" spans="3:25" x14ac:dyDescent="0.2">
      <c r="C60" s="387">
        <f t="shared" si="5"/>
        <v>41863</v>
      </c>
      <c r="D60" s="388">
        <f t="shared" si="6"/>
        <v>141164.09548387097</v>
      </c>
      <c r="E60" s="392">
        <f t="shared" si="7"/>
        <v>0</v>
      </c>
      <c r="F60" s="428">
        <f t="shared" si="0"/>
        <v>0.90615690000000004</v>
      </c>
      <c r="G60" s="390">
        <f t="shared" si="1"/>
        <v>0</v>
      </c>
      <c r="H60" s="391">
        <f t="shared" si="2"/>
        <v>141165.00164077096</v>
      </c>
      <c r="I60" s="324"/>
      <c r="J60" s="325"/>
      <c r="K60" s="325"/>
      <c r="L60" s="319"/>
      <c r="M60" s="320"/>
      <c r="N60" s="320"/>
      <c r="O60" s="320"/>
      <c r="P60" s="392">
        <f t="shared" si="8"/>
        <v>0</v>
      </c>
      <c r="Q60" s="392">
        <f t="shared" si="3"/>
        <v>0</v>
      </c>
      <c r="R60" s="392">
        <f t="shared" si="4"/>
        <v>0</v>
      </c>
      <c r="S60" s="373"/>
      <c r="T60" s="374"/>
      <c r="U60" s="524">
        <f t="shared" si="9"/>
        <v>0</v>
      </c>
      <c r="V60" s="520">
        <f t="shared" si="10"/>
        <v>0</v>
      </c>
      <c r="W60" s="524">
        <f t="shared" si="11"/>
        <v>0</v>
      </c>
      <c r="X60" s="520">
        <f t="shared" si="12"/>
        <v>0</v>
      </c>
      <c r="Y60" s="525">
        <f t="shared" si="13"/>
        <v>0</v>
      </c>
    </row>
    <row r="61" spans="3:25" x14ac:dyDescent="0.2">
      <c r="C61" s="387">
        <f t="shared" si="5"/>
        <v>41864</v>
      </c>
      <c r="D61" s="388">
        <f t="shared" si="6"/>
        <v>141164.09548387097</v>
      </c>
      <c r="E61" s="392">
        <f t="shared" si="7"/>
        <v>0</v>
      </c>
      <c r="F61" s="428">
        <f t="shared" si="0"/>
        <v>0.90615690000000004</v>
      </c>
      <c r="G61" s="390">
        <f t="shared" si="1"/>
        <v>0</v>
      </c>
      <c r="H61" s="391">
        <f t="shared" si="2"/>
        <v>141165.00164077096</v>
      </c>
      <c r="I61" s="324"/>
      <c r="J61" s="325"/>
      <c r="K61" s="325"/>
      <c r="L61" s="317"/>
      <c r="M61" s="318"/>
      <c r="N61" s="318"/>
      <c r="O61" s="318"/>
      <c r="P61" s="392">
        <f t="shared" si="8"/>
        <v>0</v>
      </c>
      <c r="Q61" s="392">
        <f t="shared" si="3"/>
        <v>0</v>
      </c>
      <c r="R61" s="392">
        <f t="shared" si="4"/>
        <v>0</v>
      </c>
      <c r="S61" s="373"/>
      <c r="T61" s="374"/>
      <c r="U61" s="524">
        <f t="shared" si="9"/>
        <v>0</v>
      </c>
      <c r="V61" s="520">
        <f t="shared" si="10"/>
        <v>0</v>
      </c>
      <c r="W61" s="524">
        <f t="shared" si="11"/>
        <v>0</v>
      </c>
      <c r="X61" s="520">
        <f t="shared" si="12"/>
        <v>0</v>
      </c>
      <c r="Y61" s="525">
        <f t="shared" si="13"/>
        <v>0</v>
      </c>
    </row>
    <row r="62" spans="3:25" x14ac:dyDescent="0.2">
      <c r="C62" s="387">
        <f t="shared" si="5"/>
        <v>41865</v>
      </c>
      <c r="D62" s="388">
        <f t="shared" si="6"/>
        <v>141164.09548387097</v>
      </c>
      <c r="E62" s="392">
        <f t="shared" si="7"/>
        <v>0</v>
      </c>
      <c r="F62" s="428">
        <f t="shared" si="0"/>
        <v>0.90615690000000004</v>
      </c>
      <c r="G62" s="390">
        <f t="shared" si="1"/>
        <v>0</v>
      </c>
      <c r="H62" s="391">
        <f t="shared" si="2"/>
        <v>141165.00164077096</v>
      </c>
      <c r="I62" s="324"/>
      <c r="J62" s="325"/>
      <c r="K62" s="325"/>
      <c r="L62" s="319"/>
      <c r="M62" s="320"/>
      <c r="N62" s="320"/>
      <c r="O62" s="320"/>
      <c r="P62" s="392">
        <f t="shared" si="8"/>
        <v>0</v>
      </c>
      <c r="Q62" s="392">
        <f t="shared" si="3"/>
        <v>0</v>
      </c>
      <c r="R62" s="392">
        <f t="shared" si="4"/>
        <v>0</v>
      </c>
      <c r="S62" s="373"/>
      <c r="T62" s="374"/>
      <c r="U62" s="524">
        <f t="shared" si="9"/>
        <v>0</v>
      </c>
      <c r="V62" s="520">
        <f t="shared" si="10"/>
        <v>0</v>
      </c>
      <c r="W62" s="524">
        <f t="shared" si="11"/>
        <v>0</v>
      </c>
      <c r="X62" s="520">
        <f t="shared" si="12"/>
        <v>0</v>
      </c>
      <c r="Y62" s="525">
        <f t="shared" si="13"/>
        <v>0</v>
      </c>
    </row>
    <row r="63" spans="3:25" x14ac:dyDescent="0.2">
      <c r="C63" s="387">
        <f t="shared" si="5"/>
        <v>41866</v>
      </c>
      <c r="D63" s="388">
        <f t="shared" si="6"/>
        <v>141164.09548387097</v>
      </c>
      <c r="E63" s="392">
        <f t="shared" si="7"/>
        <v>0</v>
      </c>
      <c r="F63" s="428">
        <f t="shared" si="0"/>
        <v>0.90615690000000004</v>
      </c>
      <c r="G63" s="390">
        <f t="shared" si="1"/>
        <v>0</v>
      </c>
      <c r="H63" s="391">
        <f t="shared" si="2"/>
        <v>141165.00164077096</v>
      </c>
      <c r="I63" s="324"/>
      <c r="J63" s="325"/>
      <c r="K63" s="325"/>
      <c r="L63" s="317"/>
      <c r="M63" s="318"/>
      <c r="N63" s="318"/>
      <c r="O63" s="318"/>
      <c r="P63" s="392">
        <f t="shared" si="8"/>
        <v>0</v>
      </c>
      <c r="Q63" s="392">
        <f t="shared" si="3"/>
        <v>0</v>
      </c>
      <c r="R63" s="392">
        <f t="shared" si="4"/>
        <v>0</v>
      </c>
      <c r="S63" s="373"/>
      <c r="T63" s="374"/>
      <c r="U63" s="524">
        <f t="shared" si="9"/>
        <v>0</v>
      </c>
      <c r="V63" s="520">
        <f t="shared" si="10"/>
        <v>0</v>
      </c>
      <c r="W63" s="524">
        <f t="shared" si="11"/>
        <v>0</v>
      </c>
      <c r="X63" s="520">
        <f t="shared" si="12"/>
        <v>0</v>
      </c>
      <c r="Y63" s="525">
        <f t="shared" si="13"/>
        <v>0</v>
      </c>
    </row>
    <row r="64" spans="3:25" x14ac:dyDescent="0.2">
      <c r="C64" s="387">
        <f t="shared" si="5"/>
        <v>41867</v>
      </c>
      <c r="D64" s="388">
        <f t="shared" si="6"/>
        <v>141164.09548387097</v>
      </c>
      <c r="E64" s="392">
        <f t="shared" si="7"/>
        <v>0</v>
      </c>
      <c r="F64" s="428">
        <f t="shared" si="0"/>
        <v>0.90615690000000004</v>
      </c>
      <c r="G64" s="390">
        <f t="shared" si="1"/>
        <v>0</v>
      </c>
      <c r="H64" s="391">
        <f t="shared" si="2"/>
        <v>141165.00164077096</v>
      </c>
      <c r="I64" s="324"/>
      <c r="J64" s="325"/>
      <c r="K64" s="325"/>
      <c r="L64" s="319"/>
      <c r="M64" s="320"/>
      <c r="N64" s="320"/>
      <c r="O64" s="320"/>
      <c r="P64" s="392">
        <f t="shared" si="8"/>
        <v>0</v>
      </c>
      <c r="Q64" s="392">
        <f t="shared" si="3"/>
        <v>0</v>
      </c>
      <c r="R64" s="392">
        <f t="shared" si="4"/>
        <v>0</v>
      </c>
      <c r="S64" s="373"/>
      <c r="T64" s="374"/>
      <c r="U64" s="524">
        <f t="shared" si="9"/>
        <v>0</v>
      </c>
      <c r="V64" s="520">
        <f t="shared" si="10"/>
        <v>0</v>
      </c>
      <c r="W64" s="524">
        <f t="shared" si="11"/>
        <v>0</v>
      </c>
      <c r="X64" s="520">
        <f t="shared" si="12"/>
        <v>0</v>
      </c>
      <c r="Y64" s="525">
        <f t="shared" si="13"/>
        <v>0</v>
      </c>
    </row>
    <row r="65" spans="3:38" x14ac:dyDescent="0.2">
      <c r="C65" s="387">
        <f t="shared" si="5"/>
        <v>41868</v>
      </c>
      <c r="D65" s="388">
        <f t="shared" si="6"/>
        <v>141164.09548387097</v>
      </c>
      <c r="E65" s="392">
        <f t="shared" si="7"/>
        <v>0</v>
      </c>
      <c r="F65" s="428">
        <f t="shared" si="0"/>
        <v>0.90615690000000004</v>
      </c>
      <c r="G65" s="390">
        <f t="shared" si="1"/>
        <v>0</v>
      </c>
      <c r="H65" s="391">
        <f t="shared" si="2"/>
        <v>141165.00164077096</v>
      </c>
      <c r="I65" s="324"/>
      <c r="J65" s="325"/>
      <c r="K65" s="325"/>
      <c r="L65" s="317"/>
      <c r="M65" s="318"/>
      <c r="N65" s="318"/>
      <c r="O65" s="318"/>
      <c r="P65" s="392">
        <f t="shared" si="8"/>
        <v>0</v>
      </c>
      <c r="Q65" s="392">
        <f t="shared" si="3"/>
        <v>0</v>
      </c>
      <c r="R65" s="392">
        <f t="shared" si="4"/>
        <v>0</v>
      </c>
      <c r="S65" s="373"/>
      <c r="T65" s="374"/>
      <c r="U65" s="524">
        <f t="shared" si="9"/>
        <v>0</v>
      </c>
      <c r="V65" s="520">
        <f t="shared" si="10"/>
        <v>0</v>
      </c>
      <c r="W65" s="524">
        <f t="shared" si="11"/>
        <v>0</v>
      </c>
      <c r="X65" s="520">
        <f t="shared" si="12"/>
        <v>0</v>
      </c>
      <c r="Y65" s="525">
        <f t="shared" si="13"/>
        <v>0</v>
      </c>
    </row>
    <row r="66" spans="3:38" x14ac:dyDescent="0.2">
      <c r="C66" s="387">
        <f t="shared" si="5"/>
        <v>41869</v>
      </c>
      <c r="D66" s="388">
        <f t="shared" si="6"/>
        <v>141164.09548387097</v>
      </c>
      <c r="E66" s="392">
        <f t="shared" si="7"/>
        <v>0</v>
      </c>
      <c r="F66" s="428">
        <f t="shared" si="0"/>
        <v>0.90615690000000004</v>
      </c>
      <c r="G66" s="390">
        <f t="shared" si="1"/>
        <v>0</v>
      </c>
      <c r="H66" s="391">
        <f t="shared" si="2"/>
        <v>141165.00164077096</v>
      </c>
      <c r="I66" s="324"/>
      <c r="J66" s="325"/>
      <c r="K66" s="325"/>
      <c r="L66" s="319"/>
      <c r="M66" s="320"/>
      <c r="N66" s="320"/>
      <c r="O66" s="320"/>
      <c r="P66" s="392">
        <f t="shared" si="8"/>
        <v>0</v>
      </c>
      <c r="Q66" s="392">
        <f t="shared" si="3"/>
        <v>0</v>
      </c>
      <c r="R66" s="392">
        <f t="shared" si="4"/>
        <v>0</v>
      </c>
      <c r="S66" s="373"/>
      <c r="T66" s="374"/>
      <c r="U66" s="524">
        <f t="shared" si="9"/>
        <v>0</v>
      </c>
      <c r="V66" s="520">
        <f t="shared" si="10"/>
        <v>0</v>
      </c>
      <c r="W66" s="524">
        <f t="shared" si="11"/>
        <v>0</v>
      </c>
      <c r="X66" s="520">
        <f t="shared" si="12"/>
        <v>0</v>
      </c>
      <c r="Y66" s="525">
        <f t="shared" si="13"/>
        <v>0</v>
      </c>
    </row>
    <row r="67" spans="3:38" x14ac:dyDescent="0.2">
      <c r="C67" s="387">
        <f t="shared" si="5"/>
        <v>41870</v>
      </c>
      <c r="D67" s="388">
        <f t="shared" si="6"/>
        <v>141164.09548387097</v>
      </c>
      <c r="E67" s="392">
        <f t="shared" si="7"/>
        <v>0</v>
      </c>
      <c r="F67" s="428">
        <f t="shared" si="0"/>
        <v>0.90615690000000004</v>
      </c>
      <c r="G67" s="390">
        <f t="shared" si="1"/>
        <v>0</v>
      </c>
      <c r="H67" s="391">
        <f t="shared" si="2"/>
        <v>141165.00164077096</v>
      </c>
      <c r="I67" s="324"/>
      <c r="J67" s="325"/>
      <c r="K67" s="325"/>
      <c r="L67" s="317"/>
      <c r="M67" s="318"/>
      <c r="N67" s="318"/>
      <c r="O67" s="318"/>
      <c r="P67" s="392">
        <f t="shared" si="8"/>
        <v>0</v>
      </c>
      <c r="Q67" s="392">
        <f t="shared" si="3"/>
        <v>0</v>
      </c>
      <c r="R67" s="392">
        <f t="shared" si="4"/>
        <v>0</v>
      </c>
      <c r="S67" s="373"/>
      <c r="T67" s="374"/>
      <c r="U67" s="524">
        <f t="shared" si="9"/>
        <v>0</v>
      </c>
      <c r="V67" s="520">
        <f t="shared" si="10"/>
        <v>0</v>
      </c>
      <c r="W67" s="524">
        <f t="shared" si="11"/>
        <v>0</v>
      </c>
      <c r="X67" s="520">
        <f t="shared" si="12"/>
        <v>0</v>
      </c>
      <c r="Y67" s="525">
        <f t="shared" si="13"/>
        <v>0</v>
      </c>
    </row>
    <row r="68" spans="3:38" x14ac:dyDescent="0.2">
      <c r="C68" s="387">
        <f t="shared" si="5"/>
        <v>41871</v>
      </c>
      <c r="D68" s="388">
        <f t="shared" si="6"/>
        <v>141164.09548387097</v>
      </c>
      <c r="E68" s="392">
        <f t="shared" si="7"/>
        <v>0</v>
      </c>
      <c r="F68" s="428">
        <f t="shared" si="0"/>
        <v>0.90615690000000004</v>
      </c>
      <c r="G68" s="390">
        <f t="shared" si="1"/>
        <v>0</v>
      </c>
      <c r="H68" s="391">
        <f t="shared" si="2"/>
        <v>141165.00164077096</v>
      </c>
      <c r="I68" s="324"/>
      <c r="J68" s="325"/>
      <c r="K68" s="325"/>
      <c r="L68" s="319"/>
      <c r="M68" s="320"/>
      <c r="N68" s="320"/>
      <c r="O68" s="320"/>
      <c r="P68" s="392">
        <f t="shared" si="8"/>
        <v>0</v>
      </c>
      <c r="Q68" s="392">
        <f t="shared" si="3"/>
        <v>0</v>
      </c>
      <c r="R68" s="392">
        <f t="shared" si="4"/>
        <v>0</v>
      </c>
      <c r="S68" s="373"/>
      <c r="T68" s="374"/>
      <c r="U68" s="524">
        <f t="shared" si="9"/>
        <v>0</v>
      </c>
      <c r="V68" s="520">
        <f t="shared" si="10"/>
        <v>0</v>
      </c>
      <c r="W68" s="524">
        <f t="shared" si="11"/>
        <v>0</v>
      </c>
      <c r="X68" s="520">
        <f t="shared" si="12"/>
        <v>0</v>
      </c>
      <c r="Y68" s="525">
        <f t="shared" si="13"/>
        <v>0</v>
      </c>
    </row>
    <row r="69" spans="3:38" x14ac:dyDescent="0.2">
      <c r="C69" s="387">
        <f t="shared" si="5"/>
        <v>41872</v>
      </c>
      <c r="D69" s="388">
        <f t="shared" si="6"/>
        <v>141164.09548387097</v>
      </c>
      <c r="E69" s="392">
        <f t="shared" si="7"/>
        <v>0</v>
      </c>
      <c r="F69" s="428">
        <f t="shared" si="0"/>
        <v>0.90615690000000004</v>
      </c>
      <c r="G69" s="390">
        <f t="shared" si="1"/>
        <v>0</v>
      </c>
      <c r="H69" s="391">
        <f t="shared" si="2"/>
        <v>141165.00164077096</v>
      </c>
      <c r="I69" s="324"/>
      <c r="J69" s="325"/>
      <c r="K69" s="325"/>
      <c r="L69" s="317"/>
      <c r="M69" s="318"/>
      <c r="N69" s="318"/>
      <c r="O69" s="318"/>
      <c r="P69" s="392">
        <f t="shared" si="8"/>
        <v>0</v>
      </c>
      <c r="Q69" s="392">
        <f t="shared" si="3"/>
        <v>0</v>
      </c>
      <c r="R69" s="392">
        <f t="shared" si="4"/>
        <v>0</v>
      </c>
      <c r="S69" s="373"/>
      <c r="T69" s="374"/>
      <c r="U69" s="524">
        <f t="shared" si="9"/>
        <v>0</v>
      </c>
      <c r="V69" s="520">
        <f t="shared" si="10"/>
        <v>0</v>
      </c>
      <c r="W69" s="524">
        <f t="shared" si="11"/>
        <v>0</v>
      </c>
      <c r="X69" s="520">
        <f t="shared" si="12"/>
        <v>0</v>
      </c>
      <c r="Y69" s="525">
        <f t="shared" si="13"/>
        <v>0</v>
      </c>
    </row>
    <row r="70" spans="3:38" x14ac:dyDescent="0.2">
      <c r="C70" s="387">
        <f t="shared" si="5"/>
        <v>41873</v>
      </c>
      <c r="D70" s="388">
        <f t="shared" si="6"/>
        <v>141164.09548387097</v>
      </c>
      <c r="E70" s="392">
        <f t="shared" si="7"/>
        <v>0</v>
      </c>
      <c r="F70" s="428">
        <f t="shared" si="0"/>
        <v>0.90615690000000004</v>
      </c>
      <c r="G70" s="390">
        <f t="shared" si="1"/>
        <v>0</v>
      </c>
      <c r="H70" s="391">
        <f t="shared" si="2"/>
        <v>141165.00164077096</v>
      </c>
      <c r="I70" s="324"/>
      <c r="J70" s="325"/>
      <c r="K70" s="325"/>
      <c r="L70" s="319"/>
      <c r="M70" s="320"/>
      <c r="N70" s="320"/>
      <c r="O70" s="320"/>
      <c r="P70" s="392">
        <f t="shared" si="8"/>
        <v>0</v>
      </c>
      <c r="Q70" s="392">
        <f t="shared" si="3"/>
        <v>0</v>
      </c>
      <c r="R70" s="392">
        <f t="shared" si="4"/>
        <v>0</v>
      </c>
      <c r="S70" s="373"/>
      <c r="T70" s="374"/>
      <c r="U70" s="524">
        <f t="shared" si="9"/>
        <v>0</v>
      </c>
      <c r="V70" s="520">
        <f t="shared" si="10"/>
        <v>0</v>
      </c>
      <c r="W70" s="524">
        <f t="shared" si="11"/>
        <v>0</v>
      </c>
      <c r="X70" s="520">
        <f t="shared" si="12"/>
        <v>0</v>
      </c>
      <c r="Y70" s="525">
        <f t="shared" si="13"/>
        <v>0</v>
      </c>
    </row>
    <row r="71" spans="3:38" x14ac:dyDescent="0.2">
      <c r="C71" s="387">
        <f t="shared" si="5"/>
        <v>41874</v>
      </c>
      <c r="D71" s="388">
        <f t="shared" si="6"/>
        <v>141164.09548387097</v>
      </c>
      <c r="E71" s="392">
        <f t="shared" si="7"/>
        <v>0</v>
      </c>
      <c r="F71" s="428">
        <f t="shared" si="0"/>
        <v>0.90615690000000004</v>
      </c>
      <c r="G71" s="390">
        <f t="shared" si="1"/>
        <v>0</v>
      </c>
      <c r="H71" s="391">
        <f t="shared" si="2"/>
        <v>141165.00164077096</v>
      </c>
      <c r="I71" s="324"/>
      <c r="J71" s="325"/>
      <c r="K71" s="325"/>
      <c r="L71" s="317"/>
      <c r="M71" s="318"/>
      <c r="N71" s="318"/>
      <c r="O71" s="318"/>
      <c r="P71" s="392">
        <f t="shared" si="8"/>
        <v>0</v>
      </c>
      <c r="Q71" s="392">
        <f t="shared" si="3"/>
        <v>0</v>
      </c>
      <c r="R71" s="392">
        <f t="shared" si="4"/>
        <v>0</v>
      </c>
      <c r="S71" s="373"/>
      <c r="T71" s="374"/>
      <c r="U71" s="524">
        <f t="shared" si="9"/>
        <v>0</v>
      </c>
      <c r="V71" s="520">
        <f t="shared" si="10"/>
        <v>0</v>
      </c>
      <c r="W71" s="524">
        <f t="shared" si="11"/>
        <v>0</v>
      </c>
      <c r="X71" s="520">
        <f t="shared" si="12"/>
        <v>0</v>
      </c>
      <c r="Y71" s="525">
        <f t="shared" si="13"/>
        <v>0</v>
      </c>
    </row>
    <row r="72" spans="3:38" x14ac:dyDescent="0.2">
      <c r="C72" s="387">
        <f t="shared" si="5"/>
        <v>41875</v>
      </c>
      <c r="D72" s="388">
        <f t="shared" si="6"/>
        <v>141164.09548387097</v>
      </c>
      <c r="E72" s="392">
        <f t="shared" si="7"/>
        <v>0</v>
      </c>
      <c r="F72" s="428">
        <f t="shared" si="0"/>
        <v>0.90615690000000004</v>
      </c>
      <c r="G72" s="390">
        <f t="shared" si="1"/>
        <v>0</v>
      </c>
      <c r="H72" s="391">
        <f t="shared" si="2"/>
        <v>141165.00164077096</v>
      </c>
      <c r="I72" s="324"/>
      <c r="J72" s="325"/>
      <c r="K72" s="325"/>
      <c r="L72" s="319"/>
      <c r="M72" s="320"/>
      <c r="N72" s="320"/>
      <c r="O72" s="320"/>
      <c r="P72" s="392">
        <f t="shared" si="8"/>
        <v>0</v>
      </c>
      <c r="Q72" s="392">
        <f t="shared" si="3"/>
        <v>0</v>
      </c>
      <c r="R72" s="392">
        <f t="shared" si="4"/>
        <v>0</v>
      </c>
      <c r="S72" s="373"/>
      <c r="T72" s="374"/>
      <c r="U72" s="524">
        <f t="shared" si="9"/>
        <v>0</v>
      </c>
      <c r="V72" s="520">
        <f t="shared" si="10"/>
        <v>0</v>
      </c>
      <c r="W72" s="524">
        <f t="shared" si="11"/>
        <v>0</v>
      </c>
      <c r="X72" s="520">
        <f t="shared" si="12"/>
        <v>0</v>
      </c>
      <c r="Y72" s="525">
        <f t="shared" si="13"/>
        <v>0</v>
      </c>
    </row>
    <row r="73" spans="3:38" x14ac:dyDescent="0.2">
      <c r="C73" s="387">
        <f t="shared" si="5"/>
        <v>41876</v>
      </c>
      <c r="D73" s="388">
        <f t="shared" si="6"/>
        <v>141164.09548387097</v>
      </c>
      <c r="E73" s="392">
        <f t="shared" si="7"/>
        <v>0</v>
      </c>
      <c r="F73" s="428">
        <f t="shared" si="0"/>
        <v>0.90615690000000004</v>
      </c>
      <c r="G73" s="390">
        <f t="shared" si="1"/>
        <v>0</v>
      </c>
      <c r="H73" s="391">
        <f t="shared" si="2"/>
        <v>141165.00164077096</v>
      </c>
      <c r="I73" s="324"/>
      <c r="J73" s="325"/>
      <c r="K73" s="325"/>
      <c r="L73" s="317"/>
      <c r="M73" s="318"/>
      <c r="N73" s="318"/>
      <c r="O73" s="318"/>
      <c r="P73" s="392">
        <f t="shared" si="8"/>
        <v>0</v>
      </c>
      <c r="Q73" s="392">
        <f t="shared" si="3"/>
        <v>0</v>
      </c>
      <c r="R73" s="392">
        <f t="shared" si="4"/>
        <v>0</v>
      </c>
      <c r="S73" s="373"/>
      <c r="T73" s="374"/>
      <c r="U73" s="524">
        <f t="shared" si="9"/>
        <v>0</v>
      </c>
      <c r="V73" s="520">
        <f t="shared" si="10"/>
        <v>0</v>
      </c>
      <c r="W73" s="524">
        <f t="shared" si="11"/>
        <v>0</v>
      </c>
      <c r="X73" s="520">
        <f t="shared" si="12"/>
        <v>0</v>
      </c>
      <c r="Y73" s="525">
        <f t="shared" si="13"/>
        <v>0</v>
      </c>
    </row>
    <row r="74" spans="3:38" x14ac:dyDescent="0.2">
      <c r="C74" s="387">
        <f t="shared" si="5"/>
        <v>41877</v>
      </c>
      <c r="D74" s="388">
        <f t="shared" si="6"/>
        <v>141164.09548387097</v>
      </c>
      <c r="E74" s="392">
        <f t="shared" si="7"/>
        <v>0</v>
      </c>
      <c r="F74" s="428">
        <f t="shared" si="0"/>
        <v>0.90615690000000004</v>
      </c>
      <c r="G74" s="390">
        <f t="shared" si="1"/>
        <v>0</v>
      </c>
      <c r="H74" s="391">
        <f t="shared" si="2"/>
        <v>141165.00164077096</v>
      </c>
      <c r="I74" s="324"/>
      <c r="J74" s="325"/>
      <c r="K74" s="325"/>
      <c r="L74" s="319"/>
      <c r="M74" s="320"/>
      <c r="N74" s="320"/>
      <c r="O74" s="320"/>
      <c r="P74" s="392">
        <f t="shared" si="8"/>
        <v>0</v>
      </c>
      <c r="Q74" s="392">
        <f t="shared" si="3"/>
        <v>0</v>
      </c>
      <c r="R74" s="392">
        <f t="shared" si="4"/>
        <v>0</v>
      </c>
      <c r="S74" s="373"/>
      <c r="T74" s="374"/>
      <c r="U74" s="524">
        <f t="shared" si="9"/>
        <v>0</v>
      </c>
      <c r="V74" s="520">
        <f t="shared" si="10"/>
        <v>0</v>
      </c>
      <c r="W74" s="524">
        <f t="shared" si="11"/>
        <v>0</v>
      </c>
      <c r="X74" s="520">
        <f t="shared" si="12"/>
        <v>0</v>
      </c>
      <c r="Y74" s="525">
        <f t="shared" si="13"/>
        <v>0</v>
      </c>
    </row>
    <row r="75" spans="3:38" x14ac:dyDescent="0.2">
      <c r="C75" s="387">
        <f t="shared" si="5"/>
        <v>41878</v>
      </c>
      <c r="D75" s="388">
        <f t="shared" si="6"/>
        <v>141164.09548387097</v>
      </c>
      <c r="E75" s="392">
        <f t="shared" si="7"/>
        <v>0</v>
      </c>
      <c r="F75" s="428">
        <f t="shared" si="0"/>
        <v>0.90615690000000004</v>
      </c>
      <c r="G75" s="390">
        <f t="shared" si="1"/>
        <v>0</v>
      </c>
      <c r="H75" s="391">
        <f t="shared" si="2"/>
        <v>141165.00164077096</v>
      </c>
      <c r="I75" s="324"/>
      <c r="J75" s="325"/>
      <c r="K75" s="325"/>
      <c r="L75" s="317"/>
      <c r="M75" s="318"/>
      <c r="N75" s="318"/>
      <c r="O75" s="318"/>
      <c r="P75" s="392">
        <f t="shared" si="8"/>
        <v>0</v>
      </c>
      <c r="Q75" s="392">
        <f t="shared" si="3"/>
        <v>0</v>
      </c>
      <c r="R75" s="392">
        <f t="shared" si="4"/>
        <v>0</v>
      </c>
      <c r="S75" s="373"/>
      <c r="T75" s="374"/>
      <c r="U75" s="524">
        <f t="shared" si="9"/>
        <v>0</v>
      </c>
      <c r="V75" s="520">
        <f t="shared" si="10"/>
        <v>0</v>
      </c>
      <c r="W75" s="524">
        <f t="shared" si="11"/>
        <v>0</v>
      </c>
      <c r="X75" s="520">
        <f t="shared" si="12"/>
        <v>0</v>
      </c>
      <c r="Y75" s="525">
        <f t="shared" si="13"/>
        <v>0</v>
      </c>
    </row>
    <row r="76" spans="3:38" x14ac:dyDescent="0.2">
      <c r="C76" s="387">
        <f t="shared" si="5"/>
        <v>41879</v>
      </c>
      <c r="D76" s="388">
        <f t="shared" si="6"/>
        <v>141164.09548387097</v>
      </c>
      <c r="E76" s="392">
        <f t="shared" si="7"/>
        <v>0</v>
      </c>
      <c r="F76" s="428">
        <f t="shared" si="0"/>
        <v>0.90615690000000004</v>
      </c>
      <c r="G76" s="390">
        <f t="shared" si="1"/>
        <v>0</v>
      </c>
      <c r="H76" s="391">
        <f t="shared" si="2"/>
        <v>141165.00164077096</v>
      </c>
      <c r="I76" s="324"/>
      <c r="J76" s="325"/>
      <c r="K76" s="325"/>
      <c r="L76" s="319"/>
      <c r="M76" s="320"/>
      <c r="N76" s="320"/>
      <c r="O76" s="320"/>
      <c r="P76" s="392">
        <f t="shared" si="8"/>
        <v>0</v>
      </c>
      <c r="Q76" s="392">
        <f t="shared" si="3"/>
        <v>0</v>
      </c>
      <c r="R76" s="392">
        <f t="shared" si="4"/>
        <v>0</v>
      </c>
      <c r="S76" s="373"/>
      <c r="T76" s="374"/>
      <c r="U76" s="524">
        <f t="shared" si="9"/>
        <v>0</v>
      </c>
      <c r="V76" s="520">
        <f t="shared" si="10"/>
        <v>0</v>
      </c>
      <c r="W76" s="524">
        <f t="shared" si="11"/>
        <v>0</v>
      </c>
      <c r="X76" s="520">
        <f t="shared" si="12"/>
        <v>0</v>
      </c>
      <c r="Y76" s="525">
        <f t="shared" si="13"/>
        <v>0</v>
      </c>
    </row>
    <row r="77" spans="3:38" x14ac:dyDescent="0.2">
      <c r="C77" s="387">
        <f t="shared" si="5"/>
        <v>41880</v>
      </c>
      <c r="D77" s="388">
        <f t="shared" si="6"/>
        <v>141164.09548387097</v>
      </c>
      <c r="E77" s="392">
        <f t="shared" si="7"/>
        <v>0</v>
      </c>
      <c r="F77" s="428">
        <f t="shared" si="0"/>
        <v>0.90615690000000004</v>
      </c>
      <c r="G77" s="390">
        <f t="shared" si="1"/>
        <v>0</v>
      </c>
      <c r="H77" s="391">
        <f t="shared" si="2"/>
        <v>141165.00164077096</v>
      </c>
      <c r="I77" s="324"/>
      <c r="J77" s="325"/>
      <c r="K77" s="325"/>
      <c r="L77" s="317"/>
      <c r="M77" s="318"/>
      <c r="N77" s="318"/>
      <c r="O77" s="318"/>
      <c r="P77" s="392">
        <f t="shared" si="8"/>
        <v>0</v>
      </c>
      <c r="Q77" s="392">
        <f t="shared" si="3"/>
        <v>0</v>
      </c>
      <c r="R77" s="392">
        <f t="shared" si="4"/>
        <v>0</v>
      </c>
      <c r="S77" s="373"/>
      <c r="T77" s="374"/>
      <c r="U77" s="524">
        <f t="shared" si="9"/>
        <v>0</v>
      </c>
      <c r="V77" s="520">
        <f t="shared" si="10"/>
        <v>0</v>
      </c>
      <c r="W77" s="524">
        <f t="shared" si="11"/>
        <v>0</v>
      </c>
      <c r="X77" s="520">
        <f t="shared" si="12"/>
        <v>0</v>
      </c>
      <c r="Y77" s="525">
        <f t="shared" si="13"/>
        <v>0</v>
      </c>
    </row>
    <row r="78" spans="3:38" x14ac:dyDescent="0.2">
      <c r="C78" s="387">
        <f t="shared" si="5"/>
        <v>41881</v>
      </c>
      <c r="D78" s="388">
        <f t="shared" si="6"/>
        <v>141164.09548387097</v>
      </c>
      <c r="E78" s="392">
        <f t="shared" si="7"/>
        <v>0</v>
      </c>
      <c r="F78" s="428">
        <f t="shared" si="0"/>
        <v>0.90615690000000004</v>
      </c>
      <c r="G78" s="390">
        <f t="shared" si="1"/>
        <v>0</v>
      </c>
      <c r="H78" s="391">
        <f t="shared" si="2"/>
        <v>141165.00164077096</v>
      </c>
      <c r="I78" s="324"/>
      <c r="J78" s="325"/>
      <c r="K78" s="325"/>
      <c r="L78" s="319"/>
      <c r="M78" s="320"/>
      <c r="N78" s="320"/>
      <c r="O78" s="320"/>
      <c r="P78" s="392">
        <f t="shared" si="8"/>
        <v>0</v>
      </c>
      <c r="Q78" s="392">
        <f t="shared" si="3"/>
        <v>0</v>
      </c>
      <c r="R78" s="392">
        <f t="shared" si="4"/>
        <v>0</v>
      </c>
      <c r="S78" s="373"/>
      <c r="T78" s="374"/>
      <c r="U78" s="524">
        <f t="shared" si="9"/>
        <v>0</v>
      </c>
      <c r="V78" s="520">
        <f t="shared" si="10"/>
        <v>0</v>
      </c>
      <c r="W78" s="524">
        <f t="shared" si="11"/>
        <v>0</v>
      </c>
      <c r="X78" s="520">
        <f t="shared" si="12"/>
        <v>0</v>
      </c>
      <c r="Y78" s="525">
        <f t="shared" si="13"/>
        <v>0</v>
      </c>
    </row>
    <row r="79" spans="3:38" ht="15" thickBot="1" x14ac:dyDescent="0.25">
      <c r="C79" s="393">
        <f t="shared" si="5"/>
        <v>41882</v>
      </c>
      <c r="D79" s="394">
        <f t="shared" si="6"/>
        <v>141164.09548387097</v>
      </c>
      <c r="E79" s="395">
        <f t="shared" si="7"/>
        <v>0</v>
      </c>
      <c r="F79" s="429">
        <f t="shared" si="0"/>
        <v>0.90615690000000004</v>
      </c>
      <c r="G79" s="396">
        <f t="shared" si="1"/>
        <v>0</v>
      </c>
      <c r="H79" s="397">
        <f t="shared" si="2"/>
        <v>141165.00164077096</v>
      </c>
      <c r="I79" s="326"/>
      <c r="J79" s="327"/>
      <c r="K79" s="327"/>
      <c r="L79" s="321"/>
      <c r="M79" s="322"/>
      <c r="N79" s="322"/>
      <c r="O79" s="322"/>
      <c r="P79" s="395">
        <f t="shared" si="8"/>
        <v>0</v>
      </c>
      <c r="Q79" s="395">
        <f t="shared" si="3"/>
        <v>0</v>
      </c>
      <c r="R79" s="395">
        <f t="shared" si="4"/>
        <v>0</v>
      </c>
      <c r="S79" s="375"/>
      <c r="T79" s="376"/>
      <c r="U79" s="521">
        <f t="shared" si="9"/>
        <v>0</v>
      </c>
      <c r="V79" s="528">
        <f t="shared" si="10"/>
        <v>0</v>
      </c>
      <c r="W79" s="521">
        <f t="shared" si="11"/>
        <v>0</v>
      </c>
      <c r="X79" s="528">
        <f t="shared" si="12"/>
        <v>0</v>
      </c>
      <c r="Y79" s="529">
        <f t="shared" si="13"/>
        <v>0</v>
      </c>
    </row>
    <row r="80" spans="3:38" ht="15" thickBot="1" x14ac:dyDescent="0.25">
      <c r="C80" s="398"/>
      <c r="D80" s="399">
        <f>SUM(D49:D79)</f>
        <v>4376086.9600000028</v>
      </c>
      <c r="E80" s="400">
        <f>SUM(E49:E79)</f>
        <v>0</v>
      </c>
      <c r="F80" s="400"/>
      <c r="G80" s="401">
        <f>SUM(G49:G79)</f>
        <v>0</v>
      </c>
      <c r="H80" s="399">
        <f>SUM(H49:H79)</f>
        <v>4376115.0508639012</v>
      </c>
      <c r="I80" s="432">
        <f>SUM(I49:I79)</f>
        <v>0</v>
      </c>
      <c r="J80" s="432">
        <f t="shared" ref="J80:R80" si="14">SUM(J49:J79)</f>
        <v>0</v>
      </c>
      <c r="K80" s="432">
        <f t="shared" si="14"/>
        <v>0</v>
      </c>
      <c r="L80" s="432">
        <f t="shared" si="14"/>
        <v>0</v>
      </c>
      <c r="M80" s="432">
        <f t="shared" si="14"/>
        <v>0</v>
      </c>
      <c r="N80" s="432">
        <f t="shared" si="14"/>
        <v>0</v>
      </c>
      <c r="O80" s="432">
        <f t="shared" si="14"/>
        <v>0</v>
      </c>
      <c r="P80" s="432">
        <f t="shared" si="14"/>
        <v>0</v>
      </c>
      <c r="Q80" s="432">
        <f t="shared" si="14"/>
        <v>0</v>
      </c>
      <c r="R80" s="432">
        <f t="shared" si="14"/>
        <v>0</v>
      </c>
      <c r="U80" s="1"/>
      <c r="V80" s="328">
        <f>SUM(V49:V79)</f>
        <v>0</v>
      </c>
      <c r="W80" s="328">
        <f>SUM(W49:W79)</f>
        <v>0</v>
      </c>
      <c r="X80" s="328">
        <f>SUM(X49:X79)</f>
        <v>0</v>
      </c>
      <c r="Y80" s="323">
        <f>Y79</f>
        <v>0</v>
      </c>
      <c r="AL80" s="361">
        <f>Y79</f>
        <v>0</v>
      </c>
    </row>
    <row r="81" spans="2:14" ht="15" customHeight="1" x14ac:dyDescent="0.2">
      <c r="B81"/>
      <c r="C81"/>
      <c r="D81"/>
      <c r="E81"/>
      <c r="F81"/>
      <c r="G81"/>
      <c r="H81"/>
      <c r="I81"/>
      <c r="J81"/>
      <c r="K81"/>
      <c r="L81"/>
      <c r="N81" s="2"/>
    </row>
  </sheetData>
  <mergeCells count="12">
    <mergeCell ref="C10:D10"/>
    <mergeCell ref="C11:D11"/>
    <mergeCell ref="C3:M4"/>
    <mergeCell ref="C5:M5"/>
    <mergeCell ref="C6:M6"/>
    <mergeCell ref="G7:H7"/>
    <mergeCell ref="C9:D9"/>
    <mergeCell ref="D23:E23"/>
    <mergeCell ref="D24:E24"/>
    <mergeCell ref="C28:F28"/>
    <mergeCell ref="C39:F39"/>
    <mergeCell ref="S47:Y47"/>
  </mergeCells>
  <conditionalFormatting sqref="L49:O79">
    <cfRule type="cellIs" dxfId="157" priority="1" stopIfTrue="1" operator="equal">
      <formula>0</formula>
    </cfRule>
  </conditionalFormatting>
  <pageMargins left="0.7" right="0.7" top="0.75" bottom="0.75" header="0.3" footer="0.3"/>
  <pageSetup orientation="portrait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L81"/>
  <sheetViews>
    <sheetView workbookViewId="0"/>
  </sheetViews>
  <sheetFormatPr baseColWidth="10" defaultColWidth="11" defaultRowHeight="14.25" x14ac:dyDescent="0.2"/>
  <cols>
    <col min="1" max="1" width="11" style="2"/>
    <col min="2" max="2" width="3.875" style="2" bestFit="1" customWidth="1"/>
    <col min="3" max="3" width="16.125" style="2" customWidth="1"/>
    <col min="4" max="4" width="12.375" style="2" bestFit="1" customWidth="1"/>
    <col min="5" max="5" width="10.875" style="2" bestFit="1" customWidth="1"/>
    <col min="6" max="6" width="17.125" style="2" bestFit="1" customWidth="1"/>
    <col min="7" max="7" width="13.125" style="2" bestFit="1" customWidth="1"/>
    <col min="8" max="8" width="12.125" style="2" bestFit="1" customWidth="1"/>
    <col min="9" max="9" width="11.125" style="2" bestFit="1" customWidth="1"/>
    <col min="10" max="10" width="11.875" style="2" bestFit="1" customWidth="1"/>
    <col min="11" max="11" width="11.625" style="2" bestFit="1" customWidth="1"/>
    <col min="12" max="12" width="12.125" style="2" customWidth="1"/>
    <col min="13" max="13" width="10.5" style="2" bestFit="1" customWidth="1"/>
    <col min="14" max="14" width="9" style="1" customWidth="1"/>
    <col min="15" max="15" width="10.375" style="2" customWidth="1"/>
    <col min="16" max="25" width="11" style="2"/>
    <col min="26" max="32" width="10.875" customWidth="1"/>
    <col min="33" max="16384" width="11" style="2"/>
  </cols>
  <sheetData>
    <row r="2" spans="2:25" x14ac:dyDescent="0.2"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2:25" ht="15" customHeight="1" x14ac:dyDescent="0.2">
      <c r="B3" s="1"/>
      <c r="C3" s="2254" t="s">
        <v>0</v>
      </c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</row>
    <row r="4" spans="2:25" ht="15" customHeight="1" x14ac:dyDescent="0.2"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</row>
    <row r="5" spans="2:25" x14ac:dyDescent="0.2">
      <c r="B5" s="1"/>
      <c r="C5" s="2257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</row>
    <row r="6" spans="2:25" x14ac:dyDescent="0.2">
      <c r="B6" s="1"/>
      <c r="C6" s="2257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</row>
    <row r="7" spans="2:25" x14ac:dyDescent="0.2">
      <c r="B7" s="1"/>
      <c r="C7" s="516"/>
      <c r="D7" s="516"/>
      <c r="E7" s="516"/>
      <c r="F7" s="516"/>
      <c r="G7" s="2271">
        <v>41913</v>
      </c>
      <c r="H7" s="2257"/>
      <c r="I7" s="516"/>
      <c r="J7" s="516"/>
      <c r="K7" s="516"/>
      <c r="L7" s="516"/>
      <c r="M7" s="516"/>
      <c r="N7" s="18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2:25" x14ac:dyDescent="0.2">
      <c r="B8" s="1"/>
      <c r="C8" s="516"/>
      <c r="D8" s="516"/>
      <c r="E8" s="516"/>
      <c r="F8" s="516"/>
      <c r="G8" s="516"/>
      <c r="H8" s="516"/>
      <c r="I8" s="516"/>
      <c r="J8" s="516"/>
      <c r="K8" s="516"/>
      <c r="L8" s="516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2:25" ht="25.5" x14ac:dyDescent="0.2">
      <c r="B9" s="1"/>
      <c r="C9" s="2272" t="s">
        <v>6</v>
      </c>
      <c r="D9" s="2272"/>
      <c r="E9" s="517" t="s">
        <v>94</v>
      </c>
      <c r="F9" s="517" t="s">
        <v>126</v>
      </c>
      <c r="G9" s="410" t="s">
        <v>133</v>
      </c>
      <c r="H9" s="517" t="s">
        <v>127</v>
      </c>
      <c r="I9" s="517" t="s">
        <v>128</v>
      </c>
      <c r="J9" s="516"/>
      <c r="K9" s="516"/>
      <c r="L9" s="516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2:25" x14ac:dyDescent="0.2">
      <c r="B10" s="1"/>
      <c r="C10" s="2270" t="s">
        <v>131</v>
      </c>
      <c r="D10" s="2270"/>
      <c r="E10" s="433">
        <f>IF(C15=0,D15,C15)</f>
        <v>4627948.08</v>
      </c>
      <c r="F10" s="407">
        <f>E10*0.16</f>
        <v>740471.69280000008</v>
      </c>
      <c r="G10" s="407">
        <f>E10+F10</f>
        <v>5368419.7728000004</v>
      </c>
      <c r="H10" s="408"/>
      <c r="I10" s="411">
        <v>19</v>
      </c>
      <c r="J10" s="516"/>
      <c r="K10" s="516"/>
      <c r="L10" s="516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2:25" x14ac:dyDescent="0.2">
      <c r="B11" s="1"/>
      <c r="C11" s="2270" t="s">
        <v>132</v>
      </c>
      <c r="D11" s="2270"/>
      <c r="E11" s="433">
        <f>IF(C16=0,D16,C16)</f>
        <v>2047.42</v>
      </c>
      <c r="F11" s="407">
        <f>E11*0.16</f>
        <v>327.5872</v>
      </c>
      <c r="G11" s="407">
        <f>E11+F11</f>
        <v>2375.0072</v>
      </c>
      <c r="H11" s="408"/>
      <c r="I11" s="411">
        <v>19</v>
      </c>
      <c r="J11" s="516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2:25" x14ac:dyDescent="0.2">
      <c r="B12" s="1"/>
      <c r="C12" s="516"/>
      <c r="D12" s="516"/>
      <c r="E12" s="516"/>
      <c r="F12" s="516"/>
      <c r="G12" s="516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2:25" ht="15" thickBot="1" x14ac:dyDescent="0.25">
      <c r="B13" s="1"/>
      <c r="C13" s="516"/>
      <c r="D13" s="516"/>
      <c r="E13" s="516"/>
      <c r="F13" s="516"/>
      <c r="G13" s="516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2:25" x14ac:dyDescent="0.2">
      <c r="B14" s="1"/>
      <c r="C14" s="440" t="s">
        <v>155</v>
      </c>
      <c r="D14" s="441" t="s">
        <v>156</v>
      </c>
      <c r="E14" s="442" t="s">
        <v>112</v>
      </c>
      <c r="F14" s="516"/>
      <c r="G14" s="516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2:25" x14ac:dyDescent="0.2">
      <c r="B15" s="1"/>
      <c r="C15" s="443">
        <v>4627948.08</v>
      </c>
      <c r="D15" s="444">
        <f>D80</f>
        <v>4376086.9600000028</v>
      </c>
      <c r="E15" s="445">
        <f>C15-D15</f>
        <v>251861.11999999732</v>
      </c>
      <c r="F15" s="516"/>
      <c r="G15" s="516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2:25" ht="15" thickBot="1" x14ac:dyDescent="0.25">
      <c r="B16" s="1"/>
      <c r="C16" s="446">
        <v>2047.42</v>
      </c>
      <c r="D16" s="447">
        <f>ROUND(G80,2)</f>
        <v>0</v>
      </c>
      <c r="E16" s="448">
        <f>C16-D16</f>
        <v>2047.42</v>
      </c>
      <c r="F16" s="516"/>
      <c r="G16" s="516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2:25" x14ac:dyDescent="0.2">
      <c r="B17" s="1"/>
      <c r="C17" s="516"/>
      <c r="D17" s="516"/>
      <c r="E17" s="516"/>
      <c r="F17" s="516"/>
      <c r="G17" s="516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2:25" x14ac:dyDescent="0.2">
      <c r="B18" s="1"/>
      <c r="C18" s="516"/>
      <c r="D18" s="516"/>
      <c r="E18" s="516"/>
      <c r="F18" s="516"/>
      <c r="G18" s="516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2:25" x14ac:dyDescent="0.2">
      <c r="B19" s="1"/>
      <c r="C19" s="516"/>
      <c r="D19" s="516"/>
      <c r="E19" s="516"/>
      <c r="F19" s="516"/>
      <c r="G19" s="516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2:25" x14ac:dyDescent="0.2">
      <c r="B20" s="1"/>
      <c r="C20" s="516"/>
      <c r="D20" s="516"/>
      <c r="E20" s="516"/>
      <c r="F20" s="516"/>
      <c r="G20" s="516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2:25" x14ac:dyDescent="0.2">
      <c r="B21" s="1"/>
      <c r="C21" s="516"/>
      <c r="D21" s="516"/>
      <c r="E21" s="516"/>
      <c r="F21" s="516"/>
      <c r="G21" s="516"/>
      <c r="H21" s="1"/>
      <c r="I21" s="1"/>
      <c r="J21" s="1"/>
      <c r="K21" s="1"/>
      <c r="L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2:25" ht="15" thickBot="1" x14ac:dyDescent="0.25">
      <c r="B22" s="1"/>
      <c r="C22" s="419" t="s">
        <v>137</v>
      </c>
      <c r="D22" s="516" t="s">
        <v>138</v>
      </c>
      <c r="E22" s="516"/>
      <c r="F22" s="516" t="s">
        <v>139</v>
      </c>
      <c r="G22" s="516" t="s">
        <v>157</v>
      </c>
      <c r="H22" s="516" t="s">
        <v>143</v>
      </c>
      <c r="I22" s="516" t="s">
        <v>142</v>
      </c>
      <c r="J22" s="516" t="s">
        <v>141</v>
      </c>
      <c r="K22" s="516" t="s">
        <v>140</v>
      </c>
      <c r="L22" s="516" t="s">
        <v>144</v>
      </c>
      <c r="M22" s="516" t="s">
        <v>146</v>
      </c>
      <c r="N22" s="516"/>
      <c r="O22" s="516"/>
      <c r="P22" s="516"/>
      <c r="Q22" s="1"/>
      <c r="R22" s="1"/>
      <c r="S22" s="1"/>
      <c r="T22" s="1"/>
      <c r="U22" s="1"/>
      <c r="V22" s="1"/>
      <c r="W22" s="1"/>
      <c r="X22" s="1"/>
      <c r="Y22" s="1"/>
    </row>
    <row r="23" spans="2:25" ht="36.75" customHeight="1" x14ac:dyDescent="0.2">
      <c r="B23" s="1"/>
      <c r="C23" s="402" t="s">
        <v>134</v>
      </c>
      <c r="D23" s="2261" t="s">
        <v>135</v>
      </c>
      <c r="E23" s="2262"/>
      <c r="F23" s="518" t="s">
        <v>136</v>
      </c>
      <c r="G23" s="461" t="s">
        <v>153</v>
      </c>
      <c r="H23" s="420" t="s">
        <v>129</v>
      </c>
      <c r="I23" s="403" t="s">
        <v>130</v>
      </c>
      <c r="J23" s="422"/>
      <c r="K23" s="422"/>
      <c r="L23" s="422"/>
      <c r="M23" s="404" t="s">
        <v>158</v>
      </c>
      <c r="N23" s="516"/>
      <c r="O23" s="516"/>
      <c r="P23" s="516"/>
      <c r="Q23" s="516"/>
      <c r="R23" s="516"/>
      <c r="S23" s="516"/>
      <c r="T23" s="516"/>
      <c r="U23" s="1"/>
      <c r="V23" s="1"/>
      <c r="W23" s="1"/>
      <c r="X23" s="1"/>
      <c r="Y23" s="1"/>
    </row>
    <row r="24" spans="2:25" x14ac:dyDescent="0.2">
      <c r="B24" s="1"/>
      <c r="C24" s="405">
        <v>850</v>
      </c>
      <c r="D24" s="2263">
        <v>850</v>
      </c>
      <c r="E24" s="2264"/>
      <c r="F24" s="418">
        <v>31482640</v>
      </c>
      <c r="G24" s="462">
        <v>31</v>
      </c>
      <c r="H24" s="460">
        <f>VLOOKUP(C47,Tarifas!D4:H303,3)</f>
        <v>0.13900000000000001</v>
      </c>
      <c r="I24" s="424">
        <f>VLOOKUP(C47,Tarifas!D4:H303,5)</f>
        <v>1E-3</v>
      </c>
      <c r="J24" s="421">
        <v>182.5</v>
      </c>
      <c r="K24" s="421">
        <v>201.4</v>
      </c>
      <c r="L24" s="421">
        <f>I11</f>
        <v>19</v>
      </c>
      <c r="M24" s="431">
        <f>E80</f>
        <v>0</v>
      </c>
      <c r="N24" s="430" t="s">
        <v>62</v>
      </c>
      <c r="O24" s="516"/>
      <c r="P24" s="516"/>
      <c r="Q24" s="516"/>
      <c r="R24" s="516"/>
      <c r="S24" s="516"/>
      <c r="T24" s="516"/>
      <c r="U24" s="1"/>
      <c r="V24" s="1"/>
      <c r="W24" s="1"/>
      <c r="X24" s="1"/>
      <c r="Y24" s="1"/>
    </row>
    <row r="25" spans="2:25" x14ac:dyDescent="0.2">
      <c r="B25" s="1"/>
      <c r="C25" s="516"/>
      <c r="D25" s="516"/>
      <c r="E25" s="516"/>
      <c r="F25" s="516"/>
      <c r="G25" s="516"/>
      <c r="H25" s="516"/>
      <c r="I25" s="516"/>
      <c r="J25" s="516"/>
      <c r="K25" s="516"/>
      <c r="L25" s="516"/>
      <c r="M25" s="516"/>
      <c r="N25" s="516"/>
      <c r="O25" s="516"/>
      <c r="P25" s="516"/>
      <c r="Q25" s="516"/>
      <c r="R25" s="516"/>
      <c r="S25" s="1"/>
      <c r="T25" s="1"/>
      <c r="U25" s="1"/>
      <c r="V25" s="1"/>
      <c r="W25" s="1"/>
      <c r="X25" s="1"/>
      <c r="Y25" s="1"/>
    </row>
    <row r="26" spans="2:25" x14ac:dyDescent="0.2">
      <c r="B26" s="1"/>
      <c r="C26" s="516"/>
      <c r="D26" s="516"/>
      <c r="E26" s="516"/>
      <c r="F26" s="516"/>
      <c r="G26" s="516"/>
      <c r="H26" s="516"/>
      <c r="I26" s="516"/>
      <c r="J26" s="516"/>
      <c r="K26" s="516"/>
      <c r="L26" s="516"/>
      <c r="M26" s="516"/>
      <c r="N26" s="516"/>
      <c r="O26" s="516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2:25" x14ac:dyDescent="0.2">
      <c r="B27" s="1"/>
      <c r="C27" s="516"/>
      <c r="D27" s="516"/>
      <c r="E27" s="516"/>
      <c r="F27" s="516"/>
      <c r="G27" s="516"/>
      <c r="H27" s="516"/>
      <c r="I27" s="516"/>
      <c r="J27" s="516"/>
      <c r="K27" s="516"/>
      <c r="L27" s="516"/>
      <c r="M27" s="516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2:25" ht="15" thickBot="1" x14ac:dyDescent="0.25">
      <c r="B28" s="1"/>
      <c r="C28" s="2265" t="s">
        <v>86</v>
      </c>
      <c r="D28" s="2265"/>
      <c r="E28" s="2265"/>
      <c r="F28" s="2265"/>
      <c r="G28" s="519"/>
      <c r="H28" s="334"/>
      <c r="I28" s="334"/>
      <c r="J28" s="334"/>
      <c r="K28" s="519"/>
      <c r="L28" s="336"/>
      <c r="M28" s="336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2:25" ht="22.5" x14ac:dyDescent="0.2">
      <c r="B29" s="1"/>
      <c r="C29" s="337" t="s">
        <v>87</v>
      </c>
      <c r="D29" s="514" t="s">
        <v>88</v>
      </c>
      <c r="E29" s="514" t="s">
        <v>89</v>
      </c>
      <c r="F29" s="514" t="s">
        <v>20</v>
      </c>
      <c r="G29" s="514" t="s">
        <v>160</v>
      </c>
      <c r="H29" s="514" t="s">
        <v>90</v>
      </c>
      <c r="I29" s="514" t="s">
        <v>91</v>
      </c>
      <c r="J29" s="514" t="s">
        <v>92</v>
      </c>
      <c r="K29" s="514" t="s">
        <v>93</v>
      </c>
      <c r="L29" s="514" t="s">
        <v>94</v>
      </c>
      <c r="M29" s="515" t="s">
        <v>95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2:25" x14ac:dyDescent="0.2">
      <c r="B30" s="1"/>
      <c r="C30" s="338"/>
      <c r="D30" s="339">
        <v>1</v>
      </c>
      <c r="E30" s="339" t="s">
        <v>96</v>
      </c>
      <c r="F30" s="340" t="s">
        <v>97</v>
      </c>
      <c r="G30" s="340">
        <v>2201</v>
      </c>
      <c r="H30" s="339">
        <v>20823</v>
      </c>
      <c r="I30" s="341">
        <v>40000</v>
      </c>
      <c r="J30" s="339">
        <v>138.15</v>
      </c>
      <c r="K30" s="342">
        <f>I30/I$35</f>
        <v>4.7058823529411764E-2</v>
      </c>
      <c r="L30" s="343">
        <f>ROUND(K30*E$10,2)</f>
        <v>217785.79</v>
      </c>
      <c r="M30" s="344">
        <f>L30*$I$10</f>
        <v>4137930.0100000002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2:25" x14ac:dyDescent="0.2">
      <c r="B31" s="1"/>
      <c r="C31" s="338"/>
      <c r="D31" s="339">
        <v>2</v>
      </c>
      <c r="E31" s="339" t="s">
        <v>98</v>
      </c>
      <c r="F31" s="340" t="s">
        <v>97</v>
      </c>
      <c r="G31" s="340">
        <v>2201</v>
      </c>
      <c r="H31" s="339">
        <v>20824</v>
      </c>
      <c r="I31" s="341">
        <v>40000</v>
      </c>
      <c r="J31" s="339">
        <v>138.15</v>
      </c>
      <c r="K31" s="342">
        <f>I31/I$35</f>
        <v>4.7058823529411764E-2</v>
      </c>
      <c r="L31" s="343">
        <f>ROUND(K31*E$10,2)</f>
        <v>217785.79</v>
      </c>
      <c r="M31" s="344">
        <f>L31*$I$10</f>
        <v>4137930.0100000002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2:25" x14ac:dyDescent="0.2">
      <c r="B32" s="1"/>
      <c r="C32" s="338"/>
      <c r="D32" s="339">
        <v>1</v>
      </c>
      <c r="E32" s="339" t="s">
        <v>99</v>
      </c>
      <c r="F32" s="340" t="s">
        <v>100</v>
      </c>
      <c r="G32" s="340">
        <v>2230</v>
      </c>
      <c r="H32" s="339">
        <v>22228</v>
      </c>
      <c r="I32" s="341">
        <v>32000</v>
      </c>
      <c r="J32" s="339">
        <v>130.80000000000001</v>
      </c>
      <c r="K32" s="342">
        <f>I32/I$35</f>
        <v>3.7647058823529408E-2</v>
      </c>
      <c r="L32" s="343">
        <f>ROUND(K32*E$10,2)</f>
        <v>174228.63</v>
      </c>
      <c r="M32" s="344">
        <f>L32*$I$10</f>
        <v>3310343.97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2:25" x14ac:dyDescent="0.2">
      <c r="B33" s="1"/>
      <c r="C33" s="338">
        <v>800762390</v>
      </c>
      <c r="D33" s="339">
        <v>1</v>
      </c>
      <c r="E33" s="354" t="s">
        <v>101</v>
      </c>
      <c r="F33" s="463" t="s">
        <v>23</v>
      </c>
      <c r="G33" s="463">
        <v>2044</v>
      </c>
      <c r="H33" s="354">
        <v>591000420</v>
      </c>
      <c r="I33" s="341">
        <v>80000</v>
      </c>
      <c r="J33" s="339"/>
      <c r="K33" s="342">
        <f>I33/I$35</f>
        <v>9.4117647058823528E-2</v>
      </c>
      <c r="L33" s="343">
        <f>ROUND(K33*E$10,2)</f>
        <v>435571.58</v>
      </c>
      <c r="M33" s="344">
        <f>L33*$I$10</f>
        <v>8275860.0200000005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2:25" ht="15" thickBot="1" x14ac:dyDescent="0.25">
      <c r="B34" s="1"/>
      <c r="C34" s="345">
        <v>800642440</v>
      </c>
      <c r="D34" s="346">
        <v>5</v>
      </c>
      <c r="E34" s="347" t="s">
        <v>101</v>
      </c>
      <c r="F34" s="348" t="s">
        <v>159</v>
      </c>
      <c r="G34" s="348">
        <v>2277</v>
      </c>
      <c r="H34" s="347">
        <v>22770</v>
      </c>
      <c r="I34" s="349">
        <f>850000-I30-I31-I32-I33</f>
        <v>658000</v>
      </c>
      <c r="J34" s="346"/>
      <c r="K34" s="350">
        <f>I34/I$35</f>
        <v>0.77411764705882358</v>
      </c>
      <c r="L34" s="351">
        <f>ROUND(K34*E$10,2)</f>
        <v>3582576.28</v>
      </c>
      <c r="M34" s="352">
        <f>L34*$I$10</f>
        <v>68068949.319999993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2:25" x14ac:dyDescent="0.2">
      <c r="B35" s="1"/>
      <c r="C35" s="406">
        <v>3000623</v>
      </c>
      <c r="D35" s="353" t="s">
        <v>102</v>
      </c>
      <c r="E35" s="353"/>
      <c r="F35" s="353"/>
      <c r="G35" s="353"/>
      <c r="H35" s="354"/>
      <c r="I35" s="355">
        <f>SUM(I30:I34)</f>
        <v>850000</v>
      </c>
      <c r="J35" s="353"/>
      <c r="K35" s="356">
        <f>SUM(K30:K34)</f>
        <v>1</v>
      </c>
      <c r="L35" s="357">
        <f>SUM(L30:L34)</f>
        <v>4627948.07</v>
      </c>
      <c r="M35" s="357">
        <f>SUM(M30:M34)</f>
        <v>87931013.329999998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2:25" x14ac:dyDescent="0.2">
      <c r="B36" s="1"/>
      <c r="C36" s="336"/>
      <c r="D36" s="336"/>
      <c r="E36" s="336"/>
      <c r="F36" s="358"/>
      <c r="G36" s="358"/>
      <c r="H36" s="336"/>
      <c r="I36" s="336"/>
      <c r="J36" s="336"/>
      <c r="K36" s="336"/>
      <c r="L36" s="359"/>
      <c r="M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2:25" x14ac:dyDescent="0.2">
      <c r="B37" s="1"/>
      <c r="C37" s="336"/>
      <c r="D37" s="336"/>
      <c r="E37" s="336"/>
      <c r="F37" s="358"/>
      <c r="G37" s="358"/>
      <c r="H37" s="336"/>
      <c r="I37" s="336"/>
      <c r="J37" s="336"/>
      <c r="K37" s="336"/>
      <c r="L37" s="359"/>
      <c r="M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2:25" x14ac:dyDescent="0.2">
      <c r="B38" s="1"/>
      <c r="C38" s="336"/>
      <c r="D38" s="336"/>
      <c r="E38" s="336"/>
      <c r="F38" s="358"/>
      <c r="G38" s="358"/>
      <c r="H38" s="336"/>
      <c r="I38" s="336"/>
      <c r="J38" s="336"/>
      <c r="K38" s="336"/>
      <c r="L38" s="359"/>
      <c r="M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2:25" ht="15" thickBot="1" x14ac:dyDescent="0.25">
      <c r="B39" s="1"/>
      <c r="C39" s="2266" t="s">
        <v>103</v>
      </c>
      <c r="D39" s="2266"/>
      <c r="E39" s="2266"/>
      <c r="F39" s="2266"/>
      <c r="G39" s="519"/>
      <c r="H39" s="334"/>
      <c r="I39" s="334"/>
      <c r="J39" s="334"/>
      <c r="K39" s="336"/>
      <c r="L39" s="336"/>
      <c r="M39" s="360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2:25" ht="22.5" x14ac:dyDescent="0.2">
      <c r="B40" s="1"/>
      <c r="C40" s="337" t="s">
        <v>87</v>
      </c>
      <c r="D40" s="514" t="s">
        <v>88</v>
      </c>
      <c r="E40" s="514" t="s">
        <v>89</v>
      </c>
      <c r="F40" s="514" t="s">
        <v>20</v>
      </c>
      <c r="G40" s="514"/>
      <c r="H40" s="514" t="s">
        <v>90</v>
      </c>
      <c r="I40" s="514" t="s">
        <v>104</v>
      </c>
      <c r="J40" s="514" t="s">
        <v>93</v>
      </c>
      <c r="K40" s="514" t="s">
        <v>92</v>
      </c>
      <c r="L40" s="514" t="s">
        <v>94</v>
      </c>
      <c r="M40" s="515" t="s">
        <v>95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2:25" x14ac:dyDescent="0.2">
      <c r="B41" s="1"/>
      <c r="C41" s="338"/>
      <c r="D41" s="339">
        <v>1</v>
      </c>
      <c r="E41" s="339" t="s">
        <v>96</v>
      </c>
      <c r="F41" s="340" t="s">
        <v>97</v>
      </c>
      <c r="G41" s="340"/>
      <c r="H41" s="339">
        <v>20823</v>
      </c>
      <c r="I41" s="341">
        <f>M80</f>
        <v>0</v>
      </c>
      <c r="J41" s="342" t="e">
        <f>I41/I$45</f>
        <v>#DIV/0!</v>
      </c>
      <c r="K41" s="339">
        <v>138.15</v>
      </c>
      <c r="L41" s="343" t="e">
        <f>ROUND(J41*$E$11,2)</f>
        <v>#DIV/0!</v>
      </c>
      <c r="M41" s="344" t="e">
        <f>L41*L24</f>
        <v>#DIV/0!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2:25" x14ac:dyDescent="0.2">
      <c r="B42" s="1"/>
      <c r="C42" s="338"/>
      <c r="D42" s="339">
        <v>2</v>
      </c>
      <c r="E42" s="339" t="s">
        <v>98</v>
      </c>
      <c r="F42" s="340" t="s">
        <v>97</v>
      </c>
      <c r="G42" s="340"/>
      <c r="H42" s="339">
        <v>20824</v>
      </c>
      <c r="I42" s="341">
        <f>N80</f>
        <v>0</v>
      </c>
      <c r="J42" s="342" t="e">
        <f>I42/I$45</f>
        <v>#DIV/0!</v>
      </c>
      <c r="K42" s="339">
        <v>138.15</v>
      </c>
      <c r="L42" s="343" t="e">
        <f>ROUND(J42*$E$11,2)</f>
        <v>#DIV/0!</v>
      </c>
      <c r="M42" s="344" t="e">
        <f>L42*L25</f>
        <v>#DIV/0!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2:25" x14ac:dyDescent="0.2">
      <c r="B43" s="1"/>
      <c r="C43" s="338"/>
      <c r="D43" s="339">
        <v>1</v>
      </c>
      <c r="E43" s="339" t="s">
        <v>99</v>
      </c>
      <c r="F43" s="340" t="s">
        <v>100</v>
      </c>
      <c r="G43" s="340"/>
      <c r="H43" s="339">
        <v>22228</v>
      </c>
      <c r="I43" s="341">
        <f>O80</f>
        <v>0</v>
      </c>
      <c r="J43" s="342" t="e">
        <f>I43/I$45</f>
        <v>#DIV/0!</v>
      </c>
      <c r="K43" s="339">
        <v>130.80000000000001</v>
      </c>
      <c r="L43" s="343" t="e">
        <f>ROUND(J43*$E$11,2)</f>
        <v>#DIV/0!</v>
      </c>
      <c r="M43" s="344" t="e">
        <f>L43*L26</f>
        <v>#DIV/0!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2:25" ht="15" thickBot="1" x14ac:dyDescent="0.25">
      <c r="B44" s="1"/>
      <c r="C44" s="345">
        <v>800762390</v>
      </c>
      <c r="D44" s="346">
        <v>2</v>
      </c>
      <c r="E44" s="347" t="s">
        <v>101</v>
      </c>
      <c r="F44" s="348" t="s">
        <v>23</v>
      </c>
      <c r="G44" s="348"/>
      <c r="H44" s="347"/>
      <c r="I44" s="349">
        <f>L80</f>
        <v>0</v>
      </c>
      <c r="J44" s="350" t="e">
        <f>I44/I$45</f>
        <v>#DIV/0!</v>
      </c>
      <c r="K44" s="346">
        <v>138.15</v>
      </c>
      <c r="L44" s="351" t="e">
        <f>ROUND(J44*$E$11,2)</f>
        <v>#DIV/0!</v>
      </c>
      <c r="M44" s="352" t="e">
        <f>L44*L27</f>
        <v>#DIV/0!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2:25" x14ac:dyDescent="0.2">
      <c r="B45" s="1"/>
      <c r="C45" s="353"/>
      <c r="D45" s="353"/>
      <c r="E45" s="353"/>
      <c r="F45" s="353"/>
      <c r="G45" s="353"/>
      <c r="H45" s="354"/>
      <c r="I45" s="449">
        <f>SUM(I41:I44)</f>
        <v>0</v>
      </c>
      <c r="J45" s="355"/>
      <c r="K45" s="353"/>
      <c r="L45" s="357" t="e">
        <f>SUM(L41:L44)</f>
        <v>#DIV/0!</v>
      </c>
      <c r="M45" s="357" t="e">
        <f>SUM(M41:M44)</f>
        <v>#DIV/0!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2:25" customFormat="1" ht="15" thickBot="1" x14ac:dyDescent="0.25">
      <c r="M46" s="450"/>
      <c r="N46" s="450"/>
      <c r="O46" s="450"/>
      <c r="P46" s="450"/>
      <c r="Q46" s="450"/>
      <c r="R46" s="450"/>
      <c r="S46" s="450"/>
      <c r="T46" s="450"/>
      <c r="U46" s="450"/>
      <c r="V46" s="450"/>
      <c r="W46" s="450"/>
      <c r="X46" s="450"/>
      <c r="Y46" s="450"/>
    </row>
    <row r="47" spans="2:25" ht="15" thickBot="1" x14ac:dyDescent="0.25">
      <c r="B47" s="434" t="s">
        <v>3</v>
      </c>
      <c r="C47" s="333">
        <f>SUMIF(Tarifas!E4:E303,'Octubre - 2014'!C49,Tarifas!D4:D303)</f>
        <v>15</v>
      </c>
      <c r="D47" s="425" t="s">
        <v>147</v>
      </c>
      <c r="E47" s="426" t="s">
        <v>145</v>
      </c>
      <c r="F47" s="426" t="s">
        <v>150</v>
      </c>
      <c r="G47" s="426" t="s">
        <v>148</v>
      </c>
      <c r="H47" s="382"/>
      <c r="I47" s="331" t="s">
        <v>120</v>
      </c>
      <c r="J47" s="332"/>
      <c r="K47" s="332"/>
      <c r="L47" s="364" t="s">
        <v>105</v>
      </c>
      <c r="M47" s="365"/>
      <c r="N47" s="365"/>
      <c r="O47" s="365"/>
      <c r="P47" s="365"/>
      <c r="Q47" s="365"/>
      <c r="R47" s="366"/>
      <c r="S47" s="2267" t="s">
        <v>121</v>
      </c>
      <c r="T47" s="2268"/>
      <c r="U47" s="2268"/>
      <c r="V47" s="2268"/>
      <c r="W47" s="2268"/>
      <c r="X47" s="2268"/>
      <c r="Y47" s="2269"/>
    </row>
    <row r="48" spans="2:25" ht="33.75" x14ac:dyDescent="0.2">
      <c r="C48" s="383" t="s">
        <v>122</v>
      </c>
      <c r="D48" s="384" t="s">
        <v>125</v>
      </c>
      <c r="E48" s="385" t="s">
        <v>149</v>
      </c>
      <c r="F48" s="385" t="s">
        <v>151</v>
      </c>
      <c r="G48" s="385" t="s">
        <v>152</v>
      </c>
      <c r="H48" s="386" t="s">
        <v>123</v>
      </c>
      <c r="I48" s="329" t="s">
        <v>109</v>
      </c>
      <c r="J48" s="330" t="s">
        <v>25</v>
      </c>
      <c r="K48" s="330" t="s">
        <v>26</v>
      </c>
      <c r="L48" s="367" t="s">
        <v>115</v>
      </c>
      <c r="M48" s="362" t="s">
        <v>106</v>
      </c>
      <c r="N48" s="362" t="s">
        <v>107</v>
      </c>
      <c r="O48" s="362" t="s">
        <v>108</v>
      </c>
      <c r="P48" s="362" t="s">
        <v>115</v>
      </c>
      <c r="Q48" s="363" t="s">
        <v>116</v>
      </c>
      <c r="R48" s="368" t="s">
        <v>117</v>
      </c>
      <c r="S48" s="369" t="s">
        <v>110</v>
      </c>
      <c r="T48" s="370" t="s">
        <v>111</v>
      </c>
      <c r="U48" s="370" t="s">
        <v>112</v>
      </c>
      <c r="V48" s="371" t="s">
        <v>118</v>
      </c>
      <c r="W48" s="371" t="s">
        <v>119</v>
      </c>
      <c r="X48" s="371" t="s">
        <v>114</v>
      </c>
      <c r="Y48" s="372" t="s">
        <v>113</v>
      </c>
    </row>
    <row r="49" spans="3:25" x14ac:dyDescent="0.2">
      <c r="C49" s="387">
        <f>G7</f>
        <v>41913</v>
      </c>
      <c r="D49" s="388">
        <f>($F$24*$H$24)/$G$24</f>
        <v>141164.09548387097</v>
      </c>
      <c r="E49" s="389">
        <f>P49+Q49+R49</f>
        <v>0</v>
      </c>
      <c r="F49" s="427">
        <f t="shared" ref="F49:F79" si="0">TRUNC(IFERROR(J$24/K$24,0),8)</f>
        <v>0.90615690000000004</v>
      </c>
      <c r="G49" s="390">
        <f t="shared" ref="G49:G79" si="1">ROUND(I$24*F49*E49,4)</f>
        <v>0</v>
      </c>
      <c r="H49" s="391">
        <f t="shared" ref="H49:H79" si="2">SUM(D49:G49)</f>
        <v>141165.00164077096</v>
      </c>
      <c r="I49" s="324"/>
      <c r="J49" s="325"/>
      <c r="K49" s="325"/>
      <c r="L49" s="317"/>
      <c r="M49" s="318"/>
      <c r="N49" s="318"/>
      <c r="O49" s="318"/>
      <c r="P49" s="389">
        <f>L49</f>
        <v>0</v>
      </c>
      <c r="Q49" s="389">
        <f t="shared" ref="Q49:Q79" si="3">M49+N49</f>
        <v>0</v>
      </c>
      <c r="R49" s="389">
        <f t="shared" ref="R49:R79" si="4">O49</f>
        <v>0</v>
      </c>
      <c r="S49" s="373"/>
      <c r="T49" s="374"/>
      <c r="U49" s="524">
        <f>S49+T49-V49</f>
        <v>0</v>
      </c>
      <c r="V49" s="520">
        <f>I49+J49+K49</f>
        <v>0</v>
      </c>
      <c r="W49" s="524">
        <f>(P49+Q49+R49)*1.055056</f>
        <v>0</v>
      </c>
      <c r="X49" s="520">
        <f>V49-W49</f>
        <v>0</v>
      </c>
      <c r="Y49" s="525">
        <f>AL46+X49</f>
        <v>0</v>
      </c>
    </row>
    <row r="50" spans="3:25" x14ac:dyDescent="0.2">
      <c r="C50" s="387">
        <f t="shared" ref="C50:C79" si="5">C49+1</f>
        <v>41914</v>
      </c>
      <c r="D50" s="388">
        <f t="shared" ref="D50:D79" si="6">($F$24*$H$24)/$G$24</f>
        <v>141164.09548387097</v>
      </c>
      <c r="E50" s="392">
        <f t="shared" ref="E50:E79" si="7">P50+Q50+R50</f>
        <v>0</v>
      </c>
      <c r="F50" s="428">
        <f t="shared" si="0"/>
        <v>0.90615690000000004</v>
      </c>
      <c r="G50" s="390">
        <f t="shared" si="1"/>
        <v>0</v>
      </c>
      <c r="H50" s="391">
        <f t="shared" si="2"/>
        <v>141165.00164077096</v>
      </c>
      <c r="I50" s="324"/>
      <c r="J50" s="325"/>
      <c r="K50" s="325"/>
      <c r="L50" s="319"/>
      <c r="M50" s="320"/>
      <c r="N50" s="320"/>
      <c r="O50" s="320"/>
      <c r="P50" s="392">
        <f t="shared" ref="P50:P79" si="8">L50</f>
        <v>0</v>
      </c>
      <c r="Q50" s="392">
        <f t="shared" si="3"/>
        <v>0</v>
      </c>
      <c r="R50" s="392">
        <f t="shared" si="4"/>
        <v>0</v>
      </c>
      <c r="S50" s="373"/>
      <c r="T50" s="374"/>
      <c r="U50" s="524">
        <f t="shared" ref="U50:U79" si="9">S50+T50-V50</f>
        <v>0</v>
      </c>
      <c r="V50" s="520">
        <f t="shared" ref="V50:V79" si="10">I50+J50+K50</f>
        <v>0</v>
      </c>
      <c r="W50" s="524">
        <f t="shared" ref="W50:W79" si="11">(P50+Q50+R50)*1.055056</f>
        <v>0</v>
      </c>
      <c r="X50" s="520">
        <f t="shared" ref="X50:X79" si="12">V50-W50</f>
        <v>0</v>
      </c>
      <c r="Y50" s="525">
        <f>Y49+X50</f>
        <v>0</v>
      </c>
    </row>
    <row r="51" spans="3:25" x14ac:dyDescent="0.2">
      <c r="C51" s="387">
        <f t="shared" si="5"/>
        <v>41915</v>
      </c>
      <c r="D51" s="388">
        <f t="shared" si="6"/>
        <v>141164.09548387097</v>
      </c>
      <c r="E51" s="392">
        <f t="shared" si="7"/>
        <v>0</v>
      </c>
      <c r="F51" s="428">
        <f t="shared" si="0"/>
        <v>0.90615690000000004</v>
      </c>
      <c r="G51" s="390">
        <f t="shared" si="1"/>
        <v>0</v>
      </c>
      <c r="H51" s="391">
        <f t="shared" si="2"/>
        <v>141165.00164077096</v>
      </c>
      <c r="I51" s="324"/>
      <c r="J51" s="325"/>
      <c r="K51" s="325"/>
      <c r="L51" s="317"/>
      <c r="M51" s="318"/>
      <c r="N51" s="318"/>
      <c r="O51" s="318"/>
      <c r="P51" s="392">
        <f t="shared" si="8"/>
        <v>0</v>
      </c>
      <c r="Q51" s="392">
        <f t="shared" si="3"/>
        <v>0</v>
      </c>
      <c r="R51" s="392">
        <f t="shared" si="4"/>
        <v>0</v>
      </c>
      <c r="S51" s="373"/>
      <c r="T51" s="374"/>
      <c r="U51" s="524">
        <f t="shared" si="9"/>
        <v>0</v>
      </c>
      <c r="V51" s="520">
        <f t="shared" si="10"/>
        <v>0</v>
      </c>
      <c r="W51" s="524">
        <f t="shared" si="11"/>
        <v>0</v>
      </c>
      <c r="X51" s="520">
        <f t="shared" si="12"/>
        <v>0</v>
      </c>
      <c r="Y51" s="525">
        <f t="shared" ref="Y51:Y79" si="13">Y50+X51</f>
        <v>0</v>
      </c>
    </row>
    <row r="52" spans="3:25" x14ac:dyDescent="0.2">
      <c r="C52" s="387">
        <f t="shared" si="5"/>
        <v>41916</v>
      </c>
      <c r="D52" s="388">
        <f t="shared" si="6"/>
        <v>141164.09548387097</v>
      </c>
      <c r="E52" s="392">
        <f t="shared" si="7"/>
        <v>0</v>
      </c>
      <c r="F52" s="428">
        <f t="shared" si="0"/>
        <v>0.90615690000000004</v>
      </c>
      <c r="G52" s="390">
        <f t="shared" si="1"/>
        <v>0</v>
      </c>
      <c r="H52" s="391">
        <f t="shared" si="2"/>
        <v>141165.00164077096</v>
      </c>
      <c r="I52" s="324"/>
      <c r="J52" s="325"/>
      <c r="K52" s="325"/>
      <c r="L52" s="319"/>
      <c r="M52" s="320"/>
      <c r="N52" s="320"/>
      <c r="O52" s="320"/>
      <c r="P52" s="392">
        <f t="shared" si="8"/>
        <v>0</v>
      </c>
      <c r="Q52" s="392">
        <f t="shared" si="3"/>
        <v>0</v>
      </c>
      <c r="R52" s="392">
        <f t="shared" si="4"/>
        <v>0</v>
      </c>
      <c r="S52" s="373"/>
      <c r="T52" s="374"/>
      <c r="U52" s="524">
        <f t="shared" si="9"/>
        <v>0</v>
      </c>
      <c r="V52" s="520">
        <f t="shared" si="10"/>
        <v>0</v>
      </c>
      <c r="W52" s="524">
        <f t="shared" si="11"/>
        <v>0</v>
      </c>
      <c r="X52" s="520">
        <f t="shared" si="12"/>
        <v>0</v>
      </c>
      <c r="Y52" s="525">
        <f t="shared" si="13"/>
        <v>0</v>
      </c>
    </row>
    <row r="53" spans="3:25" x14ac:dyDescent="0.2">
      <c r="C53" s="387">
        <f t="shared" si="5"/>
        <v>41917</v>
      </c>
      <c r="D53" s="388">
        <f t="shared" si="6"/>
        <v>141164.09548387097</v>
      </c>
      <c r="E53" s="392">
        <f t="shared" si="7"/>
        <v>0</v>
      </c>
      <c r="F53" s="428">
        <f t="shared" si="0"/>
        <v>0.90615690000000004</v>
      </c>
      <c r="G53" s="390">
        <f t="shared" si="1"/>
        <v>0</v>
      </c>
      <c r="H53" s="391">
        <f t="shared" si="2"/>
        <v>141165.00164077096</v>
      </c>
      <c r="I53" s="324"/>
      <c r="J53" s="325"/>
      <c r="K53" s="325"/>
      <c r="L53" s="317"/>
      <c r="M53" s="318"/>
      <c r="N53" s="318"/>
      <c r="O53" s="318"/>
      <c r="P53" s="392">
        <f t="shared" si="8"/>
        <v>0</v>
      </c>
      <c r="Q53" s="392">
        <f t="shared" si="3"/>
        <v>0</v>
      </c>
      <c r="R53" s="392">
        <f t="shared" si="4"/>
        <v>0</v>
      </c>
      <c r="S53" s="373"/>
      <c r="T53" s="374"/>
      <c r="U53" s="524">
        <f t="shared" si="9"/>
        <v>0</v>
      </c>
      <c r="V53" s="520">
        <f t="shared" si="10"/>
        <v>0</v>
      </c>
      <c r="W53" s="524">
        <f t="shared" si="11"/>
        <v>0</v>
      </c>
      <c r="X53" s="520">
        <f t="shared" si="12"/>
        <v>0</v>
      </c>
      <c r="Y53" s="525">
        <f t="shared" si="13"/>
        <v>0</v>
      </c>
    </row>
    <row r="54" spans="3:25" x14ac:dyDescent="0.2">
      <c r="C54" s="387">
        <f t="shared" si="5"/>
        <v>41918</v>
      </c>
      <c r="D54" s="388">
        <f t="shared" si="6"/>
        <v>141164.09548387097</v>
      </c>
      <c r="E54" s="392">
        <f t="shared" si="7"/>
        <v>0</v>
      </c>
      <c r="F54" s="428">
        <f t="shared" si="0"/>
        <v>0.90615690000000004</v>
      </c>
      <c r="G54" s="390">
        <f t="shared" si="1"/>
        <v>0</v>
      </c>
      <c r="H54" s="391">
        <f t="shared" si="2"/>
        <v>141165.00164077096</v>
      </c>
      <c r="I54" s="324"/>
      <c r="J54" s="325"/>
      <c r="K54" s="325"/>
      <c r="L54" s="319"/>
      <c r="M54" s="320"/>
      <c r="N54" s="320"/>
      <c r="O54" s="320"/>
      <c r="P54" s="392">
        <f t="shared" si="8"/>
        <v>0</v>
      </c>
      <c r="Q54" s="392">
        <f t="shared" si="3"/>
        <v>0</v>
      </c>
      <c r="R54" s="392">
        <f t="shared" si="4"/>
        <v>0</v>
      </c>
      <c r="S54" s="373"/>
      <c r="T54" s="374"/>
      <c r="U54" s="524">
        <f t="shared" si="9"/>
        <v>0</v>
      </c>
      <c r="V54" s="520">
        <f t="shared" si="10"/>
        <v>0</v>
      </c>
      <c r="W54" s="524">
        <f t="shared" si="11"/>
        <v>0</v>
      </c>
      <c r="X54" s="520">
        <f t="shared" si="12"/>
        <v>0</v>
      </c>
      <c r="Y54" s="525">
        <f t="shared" si="13"/>
        <v>0</v>
      </c>
    </row>
    <row r="55" spans="3:25" x14ac:dyDescent="0.2">
      <c r="C55" s="387">
        <f t="shared" si="5"/>
        <v>41919</v>
      </c>
      <c r="D55" s="388">
        <f t="shared" si="6"/>
        <v>141164.09548387097</v>
      </c>
      <c r="E55" s="392">
        <f t="shared" si="7"/>
        <v>0</v>
      </c>
      <c r="F55" s="428">
        <f t="shared" si="0"/>
        <v>0.90615690000000004</v>
      </c>
      <c r="G55" s="390">
        <f t="shared" si="1"/>
        <v>0</v>
      </c>
      <c r="H55" s="391">
        <f t="shared" si="2"/>
        <v>141165.00164077096</v>
      </c>
      <c r="I55" s="324"/>
      <c r="J55" s="325"/>
      <c r="K55" s="325"/>
      <c r="L55" s="317"/>
      <c r="M55" s="318"/>
      <c r="N55" s="318"/>
      <c r="O55" s="318"/>
      <c r="P55" s="392">
        <f t="shared" si="8"/>
        <v>0</v>
      </c>
      <c r="Q55" s="392">
        <f t="shared" si="3"/>
        <v>0</v>
      </c>
      <c r="R55" s="392">
        <f t="shared" si="4"/>
        <v>0</v>
      </c>
      <c r="S55" s="373"/>
      <c r="T55" s="374"/>
      <c r="U55" s="524">
        <f t="shared" si="9"/>
        <v>0</v>
      </c>
      <c r="V55" s="520">
        <f t="shared" si="10"/>
        <v>0</v>
      </c>
      <c r="W55" s="524">
        <f t="shared" si="11"/>
        <v>0</v>
      </c>
      <c r="X55" s="520">
        <f t="shared" si="12"/>
        <v>0</v>
      </c>
      <c r="Y55" s="525">
        <f t="shared" si="13"/>
        <v>0</v>
      </c>
    </row>
    <row r="56" spans="3:25" x14ac:dyDescent="0.2">
      <c r="C56" s="387">
        <f t="shared" si="5"/>
        <v>41920</v>
      </c>
      <c r="D56" s="388">
        <f t="shared" si="6"/>
        <v>141164.09548387097</v>
      </c>
      <c r="E56" s="392">
        <f t="shared" si="7"/>
        <v>0</v>
      </c>
      <c r="F56" s="428">
        <f t="shared" si="0"/>
        <v>0.90615690000000004</v>
      </c>
      <c r="G56" s="390">
        <f t="shared" si="1"/>
        <v>0</v>
      </c>
      <c r="H56" s="391">
        <f t="shared" si="2"/>
        <v>141165.00164077096</v>
      </c>
      <c r="I56" s="324"/>
      <c r="J56" s="325"/>
      <c r="K56" s="325"/>
      <c r="L56" s="319"/>
      <c r="M56" s="320"/>
      <c r="N56" s="320"/>
      <c r="O56" s="320"/>
      <c r="P56" s="392">
        <f t="shared" si="8"/>
        <v>0</v>
      </c>
      <c r="Q56" s="392">
        <f t="shared" si="3"/>
        <v>0</v>
      </c>
      <c r="R56" s="392">
        <f t="shared" si="4"/>
        <v>0</v>
      </c>
      <c r="S56" s="373"/>
      <c r="T56" s="374"/>
      <c r="U56" s="524">
        <f t="shared" si="9"/>
        <v>0</v>
      </c>
      <c r="V56" s="520">
        <f t="shared" si="10"/>
        <v>0</v>
      </c>
      <c r="W56" s="524">
        <f t="shared" si="11"/>
        <v>0</v>
      </c>
      <c r="X56" s="520">
        <f t="shared" si="12"/>
        <v>0</v>
      </c>
      <c r="Y56" s="525">
        <f t="shared" si="13"/>
        <v>0</v>
      </c>
    </row>
    <row r="57" spans="3:25" x14ac:dyDescent="0.2">
      <c r="C57" s="387">
        <f t="shared" si="5"/>
        <v>41921</v>
      </c>
      <c r="D57" s="388">
        <f t="shared" si="6"/>
        <v>141164.09548387097</v>
      </c>
      <c r="E57" s="392">
        <f t="shared" si="7"/>
        <v>0</v>
      </c>
      <c r="F57" s="428">
        <f t="shared" si="0"/>
        <v>0.90615690000000004</v>
      </c>
      <c r="G57" s="390">
        <f t="shared" si="1"/>
        <v>0</v>
      </c>
      <c r="H57" s="391">
        <f t="shared" si="2"/>
        <v>141165.00164077096</v>
      </c>
      <c r="I57" s="324"/>
      <c r="J57" s="325"/>
      <c r="K57" s="325"/>
      <c r="L57" s="317"/>
      <c r="M57" s="318"/>
      <c r="N57" s="318"/>
      <c r="O57" s="318"/>
      <c r="P57" s="392">
        <f t="shared" si="8"/>
        <v>0</v>
      </c>
      <c r="Q57" s="392">
        <f t="shared" si="3"/>
        <v>0</v>
      </c>
      <c r="R57" s="392">
        <f t="shared" si="4"/>
        <v>0</v>
      </c>
      <c r="S57" s="373"/>
      <c r="T57" s="374"/>
      <c r="U57" s="524">
        <f t="shared" si="9"/>
        <v>0</v>
      </c>
      <c r="V57" s="520">
        <f t="shared" si="10"/>
        <v>0</v>
      </c>
      <c r="W57" s="524">
        <f t="shared" si="11"/>
        <v>0</v>
      </c>
      <c r="X57" s="520">
        <f t="shared" si="12"/>
        <v>0</v>
      </c>
      <c r="Y57" s="525">
        <f t="shared" si="13"/>
        <v>0</v>
      </c>
    </row>
    <row r="58" spans="3:25" x14ac:dyDescent="0.2">
      <c r="C58" s="387">
        <f t="shared" si="5"/>
        <v>41922</v>
      </c>
      <c r="D58" s="388">
        <f t="shared" si="6"/>
        <v>141164.09548387097</v>
      </c>
      <c r="E58" s="392">
        <f t="shared" si="7"/>
        <v>0</v>
      </c>
      <c r="F58" s="428">
        <f t="shared" si="0"/>
        <v>0.90615690000000004</v>
      </c>
      <c r="G58" s="390">
        <f t="shared" si="1"/>
        <v>0</v>
      </c>
      <c r="H58" s="391">
        <f t="shared" si="2"/>
        <v>141165.00164077096</v>
      </c>
      <c r="I58" s="324"/>
      <c r="J58" s="325"/>
      <c r="K58" s="325"/>
      <c r="L58" s="319"/>
      <c r="M58" s="320"/>
      <c r="N58" s="320"/>
      <c r="O58" s="320"/>
      <c r="P58" s="392">
        <f t="shared" si="8"/>
        <v>0</v>
      </c>
      <c r="Q58" s="392">
        <f t="shared" si="3"/>
        <v>0</v>
      </c>
      <c r="R58" s="392">
        <f t="shared" si="4"/>
        <v>0</v>
      </c>
      <c r="S58" s="373"/>
      <c r="T58" s="374"/>
      <c r="U58" s="524">
        <f t="shared" si="9"/>
        <v>0</v>
      </c>
      <c r="V58" s="520">
        <f t="shared" si="10"/>
        <v>0</v>
      </c>
      <c r="W58" s="524">
        <f t="shared" si="11"/>
        <v>0</v>
      </c>
      <c r="X58" s="520">
        <f t="shared" si="12"/>
        <v>0</v>
      </c>
      <c r="Y58" s="525">
        <f t="shared" si="13"/>
        <v>0</v>
      </c>
    </row>
    <row r="59" spans="3:25" x14ac:dyDescent="0.2">
      <c r="C59" s="387">
        <f t="shared" si="5"/>
        <v>41923</v>
      </c>
      <c r="D59" s="388">
        <f t="shared" si="6"/>
        <v>141164.09548387097</v>
      </c>
      <c r="E59" s="392">
        <f t="shared" si="7"/>
        <v>0</v>
      </c>
      <c r="F59" s="428">
        <f t="shared" si="0"/>
        <v>0.90615690000000004</v>
      </c>
      <c r="G59" s="390">
        <f t="shared" si="1"/>
        <v>0</v>
      </c>
      <c r="H59" s="391">
        <f t="shared" si="2"/>
        <v>141165.00164077096</v>
      </c>
      <c r="I59" s="324"/>
      <c r="J59" s="325"/>
      <c r="K59" s="325"/>
      <c r="L59" s="317"/>
      <c r="M59" s="318"/>
      <c r="N59" s="318"/>
      <c r="O59" s="318"/>
      <c r="P59" s="392">
        <f t="shared" si="8"/>
        <v>0</v>
      </c>
      <c r="Q59" s="392">
        <f t="shared" si="3"/>
        <v>0</v>
      </c>
      <c r="R59" s="392">
        <f t="shared" si="4"/>
        <v>0</v>
      </c>
      <c r="S59" s="373"/>
      <c r="T59" s="374"/>
      <c r="U59" s="524">
        <f t="shared" si="9"/>
        <v>0</v>
      </c>
      <c r="V59" s="520">
        <f t="shared" si="10"/>
        <v>0</v>
      </c>
      <c r="W59" s="524">
        <f t="shared" si="11"/>
        <v>0</v>
      </c>
      <c r="X59" s="520">
        <f t="shared" si="12"/>
        <v>0</v>
      </c>
      <c r="Y59" s="525">
        <f t="shared" si="13"/>
        <v>0</v>
      </c>
    </row>
    <row r="60" spans="3:25" x14ac:dyDescent="0.2">
      <c r="C60" s="387">
        <f t="shared" si="5"/>
        <v>41924</v>
      </c>
      <c r="D60" s="388">
        <f t="shared" si="6"/>
        <v>141164.09548387097</v>
      </c>
      <c r="E60" s="392">
        <f t="shared" si="7"/>
        <v>0</v>
      </c>
      <c r="F60" s="428">
        <f t="shared" si="0"/>
        <v>0.90615690000000004</v>
      </c>
      <c r="G60" s="390">
        <f t="shared" si="1"/>
        <v>0</v>
      </c>
      <c r="H60" s="391">
        <f t="shared" si="2"/>
        <v>141165.00164077096</v>
      </c>
      <c r="I60" s="324"/>
      <c r="J60" s="325"/>
      <c r="K60" s="325"/>
      <c r="L60" s="319"/>
      <c r="M60" s="320"/>
      <c r="N60" s="320"/>
      <c r="O60" s="320"/>
      <c r="P60" s="392">
        <f t="shared" si="8"/>
        <v>0</v>
      </c>
      <c r="Q60" s="392">
        <f t="shared" si="3"/>
        <v>0</v>
      </c>
      <c r="R60" s="392">
        <f t="shared" si="4"/>
        <v>0</v>
      </c>
      <c r="S60" s="373"/>
      <c r="T60" s="374"/>
      <c r="U60" s="524">
        <f t="shared" si="9"/>
        <v>0</v>
      </c>
      <c r="V60" s="520">
        <f t="shared" si="10"/>
        <v>0</v>
      </c>
      <c r="W60" s="524">
        <f t="shared" si="11"/>
        <v>0</v>
      </c>
      <c r="X60" s="520">
        <f t="shared" si="12"/>
        <v>0</v>
      </c>
      <c r="Y60" s="525">
        <f t="shared" si="13"/>
        <v>0</v>
      </c>
    </row>
    <row r="61" spans="3:25" x14ac:dyDescent="0.2">
      <c r="C61" s="387">
        <f t="shared" si="5"/>
        <v>41925</v>
      </c>
      <c r="D61" s="388">
        <f t="shared" si="6"/>
        <v>141164.09548387097</v>
      </c>
      <c r="E61" s="392">
        <f t="shared" si="7"/>
        <v>0</v>
      </c>
      <c r="F61" s="428">
        <f t="shared" si="0"/>
        <v>0.90615690000000004</v>
      </c>
      <c r="G61" s="390">
        <f t="shared" si="1"/>
        <v>0</v>
      </c>
      <c r="H61" s="391">
        <f t="shared" si="2"/>
        <v>141165.00164077096</v>
      </c>
      <c r="I61" s="324"/>
      <c r="J61" s="325"/>
      <c r="K61" s="325"/>
      <c r="L61" s="317"/>
      <c r="M61" s="318"/>
      <c r="N61" s="318"/>
      <c r="O61" s="318"/>
      <c r="P61" s="392">
        <f t="shared" si="8"/>
        <v>0</v>
      </c>
      <c r="Q61" s="392">
        <f t="shared" si="3"/>
        <v>0</v>
      </c>
      <c r="R61" s="392">
        <f t="shared" si="4"/>
        <v>0</v>
      </c>
      <c r="S61" s="373"/>
      <c r="T61" s="374"/>
      <c r="U61" s="524">
        <f t="shared" si="9"/>
        <v>0</v>
      </c>
      <c r="V61" s="520">
        <f t="shared" si="10"/>
        <v>0</v>
      </c>
      <c r="W61" s="524">
        <f t="shared" si="11"/>
        <v>0</v>
      </c>
      <c r="X61" s="520">
        <f t="shared" si="12"/>
        <v>0</v>
      </c>
      <c r="Y61" s="525">
        <f t="shared" si="13"/>
        <v>0</v>
      </c>
    </row>
    <row r="62" spans="3:25" x14ac:dyDescent="0.2">
      <c r="C62" s="387">
        <f t="shared" si="5"/>
        <v>41926</v>
      </c>
      <c r="D62" s="388">
        <f t="shared" si="6"/>
        <v>141164.09548387097</v>
      </c>
      <c r="E62" s="392">
        <f t="shared" si="7"/>
        <v>0</v>
      </c>
      <c r="F62" s="428">
        <f t="shared" si="0"/>
        <v>0.90615690000000004</v>
      </c>
      <c r="G62" s="390">
        <f t="shared" si="1"/>
        <v>0</v>
      </c>
      <c r="H62" s="391">
        <f t="shared" si="2"/>
        <v>141165.00164077096</v>
      </c>
      <c r="I62" s="324"/>
      <c r="J62" s="325"/>
      <c r="K62" s="325"/>
      <c r="L62" s="319"/>
      <c r="M62" s="320"/>
      <c r="N62" s="320"/>
      <c r="O62" s="320"/>
      <c r="P62" s="392">
        <f t="shared" si="8"/>
        <v>0</v>
      </c>
      <c r="Q62" s="392">
        <f t="shared" si="3"/>
        <v>0</v>
      </c>
      <c r="R62" s="392">
        <f t="shared" si="4"/>
        <v>0</v>
      </c>
      <c r="S62" s="373"/>
      <c r="T62" s="374"/>
      <c r="U62" s="524">
        <f t="shared" si="9"/>
        <v>0</v>
      </c>
      <c r="V62" s="520">
        <f t="shared" si="10"/>
        <v>0</v>
      </c>
      <c r="W62" s="524">
        <f t="shared" si="11"/>
        <v>0</v>
      </c>
      <c r="X62" s="520">
        <f t="shared" si="12"/>
        <v>0</v>
      </c>
      <c r="Y62" s="525">
        <f t="shared" si="13"/>
        <v>0</v>
      </c>
    </row>
    <row r="63" spans="3:25" x14ac:dyDescent="0.2">
      <c r="C63" s="387">
        <f t="shared" si="5"/>
        <v>41927</v>
      </c>
      <c r="D63" s="388">
        <f t="shared" si="6"/>
        <v>141164.09548387097</v>
      </c>
      <c r="E63" s="392">
        <f t="shared" si="7"/>
        <v>0</v>
      </c>
      <c r="F63" s="428">
        <f t="shared" si="0"/>
        <v>0.90615690000000004</v>
      </c>
      <c r="G63" s="390">
        <f t="shared" si="1"/>
        <v>0</v>
      </c>
      <c r="H63" s="391">
        <f t="shared" si="2"/>
        <v>141165.00164077096</v>
      </c>
      <c r="I63" s="324"/>
      <c r="J63" s="325"/>
      <c r="K63" s="325"/>
      <c r="L63" s="317"/>
      <c r="M63" s="318"/>
      <c r="N63" s="318"/>
      <c r="O63" s="318"/>
      <c r="P63" s="392">
        <f t="shared" si="8"/>
        <v>0</v>
      </c>
      <c r="Q63" s="392">
        <f t="shared" si="3"/>
        <v>0</v>
      </c>
      <c r="R63" s="392">
        <f t="shared" si="4"/>
        <v>0</v>
      </c>
      <c r="S63" s="373"/>
      <c r="T63" s="374"/>
      <c r="U63" s="524">
        <f t="shared" si="9"/>
        <v>0</v>
      </c>
      <c r="V63" s="520">
        <f t="shared" si="10"/>
        <v>0</v>
      </c>
      <c r="W63" s="524">
        <f t="shared" si="11"/>
        <v>0</v>
      </c>
      <c r="X63" s="520">
        <f t="shared" si="12"/>
        <v>0</v>
      </c>
      <c r="Y63" s="525">
        <f t="shared" si="13"/>
        <v>0</v>
      </c>
    </row>
    <row r="64" spans="3:25" x14ac:dyDescent="0.2">
      <c r="C64" s="387">
        <f t="shared" si="5"/>
        <v>41928</v>
      </c>
      <c r="D64" s="388">
        <f t="shared" si="6"/>
        <v>141164.09548387097</v>
      </c>
      <c r="E64" s="392">
        <f t="shared" si="7"/>
        <v>0</v>
      </c>
      <c r="F64" s="428">
        <f t="shared" si="0"/>
        <v>0.90615690000000004</v>
      </c>
      <c r="G64" s="390">
        <f t="shared" si="1"/>
        <v>0</v>
      </c>
      <c r="H64" s="391">
        <f t="shared" si="2"/>
        <v>141165.00164077096</v>
      </c>
      <c r="I64" s="324"/>
      <c r="J64" s="325"/>
      <c r="K64" s="325"/>
      <c r="L64" s="319"/>
      <c r="M64" s="320"/>
      <c r="N64" s="320"/>
      <c r="O64" s="320"/>
      <c r="P64" s="392">
        <f t="shared" si="8"/>
        <v>0</v>
      </c>
      <c r="Q64" s="392">
        <f t="shared" si="3"/>
        <v>0</v>
      </c>
      <c r="R64" s="392">
        <f t="shared" si="4"/>
        <v>0</v>
      </c>
      <c r="S64" s="373"/>
      <c r="T64" s="374"/>
      <c r="U64" s="524">
        <f t="shared" si="9"/>
        <v>0</v>
      </c>
      <c r="V64" s="520">
        <f t="shared" si="10"/>
        <v>0</v>
      </c>
      <c r="W64" s="524">
        <f t="shared" si="11"/>
        <v>0</v>
      </c>
      <c r="X64" s="520">
        <f t="shared" si="12"/>
        <v>0</v>
      </c>
      <c r="Y64" s="525">
        <f t="shared" si="13"/>
        <v>0</v>
      </c>
    </row>
    <row r="65" spans="3:38" x14ac:dyDescent="0.2">
      <c r="C65" s="387">
        <f t="shared" si="5"/>
        <v>41929</v>
      </c>
      <c r="D65" s="388">
        <f t="shared" si="6"/>
        <v>141164.09548387097</v>
      </c>
      <c r="E65" s="392">
        <f t="shared" si="7"/>
        <v>0</v>
      </c>
      <c r="F65" s="428">
        <f t="shared" si="0"/>
        <v>0.90615690000000004</v>
      </c>
      <c r="G65" s="390">
        <f t="shared" si="1"/>
        <v>0</v>
      </c>
      <c r="H65" s="391">
        <f t="shared" si="2"/>
        <v>141165.00164077096</v>
      </c>
      <c r="I65" s="324"/>
      <c r="J65" s="325"/>
      <c r="K65" s="325"/>
      <c r="L65" s="317"/>
      <c r="M65" s="318"/>
      <c r="N65" s="318"/>
      <c r="O65" s="318"/>
      <c r="P65" s="392">
        <f t="shared" si="8"/>
        <v>0</v>
      </c>
      <c r="Q65" s="392">
        <f t="shared" si="3"/>
        <v>0</v>
      </c>
      <c r="R65" s="392">
        <f t="shared" si="4"/>
        <v>0</v>
      </c>
      <c r="S65" s="373"/>
      <c r="T65" s="374"/>
      <c r="U65" s="524">
        <f t="shared" si="9"/>
        <v>0</v>
      </c>
      <c r="V65" s="520">
        <f t="shared" si="10"/>
        <v>0</v>
      </c>
      <c r="W65" s="524">
        <f t="shared" si="11"/>
        <v>0</v>
      </c>
      <c r="X65" s="520">
        <f t="shared" si="12"/>
        <v>0</v>
      </c>
      <c r="Y65" s="525">
        <f t="shared" si="13"/>
        <v>0</v>
      </c>
    </row>
    <row r="66" spans="3:38" x14ac:dyDescent="0.2">
      <c r="C66" s="387">
        <f t="shared" si="5"/>
        <v>41930</v>
      </c>
      <c r="D66" s="388">
        <f t="shared" si="6"/>
        <v>141164.09548387097</v>
      </c>
      <c r="E66" s="392">
        <f t="shared" si="7"/>
        <v>0</v>
      </c>
      <c r="F66" s="428">
        <f t="shared" si="0"/>
        <v>0.90615690000000004</v>
      </c>
      <c r="G66" s="390">
        <f t="shared" si="1"/>
        <v>0</v>
      </c>
      <c r="H66" s="391">
        <f t="shared" si="2"/>
        <v>141165.00164077096</v>
      </c>
      <c r="I66" s="324"/>
      <c r="J66" s="325"/>
      <c r="K66" s="325"/>
      <c r="L66" s="319"/>
      <c r="M66" s="320"/>
      <c r="N66" s="320"/>
      <c r="O66" s="320"/>
      <c r="P66" s="392">
        <f t="shared" si="8"/>
        <v>0</v>
      </c>
      <c r="Q66" s="392">
        <f t="shared" si="3"/>
        <v>0</v>
      </c>
      <c r="R66" s="392">
        <f t="shared" si="4"/>
        <v>0</v>
      </c>
      <c r="S66" s="373"/>
      <c r="T66" s="374"/>
      <c r="U66" s="524">
        <f t="shared" si="9"/>
        <v>0</v>
      </c>
      <c r="V66" s="520">
        <f t="shared" si="10"/>
        <v>0</v>
      </c>
      <c r="W66" s="524">
        <f t="shared" si="11"/>
        <v>0</v>
      </c>
      <c r="X66" s="520">
        <f t="shared" si="12"/>
        <v>0</v>
      </c>
      <c r="Y66" s="525">
        <f t="shared" si="13"/>
        <v>0</v>
      </c>
    </row>
    <row r="67" spans="3:38" x14ac:dyDescent="0.2">
      <c r="C67" s="387">
        <f t="shared" si="5"/>
        <v>41931</v>
      </c>
      <c r="D67" s="388">
        <f t="shared" si="6"/>
        <v>141164.09548387097</v>
      </c>
      <c r="E67" s="392">
        <f t="shared" si="7"/>
        <v>0</v>
      </c>
      <c r="F67" s="428">
        <f t="shared" si="0"/>
        <v>0.90615690000000004</v>
      </c>
      <c r="G67" s="390">
        <f t="shared" si="1"/>
        <v>0</v>
      </c>
      <c r="H67" s="391">
        <f t="shared" si="2"/>
        <v>141165.00164077096</v>
      </c>
      <c r="I67" s="324"/>
      <c r="J67" s="325"/>
      <c r="K67" s="325"/>
      <c r="L67" s="317"/>
      <c r="M67" s="318"/>
      <c r="N67" s="318"/>
      <c r="O67" s="318"/>
      <c r="P67" s="392">
        <f t="shared" si="8"/>
        <v>0</v>
      </c>
      <c r="Q67" s="392">
        <f t="shared" si="3"/>
        <v>0</v>
      </c>
      <c r="R67" s="392">
        <f t="shared" si="4"/>
        <v>0</v>
      </c>
      <c r="S67" s="373"/>
      <c r="T67" s="374"/>
      <c r="U67" s="524">
        <f t="shared" si="9"/>
        <v>0</v>
      </c>
      <c r="V67" s="520">
        <f t="shared" si="10"/>
        <v>0</v>
      </c>
      <c r="W67" s="524">
        <f t="shared" si="11"/>
        <v>0</v>
      </c>
      <c r="X67" s="520">
        <f t="shared" si="12"/>
        <v>0</v>
      </c>
      <c r="Y67" s="525">
        <f t="shared" si="13"/>
        <v>0</v>
      </c>
    </row>
    <row r="68" spans="3:38" x14ac:dyDescent="0.2">
      <c r="C68" s="387">
        <f t="shared" si="5"/>
        <v>41932</v>
      </c>
      <c r="D68" s="388">
        <f t="shared" si="6"/>
        <v>141164.09548387097</v>
      </c>
      <c r="E68" s="392">
        <f t="shared" si="7"/>
        <v>0</v>
      </c>
      <c r="F68" s="428">
        <f t="shared" si="0"/>
        <v>0.90615690000000004</v>
      </c>
      <c r="G68" s="390">
        <f t="shared" si="1"/>
        <v>0</v>
      </c>
      <c r="H68" s="391">
        <f t="shared" si="2"/>
        <v>141165.00164077096</v>
      </c>
      <c r="I68" s="324"/>
      <c r="J68" s="325"/>
      <c r="K68" s="325"/>
      <c r="L68" s="319"/>
      <c r="M68" s="320"/>
      <c r="N68" s="320"/>
      <c r="O68" s="320"/>
      <c r="P68" s="392">
        <f t="shared" si="8"/>
        <v>0</v>
      </c>
      <c r="Q68" s="392">
        <f t="shared" si="3"/>
        <v>0</v>
      </c>
      <c r="R68" s="392">
        <f t="shared" si="4"/>
        <v>0</v>
      </c>
      <c r="S68" s="373"/>
      <c r="T68" s="374"/>
      <c r="U68" s="524">
        <f t="shared" si="9"/>
        <v>0</v>
      </c>
      <c r="V68" s="520">
        <f t="shared" si="10"/>
        <v>0</v>
      </c>
      <c r="W68" s="524">
        <f t="shared" si="11"/>
        <v>0</v>
      </c>
      <c r="X68" s="520">
        <f t="shared" si="12"/>
        <v>0</v>
      </c>
      <c r="Y68" s="525">
        <f t="shared" si="13"/>
        <v>0</v>
      </c>
    </row>
    <row r="69" spans="3:38" x14ac:dyDescent="0.2">
      <c r="C69" s="387">
        <f t="shared" si="5"/>
        <v>41933</v>
      </c>
      <c r="D69" s="388">
        <f t="shared" si="6"/>
        <v>141164.09548387097</v>
      </c>
      <c r="E69" s="392">
        <f t="shared" si="7"/>
        <v>0</v>
      </c>
      <c r="F69" s="428">
        <f t="shared" si="0"/>
        <v>0.90615690000000004</v>
      </c>
      <c r="G69" s="390">
        <f t="shared" si="1"/>
        <v>0</v>
      </c>
      <c r="H69" s="391">
        <f t="shared" si="2"/>
        <v>141165.00164077096</v>
      </c>
      <c r="I69" s="324"/>
      <c r="J69" s="325"/>
      <c r="K69" s="325"/>
      <c r="L69" s="317"/>
      <c r="M69" s="318"/>
      <c r="N69" s="318"/>
      <c r="O69" s="318"/>
      <c r="P69" s="392">
        <f t="shared" si="8"/>
        <v>0</v>
      </c>
      <c r="Q69" s="392">
        <f t="shared" si="3"/>
        <v>0</v>
      </c>
      <c r="R69" s="392">
        <f t="shared" si="4"/>
        <v>0</v>
      </c>
      <c r="S69" s="373"/>
      <c r="T69" s="374"/>
      <c r="U69" s="524">
        <f t="shared" si="9"/>
        <v>0</v>
      </c>
      <c r="V69" s="520">
        <f t="shared" si="10"/>
        <v>0</v>
      </c>
      <c r="W69" s="524">
        <f t="shared" si="11"/>
        <v>0</v>
      </c>
      <c r="X69" s="520">
        <f t="shared" si="12"/>
        <v>0</v>
      </c>
      <c r="Y69" s="525">
        <f t="shared" si="13"/>
        <v>0</v>
      </c>
    </row>
    <row r="70" spans="3:38" x14ac:dyDescent="0.2">
      <c r="C70" s="387">
        <f t="shared" si="5"/>
        <v>41934</v>
      </c>
      <c r="D70" s="388">
        <f t="shared" si="6"/>
        <v>141164.09548387097</v>
      </c>
      <c r="E70" s="392">
        <f t="shared" si="7"/>
        <v>0</v>
      </c>
      <c r="F70" s="428">
        <f t="shared" si="0"/>
        <v>0.90615690000000004</v>
      </c>
      <c r="G70" s="390">
        <f t="shared" si="1"/>
        <v>0</v>
      </c>
      <c r="H70" s="391">
        <f t="shared" si="2"/>
        <v>141165.00164077096</v>
      </c>
      <c r="I70" s="324"/>
      <c r="J70" s="325"/>
      <c r="K70" s="325"/>
      <c r="L70" s="319"/>
      <c r="M70" s="320"/>
      <c r="N70" s="320"/>
      <c r="O70" s="320"/>
      <c r="P70" s="392">
        <f t="shared" si="8"/>
        <v>0</v>
      </c>
      <c r="Q70" s="392">
        <f t="shared" si="3"/>
        <v>0</v>
      </c>
      <c r="R70" s="392">
        <f t="shared" si="4"/>
        <v>0</v>
      </c>
      <c r="S70" s="373"/>
      <c r="T70" s="374"/>
      <c r="U70" s="524">
        <f t="shared" si="9"/>
        <v>0</v>
      </c>
      <c r="V70" s="520">
        <f t="shared" si="10"/>
        <v>0</v>
      </c>
      <c r="W70" s="524">
        <f t="shared" si="11"/>
        <v>0</v>
      </c>
      <c r="X70" s="520">
        <f t="shared" si="12"/>
        <v>0</v>
      </c>
      <c r="Y70" s="525">
        <f t="shared" si="13"/>
        <v>0</v>
      </c>
    </row>
    <row r="71" spans="3:38" x14ac:dyDescent="0.2">
      <c r="C71" s="387">
        <f t="shared" si="5"/>
        <v>41935</v>
      </c>
      <c r="D71" s="388">
        <f t="shared" si="6"/>
        <v>141164.09548387097</v>
      </c>
      <c r="E71" s="392">
        <f t="shared" si="7"/>
        <v>0</v>
      </c>
      <c r="F71" s="428">
        <f t="shared" si="0"/>
        <v>0.90615690000000004</v>
      </c>
      <c r="G71" s="390">
        <f t="shared" si="1"/>
        <v>0</v>
      </c>
      <c r="H71" s="391">
        <f t="shared" si="2"/>
        <v>141165.00164077096</v>
      </c>
      <c r="I71" s="324"/>
      <c r="J71" s="325"/>
      <c r="K71" s="325"/>
      <c r="L71" s="317"/>
      <c r="M71" s="318"/>
      <c r="N71" s="318"/>
      <c r="O71" s="318"/>
      <c r="P71" s="392">
        <f t="shared" si="8"/>
        <v>0</v>
      </c>
      <c r="Q71" s="392">
        <f t="shared" si="3"/>
        <v>0</v>
      </c>
      <c r="R71" s="392">
        <f t="shared" si="4"/>
        <v>0</v>
      </c>
      <c r="S71" s="373"/>
      <c r="T71" s="374"/>
      <c r="U71" s="524">
        <f t="shared" si="9"/>
        <v>0</v>
      </c>
      <c r="V71" s="520">
        <f t="shared" si="10"/>
        <v>0</v>
      </c>
      <c r="W71" s="524">
        <f t="shared" si="11"/>
        <v>0</v>
      </c>
      <c r="X71" s="520">
        <f t="shared" si="12"/>
        <v>0</v>
      </c>
      <c r="Y71" s="525">
        <f t="shared" si="13"/>
        <v>0</v>
      </c>
    </row>
    <row r="72" spans="3:38" x14ac:dyDescent="0.2">
      <c r="C72" s="387">
        <f t="shared" si="5"/>
        <v>41936</v>
      </c>
      <c r="D72" s="388">
        <f t="shared" si="6"/>
        <v>141164.09548387097</v>
      </c>
      <c r="E72" s="392">
        <f t="shared" si="7"/>
        <v>0</v>
      </c>
      <c r="F72" s="428">
        <f t="shared" si="0"/>
        <v>0.90615690000000004</v>
      </c>
      <c r="G72" s="390">
        <f t="shared" si="1"/>
        <v>0</v>
      </c>
      <c r="H72" s="391">
        <f t="shared" si="2"/>
        <v>141165.00164077096</v>
      </c>
      <c r="I72" s="324"/>
      <c r="J72" s="325"/>
      <c r="K72" s="325"/>
      <c r="L72" s="319"/>
      <c r="M72" s="320"/>
      <c r="N72" s="320"/>
      <c r="O72" s="320"/>
      <c r="P72" s="392">
        <f t="shared" si="8"/>
        <v>0</v>
      </c>
      <c r="Q72" s="392">
        <f t="shared" si="3"/>
        <v>0</v>
      </c>
      <c r="R72" s="392">
        <f t="shared" si="4"/>
        <v>0</v>
      </c>
      <c r="S72" s="373"/>
      <c r="T72" s="374"/>
      <c r="U72" s="524">
        <f t="shared" si="9"/>
        <v>0</v>
      </c>
      <c r="V72" s="520">
        <f t="shared" si="10"/>
        <v>0</v>
      </c>
      <c r="W72" s="524">
        <f t="shared" si="11"/>
        <v>0</v>
      </c>
      <c r="X72" s="520">
        <f t="shared" si="12"/>
        <v>0</v>
      </c>
      <c r="Y72" s="525">
        <f t="shared" si="13"/>
        <v>0</v>
      </c>
    </row>
    <row r="73" spans="3:38" x14ac:dyDescent="0.2">
      <c r="C73" s="387">
        <f t="shared" si="5"/>
        <v>41937</v>
      </c>
      <c r="D73" s="388">
        <f t="shared" si="6"/>
        <v>141164.09548387097</v>
      </c>
      <c r="E73" s="392">
        <f t="shared" si="7"/>
        <v>0</v>
      </c>
      <c r="F73" s="428">
        <f t="shared" si="0"/>
        <v>0.90615690000000004</v>
      </c>
      <c r="G73" s="390">
        <f t="shared" si="1"/>
        <v>0</v>
      </c>
      <c r="H73" s="391">
        <f t="shared" si="2"/>
        <v>141165.00164077096</v>
      </c>
      <c r="I73" s="324"/>
      <c r="J73" s="325"/>
      <c r="K73" s="325"/>
      <c r="L73" s="317"/>
      <c r="M73" s="318"/>
      <c r="N73" s="318"/>
      <c r="O73" s="318"/>
      <c r="P73" s="392">
        <f t="shared" si="8"/>
        <v>0</v>
      </c>
      <c r="Q73" s="392">
        <f t="shared" si="3"/>
        <v>0</v>
      </c>
      <c r="R73" s="392">
        <f t="shared" si="4"/>
        <v>0</v>
      </c>
      <c r="S73" s="373"/>
      <c r="T73" s="374"/>
      <c r="U73" s="524">
        <f t="shared" si="9"/>
        <v>0</v>
      </c>
      <c r="V73" s="520">
        <f t="shared" si="10"/>
        <v>0</v>
      </c>
      <c r="W73" s="524">
        <f t="shared" si="11"/>
        <v>0</v>
      </c>
      <c r="X73" s="520">
        <f t="shared" si="12"/>
        <v>0</v>
      </c>
      <c r="Y73" s="525">
        <f t="shared" si="13"/>
        <v>0</v>
      </c>
    </row>
    <row r="74" spans="3:38" x14ac:dyDescent="0.2">
      <c r="C74" s="387">
        <f t="shared" si="5"/>
        <v>41938</v>
      </c>
      <c r="D74" s="388">
        <f t="shared" si="6"/>
        <v>141164.09548387097</v>
      </c>
      <c r="E74" s="392">
        <f t="shared" si="7"/>
        <v>0</v>
      </c>
      <c r="F74" s="428">
        <f t="shared" si="0"/>
        <v>0.90615690000000004</v>
      </c>
      <c r="G74" s="390">
        <f t="shared" si="1"/>
        <v>0</v>
      </c>
      <c r="H74" s="391">
        <f t="shared" si="2"/>
        <v>141165.00164077096</v>
      </c>
      <c r="I74" s="324"/>
      <c r="J74" s="325"/>
      <c r="K74" s="325"/>
      <c r="L74" s="319"/>
      <c r="M74" s="320"/>
      <c r="N74" s="320"/>
      <c r="O74" s="320"/>
      <c r="P74" s="392">
        <f t="shared" si="8"/>
        <v>0</v>
      </c>
      <c r="Q74" s="392">
        <f t="shared" si="3"/>
        <v>0</v>
      </c>
      <c r="R74" s="392">
        <f t="shared" si="4"/>
        <v>0</v>
      </c>
      <c r="S74" s="373"/>
      <c r="T74" s="374"/>
      <c r="U74" s="524">
        <f t="shared" si="9"/>
        <v>0</v>
      </c>
      <c r="V74" s="520">
        <f t="shared" si="10"/>
        <v>0</v>
      </c>
      <c r="W74" s="524">
        <f t="shared" si="11"/>
        <v>0</v>
      </c>
      <c r="X74" s="520">
        <f t="shared" si="12"/>
        <v>0</v>
      </c>
      <c r="Y74" s="525">
        <f t="shared" si="13"/>
        <v>0</v>
      </c>
    </row>
    <row r="75" spans="3:38" x14ac:dyDescent="0.2">
      <c r="C75" s="387">
        <f t="shared" si="5"/>
        <v>41939</v>
      </c>
      <c r="D75" s="388">
        <f t="shared" si="6"/>
        <v>141164.09548387097</v>
      </c>
      <c r="E75" s="392">
        <f t="shared" si="7"/>
        <v>0</v>
      </c>
      <c r="F75" s="428">
        <f t="shared" si="0"/>
        <v>0.90615690000000004</v>
      </c>
      <c r="G75" s="390">
        <f t="shared" si="1"/>
        <v>0</v>
      </c>
      <c r="H75" s="391">
        <f t="shared" si="2"/>
        <v>141165.00164077096</v>
      </c>
      <c r="I75" s="324"/>
      <c r="J75" s="325"/>
      <c r="K75" s="325"/>
      <c r="L75" s="317"/>
      <c r="M75" s="318"/>
      <c r="N75" s="318"/>
      <c r="O75" s="318"/>
      <c r="P75" s="392">
        <f t="shared" si="8"/>
        <v>0</v>
      </c>
      <c r="Q75" s="392">
        <f t="shared" si="3"/>
        <v>0</v>
      </c>
      <c r="R75" s="392">
        <f t="shared" si="4"/>
        <v>0</v>
      </c>
      <c r="S75" s="373"/>
      <c r="T75" s="374"/>
      <c r="U75" s="524">
        <f t="shared" si="9"/>
        <v>0</v>
      </c>
      <c r="V75" s="520">
        <f t="shared" si="10"/>
        <v>0</v>
      </c>
      <c r="W75" s="524">
        <f t="shared" si="11"/>
        <v>0</v>
      </c>
      <c r="X75" s="520">
        <f t="shared" si="12"/>
        <v>0</v>
      </c>
      <c r="Y75" s="525">
        <f t="shared" si="13"/>
        <v>0</v>
      </c>
    </row>
    <row r="76" spans="3:38" x14ac:dyDescent="0.2">
      <c r="C76" s="387">
        <f t="shared" si="5"/>
        <v>41940</v>
      </c>
      <c r="D76" s="388">
        <f t="shared" si="6"/>
        <v>141164.09548387097</v>
      </c>
      <c r="E76" s="392">
        <f t="shared" si="7"/>
        <v>0</v>
      </c>
      <c r="F76" s="428">
        <f t="shared" si="0"/>
        <v>0.90615690000000004</v>
      </c>
      <c r="G76" s="390">
        <f t="shared" si="1"/>
        <v>0</v>
      </c>
      <c r="H76" s="391">
        <f t="shared" si="2"/>
        <v>141165.00164077096</v>
      </c>
      <c r="I76" s="324"/>
      <c r="J76" s="325"/>
      <c r="K76" s="325"/>
      <c r="L76" s="319"/>
      <c r="M76" s="320"/>
      <c r="N76" s="320"/>
      <c r="O76" s="320"/>
      <c r="P76" s="392">
        <f t="shared" si="8"/>
        <v>0</v>
      </c>
      <c r="Q76" s="392">
        <f t="shared" si="3"/>
        <v>0</v>
      </c>
      <c r="R76" s="392">
        <f t="shared" si="4"/>
        <v>0</v>
      </c>
      <c r="S76" s="373"/>
      <c r="T76" s="374"/>
      <c r="U76" s="524">
        <f t="shared" si="9"/>
        <v>0</v>
      </c>
      <c r="V76" s="520">
        <f t="shared" si="10"/>
        <v>0</v>
      </c>
      <c r="W76" s="524">
        <f t="shared" si="11"/>
        <v>0</v>
      </c>
      <c r="X76" s="520">
        <f t="shared" si="12"/>
        <v>0</v>
      </c>
      <c r="Y76" s="525">
        <f t="shared" si="13"/>
        <v>0</v>
      </c>
    </row>
    <row r="77" spans="3:38" x14ac:dyDescent="0.2">
      <c r="C77" s="387">
        <f t="shared" si="5"/>
        <v>41941</v>
      </c>
      <c r="D77" s="388">
        <f t="shared" si="6"/>
        <v>141164.09548387097</v>
      </c>
      <c r="E77" s="392">
        <f t="shared" si="7"/>
        <v>0</v>
      </c>
      <c r="F77" s="428">
        <f t="shared" si="0"/>
        <v>0.90615690000000004</v>
      </c>
      <c r="G77" s="390">
        <f t="shared" si="1"/>
        <v>0</v>
      </c>
      <c r="H77" s="391">
        <f t="shared" si="2"/>
        <v>141165.00164077096</v>
      </c>
      <c r="I77" s="324"/>
      <c r="J77" s="325"/>
      <c r="K77" s="325"/>
      <c r="L77" s="317"/>
      <c r="M77" s="318"/>
      <c r="N77" s="318"/>
      <c r="O77" s="318"/>
      <c r="P77" s="392">
        <f t="shared" si="8"/>
        <v>0</v>
      </c>
      <c r="Q77" s="392">
        <f t="shared" si="3"/>
        <v>0</v>
      </c>
      <c r="R77" s="392">
        <f t="shared" si="4"/>
        <v>0</v>
      </c>
      <c r="S77" s="373"/>
      <c r="T77" s="374"/>
      <c r="U77" s="524">
        <f t="shared" si="9"/>
        <v>0</v>
      </c>
      <c r="V77" s="520">
        <f t="shared" si="10"/>
        <v>0</v>
      </c>
      <c r="W77" s="524">
        <f t="shared" si="11"/>
        <v>0</v>
      </c>
      <c r="X77" s="520">
        <f t="shared" si="12"/>
        <v>0</v>
      </c>
      <c r="Y77" s="525">
        <f t="shared" si="13"/>
        <v>0</v>
      </c>
    </row>
    <row r="78" spans="3:38" x14ac:dyDescent="0.2">
      <c r="C78" s="387">
        <f t="shared" si="5"/>
        <v>41942</v>
      </c>
      <c r="D78" s="388">
        <f t="shared" si="6"/>
        <v>141164.09548387097</v>
      </c>
      <c r="E78" s="392">
        <f t="shared" si="7"/>
        <v>0</v>
      </c>
      <c r="F78" s="428">
        <f t="shared" si="0"/>
        <v>0.90615690000000004</v>
      </c>
      <c r="G78" s="390">
        <f t="shared" si="1"/>
        <v>0</v>
      </c>
      <c r="H78" s="391">
        <f t="shared" si="2"/>
        <v>141165.00164077096</v>
      </c>
      <c r="I78" s="324"/>
      <c r="J78" s="325"/>
      <c r="K78" s="325"/>
      <c r="L78" s="319"/>
      <c r="M78" s="320"/>
      <c r="N78" s="320"/>
      <c r="O78" s="320"/>
      <c r="P78" s="392">
        <f t="shared" si="8"/>
        <v>0</v>
      </c>
      <c r="Q78" s="392">
        <f t="shared" si="3"/>
        <v>0</v>
      </c>
      <c r="R78" s="392">
        <f t="shared" si="4"/>
        <v>0</v>
      </c>
      <c r="S78" s="373"/>
      <c r="T78" s="374"/>
      <c r="U78" s="524">
        <f t="shared" si="9"/>
        <v>0</v>
      </c>
      <c r="V78" s="520">
        <f t="shared" si="10"/>
        <v>0</v>
      </c>
      <c r="W78" s="524">
        <f t="shared" si="11"/>
        <v>0</v>
      </c>
      <c r="X78" s="520">
        <f t="shared" si="12"/>
        <v>0</v>
      </c>
      <c r="Y78" s="525">
        <f t="shared" si="13"/>
        <v>0</v>
      </c>
    </row>
    <row r="79" spans="3:38" ht="15" thickBot="1" x14ac:dyDescent="0.25">
      <c r="C79" s="393">
        <f t="shared" si="5"/>
        <v>41943</v>
      </c>
      <c r="D79" s="394">
        <f t="shared" si="6"/>
        <v>141164.09548387097</v>
      </c>
      <c r="E79" s="395">
        <f t="shared" si="7"/>
        <v>0</v>
      </c>
      <c r="F79" s="429">
        <f t="shared" si="0"/>
        <v>0.90615690000000004</v>
      </c>
      <c r="G79" s="396">
        <f t="shared" si="1"/>
        <v>0</v>
      </c>
      <c r="H79" s="397">
        <f t="shared" si="2"/>
        <v>141165.00164077096</v>
      </c>
      <c r="I79" s="326"/>
      <c r="J79" s="327"/>
      <c r="K79" s="327"/>
      <c r="L79" s="321"/>
      <c r="M79" s="322"/>
      <c r="N79" s="322"/>
      <c r="O79" s="322"/>
      <c r="P79" s="395">
        <f t="shared" si="8"/>
        <v>0</v>
      </c>
      <c r="Q79" s="395">
        <f t="shared" si="3"/>
        <v>0</v>
      </c>
      <c r="R79" s="395">
        <f t="shared" si="4"/>
        <v>0</v>
      </c>
      <c r="S79" s="375"/>
      <c r="T79" s="376"/>
      <c r="U79" s="521">
        <f t="shared" si="9"/>
        <v>0</v>
      </c>
      <c r="V79" s="528">
        <f t="shared" si="10"/>
        <v>0</v>
      </c>
      <c r="W79" s="521">
        <f t="shared" si="11"/>
        <v>0</v>
      </c>
      <c r="X79" s="528">
        <f t="shared" si="12"/>
        <v>0</v>
      </c>
      <c r="Y79" s="529">
        <f t="shared" si="13"/>
        <v>0</v>
      </c>
    </row>
    <row r="80" spans="3:38" ht="15" thickBot="1" x14ac:dyDescent="0.25">
      <c r="C80" s="398"/>
      <c r="D80" s="399">
        <f>SUM(D49:D79)</f>
        <v>4376086.9600000028</v>
      </c>
      <c r="E80" s="400">
        <f>SUM(E49:E79)</f>
        <v>0</v>
      </c>
      <c r="F80" s="400"/>
      <c r="G80" s="401">
        <f>SUM(G49:G79)</f>
        <v>0</v>
      </c>
      <c r="H80" s="399">
        <f>SUM(H49:H79)</f>
        <v>4376115.0508639012</v>
      </c>
      <c r="I80" s="432">
        <f>SUM(I49:I79)</f>
        <v>0</v>
      </c>
      <c r="J80" s="432">
        <f t="shared" ref="J80:R80" si="14">SUM(J49:J79)</f>
        <v>0</v>
      </c>
      <c r="K80" s="432">
        <f t="shared" si="14"/>
        <v>0</v>
      </c>
      <c r="L80" s="432">
        <f t="shared" si="14"/>
        <v>0</v>
      </c>
      <c r="M80" s="432">
        <f t="shared" si="14"/>
        <v>0</v>
      </c>
      <c r="N80" s="432">
        <f t="shared" si="14"/>
        <v>0</v>
      </c>
      <c r="O80" s="432">
        <f t="shared" si="14"/>
        <v>0</v>
      </c>
      <c r="P80" s="432">
        <f t="shared" si="14"/>
        <v>0</v>
      </c>
      <c r="Q80" s="432">
        <f t="shared" si="14"/>
        <v>0</v>
      </c>
      <c r="R80" s="432">
        <f t="shared" si="14"/>
        <v>0</v>
      </c>
      <c r="U80" s="530"/>
      <c r="V80" s="328">
        <f>SUM(V49:V79)</f>
        <v>0</v>
      </c>
      <c r="W80" s="328">
        <f>SUM(W49:W79)</f>
        <v>0</v>
      </c>
      <c r="X80" s="328">
        <f>SUM(X49:X79)</f>
        <v>0</v>
      </c>
      <c r="Y80" s="323">
        <f>Y79</f>
        <v>0</v>
      </c>
      <c r="AL80" s="361">
        <f>Y79</f>
        <v>0</v>
      </c>
    </row>
    <row r="81" spans="2:14" ht="15" customHeight="1" x14ac:dyDescent="0.2">
      <c r="B81"/>
      <c r="C81"/>
      <c r="D81"/>
      <c r="E81"/>
      <c r="F81"/>
      <c r="G81"/>
      <c r="H81"/>
      <c r="I81"/>
      <c r="J81"/>
      <c r="K81"/>
      <c r="L81"/>
      <c r="N81" s="2"/>
    </row>
  </sheetData>
  <mergeCells count="12">
    <mergeCell ref="C10:D10"/>
    <mergeCell ref="C11:D11"/>
    <mergeCell ref="C3:M4"/>
    <mergeCell ref="C5:M5"/>
    <mergeCell ref="C6:M6"/>
    <mergeCell ref="G7:H7"/>
    <mergeCell ref="C9:D9"/>
    <mergeCell ref="D23:E23"/>
    <mergeCell ref="D24:E24"/>
    <mergeCell ref="C28:F28"/>
    <mergeCell ref="C39:F39"/>
    <mergeCell ref="S47:Y47"/>
  </mergeCells>
  <conditionalFormatting sqref="L49:O79">
    <cfRule type="cellIs" dxfId="156" priority="1" stopIfTrue="1" operator="equal">
      <formula>0</formula>
    </cfRule>
  </conditionalFormatting>
  <pageMargins left="0.7" right="0.7" top="0.75" bottom="0.75" header="0.3" footer="0.3"/>
  <pageSetup orientation="portrait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L81"/>
  <sheetViews>
    <sheetView workbookViewId="0"/>
  </sheetViews>
  <sheetFormatPr baseColWidth="10" defaultColWidth="11" defaultRowHeight="14.25" x14ac:dyDescent="0.2"/>
  <cols>
    <col min="1" max="1" width="11" style="2"/>
    <col min="2" max="2" width="3.875" style="2" bestFit="1" customWidth="1"/>
    <col min="3" max="3" width="16.125" style="2" customWidth="1"/>
    <col min="4" max="4" width="12.375" style="2" bestFit="1" customWidth="1"/>
    <col min="5" max="5" width="10.875" style="2" bestFit="1" customWidth="1"/>
    <col min="6" max="6" width="17.125" style="2" bestFit="1" customWidth="1"/>
    <col min="7" max="7" width="13.125" style="2" bestFit="1" customWidth="1"/>
    <col min="8" max="8" width="12.125" style="2" bestFit="1" customWidth="1"/>
    <col min="9" max="9" width="11.125" style="2" bestFit="1" customWidth="1"/>
    <col min="10" max="10" width="11.875" style="2" bestFit="1" customWidth="1"/>
    <col min="11" max="11" width="11.625" style="2" bestFit="1" customWidth="1"/>
    <col min="12" max="12" width="12.125" style="2" customWidth="1"/>
    <col min="13" max="13" width="10.5" style="2" bestFit="1" customWidth="1"/>
    <col min="14" max="14" width="9" style="1" customWidth="1"/>
    <col min="15" max="15" width="10.375" style="2" customWidth="1"/>
    <col min="16" max="25" width="11" style="2"/>
    <col min="26" max="31" width="10.875" customWidth="1"/>
    <col min="32" max="16384" width="11" style="2"/>
  </cols>
  <sheetData>
    <row r="2" spans="2:25" x14ac:dyDescent="0.2"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2:25" ht="15" customHeight="1" x14ac:dyDescent="0.2">
      <c r="B3" s="1"/>
      <c r="C3" s="2254" t="s">
        <v>0</v>
      </c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</row>
    <row r="4" spans="2:25" ht="15" customHeight="1" x14ac:dyDescent="0.2"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</row>
    <row r="5" spans="2:25" x14ac:dyDescent="0.2">
      <c r="B5" s="1"/>
      <c r="C5" s="2257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</row>
    <row r="6" spans="2:25" x14ac:dyDescent="0.2">
      <c r="B6" s="1"/>
      <c r="C6" s="2257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</row>
    <row r="7" spans="2:25" x14ac:dyDescent="0.2">
      <c r="B7" s="1"/>
      <c r="C7" s="516"/>
      <c r="D7" s="516"/>
      <c r="E7" s="516"/>
      <c r="F7" s="516"/>
      <c r="G7" s="2271">
        <v>41944</v>
      </c>
      <c r="H7" s="2257"/>
      <c r="I7" s="516"/>
      <c r="J7" s="516"/>
      <c r="K7" s="516"/>
      <c r="L7" s="516"/>
      <c r="M7" s="516"/>
      <c r="N7" s="18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2:25" x14ac:dyDescent="0.2">
      <c r="B8" s="1"/>
      <c r="C8" s="516"/>
      <c r="D8" s="516"/>
      <c r="E8" s="516"/>
      <c r="F8" s="516"/>
      <c r="G8" s="516"/>
      <c r="H8" s="516"/>
      <c r="I8" s="516"/>
      <c r="J8" s="516"/>
      <c r="K8" s="516"/>
      <c r="L8" s="516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2:25" ht="25.5" x14ac:dyDescent="0.2">
      <c r="B9" s="1"/>
      <c r="C9" s="2272" t="s">
        <v>6</v>
      </c>
      <c r="D9" s="2272"/>
      <c r="E9" s="517" t="s">
        <v>94</v>
      </c>
      <c r="F9" s="517" t="s">
        <v>126</v>
      </c>
      <c r="G9" s="410" t="s">
        <v>133</v>
      </c>
      <c r="H9" s="517" t="s">
        <v>127</v>
      </c>
      <c r="I9" s="517" t="s">
        <v>128</v>
      </c>
      <c r="J9" s="516"/>
      <c r="K9" s="516"/>
      <c r="L9" s="516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2:25" x14ac:dyDescent="0.2">
      <c r="B10" s="1"/>
      <c r="C10" s="2270" t="s">
        <v>131</v>
      </c>
      <c r="D10" s="2270"/>
      <c r="E10" s="433">
        <f>IF(C15=0,D15,C15)</f>
        <v>4627948.08</v>
      </c>
      <c r="F10" s="407">
        <f>E10*0.16</f>
        <v>740471.69280000008</v>
      </c>
      <c r="G10" s="407">
        <f>E10+F10</f>
        <v>5368419.7728000004</v>
      </c>
      <c r="H10" s="408"/>
      <c r="I10" s="411">
        <v>19</v>
      </c>
      <c r="J10" s="516"/>
      <c r="K10" s="516"/>
      <c r="L10" s="516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2:25" x14ac:dyDescent="0.2">
      <c r="B11" s="1"/>
      <c r="C11" s="2270" t="s">
        <v>132</v>
      </c>
      <c r="D11" s="2270"/>
      <c r="E11" s="433">
        <f>IF(C16=0,D16,C16)</f>
        <v>2047.42</v>
      </c>
      <c r="F11" s="407">
        <f>E11*0.16</f>
        <v>327.5872</v>
      </c>
      <c r="G11" s="407">
        <f>E11+F11</f>
        <v>2375.0072</v>
      </c>
      <c r="H11" s="408"/>
      <c r="I11" s="411">
        <v>19</v>
      </c>
      <c r="J11" s="516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2:25" x14ac:dyDescent="0.2">
      <c r="B12" s="1"/>
      <c r="C12" s="516"/>
      <c r="D12" s="516"/>
      <c r="E12" s="516"/>
      <c r="F12" s="516"/>
      <c r="G12" s="516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2:25" ht="15" thickBot="1" x14ac:dyDescent="0.25">
      <c r="B13" s="1"/>
      <c r="C13" s="516"/>
      <c r="D13" s="516"/>
      <c r="E13" s="516"/>
      <c r="F13" s="516"/>
      <c r="G13" s="516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2:25" x14ac:dyDescent="0.2">
      <c r="B14" s="1"/>
      <c r="C14" s="440" t="s">
        <v>155</v>
      </c>
      <c r="D14" s="441" t="s">
        <v>156</v>
      </c>
      <c r="E14" s="442" t="s">
        <v>112</v>
      </c>
      <c r="F14" s="516"/>
      <c r="G14" s="516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2:25" x14ac:dyDescent="0.2">
      <c r="B15" s="1"/>
      <c r="C15" s="443">
        <v>4627948.08</v>
      </c>
      <c r="D15" s="444">
        <f>D80</f>
        <v>4521956.5253333319</v>
      </c>
      <c r="E15" s="445">
        <f>C15-D15</f>
        <v>105991.55466666818</v>
      </c>
      <c r="F15" s="516"/>
      <c r="G15" s="516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2:25" ht="15" thickBot="1" x14ac:dyDescent="0.25">
      <c r="B16" s="1"/>
      <c r="C16" s="446">
        <v>2047.42</v>
      </c>
      <c r="D16" s="447">
        <f>ROUND(G80,2)</f>
        <v>0</v>
      </c>
      <c r="E16" s="448">
        <f>C16-D16</f>
        <v>2047.42</v>
      </c>
      <c r="F16" s="516"/>
      <c r="G16" s="516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2:25" x14ac:dyDescent="0.2">
      <c r="B17" s="1"/>
      <c r="C17" s="516"/>
      <c r="D17" s="516"/>
      <c r="E17" s="516"/>
      <c r="F17" s="516"/>
      <c r="G17" s="516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2:25" x14ac:dyDescent="0.2">
      <c r="B18" s="1"/>
      <c r="C18" s="516"/>
      <c r="D18" s="516"/>
      <c r="E18" s="516"/>
      <c r="F18" s="516"/>
      <c r="G18" s="516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2:25" x14ac:dyDescent="0.2">
      <c r="B19" s="1"/>
      <c r="C19" s="516"/>
      <c r="D19" s="516"/>
      <c r="E19" s="516"/>
      <c r="F19" s="516"/>
      <c r="G19" s="516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2:25" x14ac:dyDescent="0.2">
      <c r="B20" s="1"/>
      <c r="C20" s="516"/>
      <c r="D20" s="516"/>
      <c r="E20" s="516"/>
      <c r="F20" s="516"/>
      <c r="G20" s="516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2:25" x14ac:dyDescent="0.2">
      <c r="B21" s="1"/>
      <c r="C21" s="516"/>
      <c r="D21" s="516"/>
      <c r="E21" s="516"/>
      <c r="F21" s="516"/>
      <c r="G21" s="516"/>
      <c r="H21" s="1"/>
      <c r="I21" s="1"/>
      <c r="J21" s="1"/>
      <c r="K21" s="1"/>
      <c r="L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2:25" ht="15" thickBot="1" x14ac:dyDescent="0.25">
      <c r="B22" s="1"/>
      <c r="C22" s="419" t="s">
        <v>137</v>
      </c>
      <c r="D22" s="516" t="s">
        <v>138</v>
      </c>
      <c r="E22" s="516"/>
      <c r="F22" s="516" t="s">
        <v>139</v>
      </c>
      <c r="G22" s="516" t="s">
        <v>157</v>
      </c>
      <c r="H22" s="516" t="s">
        <v>143</v>
      </c>
      <c r="I22" s="516" t="s">
        <v>142</v>
      </c>
      <c r="J22" s="516" t="s">
        <v>141</v>
      </c>
      <c r="K22" s="516" t="s">
        <v>140</v>
      </c>
      <c r="L22" s="516" t="s">
        <v>144</v>
      </c>
      <c r="M22" s="516" t="s">
        <v>146</v>
      </c>
      <c r="N22" s="516"/>
      <c r="O22" s="516"/>
      <c r="P22" s="516"/>
      <c r="Q22" s="1"/>
      <c r="R22" s="1"/>
      <c r="S22" s="1"/>
      <c r="T22" s="1"/>
      <c r="U22" s="1"/>
      <c r="V22" s="1"/>
      <c r="W22" s="1"/>
      <c r="X22" s="1"/>
      <c r="Y22" s="1"/>
    </row>
    <row r="23" spans="2:25" ht="36.75" customHeight="1" x14ac:dyDescent="0.2">
      <c r="B23" s="1"/>
      <c r="C23" s="402" t="s">
        <v>134</v>
      </c>
      <c r="D23" s="2261" t="s">
        <v>135</v>
      </c>
      <c r="E23" s="2262"/>
      <c r="F23" s="518" t="s">
        <v>136</v>
      </c>
      <c r="G23" s="461" t="s">
        <v>153</v>
      </c>
      <c r="H23" s="420" t="s">
        <v>129</v>
      </c>
      <c r="I23" s="403" t="s">
        <v>130</v>
      </c>
      <c r="J23" s="422"/>
      <c r="K23" s="422"/>
      <c r="L23" s="422"/>
      <c r="M23" s="404" t="s">
        <v>158</v>
      </c>
      <c r="N23" s="516"/>
      <c r="O23" s="516"/>
      <c r="P23" s="516"/>
      <c r="Q23" s="516"/>
      <c r="R23" s="516"/>
      <c r="S23" s="516"/>
      <c r="T23" s="516"/>
      <c r="U23" s="1"/>
      <c r="V23" s="1"/>
      <c r="W23" s="1"/>
      <c r="X23" s="1"/>
      <c r="Y23" s="1"/>
    </row>
    <row r="24" spans="2:25" x14ac:dyDescent="0.2">
      <c r="B24" s="1"/>
      <c r="C24" s="405">
        <v>850</v>
      </c>
      <c r="D24" s="2263">
        <v>850</v>
      </c>
      <c r="E24" s="2264"/>
      <c r="F24" s="418">
        <v>31482640</v>
      </c>
      <c r="G24" s="462">
        <v>30</v>
      </c>
      <c r="H24" s="460">
        <f>VLOOKUP(C47,Tarifas!D4:H303,3)</f>
        <v>0.13900000000000001</v>
      </c>
      <c r="I24" s="424">
        <f>VLOOKUP(C47,Tarifas!D4:H303,5)</f>
        <v>1E-3</v>
      </c>
      <c r="J24" s="421">
        <v>182.5</v>
      </c>
      <c r="K24" s="421">
        <v>201.4</v>
      </c>
      <c r="L24" s="421">
        <f>I11</f>
        <v>19</v>
      </c>
      <c r="M24" s="431">
        <f>E80</f>
        <v>0</v>
      </c>
      <c r="N24" s="430" t="s">
        <v>62</v>
      </c>
      <c r="O24" s="516"/>
      <c r="P24" s="516"/>
      <c r="Q24" s="516"/>
      <c r="R24" s="516"/>
      <c r="S24" s="516"/>
      <c r="T24" s="516"/>
      <c r="U24" s="1"/>
      <c r="V24" s="1"/>
      <c r="W24" s="1"/>
      <c r="X24" s="1"/>
      <c r="Y24" s="1"/>
    </row>
    <row r="25" spans="2:25" x14ac:dyDescent="0.2">
      <c r="B25" s="1"/>
      <c r="C25" s="516"/>
      <c r="D25" s="516"/>
      <c r="E25" s="516"/>
      <c r="F25" s="516"/>
      <c r="G25" s="516"/>
      <c r="H25" s="516"/>
      <c r="I25" s="516"/>
      <c r="J25" s="516"/>
      <c r="K25" s="516"/>
      <c r="L25" s="516"/>
      <c r="M25" s="516"/>
      <c r="N25" s="516"/>
      <c r="O25" s="516"/>
      <c r="P25" s="516"/>
      <c r="Q25" s="516"/>
      <c r="R25" s="516"/>
      <c r="S25" s="1"/>
      <c r="T25" s="1"/>
      <c r="U25" s="1"/>
      <c r="V25" s="1"/>
      <c r="W25" s="1"/>
      <c r="X25" s="1"/>
      <c r="Y25" s="1"/>
    </row>
    <row r="26" spans="2:25" x14ac:dyDescent="0.2">
      <c r="B26" s="1"/>
      <c r="C26" s="516"/>
      <c r="D26" s="516"/>
      <c r="E26" s="516"/>
      <c r="F26" s="516"/>
      <c r="G26" s="516"/>
      <c r="H26" s="516"/>
      <c r="I26" s="516"/>
      <c r="J26" s="516"/>
      <c r="K26" s="516"/>
      <c r="L26" s="516"/>
      <c r="M26" s="516"/>
      <c r="N26" s="516"/>
      <c r="O26" s="516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2:25" x14ac:dyDescent="0.2">
      <c r="B27" s="1"/>
      <c r="C27" s="516"/>
      <c r="D27" s="516"/>
      <c r="E27" s="516"/>
      <c r="F27" s="516"/>
      <c r="G27" s="516"/>
      <c r="H27" s="516"/>
      <c r="I27" s="516"/>
      <c r="J27" s="516"/>
      <c r="K27" s="516"/>
      <c r="L27" s="516"/>
      <c r="M27" s="516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2:25" ht="15" thickBot="1" x14ac:dyDescent="0.25">
      <c r="B28" s="1"/>
      <c r="C28" s="2265" t="s">
        <v>86</v>
      </c>
      <c r="D28" s="2265"/>
      <c r="E28" s="2265"/>
      <c r="F28" s="2265"/>
      <c r="G28" s="519"/>
      <c r="H28" s="334"/>
      <c r="I28" s="334"/>
      <c r="J28" s="334"/>
      <c r="K28" s="519"/>
      <c r="L28" s="336"/>
      <c r="M28" s="336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2:25" ht="22.5" x14ac:dyDescent="0.2">
      <c r="B29" s="1"/>
      <c r="C29" s="337" t="s">
        <v>87</v>
      </c>
      <c r="D29" s="514" t="s">
        <v>88</v>
      </c>
      <c r="E29" s="514" t="s">
        <v>89</v>
      </c>
      <c r="F29" s="514" t="s">
        <v>20</v>
      </c>
      <c r="G29" s="514" t="s">
        <v>160</v>
      </c>
      <c r="H29" s="514" t="s">
        <v>90</v>
      </c>
      <c r="I29" s="514" t="s">
        <v>91</v>
      </c>
      <c r="J29" s="514" t="s">
        <v>92</v>
      </c>
      <c r="K29" s="514" t="s">
        <v>93</v>
      </c>
      <c r="L29" s="514" t="s">
        <v>94</v>
      </c>
      <c r="M29" s="515" t="s">
        <v>95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2:25" x14ac:dyDescent="0.2">
      <c r="B30" s="1"/>
      <c r="C30" s="338"/>
      <c r="D30" s="339">
        <v>1</v>
      </c>
      <c r="E30" s="339" t="s">
        <v>96</v>
      </c>
      <c r="F30" s="340" t="s">
        <v>97</v>
      </c>
      <c r="G30" s="340">
        <v>2201</v>
      </c>
      <c r="H30" s="339">
        <v>20823</v>
      </c>
      <c r="I30" s="341">
        <v>40000</v>
      </c>
      <c r="J30" s="339">
        <v>138.15</v>
      </c>
      <c r="K30" s="342">
        <f>I30/I$35</f>
        <v>4.7058823529411764E-2</v>
      </c>
      <c r="L30" s="343">
        <f>ROUND(K30*E$10,2)</f>
        <v>217785.79</v>
      </c>
      <c r="M30" s="344">
        <f>L30*$I$10</f>
        <v>4137930.0100000002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2:25" x14ac:dyDescent="0.2">
      <c r="B31" s="1"/>
      <c r="C31" s="338"/>
      <c r="D31" s="339">
        <v>2</v>
      </c>
      <c r="E31" s="339" t="s">
        <v>98</v>
      </c>
      <c r="F31" s="340" t="s">
        <v>97</v>
      </c>
      <c r="G31" s="340">
        <v>2201</v>
      </c>
      <c r="H31" s="339">
        <v>20824</v>
      </c>
      <c r="I31" s="341">
        <v>40000</v>
      </c>
      <c r="J31" s="339">
        <v>138.15</v>
      </c>
      <c r="K31" s="342">
        <f>I31/I$35</f>
        <v>4.7058823529411764E-2</v>
      </c>
      <c r="L31" s="343">
        <f>ROUND(K31*E$10,2)</f>
        <v>217785.79</v>
      </c>
      <c r="M31" s="344">
        <f>L31*$I$10</f>
        <v>4137930.0100000002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2:25" x14ac:dyDescent="0.2">
      <c r="B32" s="1"/>
      <c r="C32" s="338"/>
      <c r="D32" s="339">
        <v>1</v>
      </c>
      <c r="E32" s="339" t="s">
        <v>99</v>
      </c>
      <c r="F32" s="340" t="s">
        <v>100</v>
      </c>
      <c r="G32" s="340">
        <v>2230</v>
      </c>
      <c r="H32" s="339">
        <v>22228</v>
      </c>
      <c r="I32" s="341">
        <v>32000</v>
      </c>
      <c r="J32" s="339">
        <v>130.80000000000001</v>
      </c>
      <c r="K32" s="342">
        <f>I32/I$35</f>
        <v>3.7647058823529408E-2</v>
      </c>
      <c r="L32" s="343">
        <f>ROUND(K32*E$10,2)</f>
        <v>174228.63</v>
      </c>
      <c r="M32" s="344">
        <f>L32*$I$10</f>
        <v>3310343.97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2:25" x14ac:dyDescent="0.2">
      <c r="B33" s="1"/>
      <c r="C33" s="338">
        <v>800762390</v>
      </c>
      <c r="D33" s="339">
        <v>1</v>
      </c>
      <c r="E33" s="354" t="s">
        <v>101</v>
      </c>
      <c r="F33" s="463" t="s">
        <v>23</v>
      </c>
      <c r="G33" s="463">
        <v>2044</v>
      </c>
      <c r="H33" s="354">
        <v>591000420</v>
      </c>
      <c r="I33" s="341">
        <v>80000</v>
      </c>
      <c r="J33" s="339"/>
      <c r="K33" s="342">
        <f>I33/I$35</f>
        <v>9.4117647058823528E-2</v>
      </c>
      <c r="L33" s="343">
        <f>ROUND(K33*E$10,2)</f>
        <v>435571.58</v>
      </c>
      <c r="M33" s="344">
        <f>L33*$I$10</f>
        <v>8275860.0200000005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2:25" ht="15" thickBot="1" x14ac:dyDescent="0.25">
      <c r="B34" s="1"/>
      <c r="C34" s="345">
        <v>800642440</v>
      </c>
      <c r="D34" s="346">
        <v>5</v>
      </c>
      <c r="E34" s="347" t="s">
        <v>101</v>
      </c>
      <c r="F34" s="348" t="s">
        <v>159</v>
      </c>
      <c r="G34" s="348">
        <v>2277</v>
      </c>
      <c r="H34" s="347">
        <v>22770</v>
      </c>
      <c r="I34" s="349">
        <f>850000-I30-I31-I32-I33</f>
        <v>658000</v>
      </c>
      <c r="J34" s="346"/>
      <c r="K34" s="350">
        <f>I34/I$35</f>
        <v>0.77411764705882358</v>
      </c>
      <c r="L34" s="351">
        <f>ROUND(K34*E$10,2)</f>
        <v>3582576.28</v>
      </c>
      <c r="M34" s="352">
        <f>L34*$I$10</f>
        <v>68068949.319999993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2:25" x14ac:dyDescent="0.2">
      <c r="B35" s="1"/>
      <c r="C35" s="406">
        <v>3000623</v>
      </c>
      <c r="D35" s="353" t="s">
        <v>102</v>
      </c>
      <c r="E35" s="353"/>
      <c r="F35" s="353"/>
      <c r="G35" s="353"/>
      <c r="H35" s="354"/>
      <c r="I35" s="355">
        <f>SUM(I30:I34)</f>
        <v>850000</v>
      </c>
      <c r="J35" s="353"/>
      <c r="K35" s="356">
        <f>SUM(K30:K34)</f>
        <v>1</v>
      </c>
      <c r="L35" s="357">
        <f>SUM(L30:L34)</f>
        <v>4627948.07</v>
      </c>
      <c r="M35" s="357">
        <f>SUM(M30:M34)</f>
        <v>87931013.329999998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2:25" x14ac:dyDescent="0.2">
      <c r="B36" s="1"/>
      <c r="C36" s="336"/>
      <c r="D36" s="336"/>
      <c r="E36" s="336"/>
      <c r="F36" s="358"/>
      <c r="G36" s="358"/>
      <c r="H36" s="336"/>
      <c r="I36" s="336"/>
      <c r="J36" s="336"/>
      <c r="K36" s="336"/>
      <c r="L36" s="359"/>
      <c r="M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2:25" x14ac:dyDescent="0.2">
      <c r="B37" s="1"/>
      <c r="C37" s="336"/>
      <c r="D37" s="336"/>
      <c r="E37" s="336"/>
      <c r="F37" s="358"/>
      <c r="G37" s="358"/>
      <c r="H37" s="336"/>
      <c r="I37" s="336"/>
      <c r="J37" s="336"/>
      <c r="K37" s="336"/>
      <c r="L37" s="359"/>
      <c r="M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2:25" x14ac:dyDescent="0.2">
      <c r="B38" s="1"/>
      <c r="C38" s="336"/>
      <c r="D38" s="336"/>
      <c r="E38" s="336"/>
      <c r="F38" s="358"/>
      <c r="G38" s="358"/>
      <c r="H38" s="336"/>
      <c r="I38" s="336"/>
      <c r="J38" s="336"/>
      <c r="K38" s="336"/>
      <c r="L38" s="359"/>
      <c r="M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2:25" ht="15" thickBot="1" x14ac:dyDescent="0.25">
      <c r="B39" s="1"/>
      <c r="C39" s="2266" t="s">
        <v>103</v>
      </c>
      <c r="D39" s="2266"/>
      <c r="E39" s="2266"/>
      <c r="F39" s="2266"/>
      <c r="G39" s="519"/>
      <c r="H39" s="334"/>
      <c r="I39" s="334"/>
      <c r="J39" s="334"/>
      <c r="K39" s="336"/>
      <c r="L39" s="336"/>
      <c r="M39" s="360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2:25" ht="22.5" x14ac:dyDescent="0.2">
      <c r="B40" s="1"/>
      <c r="C40" s="337" t="s">
        <v>87</v>
      </c>
      <c r="D40" s="514" t="s">
        <v>88</v>
      </c>
      <c r="E40" s="514" t="s">
        <v>89</v>
      </c>
      <c r="F40" s="514" t="s">
        <v>20</v>
      </c>
      <c r="G40" s="514"/>
      <c r="H40" s="514" t="s">
        <v>90</v>
      </c>
      <c r="I40" s="514" t="s">
        <v>104</v>
      </c>
      <c r="J40" s="514" t="s">
        <v>93</v>
      </c>
      <c r="K40" s="514" t="s">
        <v>92</v>
      </c>
      <c r="L40" s="514" t="s">
        <v>94</v>
      </c>
      <c r="M40" s="515" t="s">
        <v>95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2:25" x14ac:dyDescent="0.2">
      <c r="B41" s="1"/>
      <c r="C41" s="338"/>
      <c r="D41" s="339">
        <v>1</v>
      </c>
      <c r="E41" s="339" t="s">
        <v>96</v>
      </c>
      <c r="F41" s="340" t="s">
        <v>97</v>
      </c>
      <c r="G41" s="340"/>
      <c r="H41" s="339">
        <v>20823</v>
      </c>
      <c r="I41" s="341">
        <f>M80</f>
        <v>0</v>
      </c>
      <c r="J41" s="342" t="e">
        <f>I41/I$45</f>
        <v>#DIV/0!</v>
      </c>
      <c r="K41" s="339">
        <v>138.15</v>
      </c>
      <c r="L41" s="343" t="e">
        <f>ROUND(J41*$E$11,2)</f>
        <v>#DIV/0!</v>
      </c>
      <c r="M41" s="344" t="e">
        <f>L41*L24</f>
        <v>#DIV/0!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2:25" x14ac:dyDescent="0.2">
      <c r="B42" s="1"/>
      <c r="C42" s="338"/>
      <c r="D42" s="339">
        <v>2</v>
      </c>
      <c r="E42" s="339" t="s">
        <v>98</v>
      </c>
      <c r="F42" s="340" t="s">
        <v>97</v>
      </c>
      <c r="G42" s="340"/>
      <c r="H42" s="339">
        <v>20824</v>
      </c>
      <c r="I42" s="341">
        <f>N80</f>
        <v>0</v>
      </c>
      <c r="J42" s="342" t="e">
        <f>I42/I$45</f>
        <v>#DIV/0!</v>
      </c>
      <c r="K42" s="339">
        <v>138.15</v>
      </c>
      <c r="L42" s="343" t="e">
        <f>ROUND(J42*$E$11,2)</f>
        <v>#DIV/0!</v>
      </c>
      <c r="M42" s="344" t="e">
        <f>L42*L25</f>
        <v>#DIV/0!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2:25" x14ac:dyDescent="0.2">
      <c r="B43" s="1"/>
      <c r="C43" s="338"/>
      <c r="D43" s="339">
        <v>1</v>
      </c>
      <c r="E43" s="339" t="s">
        <v>99</v>
      </c>
      <c r="F43" s="340" t="s">
        <v>100</v>
      </c>
      <c r="G43" s="340"/>
      <c r="H43" s="339">
        <v>22228</v>
      </c>
      <c r="I43" s="341">
        <f>O80</f>
        <v>0</v>
      </c>
      <c r="J43" s="342" t="e">
        <f>I43/I$45</f>
        <v>#DIV/0!</v>
      </c>
      <c r="K43" s="339">
        <v>130.80000000000001</v>
      </c>
      <c r="L43" s="343" t="e">
        <f>ROUND(J43*$E$11,2)</f>
        <v>#DIV/0!</v>
      </c>
      <c r="M43" s="344" t="e">
        <f>L43*L26</f>
        <v>#DIV/0!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2:25" ht="15" thickBot="1" x14ac:dyDescent="0.25">
      <c r="B44" s="1"/>
      <c r="C44" s="345">
        <v>800762390</v>
      </c>
      <c r="D44" s="346">
        <v>2</v>
      </c>
      <c r="E44" s="347" t="s">
        <v>101</v>
      </c>
      <c r="F44" s="348" t="s">
        <v>23</v>
      </c>
      <c r="G44" s="348"/>
      <c r="H44" s="347"/>
      <c r="I44" s="349">
        <f>L80</f>
        <v>0</v>
      </c>
      <c r="J44" s="350" t="e">
        <f>I44/I$45</f>
        <v>#DIV/0!</v>
      </c>
      <c r="K44" s="346">
        <v>138.15</v>
      </c>
      <c r="L44" s="351" t="e">
        <f>ROUND(J44*$E$11,2)</f>
        <v>#DIV/0!</v>
      </c>
      <c r="M44" s="352" t="e">
        <f>L44*L27</f>
        <v>#DIV/0!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2:25" x14ac:dyDescent="0.2">
      <c r="B45" s="1"/>
      <c r="C45" s="353"/>
      <c r="D45" s="353"/>
      <c r="E45" s="353"/>
      <c r="F45" s="353"/>
      <c r="G45" s="353"/>
      <c r="H45" s="354"/>
      <c r="I45" s="449">
        <f>SUM(I41:I44)</f>
        <v>0</v>
      </c>
      <c r="J45" s="355"/>
      <c r="K45" s="353"/>
      <c r="L45" s="357" t="e">
        <f>SUM(L41:L44)</f>
        <v>#DIV/0!</v>
      </c>
      <c r="M45" s="357" t="e">
        <f>SUM(M41:M44)</f>
        <v>#DIV/0!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2:25" customFormat="1" ht="15" thickBot="1" x14ac:dyDescent="0.25">
      <c r="M46" s="450"/>
      <c r="N46" s="450"/>
      <c r="O46" s="450"/>
      <c r="P46" s="450"/>
      <c r="Q46" s="450"/>
      <c r="R46" s="450"/>
      <c r="S46" s="450"/>
      <c r="T46" s="450"/>
      <c r="U46" s="450"/>
      <c r="V46" s="450"/>
      <c r="W46" s="450"/>
      <c r="X46" s="450"/>
      <c r="Y46" s="450"/>
    </row>
    <row r="47" spans="2:25" ht="15" thickBot="1" x14ac:dyDescent="0.25">
      <c r="B47" s="434" t="s">
        <v>3</v>
      </c>
      <c r="C47" s="333">
        <f>SUMIF(Tarifas!E4:E303,'Noviembre - 2014'!C49,Tarifas!D4:D303)</f>
        <v>16</v>
      </c>
      <c r="D47" s="425" t="s">
        <v>147</v>
      </c>
      <c r="E47" s="426" t="s">
        <v>145</v>
      </c>
      <c r="F47" s="426" t="s">
        <v>150</v>
      </c>
      <c r="G47" s="426" t="s">
        <v>148</v>
      </c>
      <c r="H47" s="382"/>
      <c r="I47" s="331" t="s">
        <v>120</v>
      </c>
      <c r="J47" s="332"/>
      <c r="K47" s="332"/>
      <c r="L47" s="364" t="s">
        <v>105</v>
      </c>
      <c r="M47" s="365"/>
      <c r="N47" s="365"/>
      <c r="O47" s="365"/>
      <c r="P47" s="365"/>
      <c r="Q47" s="365"/>
      <c r="R47" s="366"/>
      <c r="S47" s="2267" t="s">
        <v>121</v>
      </c>
      <c r="T47" s="2268"/>
      <c r="U47" s="2268"/>
      <c r="V47" s="2268"/>
      <c r="W47" s="2268"/>
      <c r="X47" s="2268"/>
      <c r="Y47" s="2269"/>
    </row>
    <row r="48" spans="2:25" ht="33.75" x14ac:dyDescent="0.2">
      <c r="C48" s="383" t="s">
        <v>122</v>
      </c>
      <c r="D48" s="384" t="s">
        <v>125</v>
      </c>
      <c r="E48" s="385" t="s">
        <v>149</v>
      </c>
      <c r="F48" s="385" t="s">
        <v>151</v>
      </c>
      <c r="G48" s="385" t="s">
        <v>152</v>
      </c>
      <c r="H48" s="386" t="s">
        <v>123</v>
      </c>
      <c r="I48" s="329" t="s">
        <v>109</v>
      </c>
      <c r="J48" s="330" t="s">
        <v>25</v>
      </c>
      <c r="K48" s="330" t="s">
        <v>26</v>
      </c>
      <c r="L48" s="367" t="s">
        <v>115</v>
      </c>
      <c r="M48" s="362" t="s">
        <v>106</v>
      </c>
      <c r="N48" s="362" t="s">
        <v>107</v>
      </c>
      <c r="O48" s="362" t="s">
        <v>108</v>
      </c>
      <c r="P48" s="362" t="s">
        <v>115</v>
      </c>
      <c r="Q48" s="363" t="s">
        <v>116</v>
      </c>
      <c r="R48" s="368" t="s">
        <v>117</v>
      </c>
      <c r="S48" s="369" t="s">
        <v>110</v>
      </c>
      <c r="T48" s="370" t="s">
        <v>111</v>
      </c>
      <c r="U48" s="370" t="s">
        <v>112</v>
      </c>
      <c r="V48" s="371" t="s">
        <v>118</v>
      </c>
      <c r="W48" s="371" t="s">
        <v>119</v>
      </c>
      <c r="X48" s="371" t="s">
        <v>114</v>
      </c>
      <c r="Y48" s="372" t="s">
        <v>113</v>
      </c>
    </row>
    <row r="49" spans="3:25" x14ac:dyDescent="0.2">
      <c r="C49" s="387">
        <f>G7</f>
        <v>41944</v>
      </c>
      <c r="D49" s="388">
        <f>($F$24*$H$24)/$G$24</f>
        <v>145869.56533333333</v>
      </c>
      <c r="E49" s="389">
        <f>P49+Q49+R49</f>
        <v>0</v>
      </c>
      <c r="F49" s="427">
        <f t="shared" ref="F49:F79" si="0">TRUNC(IFERROR(J$24/K$24,0),8)</f>
        <v>0.90615690000000004</v>
      </c>
      <c r="G49" s="390">
        <f t="shared" ref="G49:G79" si="1">ROUND(I$24*F49*E49,4)</f>
        <v>0</v>
      </c>
      <c r="H49" s="391">
        <f t="shared" ref="H49:H79" si="2">SUM(D49:G49)</f>
        <v>145870.47149023332</v>
      </c>
      <c r="I49" s="324"/>
      <c r="J49" s="325"/>
      <c r="K49" s="325"/>
      <c r="L49" s="317"/>
      <c r="M49" s="318"/>
      <c r="N49" s="318"/>
      <c r="O49" s="318"/>
      <c r="P49" s="389">
        <f>L49</f>
        <v>0</v>
      </c>
      <c r="Q49" s="389">
        <f t="shared" ref="Q49:Q79" si="3">M49+N49</f>
        <v>0</v>
      </c>
      <c r="R49" s="389">
        <f t="shared" ref="R49:R79" si="4">O49</f>
        <v>0</v>
      </c>
      <c r="S49" s="373"/>
      <c r="T49" s="374"/>
      <c r="U49" s="524">
        <f>S49+T49-V49</f>
        <v>0</v>
      </c>
      <c r="V49" s="520">
        <f>I49+J49+K49</f>
        <v>0</v>
      </c>
      <c r="W49" s="524">
        <f>(P49+Q49+R49)*1.055056</f>
        <v>0</v>
      </c>
      <c r="X49" s="520">
        <f>V49-W49</f>
        <v>0</v>
      </c>
      <c r="Y49" s="525">
        <f>AL46+X49</f>
        <v>0</v>
      </c>
    </row>
    <row r="50" spans="3:25" x14ac:dyDescent="0.2">
      <c r="C50" s="387">
        <f t="shared" ref="C50:C79" si="5">C49+1</f>
        <v>41945</v>
      </c>
      <c r="D50" s="388">
        <f t="shared" ref="D50:D79" si="6">($F$24*$H$24)/$G$24</f>
        <v>145869.56533333333</v>
      </c>
      <c r="E50" s="392">
        <f t="shared" ref="E50:E79" si="7">P50+Q50+R50</f>
        <v>0</v>
      </c>
      <c r="F50" s="428">
        <f t="shared" si="0"/>
        <v>0.90615690000000004</v>
      </c>
      <c r="G50" s="390">
        <f t="shared" si="1"/>
        <v>0</v>
      </c>
      <c r="H50" s="391">
        <f t="shared" si="2"/>
        <v>145870.47149023332</v>
      </c>
      <c r="I50" s="324"/>
      <c r="J50" s="325"/>
      <c r="K50" s="325"/>
      <c r="L50" s="319"/>
      <c r="M50" s="320"/>
      <c r="N50" s="320"/>
      <c r="O50" s="320"/>
      <c r="P50" s="392">
        <f t="shared" ref="P50:P79" si="8">L50</f>
        <v>0</v>
      </c>
      <c r="Q50" s="392">
        <f t="shared" si="3"/>
        <v>0</v>
      </c>
      <c r="R50" s="392">
        <f t="shared" si="4"/>
        <v>0</v>
      </c>
      <c r="S50" s="373"/>
      <c r="T50" s="374"/>
      <c r="U50" s="524">
        <f t="shared" ref="U50:U79" si="9">S50+T50-V50</f>
        <v>0</v>
      </c>
      <c r="V50" s="520">
        <f t="shared" ref="V50:V79" si="10">I50+J50+K50</f>
        <v>0</v>
      </c>
      <c r="W50" s="524">
        <f t="shared" ref="W50:W79" si="11">(P50+Q50+R50)*1.055056</f>
        <v>0</v>
      </c>
      <c r="X50" s="520">
        <f t="shared" ref="X50:X79" si="12">V50-W50</f>
        <v>0</v>
      </c>
      <c r="Y50" s="525">
        <f>Y49+X50</f>
        <v>0</v>
      </c>
    </row>
    <row r="51" spans="3:25" x14ac:dyDescent="0.2">
      <c r="C51" s="387">
        <f t="shared" si="5"/>
        <v>41946</v>
      </c>
      <c r="D51" s="388">
        <f t="shared" si="6"/>
        <v>145869.56533333333</v>
      </c>
      <c r="E51" s="392">
        <f t="shared" si="7"/>
        <v>0</v>
      </c>
      <c r="F51" s="428">
        <f t="shared" si="0"/>
        <v>0.90615690000000004</v>
      </c>
      <c r="G51" s="390">
        <f t="shared" si="1"/>
        <v>0</v>
      </c>
      <c r="H51" s="391">
        <f t="shared" si="2"/>
        <v>145870.47149023332</v>
      </c>
      <c r="I51" s="324"/>
      <c r="J51" s="325"/>
      <c r="K51" s="325"/>
      <c r="L51" s="317"/>
      <c r="M51" s="318"/>
      <c r="N51" s="318"/>
      <c r="O51" s="318"/>
      <c r="P51" s="392">
        <f t="shared" si="8"/>
        <v>0</v>
      </c>
      <c r="Q51" s="392">
        <f t="shared" si="3"/>
        <v>0</v>
      </c>
      <c r="R51" s="392">
        <f t="shared" si="4"/>
        <v>0</v>
      </c>
      <c r="S51" s="373"/>
      <c r="T51" s="374"/>
      <c r="U51" s="524">
        <f t="shared" si="9"/>
        <v>0</v>
      </c>
      <c r="V51" s="520">
        <f t="shared" si="10"/>
        <v>0</v>
      </c>
      <c r="W51" s="524">
        <f t="shared" si="11"/>
        <v>0</v>
      </c>
      <c r="X51" s="520">
        <f t="shared" si="12"/>
        <v>0</v>
      </c>
      <c r="Y51" s="525">
        <f t="shared" ref="Y51:Y79" si="13">Y50+X51</f>
        <v>0</v>
      </c>
    </row>
    <row r="52" spans="3:25" x14ac:dyDescent="0.2">
      <c r="C52" s="387">
        <f t="shared" si="5"/>
        <v>41947</v>
      </c>
      <c r="D52" s="388">
        <f t="shared" si="6"/>
        <v>145869.56533333333</v>
      </c>
      <c r="E52" s="392">
        <f t="shared" si="7"/>
        <v>0</v>
      </c>
      <c r="F52" s="428">
        <f t="shared" si="0"/>
        <v>0.90615690000000004</v>
      </c>
      <c r="G52" s="390">
        <f t="shared" si="1"/>
        <v>0</v>
      </c>
      <c r="H52" s="391">
        <f t="shared" si="2"/>
        <v>145870.47149023332</v>
      </c>
      <c r="I52" s="324"/>
      <c r="J52" s="325"/>
      <c r="K52" s="325"/>
      <c r="L52" s="319"/>
      <c r="M52" s="320"/>
      <c r="N52" s="320"/>
      <c r="O52" s="320"/>
      <c r="P52" s="392">
        <f t="shared" si="8"/>
        <v>0</v>
      </c>
      <c r="Q52" s="392">
        <f t="shared" si="3"/>
        <v>0</v>
      </c>
      <c r="R52" s="392">
        <f t="shared" si="4"/>
        <v>0</v>
      </c>
      <c r="S52" s="373"/>
      <c r="T52" s="374"/>
      <c r="U52" s="524">
        <f t="shared" si="9"/>
        <v>0</v>
      </c>
      <c r="V52" s="520">
        <f t="shared" si="10"/>
        <v>0</v>
      </c>
      <c r="W52" s="524">
        <f t="shared" si="11"/>
        <v>0</v>
      </c>
      <c r="X52" s="520">
        <f t="shared" si="12"/>
        <v>0</v>
      </c>
      <c r="Y52" s="525">
        <f t="shared" si="13"/>
        <v>0</v>
      </c>
    </row>
    <row r="53" spans="3:25" x14ac:dyDescent="0.2">
      <c r="C53" s="387">
        <f t="shared" si="5"/>
        <v>41948</v>
      </c>
      <c r="D53" s="388">
        <f t="shared" si="6"/>
        <v>145869.56533333333</v>
      </c>
      <c r="E53" s="392">
        <f t="shared" si="7"/>
        <v>0</v>
      </c>
      <c r="F53" s="428">
        <f t="shared" si="0"/>
        <v>0.90615690000000004</v>
      </c>
      <c r="G53" s="390">
        <f t="shared" si="1"/>
        <v>0</v>
      </c>
      <c r="H53" s="391">
        <f t="shared" si="2"/>
        <v>145870.47149023332</v>
      </c>
      <c r="I53" s="324"/>
      <c r="J53" s="325"/>
      <c r="K53" s="325"/>
      <c r="L53" s="317"/>
      <c r="M53" s="318"/>
      <c r="N53" s="318"/>
      <c r="O53" s="318"/>
      <c r="P53" s="392">
        <f t="shared" si="8"/>
        <v>0</v>
      </c>
      <c r="Q53" s="392">
        <f t="shared" si="3"/>
        <v>0</v>
      </c>
      <c r="R53" s="392">
        <f t="shared" si="4"/>
        <v>0</v>
      </c>
      <c r="S53" s="373"/>
      <c r="T53" s="374"/>
      <c r="U53" s="524">
        <f t="shared" si="9"/>
        <v>0</v>
      </c>
      <c r="V53" s="520">
        <f t="shared" si="10"/>
        <v>0</v>
      </c>
      <c r="W53" s="524">
        <f t="shared" si="11"/>
        <v>0</v>
      </c>
      <c r="X53" s="520">
        <f t="shared" si="12"/>
        <v>0</v>
      </c>
      <c r="Y53" s="525">
        <f t="shared" si="13"/>
        <v>0</v>
      </c>
    </row>
    <row r="54" spans="3:25" x14ac:dyDescent="0.2">
      <c r="C54" s="387">
        <f t="shared" si="5"/>
        <v>41949</v>
      </c>
      <c r="D54" s="388">
        <f t="shared" si="6"/>
        <v>145869.56533333333</v>
      </c>
      <c r="E54" s="392">
        <f t="shared" si="7"/>
        <v>0</v>
      </c>
      <c r="F54" s="428">
        <f t="shared" si="0"/>
        <v>0.90615690000000004</v>
      </c>
      <c r="G54" s="390">
        <f t="shared" si="1"/>
        <v>0</v>
      </c>
      <c r="H54" s="391">
        <f t="shared" si="2"/>
        <v>145870.47149023332</v>
      </c>
      <c r="I54" s="324"/>
      <c r="J54" s="325"/>
      <c r="K54" s="325"/>
      <c r="L54" s="319"/>
      <c r="M54" s="320"/>
      <c r="N54" s="320"/>
      <c r="O54" s="320"/>
      <c r="P54" s="392">
        <f t="shared" si="8"/>
        <v>0</v>
      </c>
      <c r="Q54" s="392">
        <f t="shared" si="3"/>
        <v>0</v>
      </c>
      <c r="R54" s="392">
        <f t="shared" si="4"/>
        <v>0</v>
      </c>
      <c r="S54" s="373"/>
      <c r="T54" s="374"/>
      <c r="U54" s="524">
        <f t="shared" si="9"/>
        <v>0</v>
      </c>
      <c r="V54" s="520">
        <f t="shared" si="10"/>
        <v>0</v>
      </c>
      <c r="W54" s="524">
        <f t="shared" si="11"/>
        <v>0</v>
      </c>
      <c r="X54" s="520">
        <f t="shared" si="12"/>
        <v>0</v>
      </c>
      <c r="Y54" s="525">
        <f t="shared" si="13"/>
        <v>0</v>
      </c>
    </row>
    <row r="55" spans="3:25" x14ac:dyDescent="0.2">
      <c r="C55" s="387">
        <f t="shared" si="5"/>
        <v>41950</v>
      </c>
      <c r="D55" s="388">
        <f t="shared" si="6"/>
        <v>145869.56533333333</v>
      </c>
      <c r="E55" s="392">
        <f t="shared" si="7"/>
        <v>0</v>
      </c>
      <c r="F55" s="428">
        <f t="shared" si="0"/>
        <v>0.90615690000000004</v>
      </c>
      <c r="G55" s="390">
        <f t="shared" si="1"/>
        <v>0</v>
      </c>
      <c r="H55" s="391">
        <f t="shared" si="2"/>
        <v>145870.47149023332</v>
      </c>
      <c r="I55" s="324"/>
      <c r="J55" s="325"/>
      <c r="K55" s="325"/>
      <c r="L55" s="317"/>
      <c r="M55" s="318"/>
      <c r="N55" s="318"/>
      <c r="O55" s="318"/>
      <c r="P55" s="392">
        <f t="shared" si="8"/>
        <v>0</v>
      </c>
      <c r="Q55" s="392">
        <f t="shared" si="3"/>
        <v>0</v>
      </c>
      <c r="R55" s="392">
        <f t="shared" si="4"/>
        <v>0</v>
      </c>
      <c r="S55" s="373"/>
      <c r="T55" s="374"/>
      <c r="U55" s="524">
        <f t="shared" si="9"/>
        <v>0</v>
      </c>
      <c r="V55" s="520">
        <f t="shared" si="10"/>
        <v>0</v>
      </c>
      <c r="W55" s="524">
        <f t="shared" si="11"/>
        <v>0</v>
      </c>
      <c r="X55" s="520">
        <f t="shared" si="12"/>
        <v>0</v>
      </c>
      <c r="Y55" s="525">
        <f t="shared" si="13"/>
        <v>0</v>
      </c>
    </row>
    <row r="56" spans="3:25" x14ac:dyDescent="0.2">
      <c r="C56" s="387">
        <f t="shared" si="5"/>
        <v>41951</v>
      </c>
      <c r="D56" s="388">
        <f t="shared" si="6"/>
        <v>145869.56533333333</v>
      </c>
      <c r="E56" s="392">
        <f t="shared" si="7"/>
        <v>0</v>
      </c>
      <c r="F56" s="428">
        <f t="shared" si="0"/>
        <v>0.90615690000000004</v>
      </c>
      <c r="G56" s="390">
        <f t="shared" si="1"/>
        <v>0</v>
      </c>
      <c r="H56" s="391">
        <f t="shared" si="2"/>
        <v>145870.47149023332</v>
      </c>
      <c r="I56" s="324"/>
      <c r="J56" s="325"/>
      <c r="K56" s="325"/>
      <c r="L56" s="319"/>
      <c r="M56" s="320"/>
      <c r="N56" s="320"/>
      <c r="O56" s="320"/>
      <c r="P56" s="392">
        <f t="shared" si="8"/>
        <v>0</v>
      </c>
      <c r="Q56" s="392">
        <f t="shared" si="3"/>
        <v>0</v>
      </c>
      <c r="R56" s="392">
        <f t="shared" si="4"/>
        <v>0</v>
      </c>
      <c r="S56" s="373"/>
      <c r="T56" s="374"/>
      <c r="U56" s="524">
        <f t="shared" si="9"/>
        <v>0</v>
      </c>
      <c r="V56" s="520">
        <f t="shared" si="10"/>
        <v>0</v>
      </c>
      <c r="W56" s="524">
        <f t="shared" si="11"/>
        <v>0</v>
      </c>
      <c r="X56" s="520">
        <f t="shared" si="12"/>
        <v>0</v>
      </c>
      <c r="Y56" s="525">
        <f t="shared" si="13"/>
        <v>0</v>
      </c>
    </row>
    <row r="57" spans="3:25" x14ac:dyDescent="0.2">
      <c r="C57" s="387">
        <f t="shared" si="5"/>
        <v>41952</v>
      </c>
      <c r="D57" s="388">
        <f t="shared" si="6"/>
        <v>145869.56533333333</v>
      </c>
      <c r="E57" s="392">
        <f t="shared" si="7"/>
        <v>0</v>
      </c>
      <c r="F57" s="428">
        <f t="shared" si="0"/>
        <v>0.90615690000000004</v>
      </c>
      <c r="G57" s="390">
        <f t="shared" si="1"/>
        <v>0</v>
      </c>
      <c r="H57" s="391">
        <f t="shared" si="2"/>
        <v>145870.47149023332</v>
      </c>
      <c r="I57" s="324"/>
      <c r="J57" s="325"/>
      <c r="K57" s="325"/>
      <c r="L57" s="317"/>
      <c r="M57" s="318"/>
      <c r="N57" s="318"/>
      <c r="O57" s="318"/>
      <c r="P57" s="392">
        <f t="shared" si="8"/>
        <v>0</v>
      </c>
      <c r="Q57" s="392">
        <f t="shared" si="3"/>
        <v>0</v>
      </c>
      <c r="R57" s="392">
        <f t="shared" si="4"/>
        <v>0</v>
      </c>
      <c r="S57" s="373"/>
      <c r="T57" s="374"/>
      <c r="U57" s="524">
        <f t="shared" si="9"/>
        <v>0</v>
      </c>
      <c r="V57" s="520">
        <f t="shared" si="10"/>
        <v>0</v>
      </c>
      <c r="W57" s="524">
        <f t="shared" si="11"/>
        <v>0</v>
      </c>
      <c r="X57" s="520">
        <f t="shared" si="12"/>
        <v>0</v>
      </c>
      <c r="Y57" s="525">
        <f t="shared" si="13"/>
        <v>0</v>
      </c>
    </row>
    <row r="58" spans="3:25" x14ac:dyDescent="0.2">
      <c r="C58" s="387">
        <f t="shared" si="5"/>
        <v>41953</v>
      </c>
      <c r="D58" s="388">
        <f t="shared" si="6"/>
        <v>145869.56533333333</v>
      </c>
      <c r="E58" s="392">
        <f t="shared" si="7"/>
        <v>0</v>
      </c>
      <c r="F58" s="428">
        <f t="shared" si="0"/>
        <v>0.90615690000000004</v>
      </c>
      <c r="G58" s="390">
        <f t="shared" si="1"/>
        <v>0</v>
      </c>
      <c r="H58" s="391">
        <f t="shared" si="2"/>
        <v>145870.47149023332</v>
      </c>
      <c r="I58" s="324"/>
      <c r="J58" s="325"/>
      <c r="K58" s="325"/>
      <c r="L58" s="319"/>
      <c r="M58" s="320"/>
      <c r="N58" s="320"/>
      <c r="O58" s="320"/>
      <c r="P58" s="392">
        <f t="shared" si="8"/>
        <v>0</v>
      </c>
      <c r="Q58" s="392">
        <f t="shared" si="3"/>
        <v>0</v>
      </c>
      <c r="R58" s="392">
        <f t="shared" si="4"/>
        <v>0</v>
      </c>
      <c r="S58" s="373"/>
      <c r="T58" s="374"/>
      <c r="U58" s="524">
        <f t="shared" si="9"/>
        <v>0</v>
      </c>
      <c r="V58" s="520">
        <f t="shared" si="10"/>
        <v>0</v>
      </c>
      <c r="W58" s="524">
        <f t="shared" si="11"/>
        <v>0</v>
      </c>
      <c r="X58" s="520">
        <f t="shared" si="12"/>
        <v>0</v>
      </c>
      <c r="Y58" s="525">
        <f t="shared" si="13"/>
        <v>0</v>
      </c>
    </row>
    <row r="59" spans="3:25" x14ac:dyDescent="0.2">
      <c r="C59" s="387">
        <f t="shared" si="5"/>
        <v>41954</v>
      </c>
      <c r="D59" s="388">
        <f t="shared" si="6"/>
        <v>145869.56533333333</v>
      </c>
      <c r="E59" s="392">
        <f t="shared" si="7"/>
        <v>0</v>
      </c>
      <c r="F59" s="428">
        <f t="shared" si="0"/>
        <v>0.90615690000000004</v>
      </c>
      <c r="G59" s="390">
        <f t="shared" si="1"/>
        <v>0</v>
      </c>
      <c r="H59" s="391">
        <f t="shared" si="2"/>
        <v>145870.47149023332</v>
      </c>
      <c r="I59" s="324"/>
      <c r="J59" s="325"/>
      <c r="K59" s="325"/>
      <c r="L59" s="317"/>
      <c r="M59" s="318"/>
      <c r="N59" s="318"/>
      <c r="O59" s="318"/>
      <c r="P59" s="392">
        <f t="shared" si="8"/>
        <v>0</v>
      </c>
      <c r="Q59" s="392">
        <f t="shared" si="3"/>
        <v>0</v>
      </c>
      <c r="R59" s="392">
        <f t="shared" si="4"/>
        <v>0</v>
      </c>
      <c r="S59" s="373"/>
      <c r="T59" s="374"/>
      <c r="U59" s="524">
        <f t="shared" si="9"/>
        <v>0</v>
      </c>
      <c r="V59" s="520">
        <f t="shared" si="10"/>
        <v>0</v>
      </c>
      <c r="W59" s="524">
        <f t="shared" si="11"/>
        <v>0</v>
      </c>
      <c r="X59" s="520">
        <f t="shared" si="12"/>
        <v>0</v>
      </c>
      <c r="Y59" s="525">
        <f t="shared" si="13"/>
        <v>0</v>
      </c>
    </row>
    <row r="60" spans="3:25" x14ac:dyDescent="0.2">
      <c r="C60" s="387">
        <f t="shared" si="5"/>
        <v>41955</v>
      </c>
      <c r="D60" s="388">
        <f t="shared" si="6"/>
        <v>145869.56533333333</v>
      </c>
      <c r="E60" s="392">
        <f t="shared" si="7"/>
        <v>0</v>
      </c>
      <c r="F60" s="428">
        <f t="shared" si="0"/>
        <v>0.90615690000000004</v>
      </c>
      <c r="G60" s="390">
        <f t="shared" si="1"/>
        <v>0</v>
      </c>
      <c r="H60" s="391">
        <f t="shared" si="2"/>
        <v>145870.47149023332</v>
      </c>
      <c r="I60" s="324"/>
      <c r="J60" s="325"/>
      <c r="K60" s="325"/>
      <c r="L60" s="319"/>
      <c r="M60" s="320"/>
      <c r="N60" s="320"/>
      <c r="O60" s="320"/>
      <c r="P60" s="392">
        <f t="shared" si="8"/>
        <v>0</v>
      </c>
      <c r="Q60" s="392">
        <f t="shared" si="3"/>
        <v>0</v>
      </c>
      <c r="R60" s="392">
        <f t="shared" si="4"/>
        <v>0</v>
      </c>
      <c r="S60" s="373"/>
      <c r="T60" s="374"/>
      <c r="U60" s="524">
        <f t="shared" si="9"/>
        <v>0</v>
      </c>
      <c r="V60" s="520">
        <f t="shared" si="10"/>
        <v>0</v>
      </c>
      <c r="W60" s="524">
        <f t="shared" si="11"/>
        <v>0</v>
      </c>
      <c r="X60" s="520">
        <f t="shared" si="12"/>
        <v>0</v>
      </c>
      <c r="Y60" s="525">
        <f t="shared" si="13"/>
        <v>0</v>
      </c>
    </row>
    <row r="61" spans="3:25" x14ac:dyDescent="0.2">
      <c r="C61" s="387">
        <f t="shared" si="5"/>
        <v>41956</v>
      </c>
      <c r="D61" s="388">
        <f t="shared" si="6"/>
        <v>145869.56533333333</v>
      </c>
      <c r="E61" s="392">
        <f t="shared" si="7"/>
        <v>0</v>
      </c>
      <c r="F61" s="428">
        <f t="shared" si="0"/>
        <v>0.90615690000000004</v>
      </c>
      <c r="G61" s="390">
        <f t="shared" si="1"/>
        <v>0</v>
      </c>
      <c r="H61" s="391">
        <f t="shared" si="2"/>
        <v>145870.47149023332</v>
      </c>
      <c r="I61" s="324"/>
      <c r="J61" s="325"/>
      <c r="K61" s="325"/>
      <c r="L61" s="317"/>
      <c r="M61" s="318"/>
      <c r="N61" s="318"/>
      <c r="O61" s="318"/>
      <c r="P61" s="392">
        <f t="shared" si="8"/>
        <v>0</v>
      </c>
      <c r="Q61" s="392">
        <f t="shared" si="3"/>
        <v>0</v>
      </c>
      <c r="R61" s="392">
        <f t="shared" si="4"/>
        <v>0</v>
      </c>
      <c r="S61" s="373"/>
      <c r="T61" s="374"/>
      <c r="U61" s="524">
        <f t="shared" si="9"/>
        <v>0</v>
      </c>
      <c r="V61" s="520">
        <f t="shared" si="10"/>
        <v>0</v>
      </c>
      <c r="W61" s="524">
        <f t="shared" si="11"/>
        <v>0</v>
      </c>
      <c r="X61" s="520">
        <f t="shared" si="12"/>
        <v>0</v>
      </c>
      <c r="Y61" s="525">
        <f t="shared" si="13"/>
        <v>0</v>
      </c>
    </row>
    <row r="62" spans="3:25" x14ac:dyDescent="0.2">
      <c r="C62" s="387">
        <f t="shared" si="5"/>
        <v>41957</v>
      </c>
      <c r="D62" s="388">
        <f t="shared" si="6"/>
        <v>145869.56533333333</v>
      </c>
      <c r="E62" s="392">
        <f t="shared" si="7"/>
        <v>0</v>
      </c>
      <c r="F62" s="428">
        <f t="shared" si="0"/>
        <v>0.90615690000000004</v>
      </c>
      <c r="G62" s="390">
        <f t="shared" si="1"/>
        <v>0</v>
      </c>
      <c r="H62" s="391">
        <f t="shared" si="2"/>
        <v>145870.47149023332</v>
      </c>
      <c r="I62" s="324"/>
      <c r="J62" s="325"/>
      <c r="K62" s="325"/>
      <c r="L62" s="319"/>
      <c r="M62" s="320"/>
      <c r="N62" s="320"/>
      <c r="O62" s="320"/>
      <c r="P62" s="392">
        <f t="shared" si="8"/>
        <v>0</v>
      </c>
      <c r="Q62" s="392">
        <f t="shared" si="3"/>
        <v>0</v>
      </c>
      <c r="R62" s="392">
        <f t="shared" si="4"/>
        <v>0</v>
      </c>
      <c r="S62" s="373"/>
      <c r="T62" s="374"/>
      <c r="U62" s="524">
        <f t="shared" si="9"/>
        <v>0</v>
      </c>
      <c r="V62" s="520">
        <f t="shared" si="10"/>
        <v>0</v>
      </c>
      <c r="W62" s="524">
        <f t="shared" si="11"/>
        <v>0</v>
      </c>
      <c r="X62" s="520">
        <f t="shared" si="12"/>
        <v>0</v>
      </c>
      <c r="Y62" s="525">
        <f t="shared" si="13"/>
        <v>0</v>
      </c>
    </row>
    <row r="63" spans="3:25" x14ac:dyDescent="0.2">
      <c r="C63" s="387">
        <f t="shared" si="5"/>
        <v>41958</v>
      </c>
      <c r="D63" s="388">
        <f t="shared" si="6"/>
        <v>145869.56533333333</v>
      </c>
      <c r="E63" s="392">
        <f t="shared" si="7"/>
        <v>0</v>
      </c>
      <c r="F63" s="428">
        <f t="shared" si="0"/>
        <v>0.90615690000000004</v>
      </c>
      <c r="G63" s="390">
        <f t="shared" si="1"/>
        <v>0</v>
      </c>
      <c r="H63" s="391">
        <f t="shared" si="2"/>
        <v>145870.47149023332</v>
      </c>
      <c r="I63" s="324"/>
      <c r="J63" s="325"/>
      <c r="K63" s="325"/>
      <c r="L63" s="317"/>
      <c r="M63" s="318"/>
      <c r="N63" s="318"/>
      <c r="O63" s="318"/>
      <c r="P63" s="392">
        <f t="shared" si="8"/>
        <v>0</v>
      </c>
      <c r="Q63" s="392">
        <f t="shared" si="3"/>
        <v>0</v>
      </c>
      <c r="R63" s="392">
        <f t="shared" si="4"/>
        <v>0</v>
      </c>
      <c r="S63" s="373"/>
      <c r="T63" s="374"/>
      <c r="U63" s="524">
        <f t="shared" si="9"/>
        <v>0</v>
      </c>
      <c r="V63" s="520">
        <f t="shared" si="10"/>
        <v>0</v>
      </c>
      <c r="W63" s="524">
        <f t="shared" si="11"/>
        <v>0</v>
      </c>
      <c r="X63" s="520">
        <f t="shared" si="12"/>
        <v>0</v>
      </c>
      <c r="Y63" s="525">
        <f t="shared" si="13"/>
        <v>0</v>
      </c>
    </row>
    <row r="64" spans="3:25" x14ac:dyDescent="0.2">
      <c r="C64" s="387">
        <f t="shared" si="5"/>
        <v>41959</v>
      </c>
      <c r="D64" s="388">
        <f t="shared" si="6"/>
        <v>145869.56533333333</v>
      </c>
      <c r="E64" s="392">
        <f t="shared" si="7"/>
        <v>0</v>
      </c>
      <c r="F64" s="428">
        <f t="shared" si="0"/>
        <v>0.90615690000000004</v>
      </c>
      <c r="G64" s="390">
        <f t="shared" si="1"/>
        <v>0</v>
      </c>
      <c r="H64" s="391">
        <f t="shared" si="2"/>
        <v>145870.47149023332</v>
      </c>
      <c r="I64" s="324"/>
      <c r="J64" s="325"/>
      <c r="K64" s="325"/>
      <c r="L64" s="319"/>
      <c r="M64" s="320"/>
      <c r="N64" s="320"/>
      <c r="O64" s="320"/>
      <c r="P64" s="392">
        <f t="shared" si="8"/>
        <v>0</v>
      </c>
      <c r="Q64" s="392">
        <f t="shared" si="3"/>
        <v>0</v>
      </c>
      <c r="R64" s="392">
        <f t="shared" si="4"/>
        <v>0</v>
      </c>
      <c r="S64" s="373"/>
      <c r="T64" s="374"/>
      <c r="U64" s="524">
        <f t="shared" si="9"/>
        <v>0</v>
      </c>
      <c r="V64" s="520">
        <f t="shared" si="10"/>
        <v>0</v>
      </c>
      <c r="W64" s="524">
        <f t="shared" si="11"/>
        <v>0</v>
      </c>
      <c r="X64" s="520">
        <f t="shared" si="12"/>
        <v>0</v>
      </c>
      <c r="Y64" s="525">
        <f t="shared" si="13"/>
        <v>0</v>
      </c>
    </row>
    <row r="65" spans="3:38" x14ac:dyDescent="0.2">
      <c r="C65" s="387">
        <f t="shared" si="5"/>
        <v>41960</v>
      </c>
      <c r="D65" s="388">
        <f t="shared" si="6"/>
        <v>145869.56533333333</v>
      </c>
      <c r="E65" s="392">
        <f t="shared" si="7"/>
        <v>0</v>
      </c>
      <c r="F65" s="428">
        <f t="shared" si="0"/>
        <v>0.90615690000000004</v>
      </c>
      <c r="G65" s="390">
        <f t="shared" si="1"/>
        <v>0</v>
      </c>
      <c r="H65" s="391">
        <f t="shared" si="2"/>
        <v>145870.47149023332</v>
      </c>
      <c r="I65" s="324"/>
      <c r="J65" s="325"/>
      <c r="K65" s="325"/>
      <c r="L65" s="317"/>
      <c r="M65" s="318"/>
      <c r="N65" s="318"/>
      <c r="O65" s="318"/>
      <c r="P65" s="392">
        <f t="shared" si="8"/>
        <v>0</v>
      </c>
      <c r="Q65" s="392">
        <f t="shared" si="3"/>
        <v>0</v>
      </c>
      <c r="R65" s="392">
        <f t="shared" si="4"/>
        <v>0</v>
      </c>
      <c r="S65" s="373"/>
      <c r="T65" s="374"/>
      <c r="U65" s="524">
        <f t="shared" si="9"/>
        <v>0</v>
      </c>
      <c r="V65" s="520">
        <f t="shared" si="10"/>
        <v>0</v>
      </c>
      <c r="W65" s="524">
        <f t="shared" si="11"/>
        <v>0</v>
      </c>
      <c r="X65" s="520">
        <f t="shared" si="12"/>
        <v>0</v>
      </c>
      <c r="Y65" s="525">
        <f t="shared" si="13"/>
        <v>0</v>
      </c>
    </row>
    <row r="66" spans="3:38" x14ac:dyDescent="0.2">
      <c r="C66" s="387">
        <f t="shared" si="5"/>
        <v>41961</v>
      </c>
      <c r="D66" s="388">
        <f t="shared" si="6"/>
        <v>145869.56533333333</v>
      </c>
      <c r="E66" s="392">
        <f t="shared" si="7"/>
        <v>0</v>
      </c>
      <c r="F66" s="428">
        <f t="shared" si="0"/>
        <v>0.90615690000000004</v>
      </c>
      <c r="G66" s="390">
        <f t="shared" si="1"/>
        <v>0</v>
      </c>
      <c r="H66" s="391">
        <f t="shared" si="2"/>
        <v>145870.47149023332</v>
      </c>
      <c r="I66" s="324"/>
      <c r="J66" s="325"/>
      <c r="K66" s="325"/>
      <c r="L66" s="319"/>
      <c r="M66" s="320"/>
      <c r="N66" s="320"/>
      <c r="O66" s="320"/>
      <c r="P66" s="392">
        <f t="shared" si="8"/>
        <v>0</v>
      </c>
      <c r="Q66" s="392">
        <f t="shared" si="3"/>
        <v>0</v>
      </c>
      <c r="R66" s="392">
        <f t="shared" si="4"/>
        <v>0</v>
      </c>
      <c r="S66" s="373"/>
      <c r="T66" s="374"/>
      <c r="U66" s="524">
        <f t="shared" si="9"/>
        <v>0</v>
      </c>
      <c r="V66" s="520">
        <f t="shared" si="10"/>
        <v>0</v>
      </c>
      <c r="W66" s="524">
        <f t="shared" si="11"/>
        <v>0</v>
      </c>
      <c r="X66" s="520">
        <f t="shared" si="12"/>
        <v>0</v>
      </c>
      <c r="Y66" s="525">
        <f t="shared" si="13"/>
        <v>0</v>
      </c>
    </row>
    <row r="67" spans="3:38" x14ac:dyDescent="0.2">
      <c r="C67" s="387">
        <f t="shared" si="5"/>
        <v>41962</v>
      </c>
      <c r="D67" s="388">
        <f t="shared" si="6"/>
        <v>145869.56533333333</v>
      </c>
      <c r="E67" s="392">
        <f t="shared" si="7"/>
        <v>0</v>
      </c>
      <c r="F67" s="428">
        <f t="shared" si="0"/>
        <v>0.90615690000000004</v>
      </c>
      <c r="G67" s="390">
        <f t="shared" si="1"/>
        <v>0</v>
      </c>
      <c r="H67" s="391">
        <f t="shared" si="2"/>
        <v>145870.47149023332</v>
      </c>
      <c r="I67" s="324"/>
      <c r="J67" s="325"/>
      <c r="K67" s="325"/>
      <c r="L67" s="317"/>
      <c r="M67" s="318"/>
      <c r="N67" s="318"/>
      <c r="O67" s="318"/>
      <c r="P67" s="392">
        <f t="shared" si="8"/>
        <v>0</v>
      </c>
      <c r="Q67" s="392">
        <f t="shared" si="3"/>
        <v>0</v>
      </c>
      <c r="R67" s="392">
        <f t="shared" si="4"/>
        <v>0</v>
      </c>
      <c r="S67" s="373"/>
      <c r="T67" s="374"/>
      <c r="U67" s="524">
        <f t="shared" si="9"/>
        <v>0</v>
      </c>
      <c r="V67" s="520">
        <f t="shared" si="10"/>
        <v>0</v>
      </c>
      <c r="W67" s="524">
        <f t="shared" si="11"/>
        <v>0</v>
      </c>
      <c r="X67" s="520">
        <f t="shared" si="12"/>
        <v>0</v>
      </c>
      <c r="Y67" s="525">
        <f t="shared" si="13"/>
        <v>0</v>
      </c>
    </row>
    <row r="68" spans="3:38" x14ac:dyDescent="0.2">
      <c r="C68" s="387">
        <f t="shared" si="5"/>
        <v>41963</v>
      </c>
      <c r="D68" s="388">
        <f t="shared" si="6"/>
        <v>145869.56533333333</v>
      </c>
      <c r="E68" s="392">
        <f t="shared" si="7"/>
        <v>0</v>
      </c>
      <c r="F68" s="428">
        <f t="shared" si="0"/>
        <v>0.90615690000000004</v>
      </c>
      <c r="G68" s="390">
        <f t="shared" si="1"/>
        <v>0</v>
      </c>
      <c r="H68" s="391">
        <f t="shared" si="2"/>
        <v>145870.47149023332</v>
      </c>
      <c r="I68" s="324"/>
      <c r="J68" s="325"/>
      <c r="K68" s="325"/>
      <c r="L68" s="319"/>
      <c r="M68" s="320"/>
      <c r="N68" s="320"/>
      <c r="O68" s="320"/>
      <c r="P68" s="392">
        <f t="shared" si="8"/>
        <v>0</v>
      </c>
      <c r="Q68" s="392">
        <f t="shared" si="3"/>
        <v>0</v>
      </c>
      <c r="R68" s="392">
        <f t="shared" si="4"/>
        <v>0</v>
      </c>
      <c r="S68" s="373"/>
      <c r="T68" s="374"/>
      <c r="U68" s="524">
        <f t="shared" si="9"/>
        <v>0</v>
      </c>
      <c r="V68" s="520">
        <f t="shared" si="10"/>
        <v>0</v>
      </c>
      <c r="W68" s="524">
        <f t="shared" si="11"/>
        <v>0</v>
      </c>
      <c r="X68" s="520">
        <f t="shared" si="12"/>
        <v>0</v>
      </c>
      <c r="Y68" s="525">
        <f t="shared" si="13"/>
        <v>0</v>
      </c>
    </row>
    <row r="69" spans="3:38" x14ac:dyDescent="0.2">
      <c r="C69" s="387">
        <f t="shared" si="5"/>
        <v>41964</v>
      </c>
      <c r="D69" s="388">
        <f t="shared" si="6"/>
        <v>145869.56533333333</v>
      </c>
      <c r="E69" s="392">
        <f t="shared" si="7"/>
        <v>0</v>
      </c>
      <c r="F69" s="428">
        <f t="shared" si="0"/>
        <v>0.90615690000000004</v>
      </c>
      <c r="G69" s="390">
        <f t="shared" si="1"/>
        <v>0</v>
      </c>
      <c r="H69" s="391">
        <f t="shared" si="2"/>
        <v>145870.47149023332</v>
      </c>
      <c r="I69" s="324"/>
      <c r="J69" s="325"/>
      <c r="K69" s="325"/>
      <c r="L69" s="317"/>
      <c r="M69" s="318"/>
      <c r="N69" s="318"/>
      <c r="O69" s="318"/>
      <c r="P69" s="392">
        <f t="shared" si="8"/>
        <v>0</v>
      </c>
      <c r="Q69" s="392">
        <f t="shared" si="3"/>
        <v>0</v>
      </c>
      <c r="R69" s="392">
        <f t="shared" si="4"/>
        <v>0</v>
      </c>
      <c r="S69" s="373"/>
      <c r="T69" s="374"/>
      <c r="U69" s="524">
        <f t="shared" si="9"/>
        <v>0</v>
      </c>
      <c r="V69" s="520">
        <f t="shared" si="10"/>
        <v>0</v>
      </c>
      <c r="W69" s="524">
        <f t="shared" si="11"/>
        <v>0</v>
      </c>
      <c r="X69" s="520">
        <f t="shared" si="12"/>
        <v>0</v>
      </c>
      <c r="Y69" s="525">
        <f t="shared" si="13"/>
        <v>0</v>
      </c>
    </row>
    <row r="70" spans="3:38" x14ac:dyDescent="0.2">
      <c r="C70" s="387">
        <f t="shared" si="5"/>
        <v>41965</v>
      </c>
      <c r="D70" s="388">
        <f t="shared" si="6"/>
        <v>145869.56533333333</v>
      </c>
      <c r="E70" s="392">
        <f t="shared" si="7"/>
        <v>0</v>
      </c>
      <c r="F70" s="428">
        <f t="shared" si="0"/>
        <v>0.90615690000000004</v>
      </c>
      <c r="G70" s="390">
        <f t="shared" si="1"/>
        <v>0</v>
      </c>
      <c r="H70" s="391">
        <f t="shared" si="2"/>
        <v>145870.47149023332</v>
      </c>
      <c r="I70" s="324"/>
      <c r="J70" s="325"/>
      <c r="K70" s="325"/>
      <c r="L70" s="319"/>
      <c r="M70" s="320"/>
      <c r="N70" s="320"/>
      <c r="O70" s="320"/>
      <c r="P70" s="392">
        <f t="shared" si="8"/>
        <v>0</v>
      </c>
      <c r="Q70" s="392">
        <f t="shared" si="3"/>
        <v>0</v>
      </c>
      <c r="R70" s="392">
        <f t="shared" si="4"/>
        <v>0</v>
      </c>
      <c r="S70" s="373"/>
      <c r="T70" s="374"/>
      <c r="U70" s="524">
        <f t="shared" si="9"/>
        <v>0</v>
      </c>
      <c r="V70" s="520">
        <f t="shared" si="10"/>
        <v>0</v>
      </c>
      <c r="W70" s="524">
        <f t="shared" si="11"/>
        <v>0</v>
      </c>
      <c r="X70" s="520">
        <f t="shared" si="12"/>
        <v>0</v>
      </c>
      <c r="Y70" s="525">
        <f t="shared" si="13"/>
        <v>0</v>
      </c>
    </row>
    <row r="71" spans="3:38" x14ac:dyDescent="0.2">
      <c r="C71" s="387">
        <f t="shared" si="5"/>
        <v>41966</v>
      </c>
      <c r="D71" s="388">
        <f t="shared" si="6"/>
        <v>145869.56533333333</v>
      </c>
      <c r="E71" s="392">
        <f t="shared" si="7"/>
        <v>0</v>
      </c>
      <c r="F71" s="428">
        <f t="shared" si="0"/>
        <v>0.90615690000000004</v>
      </c>
      <c r="G71" s="390">
        <f t="shared" si="1"/>
        <v>0</v>
      </c>
      <c r="H71" s="391">
        <f t="shared" si="2"/>
        <v>145870.47149023332</v>
      </c>
      <c r="I71" s="324"/>
      <c r="J71" s="325"/>
      <c r="K71" s="325"/>
      <c r="L71" s="317"/>
      <c r="M71" s="318"/>
      <c r="N71" s="318"/>
      <c r="O71" s="318"/>
      <c r="P71" s="392">
        <f t="shared" si="8"/>
        <v>0</v>
      </c>
      <c r="Q71" s="392">
        <f t="shared" si="3"/>
        <v>0</v>
      </c>
      <c r="R71" s="392">
        <f t="shared" si="4"/>
        <v>0</v>
      </c>
      <c r="S71" s="373"/>
      <c r="T71" s="374"/>
      <c r="U71" s="524">
        <f t="shared" si="9"/>
        <v>0</v>
      </c>
      <c r="V71" s="520">
        <f t="shared" si="10"/>
        <v>0</v>
      </c>
      <c r="W71" s="524">
        <f t="shared" si="11"/>
        <v>0</v>
      </c>
      <c r="X71" s="520">
        <f t="shared" si="12"/>
        <v>0</v>
      </c>
      <c r="Y71" s="525">
        <f t="shared" si="13"/>
        <v>0</v>
      </c>
    </row>
    <row r="72" spans="3:38" x14ac:dyDescent="0.2">
      <c r="C72" s="387">
        <f t="shared" si="5"/>
        <v>41967</v>
      </c>
      <c r="D72" s="388">
        <f t="shared" si="6"/>
        <v>145869.56533333333</v>
      </c>
      <c r="E72" s="392">
        <f t="shared" si="7"/>
        <v>0</v>
      </c>
      <c r="F72" s="428">
        <f t="shared" si="0"/>
        <v>0.90615690000000004</v>
      </c>
      <c r="G72" s="390">
        <f t="shared" si="1"/>
        <v>0</v>
      </c>
      <c r="H72" s="391">
        <f t="shared" si="2"/>
        <v>145870.47149023332</v>
      </c>
      <c r="I72" s="324"/>
      <c r="J72" s="325"/>
      <c r="K72" s="325"/>
      <c r="L72" s="319"/>
      <c r="M72" s="320"/>
      <c r="N72" s="320"/>
      <c r="O72" s="320"/>
      <c r="P72" s="392">
        <f t="shared" si="8"/>
        <v>0</v>
      </c>
      <c r="Q72" s="392">
        <f t="shared" si="3"/>
        <v>0</v>
      </c>
      <c r="R72" s="392">
        <f t="shared" si="4"/>
        <v>0</v>
      </c>
      <c r="S72" s="373"/>
      <c r="T72" s="374"/>
      <c r="U72" s="524">
        <f t="shared" si="9"/>
        <v>0</v>
      </c>
      <c r="V72" s="520">
        <f t="shared" si="10"/>
        <v>0</v>
      </c>
      <c r="W72" s="524">
        <f t="shared" si="11"/>
        <v>0</v>
      </c>
      <c r="X72" s="520">
        <f t="shared" si="12"/>
        <v>0</v>
      </c>
      <c r="Y72" s="525">
        <f t="shared" si="13"/>
        <v>0</v>
      </c>
    </row>
    <row r="73" spans="3:38" x14ac:dyDescent="0.2">
      <c r="C73" s="387">
        <f t="shared" si="5"/>
        <v>41968</v>
      </c>
      <c r="D73" s="388">
        <f t="shared" si="6"/>
        <v>145869.56533333333</v>
      </c>
      <c r="E73" s="392">
        <f t="shared" si="7"/>
        <v>0</v>
      </c>
      <c r="F73" s="428">
        <f t="shared" si="0"/>
        <v>0.90615690000000004</v>
      </c>
      <c r="G73" s="390">
        <f t="shared" si="1"/>
        <v>0</v>
      </c>
      <c r="H73" s="391">
        <f t="shared" si="2"/>
        <v>145870.47149023332</v>
      </c>
      <c r="I73" s="324"/>
      <c r="J73" s="325"/>
      <c r="K73" s="325"/>
      <c r="L73" s="317"/>
      <c r="M73" s="318"/>
      <c r="N73" s="318"/>
      <c r="O73" s="318"/>
      <c r="P73" s="392">
        <f t="shared" si="8"/>
        <v>0</v>
      </c>
      <c r="Q73" s="392">
        <f t="shared" si="3"/>
        <v>0</v>
      </c>
      <c r="R73" s="392">
        <f t="shared" si="4"/>
        <v>0</v>
      </c>
      <c r="S73" s="373"/>
      <c r="T73" s="374"/>
      <c r="U73" s="524">
        <f t="shared" si="9"/>
        <v>0</v>
      </c>
      <c r="V73" s="520">
        <f t="shared" si="10"/>
        <v>0</v>
      </c>
      <c r="W73" s="524">
        <f t="shared" si="11"/>
        <v>0</v>
      </c>
      <c r="X73" s="520">
        <f t="shared" si="12"/>
        <v>0</v>
      </c>
      <c r="Y73" s="525">
        <f t="shared" si="13"/>
        <v>0</v>
      </c>
    </row>
    <row r="74" spans="3:38" x14ac:dyDescent="0.2">
      <c r="C74" s="387">
        <f t="shared" si="5"/>
        <v>41969</v>
      </c>
      <c r="D74" s="388">
        <f t="shared" si="6"/>
        <v>145869.56533333333</v>
      </c>
      <c r="E74" s="392">
        <f t="shared" si="7"/>
        <v>0</v>
      </c>
      <c r="F74" s="428">
        <f t="shared" si="0"/>
        <v>0.90615690000000004</v>
      </c>
      <c r="G74" s="390">
        <f t="shared" si="1"/>
        <v>0</v>
      </c>
      <c r="H74" s="391">
        <f t="shared" si="2"/>
        <v>145870.47149023332</v>
      </c>
      <c r="I74" s="324"/>
      <c r="J74" s="325"/>
      <c r="K74" s="325"/>
      <c r="L74" s="319"/>
      <c r="M74" s="320"/>
      <c r="N74" s="320"/>
      <c r="O74" s="320"/>
      <c r="P74" s="392">
        <f t="shared" si="8"/>
        <v>0</v>
      </c>
      <c r="Q74" s="392">
        <f t="shared" si="3"/>
        <v>0</v>
      </c>
      <c r="R74" s="392">
        <f t="shared" si="4"/>
        <v>0</v>
      </c>
      <c r="S74" s="373"/>
      <c r="T74" s="374"/>
      <c r="U74" s="524">
        <f t="shared" si="9"/>
        <v>0</v>
      </c>
      <c r="V74" s="520">
        <f t="shared" si="10"/>
        <v>0</v>
      </c>
      <c r="W74" s="524">
        <f t="shared" si="11"/>
        <v>0</v>
      </c>
      <c r="X74" s="520">
        <f t="shared" si="12"/>
        <v>0</v>
      </c>
      <c r="Y74" s="525">
        <f t="shared" si="13"/>
        <v>0</v>
      </c>
    </row>
    <row r="75" spans="3:38" x14ac:dyDescent="0.2">
      <c r="C75" s="387">
        <f t="shared" si="5"/>
        <v>41970</v>
      </c>
      <c r="D75" s="388">
        <f t="shared" si="6"/>
        <v>145869.56533333333</v>
      </c>
      <c r="E75" s="392">
        <f t="shared" si="7"/>
        <v>0</v>
      </c>
      <c r="F75" s="428">
        <f t="shared" si="0"/>
        <v>0.90615690000000004</v>
      </c>
      <c r="G75" s="390">
        <f t="shared" si="1"/>
        <v>0</v>
      </c>
      <c r="H75" s="391">
        <f t="shared" si="2"/>
        <v>145870.47149023332</v>
      </c>
      <c r="I75" s="324"/>
      <c r="J75" s="325"/>
      <c r="K75" s="325"/>
      <c r="L75" s="317"/>
      <c r="M75" s="318"/>
      <c r="N75" s="318"/>
      <c r="O75" s="318"/>
      <c r="P75" s="392">
        <f t="shared" si="8"/>
        <v>0</v>
      </c>
      <c r="Q75" s="392">
        <f t="shared" si="3"/>
        <v>0</v>
      </c>
      <c r="R75" s="392">
        <f t="shared" si="4"/>
        <v>0</v>
      </c>
      <c r="S75" s="373"/>
      <c r="T75" s="374"/>
      <c r="U75" s="524">
        <f t="shared" si="9"/>
        <v>0</v>
      </c>
      <c r="V75" s="520">
        <f t="shared" si="10"/>
        <v>0</v>
      </c>
      <c r="W75" s="524">
        <f t="shared" si="11"/>
        <v>0</v>
      </c>
      <c r="X75" s="520">
        <f t="shared" si="12"/>
        <v>0</v>
      </c>
      <c r="Y75" s="525">
        <f t="shared" si="13"/>
        <v>0</v>
      </c>
    </row>
    <row r="76" spans="3:38" x14ac:dyDescent="0.2">
      <c r="C76" s="387">
        <f t="shared" si="5"/>
        <v>41971</v>
      </c>
      <c r="D76" s="388">
        <f t="shared" si="6"/>
        <v>145869.56533333333</v>
      </c>
      <c r="E76" s="392">
        <f t="shared" si="7"/>
        <v>0</v>
      </c>
      <c r="F76" s="428">
        <f t="shared" si="0"/>
        <v>0.90615690000000004</v>
      </c>
      <c r="G76" s="390">
        <f t="shared" si="1"/>
        <v>0</v>
      </c>
      <c r="H76" s="391">
        <f t="shared" si="2"/>
        <v>145870.47149023332</v>
      </c>
      <c r="I76" s="324"/>
      <c r="J76" s="325"/>
      <c r="K76" s="325"/>
      <c r="L76" s="319"/>
      <c r="M76" s="320"/>
      <c r="N76" s="320"/>
      <c r="O76" s="320"/>
      <c r="P76" s="392">
        <f t="shared" si="8"/>
        <v>0</v>
      </c>
      <c r="Q76" s="392">
        <f t="shared" si="3"/>
        <v>0</v>
      </c>
      <c r="R76" s="392">
        <f t="shared" si="4"/>
        <v>0</v>
      </c>
      <c r="S76" s="373"/>
      <c r="T76" s="374"/>
      <c r="U76" s="524">
        <f t="shared" si="9"/>
        <v>0</v>
      </c>
      <c r="V76" s="520">
        <f t="shared" si="10"/>
        <v>0</v>
      </c>
      <c r="W76" s="524">
        <f t="shared" si="11"/>
        <v>0</v>
      </c>
      <c r="X76" s="520">
        <f t="shared" si="12"/>
        <v>0</v>
      </c>
      <c r="Y76" s="525">
        <f t="shared" si="13"/>
        <v>0</v>
      </c>
    </row>
    <row r="77" spans="3:38" x14ac:dyDescent="0.2">
      <c r="C77" s="387">
        <f t="shared" si="5"/>
        <v>41972</v>
      </c>
      <c r="D77" s="388">
        <f t="shared" si="6"/>
        <v>145869.56533333333</v>
      </c>
      <c r="E77" s="392">
        <f t="shared" si="7"/>
        <v>0</v>
      </c>
      <c r="F77" s="428">
        <f t="shared" si="0"/>
        <v>0.90615690000000004</v>
      </c>
      <c r="G77" s="390">
        <f t="shared" si="1"/>
        <v>0</v>
      </c>
      <c r="H77" s="391">
        <f t="shared" si="2"/>
        <v>145870.47149023332</v>
      </c>
      <c r="I77" s="324"/>
      <c r="J77" s="325"/>
      <c r="K77" s="325"/>
      <c r="L77" s="317"/>
      <c r="M77" s="318"/>
      <c r="N77" s="318"/>
      <c r="O77" s="318"/>
      <c r="P77" s="392">
        <f t="shared" si="8"/>
        <v>0</v>
      </c>
      <c r="Q77" s="392">
        <f t="shared" si="3"/>
        <v>0</v>
      </c>
      <c r="R77" s="392">
        <f t="shared" si="4"/>
        <v>0</v>
      </c>
      <c r="S77" s="373"/>
      <c r="T77" s="374"/>
      <c r="U77" s="524">
        <f t="shared" si="9"/>
        <v>0</v>
      </c>
      <c r="V77" s="520">
        <f t="shared" si="10"/>
        <v>0</v>
      </c>
      <c r="W77" s="524">
        <f t="shared" si="11"/>
        <v>0</v>
      </c>
      <c r="X77" s="520">
        <f t="shared" si="12"/>
        <v>0</v>
      </c>
      <c r="Y77" s="525">
        <f t="shared" si="13"/>
        <v>0</v>
      </c>
    </row>
    <row r="78" spans="3:38" x14ac:dyDescent="0.2">
      <c r="C78" s="387">
        <f t="shared" si="5"/>
        <v>41973</v>
      </c>
      <c r="D78" s="388">
        <f t="shared" si="6"/>
        <v>145869.56533333333</v>
      </c>
      <c r="E78" s="392">
        <f t="shared" si="7"/>
        <v>0</v>
      </c>
      <c r="F78" s="428">
        <f t="shared" si="0"/>
        <v>0.90615690000000004</v>
      </c>
      <c r="G78" s="390">
        <f t="shared" si="1"/>
        <v>0</v>
      </c>
      <c r="H78" s="391">
        <f t="shared" si="2"/>
        <v>145870.47149023332</v>
      </c>
      <c r="I78" s="324"/>
      <c r="J78" s="325"/>
      <c r="K78" s="325"/>
      <c r="L78" s="319"/>
      <c r="M78" s="320"/>
      <c r="N78" s="320"/>
      <c r="O78" s="320"/>
      <c r="P78" s="392">
        <f t="shared" si="8"/>
        <v>0</v>
      </c>
      <c r="Q78" s="392">
        <f t="shared" si="3"/>
        <v>0</v>
      </c>
      <c r="R78" s="392">
        <f t="shared" si="4"/>
        <v>0</v>
      </c>
      <c r="S78" s="373"/>
      <c r="T78" s="374"/>
      <c r="U78" s="524">
        <f t="shared" si="9"/>
        <v>0</v>
      </c>
      <c r="V78" s="520">
        <f t="shared" si="10"/>
        <v>0</v>
      </c>
      <c r="W78" s="524">
        <f t="shared" si="11"/>
        <v>0</v>
      </c>
      <c r="X78" s="520">
        <f t="shared" si="12"/>
        <v>0</v>
      </c>
      <c r="Y78" s="525">
        <f t="shared" si="13"/>
        <v>0</v>
      </c>
    </row>
    <row r="79" spans="3:38" ht="15" thickBot="1" x14ac:dyDescent="0.25">
      <c r="C79" s="393">
        <f t="shared" si="5"/>
        <v>41974</v>
      </c>
      <c r="D79" s="394">
        <f t="shared" si="6"/>
        <v>145869.56533333333</v>
      </c>
      <c r="E79" s="395">
        <f t="shared" si="7"/>
        <v>0</v>
      </c>
      <c r="F79" s="429">
        <f t="shared" si="0"/>
        <v>0.90615690000000004</v>
      </c>
      <c r="G79" s="396">
        <f t="shared" si="1"/>
        <v>0</v>
      </c>
      <c r="H79" s="397">
        <f t="shared" si="2"/>
        <v>145870.47149023332</v>
      </c>
      <c r="I79" s="326"/>
      <c r="J79" s="327"/>
      <c r="K79" s="327"/>
      <c r="L79" s="321"/>
      <c r="M79" s="322"/>
      <c r="N79" s="322"/>
      <c r="O79" s="322"/>
      <c r="P79" s="395">
        <f t="shared" si="8"/>
        <v>0</v>
      </c>
      <c r="Q79" s="395">
        <f t="shared" si="3"/>
        <v>0</v>
      </c>
      <c r="R79" s="395">
        <f t="shared" si="4"/>
        <v>0</v>
      </c>
      <c r="S79" s="375"/>
      <c r="T79" s="376"/>
      <c r="U79" s="521">
        <f t="shared" si="9"/>
        <v>0</v>
      </c>
      <c r="V79" s="528">
        <f t="shared" si="10"/>
        <v>0</v>
      </c>
      <c r="W79" s="521">
        <f t="shared" si="11"/>
        <v>0</v>
      </c>
      <c r="X79" s="528">
        <f t="shared" si="12"/>
        <v>0</v>
      </c>
      <c r="Y79" s="529">
        <f t="shared" si="13"/>
        <v>0</v>
      </c>
    </row>
    <row r="80" spans="3:38" ht="15" thickBot="1" x14ac:dyDescent="0.25">
      <c r="C80" s="398"/>
      <c r="D80" s="399">
        <f>SUM(D49:D79)</f>
        <v>4521956.5253333319</v>
      </c>
      <c r="E80" s="400">
        <f>SUM(E49:E79)</f>
        <v>0</v>
      </c>
      <c r="F80" s="400"/>
      <c r="G80" s="401">
        <f>SUM(G49:G79)</f>
        <v>0</v>
      </c>
      <c r="H80" s="399">
        <f>SUM(H49:H79)</f>
        <v>4521984.6161972303</v>
      </c>
      <c r="I80" s="432">
        <f>SUM(I49:I79)</f>
        <v>0</v>
      </c>
      <c r="J80" s="432">
        <f t="shared" ref="J80:R80" si="14">SUM(J49:J79)</f>
        <v>0</v>
      </c>
      <c r="K80" s="432">
        <f t="shared" si="14"/>
        <v>0</v>
      </c>
      <c r="L80" s="432">
        <f t="shared" si="14"/>
        <v>0</v>
      </c>
      <c r="M80" s="432">
        <f t="shared" si="14"/>
        <v>0</v>
      </c>
      <c r="N80" s="432">
        <f t="shared" si="14"/>
        <v>0</v>
      </c>
      <c r="O80" s="432">
        <f t="shared" si="14"/>
        <v>0</v>
      </c>
      <c r="P80" s="432">
        <f t="shared" si="14"/>
        <v>0</v>
      </c>
      <c r="Q80" s="432">
        <f t="shared" si="14"/>
        <v>0</v>
      </c>
      <c r="R80" s="432">
        <f t="shared" si="14"/>
        <v>0</v>
      </c>
      <c r="U80" s="530"/>
      <c r="V80" s="328">
        <f>SUM(V49:V79)</f>
        <v>0</v>
      </c>
      <c r="W80" s="328">
        <f>SUM(W49:W79)</f>
        <v>0</v>
      </c>
      <c r="X80" s="328">
        <f>SUM(X49:X79)</f>
        <v>0</v>
      </c>
      <c r="Y80" s="323">
        <f>Y79</f>
        <v>0</v>
      </c>
      <c r="AL80" s="361">
        <f>Y79</f>
        <v>0</v>
      </c>
    </row>
    <row r="81" spans="2:14" ht="15" customHeight="1" x14ac:dyDescent="0.2">
      <c r="B81"/>
      <c r="C81"/>
      <c r="D81"/>
      <c r="E81"/>
      <c r="F81"/>
      <c r="G81"/>
      <c r="H81"/>
      <c r="I81"/>
      <c r="J81"/>
      <c r="K81"/>
      <c r="L81"/>
      <c r="N81" s="2"/>
    </row>
  </sheetData>
  <mergeCells count="12">
    <mergeCell ref="C10:D10"/>
    <mergeCell ref="C11:D11"/>
    <mergeCell ref="C3:M4"/>
    <mergeCell ref="C5:M5"/>
    <mergeCell ref="C6:M6"/>
    <mergeCell ref="G7:H7"/>
    <mergeCell ref="C9:D9"/>
    <mergeCell ref="D23:E23"/>
    <mergeCell ref="D24:E24"/>
    <mergeCell ref="C28:F28"/>
    <mergeCell ref="C39:F39"/>
    <mergeCell ref="S47:Y47"/>
  </mergeCells>
  <conditionalFormatting sqref="L49:O79">
    <cfRule type="cellIs" dxfId="155" priority="1" stopIfTrue="1" operator="equal">
      <formula>0</formula>
    </cfRule>
  </conditionalFormatting>
  <pageMargins left="0.7" right="0.7" top="0.75" bottom="0.75" header="0.3" footer="0.3"/>
  <pageSetup orientation="portrait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L81"/>
  <sheetViews>
    <sheetView workbookViewId="0"/>
  </sheetViews>
  <sheetFormatPr baseColWidth="10" defaultColWidth="11" defaultRowHeight="14.25" x14ac:dyDescent="0.2"/>
  <cols>
    <col min="1" max="1" width="11" style="2"/>
    <col min="2" max="2" width="3.875" style="2" bestFit="1" customWidth="1"/>
    <col min="3" max="3" width="16.125" style="2" customWidth="1"/>
    <col min="4" max="4" width="12.375" style="2" bestFit="1" customWidth="1"/>
    <col min="5" max="5" width="10.875" style="2" bestFit="1" customWidth="1"/>
    <col min="6" max="6" width="17.125" style="2" bestFit="1" customWidth="1"/>
    <col min="7" max="7" width="13.125" style="2" bestFit="1" customWidth="1"/>
    <col min="8" max="8" width="12.125" style="2" bestFit="1" customWidth="1"/>
    <col min="9" max="9" width="11.125" style="2" bestFit="1" customWidth="1"/>
    <col min="10" max="10" width="11.875" style="2" bestFit="1" customWidth="1"/>
    <col min="11" max="11" width="11.625" style="2" bestFit="1" customWidth="1"/>
    <col min="12" max="12" width="12.125" style="2" customWidth="1"/>
    <col min="13" max="13" width="10.5" style="2" bestFit="1" customWidth="1"/>
    <col min="14" max="14" width="9" style="1" customWidth="1"/>
    <col min="15" max="15" width="10.375" style="2" customWidth="1"/>
    <col min="16" max="25" width="11" style="2"/>
    <col min="26" max="32" width="10.875" customWidth="1"/>
    <col min="33" max="16384" width="11" style="2"/>
  </cols>
  <sheetData>
    <row r="2" spans="2:25" x14ac:dyDescent="0.2"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2:25" ht="15" customHeight="1" x14ac:dyDescent="0.2">
      <c r="B3" s="1"/>
      <c r="C3" s="2254" t="s">
        <v>0</v>
      </c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</row>
    <row r="4" spans="2:25" ht="15" customHeight="1" x14ac:dyDescent="0.2"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</row>
    <row r="5" spans="2:25" x14ac:dyDescent="0.2">
      <c r="B5" s="1"/>
      <c r="C5" s="2257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</row>
    <row r="6" spans="2:25" x14ac:dyDescent="0.2">
      <c r="B6" s="1"/>
      <c r="C6" s="2257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</row>
    <row r="7" spans="2:25" x14ac:dyDescent="0.2">
      <c r="B7" s="1"/>
      <c r="C7" s="516"/>
      <c r="D7" s="516"/>
      <c r="E7" s="516"/>
      <c r="F7" s="516"/>
      <c r="G7" s="2271">
        <v>41974</v>
      </c>
      <c r="H7" s="2257"/>
      <c r="I7" s="516"/>
      <c r="J7" s="516"/>
      <c r="K7" s="516"/>
      <c r="L7" s="516"/>
      <c r="M7" s="516"/>
      <c r="N7" s="18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2:25" x14ac:dyDescent="0.2">
      <c r="B8" s="1"/>
      <c r="C8" s="516"/>
      <c r="D8" s="516"/>
      <c r="E8" s="516"/>
      <c r="F8" s="516"/>
      <c r="G8" s="516"/>
      <c r="H8" s="516"/>
      <c r="I8" s="516"/>
      <c r="J8" s="516"/>
      <c r="K8" s="516"/>
      <c r="L8" s="516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2:25" ht="25.5" x14ac:dyDescent="0.2">
      <c r="B9" s="1"/>
      <c r="C9" s="2272" t="s">
        <v>6</v>
      </c>
      <c r="D9" s="2272"/>
      <c r="E9" s="517" t="s">
        <v>94</v>
      </c>
      <c r="F9" s="517" t="s">
        <v>126</v>
      </c>
      <c r="G9" s="410" t="s">
        <v>133</v>
      </c>
      <c r="H9" s="517" t="s">
        <v>127</v>
      </c>
      <c r="I9" s="517" t="s">
        <v>128</v>
      </c>
      <c r="J9" s="516"/>
      <c r="K9" s="516"/>
      <c r="L9" s="516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2:25" x14ac:dyDescent="0.2">
      <c r="B10" s="1"/>
      <c r="C10" s="2270" t="s">
        <v>131</v>
      </c>
      <c r="D10" s="2270"/>
      <c r="E10" s="433">
        <f>IF(C15=0,D15,C15)</f>
        <v>4627948.08</v>
      </c>
      <c r="F10" s="407">
        <f>E10*0.16</f>
        <v>740471.69280000008</v>
      </c>
      <c r="G10" s="407">
        <f>E10+F10</f>
        <v>5368419.7728000004</v>
      </c>
      <c r="H10" s="408"/>
      <c r="I10" s="411">
        <v>19</v>
      </c>
      <c r="J10" s="516"/>
      <c r="K10" s="516"/>
      <c r="L10" s="516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2:25" x14ac:dyDescent="0.2">
      <c r="B11" s="1"/>
      <c r="C11" s="2270" t="s">
        <v>132</v>
      </c>
      <c r="D11" s="2270"/>
      <c r="E11" s="433">
        <f>IF(C16=0,D16,C16)</f>
        <v>2047.42</v>
      </c>
      <c r="F11" s="407">
        <f>E11*0.16</f>
        <v>327.5872</v>
      </c>
      <c r="G11" s="407">
        <f>E11+F11</f>
        <v>2375.0072</v>
      </c>
      <c r="H11" s="408"/>
      <c r="I11" s="411">
        <v>19</v>
      </c>
      <c r="J11" s="516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2:25" x14ac:dyDescent="0.2">
      <c r="B12" s="1"/>
      <c r="C12" s="516"/>
      <c r="D12" s="516"/>
      <c r="E12" s="516"/>
      <c r="F12" s="516"/>
      <c r="G12" s="516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2:25" ht="15" thickBot="1" x14ac:dyDescent="0.25">
      <c r="B13" s="1"/>
      <c r="C13" s="516"/>
      <c r="D13" s="516"/>
      <c r="E13" s="516"/>
      <c r="F13" s="516"/>
      <c r="G13" s="516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2:25" x14ac:dyDescent="0.2">
      <c r="B14" s="1"/>
      <c r="C14" s="440" t="s">
        <v>155</v>
      </c>
      <c r="D14" s="441" t="s">
        <v>156</v>
      </c>
      <c r="E14" s="442" t="s">
        <v>112</v>
      </c>
      <c r="F14" s="516"/>
      <c r="G14" s="516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2:25" x14ac:dyDescent="0.2">
      <c r="B15" s="1"/>
      <c r="C15" s="443">
        <v>4627948.08</v>
      </c>
      <c r="D15" s="444">
        <f>D80</f>
        <v>4376086.9600000028</v>
      </c>
      <c r="E15" s="445">
        <f>C15-D15</f>
        <v>251861.11999999732</v>
      </c>
      <c r="F15" s="516"/>
      <c r="G15" s="516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2:25" ht="15" thickBot="1" x14ac:dyDescent="0.25">
      <c r="B16" s="1"/>
      <c r="C16" s="446">
        <v>2047.42</v>
      </c>
      <c r="D16" s="447">
        <f>ROUND(G80,2)</f>
        <v>0</v>
      </c>
      <c r="E16" s="448">
        <f>C16-D16</f>
        <v>2047.42</v>
      </c>
      <c r="F16" s="516"/>
      <c r="G16" s="516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2:25" x14ac:dyDescent="0.2">
      <c r="B17" s="1"/>
      <c r="C17" s="516"/>
      <c r="D17" s="516"/>
      <c r="E17" s="516"/>
      <c r="F17" s="516"/>
      <c r="G17" s="516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2:25" x14ac:dyDescent="0.2">
      <c r="B18" s="1"/>
      <c r="C18" s="516"/>
      <c r="D18" s="516"/>
      <c r="E18" s="516"/>
      <c r="F18" s="516"/>
      <c r="G18" s="516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2:25" x14ac:dyDescent="0.2">
      <c r="B19" s="1"/>
      <c r="C19" s="516"/>
      <c r="D19" s="516"/>
      <c r="E19" s="516"/>
      <c r="F19" s="516"/>
      <c r="G19" s="516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2:25" x14ac:dyDescent="0.2">
      <c r="B20" s="1"/>
      <c r="C20" s="516"/>
      <c r="D20" s="516"/>
      <c r="E20" s="516"/>
      <c r="F20" s="516"/>
      <c r="G20" s="516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2:25" x14ac:dyDescent="0.2">
      <c r="B21" s="1"/>
      <c r="C21" s="516"/>
      <c r="D21" s="516"/>
      <c r="E21" s="516"/>
      <c r="F21" s="516"/>
      <c r="G21" s="516"/>
      <c r="H21" s="1"/>
      <c r="I21" s="1"/>
      <c r="J21" s="1"/>
      <c r="K21" s="1"/>
      <c r="L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2:25" ht="15" thickBot="1" x14ac:dyDescent="0.25">
      <c r="B22" s="1"/>
      <c r="C22" s="419" t="s">
        <v>137</v>
      </c>
      <c r="D22" s="516" t="s">
        <v>138</v>
      </c>
      <c r="E22" s="516"/>
      <c r="F22" s="516" t="s">
        <v>139</v>
      </c>
      <c r="G22" s="516" t="s">
        <v>157</v>
      </c>
      <c r="H22" s="516" t="s">
        <v>143</v>
      </c>
      <c r="I22" s="516" t="s">
        <v>142</v>
      </c>
      <c r="J22" s="516" t="s">
        <v>141</v>
      </c>
      <c r="K22" s="516" t="s">
        <v>140</v>
      </c>
      <c r="L22" s="516" t="s">
        <v>144</v>
      </c>
      <c r="M22" s="516" t="s">
        <v>146</v>
      </c>
      <c r="N22" s="516"/>
      <c r="O22" s="516"/>
      <c r="P22" s="516"/>
      <c r="Q22" s="1"/>
      <c r="R22" s="1"/>
      <c r="S22" s="1"/>
      <c r="T22" s="1"/>
      <c r="U22" s="1"/>
      <c r="V22" s="1"/>
      <c r="W22" s="1"/>
      <c r="X22" s="1"/>
      <c r="Y22" s="1"/>
    </row>
    <row r="23" spans="2:25" ht="36.75" customHeight="1" x14ac:dyDescent="0.2">
      <c r="B23" s="1"/>
      <c r="C23" s="402" t="s">
        <v>134</v>
      </c>
      <c r="D23" s="2261" t="s">
        <v>135</v>
      </c>
      <c r="E23" s="2262"/>
      <c r="F23" s="518" t="s">
        <v>136</v>
      </c>
      <c r="G23" s="461" t="s">
        <v>153</v>
      </c>
      <c r="H23" s="420" t="s">
        <v>129</v>
      </c>
      <c r="I23" s="403" t="s">
        <v>130</v>
      </c>
      <c r="J23" s="422"/>
      <c r="K23" s="422"/>
      <c r="L23" s="422"/>
      <c r="M23" s="404" t="s">
        <v>158</v>
      </c>
      <c r="N23" s="516"/>
      <c r="O23" s="516"/>
      <c r="P23" s="516"/>
      <c r="Q23" s="516"/>
      <c r="R23" s="516"/>
      <c r="S23" s="516"/>
      <c r="T23" s="516"/>
      <c r="U23" s="1"/>
      <c r="V23" s="1"/>
      <c r="W23" s="1"/>
      <c r="X23" s="1"/>
      <c r="Y23" s="1"/>
    </row>
    <row r="24" spans="2:25" x14ac:dyDescent="0.2">
      <c r="B24" s="1"/>
      <c r="C24" s="405">
        <v>850</v>
      </c>
      <c r="D24" s="2263">
        <v>850</v>
      </c>
      <c r="E24" s="2264"/>
      <c r="F24" s="418">
        <v>31482640</v>
      </c>
      <c r="G24" s="462">
        <v>31</v>
      </c>
      <c r="H24" s="460">
        <f>VLOOKUP(C47,Tarifas!D4:H303,3)</f>
        <v>0.13900000000000001</v>
      </c>
      <c r="I24" s="424">
        <f>VLOOKUP(C47,Tarifas!D4:H303,5)</f>
        <v>1E-3</v>
      </c>
      <c r="J24" s="421">
        <v>182.5</v>
      </c>
      <c r="K24" s="421">
        <v>201.4</v>
      </c>
      <c r="L24" s="421">
        <f>I11</f>
        <v>19</v>
      </c>
      <c r="M24" s="431">
        <f>E80</f>
        <v>0</v>
      </c>
      <c r="N24" s="430" t="s">
        <v>62</v>
      </c>
      <c r="O24" s="516"/>
      <c r="P24" s="516"/>
      <c r="Q24" s="516"/>
      <c r="R24" s="516"/>
      <c r="S24" s="516"/>
      <c r="T24" s="516"/>
      <c r="U24" s="1"/>
      <c r="V24" s="1"/>
      <c r="W24" s="1"/>
      <c r="X24" s="1"/>
      <c r="Y24" s="1"/>
    </row>
    <row r="25" spans="2:25" x14ac:dyDescent="0.2">
      <c r="B25" s="1"/>
      <c r="C25" s="516"/>
      <c r="D25" s="516"/>
      <c r="E25" s="516"/>
      <c r="F25" s="516"/>
      <c r="G25" s="516"/>
      <c r="H25" s="516"/>
      <c r="I25" s="516"/>
      <c r="J25" s="516"/>
      <c r="K25" s="516"/>
      <c r="L25" s="516"/>
      <c r="M25" s="516"/>
      <c r="N25" s="516"/>
      <c r="O25" s="516"/>
      <c r="P25" s="516"/>
      <c r="Q25" s="516"/>
      <c r="R25" s="516"/>
      <c r="S25" s="1"/>
      <c r="T25" s="1"/>
      <c r="U25" s="1"/>
      <c r="V25" s="1"/>
      <c r="W25" s="1"/>
      <c r="X25" s="1"/>
      <c r="Y25" s="1"/>
    </row>
    <row r="26" spans="2:25" x14ac:dyDescent="0.2">
      <c r="B26" s="1"/>
      <c r="C26" s="516"/>
      <c r="D26" s="516"/>
      <c r="E26" s="516"/>
      <c r="F26" s="516"/>
      <c r="G26" s="516"/>
      <c r="H26" s="516"/>
      <c r="I26" s="516"/>
      <c r="J26" s="516"/>
      <c r="K26" s="516"/>
      <c r="L26" s="516"/>
      <c r="M26" s="516"/>
      <c r="N26" s="516"/>
      <c r="O26" s="516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2:25" x14ac:dyDescent="0.2">
      <c r="B27" s="1"/>
      <c r="C27" s="516"/>
      <c r="D27" s="516"/>
      <c r="E27" s="516"/>
      <c r="F27" s="516"/>
      <c r="G27" s="516"/>
      <c r="H27" s="516"/>
      <c r="I27" s="516"/>
      <c r="J27" s="516"/>
      <c r="K27" s="516"/>
      <c r="L27" s="516"/>
      <c r="M27" s="516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2:25" ht="15" thickBot="1" x14ac:dyDescent="0.25">
      <c r="B28" s="1"/>
      <c r="C28" s="2265" t="s">
        <v>86</v>
      </c>
      <c r="D28" s="2265"/>
      <c r="E28" s="2265"/>
      <c r="F28" s="2265"/>
      <c r="G28" s="519"/>
      <c r="H28" s="334"/>
      <c r="I28" s="334"/>
      <c r="J28" s="334"/>
      <c r="K28" s="519"/>
      <c r="L28" s="336"/>
      <c r="M28" s="336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2:25" ht="22.5" x14ac:dyDescent="0.2">
      <c r="B29" s="1"/>
      <c r="C29" s="337" t="s">
        <v>87</v>
      </c>
      <c r="D29" s="514" t="s">
        <v>88</v>
      </c>
      <c r="E29" s="514" t="s">
        <v>89</v>
      </c>
      <c r="F29" s="514" t="s">
        <v>20</v>
      </c>
      <c r="G29" s="514" t="s">
        <v>160</v>
      </c>
      <c r="H29" s="514" t="s">
        <v>90</v>
      </c>
      <c r="I29" s="514" t="s">
        <v>91</v>
      </c>
      <c r="J29" s="514" t="s">
        <v>92</v>
      </c>
      <c r="K29" s="514" t="s">
        <v>93</v>
      </c>
      <c r="L29" s="514" t="s">
        <v>94</v>
      </c>
      <c r="M29" s="515" t="s">
        <v>95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2:25" x14ac:dyDescent="0.2">
      <c r="B30" s="1"/>
      <c r="C30" s="338"/>
      <c r="D30" s="339">
        <v>1</v>
      </c>
      <c r="E30" s="339" t="s">
        <v>96</v>
      </c>
      <c r="F30" s="340" t="s">
        <v>97</v>
      </c>
      <c r="G30" s="340">
        <v>2201</v>
      </c>
      <c r="H30" s="339">
        <v>20823</v>
      </c>
      <c r="I30" s="341">
        <v>40000</v>
      </c>
      <c r="J30" s="339">
        <v>138.15</v>
      </c>
      <c r="K30" s="342">
        <f>I30/I$35</f>
        <v>4.7058823529411764E-2</v>
      </c>
      <c r="L30" s="343">
        <f>ROUND(K30*E$10,2)</f>
        <v>217785.79</v>
      </c>
      <c r="M30" s="344">
        <f>L30*$I$10</f>
        <v>4137930.0100000002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2:25" x14ac:dyDescent="0.2">
      <c r="B31" s="1"/>
      <c r="C31" s="338"/>
      <c r="D31" s="339">
        <v>2</v>
      </c>
      <c r="E31" s="339" t="s">
        <v>98</v>
      </c>
      <c r="F31" s="340" t="s">
        <v>97</v>
      </c>
      <c r="G31" s="340">
        <v>2201</v>
      </c>
      <c r="H31" s="339">
        <v>20824</v>
      </c>
      <c r="I31" s="341">
        <v>40000</v>
      </c>
      <c r="J31" s="339">
        <v>138.15</v>
      </c>
      <c r="K31" s="342">
        <f>I31/I$35</f>
        <v>4.7058823529411764E-2</v>
      </c>
      <c r="L31" s="343">
        <f>ROUND(K31*E$10,2)</f>
        <v>217785.79</v>
      </c>
      <c r="M31" s="344">
        <f>L31*$I$10</f>
        <v>4137930.0100000002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2:25" x14ac:dyDescent="0.2">
      <c r="B32" s="1"/>
      <c r="C32" s="338"/>
      <c r="D32" s="339">
        <v>1</v>
      </c>
      <c r="E32" s="339" t="s">
        <v>99</v>
      </c>
      <c r="F32" s="340" t="s">
        <v>100</v>
      </c>
      <c r="G32" s="340">
        <v>2230</v>
      </c>
      <c r="H32" s="339">
        <v>22228</v>
      </c>
      <c r="I32" s="341">
        <v>32000</v>
      </c>
      <c r="J32" s="339">
        <v>130.80000000000001</v>
      </c>
      <c r="K32" s="342">
        <f>I32/I$35</f>
        <v>3.7647058823529408E-2</v>
      </c>
      <c r="L32" s="343">
        <f>ROUND(K32*E$10,2)</f>
        <v>174228.63</v>
      </c>
      <c r="M32" s="344">
        <f>L32*$I$10</f>
        <v>3310343.97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2:25" x14ac:dyDescent="0.2">
      <c r="B33" s="1"/>
      <c r="C33" s="338">
        <v>800762390</v>
      </c>
      <c r="D33" s="339">
        <v>1</v>
      </c>
      <c r="E33" s="354" t="s">
        <v>101</v>
      </c>
      <c r="F33" s="463" t="s">
        <v>23</v>
      </c>
      <c r="G33" s="463">
        <v>2044</v>
      </c>
      <c r="H33" s="354">
        <v>591000420</v>
      </c>
      <c r="I33" s="341">
        <v>80000</v>
      </c>
      <c r="J33" s="339"/>
      <c r="K33" s="342">
        <f>I33/I$35</f>
        <v>9.4117647058823528E-2</v>
      </c>
      <c r="L33" s="343">
        <f>ROUND(K33*E$10,2)</f>
        <v>435571.58</v>
      </c>
      <c r="M33" s="344">
        <f>L33*$I$10</f>
        <v>8275860.0200000005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2:25" ht="15" thickBot="1" x14ac:dyDescent="0.25">
      <c r="B34" s="1"/>
      <c r="C34" s="345">
        <v>800642440</v>
      </c>
      <c r="D34" s="346">
        <v>5</v>
      </c>
      <c r="E34" s="347" t="s">
        <v>101</v>
      </c>
      <c r="F34" s="348" t="s">
        <v>159</v>
      </c>
      <c r="G34" s="348">
        <v>2277</v>
      </c>
      <c r="H34" s="347">
        <v>22770</v>
      </c>
      <c r="I34" s="349">
        <f>850000-I30-I31-I32-I33</f>
        <v>658000</v>
      </c>
      <c r="J34" s="346"/>
      <c r="K34" s="350">
        <f>I34/I$35</f>
        <v>0.77411764705882358</v>
      </c>
      <c r="L34" s="351">
        <f>ROUND(K34*E$10,2)</f>
        <v>3582576.28</v>
      </c>
      <c r="M34" s="352">
        <f>L34*$I$10</f>
        <v>68068949.319999993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2:25" x14ac:dyDescent="0.2">
      <c r="B35" s="1"/>
      <c r="C35" s="406">
        <v>3000623</v>
      </c>
      <c r="D35" s="353" t="s">
        <v>102</v>
      </c>
      <c r="E35" s="353"/>
      <c r="F35" s="353"/>
      <c r="G35" s="353"/>
      <c r="H35" s="354"/>
      <c r="I35" s="355">
        <f>SUM(I30:I34)</f>
        <v>850000</v>
      </c>
      <c r="J35" s="353"/>
      <c r="K35" s="356">
        <f>SUM(K30:K34)</f>
        <v>1</v>
      </c>
      <c r="L35" s="357">
        <f>SUM(L30:L34)</f>
        <v>4627948.07</v>
      </c>
      <c r="M35" s="357">
        <f>SUM(M30:M34)</f>
        <v>87931013.329999998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2:25" x14ac:dyDescent="0.2">
      <c r="B36" s="1"/>
      <c r="C36" s="336"/>
      <c r="D36" s="336"/>
      <c r="E36" s="336"/>
      <c r="F36" s="358"/>
      <c r="G36" s="358"/>
      <c r="H36" s="336"/>
      <c r="I36" s="336"/>
      <c r="J36" s="336"/>
      <c r="K36" s="336"/>
      <c r="L36" s="359"/>
      <c r="M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2:25" x14ac:dyDescent="0.2">
      <c r="B37" s="1"/>
      <c r="C37" s="336"/>
      <c r="D37" s="336"/>
      <c r="E37" s="336"/>
      <c r="F37" s="358"/>
      <c r="G37" s="358"/>
      <c r="H37" s="336"/>
      <c r="I37" s="336"/>
      <c r="J37" s="336"/>
      <c r="K37" s="336"/>
      <c r="L37" s="359"/>
      <c r="M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2:25" x14ac:dyDescent="0.2">
      <c r="B38" s="1"/>
      <c r="C38" s="336"/>
      <c r="D38" s="336"/>
      <c r="E38" s="336"/>
      <c r="F38" s="358"/>
      <c r="G38" s="358"/>
      <c r="H38" s="336"/>
      <c r="I38" s="336"/>
      <c r="J38" s="336"/>
      <c r="K38" s="336"/>
      <c r="L38" s="359"/>
      <c r="M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2:25" ht="15" thickBot="1" x14ac:dyDescent="0.25">
      <c r="B39" s="1"/>
      <c r="C39" s="2266" t="s">
        <v>103</v>
      </c>
      <c r="D39" s="2266"/>
      <c r="E39" s="2266"/>
      <c r="F39" s="2266"/>
      <c r="G39" s="519"/>
      <c r="H39" s="334"/>
      <c r="I39" s="334"/>
      <c r="J39" s="334"/>
      <c r="K39" s="336"/>
      <c r="L39" s="336"/>
      <c r="M39" s="360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2:25" ht="22.5" x14ac:dyDescent="0.2">
      <c r="B40" s="1"/>
      <c r="C40" s="337" t="s">
        <v>87</v>
      </c>
      <c r="D40" s="514" t="s">
        <v>88</v>
      </c>
      <c r="E40" s="514" t="s">
        <v>89</v>
      </c>
      <c r="F40" s="514" t="s">
        <v>20</v>
      </c>
      <c r="G40" s="514"/>
      <c r="H40" s="514" t="s">
        <v>90</v>
      </c>
      <c r="I40" s="514" t="s">
        <v>104</v>
      </c>
      <c r="J40" s="514" t="s">
        <v>93</v>
      </c>
      <c r="K40" s="514" t="s">
        <v>92</v>
      </c>
      <c r="L40" s="514" t="s">
        <v>94</v>
      </c>
      <c r="M40" s="515" t="s">
        <v>95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2:25" x14ac:dyDescent="0.2">
      <c r="B41" s="1"/>
      <c r="C41" s="338"/>
      <c r="D41" s="339">
        <v>1</v>
      </c>
      <c r="E41" s="339" t="s">
        <v>96</v>
      </c>
      <c r="F41" s="340" t="s">
        <v>97</v>
      </c>
      <c r="G41" s="340"/>
      <c r="H41" s="339">
        <v>20823</v>
      </c>
      <c r="I41" s="341">
        <f>M80</f>
        <v>0</v>
      </c>
      <c r="J41" s="342" t="e">
        <f>I41/I$45</f>
        <v>#DIV/0!</v>
      </c>
      <c r="K41" s="339">
        <v>138.15</v>
      </c>
      <c r="L41" s="343" t="e">
        <f>ROUND(J41*$E$11,2)</f>
        <v>#DIV/0!</v>
      </c>
      <c r="M41" s="344" t="e">
        <f>L41*L24</f>
        <v>#DIV/0!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2:25" x14ac:dyDescent="0.2">
      <c r="B42" s="1"/>
      <c r="C42" s="338"/>
      <c r="D42" s="339">
        <v>2</v>
      </c>
      <c r="E42" s="339" t="s">
        <v>98</v>
      </c>
      <c r="F42" s="340" t="s">
        <v>97</v>
      </c>
      <c r="G42" s="340"/>
      <c r="H42" s="339">
        <v>20824</v>
      </c>
      <c r="I42" s="341">
        <f>N80</f>
        <v>0</v>
      </c>
      <c r="J42" s="342" t="e">
        <f>I42/I$45</f>
        <v>#DIV/0!</v>
      </c>
      <c r="K42" s="339">
        <v>138.15</v>
      </c>
      <c r="L42" s="343" t="e">
        <f>ROUND(J42*$E$11,2)</f>
        <v>#DIV/0!</v>
      </c>
      <c r="M42" s="344" t="e">
        <f>L42*L25</f>
        <v>#DIV/0!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2:25" x14ac:dyDescent="0.2">
      <c r="B43" s="1"/>
      <c r="C43" s="338"/>
      <c r="D43" s="339">
        <v>1</v>
      </c>
      <c r="E43" s="339" t="s">
        <v>99</v>
      </c>
      <c r="F43" s="340" t="s">
        <v>100</v>
      </c>
      <c r="G43" s="340"/>
      <c r="H43" s="339">
        <v>22228</v>
      </c>
      <c r="I43" s="341">
        <f>O80</f>
        <v>0</v>
      </c>
      <c r="J43" s="342" t="e">
        <f>I43/I$45</f>
        <v>#DIV/0!</v>
      </c>
      <c r="K43" s="339">
        <v>130.80000000000001</v>
      </c>
      <c r="L43" s="343" t="e">
        <f>ROUND(J43*$E$11,2)</f>
        <v>#DIV/0!</v>
      </c>
      <c r="M43" s="344" t="e">
        <f>L43*L26</f>
        <v>#DIV/0!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2:25" ht="15" thickBot="1" x14ac:dyDescent="0.25">
      <c r="B44" s="1"/>
      <c r="C44" s="345">
        <v>800762390</v>
      </c>
      <c r="D44" s="346">
        <v>2</v>
      </c>
      <c r="E44" s="347" t="s">
        <v>101</v>
      </c>
      <c r="F44" s="348" t="s">
        <v>23</v>
      </c>
      <c r="G44" s="348"/>
      <c r="H44" s="347"/>
      <c r="I44" s="349">
        <f>L80</f>
        <v>0</v>
      </c>
      <c r="J44" s="350" t="e">
        <f>I44/I$45</f>
        <v>#DIV/0!</v>
      </c>
      <c r="K44" s="346">
        <v>138.15</v>
      </c>
      <c r="L44" s="351" t="e">
        <f>ROUND(J44*$E$11,2)</f>
        <v>#DIV/0!</v>
      </c>
      <c r="M44" s="352" t="e">
        <f>L44*L27</f>
        <v>#DIV/0!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2:25" x14ac:dyDescent="0.2">
      <c r="B45" s="1"/>
      <c r="C45" s="353"/>
      <c r="D45" s="353"/>
      <c r="E45" s="353"/>
      <c r="F45" s="353"/>
      <c r="G45" s="353"/>
      <c r="H45" s="354"/>
      <c r="I45" s="449">
        <f>SUM(I41:I44)</f>
        <v>0</v>
      </c>
      <c r="J45" s="355"/>
      <c r="K45" s="353"/>
      <c r="L45" s="357" t="e">
        <f>SUM(L41:L44)</f>
        <v>#DIV/0!</v>
      </c>
      <c r="M45" s="357" t="e">
        <f>SUM(M41:M44)</f>
        <v>#DIV/0!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2:25" customFormat="1" ht="15" thickBot="1" x14ac:dyDescent="0.25">
      <c r="M46" s="450"/>
      <c r="N46" s="450"/>
      <c r="O46" s="450"/>
      <c r="P46" s="450"/>
      <c r="Q46" s="450"/>
      <c r="R46" s="450"/>
      <c r="S46" s="450"/>
      <c r="T46" s="450"/>
      <c r="U46" s="450"/>
      <c r="V46" s="450"/>
      <c r="W46" s="450"/>
      <c r="X46" s="450"/>
      <c r="Y46" s="450"/>
    </row>
    <row r="47" spans="2:25" ht="15" thickBot="1" x14ac:dyDescent="0.25">
      <c r="B47" s="434" t="s">
        <v>3</v>
      </c>
      <c r="C47" s="333">
        <f>SUMIF(Tarifas!E4:E303,'Diciembre - 2014'!C49,Tarifas!D4:D303)</f>
        <v>17</v>
      </c>
      <c r="D47" s="425" t="s">
        <v>147</v>
      </c>
      <c r="E47" s="426" t="s">
        <v>145</v>
      </c>
      <c r="F47" s="426" t="s">
        <v>150</v>
      </c>
      <c r="G47" s="426" t="s">
        <v>148</v>
      </c>
      <c r="H47" s="382"/>
      <c r="I47" s="331" t="s">
        <v>120</v>
      </c>
      <c r="J47" s="332"/>
      <c r="K47" s="332"/>
      <c r="L47" s="364" t="s">
        <v>105</v>
      </c>
      <c r="M47" s="365"/>
      <c r="N47" s="365"/>
      <c r="O47" s="365"/>
      <c r="P47" s="365"/>
      <c r="Q47" s="365"/>
      <c r="R47" s="366"/>
      <c r="S47" s="2267" t="s">
        <v>121</v>
      </c>
      <c r="T47" s="2268"/>
      <c r="U47" s="2268"/>
      <c r="V47" s="2268"/>
      <c r="W47" s="2268"/>
      <c r="X47" s="2268"/>
      <c r="Y47" s="2269"/>
    </row>
    <row r="48" spans="2:25" ht="33.75" x14ac:dyDescent="0.2">
      <c r="C48" s="383" t="s">
        <v>122</v>
      </c>
      <c r="D48" s="384" t="s">
        <v>125</v>
      </c>
      <c r="E48" s="385" t="s">
        <v>149</v>
      </c>
      <c r="F48" s="385" t="s">
        <v>151</v>
      </c>
      <c r="G48" s="385" t="s">
        <v>152</v>
      </c>
      <c r="H48" s="386" t="s">
        <v>123</v>
      </c>
      <c r="I48" s="329" t="s">
        <v>109</v>
      </c>
      <c r="J48" s="330" t="s">
        <v>25</v>
      </c>
      <c r="K48" s="330" t="s">
        <v>26</v>
      </c>
      <c r="L48" s="367" t="s">
        <v>115</v>
      </c>
      <c r="M48" s="362" t="s">
        <v>106</v>
      </c>
      <c r="N48" s="362" t="s">
        <v>107</v>
      </c>
      <c r="O48" s="362" t="s">
        <v>108</v>
      </c>
      <c r="P48" s="362" t="s">
        <v>115</v>
      </c>
      <c r="Q48" s="363" t="s">
        <v>116</v>
      </c>
      <c r="R48" s="368" t="s">
        <v>117</v>
      </c>
      <c r="S48" s="369" t="s">
        <v>110</v>
      </c>
      <c r="T48" s="370" t="s">
        <v>111</v>
      </c>
      <c r="U48" s="370" t="s">
        <v>112</v>
      </c>
      <c r="V48" s="371" t="s">
        <v>118</v>
      </c>
      <c r="W48" s="371" t="s">
        <v>119</v>
      </c>
      <c r="X48" s="371" t="s">
        <v>114</v>
      </c>
      <c r="Y48" s="372" t="s">
        <v>113</v>
      </c>
    </row>
    <row r="49" spans="3:25" x14ac:dyDescent="0.2">
      <c r="C49" s="387">
        <f>G7</f>
        <v>41974</v>
      </c>
      <c r="D49" s="388">
        <f>($F$24*$H$24)/$G$24</f>
        <v>141164.09548387097</v>
      </c>
      <c r="E49" s="389">
        <f>P49+Q49+R49</f>
        <v>0</v>
      </c>
      <c r="F49" s="427">
        <f t="shared" ref="F49:F79" si="0">TRUNC(IFERROR(J$24/K$24,0),8)</f>
        <v>0.90615690000000004</v>
      </c>
      <c r="G49" s="390">
        <f t="shared" ref="G49:G79" si="1">ROUND(I$24*F49*E49,4)</f>
        <v>0</v>
      </c>
      <c r="H49" s="391">
        <f t="shared" ref="H49:H79" si="2">SUM(D49:G49)</f>
        <v>141165.00164077096</v>
      </c>
      <c r="I49" s="324"/>
      <c r="J49" s="325"/>
      <c r="K49" s="325"/>
      <c r="L49" s="317"/>
      <c r="M49" s="318"/>
      <c r="N49" s="318"/>
      <c r="O49" s="318"/>
      <c r="P49" s="389">
        <f>L49</f>
        <v>0</v>
      </c>
      <c r="Q49" s="389">
        <f t="shared" ref="Q49:Q79" si="3">M49+N49</f>
        <v>0</v>
      </c>
      <c r="R49" s="389">
        <f t="shared" ref="R49:R79" si="4">O49</f>
        <v>0</v>
      </c>
      <c r="S49" s="373"/>
      <c r="T49" s="374"/>
      <c r="U49" s="524">
        <f>S49+T49-V49</f>
        <v>0</v>
      </c>
      <c r="V49" s="520">
        <f>I49+J49+K49</f>
        <v>0</v>
      </c>
      <c r="W49" s="524">
        <f>(P49+Q49+R49)*1.055056</f>
        <v>0</v>
      </c>
      <c r="X49" s="520">
        <f>V49-W49</f>
        <v>0</v>
      </c>
      <c r="Y49" s="525">
        <f>AL46+X49</f>
        <v>0</v>
      </c>
    </row>
    <row r="50" spans="3:25" x14ac:dyDescent="0.2">
      <c r="C50" s="387">
        <f t="shared" ref="C50:C79" si="5">C49+1</f>
        <v>41975</v>
      </c>
      <c r="D50" s="388">
        <f t="shared" ref="D50:D79" si="6">($F$24*$H$24)/$G$24</f>
        <v>141164.09548387097</v>
      </c>
      <c r="E50" s="392">
        <f t="shared" ref="E50:E79" si="7">P50+Q50+R50</f>
        <v>0</v>
      </c>
      <c r="F50" s="428">
        <f t="shared" si="0"/>
        <v>0.90615690000000004</v>
      </c>
      <c r="G50" s="390">
        <f t="shared" si="1"/>
        <v>0</v>
      </c>
      <c r="H50" s="391">
        <f t="shared" si="2"/>
        <v>141165.00164077096</v>
      </c>
      <c r="I50" s="324"/>
      <c r="J50" s="325"/>
      <c r="K50" s="325"/>
      <c r="L50" s="319"/>
      <c r="M50" s="320"/>
      <c r="N50" s="320"/>
      <c r="O50" s="320"/>
      <c r="P50" s="392">
        <f t="shared" ref="P50:P79" si="8">L50</f>
        <v>0</v>
      </c>
      <c r="Q50" s="392">
        <f t="shared" si="3"/>
        <v>0</v>
      </c>
      <c r="R50" s="392">
        <f t="shared" si="4"/>
        <v>0</v>
      </c>
      <c r="S50" s="373"/>
      <c r="T50" s="374"/>
      <c r="U50" s="524">
        <f t="shared" ref="U50:U79" si="9">S50+T50-V50</f>
        <v>0</v>
      </c>
      <c r="V50" s="520">
        <f t="shared" ref="V50:V79" si="10">I50+J50+K50</f>
        <v>0</v>
      </c>
      <c r="W50" s="524">
        <f t="shared" ref="W50:W79" si="11">(P50+Q50+R50)*1.055056</f>
        <v>0</v>
      </c>
      <c r="X50" s="520">
        <f t="shared" ref="X50:X79" si="12">V50-W50</f>
        <v>0</v>
      </c>
      <c r="Y50" s="525">
        <f>Y49+X50</f>
        <v>0</v>
      </c>
    </row>
    <row r="51" spans="3:25" x14ac:dyDescent="0.2">
      <c r="C51" s="387">
        <f t="shared" si="5"/>
        <v>41976</v>
      </c>
      <c r="D51" s="388">
        <f t="shared" si="6"/>
        <v>141164.09548387097</v>
      </c>
      <c r="E51" s="392">
        <f t="shared" si="7"/>
        <v>0</v>
      </c>
      <c r="F51" s="428">
        <f t="shared" si="0"/>
        <v>0.90615690000000004</v>
      </c>
      <c r="G51" s="390">
        <f t="shared" si="1"/>
        <v>0</v>
      </c>
      <c r="H51" s="391">
        <f t="shared" si="2"/>
        <v>141165.00164077096</v>
      </c>
      <c r="I51" s="324"/>
      <c r="J51" s="325"/>
      <c r="K51" s="325"/>
      <c r="L51" s="317"/>
      <c r="M51" s="318"/>
      <c r="N51" s="318"/>
      <c r="O51" s="318"/>
      <c r="P51" s="392">
        <f t="shared" si="8"/>
        <v>0</v>
      </c>
      <c r="Q51" s="392">
        <f t="shared" si="3"/>
        <v>0</v>
      </c>
      <c r="R51" s="392">
        <f t="shared" si="4"/>
        <v>0</v>
      </c>
      <c r="S51" s="373"/>
      <c r="T51" s="374"/>
      <c r="U51" s="524">
        <f t="shared" si="9"/>
        <v>0</v>
      </c>
      <c r="V51" s="520">
        <f t="shared" si="10"/>
        <v>0</v>
      </c>
      <c r="W51" s="524">
        <f t="shared" si="11"/>
        <v>0</v>
      </c>
      <c r="X51" s="520">
        <f t="shared" si="12"/>
        <v>0</v>
      </c>
      <c r="Y51" s="525">
        <f t="shared" ref="Y51:Y79" si="13">Y50+X51</f>
        <v>0</v>
      </c>
    </row>
    <row r="52" spans="3:25" x14ac:dyDescent="0.2">
      <c r="C52" s="387">
        <f t="shared" si="5"/>
        <v>41977</v>
      </c>
      <c r="D52" s="388">
        <f t="shared" si="6"/>
        <v>141164.09548387097</v>
      </c>
      <c r="E52" s="392">
        <f t="shared" si="7"/>
        <v>0</v>
      </c>
      <c r="F52" s="428">
        <f t="shared" si="0"/>
        <v>0.90615690000000004</v>
      </c>
      <c r="G52" s="390">
        <f t="shared" si="1"/>
        <v>0</v>
      </c>
      <c r="H52" s="391">
        <f t="shared" si="2"/>
        <v>141165.00164077096</v>
      </c>
      <c r="I52" s="324"/>
      <c r="J52" s="325"/>
      <c r="K52" s="325"/>
      <c r="L52" s="319"/>
      <c r="M52" s="320"/>
      <c r="N52" s="320"/>
      <c r="O52" s="320"/>
      <c r="P52" s="392">
        <f t="shared" si="8"/>
        <v>0</v>
      </c>
      <c r="Q52" s="392">
        <f t="shared" si="3"/>
        <v>0</v>
      </c>
      <c r="R52" s="392">
        <f t="shared" si="4"/>
        <v>0</v>
      </c>
      <c r="S52" s="373"/>
      <c r="T52" s="374"/>
      <c r="U52" s="524">
        <f t="shared" si="9"/>
        <v>0</v>
      </c>
      <c r="V52" s="520">
        <f t="shared" si="10"/>
        <v>0</v>
      </c>
      <c r="W52" s="524">
        <f t="shared" si="11"/>
        <v>0</v>
      </c>
      <c r="X52" s="520">
        <f t="shared" si="12"/>
        <v>0</v>
      </c>
      <c r="Y52" s="525">
        <f t="shared" si="13"/>
        <v>0</v>
      </c>
    </row>
    <row r="53" spans="3:25" x14ac:dyDescent="0.2">
      <c r="C53" s="387">
        <f t="shared" si="5"/>
        <v>41978</v>
      </c>
      <c r="D53" s="388">
        <f t="shared" si="6"/>
        <v>141164.09548387097</v>
      </c>
      <c r="E53" s="392">
        <f t="shared" si="7"/>
        <v>0</v>
      </c>
      <c r="F53" s="428">
        <f t="shared" si="0"/>
        <v>0.90615690000000004</v>
      </c>
      <c r="G53" s="390">
        <f t="shared" si="1"/>
        <v>0</v>
      </c>
      <c r="H53" s="391">
        <f t="shared" si="2"/>
        <v>141165.00164077096</v>
      </c>
      <c r="I53" s="324"/>
      <c r="J53" s="325"/>
      <c r="K53" s="325"/>
      <c r="L53" s="317"/>
      <c r="M53" s="318"/>
      <c r="N53" s="318"/>
      <c r="O53" s="318"/>
      <c r="P53" s="392">
        <f t="shared" si="8"/>
        <v>0</v>
      </c>
      <c r="Q53" s="392">
        <f t="shared" si="3"/>
        <v>0</v>
      </c>
      <c r="R53" s="392">
        <f t="shared" si="4"/>
        <v>0</v>
      </c>
      <c r="S53" s="373"/>
      <c r="T53" s="374"/>
      <c r="U53" s="524">
        <f t="shared" si="9"/>
        <v>0</v>
      </c>
      <c r="V53" s="520">
        <f t="shared" si="10"/>
        <v>0</v>
      </c>
      <c r="W53" s="524">
        <f t="shared" si="11"/>
        <v>0</v>
      </c>
      <c r="X53" s="520">
        <f t="shared" si="12"/>
        <v>0</v>
      </c>
      <c r="Y53" s="525">
        <f t="shared" si="13"/>
        <v>0</v>
      </c>
    </row>
    <row r="54" spans="3:25" x14ac:dyDescent="0.2">
      <c r="C54" s="387">
        <f t="shared" si="5"/>
        <v>41979</v>
      </c>
      <c r="D54" s="388">
        <f t="shared" si="6"/>
        <v>141164.09548387097</v>
      </c>
      <c r="E54" s="392">
        <f t="shared" si="7"/>
        <v>0</v>
      </c>
      <c r="F54" s="428">
        <f t="shared" si="0"/>
        <v>0.90615690000000004</v>
      </c>
      <c r="G54" s="390">
        <f t="shared" si="1"/>
        <v>0</v>
      </c>
      <c r="H54" s="391">
        <f t="shared" si="2"/>
        <v>141165.00164077096</v>
      </c>
      <c r="I54" s="324"/>
      <c r="J54" s="325"/>
      <c r="K54" s="325"/>
      <c r="L54" s="319"/>
      <c r="M54" s="320"/>
      <c r="N54" s="320"/>
      <c r="O54" s="320"/>
      <c r="P54" s="392">
        <f t="shared" si="8"/>
        <v>0</v>
      </c>
      <c r="Q54" s="392">
        <f t="shared" si="3"/>
        <v>0</v>
      </c>
      <c r="R54" s="392">
        <f t="shared" si="4"/>
        <v>0</v>
      </c>
      <c r="S54" s="373"/>
      <c r="T54" s="374"/>
      <c r="U54" s="524">
        <f t="shared" si="9"/>
        <v>0</v>
      </c>
      <c r="V54" s="520">
        <f t="shared" si="10"/>
        <v>0</v>
      </c>
      <c r="W54" s="524">
        <f t="shared" si="11"/>
        <v>0</v>
      </c>
      <c r="X54" s="520">
        <f t="shared" si="12"/>
        <v>0</v>
      </c>
      <c r="Y54" s="525">
        <f t="shared" si="13"/>
        <v>0</v>
      </c>
    </row>
    <row r="55" spans="3:25" x14ac:dyDescent="0.2">
      <c r="C55" s="387">
        <f t="shared" si="5"/>
        <v>41980</v>
      </c>
      <c r="D55" s="388">
        <f t="shared" si="6"/>
        <v>141164.09548387097</v>
      </c>
      <c r="E55" s="392">
        <f t="shared" si="7"/>
        <v>0</v>
      </c>
      <c r="F55" s="428">
        <f t="shared" si="0"/>
        <v>0.90615690000000004</v>
      </c>
      <c r="G55" s="390">
        <f t="shared" si="1"/>
        <v>0</v>
      </c>
      <c r="H55" s="391">
        <f t="shared" si="2"/>
        <v>141165.00164077096</v>
      </c>
      <c r="I55" s="324"/>
      <c r="J55" s="325"/>
      <c r="K55" s="325"/>
      <c r="L55" s="317"/>
      <c r="M55" s="318"/>
      <c r="N55" s="318"/>
      <c r="O55" s="318"/>
      <c r="P55" s="392">
        <f t="shared" si="8"/>
        <v>0</v>
      </c>
      <c r="Q55" s="392">
        <f t="shared" si="3"/>
        <v>0</v>
      </c>
      <c r="R55" s="392">
        <f t="shared" si="4"/>
        <v>0</v>
      </c>
      <c r="S55" s="373"/>
      <c r="T55" s="374"/>
      <c r="U55" s="524">
        <f t="shared" si="9"/>
        <v>0</v>
      </c>
      <c r="V55" s="520">
        <f t="shared" si="10"/>
        <v>0</v>
      </c>
      <c r="W55" s="524">
        <f t="shared" si="11"/>
        <v>0</v>
      </c>
      <c r="X55" s="520">
        <f t="shared" si="12"/>
        <v>0</v>
      </c>
      <c r="Y55" s="525">
        <f t="shared" si="13"/>
        <v>0</v>
      </c>
    </row>
    <row r="56" spans="3:25" x14ac:dyDescent="0.2">
      <c r="C56" s="387">
        <f t="shared" si="5"/>
        <v>41981</v>
      </c>
      <c r="D56" s="388">
        <f t="shared" si="6"/>
        <v>141164.09548387097</v>
      </c>
      <c r="E56" s="392">
        <f t="shared" si="7"/>
        <v>0</v>
      </c>
      <c r="F56" s="428">
        <f t="shared" si="0"/>
        <v>0.90615690000000004</v>
      </c>
      <c r="G56" s="390">
        <f t="shared" si="1"/>
        <v>0</v>
      </c>
      <c r="H56" s="391">
        <f t="shared" si="2"/>
        <v>141165.00164077096</v>
      </c>
      <c r="I56" s="324"/>
      <c r="J56" s="325"/>
      <c r="K56" s="325"/>
      <c r="L56" s="319"/>
      <c r="M56" s="320"/>
      <c r="N56" s="320"/>
      <c r="O56" s="320"/>
      <c r="P56" s="392">
        <f t="shared" si="8"/>
        <v>0</v>
      </c>
      <c r="Q56" s="392">
        <f t="shared" si="3"/>
        <v>0</v>
      </c>
      <c r="R56" s="392">
        <f t="shared" si="4"/>
        <v>0</v>
      </c>
      <c r="S56" s="373"/>
      <c r="T56" s="374"/>
      <c r="U56" s="524">
        <f t="shared" si="9"/>
        <v>0</v>
      </c>
      <c r="V56" s="520">
        <f t="shared" si="10"/>
        <v>0</v>
      </c>
      <c r="W56" s="524">
        <f t="shared" si="11"/>
        <v>0</v>
      </c>
      <c r="X56" s="520">
        <f t="shared" si="12"/>
        <v>0</v>
      </c>
      <c r="Y56" s="525">
        <f t="shared" si="13"/>
        <v>0</v>
      </c>
    </row>
    <row r="57" spans="3:25" x14ac:dyDescent="0.2">
      <c r="C57" s="387">
        <f t="shared" si="5"/>
        <v>41982</v>
      </c>
      <c r="D57" s="388">
        <f t="shared" si="6"/>
        <v>141164.09548387097</v>
      </c>
      <c r="E57" s="392">
        <f t="shared" si="7"/>
        <v>0</v>
      </c>
      <c r="F57" s="428">
        <f t="shared" si="0"/>
        <v>0.90615690000000004</v>
      </c>
      <c r="G57" s="390">
        <f t="shared" si="1"/>
        <v>0</v>
      </c>
      <c r="H57" s="391">
        <f t="shared" si="2"/>
        <v>141165.00164077096</v>
      </c>
      <c r="I57" s="324"/>
      <c r="J57" s="325"/>
      <c r="K57" s="325"/>
      <c r="L57" s="317"/>
      <c r="M57" s="318"/>
      <c r="N57" s="318"/>
      <c r="O57" s="318"/>
      <c r="P57" s="392">
        <f t="shared" si="8"/>
        <v>0</v>
      </c>
      <c r="Q57" s="392">
        <f t="shared" si="3"/>
        <v>0</v>
      </c>
      <c r="R57" s="392">
        <f t="shared" si="4"/>
        <v>0</v>
      </c>
      <c r="S57" s="373"/>
      <c r="T57" s="374"/>
      <c r="U57" s="524">
        <f t="shared" si="9"/>
        <v>0</v>
      </c>
      <c r="V57" s="520">
        <f t="shared" si="10"/>
        <v>0</v>
      </c>
      <c r="W57" s="524">
        <f t="shared" si="11"/>
        <v>0</v>
      </c>
      <c r="X57" s="520">
        <f t="shared" si="12"/>
        <v>0</v>
      </c>
      <c r="Y57" s="525">
        <f t="shared" si="13"/>
        <v>0</v>
      </c>
    </row>
    <row r="58" spans="3:25" x14ac:dyDescent="0.2">
      <c r="C58" s="387">
        <f t="shared" si="5"/>
        <v>41983</v>
      </c>
      <c r="D58" s="388">
        <f t="shared" si="6"/>
        <v>141164.09548387097</v>
      </c>
      <c r="E58" s="392">
        <f t="shared" si="7"/>
        <v>0</v>
      </c>
      <c r="F58" s="428">
        <f t="shared" si="0"/>
        <v>0.90615690000000004</v>
      </c>
      <c r="G58" s="390">
        <f t="shared" si="1"/>
        <v>0</v>
      </c>
      <c r="H58" s="391">
        <f t="shared" si="2"/>
        <v>141165.00164077096</v>
      </c>
      <c r="I58" s="324"/>
      <c r="J58" s="325"/>
      <c r="K58" s="325"/>
      <c r="L58" s="319"/>
      <c r="M58" s="320"/>
      <c r="N58" s="320"/>
      <c r="O58" s="320"/>
      <c r="P58" s="392">
        <f t="shared" si="8"/>
        <v>0</v>
      </c>
      <c r="Q58" s="392">
        <f t="shared" si="3"/>
        <v>0</v>
      </c>
      <c r="R58" s="392">
        <f t="shared" si="4"/>
        <v>0</v>
      </c>
      <c r="S58" s="373"/>
      <c r="T58" s="374"/>
      <c r="U58" s="524">
        <f t="shared" si="9"/>
        <v>0</v>
      </c>
      <c r="V58" s="520">
        <f t="shared" si="10"/>
        <v>0</v>
      </c>
      <c r="W58" s="524">
        <f t="shared" si="11"/>
        <v>0</v>
      </c>
      <c r="X58" s="520">
        <f t="shared" si="12"/>
        <v>0</v>
      </c>
      <c r="Y58" s="525">
        <f t="shared" si="13"/>
        <v>0</v>
      </c>
    </row>
    <row r="59" spans="3:25" x14ac:dyDescent="0.2">
      <c r="C59" s="387">
        <f t="shared" si="5"/>
        <v>41984</v>
      </c>
      <c r="D59" s="388">
        <f t="shared" si="6"/>
        <v>141164.09548387097</v>
      </c>
      <c r="E59" s="392">
        <f t="shared" si="7"/>
        <v>0</v>
      </c>
      <c r="F59" s="428">
        <f t="shared" si="0"/>
        <v>0.90615690000000004</v>
      </c>
      <c r="G59" s="390">
        <f t="shared" si="1"/>
        <v>0</v>
      </c>
      <c r="H59" s="391">
        <f t="shared" si="2"/>
        <v>141165.00164077096</v>
      </c>
      <c r="I59" s="324"/>
      <c r="J59" s="325"/>
      <c r="K59" s="325"/>
      <c r="L59" s="317"/>
      <c r="M59" s="318"/>
      <c r="N59" s="318"/>
      <c r="O59" s="318"/>
      <c r="P59" s="392">
        <f t="shared" si="8"/>
        <v>0</v>
      </c>
      <c r="Q59" s="392">
        <f t="shared" si="3"/>
        <v>0</v>
      </c>
      <c r="R59" s="392">
        <f t="shared" si="4"/>
        <v>0</v>
      </c>
      <c r="S59" s="373"/>
      <c r="T59" s="374"/>
      <c r="U59" s="524">
        <f t="shared" si="9"/>
        <v>0</v>
      </c>
      <c r="V59" s="520">
        <f t="shared" si="10"/>
        <v>0</v>
      </c>
      <c r="W59" s="524">
        <f t="shared" si="11"/>
        <v>0</v>
      </c>
      <c r="X59" s="520">
        <f t="shared" si="12"/>
        <v>0</v>
      </c>
      <c r="Y59" s="525">
        <f t="shared" si="13"/>
        <v>0</v>
      </c>
    </row>
    <row r="60" spans="3:25" x14ac:dyDescent="0.2">
      <c r="C60" s="387">
        <f t="shared" si="5"/>
        <v>41985</v>
      </c>
      <c r="D60" s="388">
        <f t="shared" si="6"/>
        <v>141164.09548387097</v>
      </c>
      <c r="E60" s="392">
        <f t="shared" si="7"/>
        <v>0</v>
      </c>
      <c r="F60" s="428">
        <f t="shared" si="0"/>
        <v>0.90615690000000004</v>
      </c>
      <c r="G60" s="390">
        <f t="shared" si="1"/>
        <v>0</v>
      </c>
      <c r="H60" s="391">
        <f t="shared" si="2"/>
        <v>141165.00164077096</v>
      </c>
      <c r="I60" s="324"/>
      <c r="J60" s="325"/>
      <c r="K60" s="325"/>
      <c r="L60" s="319"/>
      <c r="M60" s="320"/>
      <c r="N60" s="320"/>
      <c r="O60" s="320"/>
      <c r="P60" s="392">
        <f t="shared" si="8"/>
        <v>0</v>
      </c>
      <c r="Q60" s="392">
        <f t="shared" si="3"/>
        <v>0</v>
      </c>
      <c r="R60" s="392">
        <f t="shared" si="4"/>
        <v>0</v>
      </c>
      <c r="S60" s="373"/>
      <c r="T60" s="374"/>
      <c r="U60" s="524">
        <f t="shared" si="9"/>
        <v>0</v>
      </c>
      <c r="V60" s="520">
        <f t="shared" si="10"/>
        <v>0</v>
      </c>
      <c r="W60" s="524">
        <f t="shared" si="11"/>
        <v>0</v>
      </c>
      <c r="X60" s="520">
        <f t="shared" si="12"/>
        <v>0</v>
      </c>
      <c r="Y60" s="525">
        <f t="shared" si="13"/>
        <v>0</v>
      </c>
    </row>
    <row r="61" spans="3:25" x14ac:dyDescent="0.2">
      <c r="C61" s="387">
        <f t="shared" si="5"/>
        <v>41986</v>
      </c>
      <c r="D61" s="388">
        <f t="shared" si="6"/>
        <v>141164.09548387097</v>
      </c>
      <c r="E61" s="392">
        <f t="shared" si="7"/>
        <v>0</v>
      </c>
      <c r="F61" s="428">
        <f t="shared" si="0"/>
        <v>0.90615690000000004</v>
      </c>
      <c r="G61" s="390">
        <f t="shared" si="1"/>
        <v>0</v>
      </c>
      <c r="H61" s="391">
        <f t="shared" si="2"/>
        <v>141165.00164077096</v>
      </c>
      <c r="I61" s="324"/>
      <c r="J61" s="325"/>
      <c r="K61" s="325"/>
      <c r="L61" s="317"/>
      <c r="M61" s="318"/>
      <c r="N61" s="318"/>
      <c r="O61" s="318"/>
      <c r="P61" s="392">
        <f t="shared" si="8"/>
        <v>0</v>
      </c>
      <c r="Q61" s="392">
        <f t="shared" si="3"/>
        <v>0</v>
      </c>
      <c r="R61" s="392">
        <f t="shared" si="4"/>
        <v>0</v>
      </c>
      <c r="S61" s="373"/>
      <c r="T61" s="374"/>
      <c r="U61" s="524">
        <f t="shared" si="9"/>
        <v>0</v>
      </c>
      <c r="V61" s="520">
        <f t="shared" si="10"/>
        <v>0</v>
      </c>
      <c r="W61" s="524">
        <f t="shared" si="11"/>
        <v>0</v>
      </c>
      <c r="X61" s="520">
        <f t="shared" si="12"/>
        <v>0</v>
      </c>
      <c r="Y61" s="525">
        <f t="shared" si="13"/>
        <v>0</v>
      </c>
    </row>
    <row r="62" spans="3:25" x14ac:dyDescent="0.2">
      <c r="C62" s="387">
        <f t="shared" si="5"/>
        <v>41987</v>
      </c>
      <c r="D62" s="388">
        <f t="shared" si="6"/>
        <v>141164.09548387097</v>
      </c>
      <c r="E62" s="392">
        <f t="shared" si="7"/>
        <v>0</v>
      </c>
      <c r="F62" s="428">
        <f t="shared" si="0"/>
        <v>0.90615690000000004</v>
      </c>
      <c r="G62" s="390">
        <f t="shared" si="1"/>
        <v>0</v>
      </c>
      <c r="H62" s="391">
        <f t="shared" si="2"/>
        <v>141165.00164077096</v>
      </c>
      <c r="I62" s="324"/>
      <c r="J62" s="325"/>
      <c r="K62" s="325"/>
      <c r="L62" s="319"/>
      <c r="M62" s="320"/>
      <c r="N62" s="320"/>
      <c r="O62" s="320"/>
      <c r="P62" s="392">
        <f t="shared" si="8"/>
        <v>0</v>
      </c>
      <c r="Q62" s="392">
        <f t="shared" si="3"/>
        <v>0</v>
      </c>
      <c r="R62" s="392">
        <f t="shared" si="4"/>
        <v>0</v>
      </c>
      <c r="S62" s="373"/>
      <c r="T62" s="374"/>
      <c r="U62" s="524">
        <f t="shared" si="9"/>
        <v>0</v>
      </c>
      <c r="V62" s="520">
        <f t="shared" si="10"/>
        <v>0</v>
      </c>
      <c r="W62" s="524">
        <f t="shared" si="11"/>
        <v>0</v>
      </c>
      <c r="X62" s="520">
        <f t="shared" si="12"/>
        <v>0</v>
      </c>
      <c r="Y62" s="525">
        <f t="shared" si="13"/>
        <v>0</v>
      </c>
    </row>
    <row r="63" spans="3:25" x14ac:dyDescent="0.2">
      <c r="C63" s="387">
        <f t="shared" si="5"/>
        <v>41988</v>
      </c>
      <c r="D63" s="388">
        <f t="shared" si="6"/>
        <v>141164.09548387097</v>
      </c>
      <c r="E63" s="392">
        <f t="shared" si="7"/>
        <v>0</v>
      </c>
      <c r="F63" s="428">
        <f t="shared" si="0"/>
        <v>0.90615690000000004</v>
      </c>
      <c r="G63" s="390">
        <f t="shared" si="1"/>
        <v>0</v>
      </c>
      <c r="H63" s="391">
        <f t="shared" si="2"/>
        <v>141165.00164077096</v>
      </c>
      <c r="I63" s="324"/>
      <c r="J63" s="325"/>
      <c r="K63" s="325"/>
      <c r="L63" s="317"/>
      <c r="M63" s="318"/>
      <c r="N63" s="318"/>
      <c r="O63" s="318"/>
      <c r="P63" s="392">
        <f t="shared" si="8"/>
        <v>0</v>
      </c>
      <c r="Q63" s="392">
        <f t="shared" si="3"/>
        <v>0</v>
      </c>
      <c r="R63" s="392">
        <f t="shared" si="4"/>
        <v>0</v>
      </c>
      <c r="S63" s="373"/>
      <c r="T63" s="374"/>
      <c r="U63" s="524">
        <f t="shared" si="9"/>
        <v>0</v>
      </c>
      <c r="V63" s="520">
        <f t="shared" si="10"/>
        <v>0</v>
      </c>
      <c r="W63" s="524">
        <f t="shared" si="11"/>
        <v>0</v>
      </c>
      <c r="X63" s="520">
        <f t="shared" si="12"/>
        <v>0</v>
      </c>
      <c r="Y63" s="525">
        <f t="shared" si="13"/>
        <v>0</v>
      </c>
    </row>
    <row r="64" spans="3:25" x14ac:dyDescent="0.2">
      <c r="C64" s="387">
        <f t="shared" si="5"/>
        <v>41989</v>
      </c>
      <c r="D64" s="388">
        <f t="shared" si="6"/>
        <v>141164.09548387097</v>
      </c>
      <c r="E64" s="392">
        <f t="shared" si="7"/>
        <v>0</v>
      </c>
      <c r="F64" s="428">
        <f t="shared" si="0"/>
        <v>0.90615690000000004</v>
      </c>
      <c r="G64" s="390">
        <f t="shared" si="1"/>
        <v>0</v>
      </c>
      <c r="H64" s="391">
        <f t="shared" si="2"/>
        <v>141165.00164077096</v>
      </c>
      <c r="I64" s="324"/>
      <c r="J64" s="325"/>
      <c r="K64" s="325"/>
      <c r="L64" s="319"/>
      <c r="M64" s="320"/>
      <c r="N64" s="320"/>
      <c r="O64" s="320"/>
      <c r="P64" s="392">
        <f t="shared" si="8"/>
        <v>0</v>
      </c>
      <c r="Q64" s="392">
        <f t="shared" si="3"/>
        <v>0</v>
      </c>
      <c r="R64" s="392">
        <f t="shared" si="4"/>
        <v>0</v>
      </c>
      <c r="S64" s="373"/>
      <c r="T64" s="374"/>
      <c r="U64" s="524">
        <f t="shared" si="9"/>
        <v>0</v>
      </c>
      <c r="V64" s="520">
        <f t="shared" si="10"/>
        <v>0</v>
      </c>
      <c r="W64" s="524">
        <f t="shared" si="11"/>
        <v>0</v>
      </c>
      <c r="X64" s="520">
        <f t="shared" si="12"/>
        <v>0</v>
      </c>
      <c r="Y64" s="525">
        <f t="shared" si="13"/>
        <v>0</v>
      </c>
    </row>
    <row r="65" spans="3:38" x14ac:dyDescent="0.2">
      <c r="C65" s="387">
        <f t="shared" si="5"/>
        <v>41990</v>
      </c>
      <c r="D65" s="388">
        <f t="shared" si="6"/>
        <v>141164.09548387097</v>
      </c>
      <c r="E65" s="392">
        <f t="shared" si="7"/>
        <v>0</v>
      </c>
      <c r="F65" s="428">
        <f t="shared" si="0"/>
        <v>0.90615690000000004</v>
      </c>
      <c r="G65" s="390">
        <f t="shared" si="1"/>
        <v>0</v>
      </c>
      <c r="H65" s="391">
        <f t="shared" si="2"/>
        <v>141165.00164077096</v>
      </c>
      <c r="I65" s="324"/>
      <c r="J65" s="325"/>
      <c r="K65" s="325"/>
      <c r="L65" s="317"/>
      <c r="M65" s="318"/>
      <c r="N65" s="318"/>
      <c r="O65" s="318"/>
      <c r="P65" s="392">
        <f t="shared" si="8"/>
        <v>0</v>
      </c>
      <c r="Q65" s="392">
        <f t="shared" si="3"/>
        <v>0</v>
      </c>
      <c r="R65" s="392">
        <f t="shared" si="4"/>
        <v>0</v>
      </c>
      <c r="S65" s="373"/>
      <c r="T65" s="374"/>
      <c r="U65" s="524">
        <f t="shared" si="9"/>
        <v>0</v>
      </c>
      <c r="V65" s="520">
        <f t="shared" si="10"/>
        <v>0</v>
      </c>
      <c r="W65" s="524">
        <f t="shared" si="11"/>
        <v>0</v>
      </c>
      <c r="X65" s="520">
        <f t="shared" si="12"/>
        <v>0</v>
      </c>
      <c r="Y65" s="525">
        <f t="shared" si="13"/>
        <v>0</v>
      </c>
    </row>
    <row r="66" spans="3:38" x14ac:dyDescent="0.2">
      <c r="C66" s="387">
        <f t="shared" si="5"/>
        <v>41991</v>
      </c>
      <c r="D66" s="388">
        <f t="shared" si="6"/>
        <v>141164.09548387097</v>
      </c>
      <c r="E66" s="392">
        <f t="shared" si="7"/>
        <v>0</v>
      </c>
      <c r="F66" s="428">
        <f t="shared" si="0"/>
        <v>0.90615690000000004</v>
      </c>
      <c r="G66" s="390">
        <f t="shared" si="1"/>
        <v>0</v>
      </c>
      <c r="H66" s="391">
        <f t="shared" si="2"/>
        <v>141165.00164077096</v>
      </c>
      <c r="I66" s="324"/>
      <c r="J66" s="325"/>
      <c r="K66" s="325"/>
      <c r="L66" s="319"/>
      <c r="M66" s="320"/>
      <c r="N66" s="320"/>
      <c r="O66" s="320"/>
      <c r="P66" s="392">
        <f t="shared" si="8"/>
        <v>0</v>
      </c>
      <c r="Q66" s="392">
        <f t="shared" si="3"/>
        <v>0</v>
      </c>
      <c r="R66" s="392">
        <f t="shared" si="4"/>
        <v>0</v>
      </c>
      <c r="S66" s="373"/>
      <c r="T66" s="374"/>
      <c r="U66" s="524">
        <f t="shared" si="9"/>
        <v>0</v>
      </c>
      <c r="V66" s="520">
        <f t="shared" si="10"/>
        <v>0</v>
      </c>
      <c r="W66" s="524">
        <f t="shared" si="11"/>
        <v>0</v>
      </c>
      <c r="X66" s="520">
        <f t="shared" si="12"/>
        <v>0</v>
      </c>
      <c r="Y66" s="525">
        <f t="shared" si="13"/>
        <v>0</v>
      </c>
    </row>
    <row r="67" spans="3:38" x14ac:dyDescent="0.2">
      <c r="C67" s="387">
        <f t="shared" si="5"/>
        <v>41992</v>
      </c>
      <c r="D67" s="388">
        <f t="shared" si="6"/>
        <v>141164.09548387097</v>
      </c>
      <c r="E67" s="392">
        <f t="shared" si="7"/>
        <v>0</v>
      </c>
      <c r="F67" s="428">
        <f t="shared" si="0"/>
        <v>0.90615690000000004</v>
      </c>
      <c r="G67" s="390">
        <f t="shared" si="1"/>
        <v>0</v>
      </c>
      <c r="H67" s="391">
        <f t="shared" si="2"/>
        <v>141165.00164077096</v>
      </c>
      <c r="I67" s="324"/>
      <c r="J67" s="325"/>
      <c r="K67" s="325"/>
      <c r="L67" s="317"/>
      <c r="M67" s="318"/>
      <c r="N67" s="318"/>
      <c r="O67" s="318"/>
      <c r="P67" s="392">
        <f t="shared" si="8"/>
        <v>0</v>
      </c>
      <c r="Q67" s="392">
        <f t="shared" si="3"/>
        <v>0</v>
      </c>
      <c r="R67" s="392">
        <f t="shared" si="4"/>
        <v>0</v>
      </c>
      <c r="S67" s="373"/>
      <c r="T67" s="374"/>
      <c r="U67" s="524">
        <f t="shared" si="9"/>
        <v>0</v>
      </c>
      <c r="V67" s="520">
        <f t="shared" si="10"/>
        <v>0</v>
      </c>
      <c r="W67" s="524">
        <f t="shared" si="11"/>
        <v>0</v>
      </c>
      <c r="X67" s="520">
        <f t="shared" si="12"/>
        <v>0</v>
      </c>
      <c r="Y67" s="525">
        <f t="shared" si="13"/>
        <v>0</v>
      </c>
    </row>
    <row r="68" spans="3:38" x14ac:dyDescent="0.2">
      <c r="C68" s="387">
        <f t="shared" si="5"/>
        <v>41993</v>
      </c>
      <c r="D68" s="388">
        <f t="shared" si="6"/>
        <v>141164.09548387097</v>
      </c>
      <c r="E68" s="392">
        <f t="shared" si="7"/>
        <v>0</v>
      </c>
      <c r="F68" s="428">
        <f t="shared" si="0"/>
        <v>0.90615690000000004</v>
      </c>
      <c r="G68" s="390">
        <f t="shared" si="1"/>
        <v>0</v>
      </c>
      <c r="H68" s="391">
        <f t="shared" si="2"/>
        <v>141165.00164077096</v>
      </c>
      <c r="I68" s="324"/>
      <c r="J68" s="325"/>
      <c r="K68" s="325"/>
      <c r="L68" s="319"/>
      <c r="M68" s="320"/>
      <c r="N68" s="320"/>
      <c r="O68" s="320"/>
      <c r="P68" s="392">
        <f t="shared" si="8"/>
        <v>0</v>
      </c>
      <c r="Q68" s="392">
        <f t="shared" si="3"/>
        <v>0</v>
      </c>
      <c r="R68" s="392">
        <f t="shared" si="4"/>
        <v>0</v>
      </c>
      <c r="S68" s="373"/>
      <c r="T68" s="374"/>
      <c r="U68" s="524">
        <f t="shared" si="9"/>
        <v>0</v>
      </c>
      <c r="V68" s="520">
        <f t="shared" si="10"/>
        <v>0</v>
      </c>
      <c r="W68" s="524">
        <f t="shared" si="11"/>
        <v>0</v>
      </c>
      <c r="X68" s="520">
        <f t="shared" si="12"/>
        <v>0</v>
      </c>
      <c r="Y68" s="525">
        <f t="shared" si="13"/>
        <v>0</v>
      </c>
    </row>
    <row r="69" spans="3:38" x14ac:dyDescent="0.2">
      <c r="C69" s="387">
        <f t="shared" si="5"/>
        <v>41994</v>
      </c>
      <c r="D69" s="388">
        <f t="shared" si="6"/>
        <v>141164.09548387097</v>
      </c>
      <c r="E69" s="392">
        <f t="shared" si="7"/>
        <v>0</v>
      </c>
      <c r="F69" s="428">
        <f t="shared" si="0"/>
        <v>0.90615690000000004</v>
      </c>
      <c r="G69" s="390">
        <f t="shared" si="1"/>
        <v>0</v>
      </c>
      <c r="H69" s="391">
        <f t="shared" si="2"/>
        <v>141165.00164077096</v>
      </c>
      <c r="I69" s="324"/>
      <c r="J69" s="325"/>
      <c r="K69" s="325"/>
      <c r="L69" s="317"/>
      <c r="M69" s="318"/>
      <c r="N69" s="318"/>
      <c r="O69" s="318"/>
      <c r="P69" s="392">
        <f t="shared" si="8"/>
        <v>0</v>
      </c>
      <c r="Q69" s="392">
        <f t="shared" si="3"/>
        <v>0</v>
      </c>
      <c r="R69" s="392">
        <f t="shared" si="4"/>
        <v>0</v>
      </c>
      <c r="S69" s="373"/>
      <c r="T69" s="374"/>
      <c r="U69" s="524">
        <f t="shared" si="9"/>
        <v>0</v>
      </c>
      <c r="V69" s="520">
        <f t="shared" si="10"/>
        <v>0</v>
      </c>
      <c r="W69" s="524">
        <f t="shared" si="11"/>
        <v>0</v>
      </c>
      <c r="X69" s="520">
        <f t="shared" si="12"/>
        <v>0</v>
      </c>
      <c r="Y69" s="525">
        <f t="shared" si="13"/>
        <v>0</v>
      </c>
    </row>
    <row r="70" spans="3:38" x14ac:dyDescent="0.2">
      <c r="C70" s="387">
        <f t="shared" si="5"/>
        <v>41995</v>
      </c>
      <c r="D70" s="388">
        <f t="shared" si="6"/>
        <v>141164.09548387097</v>
      </c>
      <c r="E70" s="392">
        <f t="shared" si="7"/>
        <v>0</v>
      </c>
      <c r="F70" s="428">
        <f t="shared" si="0"/>
        <v>0.90615690000000004</v>
      </c>
      <c r="G70" s="390">
        <f t="shared" si="1"/>
        <v>0</v>
      </c>
      <c r="H70" s="391">
        <f t="shared" si="2"/>
        <v>141165.00164077096</v>
      </c>
      <c r="I70" s="324"/>
      <c r="J70" s="325"/>
      <c r="K70" s="325"/>
      <c r="L70" s="319"/>
      <c r="M70" s="320"/>
      <c r="N70" s="320"/>
      <c r="O70" s="320"/>
      <c r="P70" s="392">
        <f t="shared" si="8"/>
        <v>0</v>
      </c>
      <c r="Q70" s="392">
        <f t="shared" si="3"/>
        <v>0</v>
      </c>
      <c r="R70" s="392">
        <f t="shared" si="4"/>
        <v>0</v>
      </c>
      <c r="S70" s="373"/>
      <c r="T70" s="374"/>
      <c r="U70" s="524">
        <f t="shared" si="9"/>
        <v>0</v>
      </c>
      <c r="V70" s="520">
        <f t="shared" si="10"/>
        <v>0</v>
      </c>
      <c r="W70" s="524">
        <f t="shared" si="11"/>
        <v>0</v>
      </c>
      <c r="X70" s="520">
        <f t="shared" si="12"/>
        <v>0</v>
      </c>
      <c r="Y70" s="525">
        <f t="shared" si="13"/>
        <v>0</v>
      </c>
    </row>
    <row r="71" spans="3:38" x14ac:dyDescent="0.2">
      <c r="C71" s="387">
        <f t="shared" si="5"/>
        <v>41996</v>
      </c>
      <c r="D71" s="388">
        <f t="shared" si="6"/>
        <v>141164.09548387097</v>
      </c>
      <c r="E71" s="392">
        <f t="shared" si="7"/>
        <v>0</v>
      </c>
      <c r="F71" s="428">
        <f t="shared" si="0"/>
        <v>0.90615690000000004</v>
      </c>
      <c r="G71" s="390">
        <f t="shared" si="1"/>
        <v>0</v>
      </c>
      <c r="H71" s="391">
        <f t="shared" si="2"/>
        <v>141165.00164077096</v>
      </c>
      <c r="I71" s="324"/>
      <c r="J71" s="325"/>
      <c r="K71" s="325"/>
      <c r="L71" s="317"/>
      <c r="M71" s="318"/>
      <c r="N71" s="318"/>
      <c r="O71" s="318"/>
      <c r="P71" s="392">
        <f t="shared" si="8"/>
        <v>0</v>
      </c>
      <c r="Q71" s="392">
        <f t="shared" si="3"/>
        <v>0</v>
      </c>
      <c r="R71" s="392">
        <f t="shared" si="4"/>
        <v>0</v>
      </c>
      <c r="S71" s="373"/>
      <c r="T71" s="374"/>
      <c r="U71" s="524">
        <f t="shared" si="9"/>
        <v>0</v>
      </c>
      <c r="V71" s="520">
        <f t="shared" si="10"/>
        <v>0</v>
      </c>
      <c r="W71" s="524">
        <f t="shared" si="11"/>
        <v>0</v>
      </c>
      <c r="X71" s="520">
        <f t="shared" si="12"/>
        <v>0</v>
      </c>
      <c r="Y71" s="525">
        <f t="shared" si="13"/>
        <v>0</v>
      </c>
    </row>
    <row r="72" spans="3:38" x14ac:dyDescent="0.2">
      <c r="C72" s="387">
        <f t="shared" si="5"/>
        <v>41997</v>
      </c>
      <c r="D72" s="388">
        <f t="shared" si="6"/>
        <v>141164.09548387097</v>
      </c>
      <c r="E72" s="392">
        <f t="shared" si="7"/>
        <v>0</v>
      </c>
      <c r="F72" s="428">
        <f t="shared" si="0"/>
        <v>0.90615690000000004</v>
      </c>
      <c r="G72" s="390">
        <f t="shared" si="1"/>
        <v>0</v>
      </c>
      <c r="H72" s="391">
        <f t="shared" si="2"/>
        <v>141165.00164077096</v>
      </c>
      <c r="I72" s="324"/>
      <c r="J72" s="325"/>
      <c r="K72" s="325"/>
      <c r="L72" s="319"/>
      <c r="M72" s="320"/>
      <c r="N72" s="320"/>
      <c r="O72" s="320"/>
      <c r="P72" s="392">
        <f t="shared" si="8"/>
        <v>0</v>
      </c>
      <c r="Q72" s="392">
        <f t="shared" si="3"/>
        <v>0</v>
      </c>
      <c r="R72" s="392">
        <f t="shared" si="4"/>
        <v>0</v>
      </c>
      <c r="S72" s="373"/>
      <c r="T72" s="374"/>
      <c r="U72" s="524">
        <f t="shared" si="9"/>
        <v>0</v>
      </c>
      <c r="V72" s="520">
        <f t="shared" si="10"/>
        <v>0</v>
      </c>
      <c r="W72" s="524">
        <f t="shared" si="11"/>
        <v>0</v>
      </c>
      <c r="X72" s="520">
        <f t="shared" si="12"/>
        <v>0</v>
      </c>
      <c r="Y72" s="525">
        <f t="shared" si="13"/>
        <v>0</v>
      </c>
    </row>
    <row r="73" spans="3:38" x14ac:dyDescent="0.2">
      <c r="C73" s="387">
        <f t="shared" si="5"/>
        <v>41998</v>
      </c>
      <c r="D73" s="388">
        <f t="shared" si="6"/>
        <v>141164.09548387097</v>
      </c>
      <c r="E73" s="392">
        <f t="shared" si="7"/>
        <v>0</v>
      </c>
      <c r="F73" s="428">
        <f t="shared" si="0"/>
        <v>0.90615690000000004</v>
      </c>
      <c r="G73" s="390">
        <f t="shared" si="1"/>
        <v>0</v>
      </c>
      <c r="H73" s="391">
        <f t="shared" si="2"/>
        <v>141165.00164077096</v>
      </c>
      <c r="I73" s="324"/>
      <c r="J73" s="325"/>
      <c r="K73" s="325"/>
      <c r="L73" s="317"/>
      <c r="M73" s="318"/>
      <c r="N73" s="318"/>
      <c r="O73" s="318"/>
      <c r="P73" s="392">
        <f t="shared" si="8"/>
        <v>0</v>
      </c>
      <c r="Q73" s="392">
        <f t="shared" si="3"/>
        <v>0</v>
      </c>
      <c r="R73" s="392">
        <f t="shared" si="4"/>
        <v>0</v>
      </c>
      <c r="S73" s="373"/>
      <c r="T73" s="374"/>
      <c r="U73" s="524">
        <f t="shared" si="9"/>
        <v>0</v>
      </c>
      <c r="V73" s="520">
        <f t="shared" si="10"/>
        <v>0</v>
      </c>
      <c r="W73" s="524">
        <f t="shared" si="11"/>
        <v>0</v>
      </c>
      <c r="X73" s="520">
        <f t="shared" si="12"/>
        <v>0</v>
      </c>
      <c r="Y73" s="525">
        <f t="shared" si="13"/>
        <v>0</v>
      </c>
    </row>
    <row r="74" spans="3:38" x14ac:dyDescent="0.2">
      <c r="C74" s="387">
        <f t="shared" si="5"/>
        <v>41999</v>
      </c>
      <c r="D74" s="388">
        <f t="shared" si="6"/>
        <v>141164.09548387097</v>
      </c>
      <c r="E74" s="392">
        <f t="shared" si="7"/>
        <v>0</v>
      </c>
      <c r="F74" s="428">
        <f t="shared" si="0"/>
        <v>0.90615690000000004</v>
      </c>
      <c r="G74" s="390">
        <f t="shared" si="1"/>
        <v>0</v>
      </c>
      <c r="H74" s="391">
        <f t="shared" si="2"/>
        <v>141165.00164077096</v>
      </c>
      <c r="I74" s="324"/>
      <c r="J74" s="325"/>
      <c r="K74" s="325"/>
      <c r="L74" s="319"/>
      <c r="M74" s="320"/>
      <c r="N74" s="320"/>
      <c r="O74" s="320"/>
      <c r="P74" s="392">
        <f t="shared" si="8"/>
        <v>0</v>
      </c>
      <c r="Q74" s="392">
        <f t="shared" si="3"/>
        <v>0</v>
      </c>
      <c r="R74" s="392">
        <f t="shared" si="4"/>
        <v>0</v>
      </c>
      <c r="S74" s="373"/>
      <c r="T74" s="374"/>
      <c r="U74" s="524">
        <f t="shared" si="9"/>
        <v>0</v>
      </c>
      <c r="V74" s="520">
        <f t="shared" si="10"/>
        <v>0</v>
      </c>
      <c r="W74" s="524">
        <f t="shared" si="11"/>
        <v>0</v>
      </c>
      <c r="X74" s="520">
        <f t="shared" si="12"/>
        <v>0</v>
      </c>
      <c r="Y74" s="525">
        <f t="shared" si="13"/>
        <v>0</v>
      </c>
    </row>
    <row r="75" spans="3:38" x14ac:dyDescent="0.2">
      <c r="C75" s="387">
        <f t="shared" si="5"/>
        <v>42000</v>
      </c>
      <c r="D75" s="388">
        <f t="shared" si="6"/>
        <v>141164.09548387097</v>
      </c>
      <c r="E75" s="392">
        <f t="shared" si="7"/>
        <v>0</v>
      </c>
      <c r="F75" s="428">
        <f t="shared" si="0"/>
        <v>0.90615690000000004</v>
      </c>
      <c r="G75" s="390">
        <f t="shared" si="1"/>
        <v>0</v>
      </c>
      <c r="H75" s="391">
        <f t="shared" si="2"/>
        <v>141165.00164077096</v>
      </c>
      <c r="I75" s="324"/>
      <c r="J75" s="325"/>
      <c r="K75" s="325"/>
      <c r="L75" s="317"/>
      <c r="M75" s="318"/>
      <c r="N75" s="318"/>
      <c r="O75" s="318"/>
      <c r="P75" s="392">
        <f t="shared" si="8"/>
        <v>0</v>
      </c>
      <c r="Q75" s="392">
        <f t="shared" si="3"/>
        <v>0</v>
      </c>
      <c r="R75" s="392">
        <f t="shared" si="4"/>
        <v>0</v>
      </c>
      <c r="S75" s="373"/>
      <c r="T75" s="374"/>
      <c r="U75" s="524">
        <f t="shared" si="9"/>
        <v>0</v>
      </c>
      <c r="V75" s="520">
        <f t="shared" si="10"/>
        <v>0</v>
      </c>
      <c r="W75" s="524">
        <f t="shared" si="11"/>
        <v>0</v>
      </c>
      <c r="X75" s="520">
        <f t="shared" si="12"/>
        <v>0</v>
      </c>
      <c r="Y75" s="525">
        <f t="shared" si="13"/>
        <v>0</v>
      </c>
    </row>
    <row r="76" spans="3:38" x14ac:dyDescent="0.2">
      <c r="C76" s="387">
        <f t="shared" si="5"/>
        <v>42001</v>
      </c>
      <c r="D76" s="388">
        <f t="shared" si="6"/>
        <v>141164.09548387097</v>
      </c>
      <c r="E76" s="392">
        <f t="shared" si="7"/>
        <v>0</v>
      </c>
      <c r="F76" s="428">
        <f t="shared" si="0"/>
        <v>0.90615690000000004</v>
      </c>
      <c r="G76" s="390">
        <f t="shared" si="1"/>
        <v>0</v>
      </c>
      <c r="H76" s="391">
        <f t="shared" si="2"/>
        <v>141165.00164077096</v>
      </c>
      <c r="I76" s="324"/>
      <c r="J76" s="325"/>
      <c r="K76" s="325"/>
      <c r="L76" s="319"/>
      <c r="M76" s="320"/>
      <c r="N76" s="320"/>
      <c r="O76" s="320"/>
      <c r="P76" s="392">
        <f t="shared" si="8"/>
        <v>0</v>
      </c>
      <c r="Q76" s="392">
        <f t="shared" si="3"/>
        <v>0</v>
      </c>
      <c r="R76" s="392">
        <f t="shared" si="4"/>
        <v>0</v>
      </c>
      <c r="S76" s="373"/>
      <c r="T76" s="374"/>
      <c r="U76" s="524">
        <f t="shared" si="9"/>
        <v>0</v>
      </c>
      <c r="V76" s="520">
        <f t="shared" si="10"/>
        <v>0</v>
      </c>
      <c r="W76" s="524">
        <f t="shared" si="11"/>
        <v>0</v>
      </c>
      <c r="X76" s="520">
        <f t="shared" si="12"/>
        <v>0</v>
      </c>
      <c r="Y76" s="525">
        <f t="shared" si="13"/>
        <v>0</v>
      </c>
    </row>
    <row r="77" spans="3:38" x14ac:dyDescent="0.2">
      <c r="C77" s="387">
        <f t="shared" si="5"/>
        <v>42002</v>
      </c>
      <c r="D77" s="388">
        <f t="shared" si="6"/>
        <v>141164.09548387097</v>
      </c>
      <c r="E77" s="392">
        <f t="shared" si="7"/>
        <v>0</v>
      </c>
      <c r="F77" s="428">
        <f t="shared" si="0"/>
        <v>0.90615690000000004</v>
      </c>
      <c r="G77" s="390">
        <f t="shared" si="1"/>
        <v>0</v>
      </c>
      <c r="H77" s="391">
        <f t="shared" si="2"/>
        <v>141165.00164077096</v>
      </c>
      <c r="I77" s="324"/>
      <c r="J77" s="325"/>
      <c r="K77" s="325"/>
      <c r="L77" s="317"/>
      <c r="M77" s="318"/>
      <c r="N77" s="318"/>
      <c r="O77" s="318"/>
      <c r="P77" s="392">
        <f t="shared" si="8"/>
        <v>0</v>
      </c>
      <c r="Q77" s="392">
        <f t="shared" si="3"/>
        <v>0</v>
      </c>
      <c r="R77" s="392">
        <f t="shared" si="4"/>
        <v>0</v>
      </c>
      <c r="S77" s="373"/>
      <c r="T77" s="374"/>
      <c r="U77" s="524">
        <f t="shared" si="9"/>
        <v>0</v>
      </c>
      <c r="V77" s="520">
        <f t="shared" si="10"/>
        <v>0</v>
      </c>
      <c r="W77" s="524">
        <f t="shared" si="11"/>
        <v>0</v>
      </c>
      <c r="X77" s="520">
        <f t="shared" si="12"/>
        <v>0</v>
      </c>
      <c r="Y77" s="525">
        <f t="shared" si="13"/>
        <v>0</v>
      </c>
    </row>
    <row r="78" spans="3:38" x14ac:dyDescent="0.2">
      <c r="C78" s="387">
        <f t="shared" si="5"/>
        <v>42003</v>
      </c>
      <c r="D78" s="388">
        <f t="shared" si="6"/>
        <v>141164.09548387097</v>
      </c>
      <c r="E78" s="392">
        <f t="shared" si="7"/>
        <v>0</v>
      </c>
      <c r="F78" s="428">
        <f t="shared" si="0"/>
        <v>0.90615690000000004</v>
      </c>
      <c r="G78" s="390">
        <f t="shared" si="1"/>
        <v>0</v>
      </c>
      <c r="H78" s="391">
        <f t="shared" si="2"/>
        <v>141165.00164077096</v>
      </c>
      <c r="I78" s="324"/>
      <c r="J78" s="325"/>
      <c r="K78" s="325"/>
      <c r="L78" s="319"/>
      <c r="M78" s="320"/>
      <c r="N78" s="320"/>
      <c r="O78" s="320"/>
      <c r="P78" s="392">
        <f t="shared" si="8"/>
        <v>0</v>
      </c>
      <c r="Q78" s="392">
        <f t="shared" si="3"/>
        <v>0</v>
      </c>
      <c r="R78" s="392">
        <f t="shared" si="4"/>
        <v>0</v>
      </c>
      <c r="S78" s="373"/>
      <c r="T78" s="374"/>
      <c r="U78" s="524">
        <f t="shared" si="9"/>
        <v>0</v>
      </c>
      <c r="V78" s="520">
        <f t="shared" si="10"/>
        <v>0</v>
      </c>
      <c r="W78" s="524">
        <f t="shared" si="11"/>
        <v>0</v>
      </c>
      <c r="X78" s="520">
        <f t="shared" si="12"/>
        <v>0</v>
      </c>
      <c r="Y78" s="525">
        <f t="shared" si="13"/>
        <v>0</v>
      </c>
    </row>
    <row r="79" spans="3:38" ht="15" thickBot="1" x14ac:dyDescent="0.25">
      <c r="C79" s="393">
        <f t="shared" si="5"/>
        <v>42004</v>
      </c>
      <c r="D79" s="394">
        <f t="shared" si="6"/>
        <v>141164.09548387097</v>
      </c>
      <c r="E79" s="395">
        <f t="shared" si="7"/>
        <v>0</v>
      </c>
      <c r="F79" s="429">
        <f t="shared" si="0"/>
        <v>0.90615690000000004</v>
      </c>
      <c r="G79" s="396">
        <f t="shared" si="1"/>
        <v>0</v>
      </c>
      <c r="H79" s="397">
        <f t="shared" si="2"/>
        <v>141165.00164077096</v>
      </c>
      <c r="I79" s="326"/>
      <c r="J79" s="327"/>
      <c r="K79" s="327"/>
      <c r="L79" s="321"/>
      <c r="M79" s="322"/>
      <c r="N79" s="322"/>
      <c r="O79" s="322"/>
      <c r="P79" s="395">
        <f t="shared" si="8"/>
        <v>0</v>
      </c>
      <c r="Q79" s="395">
        <f t="shared" si="3"/>
        <v>0</v>
      </c>
      <c r="R79" s="395">
        <f t="shared" si="4"/>
        <v>0</v>
      </c>
      <c r="S79" s="375"/>
      <c r="T79" s="376"/>
      <c r="U79" s="521">
        <f t="shared" si="9"/>
        <v>0</v>
      </c>
      <c r="V79" s="528">
        <f t="shared" si="10"/>
        <v>0</v>
      </c>
      <c r="W79" s="521">
        <f t="shared" si="11"/>
        <v>0</v>
      </c>
      <c r="X79" s="528">
        <f t="shared" si="12"/>
        <v>0</v>
      </c>
      <c r="Y79" s="529">
        <f t="shared" si="13"/>
        <v>0</v>
      </c>
    </row>
    <row r="80" spans="3:38" ht="15" thickBot="1" x14ac:dyDescent="0.25">
      <c r="C80" s="398"/>
      <c r="D80" s="399">
        <f>SUM(D49:D79)</f>
        <v>4376086.9600000028</v>
      </c>
      <c r="E80" s="400">
        <f>SUM(E49:E79)</f>
        <v>0</v>
      </c>
      <c r="F80" s="400"/>
      <c r="G80" s="401">
        <f>SUM(G49:G79)</f>
        <v>0</v>
      </c>
      <c r="H80" s="399">
        <f>SUM(H49:H79)</f>
        <v>4376115.0508639012</v>
      </c>
      <c r="I80" s="432">
        <f>SUM(I49:I79)</f>
        <v>0</v>
      </c>
      <c r="J80" s="432">
        <f t="shared" ref="J80:R80" si="14">SUM(J49:J79)</f>
        <v>0</v>
      </c>
      <c r="K80" s="432">
        <f t="shared" si="14"/>
        <v>0</v>
      </c>
      <c r="L80" s="432">
        <f t="shared" si="14"/>
        <v>0</v>
      </c>
      <c r="M80" s="432">
        <f t="shared" si="14"/>
        <v>0</v>
      </c>
      <c r="N80" s="432">
        <f t="shared" si="14"/>
        <v>0</v>
      </c>
      <c r="O80" s="432">
        <f t="shared" si="14"/>
        <v>0</v>
      </c>
      <c r="P80" s="432">
        <f t="shared" si="14"/>
        <v>0</v>
      </c>
      <c r="Q80" s="432">
        <f t="shared" si="14"/>
        <v>0</v>
      </c>
      <c r="R80" s="432">
        <f t="shared" si="14"/>
        <v>0</v>
      </c>
      <c r="U80" s="530"/>
      <c r="V80" s="328">
        <f>SUM(V49:V79)</f>
        <v>0</v>
      </c>
      <c r="W80" s="328">
        <f>SUM(W49:W79)</f>
        <v>0</v>
      </c>
      <c r="X80" s="328">
        <f>SUM(X49:X79)</f>
        <v>0</v>
      </c>
      <c r="Y80" s="323">
        <f>Y79</f>
        <v>0</v>
      </c>
      <c r="AL80" s="361">
        <f>Y79</f>
        <v>0</v>
      </c>
    </row>
    <row r="81" spans="2:14" ht="15" customHeight="1" x14ac:dyDescent="0.2">
      <c r="B81"/>
      <c r="C81"/>
      <c r="D81"/>
      <c r="E81"/>
      <c r="F81"/>
      <c r="G81"/>
      <c r="H81"/>
      <c r="I81"/>
      <c r="J81"/>
      <c r="K81"/>
      <c r="L81"/>
      <c r="N81" s="2"/>
    </row>
  </sheetData>
  <mergeCells count="12">
    <mergeCell ref="C10:D10"/>
    <mergeCell ref="C11:D11"/>
    <mergeCell ref="C3:M4"/>
    <mergeCell ref="C5:M5"/>
    <mergeCell ref="C6:M6"/>
    <mergeCell ref="G7:H7"/>
    <mergeCell ref="C9:D9"/>
    <mergeCell ref="D23:E23"/>
    <mergeCell ref="D24:E24"/>
    <mergeCell ref="C28:F28"/>
    <mergeCell ref="C39:F39"/>
    <mergeCell ref="S47:Y47"/>
  </mergeCells>
  <conditionalFormatting sqref="L49:O79">
    <cfRule type="cellIs" dxfId="154" priority="1" stopIfTrue="1" operator="equal">
      <formula>0</formula>
    </cfRule>
  </conditionalFormatting>
  <pageMargins left="0.7" right="0.7" top="0.75" bottom="0.75" header="0.3" footer="0.3"/>
  <pageSetup orientation="portrait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AL80"/>
  <sheetViews>
    <sheetView workbookViewId="0"/>
  </sheetViews>
  <sheetFormatPr baseColWidth="10" defaultColWidth="11" defaultRowHeight="14.25" x14ac:dyDescent="0.2"/>
  <cols>
    <col min="1" max="1" width="11" style="2"/>
    <col min="2" max="2" width="3.875" style="2" bestFit="1" customWidth="1"/>
    <col min="3" max="3" width="16.125" style="2" customWidth="1"/>
    <col min="4" max="4" width="12.375" style="2" bestFit="1" customWidth="1"/>
    <col min="5" max="5" width="10.875" style="2" bestFit="1" customWidth="1"/>
    <col min="6" max="6" width="17.125" style="2" bestFit="1" customWidth="1"/>
    <col min="7" max="7" width="13.125" style="2" bestFit="1" customWidth="1"/>
    <col min="8" max="8" width="11" style="2" customWidth="1"/>
    <col min="9" max="9" width="11.125" style="2" bestFit="1" customWidth="1"/>
    <col min="10" max="10" width="11.875" style="2" bestFit="1" customWidth="1"/>
    <col min="11" max="11" width="11.625" style="2" bestFit="1" customWidth="1"/>
    <col min="12" max="12" width="12.125" style="2" customWidth="1"/>
    <col min="13" max="13" width="10.5" style="2" bestFit="1" customWidth="1"/>
    <col min="14" max="14" width="9" style="1" customWidth="1"/>
    <col min="15" max="15" width="10.375" style="2" customWidth="1"/>
    <col min="16" max="25" width="11" style="2"/>
    <col min="26" max="31" width="10.875" customWidth="1"/>
    <col min="32" max="16384" width="11" style="2"/>
  </cols>
  <sheetData>
    <row r="2" spans="2:25" x14ac:dyDescent="0.2"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2:25" ht="15" customHeight="1" x14ac:dyDescent="0.2">
      <c r="B3" s="1"/>
      <c r="C3" s="2254" t="s">
        <v>0</v>
      </c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</row>
    <row r="4" spans="2:25" ht="15" customHeight="1" x14ac:dyDescent="0.2"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</row>
    <row r="5" spans="2:25" x14ac:dyDescent="0.2">
      <c r="B5" s="1"/>
      <c r="C5" s="2257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</row>
    <row r="6" spans="2:25" x14ac:dyDescent="0.2">
      <c r="B6" s="1"/>
      <c r="C6" s="2257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</row>
    <row r="7" spans="2:25" x14ac:dyDescent="0.2">
      <c r="B7" s="1"/>
      <c r="C7" s="516"/>
      <c r="D7" s="516"/>
      <c r="E7" s="516"/>
      <c r="F7" s="516"/>
      <c r="G7" s="2271">
        <v>42005</v>
      </c>
      <c r="H7" s="2257"/>
      <c r="I7" s="516"/>
      <c r="J7" s="516"/>
      <c r="K7" s="516"/>
      <c r="L7" s="516"/>
      <c r="M7" s="516"/>
      <c r="N7" s="18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2:25" x14ac:dyDescent="0.2">
      <c r="B8" s="1"/>
      <c r="C8" s="516"/>
      <c r="D8" s="516"/>
      <c r="E8" s="516"/>
      <c r="F8" s="516"/>
      <c r="G8" s="516"/>
      <c r="H8" s="516"/>
      <c r="I8" s="516"/>
      <c r="J8" s="516"/>
      <c r="K8" s="516"/>
      <c r="L8" s="516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2:25" ht="25.5" x14ac:dyDescent="0.2">
      <c r="B9" s="1"/>
      <c r="C9" s="2272" t="s">
        <v>6</v>
      </c>
      <c r="D9" s="2272"/>
      <c r="E9" s="517" t="s">
        <v>94</v>
      </c>
      <c r="F9" s="517" t="s">
        <v>126</v>
      </c>
      <c r="G9" s="410" t="s">
        <v>133</v>
      </c>
      <c r="H9" s="517" t="s">
        <v>127</v>
      </c>
      <c r="I9" s="517" t="s">
        <v>128</v>
      </c>
      <c r="J9" s="516"/>
      <c r="K9" s="516"/>
      <c r="L9" s="516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2:25" x14ac:dyDescent="0.2">
      <c r="B10" s="1"/>
      <c r="C10" s="2270" t="s">
        <v>131</v>
      </c>
      <c r="D10" s="2270"/>
      <c r="E10" s="433">
        <f>IF(C15=0,D15,C15)</f>
        <v>4627948.08</v>
      </c>
      <c r="F10" s="407">
        <f>E10*0.16</f>
        <v>740471.69280000008</v>
      </c>
      <c r="G10" s="407">
        <f>E10+F10</f>
        <v>5368419.7728000004</v>
      </c>
      <c r="H10" s="408"/>
      <c r="I10" s="411">
        <v>19</v>
      </c>
      <c r="J10" s="516"/>
      <c r="K10" s="516"/>
      <c r="L10" s="516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2:25" x14ac:dyDescent="0.2">
      <c r="B11" s="1"/>
      <c r="C11" s="2270" t="s">
        <v>132</v>
      </c>
      <c r="D11" s="2270"/>
      <c r="E11" s="433">
        <f>IF(C16=0,D16,C16)</f>
        <v>2047.42</v>
      </c>
      <c r="F11" s="407">
        <f>E11*0.16</f>
        <v>327.5872</v>
      </c>
      <c r="G11" s="407">
        <f>E11+F11</f>
        <v>2375.0072</v>
      </c>
      <c r="H11" s="408"/>
      <c r="I11" s="411">
        <v>19</v>
      </c>
      <c r="J11" s="516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2:25" x14ac:dyDescent="0.2">
      <c r="B12" s="1"/>
      <c r="C12" s="516"/>
      <c r="D12" s="516"/>
      <c r="E12" s="516"/>
      <c r="F12" s="516"/>
      <c r="G12" s="516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2:25" ht="15" thickBot="1" x14ac:dyDescent="0.25">
      <c r="B13" s="1"/>
      <c r="C13" s="516"/>
      <c r="D13" s="516"/>
      <c r="E13" s="516"/>
      <c r="F13" s="516"/>
      <c r="G13" s="516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2:25" x14ac:dyDescent="0.2">
      <c r="B14" s="1"/>
      <c r="C14" s="440" t="s">
        <v>155</v>
      </c>
      <c r="D14" s="441" t="s">
        <v>156</v>
      </c>
      <c r="E14" s="442" t="s">
        <v>112</v>
      </c>
      <c r="F14" s="516"/>
      <c r="G14" s="516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2:25" x14ac:dyDescent="0.2">
      <c r="B15" s="1"/>
      <c r="C15" s="443">
        <v>4627948.08</v>
      </c>
      <c r="D15" s="444">
        <f>D79</f>
        <v>4627948.0800000019</v>
      </c>
      <c r="E15" s="445">
        <f>C15-D15</f>
        <v>0</v>
      </c>
      <c r="F15" s="516"/>
      <c r="G15" s="516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2:25" ht="15" thickBot="1" x14ac:dyDescent="0.25">
      <c r="B16" s="1"/>
      <c r="C16" s="446">
        <v>2047.42</v>
      </c>
      <c r="D16" s="447">
        <f>ROUND(G79,2)</f>
        <v>2047.42</v>
      </c>
      <c r="E16" s="448">
        <f>C16-D16</f>
        <v>0</v>
      </c>
      <c r="F16" s="516"/>
      <c r="G16" s="516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2:25" x14ac:dyDescent="0.2">
      <c r="B17" s="1"/>
      <c r="C17" s="516"/>
      <c r="D17" s="516"/>
      <c r="E17" s="516"/>
      <c r="F17" s="516"/>
      <c r="G17" s="516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2:25" x14ac:dyDescent="0.2">
      <c r="B18" s="1"/>
      <c r="C18" s="516"/>
      <c r="D18" s="516"/>
      <c r="E18" s="516"/>
      <c r="F18" s="516"/>
      <c r="G18" s="516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2:25" x14ac:dyDescent="0.2">
      <c r="B19" s="1"/>
      <c r="C19" s="516"/>
      <c r="D19" s="516"/>
      <c r="E19" s="516"/>
      <c r="F19" s="516"/>
      <c r="G19" s="516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2:25" x14ac:dyDescent="0.2">
      <c r="B20" s="1"/>
      <c r="C20" s="516"/>
      <c r="D20" s="516"/>
      <c r="E20" s="516"/>
      <c r="F20" s="516"/>
      <c r="G20" s="516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2:25" x14ac:dyDescent="0.2">
      <c r="B21" s="1"/>
      <c r="C21" s="516"/>
      <c r="D21" s="516"/>
      <c r="E21" s="516"/>
      <c r="F21" s="516"/>
      <c r="G21" s="516"/>
      <c r="H21" s="1"/>
      <c r="I21" s="1"/>
      <c r="J21" s="1"/>
      <c r="K21" s="1"/>
      <c r="L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2:25" ht="15" thickBot="1" x14ac:dyDescent="0.25">
      <c r="B22" s="1"/>
      <c r="C22" s="419" t="s">
        <v>137</v>
      </c>
      <c r="D22" s="516" t="s">
        <v>138</v>
      </c>
      <c r="E22" s="516"/>
      <c r="F22" s="516" t="s">
        <v>139</v>
      </c>
      <c r="G22" s="516"/>
      <c r="H22" s="516" t="s">
        <v>143</v>
      </c>
      <c r="I22" s="516" t="s">
        <v>142</v>
      </c>
      <c r="J22" s="516" t="s">
        <v>141</v>
      </c>
      <c r="K22" s="516" t="s">
        <v>140</v>
      </c>
      <c r="L22" s="516" t="s">
        <v>144</v>
      </c>
      <c r="M22" s="516" t="s">
        <v>146</v>
      </c>
      <c r="N22" s="516"/>
      <c r="O22" s="516"/>
      <c r="P22" s="516"/>
      <c r="Q22" s="1"/>
      <c r="R22" s="1"/>
      <c r="S22" s="1"/>
      <c r="T22" s="1"/>
      <c r="U22" s="1"/>
      <c r="V22" s="1"/>
      <c r="W22" s="1"/>
      <c r="X22" s="1"/>
      <c r="Y22" s="1"/>
    </row>
    <row r="23" spans="2:25" ht="30.6" customHeight="1" x14ac:dyDescent="0.2">
      <c r="B23" s="1"/>
      <c r="C23" s="402" t="s">
        <v>134</v>
      </c>
      <c r="D23" s="2261" t="s">
        <v>135</v>
      </c>
      <c r="E23" s="2262"/>
      <c r="F23" s="518" t="s">
        <v>136</v>
      </c>
      <c r="G23" s="518" t="s">
        <v>153</v>
      </c>
      <c r="H23" s="420" t="s">
        <v>129</v>
      </c>
      <c r="I23" s="403" t="s">
        <v>130</v>
      </c>
      <c r="J23" s="422"/>
      <c r="K23" s="422"/>
      <c r="L23" s="422"/>
      <c r="M23" s="404" t="s">
        <v>124</v>
      </c>
      <c r="N23" s="516"/>
      <c r="O23" s="516"/>
      <c r="P23" s="516"/>
      <c r="Q23" s="516"/>
      <c r="R23" s="516"/>
      <c r="S23" s="516"/>
      <c r="T23" s="516"/>
      <c r="U23" s="1"/>
      <c r="V23" s="1"/>
      <c r="W23" s="1"/>
      <c r="X23" s="1"/>
      <c r="Y23" s="1"/>
    </row>
    <row r="24" spans="2:25" x14ac:dyDescent="0.2">
      <c r="B24" s="1"/>
      <c r="C24" s="405">
        <v>850</v>
      </c>
      <c r="D24" s="2263">
        <v>850</v>
      </c>
      <c r="E24" s="2264"/>
      <c r="F24" s="418">
        <v>31482640</v>
      </c>
      <c r="G24" s="418">
        <v>31</v>
      </c>
      <c r="H24" s="423">
        <f>VLOOKUP(C46,Tarifas!D4:H303,3)</f>
        <v>0.14699999999999999</v>
      </c>
      <c r="I24" s="424">
        <f>VLOOKUP(C46,Tarifas!D4:H303,5)</f>
        <v>1E-3</v>
      </c>
      <c r="J24" s="421">
        <v>183.8</v>
      </c>
      <c r="K24" s="421">
        <v>201.4</v>
      </c>
      <c r="L24" s="421"/>
      <c r="M24" s="431">
        <f>E79</f>
        <v>2243469.3189999997</v>
      </c>
      <c r="N24" s="430" t="s">
        <v>62</v>
      </c>
      <c r="O24" s="516"/>
      <c r="P24" s="516"/>
      <c r="Q24" s="516"/>
      <c r="R24" s="516"/>
      <c r="S24" s="516"/>
      <c r="T24" s="516"/>
      <c r="U24" s="1"/>
      <c r="V24" s="1"/>
      <c r="W24" s="1"/>
      <c r="X24" s="1"/>
      <c r="Y24" s="1"/>
    </row>
    <row r="25" spans="2:25" x14ac:dyDescent="0.2">
      <c r="B25" s="1"/>
      <c r="C25" s="516"/>
      <c r="D25" s="516"/>
      <c r="E25" s="516"/>
      <c r="F25" s="516"/>
      <c r="G25" s="516"/>
      <c r="H25" s="516"/>
      <c r="I25" s="516"/>
      <c r="J25" s="516"/>
      <c r="K25" s="516"/>
      <c r="L25" s="516"/>
      <c r="M25" s="516"/>
      <c r="N25" s="516"/>
      <c r="O25" s="516"/>
      <c r="P25" s="516"/>
      <c r="Q25" s="516"/>
      <c r="R25" s="516"/>
      <c r="S25" s="1"/>
      <c r="T25" s="1"/>
      <c r="U25" s="1"/>
      <c r="V25" s="1"/>
      <c r="W25" s="1"/>
      <c r="X25" s="1"/>
      <c r="Y25" s="1"/>
    </row>
    <row r="26" spans="2:25" x14ac:dyDescent="0.2">
      <c r="B26" s="1"/>
      <c r="C26" s="516"/>
      <c r="D26" s="516"/>
      <c r="E26" s="516"/>
      <c r="F26" s="516"/>
      <c r="G26" s="516"/>
      <c r="H26" s="516"/>
      <c r="I26" s="516"/>
      <c r="J26" s="516"/>
      <c r="K26" s="516"/>
      <c r="L26" s="516"/>
      <c r="M26" s="516"/>
      <c r="N26" s="516"/>
      <c r="O26" s="516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2:25" x14ac:dyDescent="0.2">
      <c r="B27" s="1"/>
      <c r="C27" s="516"/>
      <c r="D27" s="516"/>
      <c r="E27" s="516"/>
      <c r="F27" s="516"/>
      <c r="G27" s="516"/>
      <c r="H27" s="516"/>
      <c r="I27" s="516"/>
      <c r="J27" s="516"/>
      <c r="K27" s="516"/>
      <c r="L27" s="516"/>
      <c r="M27" s="516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2:25" ht="15" thickBot="1" x14ac:dyDescent="0.25">
      <c r="B28" s="1"/>
      <c r="C28" s="2266" t="s">
        <v>86</v>
      </c>
      <c r="D28" s="2266"/>
      <c r="E28" s="2266"/>
      <c r="F28" s="2266"/>
      <c r="G28" s="334"/>
      <c r="H28" s="334"/>
      <c r="I28" s="334"/>
      <c r="J28" s="519"/>
      <c r="K28" s="336"/>
      <c r="L28" s="336"/>
      <c r="M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2:25" ht="22.5" x14ac:dyDescent="0.2">
      <c r="B29" s="1"/>
      <c r="C29" s="337" t="s">
        <v>87</v>
      </c>
      <c r="D29" s="514" t="s">
        <v>88</v>
      </c>
      <c r="E29" s="514" t="s">
        <v>89</v>
      </c>
      <c r="F29" s="514" t="s">
        <v>20</v>
      </c>
      <c r="G29" s="514" t="s">
        <v>90</v>
      </c>
      <c r="H29" s="514" t="s">
        <v>91</v>
      </c>
      <c r="I29" s="514" t="s">
        <v>92</v>
      </c>
      <c r="J29" s="514" t="s">
        <v>93</v>
      </c>
      <c r="K29" s="514" t="s">
        <v>94</v>
      </c>
      <c r="L29" s="515" t="s">
        <v>95</v>
      </c>
      <c r="M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2:25" x14ac:dyDescent="0.2">
      <c r="B30" s="1"/>
      <c r="C30" s="338"/>
      <c r="D30" s="339">
        <v>1</v>
      </c>
      <c r="E30" s="339" t="s">
        <v>96</v>
      </c>
      <c r="F30" s="340" t="s">
        <v>97</v>
      </c>
      <c r="G30" s="339">
        <v>20823</v>
      </c>
      <c r="H30" s="341"/>
      <c r="I30" s="339">
        <v>138.15</v>
      </c>
      <c r="J30" s="342">
        <f>H30/H$34</f>
        <v>0</v>
      </c>
      <c r="K30" s="343">
        <f>ROUND(J30*E$10,2)</f>
        <v>0</v>
      </c>
      <c r="L30" s="344">
        <f>K30*I$10</f>
        <v>0</v>
      </c>
      <c r="M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2:25" x14ac:dyDescent="0.2">
      <c r="B31" s="1"/>
      <c r="C31" s="338"/>
      <c r="D31" s="339">
        <v>2</v>
      </c>
      <c r="E31" s="339" t="s">
        <v>98</v>
      </c>
      <c r="F31" s="340" t="s">
        <v>97</v>
      </c>
      <c r="G31" s="339">
        <v>20824</v>
      </c>
      <c r="H31" s="341"/>
      <c r="I31" s="339">
        <v>138.15</v>
      </c>
      <c r="J31" s="342">
        <f>H31/H$34</f>
        <v>0</v>
      </c>
      <c r="K31" s="343">
        <f>ROUND(J31*E$10,2)</f>
        <v>0</v>
      </c>
      <c r="L31" s="344">
        <f>K31*I$10</f>
        <v>0</v>
      </c>
      <c r="M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2:25" x14ac:dyDescent="0.2">
      <c r="B32" s="1"/>
      <c r="C32" s="338"/>
      <c r="D32" s="339">
        <v>1</v>
      </c>
      <c r="E32" s="339" t="s">
        <v>99</v>
      </c>
      <c r="F32" s="340" t="s">
        <v>100</v>
      </c>
      <c r="G32" s="339">
        <v>22228</v>
      </c>
      <c r="H32" s="341">
        <v>32000</v>
      </c>
      <c r="I32" s="339">
        <v>130.80000000000001</v>
      </c>
      <c r="J32" s="342">
        <f>H32/H$34</f>
        <v>0.2857142857142857</v>
      </c>
      <c r="K32" s="343">
        <f>ROUND(J32*E$10,2)</f>
        <v>1322270.8799999999</v>
      </c>
      <c r="L32" s="344">
        <f>K32*I$10</f>
        <v>25123146.719999999</v>
      </c>
      <c r="M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ht="15" thickBot="1" x14ac:dyDescent="0.25">
      <c r="B33" s="1"/>
      <c r="C33" s="345"/>
      <c r="D33" s="346">
        <v>1</v>
      </c>
      <c r="E33" s="347" t="s">
        <v>101</v>
      </c>
      <c r="F33" s="348" t="s">
        <v>23</v>
      </c>
      <c r="G33" s="347"/>
      <c r="H33" s="349">
        <v>80000</v>
      </c>
      <c r="I33" s="346"/>
      <c r="J33" s="350">
        <f>H33/H$34</f>
        <v>0.7142857142857143</v>
      </c>
      <c r="K33" s="351">
        <f>ROUND(J33*E$10,2)</f>
        <v>3305677.2</v>
      </c>
      <c r="L33" s="352">
        <f>K33*I$10</f>
        <v>62807866.800000004</v>
      </c>
      <c r="M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x14ac:dyDescent="0.2">
      <c r="B34" s="1"/>
      <c r="C34" s="406">
        <v>3000623</v>
      </c>
      <c r="D34" s="353" t="s">
        <v>102</v>
      </c>
      <c r="E34" s="353"/>
      <c r="F34" s="353"/>
      <c r="G34" s="354"/>
      <c r="H34" s="355">
        <f>SUM(H30:H33)</f>
        <v>112000</v>
      </c>
      <c r="I34" s="353"/>
      <c r="J34" s="356">
        <f>SUM(J30:J33)</f>
        <v>1</v>
      </c>
      <c r="K34" s="357">
        <f>SUM(K30:K33)</f>
        <v>4627948.08</v>
      </c>
      <c r="L34" s="357">
        <f>SUM(L30:L33)</f>
        <v>87931013.520000011</v>
      </c>
      <c r="M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x14ac:dyDescent="0.2">
      <c r="B35" s="1"/>
      <c r="C35" s="336"/>
      <c r="D35" s="336"/>
      <c r="E35" s="336"/>
      <c r="F35" s="358"/>
      <c r="G35" s="358"/>
      <c r="H35" s="336"/>
      <c r="I35" s="336"/>
      <c r="J35" s="336"/>
      <c r="K35" s="336"/>
      <c r="L35" s="359"/>
      <c r="M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x14ac:dyDescent="0.2">
      <c r="B36" s="1"/>
      <c r="C36" s="336"/>
      <c r="D36" s="336"/>
      <c r="E36" s="336"/>
      <c r="F36" s="358"/>
      <c r="G36" s="358"/>
      <c r="H36" s="336"/>
      <c r="I36" s="336"/>
      <c r="J36" s="336"/>
      <c r="K36" s="336"/>
      <c r="L36" s="359"/>
      <c r="M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x14ac:dyDescent="0.2">
      <c r="B37" s="1"/>
      <c r="C37" s="336"/>
      <c r="D37" s="336"/>
      <c r="E37" s="336"/>
      <c r="F37" s="358"/>
      <c r="G37" s="358"/>
      <c r="H37" s="336"/>
      <c r="I37" s="336"/>
      <c r="J37" s="336"/>
      <c r="K37" s="336"/>
      <c r="L37" s="359"/>
      <c r="M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ht="15" thickBot="1" x14ac:dyDescent="0.25">
      <c r="B38" s="1"/>
      <c r="C38" s="2266" t="s">
        <v>103</v>
      </c>
      <c r="D38" s="2266"/>
      <c r="E38" s="2266"/>
      <c r="F38" s="2266"/>
      <c r="G38" s="334"/>
      <c r="H38" s="334"/>
      <c r="I38" s="334"/>
      <c r="J38" s="336"/>
      <c r="K38" s="336"/>
      <c r="L38" s="360"/>
      <c r="M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ht="22.5" x14ac:dyDescent="0.2">
      <c r="B39" s="1"/>
      <c r="C39" s="337" t="s">
        <v>87</v>
      </c>
      <c r="D39" s="514" t="s">
        <v>88</v>
      </c>
      <c r="E39" s="514" t="s">
        <v>89</v>
      </c>
      <c r="F39" s="514" t="s">
        <v>20</v>
      </c>
      <c r="G39" s="514" t="s">
        <v>90</v>
      </c>
      <c r="H39" s="514" t="s">
        <v>104</v>
      </c>
      <c r="I39" s="514" t="s">
        <v>93</v>
      </c>
      <c r="J39" s="514" t="s">
        <v>92</v>
      </c>
      <c r="K39" s="514" t="s">
        <v>94</v>
      </c>
      <c r="L39" s="515" t="s">
        <v>95</v>
      </c>
      <c r="M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x14ac:dyDescent="0.2">
      <c r="B40" s="1"/>
      <c r="C40" s="338"/>
      <c r="D40" s="339">
        <v>1</v>
      </c>
      <c r="E40" s="339" t="s">
        <v>96</v>
      </c>
      <c r="F40" s="340" t="s">
        <v>97</v>
      </c>
      <c r="G40" s="339">
        <v>20823</v>
      </c>
      <c r="H40" s="341">
        <f>M79</f>
        <v>0</v>
      </c>
      <c r="I40" s="342">
        <f>H40/H$44</f>
        <v>0</v>
      </c>
      <c r="J40" s="339">
        <v>138.15</v>
      </c>
      <c r="K40" s="343">
        <f>ROUND(I40*$E$11,2)</f>
        <v>0</v>
      </c>
      <c r="L40" s="344">
        <f>K40*L24</f>
        <v>0</v>
      </c>
      <c r="M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x14ac:dyDescent="0.2">
      <c r="B41" s="1"/>
      <c r="C41" s="338"/>
      <c r="D41" s="339">
        <v>2</v>
      </c>
      <c r="E41" s="339" t="s">
        <v>98</v>
      </c>
      <c r="F41" s="340" t="s">
        <v>97</v>
      </c>
      <c r="G41" s="339">
        <v>20824</v>
      </c>
      <c r="H41" s="341">
        <f>N79</f>
        <v>0</v>
      </c>
      <c r="I41" s="342">
        <f>H41/H$44</f>
        <v>0</v>
      </c>
      <c r="J41" s="339">
        <v>138.15</v>
      </c>
      <c r="K41" s="343">
        <f>ROUND(I41*$E$11,2)</f>
        <v>0</v>
      </c>
      <c r="L41" s="344">
        <f>K41*L25</f>
        <v>0</v>
      </c>
      <c r="M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x14ac:dyDescent="0.2">
      <c r="B42" s="1"/>
      <c r="C42" s="338"/>
      <c r="D42" s="339">
        <v>1</v>
      </c>
      <c r="E42" s="339" t="s">
        <v>99</v>
      </c>
      <c r="F42" s="340" t="s">
        <v>100</v>
      </c>
      <c r="G42" s="339">
        <v>22228</v>
      </c>
      <c r="H42" s="341">
        <f>O79</f>
        <v>0</v>
      </c>
      <c r="I42" s="342">
        <f>H42/H$44</f>
        <v>0</v>
      </c>
      <c r="J42" s="339">
        <v>130.80000000000001</v>
      </c>
      <c r="K42" s="343">
        <f>ROUND(I42*$E$11,2)</f>
        <v>0</v>
      </c>
      <c r="L42" s="344">
        <f>K42*L26</f>
        <v>0</v>
      </c>
      <c r="M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ht="15" thickBot="1" x14ac:dyDescent="0.25">
      <c r="B43" s="1"/>
      <c r="C43" s="345"/>
      <c r="D43" s="346">
        <v>1</v>
      </c>
      <c r="E43" s="347" t="s">
        <v>101</v>
      </c>
      <c r="F43" s="348" t="s">
        <v>23</v>
      </c>
      <c r="G43" s="347"/>
      <c r="H43" s="349">
        <f>L79</f>
        <v>2243469.3189999997</v>
      </c>
      <c r="I43" s="350">
        <f>H43/H$44</f>
        <v>1</v>
      </c>
      <c r="J43" s="346">
        <v>138.15</v>
      </c>
      <c r="K43" s="351">
        <f>ROUND(I43*$E$11,2)</f>
        <v>2047.42</v>
      </c>
      <c r="L43" s="352">
        <f>K43*L27</f>
        <v>0</v>
      </c>
      <c r="M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x14ac:dyDescent="0.2">
      <c r="B44" s="1"/>
      <c r="C44" s="353"/>
      <c r="D44" s="353"/>
      <c r="E44" s="353"/>
      <c r="F44" s="353"/>
      <c r="G44" s="354"/>
      <c r="H44" s="449">
        <f>SUM(H40:H43)</f>
        <v>2243469.3189999997</v>
      </c>
      <c r="I44" s="355"/>
      <c r="J44" s="353"/>
      <c r="K44" s="357">
        <f>SUM(K40:K43)</f>
        <v>2047.42</v>
      </c>
      <c r="L44" s="357">
        <f>SUM(L40:L43)</f>
        <v>0</v>
      </c>
      <c r="M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customFormat="1" ht="15" thickBot="1" x14ac:dyDescent="0.25">
      <c r="M45" s="450"/>
      <c r="N45" s="450"/>
      <c r="O45" s="450"/>
      <c r="P45" s="450"/>
      <c r="Q45" s="450"/>
      <c r="R45" s="450"/>
      <c r="S45" s="450"/>
      <c r="T45" s="450"/>
      <c r="U45" s="450"/>
      <c r="V45" s="450"/>
      <c r="W45" s="450"/>
      <c r="X45" s="450"/>
      <c r="Y45" s="450"/>
    </row>
    <row r="46" spans="1:25" ht="15" thickBot="1" x14ac:dyDescent="0.25">
      <c r="B46" s="434" t="s">
        <v>3</v>
      </c>
      <c r="C46" s="333">
        <f>SUMIF(Tarifas!E4:E303,'Enero - 2015'!C48,Tarifas!D4:D303)</f>
        <v>18</v>
      </c>
      <c r="D46" s="425" t="s">
        <v>147</v>
      </c>
      <c r="E46" s="426" t="s">
        <v>145</v>
      </c>
      <c r="F46" s="426" t="s">
        <v>150</v>
      </c>
      <c r="G46" s="426" t="s">
        <v>148</v>
      </c>
      <c r="H46" s="382"/>
      <c r="I46" s="331" t="s">
        <v>120</v>
      </c>
      <c r="J46" s="332"/>
      <c r="K46" s="332"/>
      <c r="L46" s="2277" t="s">
        <v>105</v>
      </c>
      <c r="M46" s="2278"/>
      <c r="N46" s="2278"/>
      <c r="O46" s="2278"/>
      <c r="P46" s="2278"/>
      <c r="Q46" s="2278"/>
      <c r="R46" s="2279"/>
      <c r="S46" s="2274" t="s">
        <v>121</v>
      </c>
      <c r="T46" s="2275"/>
      <c r="U46" s="2275"/>
      <c r="V46" s="2275"/>
      <c r="W46" s="2275"/>
      <c r="X46" s="2275"/>
      <c r="Y46" s="2276"/>
    </row>
    <row r="47" spans="1:25" ht="34.5" thickBot="1" x14ac:dyDescent="0.25">
      <c r="A47" s="2" t="s">
        <v>29</v>
      </c>
      <c r="B47" s="2" t="s">
        <v>154</v>
      </c>
      <c r="C47" s="383" t="s">
        <v>122</v>
      </c>
      <c r="D47" s="384" t="s">
        <v>125</v>
      </c>
      <c r="E47" s="385" t="s">
        <v>149</v>
      </c>
      <c r="F47" s="385" t="s">
        <v>151</v>
      </c>
      <c r="G47" s="385" t="s">
        <v>152</v>
      </c>
      <c r="H47" s="386" t="s">
        <v>123</v>
      </c>
      <c r="I47" s="1450" t="s">
        <v>377</v>
      </c>
      <c r="J47" s="1451" t="s">
        <v>376</v>
      </c>
      <c r="K47" s="1451" t="s">
        <v>375</v>
      </c>
      <c r="L47" s="1437" t="s">
        <v>115</v>
      </c>
      <c r="M47" s="1438" t="s">
        <v>106</v>
      </c>
      <c r="N47" s="1438" t="s">
        <v>107</v>
      </c>
      <c r="O47" s="1438" t="s">
        <v>108</v>
      </c>
      <c r="P47" s="1438" t="s">
        <v>115</v>
      </c>
      <c r="Q47" s="1439" t="s">
        <v>116</v>
      </c>
      <c r="R47" s="1440" t="s">
        <v>117</v>
      </c>
      <c r="S47" s="1441" t="s">
        <v>110</v>
      </c>
      <c r="T47" s="1442" t="s">
        <v>111</v>
      </c>
      <c r="U47" s="1442" t="s">
        <v>112</v>
      </c>
      <c r="V47" s="1443" t="s">
        <v>118</v>
      </c>
      <c r="W47" s="1443" t="s">
        <v>119</v>
      </c>
      <c r="X47" s="1443" t="s">
        <v>114</v>
      </c>
      <c r="Y47" s="1444" t="s">
        <v>113</v>
      </c>
    </row>
    <row r="48" spans="1:25" x14ac:dyDescent="0.2">
      <c r="A48" s="2">
        <f>MONTH(C48)</f>
        <v>1</v>
      </c>
      <c r="B48" s="2">
        <f>YEAR(C48)</f>
        <v>2015</v>
      </c>
      <c r="C48" s="387">
        <f>G7</f>
        <v>42005</v>
      </c>
      <c r="D48" s="388">
        <f>($F$24*$H$24)/$G$24</f>
        <v>149288.64774193548</v>
      </c>
      <c r="E48" s="389">
        <f>P48+Q48+R48</f>
        <v>58724.406000000003</v>
      </c>
      <c r="F48" s="427">
        <f t="shared" ref="F48:F78" si="0">TRUNC(IFERROR(J$24/K$24,0),8)</f>
        <v>0.91261170999999996</v>
      </c>
      <c r="G48" s="390">
        <f t="shared" ref="G48:G78" si="1">ROUND(I$24*F48*E48,4)</f>
        <v>53.592599999999997</v>
      </c>
      <c r="H48" s="391">
        <f t="shared" ref="H48:H78" si="2">SUM(D48:G48)</f>
        <v>208067.55895364546</v>
      </c>
      <c r="I48" s="324">
        <v>64993</v>
      </c>
      <c r="J48" s="325"/>
      <c r="K48" s="325">
        <v>50833.21</v>
      </c>
      <c r="L48" s="317">
        <v>58724.406000000003</v>
      </c>
      <c r="M48" s="318"/>
      <c r="N48" s="318"/>
      <c r="O48" s="318"/>
      <c r="P48" s="389">
        <f>L48</f>
        <v>58724.406000000003</v>
      </c>
      <c r="Q48" s="389">
        <f t="shared" ref="Q48:Q78" si="3">M48+N48</f>
        <v>0</v>
      </c>
      <c r="R48" s="389">
        <f t="shared" ref="R48:R78" si="4">O48</f>
        <v>0</v>
      </c>
      <c r="S48" s="522"/>
      <c r="T48" s="523"/>
      <c r="U48" s="524">
        <f>S48+T48-V48</f>
        <v>-115826.20999999999</v>
      </c>
      <c r="V48" s="520">
        <f>I48+J48+K48</f>
        <v>115826.20999999999</v>
      </c>
      <c r="W48" s="520">
        <f>(P48+Q48+R48)*1.055056</f>
        <v>61957.536896736005</v>
      </c>
      <c r="X48" s="520">
        <f>V48-W48</f>
        <v>53868.673103263987</v>
      </c>
      <c r="Y48" s="525">
        <f>AL45+X48</f>
        <v>53868.673103263987</v>
      </c>
    </row>
    <row r="49" spans="3:25" x14ac:dyDescent="0.2">
      <c r="C49" s="387">
        <f t="shared" ref="C49:C78" si="5">C48+1</f>
        <v>42006</v>
      </c>
      <c r="D49" s="388">
        <f t="shared" ref="D49:D78" si="6">($F$24*$H$24)/$G$24</f>
        <v>149288.64774193548</v>
      </c>
      <c r="E49" s="392">
        <f t="shared" ref="E49:E78" si="7">P49+Q49+R49</f>
        <v>70412.850000000006</v>
      </c>
      <c r="F49" s="428">
        <f t="shared" si="0"/>
        <v>0.91261170999999996</v>
      </c>
      <c r="G49" s="390">
        <f t="shared" si="1"/>
        <v>64.259600000000006</v>
      </c>
      <c r="H49" s="391">
        <f t="shared" si="2"/>
        <v>219766.66995364547</v>
      </c>
      <c r="I49" s="324">
        <v>64993</v>
      </c>
      <c r="J49" s="325"/>
      <c r="K49" s="325">
        <v>58772.46</v>
      </c>
      <c r="L49" s="319">
        <v>70412.850000000006</v>
      </c>
      <c r="M49" s="320"/>
      <c r="N49" s="320"/>
      <c r="O49" s="320"/>
      <c r="P49" s="392">
        <f t="shared" ref="P49:P78" si="8">L49</f>
        <v>70412.850000000006</v>
      </c>
      <c r="Q49" s="392">
        <f t="shared" si="3"/>
        <v>0</v>
      </c>
      <c r="R49" s="392">
        <f t="shared" si="4"/>
        <v>0</v>
      </c>
      <c r="S49" s="522"/>
      <c r="T49" s="523"/>
      <c r="U49" s="524">
        <f t="shared" ref="U49:U78" si="9">S49+T49-V49</f>
        <v>-123765.45999999999</v>
      </c>
      <c r="V49" s="520">
        <f t="shared" ref="V49:V78" si="10">I49+J49+K49</f>
        <v>123765.45999999999</v>
      </c>
      <c r="W49" s="520">
        <f t="shared" ref="W49:W78" si="11">(P49+Q49+R49)*1.055056</f>
        <v>74289.499869600011</v>
      </c>
      <c r="X49" s="520">
        <f t="shared" ref="X49:X78" si="12">V49-W49</f>
        <v>49475.960130399981</v>
      </c>
      <c r="Y49" s="525">
        <f>Y48+X49</f>
        <v>103344.63323366398</v>
      </c>
    </row>
    <row r="50" spans="3:25" x14ac:dyDescent="0.2">
      <c r="C50" s="387">
        <f t="shared" si="5"/>
        <v>42007</v>
      </c>
      <c r="D50" s="388">
        <f t="shared" si="6"/>
        <v>149288.64774193548</v>
      </c>
      <c r="E50" s="392">
        <f t="shared" si="7"/>
        <v>70756.3</v>
      </c>
      <c r="F50" s="428">
        <f t="shared" si="0"/>
        <v>0.91261170999999996</v>
      </c>
      <c r="G50" s="390">
        <f t="shared" si="1"/>
        <v>64.572999999999993</v>
      </c>
      <c r="H50" s="391">
        <f t="shared" si="2"/>
        <v>220110.43335364549</v>
      </c>
      <c r="I50" s="324">
        <v>64993</v>
      </c>
      <c r="J50" s="325"/>
      <c r="K50" s="325">
        <v>69879.3</v>
      </c>
      <c r="L50" s="317">
        <v>70756.3</v>
      </c>
      <c r="M50" s="318"/>
      <c r="N50" s="318"/>
      <c r="O50" s="318"/>
      <c r="P50" s="392">
        <f t="shared" si="8"/>
        <v>70756.3</v>
      </c>
      <c r="Q50" s="392">
        <f t="shared" si="3"/>
        <v>0</v>
      </c>
      <c r="R50" s="392">
        <f t="shared" si="4"/>
        <v>0</v>
      </c>
      <c r="S50" s="522"/>
      <c r="T50" s="523"/>
      <c r="U50" s="524">
        <f t="shared" si="9"/>
        <v>-134872.29999999999</v>
      </c>
      <c r="V50" s="520">
        <f t="shared" si="10"/>
        <v>134872.29999999999</v>
      </c>
      <c r="W50" s="520">
        <f t="shared" si="11"/>
        <v>74651.858852799996</v>
      </c>
      <c r="X50" s="520">
        <f t="shared" si="12"/>
        <v>60220.441147199992</v>
      </c>
      <c r="Y50" s="525">
        <f t="shared" ref="Y50:Y78" si="13">Y49+X50</f>
        <v>163565.07438086398</v>
      </c>
    </row>
    <row r="51" spans="3:25" x14ac:dyDescent="0.2">
      <c r="C51" s="387">
        <f t="shared" si="5"/>
        <v>42008</v>
      </c>
      <c r="D51" s="388">
        <f t="shared" si="6"/>
        <v>149288.64774193548</v>
      </c>
      <c r="E51" s="392">
        <f t="shared" si="7"/>
        <v>68233.089000000007</v>
      </c>
      <c r="F51" s="428">
        <f t="shared" si="0"/>
        <v>0.91261170999999996</v>
      </c>
      <c r="G51" s="390">
        <f t="shared" si="1"/>
        <v>62.270299999999999</v>
      </c>
      <c r="H51" s="391">
        <f t="shared" si="2"/>
        <v>217584.91965364548</v>
      </c>
      <c r="I51" s="324">
        <v>64993</v>
      </c>
      <c r="J51" s="325"/>
      <c r="K51" s="325">
        <v>63173.440000000002</v>
      </c>
      <c r="L51" s="319">
        <v>68233.089000000007</v>
      </c>
      <c r="M51" s="320"/>
      <c r="N51" s="320"/>
      <c r="O51" s="320"/>
      <c r="P51" s="392">
        <f t="shared" si="8"/>
        <v>68233.089000000007</v>
      </c>
      <c r="Q51" s="392">
        <f t="shared" si="3"/>
        <v>0</v>
      </c>
      <c r="R51" s="392">
        <f t="shared" si="4"/>
        <v>0</v>
      </c>
      <c r="S51" s="522"/>
      <c r="T51" s="523"/>
      <c r="U51" s="524">
        <f t="shared" si="9"/>
        <v>-128166.44</v>
      </c>
      <c r="V51" s="520">
        <f t="shared" si="10"/>
        <v>128166.44</v>
      </c>
      <c r="W51" s="520">
        <f t="shared" si="11"/>
        <v>71989.729947984</v>
      </c>
      <c r="X51" s="520">
        <f t="shared" si="12"/>
        <v>56176.710052016002</v>
      </c>
      <c r="Y51" s="525">
        <f t="shared" si="13"/>
        <v>219741.78443288</v>
      </c>
    </row>
    <row r="52" spans="3:25" x14ac:dyDescent="0.2">
      <c r="C52" s="387">
        <f t="shared" si="5"/>
        <v>42009</v>
      </c>
      <c r="D52" s="388">
        <f t="shared" si="6"/>
        <v>149288.64774193548</v>
      </c>
      <c r="E52" s="392">
        <f t="shared" si="7"/>
        <v>71497.119999999995</v>
      </c>
      <c r="F52" s="428">
        <f t="shared" si="0"/>
        <v>0.91261170999999996</v>
      </c>
      <c r="G52" s="390">
        <f t="shared" si="1"/>
        <v>65.249099999999999</v>
      </c>
      <c r="H52" s="391">
        <f t="shared" si="2"/>
        <v>220851.92945364545</v>
      </c>
      <c r="I52" s="324">
        <v>69984</v>
      </c>
      <c r="J52" s="325"/>
      <c r="K52" s="325">
        <v>70636.52</v>
      </c>
      <c r="L52" s="317">
        <v>71497.119999999995</v>
      </c>
      <c r="M52" s="318"/>
      <c r="N52" s="318"/>
      <c r="O52" s="318"/>
      <c r="P52" s="392">
        <f t="shared" si="8"/>
        <v>71497.119999999995</v>
      </c>
      <c r="Q52" s="392">
        <f t="shared" si="3"/>
        <v>0</v>
      </c>
      <c r="R52" s="392">
        <f t="shared" si="4"/>
        <v>0</v>
      </c>
      <c r="S52" s="522"/>
      <c r="T52" s="523"/>
      <c r="U52" s="524">
        <f t="shared" si="9"/>
        <v>-140620.52000000002</v>
      </c>
      <c r="V52" s="520">
        <f t="shared" si="10"/>
        <v>140620.52000000002</v>
      </c>
      <c r="W52" s="520">
        <f t="shared" si="11"/>
        <v>75433.465438719999</v>
      </c>
      <c r="X52" s="520">
        <f t="shared" si="12"/>
        <v>65187.05456128002</v>
      </c>
      <c r="Y52" s="525">
        <f t="shared" si="13"/>
        <v>284928.83899416</v>
      </c>
    </row>
    <row r="53" spans="3:25" x14ac:dyDescent="0.2">
      <c r="C53" s="387">
        <f t="shared" si="5"/>
        <v>42010</v>
      </c>
      <c r="D53" s="388">
        <f t="shared" si="6"/>
        <v>149288.64774193548</v>
      </c>
      <c r="E53" s="392">
        <f t="shared" si="7"/>
        <v>74684.679999999993</v>
      </c>
      <c r="F53" s="428">
        <f t="shared" si="0"/>
        <v>0.91261170999999996</v>
      </c>
      <c r="G53" s="390">
        <f t="shared" si="1"/>
        <v>68.158100000000005</v>
      </c>
      <c r="H53" s="391">
        <f t="shared" si="2"/>
        <v>224042.39845364547</v>
      </c>
      <c r="I53" s="324">
        <v>70000</v>
      </c>
      <c r="J53" s="325"/>
      <c r="K53" s="325">
        <v>69452.33</v>
      </c>
      <c r="L53" s="319">
        <v>74684.679999999993</v>
      </c>
      <c r="M53" s="320"/>
      <c r="N53" s="320"/>
      <c r="O53" s="320"/>
      <c r="P53" s="392">
        <f t="shared" si="8"/>
        <v>74684.679999999993</v>
      </c>
      <c r="Q53" s="392">
        <f t="shared" si="3"/>
        <v>0</v>
      </c>
      <c r="R53" s="392">
        <f t="shared" si="4"/>
        <v>0</v>
      </c>
      <c r="S53" s="522"/>
      <c r="T53" s="523"/>
      <c r="U53" s="524">
        <f t="shared" si="9"/>
        <v>-139452.33000000002</v>
      </c>
      <c r="V53" s="520">
        <f t="shared" si="10"/>
        <v>139452.33000000002</v>
      </c>
      <c r="W53" s="520">
        <f t="shared" si="11"/>
        <v>78796.519742079996</v>
      </c>
      <c r="X53" s="520">
        <f t="shared" si="12"/>
        <v>60655.81025792002</v>
      </c>
      <c r="Y53" s="525">
        <f t="shared" si="13"/>
        <v>345584.64925208001</v>
      </c>
    </row>
    <row r="54" spans="3:25" x14ac:dyDescent="0.2">
      <c r="C54" s="387">
        <f t="shared" si="5"/>
        <v>42011</v>
      </c>
      <c r="D54" s="388">
        <f t="shared" si="6"/>
        <v>149288.64774193548</v>
      </c>
      <c r="E54" s="392">
        <f t="shared" si="7"/>
        <v>76708.039999999994</v>
      </c>
      <c r="F54" s="428">
        <f t="shared" si="0"/>
        <v>0.91261170999999996</v>
      </c>
      <c r="G54" s="390">
        <f t="shared" si="1"/>
        <v>70.0047</v>
      </c>
      <c r="H54" s="391">
        <f t="shared" si="2"/>
        <v>226067.60505364547</v>
      </c>
      <c r="I54" s="324">
        <v>70000</v>
      </c>
      <c r="J54" s="325"/>
      <c r="K54" s="325">
        <v>71482.820000000007</v>
      </c>
      <c r="L54" s="317">
        <v>76708.039999999994</v>
      </c>
      <c r="M54" s="318"/>
      <c r="N54" s="318"/>
      <c r="O54" s="318"/>
      <c r="P54" s="392">
        <f t="shared" si="8"/>
        <v>76708.039999999994</v>
      </c>
      <c r="Q54" s="392">
        <f t="shared" si="3"/>
        <v>0</v>
      </c>
      <c r="R54" s="392">
        <f t="shared" si="4"/>
        <v>0</v>
      </c>
      <c r="S54" s="522"/>
      <c r="T54" s="523"/>
      <c r="U54" s="524">
        <f t="shared" si="9"/>
        <v>-141482.82</v>
      </c>
      <c r="V54" s="520">
        <f t="shared" si="10"/>
        <v>141482.82</v>
      </c>
      <c r="W54" s="520">
        <f t="shared" si="11"/>
        <v>80931.277850239989</v>
      </c>
      <c r="X54" s="520">
        <f t="shared" si="12"/>
        <v>60551.542149760018</v>
      </c>
      <c r="Y54" s="525">
        <f t="shared" si="13"/>
        <v>406136.19140184001</v>
      </c>
    </row>
    <row r="55" spans="3:25" x14ac:dyDescent="0.2">
      <c r="C55" s="387">
        <f t="shared" si="5"/>
        <v>42012</v>
      </c>
      <c r="D55" s="388">
        <f t="shared" si="6"/>
        <v>149288.64774193548</v>
      </c>
      <c r="E55" s="392">
        <f t="shared" si="7"/>
        <v>75908.831000000006</v>
      </c>
      <c r="F55" s="428">
        <f t="shared" si="0"/>
        <v>0.91261170999999996</v>
      </c>
      <c r="G55" s="390">
        <f t="shared" si="1"/>
        <v>69.275300000000001</v>
      </c>
      <c r="H55" s="391">
        <f t="shared" si="2"/>
        <v>225267.66665364549</v>
      </c>
      <c r="I55" s="324">
        <v>68000</v>
      </c>
      <c r="J55" s="325"/>
      <c r="K55" s="325">
        <v>71065.73</v>
      </c>
      <c r="L55" s="319">
        <v>75908.831000000006</v>
      </c>
      <c r="M55" s="320"/>
      <c r="N55" s="320"/>
      <c r="O55" s="320"/>
      <c r="P55" s="392">
        <f t="shared" si="8"/>
        <v>75908.831000000006</v>
      </c>
      <c r="Q55" s="392">
        <f t="shared" si="3"/>
        <v>0</v>
      </c>
      <c r="R55" s="392">
        <f t="shared" si="4"/>
        <v>0</v>
      </c>
      <c r="S55" s="522"/>
      <c r="T55" s="523"/>
      <c r="U55" s="524">
        <f t="shared" si="9"/>
        <v>-139065.72999999998</v>
      </c>
      <c r="V55" s="520">
        <f t="shared" si="10"/>
        <v>139065.72999999998</v>
      </c>
      <c r="W55" s="520">
        <f t="shared" si="11"/>
        <v>80088.067599536007</v>
      </c>
      <c r="X55" s="520">
        <f t="shared" si="12"/>
        <v>58977.662400463974</v>
      </c>
      <c r="Y55" s="525">
        <f t="shared" si="13"/>
        <v>465113.85380230402</v>
      </c>
    </row>
    <row r="56" spans="3:25" x14ac:dyDescent="0.2">
      <c r="C56" s="387">
        <f t="shared" si="5"/>
        <v>42013</v>
      </c>
      <c r="D56" s="388">
        <f t="shared" si="6"/>
        <v>149288.64774193548</v>
      </c>
      <c r="E56" s="392">
        <f t="shared" si="7"/>
        <v>69581.02</v>
      </c>
      <c r="F56" s="428">
        <f t="shared" si="0"/>
        <v>0.91261170999999996</v>
      </c>
      <c r="G56" s="390">
        <f t="shared" si="1"/>
        <v>63.500500000000002</v>
      </c>
      <c r="H56" s="391">
        <f t="shared" si="2"/>
        <v>218934.08085364546</v>
      </c>
      <c r="I56" s="324">
        <v>68000</v>
      </c>
      <c r="J56" s="325"/>
      <c r="K56" s="325">
        <v>71150.45</v>
      </c>
      <c r="L56" s="317">
        <v>69581.02</v>
      </c>
      <c r="M56" s="318"/>
      <c r="N56" s="318"/>
      <c r="O56" s="318"/>
      <c r="P56" s="392">
        <f t="shared" si="8"/>
        <v>69581.02</v>
      </c>
      <c r="Q56" s="392">
        <f t="shared" si="3"/>
        <v>0</v>
      </c>
      <c r="R56" s="392">
        <f t="shared" si="4"/>
        <v>0</v>
      </c>
      <c r="S56" s="522"/>
      <c r="T56" s="523"/>
      <c r="U56" s="524">
        <f t="shared" si="9"/>
        <v>-139150.45000000001</v>
      </c>
      <c r="V56" s="520">
        <f t="shared" si="10"/>
        <v>139150.45000000001</v>
      </c>
      <c r="W56" s="520">
        <f t="shared" si="11"/>
        <v>73411.872637120003</v>
      </c>
      <c r="X56" s="520">
        <f t="shared" si="12"/>
        <v>65738.577362880009</v>
      </c>
      <c r="Y56" s="525">
        <f t="shared" si="13"/>
        <v>530852.43116518401</v>
      </c>
    </row>
    <row r="57" spans="3:25" x14ac:dyDescent="0.2">
      <c r="C57" s="387">
        <f t="shared" si="5"/>
        <v>42014</v>
      </c>
      <c r="D57" s="388">
        <f t="shared" si="6"/>
        <v>149288.64774193548</v>
      </c>
      <c r="E57" s="392">
        <f t="shared" si="7"/>
        <v>68289.119999999995</v>
      </c>
      <c r="F57" s="428">
        <f t="shared" si="0"/>
        <v>0.91261170999999996</v>
      </c>
      <c r="G57" s="390">
        <f t="shared" si="1"/>
        <v>62.3215</v>
      </c>
      <c r="H57" s="391">
        <f t="shared" si="2"/>
        <v>217641.00185364546</v>
      </c>
      <c r="I57" s="324">
        <v>68000</v>
      </c>
      <c r="J57" s="325"/>
      <c r="K57" s="325">
        <v>65395.44</v>
      </c>
      <c r="L57" s="319">
        <v>68289.119999999995</v>
      </c>
      <c r="M57" s="320"/>
      <c r="N57" s="320"/>
      <c r="O57" s="320"/>
      <c r="P57" s="392">
        <f t="shared" si="8"/>
        <v>68289.119999999995</v>
      </c>
      <c r="Q57" s="392">
        <f t="shared" si="3"/>
        <v>0</v>
      </c>
      <c r="R57" s="392">
        <f t="shared" si="4"/>
        <v>0</v>
      </c>
      <c r="S57" s="522"/>
      <c r="T57" s="523"/>
      <c r="U57" s="524">
        <f t="shared" si="9"/>
        <v>-133395.44</v>
      </c>
      <c r="V57" s="520">
        <f t="shared" si="10"/>
        <v>133395.44</v>
      </c>
      <c r="W57" s="520">
        <f t="shared" si="11"/>
        <v>72048.845790719992</v>
      </c>
      <c r="X57" s="520">
        <f t="shared" si="12"/>
        <v>61346.594209280011</v>
      </c>
      <c r="Y57" s="525">
        <f t="shared" si="13"/>
        <v>592199.02537446399</v>
      </c>
    </row>
    <row r="58" spans="3:25" x14ac:dyDescent="0.2">
      <c r="C58" s="387">
        <f t="shared" si="5"/>
        <v>42015</v>
      </c>
      <c r="D58" s="388">
        <f t="shared" si="6"/>
        <v>149288.64774193548</v>
      </c>
      <c r="E58" s="392">
        <f t="shared" si="7"/>
        <v>71435.823999999993</v>
      </c>
      <c r="F58" s="428">
        <f t="shared" si="0"/>
        <v>0.91261170999999996</v>
      </c>
      <c r="G58" s="390">
        <f t="shared" si="1"/>
        <v>65.193200000000004</v>
      </c>
      <c r="H58" s="391">
        <f t="shared" si="2"/>
        <v>220790.57755364547</v>
      </c>
      <c r="I58" s="324">
        <v>68000</v>
      </c>
      <c r="J58" s="325"/>
      <c r="K58" s="325">
        <v>61844.18</v>
      </c>
      <c r="L58" s="317">
        <v>71435.823999999993</v>
      </c>
      <c r="M58" s="318"/>
      <c r="N58" s="318"/>
      <c r="O58" s="318"/>
      <c r="P58" s="392">
        <f t="shared" si="8"/>
        <v>71435.823999999993</v>
      </c>
      <c r="Q58" s="392">
        <f t="shared" si="3"/>
        <v>0</v>
      </c>
      <c r="R58" s="392">
        <f t="shared" si="4"/>
        <v>0</v>
      </c>
      <c r="S58" s="522"/>
      <c r="T58" s="523"/>
      <c r="U58" s="524">
        <f t="shared" si="9"/>
        <v>-129844.18</v>
      </c>
      <c r="V58" s="520">
        <f t="shared" si="10"/>
        <v>129844.18</v>
      </c>
      <c r="W58" s="520">
        <f t="shared" si="11"/>
        <v>75368.794726143999</v>
      </c>
      <c r="X58" s="520">
        <f t="shared" si="12"/>
        <v>54475.385273855994</v>
      </c>
      <c r="Y58" s="525">
        <f t="shared" si="13"/>
        <v>646674.41064831999</v>
      </c>
    </row>
    <row r="59" spans="3:25" x14ac:dyDescent="0.2">
      <c r="C59" s="387">
        <f t="shared" si="5"/>
        <v>42016</v>
      </c>
      <c r="D59" s="388">
        <f t="shared" si="6"/>
        <v>149288.64774193548</v>
      </c>
      <c r="E59" s="392">
        <f t="shared" si="7"/>
        <v>72697.013999999996</v>
      </c>
      <c r="F59" s="428">
        <f t="shared" si="0"/>
        <v>0.91261170999999996</v>
      </c>
      <c r="G59" s="390">
        <f t="shared" si="1"/>
        <v>66.344099999999997</v>
      </c>
      <c r="H59" s="391">
        <f t="shared" si="2"/>
        <v>222052.91845364546</v>
      </c>
      <c r="I59" s="324">
        <v>70000</v>
      </c>
      <c r="J59" s="325"/>
      <c r="K59" s="325">
        <v>68829.34</v>
      </c>
      <c r="L59" s="319">
        <v>72697.013999999996</v>
      </c>
      <c r="M59" s="320"/>
      <c r="N59" s="320"/>
      <c r="O59" s="320"/>
      <c r="P59" s="392">
        <f t="shared" si="8"/>
        <v>72697.013999999996</v>
      </c>
      <c r="Q59" s="392">
        <f t="shared" si="3"/>
        <v>0</v>
      </c>
      <c r="R59" s="392">
        <f t="shared" si="4"/>
        <v>0</v>
      </c>
      <c r="S59" s="522"/>
      <c r="T59" s="523"/>
      <c r="U59" s="524">
        <f t="shared" si="9"/>
        <v>-138829.34</v>
      </c>
      <c r="V59" s="520">
        <f t="shared" si="10"/>
        <v>138829.34</v>
      </c>
      <c r="W59" s="520">
        <f t="shared" si="11"/>
        <v>76699.420802783992</v>
      </c>
      <c r="X59" s="520">
        <f t="shared" si="12"/>
        <v>62129.919197216004</v>
      </c>
      <c r="Y59" s="525">
        <f t="shared" si="13"/>
        <v>708804.32984553603</v>
      </c>
    </row>
    <row r="60" spans="3:25" x14ac:dyDescent="0.2">
      <c r="C60" s="387">
        <f t="shared" si="5"/>
        <v>42017</v>
      </c>
      <c r="D60" s="388">
        <f t="shared" si="6"/>
        <v>149288.64774193548</v>
      </c>
      <c r="E60" s="392">
        <f t="shared" si="7"/>
        <v>74445.55</v>
      </c>
      <c r="F60" s="428">
        <f t="shared" si="0"/>
        <v>0.91261170999999996</v>
      </c>
      <c r="G60" s="390">
        <f t="shared" si="1"/>
        <v>67.939899999999994</v>
      </c>
      <c r="H60" s="391">
        <f t="shared" si="2"/>
        <v>223803.05025364549</v>
      </c>
      <c r="I60" s="324">
        <v>72000</v>
      </c>
      <c r="J60" s="325"/>
      <c r="K60" s="325">
        <v>66775.25</v>
      </c>
      <c r="L60" s="317">
        <v>74445.55</v>
      </c>
      <c r="M60" s="318"/>
      <c r="N60" s="318"/>
      <c r="O60" s="318"/>
      <c r="P60" s="392">
        <f t="shared" si="8"/>
        <v>74445.55</v>
      </c>
      <c r="Q60" s="392">
        <f t="shared" si="3"/>
        <v>0</v>
      </c>
      <c r="R60" s="392">
        <f t="shared" si="4"/>
        <v>0</v>
      </c>
      <c r="S60" s="522"/>
      <c r="T60" s="523"/>
      <c r="U60" s="524">
        <f t="shared" si="9"/>
        <v>-138775.25</v>
      </c>
      <c r="V60" s="520">
        <f t="shared" si="10"/>
        <v>138775.25</v>
      </c>
      <c r="W60" s="520">
        <f t="shared" si="11"/>
        <v>78544.224200800003</v>
      </c>
      <c r="X60" s="520">
        <f t="shared" si="12"/>
        <v>60231.025799199997</v>
      </c>
      <c r="Y60" s="525">
        <f t="shared" si="13"/>
        <v>769035.35564473597</v>
      </c>
    </row>
    <row r="61" spans="3:25" x14ac:dyDescent="0.2">
      <c r="C61" s="387">
        <f t="shared" si="5"/>
        <v>42018</v>
      </c>
      <c r="D61" s="388">
        <f t="shared" si="6"/>
        <v>149288.64774193548</v>
      </c>
      <c r="E61" s="392">
        <f t="shared" si="7"/>
        <v>73934.429999999993</v>
      </c>
      <c r="F61" s="428">
        <f t="shared" si="0"/>
        <v>0.91261170999999996</v>
      </c>
      <c r="G61" s="390">
        <f t="shared" si="1"/>
        <v>67.473399999999998</v>
      </c>
      <c r="H61" s="391">
        <f t="shared" si="2"/>
        <v>223291.46375364545</v>
      </c>
      <c r="I61" s="324">
        <v>70000</v>
      </c>
      <c r="J61" s="325"/>
      <c r="K61" s="325">
        <v>71410.59</v>
      </c>
      <c r="L61" s="319">
        <v>73934.429999999993</v>
      </c>
      <c r="M61" s="320"/>
      <c r="N61" s="320"/>
      <c r="O61" s="320"/>
      <c r="P61" s="392">
        <f t="shared" si="8"/>
        <v>73934.429999999993</v>
      </c>
      <c r="Q61" s="392">
        <f t="shared" si="3"/>
        <v>0</v>
      </c>
      <c r="R61" s="392">
        <f t="shared" si="4"/>
        <v>0</v>
      </c>
      <c r="S61" s="522"/>
      <c r="T61" s="523"/>
      <c r="U61" s="524">
        <f t="shared" si="9"/>
        <v>-141410.59</v>
      </c>
      <c r="V61" s="520">
        <f t="shared" si="10"/>
        <v>141410.59</v>
      </c>
      <c r="W61" s="520">
        <f t="shared" si="11"/>
        <v>78004.963978079992</v>
      </c>
      <c r="X61" s="520">
        <f t="shared" si="12"/>
        <v>63405.626021920005</v>
      </c>
      <c r="Y61" s="525">
        <f t="shared" si="13"/>
        <v>832440.98166665598</v>
      </c>
    </row>
    <row r="62" spans="3:25" x14ac:dyDescent="0.2">
      <c r="C62" s="387">
        <f t="shared" si="5"/>
        <v>42019</v>
      </c>
      <c r="D62" s="388">
        <f t="shared" si="6"/>
        <v>149288.64774193548</v>
      </c>
      <c r="E62" s="392">
        <f t="shared" si="7"/>
        <v>74160.210000000006</v>
      </c>
      <c r="F62" s="428">
        <f t="shared" si="0"/>
        <v>0.91261170999999996</v>
      </c>
      <c r="G62" s="390">
        <f t="shared" si="1"/>
        <v>67.679500000000004</v>
      </c>
      <c r="H62" s="391">
        <f t="shared" si="2"/>
        <v>223517.44985364546</v>
      </c>
      <c r="I62" s="324">
        <v>70000</v>
      </c>
      <c r="J62" s="325"/>
      <c r="K62" s="325">
        <v>73947.73</v>
      </c>
      <c r="L62" s="317">
        <v>74160.210000000006</v>
      </c>
      <c r="M62" s="318"/>
      <c r="N62" s="318"/>
      <c r="O62" s="318"/>
      <c r="P62" s="392">
        <f t="shared" si="8"/>
        <v>74160.210000000006</v>
      </c>
      <c r="Q62" s="392">
        <f t="shared" si="3"/>
        <v>0</v>
      </c>
      <c r="R62" s="392">
        <f t="shared" si="4"/>
        <v>0</v>
      </c>
      <c r="S62" s="522"/>
      <c r="T62" s="523"/>
      <c r="U62" s="524">
        <f t="shared" si="9"/>
        <v>-143947.72999999998</v>
      </c>
      <c r="V62" s="520">
        <f t="shared" si="10"/>
        <v>143947.72999999998</v>
      </c>
      <c r="W62" s="520">
        <f t="shared" si="11"/>
        <v>78243.174521760011</v>
      </c>
      <c r="X62" s="520">
        <f t="shared" si="12"/>
        <v>65704.55547823997</v>
      </c>
      <c r="Y62" s="525">
        <f t="shared" si="13"/>
        <v>898145.53714489599</v>
      </c>
    </row>
    <row r="63" spans="3:25" x14ac:dyDescent="0.2">
      <c r="C63" s="387">
        <f t="shared" si="5"/>
        <v>42020</v>
      </c>
      <c r="D63" s="388">
        <f t="shared" si="6"/>
        <v>149288.64774193548</v>
      </c>
      <c r="E63" s="392">
        <f t="shared" si="7"/>
        <v>73607.05</v>
      </c>
      <c r="F63" s="428">
        <f t="shared" si="0"/>
        <v>0.91261170999999996</v>
      </c>
      <c r="G63" s="390">
        <f t="shared" si="1"/>
        <v>67.174700000000001</v>
      </c>
      <c r="H63" s="391">
        <f t="shared" si="2"/>
        <v>222963.78505364549</v>
      </c>
      <c r="I63" s="324">
        <v>70000</v>
      </c>
      <c r="J63" s="325"/>
      <c r="K63" s="325">
        <v>68909.25</v>
      </c>
      <c r="L63" s="319">
        <v>73607.05</v>
      </c>
      <c r="M63" s="320"/>
      <c r="N63" s="320"/>
      <c r="O63" s="320"/>
      <c r="P63" s="392">
        <f t="shared" si="8"/>
        <v>73607.05</v>
      </c>
      <c r="Q63" s="392">
        <f t="shared" si="3"/>
        <v>0</v>
      </c>
      <c r="R63" s="392">
        <f t="shared" si="4"/>
        <v>0</v>
      </c>
      <c r="S63" s="522"/>
      <c r="T63" s="523"/>
      <c r="U63" s="524">
        <f t="shared" si="9"/>
        <v>-138909.25</v>
      </c>
      <c r="V63" s="520">
        <f t="shared" si="10"/>
        <v>138909.25</v>
      </c>
      <c r="W63" s="520">
        <f t="shared" si="11"/>
        <v>77659.559744800004</v>
      </c>
      <c r="X63" s="520">
        <f t="shared" si="12"/>
        <v>61249.690255199996</v>
      </c>
      <c r="Y63" s="525">
        <f t="shared" si="13"/>
        <v>959395.22740009602</v>
      </c>
    </row>
    <row r="64" spans="3:25" x14ac:dyDescent="0.2">
      <c r="C64" s="387">
        <f t="shared" si="5"/>
        <v>42021</v>
      </c>
      <c r="D64" s="388">
        <f t="shared" si="6"/>
        <v>149288.64774193548</v>
      </c>
      <c r="E64" s="392">
        <f t="shared" si="7"/>
        <v>72570.960000000006</v>
      </c>
      <c r="F64" s="428">
        <f t="shared" si="0"/>
        <v>0.91261170999999996</v>
      </c>
      <c r="G64" s="390">
        <f t="shared" si="1"/>
        <v>66.229100000000003</v>
      </c>
      <c r="H64" s="391">
        <f t="shared" si="2"/>
        <v>221926.74945364546</v>
      </c>
      <c r="I64" s="324">
        <v>70000</v>
      </c>
      <c r="J64" s="325"/>
      <c r="K64" s="325">
        <v>60619.040000000001</v>
      </c>
      <c r="L64" s="317">
        <v>72570.960000000006</v>
      </c>
      <c r="M64" s="318"/>
      <c r="N64" s="318"/>
      <c r="O64" s="318"/>
      <c r="P64" s="392">
        <f t="shared" si="8"/>
        <v>72570.960000000006</v>
      </c>
      <c r="Q64" s="392">
        <f t="shared" si="3"/>
        <v>0</v>
      </c>
      <c r="R64" s="392">
        <f t="shared" si="4"/>
        <v>0</v>
      </c>
      <c r="S64" s="522"/>
      <c r="T64" s="523"/>
      <c r="U64" s="524">
        <f t="shared" si="9"/>
        <v>-130619.04000000001</v>
      </c>
      <c r="V64" s="520">
        <f t="shared" si="10"/>
        <v>130619.04000000001</v>
      </c>
      <c r="W64" s="520">
        <f t="shared" si="11"/>
        <v>76566.426773760002</v>
      </c>
      <c r="X64" s="520">
        <f t="shared" si="12"/>
        <v>54052.613226240006</v>
      </c>
      <c r="Y64" s="525">
        <f t="shared" si="13"/>
        <v>1013447.8406263361</v>
      </c>
    </row>
    <row r="65" spans="2:38" x14ac:dyDescent="0.2">
      <c r="C65" s="387">
        <f t="shared" si="5"/>
        <v>42022</v>
      </c>
      <c r="D65" s="388">
        <f t="shared" si="6"/>
        <v>149288.64774193548</v>
      </c>
      <c r="E65" s="392">
        <f t="shared" si="7"/>
        <v>71629.012000000002</v>
      </c>
      <c r="F65" s="428">
        <f t="shared" si="0"/>
        <v>0.91261170999999996</v>
      </c>
      <c r="G65" s="390">
        <f t="shared" si="1"/>
        <v>65.369500000000002</v>
      </c>
      <c r="H65" s="391">
        <f t="shared" si="2"/>
        <v>220983.94185364549</v>
      </c>
      <c r="I65" s="324">
        <v>70000</v>
      </c>
      <c r="J65" s="325"/>
      <c r="K65" s="325">
        <v>59409.23</v>
      </c>
      <c r="L65" s="319">
        <v>71629.012000000002</v>
      </c>
      <c r="M65" s="320"/>
      <c r="N65" s="320"/>
      <c r="O65" s="320"/>
      <c r="P65" s="392">
        <f t="shared" si="8"/>
        <v>71629.012000000002</v>
      </c>
      <c r="Q65" s="392">
        <f t="shared" si="3"/>
        <v>0</v>
      </c>
      <c r="R65" s="392">
        <f t="shared" si="4"/>
        <v>0</v>
      </c>
      <c r="S65" s="522"/>
      <c r="T65" s="523"/>
      <c r="U65" s="524">
        <f t="shared" si="9"/>
        <v>-129409.23000000001</v>
      </c>
      <c r="V65" s="520">
        <f t="shared" si="10"/>
        <v>129409.23000000001</v>
      </c>
      <c r="W65" s="520">
        <f t="shared" si="11"/>
        <v>75572.618884672003</v>
      </c>
      <c r="X65" s="520">
        <f t="shared" si="12"/>
        <v>53836.611115328007</v>
      </c>
      <c r="Y65" s="525">
        <f t="shared" si="13"/>
        <v>1067284.451741664</v>
      </c>
    </row>
    <row r="66" spans="2:38" x14ac:dyDescent="0.2">
      <c r="C66" s="387">
        <f t="shared" si="5"/>
        <v>42023</v>
      </c>
      <c r="D66" s="388">
        <f t="shared" si="6"/>
        <v>149288.64774193548</v>
      </c>
      <c r="E66" s="392">
        <f t="shared" si="7"/>
        <v>71213.899999999994</v>
      </c>
      <c r="F66" s="428">
        <f t="shared" si="0"/>
        <v>0.91261170999999996</v>
      </c>
      <c r="G66" s="390">
        <f t="shared" si="1"/>
        <v>64.990600000000001</v>
      </c>
      <c r="H66" s="391">
        <f t="shared" si="2"/>
        <v>220568.45095364546</v>
      </c>
      <c r="I66" s="324">
        <v>70000</v>
      </c>
      <c r="J66" s="325"/>
      <c r="K66" s="325">
        <v>71687.13</v>
      </c>
      <c r="L66" s="317">
        <v>71213.899999999994</v>
      </c>
      <c r="M66" s="318"/>
      <c r="N66" s="318"/>
      <c r="O66" s="318"/>
      <c r="P66" s="392">
        <f t="shared" si="8"/>
        <v>71213.899999999994</v>
      </c>
      <c r="Q66" s="392">
        <f t="shared" si="3"/>
        <v>0</v>
      </c>
      <c r="R66" s="392">
        <f t="shared" si="4"/>
        <v>0</v>
      </c>
      <c r="S66" s="522"/>
      <c r="T66" s="523"/>
      <c r="U66" s="524">
        <f t="shared" si="9"/>
        <v>-141687.13</v>
      </c>
      <c r="V66" s="520">
        <f t="shared" si="10"/>
        <v>141687.13</v>
      </c>
      <c r="W66" s="520">
        <f t="shared" si="11"/>
        <v>75134.652478399992</v>
      </c>
      <c r="X66" s="520">
        <f t="shared" si="12"/>
        <v>66552.477521600013</v>
      </c>
      <c r="Y66" s="525">
        <f t="shared" si="13"/>
        <v>1133836.9292632639</v>
      </c>
    </row>
    <row r="67" spans="2:38" x14ac:dyDescent="0.2">
      <c r="C67" s="387">
        <f t="shared" si="5"/>
        <v>42024</v>
      </c>
      <c r="D67" s="388">
        <f t="shared" si="6"/>
        <v>149288.64774193548</v>
      </c>
      <c r="E67" s="392">
        <f t="shared" si="7"/>
        <v>69863.39</v>
      </c>
      <c r="F67" s="428">
        <f t="shared" si="0"/>
        <v>0.91261170999999996</v>
      </c>
      <c r="G67" s="390">
        <f t="shared" si="1"/>
        <v>63.758099999999999</v>
      </c>
      <c r="H67" s="391">
        <f t="shared" si="2"/>
        <v>219216.70845364546</v>
      </c>
      <c r="I67" s="324">
        <v>70000</v>
      </c>
      <c r="J67" s="325"/>
      <c r="K67" s="325">
        <v>72872.479999999996</v>
      </c>
      <c r="L67" s="319">
        <v>69863.39</v>
      </c>
      <c r="M67" s="320"/>
      <c r="N67" s="320"/>
      <c r="O67" s="320"/>
      <c r="P67" s="392">
        <f t="shared" si="8"/>
        <v>69863.39</v>
      </c>
      <c r="Q67" s="392">
        <f t="shared" si="3"/>
        <v>0</v>
      </c>
      <c r="R67" s="392">
        <f t="shared" si="4"/>
        <v>0</v>
      </c>
      <c r="S67" s="522"/>
      <c r="T67" s="523"/>
      <c r="U67" s="524">
        <f t="shared" si="9"/>
        <v>-142872.47999999998</v>
      </c>
      <c r="V67" s="520">
        <f t="shared" si="10"/>
        <v>142872.47999999998</v>
      </c>
      <c r="W67" s="520">
        <f t="shared" si="11"/>
        <v>73709.788799839996</v>
      </c>
      <c r="X67" s="520">
        <f t="shared" si="12"/>
        <v>69162.691200159985</v>
      </c>
      <c r="Y67" s="525">
        <f t="shared" si="13"/>
        <v>1202999.6204634239</v>
      </c>
    </row>
    <row r="68" spans="2:38" x14ac:dyDescent="0.2">
      <c r="C68" s="387">
        <f t="shared" si="5"/>
        <v>42025</v>
      </c>
      <c r="D68" s="388">
        <f t="shared" si="6"/>
        <v>149288.64774193548</v>
      </c>
      <c r="E68" s="392">
        <f t="shared" si="7"/>
        <v>73998.03</v>
      </c>
      <c r="F68" s="428">
        <f t="shared" si="0"/>
        <v>0.91261170999999996</v>
      </c>
      <c r="G68" s="390">
        <f t="shared" si="1"/>
        <v>67.531499999999994</v>
      </c>
      <c r="H68" s="391">
        <f t="shared" si="2"/>
        <v>223355.12185364548</v>
      </c>
      <c r="I68" s="324">
        <v>70000</v>
      </c>
      <c r="J68" s="325"/>
      <c r="K68" s="325">
        <v>74904.350000000006</v>
      </c>
      <c r="L68" s="317">
        <v>73998.03</v>
      </c>
      <c r="M68" s="318"/>
      <c r="N68" s="318"/>
      <c r="O68" s="318"/>
      <c r="P68" s="392">
        <f t="shared" si="8"/>
        <v>73998.03</v>
      </c>
      <c r="Q68" s="392">
        <f t="shared" si="3"/>
        <v>0</v>
      </c>
      <c r="R68" s="392">
        <f t="shared" si="4"/>
        <v>0</v>
      </c>
      <c r="S68" s="522"/>
      <c r="T68" s="523"/>
      <c r="U68" s="524">
        <f t="shared" si="9"/>
        <v>-144904.35</v>
      </c>
      <c r="V68" s="520">
        <f t="shared" si="10"/>
        <v>144904.35</v>
      </c>
      <c r="W68" s="520">
        <f t="shared" si="11"/>
        <v>78072.065539679999</v>
      </c>
      <c r="X68" s="520">
        <f t="shared" si="12"/>
        <v>66832.284460320006</v>
      </c>
      <c r="Y68" s="525">
        <f t="shared" si="13"/>
        <v>1269831.9049237438</v>
      </c>
    </row>
    <row r="69" spans="2:38" x14ac:dyDescent="0.2">
      <c r="C69" s="387">
        <f t="shared" si="5"/>
        <v>42026</v>
      </c>
      <c r="D69" s="388">
        <f t="shared" si="6"/>
        <v>149288.64774193548</v>
      </c>
      <c r="E69" s="392">
        <f t="shared" si="7"/>
        <v>74220</v>
      </c>
      <c r="F69" s="428">
        <f t="shared" si="0"/>
        <v>0.91261170999999996</v>
      </c>
      <c r="G69" s="390">
        <f t="shared" si="1"/>
        <v>67.733999999999995</v>
      </c>
      <c r="H69" s="391">
        <f t="shared" si="2"/>
        <v>223577.29435364547</v>
      </c>
      <c r="I69" s="324">
        <v>60000</v>
      </c>
      <c r="J69" s="325"/>
      <c r="K69" s="325">
        <v>76693.11</v>
      </c>
      <c r="L69" s="319">
        <v>74220</v>
      </c>
      <c r="M69" s="320"/>
      <c r="N69" s="320"/>
      <c r="O69" s="320"/>
      <c r="P69" s="392">
        <f t="shared" si="8"/>
        <v>74220</v>
      </c>
      <c r="Q69" s="392">
        <f t="shared" si="3"/>
        <v>0</v>
      </c>
      <c r="R69" s="392">
        <f t="shared" si="4"/>
        <v>0</v>
      </c>
      <c r="S69" s="522"/>
      <c r="T69" s="523"/>
      <c r="U69" s="524">
        <f t="shared" si="9"/>
        <v>-136693.10999999999</v>
      </c>
      <c r="V69" s="520">
        <f t="shared" si="10"/>
        <v>136693.10999999999</v>
      </c>
      <c r="W69" s="520">
        <f t="shared" si="11"/>
        <v>78306.25632</v>
      </c>
      <c r="X69" s="520">
        <f t="shared" si="12"/>
        <v>58386.853679999986</v>
      </c>
      <c r="Y69" s="525">
        <f t="shared" si="13"/>
        <v>1328218.7586037437</v>
      </c>
    </row>
    <row r="70" spans="2:38" x14ac:dyDescent="0.2">
      <c r="C70" s="387">
        <f t="shared" si="5"/>
        <v>42027</v>
      </c>
      <c r="D70" s="388">
        <f t="shared" si="6"/>
        <v>149288.64774193548</v>
      </c>
      <c r="E70" s="392">
        <f t="shared" si="7"/>
        <v>72171.244000000006</v>
      </c>
      <c r="F70" s="428">
        <f t="shared" si="0"/>
        <v>0.91261170999999996</v>
      </c>
      <c r="G70" s="390">
        <f t="shared" si="1"/>
        <v>65.8643</v>
      </c>
      <c r="H70" s="391">
        <f t="shared" si="2"/>
        <v>221526.66865364547</v>
      </c>
      <c r="I70" s="324">
        <v>60000</v>
      </c>
      <c r="J70" s="325"/>
      <c r="K70" s="325">
        <v>73031.66</v>
      </c>
      <c r="L70" s="317">
        <v>72171.244000000006</v>
      </c>
      <c r="M70" s="318"/>
      <c r="N70" s="318"/>
      <c r="O70" s="318"/>
      <c r="P70" s="392">
        <f t="shared" si="8"/>
        <v>72171.244000000006</v>
      </c>
      <c r="Q70" s="392">
        <f t="shared" si="3"/>
        <v>0</v>
      </c>
      <c r="R70" s="392">
        <f t="shared" si="4"/>
        <v>0</v>
      </c>
      <c r="S70" s="522"/>
      <c r="T70" s="523"/>
      <c r="U70" s="524">
        <f t="shared" si="9"/>
        <v>-133031.66</v>
      </c>
      <c r="V70" s="520">
        <f t="shared" si="10"/>
        <v>133031.66</v>
      </c>
      <c r="W70" s="520">
        <f t="shared" si="11"/>
        <v>76144.704009664012</v>
      </c>
      <c r="X70" s="520">
        <f t="shared" si="12"/>
        <v>56886.955990335991</v>
      </c>
      <c r="Y70" s="525">
        <f t="shared" si="13"/>
        <v>1385105.7145940796</v>
      </c>
    </row>
    <row r="71" spans="2:38" x14ac:dyDescent="0.2">
      <c r="C71" s="387">
        <f t="shared" si="5"/>
        <v>42028</v>
      </c>
      <c r="D71" s="388">
        <f t="shared" si="6"/>
        <v>149288.64774193548</v>
      </c>
      <c r="E71" s="392">
        <f t="shared" si="7"/>
        <v>73160.55</v>
      </c>
      <c r="F71" s="428">
        <f t="shared" si="0"/>
        <v>0.91261170999999996</v>
      </c>
      <c r="G71" s="390">
        <f t="shared" si="1"/>
        <v>66.767200000000003</v>
      </c>
      <c r="H71" s="391">
        <f t="shared" si="2"/>
        <v>222516.87755364549</v>
      </c>
      <c r="I71" s="324">
        <v>60000</v>
      </c>
      <c r="J71" s="325"/>
      <c r="K71" s="325">
        <v>64714.69</v>
      </c>
      <c r="L71" s="319">
        <v>73160.55</v>
      </c>
      <c r="M71" s="320"/>
      <c r="N71" s="320"/>
      <c r="O71" s="320"/>
      <c r="P71" s="392">
        <f t="shared" si="8"/>
        <v>73160.55</v>
      </c>
      <c r="Q71" s="392">
        <f t="shared" si="3"/>
        <v>0</v>
      </c>
      <c r="R71" s="392">
        <f t="shared" si="4"/>
        <v>0</v>
      </c>
      <c r="S71" s="522"/>
      <c r="T71" s="523"/>
      <c r="U71" s="524">
        <f t="shared" si="9"/>
        <v>-124714.69</v>
      </c>
      <c r="V71" s="520">
        <f t="shared" si="10"/>
        <v>124714.69</v>
      </c>
      <c r="W71" s="520">
        <f t="shared" si="11"/>
        <v>77188.477240799999</v>
      </c>
      <c r="X71" s="520">
        <f t="shared" si="12"/>
        <v>47526.212759200003</v>
      </c>
      <c r="Y71" s="525">
        <f t="shared" si="13"/>
        <v>1432631.9273532797</v>
      </c>
    </row>
    <row r="72" spans="2:38" x14ac:dyDescent="0.2">
      <c r="C72" s="387">
        <f t="shared" si="5"/>
        <v>42029</v>
      </c>
      <c r="D72" s="388">
        <f t="shared" si="6"/>
        <v>149288.64774193548</v>
      </c>
      <c r="E72" s="392">
        <f t="shared" si="7"/>
        <v>74265.27</v>
      </c>
      <c r="F72" s="428">
        <f t="shared" si="0"/>
        <v>0.91261170999999996</v>
      </c>
      <c r="G72" s="390">
        <f t="shared" si="1"/>
        <v>67.775400000000005</v>
      </c>
      <c r="H72" s="391">
        <f t="shared" si="2"/>
        <v>223622.60575364548</v>
      </c>
      <c r="I72" s="324">
        <v>60000</v>
      </c>
      <c r="J72" s="325"/>
      <c r="K72" s="325">
        <v>53412.02</v>
      </c>
      <c r="L72" s="317">
        <v>74265.27</v>
      </c>
      <c r="M72" s="318"/>
      <c r="N72" s="318"/>
      <c r="O72" s="318"/>
      <c r="P72" s="392">
        <f t="shared" si="8"/>
        <v>74265.27</v>
      </c>
      <c r="Q72" s="392">
        <f t="shared" si="3"/>
        <v>0</v>
      </c>
      <c r="R72" s="392">
        <f t="shared" si="4"/>
        <v>0</v>
      </c>
      <c r="S72" s="522"/>
      <c r="T72" s="523"/>
      <c r="U72" s="524">
        <f t="shared" si="9"/>
        <v>-113412.01999999999</v>
      </c>
      <c r="V72" s="520">
        <f t="shared" si="10"/>
        <v>113412.01999999999</v>
      </c>
      <c r="W72" s="520">
        <f t="shared" si="11"/>
        <v>78354.018705120005</v>
      </c>
      <c r="X72" s="520">
        <f t="shared" si="12"/>
        <v>35058.001294879985</v>
      </c>
      <c r="Y72" s="525">
        <f t="shared" si="13"/>
        <v>1467689.9286481596</v>
      </c>
    </row>
    <row r="73" spans="2:38" x14ac:dyDescent="0.2">
      <c r="C73" s="387">
        <f t="shared" si="5"/>
        <v>42030</v>
      </c>
      <c r="D73" s="388">
        <f t="shared" si="6"/>
        <v>149288.64774193548</v>
      </c>
      <c r="E73" s="392">
        <f t="shared" si="7"/>
        <v>74629.815000000002</v>
      </c>
      <c r="F73" s="428">
        <f t="shared" si="0"/>
        <v>0.91261170999999996</v>
      </c>
      <c r="G73" s="390">
        <f t="shared" si="1"/>
        <v>68.108000000000004</v>
      </c>
      <c r="H73" s="391">
        <f t="shared" si="2"/>
        <v>223987.48335364548</v>
      </c>
      <c r="I73" s="324">
        <v>60000</v>
      </c>
      <c r="J73" s="325"/>
      <c r="K73" s="325">
        <v>68205.33</v>
      </c>
      <c r="L73" s="319">
        <v>74629.815000000002</v>
      </c>
      <c r="M73" s="320"/>
      <c r="N73" s="320"/>
      <c r="O73" s="320"/>
      <c r="P73" s="392">
        <f t="shared" si="8"/>
        <v>74629.815000000002</v>
      </c>
      <c r="Q73" s="392">
        <f t="shared" si="3"/>
        <v>0</v>
      </c>
      <c r="R73" s="392">
        <f t="shared" si="4"/>
        <v>0</v>
      </c>
      <c r="S73" s="522"/>
      <c r="T73" s="523"/>
      <c r="U73" s="524">
        <f t="shared" si="9"/>
        <v>-128205.33</v>
      </c>
      <c r="V73" s="520">
        <f t="shared" si="10"/>
        <v>128205.33</v>
      </c>
      <c r="W73" s="520">
        <f t="shared" si="11"/>
        <v>78738.634094640001</v>
      </c>
      <c r="X73" s="520">
        <f t="shared" si="12"/>
        <v>49466.69590536</v>
      </c>
      <c r="Y73" s="525">
        <f t="shared" si="13"/>
        <v>1517156.6245535195</v>
      </c>
    </row>
    <row r="74" spans="2:38" x14ac:dyDescent="0.2">
      <c r="C74" s="387">
        <f t="shared" si="5"/>
        <v>42031</v>
      </c>
      <c r="D74" s="388">
        <f t="shared" si="6"/>
        <v>149288.64774193548</v>
      </c>
      <c r="E74" s="392">
        <f t="shared" si="7"/>
        <v>74639.06</v>
      </c>
      <c r="F74" s="428">
        <f t="shared" si="0"/>
        <v>0.91261170999999996</v>
      </c>
      <c r="G74" s="390">
        <f t="shared" si="1"/>
        <v>68.116500000000002</v>
      </c>
      <c r="H74" s="391">
        <f t="shared" si="2"/>
        <v>223996.73685364547</v>
      </c>
      <c r="I74" s="324">
        <v>60000</v>
      </c>
      <c r="J74" s="325"/>
      <c r="K74" s="325">
        <v>65551.48</v>
      </c>
      <c r="L74" s="317">
        <v>74639.06</v>
      </c>
      <c r="M74" s="318"/>
      <c r="N74" s="318"/>
      <c r="O74" s="318"/>
      <c r="P74" s="392">
        <f t="shared" si="8"/>
        <v>74639.06</v>
      </c>
      <c r="Q74" s="392">
        <f t="shared" si="3"/>
        <v>0</v>
      </c>
      <c r="R74" s="392">
        <f t="shared" si="4"/>
        <v>0</v>
      </c>
      <c r="S74" s="522"/>
      <c r="T74" s="523"/>
      <c r="U74" s="524">
        <f t="shared" si="9"/>
        <v>-125551.48</v>
      </c>
      <c r="V74" s="520">
        <f t="shared" si="10"/>
        <v>125551.48</v>
      </c>
      <c r="W74" s="520">
        <f t="shared" si="11"/>
        <v>78748.388087359999</v>
      </c>
      <c r="X74" s="520">
        <f t="shared" si="12"/>
        <v>46803.091912639997</v>
      </c>
      <c r="Y74" s="525">
        <f t="shared" si="13"/>
        <v>1563959.7164661596</v>
      </c>
    </row>
    <row r="75" spans="2:38" x14ac:dyDescent="0.2">
      <c r="C75" s="387">
        <f t="shared" si="5"/>
        <v>42032</v>
      </c>
      <c r="D75" s="388">
        <f t="shared" si="6"/>
        <v>149288.64774193548</v>
      </c>
      <c r="E75" s="392">
        <f t="shared" si="7"/>
        <v>72516.73</v>
      </c>
      <c r="F75" s="428">
        <f t="shared" si="0"/>
        <v>0.91261170999999996</v>
      </c>
      <c r="G75" s="390">
        <f t="shared" si="1"/>
        <v>66.179599999999994</v>
      </c>
      <c r="H75" s="391">
        <f t="shared" si="2"/>
        <v>221872.46995364549</v>
      </c>
      <c r="I75" s="324">
        <v>70000</v>
      </c>
      <c r="J75" s="325"/>
      <c r="K75" s="325">
        <v>66253.73</v>
      </c>
      <c r="L75" s="319">
        <v>72516.73</v>
      </c>
      <c r="M75" s="320"/>
      <c r="N75" s="320"/>
      <c r="O75" s="320"/>
      <c r="P75" s="392">
        <f t="shared" si="8"/>
        <v>72516.73</v>
      </c>
      <c r="Q75" s="392">
        <f t="shared" si="3"/>
        <v>0</v>
      </c>
      <c r="R75" s="392">
        <f t="shared" si="4"/>
        <v>0</v>
      </c>
      <c r="S75" s="522"/>
      <c r="T75" s="523"/>
      <c r="U75" s="524">
        <f t="shared" si="9"/>
        <v>-136253.72999999998</v>
      </c>
      <c r="V75" s="520">
        <f t="shared" si="10"/>
        <v>136253.72999999998</v>
      </c>
      <c r="W75" s="520">
        <f t="shared" si="11"/>
        <v>76509.211086879994</v>
      </c>
      <c r="X75" s="520">
        <f t="shared" si="12"/>
        <v>59744.518913119988</v>
      </c>
      <c r="Y75" s="525">
        <f t="shared" si="13"/>
        <v>1623704.2353792796</v>
      </c>
    </row>
    <row r="76" spans="2:38" x14ac:dyDescent="0.2">
      <c r="C76" s="387">
        <f t="shared" si="5"/>
        <v>42033</v>
      </c>
      <c r="D76" s="388">
        <f t="shared" si="6"/>
        <v>149288.64774193548</v>
      </c>
      <c r="E76" s="392">
        <f t="shared" si="7"/>
        <v>74368.372000000003</v>
      </c>
      <c r="F76" s="428">
        <f t="shared" si="0"/>
        <v>0.91261170999999996</v>
      </c>
      <c r="G76" s="390">
        <f t="shared" si="1"/>
        <v>67.869399999999999</v>
      </c>
      <c r="H76" s="391">
        <f t="shared" si="2"/>
        <v>223725.80175364547</v>
      </c>
      <c r="I76" s="324">
        <v>68000</v>
      </c>
      <c r="J76" s="325"/>
      <c r="K76" s="325">
        <v>66502.117188000004</v>
      </c>
      <c r="L76" s="317">
        <v>74368.372000000003</v>
      </c>
      <c r="M76" s="318"/>
      <c r="N76" s="318"/>
      <c r="O76" s="318"/>
      <c r="P76" s="392">
        <f t="shared" si="8"/>
        <v>74368.372000000003</v>
      </c>
      <c r="Q76" s="392">
        <f t="shared" si="3"/>
        <v>0</v>
      </c>
      <c r="R76" s="392">
        <f t="shared" si="4"/>
        <v>0</v>
      </c>
      <c r="S76" s="522"/>
      <c r="T76" s="523"/>
      <c r="U76" s="524">
        <f t="shared" si="9"/>
        <v>-134502.117188</v>
      </c>
      <c r="V76" s="520">
        <f t="shared" si="10"/>
        <v>134502.117188</v>
      </c>
      <c r="W76" s="520">
        <f t="shared" si="11"/>
        <v>78462.797088831998</v>
      </c>
      <c r="X76" s="520">
        <f t="shared" si="12"/>
        <v>56039.320099168006</v>
      </c>
      <c r="Y76" s="525">
        <f t="shared" si="13"/>
        <v>1679743.5554784476</v>
      </c>
    </row>
    <row r="77" spans="2:38" x14ac:dyDescent="0.2">
      <c r="C77" s="387">
        <f t="shared" si="5"/>
        <v>42034</v>
      </c>
      <c r="D77" s="388">
        <f t="shared" si="6"/>
        <v>149288.64774193548</v>
      </c>
      <c r="E77" s="392">
        <f t="shared" si="7"/>
        <v>74447.740000000005</v>
      </c>
      <c r="F77" s="428">
        <f t="shared" si="0"/>
        <v>0.91261170999999996</v>
      </c>
      <c r="G77" s="390">
        <f t="shared" si="1"/>
        <v>67.941900000000004</v>
      </c>
      <c r="H77" s="391">
        <f t="shared" si="2"/>
        <v>223805.2422536455</v>
      </c>
      <c r="I77" s="324">
        <v>68000</v>
      </c>
      <c r="J77" s="325"/>
      <c r="K77" s="325">
        <v>64765.183594000002</v>
      </c>
      <c r="L77" s="319">
        <v>74447.740000000005</v>
      </c>
      <c r="M77" s="320"/>
      <c r="N77" s="320"/>
      <c r="O77" s="320"/>
      <c r="P77" s="392">
        <f t="shared" si="8"/>
        <v>74447.740000000005</v>
      </c>
      <c r="Q77" s="392">
        <f t="shared" si="3"/>
        <v>0</v>
      </c>
      <c r="R77" s="392">
        <f t="shared" si="4"/>
        <v>0</v>
      </c>
      <c r="S77" s="522"/>
      <c r="T77" s="523"/>
      <c r="U77" s="524">
        <f t="shared" si="9"/>
        <v>-132765.183594</v>
      </c>
      <c r="V77" s="520">
        <f t="shared" si="10"/>
        <v>132765.183594</v>
      </c>
      <c r="W77" s="520">
        <f t="shared" si="11"/>
        <v>78546.534773439998</v>
      </c>
      <c r="X77" s="520">
        <f t="shared" si="12"/>
        <v>54218.648820560004</v>
      </c>
      <c r="Y77" s="525">
        <f t="shared" si="13"/>
        <v>1733962.2042990075</v>
      </c>
    </row>
    <row r="78" spans="2:38" ht="15" thickBot="1" x14ac:dyDescent="0.25">
      <c r="C78" s="393">
        <f t="shared" si="5"/>
        <v>42035</v>
      </c>
      <c r="D78" s="394">
        <f t="shared" si="6"/>
        <v>149288.64774193548</v>
      </c>
      <c r="E78" s="395">
        <f t="shared" si="7"/>
        <v>74699.712</v>
      </c>
      <c r="F78" s="429">
        <f t="shared" si="0"/>
        <v>0.91261170999999996</v>
      </c>
      <c r="G78" s="396">
        <f t="shared" si="1"/>
        <v>68.171800000000005</v>
      </c>
      <c r="H78" s="397">
        <f t="shared" si="2"/>
        <v>224057.44415364548</v>
      </c>
      <c r="I78" s="326">
        <v>68000</v>
      </c>
      <c r="J78" s="327"/>
      <c r="K78" s="327">
        <v>67118.429688000004</v>
      </c>
      <c r="L78" s="321">
        <v>74699.712</v>
      </c>
      <c r="M78" s="322"/>
      <c r="N78" s="322"/>
      <c r="O78" s="322"/>
      <c r="P78" s="395">
        <f t="shared" si="8"/>
        <v>74699.712</v>
      </c>
      <c r="Q78" s="395">
        <f t="shared" si="3"/>
        <v>0</v>
      </c>
      <c r="R78" s="395">
        <f t="shared" si="4"/>
        <v>0</v>
      </c>
      <c r="S78" s="526"/>
      <c r="T78" s="527"/>
      <c r="U78" s="521">
        <f t="shared" si="9"/>
        <v>-135118.429688</v>
      </c>
      <c r="V78" s="528">
        <f t="shared" si="10"/>
        <v>135118.429688</v>
      </c>
      <c r="W78" s="528">
        <f t="shared" si="11"/>
        <v>78812.379343872002</v>
      </c>
      <c r="X78" s="528">
        <f t="shared" si="12"/>
        <v>56306.050344128002</v>
      </c>
      <c r="Y78" s="529">
        <f t="shared" si="13"/>
        <v>1790268.2546431355</v>
      </c>
    </row>
    <row r="79" spans="2:38" ht="15" thickBot="1" x14ac:dyDescent="0.25">
      <c r="C79" s="398"/>
      <c r="D79" s="399">
        <f>SUM(D48:D78)</f>
        <v>4627948.0800000019</v>
      </c>
      <c r="E79" s="400">
        <f>SUM(E48:E78)</f>
        <v>2243469.3189999997</v>
      </c>
      <c r="F79" s="400"/>
      <c r="G79" s="401">
        <f>SUM(G48:G78)</f>
        <v>2047.4164000000001</v>
      </c>
      <c r="H79" s="399">
        <f>SUM(H48:H78)</f>
        <v>6873493.1063630115</v>
      </c>
      <c r="I79" s="432">
        <f>SUM(I48:I78)</f>
        <v>2077956</v>
      </c>
      <c r="J79" s="432">
        <f t="shared" ref="J79:R79" si="14">SUM(J48:J78)</f>
        <v>0</v>
      </c>
      <c r="K79" s="432">
        <f t="shared" si="14"/>
        <v>2079298.0204700003</v>
      </c>
      <c r="L79" s="432">
        <f t="shared" si="14"/>
        <v>2243469.3189999997</v>
      </c>
      <c r="M79" s="432">
        <f t="shared" si="14"/>
        <v>0</v>
      </c>
      <c r="N79" s="432">
        <f t="shared" si="14"/>
        <v>0</v>
      </c>
      <c r="O79" s="432">
        <f t="shared" si="14"/>
        <v>0</v>
      </c>
      <c r="P79" s="432">
        <f t="shared" si="14"/>
        <v>2243469.3189999997</v>
      </c>
      <c r="Q79" s="432">
        <f t="shared" si="14"/>
        <v>0</v>
      </c>
      <c r="R79" s="432">
        <f t="shared" si="14"/>
        <v>0</v>
      </c>
      <c r="U79" s="1"/>
      <c r="V79" s="328">
        <f>SUM(V48:V78)</f>
        <v>4157254.0204700003</v>
      </c>
      <c r="W79" s="328">
        <f>SUM(W48:W78)</f>
        <v>2366985.7658268642</v>
      </c>
      <c r="X79" s="328">
        <v>15500</v>
      </c>
      <c r="Y79" s="323">
        <f>SUM(L48:L78)</f>
        <v>2243469.3189999997</v>
      </c>
      <c r="AL79" s="361">
        <f>Y78</f>
        <v>1790268.2546431355</v>
      </c>
    </row>
    <row r="80" spans="2:38" ht="15" customHeight="1" x14ac:dyDescent="0.2">
      <c r="B80"/>
      <c r="C80"/>
      <c r="D80"/>
      <c r="E80"/>
      <c r="F80"/>
      <c r="G80"/>
      <c r="H80"/>
      <c r="I80"/>
      <c r="J80"/>
      <c r="K80"/>
      <c r="L80"/>
      <c r="N80" s="2"/>
    </row>
  </sheetData>
  <mergeCells count="13">
    <mergeCell ref="C10:D10"/>
    <mergeCell ref="C11:D11"/>
    <mergeCell ref="C3:M4"/>
    <mergeCell ref="C5:M5"/>
    <mergeCell ref="C6:M6"/>
    <mergeCell ref="G7:H7"/>
    <mergeCell ref="C9:D9"/>
    <mergeCell ref="D23:E23"/>
    <mergeCell ref="D24:E24"/>
    <mergeCell ref="C28:F28"/>
    <mergeCell ref="C38:F38"/>
    <mergeCell ref="S46:Y46"/>
    <mergeCell ref="L46:R46"/>
  </mergeCells>
  <conditionalFormatting sqref="L48:O78">
    <cfRule type="cellIs" dxfId="153" priority="1" stopIfTrue="1" operator="equal">
      <formula>0</formula>
    </cfRule>
  </conditionalFormatting>
  <pageMargins left="0.7" right="0.7" top="0.75" bottom="0.75" header="0.3" footer="0.3"/>
  <pageSetup orientation="portrait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81"/>
  <sheetViews>
    <sheetView workbookViewId="0"/>
  </sheetViews>
  <sheetFormatPr baseColWidth="10" defaultColWidth="11" defaultRowHeight="14.25" x14ac:dyDescent="0.2"/>
  <cols>
    <col min="1" max="1" width="11" style="2"/>
    <col min="2" max="2" width="3.875" style="2" bestFit="1" customWidth="1"/>
    <col min="3" max="3" width="16.125" style="2" customWidth="1"/>
    <col min="4" max="4" width="12.375" style="2" bestFit="1" customWidth="1"/>
    <col min="5" max="5" width="10.875" style="2" bestFit="1" customWidth="1"/>
    <col min="6" max="6" width="17.125" style="2" bestFit="1" customWidth="1"/>
    <col min="7" max="7" width="13.125" style="2" bestFit="1" customWidth="1"/>
    <col min="8" max="8" width="12.125" style="2" bestFit="1" customWidth="1"/>
    <col min="9" max="9" width="11.125" style="2" bestFit="1" customWidth="1"/>
    <col min="10" max="10" width="11.875" style="2" bestFit="1" customWidth="1"/>
    <col min="11" max="11" width="11.625" style="2" bestFit="1" customWidth="1"/>
    <col min="12" max="12" width="12.125" style="2" customWidth="1"/>
    <col min="13" max="13" width="11.625" style="2" bestFit="1" customWidth="1"/>
    <col min="14" max="14" width="9" style="1" customWidth="1"/>
    <col min="15" max="15" width="10.375" style="2" customWidth="1"/>
    <col min="16" max="25" width="11" style="2"/>
    <col min="26" max="35" width="10.875" customWidth="1"/>
    <col min="36" max="16384" width="11" style="2"/>
  </cols>
  <sheetData>
    <row r="1" spans="1:25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25" x14ac:dyDescent="0.2">
      <c r="A2" s="1"/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1:25" ht="15" customHeight="1" x14ac:dyDescent="0.2">
      <c r="A3" s="1"/>
      <c r="B3" s="1"/>
      <c r="C3" s="2254" t="s">
        <v>0</v>
      </c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</row>
    <row r="4" spans="1:25" ht="15" customHeight="1" x14ac:dyDescent="0.2">
      <c r="A4" s="1"/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</row>
    <row r="5" spans="1:25" x14ac:dyDescent="0.2">
      <c r="A5" s="1"/>
      <c r="B5" s="1"/>
      <c r="C5" s="2257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</row>
    <row r="6" spans="1:25" x14ac:dyDescent="0.2">
      <c r="A6" s="1"/>
      <c r="B6" s="1"/>
      <c r="C6" s="2257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</row>
    <row r="7" spans="1:25" x14ac:dyDescent="0.2">
      <c r="A7" s="1"/>
      <c r="B7" s="1"/>
      <c r="C7" s="516"/>
      <c r="D7" s="516"/>
      <c r="E7" s="516"/>
      <c r="F7" s="516"/>
      <c r="G7" s="2271">
        <v>42036</v>
      </c>
      <c r="H7" s="2257"/>
      <c r="I7" s="516"/>
      <c r="J7" s="516"/>
      <c r="K7" s="516"/>
      <c r="L7" s="516"/>
      <c r="M7" s="516"/>
      <c r="N7" s="18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x14ac:dyDescent="0.2">
      <c r="A8" s="1"/>
      <c r="B8" s="1"/>
      <c r="C8" s="516"/>
      <c r="D8" s="516"/>
      <c r="E8" s="516"/>
      <c r="F8" s="516"/>
      <c r="G8" s="516"/>
      <c r="H8" s="516"/>
      <c r="I8" s="516"/>
      <c r="J8" s="516"/>
      <c r="K8" s="516"/>
      <c r="L8" s="516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25.5" x14ac:dyDescent="0.2">
      <c r="A9" s="1"/>
      <c r="B9" s="1"/>
      <c r="C9" s="2272" t="s">
        <v>6</v>
      </c>
      <c r="D9" s="2272"/>
      <c r="E9" s="517" t="s">
        <v>94</v>
      </c>
      <c r="F9" s="517" t="s">
        <v>126</v>
      </c>
      <c r="G9" s="410" t="s">
        <v>133</v>
      </c>
      <c r="H9" s="517" t="s">
        <v>127</v>
      </c>
      <c r="I9" s="517" t="s">
        <v>128</v>
      </c>
      <c r="J9" s="516"/>
      <c r="K9" s="516"/>
      <c r="L9" s="516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x14ac:dyDescent="0.2">
      <c r="A10" s="1"/>
      <c r="B10" s="1"/>
      <c r="C10" s="2270" t="s">
        <v>131</v>
      </c>
      <c r="D10" s="2270"/>
      <c r="E10" s="433">
        <f>IF(C15=0,D15,C15)</f>
        <v>4627948.08</v>
      </c>
      <c r="F10" s="407">
        <f>E10*0.16</f>
        <v>740471.69280000008</v>
      </c>
      <c r="G10" s="407">
        <f>E10+F10</f>
        <v>5368419.7728000004</v>
      </c>
      <c r="H10" s="408" t="s">
        <v>161</v>
      </c>
      <c r="I10" s="411">
        <v>19</v>
      </c>
      <c r="J10" s="516"/>
      <c r="K10" s="516"/>
      <c r="L10" s="516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x14ac:dyDescent="0.2">
      <c r="A11" s="1"/>
      <c r="B11" s="1"/>
      <c r="C11" s="2270" t="s">
        <v>132</v>
      </c>
      <c r="D11" s="2270"/>
      <c r="E11" s="433">
        <f>IF(C16=0,D16,C16)</f>
        <v>1885.67</v>
      </c>
      <c r="F11" s="407">
        <f>E11*0.16</f>
        <v>301.7072</v>
      </c>
      <c r="G11" s="407">
        <f>E11+F11</f>
        <v>2187.3771999999999</v>
      </c>
      <c r="H11" s="408" t="s">
        <v>161</v>
      </c>
      <c r="I11" s="411">
        <v>19</v>
      </c>
      <c r="J11" s="516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x14ac:dyDescent="0.2">
      <c r="A12" s="1"/>
      <c r="B12" s="1"/>
      <c r="C12" s="516"/>
      <c r="D12" s="516"/>
      <c r="E12" s="516"/>
      <c r="F12" s="516"/>
      <c r="G12" s="516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ht="15" thickBot="1" x14ac:dyDescent="0.25">
      <c r="A13" s="1"/>
      <c r="B13" s="1"/>
      <c r="C13" s="516"/>
      <c r="D13" s="516"/>
      <c r="E13" s="516"/>
      <c r="F13" s="516"/>
      <c r="G13" s="516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x14ac:dyDescent="0.2">
      <c r="A14" s="1"/>
      <c r="B14" s="1"/>
      <c r="C14" s="440" t="s">
        <v>155</v>
      </c>
      <c r="D14" s="441" t="s">
        <v>156</v>
      </c>
      <c r="E14" s="442" t="s">
        <v>112</v>
      </c>
      <c r="F14" s="516"/>
      <c r="G14" s="516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x14ac:dyDescent="0.2">
      <c r="A15" s="1"/>
      <c r="B15" s="1"/>
      <c r="C15" s="443">
        <v>4627948.08</v>
      </c>
      <c r="D15" s="444">
        <f>D80</f>
        <v>4468363.6634482751</v>
      </c>
      <c r="E15" s="445">
        <f>C15-D15</f>
        <v>159584.41655172501</v>
      </c>
      <c r="F15" s="516"/>
      <c r="G15" s="516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ht="15" thickBot="1" x14ac:dyDescent="0.25">
      <c r="A16" s="1"/>
      <c r="B16" s="1"/>
      <c r="C16" s="446">
        <v>1885.67</v>
      </c>
      <c r="D16" s="447">
        <f>ROUND(G80,2)</f>
        <v>1818.84</v>
      </c>
      <c r="E16" s="448">
        <f>C16-D16</f>
        <v>66.830000000000155</v>
      </c>
      <c r="F16" s="516"/>
      <c r="G16" s="516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x14ac:dyDescent="0.2">
      <c r="A17" s="1"/>
      <c r="B17" s="1"/>
      <c r="C17" s="516"/>
      <c r="D17" s="516"/>
      <c r="E17" s="516"/>
      <c r="F17" s="516"/>
      <c r="G17" s="516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x14ac:dyDescent="0.2">
      <c r="A18" s="1"/>
      <c r="B18" s="1"/>
      <c r="C18" s="516"/>
      <c r="D18" s="516"/>
      <c r="E18" s="516"/>
      <c r="F18" s="516"/>
      <c r="G18" s="516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x14ac:dyDescent="0.2">
      <c r="A19" s="1"/>
      <c r="B19" s="1"/>
      <c r="C19" s="516"/>
      <c r="D19" s="516"/>
      <c r="E19" s="516"/>
      <c r="F19" s="516"/>
      <c r="G19" s="516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x14ac:dyDescent="0.2">
      <c r="A20" s="1"/>
      <c r="B20" s="1"/>
      <c r="C20" s="516"/>
      <c r="D20" s="516"/>
      <c r="E20" s="516"/>
      <c r="F20" s="516"/>
      <c r="G20" s="516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x14ac:dyDescent="0.2">
      <c r="A21" s="1"/>
      <c r="B21" s="1"/>
      <c r="C21" s="516"/>
      <c r="D21" s="516"/>
      <c r="E21" s="516"/>
      <c r="F21" s="516"/>
      <c r="G21" s="516"/>
      <c r="H21" s="1"/>
      <c r="I21" s="1"/>
      <c r="J21" s="1"/>
      <c r="K21" s="1"/>
      <c r="L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ht="15" thickBot="1" x14ac:dyDescent="0.25">
      <c r="A22" s="1"/>
      <c r="B22" s="1"/>
      <c r="C22" s="419" t="s">
        <v>137</v>
      </c>
      <c r="D22" s="516" t="s">
        <v>138</v>
      </c>
      <c r="E22" s="516"/>
      <c r="F22" s="516" t="s">
        <v>139</v>
      </c>
      <c r="G22" s="516" t="s">
        <v>157</v>
      </c>
      <c r="H22" s="516" t="s">
        <v>143</v>
      </c>
      <c r="I22" s="516" t="s">
        <v>142</v>
      </c>
      <c r="J22" s="516" t="s">
        <v>141</v>
      </c>
      <c r="K22" s="516" t="s">
        <v>140</v>
      </c>
      <c r="L22" s="516" t="s">
        <v>144</v>
      </c>
      <c r="M22" s="516" t="s">
        <v>146</v>
      </c>
      <c r="N22" s="516"/>
      <c r="O22" s="516"/>
      <c r="P22" s="516"/>
      <c r="Q22" s="1"/>
      <c r="R22" s="1"/>
      <c r="S22" s="1"/>
      <c r="T22" s="1"/>
      <c r="U22" s="1"/>
      <c r="V22" s="1"/>
      <c r="W22" s="1"/>
      <c r="X22" s="1"/>
      <c r="Y22" s="1"/>
    </row>
    <row r="23" spans="1:25" ht="36.75" customHeight="1" x14ac:dyDescent="0.2">
      <c r="A23" s="1"/>
      <c r="B23" s="1"/>
      <c r="C23" s="402" t="s">
        <v>134</v>
      </c>
      <c r="D23" s="2261" t="s">
        <v>135</v>
      </c>
      <c r="E23" s="2262"/>
      <c r="F23" s="518" t="s">
        <v>136</v>
      </c>
      <c r="G23" s="461" t="s">
        <v>153</v>
      </c>
      <c r="H23" s="420" t="s">
        <v>129</v>
      </c>
      <c r="I23" s="403" t="s">
        <v>130</v>
      </c>
      <c r="J23" s="422"/>
      <c r="K23" s="422"/>
      <c r="L23" s="422"/>
      <c r="M23" s="404" t="s">
        <v>158</v>
      </c>
      <c r="N23" s="516"/>
      <c r="O23" s="516"/>
      <c r="P23" s="516"/>
      <c r="Q23" s="516"/>
      <c r="R23" s="516"/>
      <c r="S23" s="516"/>
      <c r="T23" s="516"/>
      <c r="U23" s="1"/>
      <c r="V23" s="1"/>
      <c r="W23" s="1"/>
      <c r="X23" s="1"/>
      <c r="Y23" s="1"/>
    </row>
    <row r="24" spans="1:25" x14ac:dyDescent="0.2">
      <c r="A24" s="1"/>
      <c r="B24" s="1"/>
      <c r="C24" s="405">
        <v>850</v>
      </c>
      <c r="D24" s="2263">
        <v>850</v>
      </c>
      <c r="E24" s="2264"/>
      <c r="F24" s="418">
        <v>31482640</v>
      </c>
      <c r="G24" s="462">
        <v>29</v>
      </c>
      <c r="H24" s="460">
        <f>VLOOKUP(C47,Tarifas!D4:H303,3)</f>
        <v>0.14699999999999999</v>
      </c>
      <c r="I24" s="424">
        <f>VLOOKUP(C47,Tarifas!D4:H303,5)</f>
        <v>1E-3</v>
      </c>
      <c r="J24" s="421">
        <v>182.5</v>
      </c>
      <c r="K24" s="421">
        <v>201.4</v>
      </c>
      <c r="L24" s="421"/>
      <c r="M24" s="431">
        <f>E80</f>
        <v>2007199.6403960001</v>
      </c>
      <c r="N24" s="430" t="s">
        <v>62</v>
      </c>
      <c r="O24" s="516"/>
      <c r="P24" s="516"/>
      <c r="Q24" s="516"/>
      <c r="R24" s="516"/>
      <c r="S24" s="516"/>
      <c r="T24" s="516"/>
      <c r="U24" s="1"/>
      <c r="V24" s="1"/>
      <c r="W24" s="1"/>
      <c r="X24" s="1"/>
      <c r="Y24" s="1"/>
    </row>
    <row r="25" spans="1:25" x14ac:dyDescent="0.2">
      <c r="A25" s="1"/>
      <c r="B25" s="1"/>
      <c r="C25" s="516"/>
      <c r="D25" s="516"/>
      <c r="E25" s="516"/>
      <c r="F25" s="516"/>
      <c r="G25" s="516"/>
      <c r="H25" s="516"/>
      <c r="I25" s="516"/>
      <c r="J25" s="516"/>
      <c r="K25" s="516"/>
      <c r="L25" s="516"/>
      <c r="M25" s="516"/>
      <c r="N25" s="516"/>
      <c r="O25" s="516"/>
      <c r="P25" s="516"/>
      <c r="Q25" s="516"/>
      <c r="R25" s="516"/>
      <c r="S25" s="1"/>
      <c r="T25" s="1"/>
      <c r="U25" s="1"/>
      <c r="V25" s="1"/>
      <c r="W25" s="1"/>
      <c r="X25" s="1"/>
      <c r="Y25" s="1"/>
    </row>
    <row r="26" spans="1:25" x14ac:dyDescent="0.2">
      <c r="A26" s="1"/>
      <c r="B26" s="1"/>
      <c r="C26" s="516"/>
      <c r="D26" s="516"/>
      <c r="E26" s="516"/>
      <c r="F26" s="516"/>
      <c r="G26" s="516"/>
      <c r="H26" s="516"/>
      <c r="I26" s="516"/>
      <c r="J26" s="516"/>
      <c r="K26" s="516"/>
      <c r="L26" s="516"/>
      <c r="M26" s="516"/>
      <c r="N26" s="516"/>
      <c r="O26" s="516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x14ac:dyDescent="0.2">
      <c r="A27" s="1"/>
      <c r="B27" s="1"/>
      <c r="C27" s="516"/>
      <c r="D27" s="516"/>
      <c r="E27" s="516"/>
      <c r="F27" s="516"/>
      <c r="G27" s="516"/>
      <c r="H27" s="516"/>
      <c r="I27" s="516"/>
      <c r="J27" s="516"/>
      <c r="K27" s="516"/>
      <c r="L27" s="516"/>
      <c r="M27" s="516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ht="15" thickBot="1" x14ac:dyDescent="0.25">
      <c r="A28" s="1"/>
      <c r="B28" s="1"/>
      <c r="C28" s="2265" t="s">
        <v>86</v>
      </c>
      <c r="D28" s="2265"/>
      <c r="E28" s="2265"/>
      <c r="F28" s="2265"/>
      <c r="G28" s="519"/>
      <c r="H28" s="334"/>
      <c r="I28" s="334"/>
      <c r="J28" s="334"/>
      <c r="K28" s="519"/>
      <c r="L28" s="336"/>
      <c r="M28" s="336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ht="22.5" x14ac:dyDescent="0.2">
      <c r="A29" s="1"/>
      <c r="B29" s="1"/>
      <c r="C29" s="337" t="s">
        <v>87</v>
      </c>
      <c r="D29" s="514" t="s">
        <v>88</v>
      </c>
      <c r="E29" s="514" t="s">
        <v>89</v>
      </c>
      <c r="F29" s="514" t="s">
        <v>20</v>
      </c>
      <c r="G29" s="514" t="s">
        <v>160</v>
      </c>
      <c r="H29" s="514" t="s">
        <v>90</v>
      </c>
      <c r="I29" s="514" t="s">
        <v>91</v>
      </c>
      <c r="J29" s="514" t="s">
        <v>92</v>
      </c>
      <c r="K29" s="514" t="s">
        <v>93</v>
      </c>
      <c r="L29" s="514" t="s">
        <v>94</v>
      </c>
      <c r="M29" s="515" t="s">
        <v>95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x14ac:dyDescent="0.2">
      <c r="A30" s="1"/>
      <c r="B30" s="1"/>
      <c r="C30" s="338"/>
      <c r="D30" s="339">
        <v>1</v>
      </c>
      <c r="E30" s="339" t="s">
        <v>96</v>
      </c>
      <c r="F30" s="340" t="s">
        <v>97</v>
      </c>
      <c r="G30" s="340">
        <v>2201</v>
      </c>
      <c r="H30" s="339">
        <v>20823</v>
      </c>
      <c r="I30" s="341"/>
      <c r="J30" s="339">
        <v>138.15</v>
      </c>
      <c r="K30" s="342">
        <f>I30/I$35</f>
        <v>0</v>
      </c>
      <c r="L30" s="343">
        <f>ROUND(K30*E$10,2)</f>
        <v>0</v>
      </c>
      <c r="M30" s="344">
        <f>L30*$I$10</f>
        <v>0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x14ac:dyDescent="0.2">
      <c r="A31" s="1"/>
      <c r="B31" s="1"/>
      <c r="C31" s="338"/>
      <c r="D31" s="339">
        <v>2</v>
      </c>
      <c r="E31" s="339" t="s">
        <v>98</v>
      </c>
      <c r="F31" s="340" t="s">
        <v>97</v>
      </c>
      <c r="G31" s="340">
        <v>2201</v>
      </c>
      <c r="H31" s="339">
        <v>20824</v>
      </c>
      <c r="I31" s="341"/>
      <c r="J31" s="339">
        <v>138.15</v>
      </c>
      <c r="K31" s="342">
        <f>I31/I$35</f>
        <v>0</v>
      </c>
      <c r="L31" s="343">
        <f>ROUND(K31*E$10,2)</f>
        <v>0</v>
      </c>
      <c r="M31" s="344">
        <f>L31*$I$10</f>
        <v>0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x14ac:dyDescent="0.2">
      <c r="A32" s="1"/>
      <c r="B32" s="1"/>
      <c r="C32" s="338"/>
      <c r="D32" s="339">
        <v>1</v>
      </c>
      <c r="E32" s="339" t="s">
        <v>99</v>
      </c>
      <c r="F32" s="340" t="s">
        <v>100</v>
      </c>
      <c r="G32" s="340">
        <v>2230</v>
      </c>
      <c r="H32" s="339">
        <v>22228</v>
      </c>
      <c r="I32" s="341"/>
      <c r="J32" s="339">
        <v>130.80000000000001</v>
      </c>
      <c r="K32" s="342">
        <f>I32/I$35</f>
        <v>0</v>
      </c>
      <c r="L32" s="343">
        <f>ROUND(K32*E$10,2)</f>
        <v>0</v>
      </c>
      <c r="M32" s="344">
        <f>L32*$I$10</f>
        <v>0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x14ac:dyDescent="0.2">
      <c r="A33" s="1"/>
      <c r="B33" s="1"/>
      <c r="C33" s="338">
        <v>800762390</v>
      </c>
      <c r="D33" s="339">
        <v>1</v>
      </c>
      <c r="E33" s="354" t="s">
        <v>101</v>
      </c>
      <c r="F33" s="463" t="s">
        <v>23</v>
      </c>
      <c r="G33" s="463">
        <v>2044</v>
      </c>
      <c r="H33" s="354">
        <v>591000420</v>
      </c>
      <c r="I33" s="341">
        <v>80000</v>
      </c>
      <c r="J33" s="339"/>
      <c r="K33" s="342">
        <f>I33/I$35</f>
        <v>9.4117647058823528E-2</v>
      </c>
      <c r="L33" s="343">
        <f>ROUND(K33*E$10,2)</f>
        <v>435571.58</v>
      </c>
      <c r="M33" s="344">
        <f>L33*$I$10</f>
        <v>8275860.0200000005</v>
      </c>
      <c r="N33" s="464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ht="15" thickBot="1" x14ac:dyDescent="0.25">
      <c r="A34" s="1"/>
      <c r="B34" s="1"/>
      <c r="C34" s="345">
        <v>800642440</v>
      </c>
      <c r="D34" s="346">
        <v>5</v>
      </c>
      <c r="E34" s="347" t="s">
        <v>101</v>
      </c>
      <c r="F34" s="348" t="s">
        <v>159</v>
      </c>
      <c r="G34" s="348">
        <v>2277</v>
      </c>
      <c r="H34" s="347">
        <v>22770</v>
      </c>
      <c r="I34" s="349">
        <f>850000-I30-I31-I32-I33</f>
        <v>770000</v>
      </c>
      <c r="J34" s="346"/>
      <c r="K34" s="350">
        <f>I34/I$35</f>
        <v>0.90588235294117647</v>
      </c>
      <c r="L34" s="351">
        <f>ROUND(K34*E$10,2)</f>
        <v>4192376.5</v>
      </c>
      <c r="M34" s="352">
        <f>L34*$I$10</f>
        <v>79655153.5</v>
      </c>
      <c r="N34" s="464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x14ac:dyDescent="0.2">
      <c r="A35" s="1"/>
      <c r="B35" s="1"/>
      <c r="C35" s="406">
        <v>3000623</v>
      </c>
      <c r="D35" s="353" t="s">
        <v>102</v>
      </c>
      <c r="E35" s="353"/>
      <c r="F35" s="353"/>
      <c r="G35" s="353"/>
      <c r="H35" s="354"/>
      <c r="I35" s="355">
        <f>SUM(I30:I34)</f>
        <v>850000</v>
      </c>
      <c r="J35" s="353"/>
      <c r="K35" s="356">
        <f>SUM(K30:K34)</f>
        <v>1</v>
      </c>
      <c r="L35" s="357">
        <f>SUM(L30:L34)</f>
        <v>4627948.08</v>
      </c>
      <c r="M35" s="357">
        <f>SUM(M30:M33)</f>
        <v>8275860.0200000005</v>
      </c>
      <c r="N35" s="472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x14ac:dyDescent="0.2">
      <c r="A36" s="1"/>
      <c r="B36" s="1"/>
      <c r="C36" s="336"/>
      <c r="D36" s="336"/>
      <c r="E36" s="336"/>
      <c r="F36" s="358"/>
      <c r="G36" s="358"/>
      <c r="H36" s="358"/>
      <c r="I36" s="336"/>
      <c r="J36" s="336"/>
      <c r="K36" s="336"/>
      <c r="L36" s="336"/>
      <c r="M36" s="359"/>
      <c r="N36" s="464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x14ac:dyDescent="0.2">
      <c r="A37" s="1"/>
      <c r="B37" s="1"/>
      <c r="C37" s="336"/>
      <c r="D37" s="336"/>
      <c r="E37" s="336"/>
      <c r="F37" s="358"/>
      <c r="G37" s="358"/>
      <c r="H37" s="358"/>
      <c r="I37" s="336"/>
      <c r="J37" s="336"/>
      <c r="K37" s="336"/>
      <c r="L37" s="336"/>
      <c r="M37" s="359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x14ac:dyDescent="0.2">
      <c r="A38" s="1"/>
      <c r="B38" s="1"/>
      <c r="C38" s="336"/>
      <c r="D38" s="336"/>
      <c r="E38" s="336"/>
      <c r="F38" s="358"/>
      <c r="G38" s="358"/>
      <c r="H38" s="358"/>
      <c r="I38" s="336"/>
      <c r="J38" s="336"/>
      <c r="K38" s="336"/>
      <c r="L38" s="336"/>
      <c r="M38" s="359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ht="15" thickBot="1" x14ac:dyDescent="0.25">
      <c r="A39" s="1"/>
      <c r="B39" s="1"/>
      <c r="C39" s="2266" t="s">
        <v>103</v>
      </c>
      <c r="D39" s="2266"/>
      <c r="E39" s="2266"/>
      <c r="F39" s="2266"/>
      <c r="G39" s="519"/>
      <c r="H39" s="334"/>
      <c r="I39" s="334"/>
      <c r="J39" s="334"/>
      <c r="K39" s="336"/>
      <c r="L39" s="336"/>
      <c r="M39" s="360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ht="22.5" x14ac:dyDescent="0.2">
      <c r="A40" s="1"/>
      <c r="B40" s="1"/>
      <c r="C40" s="337" t="s">
        <v>87</v>
      </c>
      <c r="D40" s="514" t="s">
        <v>88</v>
      </c>
      <c r="E40" s="514" t="s">
        <v>89</v>
      </c>
      <c r="F40" s="514" t="s">
        <v>20</v>
      </c>
      <c r="G40" s="514"/>
      <c r="H40" s="514" t="s">
        <v>90</v>
      </c>
      <c r="I40" s="514" t="s">
        <v>104</v>
      </c>
      <c r="J40" s="514" t="s">
        <v>93</v>
      </c>
      <c r="K40" s="514" t="s">
        <v>92</v>
      </c>
      <c r="L40" s="514" t="s">
        <v>94</v>
      </c>
      <c r="M40" s="515" t="s">
        <v>95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x14ac:dyDescent="0.2">
      <c r="A41" s="1"/>
      <c r="B41" s="1"/>
      <c r="C41" s="338"/>
      <c r="D41" s="339">
        <v>1</v>
      </c>
      <c r="E41" s="339" t="s">
        <v>96</v>
      </c>
      <c r="F41" s="340" t="s">
        <v>97</v>
      </c>
      <c r="G41" s="340"/>
      <c r="H41" s="339">
        <v>20823</v>
      </c>
      <c r="I41" s="341">
        <f>M80</f>
        <v>0</v>
      </c>
      <c r="J41" s="342">
        <f>I41/I$45</f>
        <v>0</v>
      </c>
      <c r="K41" s="339">
        <v>138.15</v>
      </c>
      <c r="L41" s="343">
        <f>ROUND(J41*$E$11,2)</f>
        <v>0</v>
      </c>
      <c r="M41" s="344">
        <f>L41*L24</f>
        <v>0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x14ac:dyDescent="0.2">
      <c r="A42" s="1"/>
      <c r="B42" s="1"/>
      <c r="C42" s="338"/>
      <c r="D42" s="339">
        <v>2</v>
      </c>
      <c r="E42" s="339" t="s">
        <v>98</v>
      </c>
      <c r="F42" s="340" t="s">
        <v>97</v>
      </c>
      <c r="G42" s="340"/>
      <c r="H42" s="339">
        <v>20824</v>
      </c>
      <c r="I42" s="341">
        <f>N80</f>
        <v>0</v>
      </c>
      <c r="J42" s="342">
        <f>I42/I$45</f>
        <v>0</v>
      </c>
      <c r="K42" s="339">
        <v>138.15</v>
      </c>
      <c r="L42" s="343">
        <f>ROUND(J42*$E$11,2)</f>
        <v>0</v>
      </c>
      <c r="M42" s="344">
        <f>L42*L25</f>
        <v>0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x14ac:dyDescent="0.2">
      <c r="A43" s="1"/>
      <c r="B43" s="1"/>
      <c r="C43" s="338"/>
      <c r="D43" s="339">
        <v>1</v>
      </c>
      <c r="E43" s="339" t="s">
        <v>99</v>
      </c>
      <c r="F43" s="340" t="s">
        <v>100</v>
      </c>
      <c r="G43" s="340"/>
      <c r="H43" s="339">
        <v>22228</v>
      </c>
      <c r="I43" s="341">
        <f>O80</f>
        <v>0</v>
      </c>
      <c r="J43" s="342">
        <f>I43/I$45</f>
        <v>0</v>
      </c>
      <c r="K43" s="339">
        <v>130.80000000000001</v>
      </c>
      <c r="L43" s="343">
        <f>ROUND(J43*$E$11,2)</f>
        <v>0</v>
      </c>
      <c r="M43" s="344">
        <f>L43*L26</f>
        <v>0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ht="15" thickBot="1" x14ac:dyDescent="0.25">
      <c r="A44" s="1"/>
      <c r="B44" s="1"/>
      <c r="C44" s="345">
        <v>800762390</v>
      </c>
      <c r="D44" s="346">
        <v>2</v>
      </c>
      <c r="E44" s="347" t="s">
        <v>101</v>
      </c>
      <c r="F44" s="348" t="s">
        <v>23</v>
      </c>
      <c r="G44" s="348"/>
      <c r="H44" s="347"/>
      <c r="I44" s="349">
        <f>L80</f>
        <v>2007199.6403960001</v>
      </c>
      <c r="J44" s="350">
        <f>I44/I$45</f>
        <v>1</v>
      </c>
      <c r="K44" s="346">
        <v>138.15</v>
      </c>
      <c r="L44" s="351">
        <f>ROUND(J44*$E$11,2)</f>
        <v>1885.67</v>
      </c>
      <c r="M44" s="352">
        <f>L44*L27</f>
        <v>0</v>
      </c>
      <c r="N44" s="464" t="s">
        <v>162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x14ac:dyDescent="0.2">
      <c r="A45" s="1"/>
      <c r="B45" s="1"/>
      <c r="C45" s="353"/>
      <c r="D45" s="353"/>
      <c r="E45" s="353"/>
      <c r="F45" s="353"/>
      <c r="G45" s="353"/>
      <c r="H45" s="354"/>
      <c r="I45" s="449">
        <f>SUM(I41:I44)</f>
        <v>2007199.6403960001</v>
      </c>
      <c r="J45" s="355"/>
      <c r="K45" s="353"/>
      <c r="L45" s="357">
        <f>SUM(L41:L44)</f>
        <v>1885.67</v>
      </c>
      <c r="M45" s="357">
        <f>SUM(M41:M44)</f>
        <v>0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customFormat="1" ht="15" thickBot="1" x14ac:dyDescent="0.25">
      <c r="A46" s="450"/>
      <c r="B46" s="450"/>
      <c r="M46" s="450"/>
      <c r="N46" s="450"/>
      <c r="O46" s="450"/>
      <c r="P46" s="450"/>
      <c r="Q46" s="450"/>
      <c r="R46" s="450"/>
      <c r="S46" s="450"/>
      <c r="T46" s="450"/>
      <c r="U46" s="450"/>
      <c r="V46" s="450"/>
      <c r="W46" s="450"/>
      <c r="X46" s="450"/>
      <c r="Y46" s="450"/>
    </row>
    <row r="47" spans="1:25" ht="15" thickBot="1" x14ac:dyDescent="0.25">
      <c r="A47" s="1"/>
      <c r="B47" s="465" t="s">
        <v>3</v>
      </c>
      <c r="C47" s="333">
        <f>SUMIF(Tarifas!E4:E303,'Febrero - 2015'!C49,Tarifas!D4:D303)</f>
        <v>19</v>
      </c>
      <c r="D47" s="425" t="s">
        <v>147</v>
      </c>
      <c r="E47" s="426" t="s">
        <v>145</v>
      </c>
      <c r="F47" s="426" t="s">
        <v>150</v>
      </c>
      <c r="G47" s="426" t="s">
        <v>148</v>
      </c>
      <c r="H47" s="382"/>
      <c r="I47" s="331" t="s">
        <v>120</v>
      </c>
      <c r="J47" s="332"/>
      <c r="K47" s="332"/>
      <c r="L47" s="2280" t="s">
        <v>105</v>
      </c>
      <c r="M47" s="2281"/>
      <c r="N47" s="2281"/>
      <c r="O47" s="2281"/>
      <c r="P47" s="2281"/>
      <c r="Q47" s="2281"/>
      <c r="R47" s="2282"/>
      <c r="S47" s="2274" t="s">
        <v>121</v>
      </c>
      <c r="T47" s="2275"/>
      <c r="U47" s="2275"/>
      <c r="V47" s="2275"/>
      <c r="W47" s="2275"/>
      <c r="X47" s="2275"/>
      <c r="Y47" s="2276"/>
    </row>
    <row r="48" spans="1:25" ht="34.5" thickBot="1" x14ac:dyDescent="0.25">
      <c r="A48" s="1" t="s">
        <v>29</v>
      </c>
      <c r="B48" s="1" t="s">
        <v>154</v>
      </c>
      <c r="C48" s="383" t="s">
        <v>122</v>
      </c>
      <c r="D48" s="384" t="s">
        <v>125</v>
      </c>
      <c r="E48" s="385" t="s">
        <v>149</v>
      </c>
      <c r="F48" s="385" t="s">
        <v>151</v>
      </c>
      <c r="G48" s="385" t="s">
        <v>152</v>
      </c>
      <c r="H48" s="386" t="s">
        <v>123</v>
      </c>
      <c r="I48" s="1450" t="s">
        <v>377</v>
      </c>
      <c r="J48" s="1451" t="s">
        <v>376</v>
      </c>
      <c r="K48" s="1451" t="s">
        <v>375</v>
      </c>
      <c r="L48" s="1431" t="s">
        <v>115</v>
      </c>
      <c r="M48" s="1337" t="s">
        <v>106</v>
      </c>
      <c r="N48" s="1337" t="s">
        <v>107</v>
      </c>
      <c r="O48" s="1337" t="s">
        <v>108</v>
      </c>
      <c r="P48" s="1337" t="s">
        <v>115</v>
      </c>
      <c r="Q48" s="1338" t="s">
        <v>116</v>
      </c>
      <c r="R48" s="1339" t="s">
        <v>117</v>
      </c>
      <c r="S48" s="1441" t="s">
        <v>110</v>
      </c>
      <c r="T48" s="1442" t="s">
        <v>111</v>
      </c>
      <c r="U48" s="1442" t="s">
        <v>112</v>
      </c>
      <c r="V48" s="1443" t="s">
        <v>118</v>
      </c>
      <c r="W48" s="1443" t="s">
        <v>119</v>
      </c>
      <c r="X48" s="1443" t="s">
        <v>114</v>
      </c>
      <c r="Y48" s="1444" t="s">
        <v>113</v>
      </c>
    </row>
    <row r="49" spans="1:25" x14ac:dyDescent="0.2">
      <c r="A49" s="1">
        <f>MONTH(C49)</f>
        <v>2</v>
      </c>
      <c r="B49" s="1">
        <f>YEAR(C49)</f>
        <v>2015</v>
      </c>
      <c r="C49" s="387">
        <f>G7</f>
        <v>42036</v>
      </c>
      <c r="D49" s="388">
        <f>($F$24*$H$24)/$G$24</f>
        <v>159584.41655172413</v>
      </c>
      <c r="E49" s="389">
        <f>P49+Q49+R49</f>
        <v>76994.63</v>
      </c>
      <c r="F49" s="427">
        <f t="shared" ref="F49:F76" si="0">TRUNC(IFERROR(J$24/K$24,0),8)</f>
        <v>0.90615690000000004</v>
      </c>
      <c r="G49" s="390">
        <f t="shared" ref="G49:G76" si="1">ROUND(I$24*F49*E49,4)</f>
        <v>69.769199999999998</v>
      </c>
      <c r="H49" s="391">
        <f t="shared" ref="H49:H76" si="2">SUM(D49:G49)</f>
        <v>236649.72190862414</v>
      </c>
      <c r="I49" s="324">
        <v>68000</v>
      </c>
      <c r="J49" s="325"/>
      <c r="K49" s="325">
        <v>59489.52</v>
      </c>
      <c r="L49" s="317">
        <v>76994.63</v>
      </c>
      <c r="M49" s="318"/>
      <c r="N49" s="318"/>
      <c r="O49" s="318"/>
      <c r="P49" s="389">
        <f>L49</f>
        <v>76994.63</v>
      </c>
      <c r="Q49" s="389">
        <f t="shared" ref="Q49:Q76" si="3">M49+N49</f>
        <v>0</v>
      </c>
      <c r="R49" s="389">
        <f t="shared" ref="R49:R76" si="4">O49</f>
        <v>0</v>
      </c>
      <c r="S49" s="373"/>
      <c r="T49" s="374"/>
      <c r="U49" s="524">
        <f>S49+T49-V49</f>
        <v>-127489.51999999999</v>
      </c>
      <c r="V49" s="520">
        <f>I49+J49+K49</f>
        <v>127489.51999999999</v>
      </c>
      <c r="W49" s="520">
        <f>(P49+Q49+R49)*1.055056</f>
        <v>81233.64634928001</v>
      </c>
      <c r="X49" s="520">
        <f>V49-W49</f>
        <v>46255.873650719979</v>
      </c>
      <c r="Y49" s="525">
        <f>Y46+X49</f>
        <v>46255.873650719979</v>
      </c>
    </row>
    <row r="50" spans="1:25" x14ac:dyDescent="0.2">
      <c r="A50" s="1"/>
      <c r="B50" s="1"/>
      <c r="C50" s="387">
        <f t="shared" ref="C50:C76" si="5">C49+1</f>
        <v>42037</v>
      </c>
      <c r="D50" s="388">
        <f t="shared" ref="D50:D76" si="6">($F$24*$H$24)/$G$24</f>
        <v>159584.41655172413</v>
      </c>
      <c r="E50" s="392">
        <f t="shared" ref="E50:E76" si="7">P50+Q50+R50</f>
        <v>78985.89</v>
      </c>
      <c r="F50" s="428">
        <f t="shared" si="0"/>
        <v>0.90615690000000004</v>
      </c>
      <c r="G50" s="390">
        <f t="shared" si="1"/>
        <v>71.573599999999999</v>
      </c>
      <c r="H50" s="391">
        <f t="shared" si="2"/>
        <v>238642.78630862414</v>
      </c>
      <c r="I50" s="324">
        <v>68052</v>
      </c>
      <c r="J50" s="325"/>
      <c r="K50" s="325">
        <v>66464.5</v>
      </c>
      <c r="L50" s="319">
        <v>78985.89</v>
      </c>
      <c r="M50" s="320"/>
      <c r="N50" s="320"/>
      <c r="O50" s="320"/>
      <c r="P50" s="392">
        <f t="shared" ref="P50:P76" si="8">L50</f>
        <v>78985.89</v>
      </c>
      <c r="Q50" s="392">
        <f t="shared" si="3"/>
        <v>0</v>
      </c>
      <c r="R50" s="392">
        <f t="shared" si="4"/>
        <v>0</v>
      </c>
      <c r="S50" s="373"/>
      <c r="T50" s="374"/>
      <c r="U50" s="524">
        <f t="shared" ref="U50:U77" si="9">S50+T50-V50</f>
        <v>-134516.5</v>
      </c>
      <c r="V50" s="520">
        <f t="shared" ref="V50:V77" si="10">I50+J50+K50</f>
        <v>134516.5</v>
      </c>
      <c r="W50" s="520">
        <f t="shared" ref="W50:W77" si="11">(P50+Q50+R50)*1.055056</f>
        <v>83334.537159839994</v>
      </c>
      <c r="X50" s="520">
        <f t="shared" ref="X50:X77" si="12">V50-W50</f>
        <v>51181.962840160006</v>
      </c>
      <c r="Y50" s="525">
        <f>Y49+X50</f>
        <v>97437.836490879985</v>
      </c>
    </row>
    <row r="51" spans="1:25" x14ac:dyDescent="0.2">
      <c r="A51" s="1"/>
      <c r="B51" s="1"/>
      <c r="C51" s="387">
        <f t="shared" si="5"/>
        <v>42038</v>
      </c>
      <c r="D51" s="388">
        <f t="shared" si="6"/>
        <v>159584.41655172413</v>
      </c>
      <c r="E51" s="392">
        <f t="shared" si="7"/>
        <v>74586.97</v>
      </c>
      <c r="F51" s="428">
        <f t="shared" si="0"/>
        <v>0.90615690000000004</v>
      </c>
      <c r="G51" s="390">
        <f t="shared" si="1"/>
        <v>67.587500000000006</v>
      </c>
      <c r="H51" s="391">
        <f t="shared" si="2"/>
        <v>234239.88020862412</v>
      </c>
      <c r="I51" s="324">
        <v>72000</v>
      </c>
      <c r="J51" s="325"/>
      <c r="K51" s="325">
        <v>68120.75</v>
      </c>
      <c r="L51" s="317">
        <v>74586.97</v>
      </c>
      <c r="M51" s="318"/>
      <c r="N51" s="318"/>
      <c r="O51" s="318"/>
      <c r="P51" s="392">
        <f t="shared" si="8"/>
        <v>74586.97</v>
      </c>
      <c r="Q51" s="392">
        <f t="shared" si="3"/>
        <v>0</v>
      </c>
      <c r="R51" s="392">
        <f t="shared" si="4"/>
        <v>0</v>
      </c>
      <c r="S51" s="373"/>
      <c r="T51" s="374"/>
      <c r="U51" s="524">
        <f t="shared" si="9"/>
        <v>-140120.75</v>
      </c>
      <c r="V51" s="520">
        <f t="shared" si="10"/>
        <v>140120.75</v>
      </c>
      <c r="W51" s="520">
        <f t="shared" si="11"/>
        <v>78693.430220320006</v>
      </c>
      <c r="X51" s="520">
        <f t="shared" si="12"/>
        <v>61427.319779679994</v>
      </c>
      <c r="Y51" s="525">
        <f t="shared" ref="Y51:Y77" si="13">Y50+X51</f>
        <v>158865.15627055999</v>
      </c>
    </row>
    <row r="52" spans="1:25" x14ac:dyDescent="0.2">
      <c r="A52" s="1"/>
      <c r="B52" s="1"/>
      <c r="C52" s="387">
        <f t="shared" si="5"/>
        <v>42039</v>
      </c>
      <c r="D52" s="388">
        <f t="shared" si="6"/>
        <v>159584.41655172413</v>
      </c>
      <c r="E52" s="392">
        <f t="shared" si="7"/>
        <v>74499.02</v>
      </c>
      <c r="F52" s="428">
        <f t="shared" si="0"/>
        <v>0.90615690000000004</v>
      </c>
      <c r="G52" s="390">
        <f t="shared" si="1"/>
        <v>67.507800000000003</v>
      </c>
      <c r="H52" s="391">
        <f t="shared" si="2"/>
        <v>234151.85050862413</v>
      </c>
      <c r="I52" s="324">
        <v>72000</v>
      </c>
      <c r="J52" s="325"/>
      <c r="K52" s="325">
        <v>63951.38</v>
      </c>
      <c r="L52" s="319">
        <v>74499.02</v>
      </c>
      <c r="M52" s="320"/>
      <c r="N52" s="320"/>
      <c r="O52" s="320"/>
      <c r="P52" s="392">
        <f t="shared" si="8"/>
        <v>74499.02</v>
      </c>
      <c r="Q52" s="392">
        <f t="shared" si="3"/>
        <v>0</v>
      </c>
      <c r="R52" s="392">
        <f t="shared" si="4"/>
        <v>0</v>
      </c>
      <c r="S52" s="373"/>
      <c r="T52" s="374"/>
      <c r="U52" s="524">
        <f t="shared" si="9"/>
        <v>-135951.38</v>
      </c>
      <c r="V52" s="520">
        <f t="shared" si="10"/>
        <v>135951.38</v>
      </c>
      <c r="W52" s="520">
        <f t="shared" si="11"/>
        <v>78600.638045120009</v>
      </c>
      <c r="X52" s="520">
        <f t="shared" si="12"/>
        <v>57350.741954879995</v>
      </c>
      <c r="Y52" s="525">
        <f t="shared" si="13"/>
        <v>216215.89822544</v>
      </c>
    </row>
    <row r="53" spans="1:25" x14ac:dyDescent="0.2">
      <c r="A53" s="1"/>
      <c r="B53" s="1"/>
      <c r="C53" s="387">
        <f t="shared" si="5"/>
        <v>42040</v>
      </c>
      <c r="D53" s="388">
        <f t="shared" si="6"/>
        <v>159584.41655172413</v>
      </c>
      <c r="E53" s="392">
        <f t="shared" si="7"/>
        <v>62785.55</v>
      </c>
      <c r="F53" s="428">
        <f t="shared" si="0"/>
        <v>0.90615690000000004</v>
      </c>
      <c r="G53" s="390">
        <f t="shared" si="1"/>
        <v>56.893599999999999</v>
      </c>
      <c r="H53" s="391">
        <f t="shared" si="2"/>
        <v>222427.76630862412</v>
      </c>
      <c r="I53" s="324">
        <v>73000</v>
      </c>
      <c r="J53" s="325"/>
      <c r="K53" s="325">
        <v>66960.33</v>
      </c>
      <c r="L53" s="317">
        <v>62785.55</v>
      </c>
      <c r="M53" s="318"/>
      <c r="N53" s="318"/>
      <c r="O53" s="318"/>
      <c r="P53" s="392">
        <f t="shared" si="8"/>
        <v>62785.55</v>
      </c>
      <c r="Q53" s="392">
        <f t="shared" si="3"/>
        <v>0</v>
      </c>
      <c r="R53" s="392">
        <f t="shared" si="4"/>
        <v>0</v>
      </c>
      <c r="S53" s="373"/>
      <c r="T53" s="374"/>
      <c r="U53" s="524">
        <f t="shared" si="9"/>
        <v>-139960.33000000002</v>
      </c>
      <c r="V53" s="520">
        <f t="shared" si="10"/>
        <v>139960.33000000002</v>
      </c>
      <c r="W53" s="520">
        <f t="shared" si="11"/>
        <v>66242.271240800008</v>
      </c>
      <c r="X53" s="520">
        <f t="shared" si="12"/>
        <v>73718.058759200008</v>
      </c>
      <c r="Y53" s="525">
        <f t="shared" si="13"/>
        <v>289933.95698463998</v>
      </c>
    </row>
    <row r="54" spans="1:25" x14ac:dyDescent="0.2">
      <c r="A54" s="1"/>
      <c r="B54" s="1"/>
      <c r="C54" s="387">
        <f t="shared" si="5"/>
        <v>42041</v>
      </c>
      <c r="D54" s="388">
        <f t="shared" si="6"/>
        <v>159584.41655172413</v>
      </c>
      <c r="E54" s="392">
        <f t="shared" si="7"/>
        <v>41980</v>
      </c>
      <c r="F54" s="428">
        <f t="shared" si="0"/>
        <v>0.90615690000000004</v>
      </c>
      <c r="G54" s="390">
        <f t="shared" si="1"/>
        <v>38.040500000000002</v>
      </c>
      <c r="H54" s="391">
        <f t="shared" si="2"/>
        <v>201603.36320862413</v>
      </c>
      <c r="I54" s="324">
        <v>68000</v>
      </c>
      <c r="J54" s="325"/>
      <c r="K54" s="325">
        <v>68892.02</v>
      </c>
      <c r="L54" s="319">
        <v>41980</v>
      </c>
      <c r="M54" s="320"/>
      <c r="N54" s="320"/>
      <c r="O54" s="320"/>
      <c r="P54" s="392">
        <f t="shared" si="8"/>
        <v>41980</v>
      </c>
      <c r="Q54" s="392">
        <f t="shared" si="3"/>
        <v>0</v>
      </c>
      <c r="R54" s="392">
        <f t="shared" si="4"/>
        <v>0</v>
      </c>
      <c r="S54" s="373"/>
      <c r="T54" s="374"/>
      <c r="U54" s="524">
        <f t="shared" si="9"/>
        <v>-136892.02000000002</v>
      </c>
      <c r="V54" s="520">
        <f t="shared" si="10"/>
        <v>136892.02000000002</v>
      </c>
      <c r="W54" s="520">
        <f t="shared" si="11"/>
        <v>44291.25088</v>
      </c>
      <c r="X54" s="520">
        <f t="shared" si="12"/>
        <v>92600.769120000012</v>
      </c>
      <c r="Y54" s="525">
        <f t="shared" si="13"/>
        <v>382534.72610463999</v>
      </c>
    </row>
    <row r="55" spans="1:25" x14ac:dyDescent="0.2">
      <c r="A55" s="1"/>
      <c r="B55" s="1"/>
      <c r="C55" s="387">
        <f t="shared" si="5"/>
        <v>42042</v>
      </c>
      <c r="D55" s="388">
        <f t="shared" si="6"/>
        <v>159584.41655172413</v>
      </c>
      <c r="E55" s="392">
        <f t="shared" si="7"/>
        <v>61511.94</v>
      </c>
      <c r="F55" s="428">
        <f t="shared" si="0"/>
        <v>0.90615690000000004</v>
      </c>
      <c r="G55" s="390">
        <f t="shared" si="1"/>
        <v>55.7395</v>
      </c>
      <c r="H55" s="391">
        <f t="shared" si="2"/>
        <v>221153.00220862412</v>
      </c>
      <c r="I55" s="324">
        <v>68000</v>
      </c>
      <c r="J55" s="325"/>
      <c r="K55" s="325">
        <v>71518.73</v>
      </c>
      <c r="L55" s="317">
        <v>61511.94</v>
      </c>
      <c r="M55" s="318"/>
      <c r="N55" s="318"/>
      <c r="O55" s="318"/>
      <c r="P55" s="392">
        <f t="shared" si="8"/>
        <v>61511.94</v>
      </c>
      <c r="Q55" s="392">
        <f t="shared" si="3"/>
        <v>0</v>
      </c>
      <c r="R55" s="392">
        <f t="shared" si="4"/>
        <v>0</v>
      </c>
      <c r="S55" s="373"/>
      <c r="T55" s="374"/>
      <c r="U55" s="524">
        <f t="shared" si="9"/>
        <v>-139518.72999999998</v>
      </c>
      <c r="V55" s="520">
        <f t="shared" si="10"/>
        <v>139518.72999999998</v>
      </c>
      <c r="W55" s="520">
        <f t="shared" si="11"/>
        <v>64898.541368639999</v>
      </c>
      <c r="X55" s="520">
        <f t="shared" si="12"/>
        <v>74620.188631359983</v>
      </c>
      <c r="Y55" s="525">
        <f t="shared" si="13"/>
        <v>457154.91473600001</v>
      </c>
    </row>
    <row r="56" spans="1:25" x14ac:dyDescent="0.2">
      <c r="A56" s="1"/>
      <c r="B56" s="1"/>
      <c r="C56" s="387">
        <f t="shared" si="5"/>
        <v>42043</v>
      </c>
      <c r="D56" s="388">
        <f t="shared" si="6"/>
        <v>159584.41655172413</v>
      </c>
      <c r="E56" s="392">
        <f t="shared" si="7"/>
        <v>74421.05</v>
      </c>
      <c r="F56" s="428">
        <f t="shared" si="0"/>
        <v>0.90615690000000004</v>
      </c>
      <c r="G56" s="390">
        <f t="shared" si="1"/>
        <v>67.437100000000001</v>
      </c>
      <c r="H56" s="391">
        <f t="shared" si="2"/>
        <v>234073.80980862412</v>
      </c>
      <c r="I56" s="324">
        <v>68000</v>
      </c>
      <c r="J56" s="325"/>
      <c r="K56" s="325">
        <v>72490.856999999989</v>
      </c>
      <c r="L56" s="319">
        <v>74421.05</v>
      </c>
      <c r="M56" s="320"/>
      <c r="N56" s="320"/>
      <c r="O56" s="320"/>
      <c r="P56" s="392">
        <f t="shared" si="8"/>
        <v>74421.05</v>
      </c>
      <c r="Q56" s="392">
        <f t="shared" si="3"/>
        <v>0</v>
      </c>
      <c r="R56" s="392">
        <f t="shared" si="4"/>
        <v>0</v>
      </c>
      <c r="S56" s="373"/>
      <c r="T56" s="374"/>
      <c r="U56" s="524">
        <f t="shared" si="9"/>
        <v>-140490.85699999999</v>
      </c>
      <c r="V56" s="520">
        <f t="shared" si="10"/>
        <v>140490.85699999999</v>
      </c>
      <c r="W56" s="520">
        <f t="shared" si="11"/>
        <v>78518.375328800001</v>
      </c>
      <c r="X56" s="520">
        <f t="shared" si="12"/>
        <v>61972.481671199988</v>
      </c>
      <c r="Y56" s="525">
        <f t="shared" si="13"/>
        <v>519127.39640720002</v>
      </c>
    </row>
    <row r="57" spans="1:25" x14ac:dyDescent="0.2">
      <c r="A57" s="1"/>
      <c r="B57" s="1"/>
      <c r="C57" s="387">
        <f t="shared" si="5"/>
        <v>42044</v>
      </c>
      <c r="D57" s="388">
        <f t="shared" si="6"/>
        <v>159584.41655172413</v>
      </c>
      <c r="E57" s="392">
        <f t="shared" si="7"/>
        <v>74701.19</v>
      </c>
      <c r="F57" s="428">
        <f t="shared" si="0"/>
        <v>0.90615690000000004</v>
      </c>
      <c r="G57" s="390">
        <f t="shared" si="1"/>
        <v>67.691000000000003</v>
      </c>
      <c r="H57" s="391">
        <f t="shared" si="2"/>
        <v>234354.20370862412</v>
      </c>
      <c r="I57" s="324">
        <v>60000</v>
      </c>
      <c r="J57" s="325"/>
      <c r="K57" s="325">
        <v>71833.42</v>
      </c>
      <c r="L57" s="317">
        <v>74701.19</v>
      </c>
      <c r="M57" s="318"/>
      <c r="N57" s="318"/>
      <c r="O57" s="318"/>
      <c r="P57" s="392">
        <f t="shared" si="8"/>
        <v>74701.19</v>
      </c>
      <c r="Q57" s="392">
        <f t="shared" si="3"/>
        <v>0</v>
      </c>
      <c r="R57" s="392">
        <f t="shared" si="4"/>
        <v>0</v>
      </c>
      <c r="S57" s="373"/>
      <c r="T57" s="374"/>
      <c r="U57" s="524">
        <f t="shared" si="9"/>
        <v>-131833.41999999998</v>
      </c>
      <c r="V57" s="520">
        <f t="shared" si="10"/>
        <v>131833.41999999998</v>
      </c>
      <c r="W57" s="520">
        <f t="shared" si="11"/>
        <v>78813.938716639997</v>
      </c>
      <c r="X57" s="520">
        <f t="shared" si="12"/>
        <v>53019.481283359986</v>
      </c>
      <c r="Y57" s="525">
        <f t="shared" si="13"/>
        <v>572146.87769055995</v>
      </c>
    </row>
    <row r="58" spans="1:25" x14ac:dyDescent="0.2">
      <c r="A58" s="1"/>
      <c r="B58" s="1"/>
      <c r="C58" s="387">
        <f t="shared" si="5"/>
        <v>42045</v>
      </c>
      <c r="D58" s="388">
        <f t="shared" si="6"/>
        <v>159584.41655172413</v>
      </c>
      <c r="E58" s="392">
        <f t="shared" si="7"/>
        <v>56658.42</v>
      </c>
      <c r="F58" s="428">
        <f t="shared" si="0"/>
        <v>0.90615690000000004</v>
      </c>
      <c r="G58" s="390">
        <f t="shared" si="1"/>
        <v>51.3414</v>
      </c>
      <c r="H58" s="391">
        <f t="shared" si="2"/>
        <v>216295.08410862411</v>
      </c>
      <c r="I58" s="324">
        <v>69000</v>
      </c>
      <c r="J58" s="325"/>
      <c r="K58" s="325">
        <v>75127.566000000006</v>
      </c>
      <c r="L58" s="319">
        <v>56658.42</v>
      </c>
      <c r="M58" s="320"/>
      <c r="N58" s="320"/>
      <c r="O58" s="320"/>
      <c r="P58" s="392">
        <f t="shared" si="8"/>
        <v>56658.42</v>
      </c>
      <c r="Q58" s="392">
        <f t="shared" si="3"/>
        <v>0</v>
      </c>
      <c r="R58" s="392">
        <f t="shared" si="4"/>
        <v>0</v>
      </c>
      <c r="S58" s="373"/>
      <c r="T58" s="374"/>
      <c r="U58" s="524">
        <f t="shared" si="9"/>
        <v>-144127.56599999999</v>
      </c>
      <c r="V58" s="520">
        <f t="shared" si="10"/>
        <v>144127.56599999999</v>
      </c>
      <c r="W58" s="520">
        <f t="shared" si="11"/>
        <v>59777.80597152</v>
      </c>
      <c r="X58" s="520">
        <f t="shared" si="12"/>
        <v>84349.760028479999</v>
      </c>
      <c r="Y58" s="525">
        <f t="shared" si="13"/>
        <v>656496.63771903992</v>
      </c>
    </row>
    <row r="59" spans="1:25" x14ac:dyDescent="0.2">
      <c r="A59" s="1"/>
      <c r="B59" s="1"/>
      <c r="C59" s="387">
        <f t="shared" si="5"/>
        <v>42046</v>
      </c>
      <c r="D59" s="388">
        <f t="shared" si="6"/>
        <v>159584.41655172413</v>
      </c>
      <c r="E59" s="392">
        <f t="shared" si="7"/>
        <v>73495.820000000007</v>
      </c>
      <c r="F59" s="428">
        <f t="shared" si="0"/>
        <v>0.90615690000000004</v>
      </c>
      <c r="G59" s="390">
        <f t="shared" si="1"/>
        <v>66.598699999999994</v>
      </c>
      <c r="H59" s="391">
        <f t="shared" si="2"/>
        <v>233147.74140862413</v>
      </c>
      <c r="I59" s="324">
        <v>69000</v>
      </c>
      <c r="J59" s="325"/>
      <c r="K59" s="325">
        <v>74607.524000000005</v>
      </c>
      <c r="L59" s="317">
        <v>73495.820000000007</v>
      </c>
      <c r="M59" s="318"/>
      <c r="N59" s="318"/>
      <c r="O59" s="318"/>
      <c r="P59" s="392">
        <f t="shared" si="8"/>
        <v>73495.820000000007</v>
      </c>
      <c r="Q59" s="392">
        <f t="shared" si="3"/>
        <v>0</v>
      </c>
      <c r="R59" s="392">
        <f t="shared" si="4"/>
        <v>0</v>
      </c>
      <c r="S59" s="373"/>
      <c r="T59" s="374"/>
      <c r="U59" s="524">
        <f t="shared" si="9"/>
        <v>-143607.524</v>
      </c>
      <c r="V59" s="520">
        <f t="shared" si="10"/>
        <v>143607.524</v>
      </c>
      <c r="W59" s="520">
        <f t="shared" si="11"/>
        <v>77542.205865920012</v>
      </c>
      <c r="X59" s="520">
        <f t="shared" si="12"/>
        <v>66065.318134079993</v>
      </c>
      <c r="Y59" s="525">
        <f t="shared" si="13"/>
        <v>722561.95585311996</v>
      </c>
    </row>
    <row r="60" spans="1:25" x14ac:dyDescent="0.2">
      <c r="A60" s="1"/>
      <c r="B60" s="1"/>
      <c r="C60" s="387">
        <f t="shared" si="5"/>
        <v>42047</v>
      </c>
      <c r="D60" s="388">
        <f t="shared" si="6"/>
        <v>159584.41655172413</v>
      </c>
      <c r="E60" s="392">
        <f t="shared" si="7"/>
        <v>74141.8</v>
      </c>
      <c r="F60" s="428">
        <f t="shared" si="0"/>
        <v>0.90615690000000004</v>
      </c>
      <c r="G60" s="390">
        <f t="shared" si="1"/>
        <v>67.184100000000001</v>
      </c>
      <c r="H60" s="391">
        <f t="shared" si="2"/>
        <v>233794.30680862413</v>
      </c>
      <c r="I60" s="324">
        <v>70000</v>
      </c>
      <c r="J60" s="325"/>
      <c r="K60" s="325">
        <v>70354.86</v>
      </c>
      <c r="L60" s="319">
        <v>74141.8</v>
      </c>
      <c r="M60" s="320"/>
      <c r="N60" s="320"/>
      <c r="O60" s="320"/>
      <c r="P60" s="392">
        <f t="shared" si="8"/>
        <v>74141.8</v>
      </c>
      <c r="Q60" s="392">
        <f t="shared" si="3"/>
        <v>0</v>
      </c>
      <c r="R60" s="392">
        <f t="shared" si="4"/>
        <v>0</v>
      </c>
      <c r="S60" s="373"/>
      <c r="T60" s="374"/>
      <c r="U60" s="524">
        <f t="shared" si="9"/>
        <v>-140354.85999999999</v>
      </c>
      <c r="V60" s="520">
        <f t="shared" si="10"/>
        <v>140354.85999999999</v>
      </c>
      <c r="W60" s="520">
        <f t="shared" si="11"/>
        <v>78223.750940800004</v>
      </c>
      <c r="X60" s="520">
        <f t="shared" si="12"/>
        <v>62131.109059199982</v>
      </c>
      <c r="Y60" s="525">
        <f t="shared" si="13"/>
        <v>784693.06491231988</v>
      </c>
    </row>
    <row r="61" spans="1:25" x14ac:dyDescent="0.2">
      <c r="A61" s="1"/>
      <c r="B61" s="1"/>
      <c r="C61" s="387">
        <f t="shared" si="5"/>
        <v>42048</v>
      </c>
      <c r="D61" s="388">
        <f t="shared" si="6"/>
        <v>159584.41655172413</v>
      </c>
      <c r="E61" s="392">
        <f t="shared" si="7"/>
        <v>74364.34</v>
      </c>
      <c r="F61" s="428">
        <f t="shared" si="0"/>
        <v>0.90615690000000004</v>
      </c>
      <c r="G61" s="390">
        <f t="shared" si="1"/>
        <v>67.385800000000003</v>
      </c>
      <c r="H61" s="391">
        <f t="shared" si="2"/>
        <v>234017.04850862411</v>
      </c>
      <c r="I61" s="324">
        <v>67000</v>
      </c>
      <c r="J61" s="325"/>
      <c r="K61" s="325">
        <v>69777.234375</v>
      </c>
      <c r="L61" s="317">
        <v>74364.34</v>
      </c>
      <c r="M61" s="318"/>
      <c r="N61" s="318"/>
      <c r="O61" s="318"/>
      <c r="P61" s="392">
        <f t="shared" si="8"/>
        <v>74364.34</v>
      </c>
      <c r="Q61" s="392">
        <f t="shared" si="3"/>
        <v>0</v>
      </c>
      <c r="R61" s="392">
        <f t="shared" si="4"/>
        <v>0</v>
      </c>
      <c r="S61" s="373"/>
      <c r="T61" s="374"/>
      <c r="U61" s="524">
        <f t="shared" si="9"/>
        <v>-136777.234375</v>
      </c>
      <c r="V61" s="520">
        <f t="shared" si="10"/>
        <v>136777.234375</v>
      </c>
      <c r="W61" s="520">
        <f t="shared" si="11"/>
        <v>78458.543103039992</v>
      </c>
      <c r="X61" s="520">
        <f t="shared" si="12"/>
        <v>58318.691271960008</v>
      </c>
      <c r="Y61" s="525">
        <f t="shared" si="13"/>
        <v>843011.75618427992</v>
      </c>
    </row>
    <row r="62" spans="1:25" x14ac:dyDescent="0.2">
      <c r="A62" s="1"/>
      <c r="B62" s="1"/>
      <c r="C62" s="387">
        <f t="shared" si="5"/>
        <v>42049</v>
      </c>
      <c r="D62" s="388">
        <f t="shared" si="6"/>
        <v>159584.41655172413</v>
      </c>
      <c r="E62" s="392">
        <f t="shared" si="7"/>
        <v>74664.323999999993</v>
      </c>
      <c r="F62" s="428">
        <f t="shared" si="0"/>
        <v>0.90615690000000004</v>
      </c>
      <c r="G62" s="390">
        <f t="shared" si="1"/>
        <v>67.657600000000002</v>
      </c>
      <c r="H62" s="391">
        <f t="shared" si="2"/>
        <v>234317.30430862412</v>
      </c>
      <c r="I62" s="324">
        <v>67000</v>
      </c>
      <c r="J62" s="325"/>
      <c r="K62" s="325">
        <v>69016.125</v>
      </c>
      <c r="L62" s="319">
        <v>74664.323999999993</v>
      </c>
      <c r="M62" s="320"/>
      <c r="N62" s="320"/>
      <c r="O62" s="320"/>
      <c r="P62" s="392">
        <f t="shared" si="8"/>
        <v>74664.323999999993</v>
      </c>
      <c r="Q62" s="392">
        <f t="shared" si="3"/>
        <v>0</v>
      </c>
      <c r="R62" s="392">
        <f t="shared" si="4"/>
        <v>0</v>
      </c>
      <c r="S62" s="373"/>
      <c r="T62" s="374"/>
      <c r="U62" s="524">
        <f t="shared" si="9"/>
        <v>-136016.125</v>
      </c>
      <c r="V62" s="520">
        <f t="shared" si="10"/>
        <v>136016.125</v>
      </c>
      <c r="W62" s="520">
        <f t="shared" si="11"/>
        <v>78775.043022143989</v>
      </c>
      <c r="X62" s="520">
        <f t="shared" si="12"/>
        <v>57241.081977856011</v>
      </c>
      <c r="Y62" s="525">
        <f t="shared" si="13"/>
        <v>900252.83816213591</v>
      </c>
    </row>
    <row r="63" spans="1:25" x14ac:dyDescent="0.2">
      <c r="A63" s="1"/>
      <c r="B63" s="1"/>
      <c r="C63" s="387">
        <f t="shared" si="5"/>
        <v>42050</v>
      </c>
      <c r="D63" s="388">
        <f t="shared" si="6"/>
        <v>159584.41655172413</v>
      </c>
      <c r="E63" s="392">
        <f t="shared" si="7"/>
        <v>74687.342999999993</v>
      </c>
      <c r="F63" s="428">
        <f t="shared" si="0"/>
        <v>0.90615690000000004</v>
      </c>
      <c r="G63" s="390">
        <f t="shared" si="1"/>
        <v>67.6785</v>
      </c>
      <c r="H63" s="391">
        <f t="shared" si="2"/>
        <v>234340.34420862413</v>
      </c>
      <c r="I63" s="324">
        <v>67000</v>
      </c>
      <c r="J63" s="325"/>
      <c r="K63" s="325">
        <v>63723.89</v>
      </c>
      <c r="L63" s="317">
        <v>74687.342999999993</v>
      </c>
      <c r="M63" s="318"/>
      <c r="N63" s="318"/>
      <c r="O63" s="318"/>
      <c r="P63" s="392">
        <f t="shared" si="8"/>
        <v>74687.342999999993</v>
      </c>
      <c r="Q63" s="392">
        <f t="shared" si="3"/>
        <v>0</v>
      </c>
      <c r="R63" s="392">
        <f t="shared" si="4"/>
        <v>0</v>
      </c>
      <c r="S63" s="373"/>
      <c r="T63" s="374"/>
      <c r="U63" s="524">
        <f t="shared" si="9"/>
        <v>-130723.89</v>
      </c>
      <c r="V63" s="520">
        <f t="shared" si="10"/>
        <v>130723.89</v>
      </c>
      <c r="W63" s="520">
        <f t="shared" si="11"/>
        <v>78799.329356207993</v>
      </c>
      <c r="X63" s="520">
        <f t="shared" si="12"/>
        <v>51924.560643792007</v>
      </c>
      <c r="Y63" s="525">
        <f t="shared" si="13"/>
        <v>952177.39880592795</v>
      </c>
    </row>
    <row r="64" spans="1:25" x14ac:dyDescent="0.2">
      <c r="A64" s="1"/>
      <c r="B64" s="1"/>
      <c r="C64" s="387">
        <f t="shared" si="5"/>
        <v>42051</v>
      </c>
      <c r="D64" s="388">
        <f t="shared" si="6"/>
        <v>159584.41655172413</v>
      </c>
      <c r="E64" s="392">
        <f t="shared" si="7"/>
        <v>74498.63</v>
      </c>
      <c r="F64" s="428">
        <f t="shared" si="0"/>
        <v>0.90615690000000004</v>
      </c>
      <c r="G64" s="390">
        <f t="shared" si="1"/>
        <v>67.507400000000004</v>
      </c>
      <c r="H64" s="391">
        <f t="shared" si="2"/>
        <v>234151.46010862413</v>
      </c>
      <c r="I64" s="324">
        <v>67000</v>
      </c>
      <c r="J64" s="325"/>
      <c r="K64" s="325">
        <v>72754.815999999992</v>
      </c>
      <c r="L64" s="319">
        <v>74498.63</v>
      </c>
      <c r="M64" s="320"/>
      <c r="N64" s="320"/>
      <c r="O64" s="320"/>
      <c r="P64" s="392">
        <f t="shared" si="8"/>
        <v>74498.63</v>
      </c>
      <c r="Q64" s="392">
        <f t="shared" si="3"/>
        <v>0</v>
      </c>
      <c r="R64" s="392">
        <f t="shared" si="4"/>
        <v>0</v>
      </c>
      <c r="S64" s="373"/>
      <c r="T64" s="374"/>
      <c r="U64" s="524">
        <f t="shared" si="9"/>
        <v>-139754.81599999999</v>
      </c>
      <c r="V64" s="520">
        <f t="shared" si="10"/>
        <v>139754.81599999999</v>
      </c>
      <c r="W64" s="520">
        <f t="shared" si="11"/>
        <v>78600.226573280001</v>
      </c>
      <c r="X64" s="520">
        <f t="shared" si="12"/>
        <v>61154.589426719991</v>
      </c>
      <c r="Y64" s="525">
        <f t="shared" si="13"/>
        <v>1013331.988232648</v>
      </c>
    </row>
    <row r="65" spans="1:38" x14ac:dyDescent="0.2">
      <c r="A65" s="1"/>
      <c r="B65" s="1"/>
      <c r="C65" s="387">
        <f t="shared" si="5"/>
        <v>42052</v>
      </c>
      <c r="D65" s="388">
        <f t="shared" si="6"/>
        <v>159584.41655172413</v>
      </c>
      <c r="E65" s="392">
        <f t="shared" si="7"/>
        <v>74026.856</v>
      </c>
      <c r="F65" s="428">
        <f t="shared" si="0"/>
        <v>0.90615690000000004</v>
      </c>
      <c r="G65" s="390">
        <f t="shared" si="1"/>
        <v>67.079899999999995</v>
      </c>
      <c r="H65" s="391">
        <f t="shared" si="2"/>
        <v>233679.25860862414</v>
      </c>
      <c r="I65" s="324">
        <v>65000</v>
      </c>
      <c r="J65" s="325"/>
      <c r="K65" s="325">
        <v>71516.91</v>
      </c>
      <c r="L65" s="317">
        <v>74026.856</v>
      </c>
      <c r="M65" s="318"/>
      <c r="N65" s="318"/>
      <c r="O65" s="318"/>
      <c r="P65" s="392">
        <f t="shared" si="8"/>
        <v>74026.856</v>
      </c>
      <c r="Q65" s="392">
        <f t="shared" si="3"/>
        <v>0</v>
      </c>
      <c r="R65" s="392">
        <f t="shared" si="4"/>
        <v>0</v>
      </c>
      <c r="S65" s="373"/>
      <c r="T65" s="374"/>
      <c r="U65" s="524">
        <f t="shared" si="9"/>
        <v>-136516.91</v>
      </c>
      <c r="V65" s="520">
        <f t="shared" si="10"/>
        <v>136516.91</v>
      </c>
      <c r="W65" s="520">
        <f t="shared" si="11"/>
        <v>78102.478583935997</v>
      </c>
      <c r="X65" s="520">
        <f t="shared" si="12"/>
        <v>58414.431416064006</v>
      </c>
      <c r="Y65" s="525">
        <f t="shared" si="13"/>
        <v>1071746.419648712</v>
      </c>
    </row>
    <row r="66" spans="1:38" x14ac:dyDescent="0.2">
      <c r="A66" s="1"/>
      <c r="B66" s="1"/>
      <c r="C66" s="387">
        <f t="shared" si="5"/>
        <v>42053</v>
      </c>
      <c r="D66" s="388">
        <f t="shared" si="6"/>
        <v>159584.41655172413</v>
      </c>
      <c r="E66" s="392">
        <f t="shared" si="7"/>
        <v>74566.66</v>
      </c>
      <c r="F66" s="428">
        <f t="shared" si="0"/>
        <v>0.90615690000000004</v>
      </c>
      <c r="G66" s="390">
        <f t="shared" si="1"/>
        <v>67.569100000000006</v>
      </c>
      <c r="H66" s="391">
        <f t="shared" si="2"/>
        <v>234219.55180862412</v>
      </c>
      <c r="I66" s="324">
        <v>65000</v>
      </c>
      <c r="J66" s="325"/>
      <c r="K66" s="325">
        <v>71222.399999999994</v>
      </c>
      <c r="L66" s="319">
        <v>74566.66</v>
      </c>
      <c r="M66" s="320"/>
      <c r="N66" s="320"/>
      <c r="O66" s="320"/>
      <c r="P66" s="392">
        <f t="shared" si="8"/>
        <v>74566.66</v>
      </c>
      <c r="Q66" s="392">
        <f t="shared" si="3"/>
        <v>0</v>
      </c>
      <c r="R66" s="392">
        <f t="shared" si="4"/>
        <v>0</v>
      </c>
      <c r="S66" s="373"/>
      <c r="T66" s="374"/>
      <c r="U66" s="524">
        <f t="shared" si="9"/>
        <v>-136222.39999999999</v>
      </c>
      <c r="V66" s="520">
        <f t="shared" si="10"/>
        <v>136222.39999999999</v>
      </c>
      <c r="W66" s="520">
        <f t="shared" si="11"/>
        <v>78672.002032960008</v>
      </c>
      <c r="X66" s="520">
        <f t="shared" si="12"/>
        <v>57550.397967039986</v>
      </c>
      <c r="Y66" s="525">
        <f t="shared" si="13"/>
        <v>1129296.8176157521</v>
      </c>
    </row>
    <row r="67" spans="1:38" x14ac:dyDescent="0.2">
      <c r="A67" s="1"/>
      <c r="B67" s="1"/>
      <c r="C67" s="387">
        <f t="shared" si="5"/>
        <v>42054</v>
      </c>
      <c r="D67" s="388">
        <f t="shared" si="6"/>
        <v>159584.41655172413</v>
      </c>
      <c r="E67" s="392">
        <f t="shared" si="7"/>
        <v>74706.657999999996</v>
      </c>
      <c r="F67" s="428">
        <f t="shared" si="0"/>
        <v>0.90615690000000004</v>
      </c>
      <c r="G67" s="390">
        <f t="shared" si="1"/>
        <v>67.695999999999998</v>
      </c>
      <c r="H67" s="391">
        <f t="shared" si="2"/>
        <v>234359.67670862412</v>
      </c>
      <c r="I67" s="324">
        <v>65000</v>
      </c>
      <c r="J67" s="325"/>
      <c r="K67" s="325">
        <v>68643.97</v>
      </c>
      <c r="L67" s="317">
        <v>74706.657999999996</v>
      </c>
      <c r="M67" s="318"/>
      <c r="N67" s="318"/>
      <c r="O67" s="318"/>
      <c r="P67" s="392">
        <f t="shared" si="8"/>
        <v>74706.657999999996</v>
      </c>
      <c r="Q67" s="392">
        <f t="shared" si="3"/>
        <v>0</v>
      </c>
      <c r="R67" s="392">
        <f t="shared" si="4"/>
        <v>0</v>
      </c>
      <c r="S67" s="373"/>
      <c r="T67" s="374"/>
      <c r="U67" s="524">
        <f t="shared" si="9"/>
        <v>-133643.97</v>
      </c>
      <c r="V67" s="520">
        <f t="shared" si="10"/>
        <v>133643.97</v>
      </c>
      <c r="W67" s="520">
        <f t="shared" si="11"/>
        <v>78819.707762847989</v>
      </c>
      <c r="X67" s="520">
        <f t="shared" si="12"/>
        <v>54824.262237152012</v>
      </c>
      <c r="Y67" s="525">
        <f t="shared" si="13"/>
        <v>1184121.0798529042</v>
      </c>
    </row>
    <row r="68" spans="1:38" x14ac:dyDescent="0.2">
      <c r="A68" s="1"/>
      <c r="B68" s="1"/>
      <c r="C68" s="387">
        <f t="shared" si="5"/>
        <v>42055</v>
      </c>
      <c r="D68" s="388">
        <f t="shared" si="6"/>
        <v>159584.41655172413</v>
      </c>
      <c r="E68" s="392">
        <f t="shared" si="7"/>
        <v>73257.05</v>
      </c>
      <c r="F68" s="428">
        <f t="shared" si="0"/>
        <v>0.90615690000000004</v>
      </c>
      <c r="G68" s="390">
        <f t="shared" si="1"/>
        <v>66.382400000000004</v>
      </c>
      <c r="H68" s="391">
        <f t="shared" si="2"/>
        <v>232908.75510862411</v>
      </c>
      <c r="I68" s="324">
        <v>65000</v>
      </c>
      <c r="J68" s="325"/>
      <c r="K68" s="325">
        <v>65667.7</v>
      </c>
      <c r="L68" s="319">
        <v>73257.05</v>
      </c>
      <c r="M68" s="320"/>
      <c r="N68" s="320"/>
      <c r="O68" s="320"/>
      <c r="P68" s="392">
        <f t="shared" si="8"/>
        <v>73257.05</v>
      </c>
      <c r="Q68" s="392">
        <f t="shared" si="3"/>
        <v>0</v>
      </c>
      <c r="R68" s="392">
        <f t="shared" si="4"/>
        <v>0</v>
      </c>
      <c r="S68" s="373"/>
      <c r="T68" s="374"/>
      <c r="U68" s="524">
        <f t="shared" si="9"/>
        <v>-130667.7</v>
      </c>
      <c r="V68" s="520">
        <f t="shared" si="10"/>
        <v>130667.7</v>
      </c>
      <c r="W68" s="520">
        <f t="shared" si="11"/>
        <v>77290.290144800005</v>
      </c>
      <c r="X68" s="520">
        <f t="shared" si="12"/>
        <v>53377.409855199992</v>
      </c>
      <c r="Y68" s="525">
        <f t="shared" si="13"/>
        <v>1237498.4897081042</v>
      </c>
    </row>
    <row r="69" spans="1:38" x14ac:dyDescent="0.2">
      <c r="A69" s="1"/>
      <c r="B69" s="1"/>
      <c r="C69" s="387">
        <f t="shared" si="5"/>
        <v>42056</v>
      </c>
      <c r="D69" s="388">
        <f t="shared" si="6"/>
        <v>159584.41655172413</v>
      </c>
      <c r="E69" s="392">
        <f t="shared" si="7"/>
        <v>72740.320000000007</v>
      </c>
      <c r="F69" s="428">
        <f t="shared" si="0"/>
        <v>0.90615690000000004</v>
      </c>
      <c r="G69" s="390">
        <f t="shared" si="1"/>
        <v>65.914100000000005</v>
      </c>
      <c r="H69" s="391">
        <f t="shared" si="2"/>
        <v>232391.55680862413</v>
      </c>
      <c r="I69" s="324">
        <v>65000</v>
      </c>
      <c r="J69" s="325"/>
      <c r="K69" s="325">
        <v>67144.95</v>
      </c>
      <c r="L69" s="317">
        <v>72740.320000000007</v>
      </c>
      <c r="M69" s="318"/>
      <c r="N69" s="318"/>
      <c r="O69" s="318"/>
      <c r="P69" s="392">
        <f t="shared" si="8"/>
        <v>72740.320000000007</v>
      </c>
      <c r="Q69" s="392">
        <f t="shared" si="3"/>
        <v>0</v>
      </c>
      <c r="R69" s="392">
        <f t="shared" si="4"/>
        <v>0</v>
      </c>
      <c r="S69" s="373"/>
      <c r="T69" s="374"/>
      <c r="U69" s="524">
        <f t="shared" si="9"/>
        <v>-132144.95000000001</v>
      </c>
      <c r="V69" s="520">
        <f t="shared" si="10"/>
        <v>132144.95000000001</v>
      </c>
      <c r="W69" s="520">
        <f t="shared" si="11"/>
        <v>76745.111057920003</v>
      </c>
      <c r="X69" s="520">
        <f t="shared" si="12"/>
        <v>55399.838942080009</v>
      </c>
      <c r="Y69" s="525">
        <f t="shared" si="13"/>
        <v>1292898.3286501842</v>
      </c>
    </row>
    <row r="70" spans="1:38" x14ac:dyDescent="0.2">
      <c r="A70" s="1"/>
      <c r="B70" s="1"/>
      <c r="C70" s="387">
        <f t="shared" si="5"/>
        <v>42057</v>
      </c>
      <c r="D70" s="388">
        <f t="shared" si="6"/>
        <v>159584.41655172413</v>
      </c>
      <c r="E70" s="392">
        <f t="shared" si="7"/>
        <v>74288.53</v>
      </c>
      <c r="F70" s="428">
        <f t="shared" si="0"/>
        <v>0.90615690000000004</v>
      </c>
      <c r="G70" s="390">
        <f t="shared" si="1"/>
        <v>67.317099999999996</v>
      </c>
      <c r="H70" s="391">
        <f t="shared" si="2"/>
        <v>233941.16980862411</v>
      </c>
      <c r="I70" s="324">
        <v>65000</v>
      </c>
      <c r="J70" s="325"/>
      <c r="K70" s="325">
        <v>65008.597999999991</v>
      </c>
      <c r="L70" s="319">
        <v>74288.53</v>
      </c>
      <c r="M70" s="320"/>
      <c r="N70" s="320"/>
      <c r="O70" s="320"/>
      <c r="P70" s="392">
        <f t="shared" si="8"/>
        <v>74288.53</v>
      </c>
      <c r="Q70" s="392">
        <f t="shared" si="3"/>
        <v>0</v>
      </c>
      <c r="R70" s="392">
        <f t="shared" si="4"/>
        <v>0</v>
      </c>
      <c r="S70" s="373"/>
      <c r="T70" s="374"/>
      <c r="U70" s="524">
        <f t="shared" si="9"/>
        <v>-130008.598</v>
      </c>
      <c r="V70" s="520">
        <f t="shared" si="10"/>
        <v>130008.598</v>
      </c>
      <c r="W70" s="520">
        <f t="shared" si="11"/>
        <v>78378.55930768</v>
      </c>
      <c r="X70" s="520">
        <f t="shared" si="12"/>
        <v>51630.038692319999</v>
      </c>
      <c r="Y70" s="525">
        <f t="shared" si="13"/>
        <v>1344528.3673425042</v>
      </c>
    </row>
    <row r="71" spans="1:38" x14ac:dyDescent="0.2">
      <c r="A71" s="1"/>
      <c r="B71" s="1"/>
      <c r="C71" s="387">
        <f t="shared" si="5"/>
        <v>42058</v>
      </c>
      <c r="D71" s="388">
        <f t="shared" si="6"/>
        <v>159584.41655172413</v>
      </c>
      <c r="E71" s="392">
        <f t="shared" si="7"/>
        <v>74256.27</v>
      </c>
      <c r="F71" s="428">
        <f t="shared" si="0"/>
        <v>0.90615690000000004</v>
      </c>
      <c r="G71" s="390">
        <f t="shared" si="1"/>
        <v>67.287800000000004</v>
      </c>
      <c r="H71" s="391">
        <f t="shared" si="2"/>
        <v>233908.88050862413</v>
      </c>
      <c r="I71" s="324">
        <v>68000</v>
      </c>
      <c r="J71" s="325"/>
      <c r="K71" s="325">
        <v>64291.484000000004</v>
      </c>
      <c r="L71" s="317">
        <v>74256.27</v>
      </c>
      <c r="M71" s="318"/>
      <c r="N71" s="318"/>
      <c r="O71" s="318"/>
      <c r="P71" s="392">
        <f t="shared" si="8"/>
        <v>74256.27</v>
      </c>
      <c r="Q71" s="392">
        <f t="shared" si="3"/>
        <v>0</v>
      </c>
      <c r="R71" s="392">
        <f t="shared" si="4"/>
        <v>0</v>
      </c>
      <c r="S71" s="373"/>
      <c r="T71" s="374"/>
      <c r="U71" s="524">
        <f t="shared" si="9"/>
        <v>-132291.484</v>
      </c>
      <c r="V71" s="520">
        <f t="shared" si="10"/>
        <v>132291.484</v>
      </c>
      <c r="W71" s="520">
        <f t="shared" si="11"/>
        <v>78344.523201119999</v>
      </c>
      <c r="X71" s="520">
        <f t="shared" si="12"/>
        <v>53946.960798879998</v>
      </c>
      <c r="Y71" s="525">
        <f t="shared" si="13"/>
        <v>1398475.3281413843</v>
      </c>
    </row>
    <row r="72" spans="1:38" x14ac:dyDescent="0.2">
      <c r="A72" s="1"/>
      <c r="B72" s="1"/>
      <c r="C72" s="387">
        <f t="shared" si="5"/>
        <v>42059</v>
      </c>
      <c r="D72" s="388">
        <f t="shared" si="6"/>
        <v>159584.41655172413</v>
      </c>
      <c r="E72" s="392">
        <f t="shared" si="7"/>
        <v>73032.546875</v>
      </c>
      <c r="F72" s="428">
        <f t="shared" si="0"/>
        <v>0.90615690000000004</v>
      </c>
      <c r="G72" s="390">
        <f t="shared" si="1"/>
        <v>66.178899999999999</v>
      </c>
      <c r="H72" s="391">
        <f t="shared" si="2"/>
        <v>232684.04848362412</v>
      </c>
      <c r="I72" s="324">
        <v>68000</v>
      </c>
      <c r="J72" s="325"/>
      <c r="K72" s="325">
        <v>71906.67</v>
      </c>
      <c r="L72" s="319">
        <v>73032.546875</v>
      </c>
      <c r="M72" s="320"/>
      <c r="N72" s="320"/>
      <c r="O72" s="320"/>
      <c r="P72" s="392">
        <f t="shared" si="8"/>
        <v>73032.546875</v>
      </c>
      <c r="Q72" s="392">
        <f t="shared" si="3"/>
        <v>0</v>
      </c>
      <c r="R72" s="392">
        <f t="shared" si="4"/>
        <v>0</v>
      </c>
      <c r="S72" s="373"/>
      <c r="T72" s="374"/>
      <c r="U72" s="524">
        <f t="shared" si="9"/>
        <v>-139906.66999999998</v>
      </c>
      <c r="V72" s="520">
        <f t="shared" si="10"/>
        <v>139906.66999999998</v>
      </c>
      <c r="W72" s="520">
        <f t="shared" si="11"/>
        <v>77053.426775750006</v>
      </c>
      <c r="X72" s="520">
        <f t="shared" si="12"/>
        <v>62853.243224249978</v>
      </c>
      <c r="Y72" s="525">
        <f t="shared" si="13"/>
        <v>1461328.5713656342</v>
      </c>
    </row>
    <row r="73" spans="1:38" x14ac:dyDescent="0.2">
      <c r="A73" s="1"/>
      <c r="B73" s="1"/>
      <c r="C73" s="387">
        <f t="shared" si="5"/>
        <v>42060</v>
      </c>
      <c r="D73" s="388">
        <f t="shared" si="6"/>
        <v>159584.41655172413</v>
      </c>
      <c r="E73" s="392">
        <f t="shared" si="7"/>
        <v>73016.757813000004</v>
      </c>
      <c r="F73" s="428">
        <f t="shared" si="0"/>
        <v>0.90615690000000004</v>
      </c>
      <c r="G73" s="390">
        <f t="shared" si="1"/>
        <v>66.164599999999993</v>
      </c>
      <c r="H73" s="391">
        <f t="shared" si="2"/>
        <v>232668.24512162412</v>
      </c>
      <c r="I73" s="324">
        <v>69727</v>
      </c>
      <c r="J73" s="325"/>
      <c r="K73" s="325">
        <v>76089.687000000005</v>
      </c>
      <c r="L73" s="317">
        <v>73016.757813000004</v>
      </c>
      <c r="M73" s="318"/>
      <c r="N73" s="318"/>
      <c r="O73" s="318"/>
      <c r="P73" s="392">
        <f t="shared" si="8"/>
        <v>73016.757813000004</v>
      </c>
      <c r="Q73" s="392">
        <f t="shared" si="3"/>
        <v>0</v>
      </c>
      <c r="R73" s="392">
        <f t="shared" si="4"/>
        <v>0</v>
      </c>
      <c r="S73" s="373"/>
      <c r="T73" s="374"/>
      <c r="U73" s="524">
        <f t="shared" si="9"/>
        <v>-145816.68700000001</v>
      </c>
      <c r="V73" s="520">
        <f t="shared" si="10"/>
        <v>145816.68700000001</v>
      </c>
      <c r="W73" s="520">
        <f t="shared" si="11"/>
        <v>77036.768431152537</v>
      </c>
      <c r="X73" s="520">
        <f t="shared" si="12"/>
        <v>68779.918568847468</v>
      </c>
      <c r="Y73" s="525">
        <f t="shared" si="13"/>
        <v>1530108.4899344817</v>
      </c>
    </row>
    <row r="74" spans="1:38" x14ac:dyDescent="0.2">
      <c r="A74" s="1"/>
      <c r="B74" s="1"/>
      <c r="C74" s="387">
        <f t="shared" si="5"/>
        <v>42061</v>
      </c>
      <c r="D74" s="388">
        <f t="shared" si="6"/>
        <v>159584.41655172413</v>
      </c>
      <c r="E74" s="392">
        <f t="shared" si="7"/>
        <v>73239.953125</v>
      </c>
      <c r="F74" s="428">
        <f t="shared" si="0"/>
        <v>0.90615690000000004</v>
      </c>
      <c r="G74" s="390">
        <f t="shared" si="1"/>
        <v>66.366900000000001</v>
      </c>
      <c r="H74" s="391">
        <f t="shared" si="2"/>
        <v>232891.64273362412</v>
      </c>
      <c r="I74" s="324">
        <v>70000</v>
      </c>
      <c r="J74" s="325"/>
      <c r="K74" s="325">
        <v>68440.91</v>
      </c>
      <c r="L74" s="319">
        <v>73239.953125</v>
      </c>
      <c r="M74" s="320"/>
      <c r="N74" s="320"/>
      <c r="O74" s="320"/>
      <c r="P74" s="392">
        <f t="shared" si="8"/>
        <v>73239.953125</v>
      </c>
      <c r="Q74" s="392">
        <f t="shared" si="3"/>
        <v>0</v>
      </c>
      <c r="R74" s="392">
        <f t="shared" si="4"/>
        <v>0</v>
      </c>
      <c r="S74" s="373"/>
      <c r="T74" s="374"/>
      <c r="U74" s="524">
        <f t="shared" si="9"/>
        <v>-138440.91</v>
      </c>
      <c r="V74" s="520">
        <f t="shared" si="10"/>
        <v>138440.91</v>
      </c>
      <c r="W74" s="520">
        <f t="shared" si="11"/>
        <v>77272.251984250004</v>
      </c>
      <c r="X74" s="520">
        <f t="shared" si="12"/>
        <v>61168.658015749999</v>
      </c>
      <c r="Y74" s="525">
        <f t="shared" si="13"/>
        <v>1591277.1479502316</v>
      </c>
    </row>
    <row r="75" spans="1:38" x14ac:dyDescent="0.2">
      <c r="A75" s="1"/>
      <c r="B75" s="1"/>
      <c r="C75" s="387">
        <f t="shared" si="5"/>
        <v>42062</v>
      </c>
      <c r="D75" s="388">
        <f t="shared" si="6"/>
        <v>159584.41655172413</v>
      </c>
      <c r="E75" s="392">
        <f t="shared" si="7"/>
        <v>74051.887208</v>
      </c>
      <c r="F75" s="428">
        <f t="shared" si="0"/>
        <v>0.90615690000000004</v>
      </c>
      <c r="G75" s="390">
        <f t="shared" si="1"/>
        <v>67.102599999999995</v>
      </c>
      <c r="H75" s="391">
        <f t="shared" si="2"/>
        <v>233704.31251662414</v>
      </c>
      <c r="I75" s="324">
        <v>70000</v>
      </c>
      <c r="J75" s="325"/>
      <c r="K75" s="325">
        <v>72302.25</v>
      </c>
      <c r="L75" s="317">
        <v>74051.887208</v>
      </c>
      <c r="M75" s="318"/>
      <c r="N75" s="318"/>
      <c r="O75" s="318"/>
      <c r="P75" s="392">
        <f t="shared" si="8"/>
        <v>74051.887208</v>
      </c>
      <c r="Q75" s="392">
        <f t="shared" si="3"/>
        <v>0</v>
      </c>
      <c r="R75" s="392">
        <f t="shared" si="4"/>
        <v>0</v>
      </c>
      <c r="S75" s="373"/>
      <c r="T75" s="374"/>
      <c r="U75" s="524">
        <f t="shared" si="9"/>
        <v>-142302.25</v>
      </c>
      <c r="V75" s="520">
        <f t="shared" si="10"/>
        <v>142302.25</v>
      </c>
      <c r="W75" s="520">
        <f t="shared" si="11"/>
        <v>78128.887910123653</v>
      </c>
      <c r="X75" s="520">
        <f t="shared" si="12"/>
        <v>64173.362089876347</v>
      </c>
      <c r="Y75" s="525">
        <f t="shared" si="13"/>
        <v>1655450.5100401079</v>
      </c>
    </row>
    <row r="76" spans="1:38" x14ac:dyDescent="0.2">
      <c r="A76" s="1"/>
      <c r="B76" s="1"/>
      <c r="C76" s="387">
        <f t="shared" si="5"/>
        <v>42063</v>
      </c>
      <c r="D76" s="388">
        <f t="shared" si="6"/>
        <v>159584.41655172413</v>
      </c>
      <c r="E76" s="392">
        <f t="shared" si="7"/>
        <v>73039.234375</v>
      </c>
      <c r="F76" s="428">
        <f t="shared" si="0"/>
        <v>0.90615690000000004</v>
      </c>
      <c r="G76" s="390">
        <f t="shared" si="1"/>
        <v>66.185000000000002</v>
      </c>
      <c r="H76" s="391">
        <f t="shared" si="2"/>
        <v>232690.74208362412</v>
      </c>
      <c r="I76" s="324">
        <v>70000</v>
      </c>
      <c r="J76" s="325"/>
      <c r="K76" s="325">
        <v>63151.96</v>
      </c>
      <c r="L76" s="319">
        <v>73039.234375</v>
      </c>
      <c r="M76" s="320"/>
      <c r="N76" s="320"/>
      <c r="O76" s="320"/>
      <c r="P76" s="392">
        <f t="shared" si="8"/>
        <v>73039.234375</v>
      </c>
      <c r="Q76" s="392">
        <f t="shared" si="3"/>
        <v>0</v>
      </c>
      <c r="R76" s="392">
        <f t="shared" si="4"/>
        <v>0</v>
      </c>
      <c r="S76" s="373"/>
      <c r="T76" s="374"/>
      <c r="U76" s="524">
        <f t="shared" si="9"/>
        <v>-133151.96</v>
      </c>
      <c r="V76" s="520">
        <f t="shared" si="10"/>
        <v>133151.96</v>
      </c>
      <c r="W76" s="520">
        <f t="shared" si="11"/>
        <v>77060.482462750006</v>
      </c>
      <c r="X76" s="520">
        <f t="shared" si="12"/>
        <v>56091.477537249986</v>
      </c>
      <c r="Y76" s="525">
        <f t="shared" si="13"/>
        <v>1711541.9875773578</v>
      </c>
    </row>
    <row r="77" spans="1:38" x14ac:dyDescent="0.2">
      <c r="A77" s="1"/>
      <c r="B77" s="1"/>
      <c r="C77" s="387"/>
      <c r="D77" s="388"/>
      <c r="E77" s="392"/>
      <c r="F77" s="428"/>
      <c r="G77" s="390"/>
      <c r="H77" s="391"/>
      <c r="I77" s="324"/>
      <c r="J77" s="325"/>
      <c r="K77" s="325"/>
      <c r="L77" s="317"/>
      <c r="M77" s="318"/>
      <c r="N77" s="318"/>
      <c r="O77" s="318"/>
      <c r="P77" s="392"/>
      <c r="Q77" s="392"/>
      <c r="R77" s="392"/>
      <c r="S77" s="373"/>
      <c r="T77" s="374"/>
      <c r="U77" s="524">
        <f t="shared" si="9"/>
        <v>0</v>
      </c>
      <c r="V77" s="520">
        <f t="shared" si="10"/>
        <v>0</v>
      </c>
      <c r="W77" s="520">
        <f t="shared" si="11"/>
        <v>0</v>
      </c>
      <c r="X77" s="520">
        <f t="shared" si="12"/>
        <v>0</v>
      </c>
      <c r="Y77" s="525">
        <f t="shared" si="13"/>
        <v>1711541.9875773578</v>
      </c>
    </row>
    <row r="78" spans="1:38" x14ac:dyDescent="0.2">
      <c r="A78" s="1"/>
      <c r="B78" s="1"/>
      <c r="C78" s="387"/>
      <c r="D78" s="388"/>
      <c r="E78" s="392"/>
      <c r="F78" s="428"/>
      <c r="G78" s="390"/>
      <c r="H78" s="391"/>
      <c r="I78" s="324"/>
      <c r="J78" s="325"/>
      <c r="K78" s="325"/>
      <c r="L78" s="319"/>
      <c r="M78" s="320"/>
      <c r="N78" s="320"/>
      <c r="O78" s="320"/>
      <c r="P78" s="392"/>
      <c r="Q78" s="392"/>
      <c r="R78" s="392"/>
      <c r="S78" s="373"/>
      <c r="T78" s="374"/>
      <c r="U78" s="524"/>
      <c r="V78" s="520"/>
      <c r="W78" s="520"/>
      <c r="X78" s="520"/>
      <c r="Y78" s="525"/>
    </row>
    <row r="79" spans="1:38" ht="15" thickBot="1" x14ac:dyDescent="0.25">
      <c r="A79" s="1"/>
      <c r="B79" s="1"/>
      <c r="C79" s="393"/>
      <c r="D79" s="394"/>
      <c r="E79" s="395"/>
      <c r="F79" s="429"/>
      <c r="G79" s="396"/>
      <c r="H79" s="397"/>
      <c r="I79" s="326"/>
      <c r="J79" s="327"/>
      <c r="K79" s="327"/>
      <c r="L79" s="321"/>
      <c r="M79" s="322"/>
      <c r="N79" s="322"/>
      <c r="O79" s="322"/>
      <c r="P79" s="395"/>
      <c r="Q79" s="395"/>
      <c r="R79" s="395"/>
      <c r="S79" s="375"/>
      <c r="T79" s="376"/>
      <c r="U79" s="521"/>
      <c r="V79" s="528"/>
      <c r="W79" s="521"/>
      <c r="X79" s="528"/>
      <c r="Y79" s="529"/>
    </row>
    <row r="80" spans="1:38" ht="15" thickBot="1" x14ac:dyDescent="0.25">
      <c r="C80" s="398"/>
      <c r="D80" s="399">
        <f>SUM(D49:D79)</f>
        <v>4468363.6634482751</v>
      </c>
      <c r="E80" s="400">
        <f>SUM(E49:E79)</f>
        <v>2007199.6403960001</v>
      </c>
      <c r="F80" s="400"/>
      <c r="G80" s="401">
        <f t="shared" ref="G80:R80" si="14">SUM(G49:G79)</f>
        <v>1818.8376999999998</v>
      </c>
      <c r="H80" s="399">
        <f t="shared" si="14"/>
        <v>6477407.5139374761</v>
      </c>
      <c r="I80" s="432">
        <f t="shared" si="14"/>
        <v>1898779</v>
      </c>
      <c r="J80" s="432">
        <f t="shared" si="14"/>
        <v>0</v>
      </c>
      <c r="K80" s="432">
        <f t="shared" si="14"/>
        <v>1930471.0113749993</v>
      </c>
      <c r="L80" s="432">
        <f t="shared" si="14"/>
        <v>2007199.6403960001</v>
      </c>
      <c r="M80" s="432">
        <f t="shared" si="14"/>
        <v>0</v>
      </c>
      <c r="N80" s="432">
        <f t="shared" si="14"/>
        <v>0</v>
      </c>
      <c r="O80" s="432">
        <f t="shared" si="14"/>
        <v>0</v>
      </c>
      <c r="P80" s="432">
        <f t="shared" si="14"/>
        <v>2007199.6403960001</v>
      </c>
      <c r="Q80" s="432">
        <f t="shared" si="14"/>
        <v>0</v>
      </c>
      <c r="R80" s="432">
        <f t="shared" si="14"/>
        <v>0</v>
      </c>
      <c r="U80" s="530"/>
      <c r="V80" s="328">
        <f>SUM(V49:V79)</f>
        <v>3829250.0113750007</v>
      </c>
      <c r="W80" s="328">
        <f>SUM(W49:W79)</f>
        <v>2117708.0237976424</v>
      </c>
      <c r="X80" s="328">
        <f>SUM(X49:X77)</f>
        <v>1711541.9875773578</v>
      </c>
      <c r="Y80" s="323">
        <f>Y77</f>
        <v>1711541.9875773578</v>
      </c>
      <c r="AL80" s="361">
        <f>Y79</f>
        <v>0</v>
      </c>
    </row>
    <row r="81" spans="2:14" ht="15" customHeight="1" x14ac:dyDescent="0.2">
      <c r="B81"/>
      <c r="C81"/>
      <c r="D81"/>
      <c r="E81"/>
      <c r="F81"/>
      <c r="G81"/>
      <c r="H81"/>
      <c r="I81"/>
      <c r="J81"/>
      <c r="K81"/>
      <c r="L81"/>
      <c r="N81" s="2"/>
    </row>
  </sheetData>
  <mergeCells count="13">
    <mergeCell ref="C10:D10"/>
    <mergeCell ref="C11:D11"/>
    <mergeCell ref="C3:M4"/>
    <mergeCell ref="C5:M5"/>
    <mergeCell ref="C6:M6"/>
    <mergeCell ref="G7:H7"/>
    <mergeCell ref="C9:D9"/>
    <mergeCell ref="D23:E23"/>
    <mergeCell ref="D24:E24"/>
    <mergeCell ref="C28:F28"/>
    <mergeCell ref="C39:F39"/>
    <mergeCell ref="S47:Y47"/>
    <mergeCell ref="L47:R47"/>
  </mergeCells>
  <conditionalFormatting sqref="L49:O79">
    <cfRule type="cellIs" dxfId="152" priority="1" stopIfTrue="1" operator="equal">
      <formula>0</formula>
    </cfRule>
  </conditionalFormatting>
  <pageMargins left="0" right="0" top="0.74803149606299213" bottom="0.74803149606299213" header="0.31496062992125984" footer="0.31496062992125984"/>
  <pageSetup scale="85" orientation="landscape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L81"/>
  <sheetViews>
    <sheetView workbookViewId="0"/>
  </sheetViews>
  <sheetFormatPr baseColWidth="10" defaultColWidth="11" defaultRowHeight="14.25" x14ac:dyDescent="0.2"/>
  <cols>
    <col min="1" max="1" width="11" style="2"/>
    <col min="2" max="2" width="3.875" style="2" bestFit="1" customWidth="1"/>
    <col min="3" max="3" width="16.125" style="2" customWidth="1"/>
    <col min="4" max="4" width="12.375" style="2" customWidth="1"/>
    <col min="5" max="5" width="12.125" style="2" customWidth="1"/>
    <col min="6" max="6" width="17.125" style="2" bestFit="1" customWidth="1"/>
    <col min="7" max="7" width="13.125" style="2" customWidth="1"/>
    <col min="8" max="8" width="12.125" style="2" customWidth="1"/>
    <col min="9" max="9" width="11.125" style="2" bestFit="1" customWidth="1"/>
    <col min="10" max="10" width="11.875" style="2" bestFit="1" customWidth="1"/>
    <col min="11" max="11" width="11.625" style="2" bestFit="1" customWidth="1"/>
    <col min="12" max="12" width="12.125" style="2" customWidth="1"/>
    <col min="13" max="13" width="11.875" style="2" bestFit="1" customWidth="1"/>
    <col min="14" max="14" width="9" style="1" customWidth="1"/>
    <col min="15" max="15" width="10.375" style="2" customWidth="1"/>
    <col min="16" max="25" width="11" style="2"/>
    <col min="26" max="31" width="10.875" customWidth="1"/>
    <col min="32" max="16384" width="11" style="2"/>
  </cols>
  <sheetData>
    <row r="2" spans="2:25" x14ac:dyDescent="0.2"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2:25" ht="15" customHeight="1" x14ac:dyDescent="0.2">
      <c r="B3" s="1"/>
      <c r="C3" s="2254" t="s">
        <v>0</v>
      </c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</row>
    <row r="4" spans="2:25" ht="15" customHeight="1" x14ac:dyDescent="0.2"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</row>
    <row r="5" spans="2:25" x14ac:dyDescent="0.2">
      <c r="B5" s="1"/>
      <c r="C5" s="2257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</row>
    <row r="6" spans="2:25" x14ac:dyDescent="0.2">
      <c r="B6" s="1"/>
      <c r="C6" s="2257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</row>
    <row r="7" spans="2:25" x14ac:dyDescent="0.2">
      <c r="B7" s="1"/>
      <c r="C7" s="516"/>
      <c r="D7" s="516"/>
      <c r="E7" s="516"/>
      <c r="F7" s="516"/>
      <c r="G7" s="2271">
        <v>42064</v>
      </c>
      <c r="H7" s="2257"/>
      <c r="I7" s="516"/>
      <c r="J7" s="516"/>
      <c r="K7" s="516"/>
      <c r="L7" s="516"/>
      <c r="M7" s="516"/>
      <c r="N7" s="18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2:25" x14ac:dyDescent="0.2">
      <c r="B8" s="1"/>
      <c r="C8" s="516"/>
      <c r="D8" s="516"/>
      <c r="E8" s="516"/>
      <c r="F8" s="516"/>
      <c r="G8" s="516"/>
      <c r="H8" s="516"/>
      <c r="I8" s="516"/>
      <c r="J8" s="516"/>
      <c r="K8" s="516"/>
      <c r="L8" s="516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2:25" ht="25.5" x14ac:dyDescent="0.2">
      <c r="B9" s="1"/>
      <c r="C9" s="2272" t="s">
        <v>6</v>
      </c>
      <c r="D9" s="2272"/>
      <c r="E9" s="517" t="s">
        <v>94</v>
      </c>
      <c r="F9" s="517" t="s">
        <v>126</v>
      </c>
      <c r="G9" s="410" t="s">
        <v>133</v>
      </c>
      <c r="H9" s="517" t="s">
        <v>127</v>
      </c>
      <c r="I9" s="517" t="s">
        <v>128</v>
      </c>
      <c r="J9" s="516"/>
      <c r="K9" s="516"/>
      <c r="L9" s="516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2:25" x14ac:dyDescent="0.2">
      <c r="B10" s="1"/>
      <c r="C10" s="2273" t="s">
        <v>131</v>
      </c>
      <c r="D10" s="2273"/>
      <c r="E10" s="476">
        <f>IF(C15=0,D15,C15)</f>
        <v>4627948.08</v>
      </c>
      <c r="F10" s="473">
        <f>E10*0.16</f>
        <v>740471.69280000008</v>
      </c>
      <c r="G10" s="473">
        <f>E10+F10</f>
        <v>5368419.7728000004</v>
      </c>
      <c r="H10" s="475" t="s">
        <v>163</v>
      </c>
      <c r="I10" s="474">
        <v>19</v>
      </c>
      <c r="J10" s="516"/>
      <c r="K10" s="516"/>
      <c r="L10" s="516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2:25" x14ac:dyDescent="0.2">
      <c r="B11" s="1"/>
      <c r="C11" s="2273" t="s">
        <v>132</v>
      </c>
      <c r="D11" s="2273"/>
      <c r="E11" s="476">
        <f>IF(C16=0,D16,C16)</f>
        <v>2069.34</v>
      </c>
      <c r="F11" s="473">
        <f>E11*0.16</f>
        <v>331.09440000000001</v>
      </c>
      <c r="G11" s="473">
        <f>E11+F11</f>
        <v>2400.4344000000001</v>
      </c>
      <c r="H11" s="475" t="s">
        <v>163</v>
      </c>
      <c r="I11" s="474">
        <v>19</v>
      </c>
      <c r="J11" s="516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2:25" x14ac:dyDescent="0.2">
      <c r="B12" s="1"/>
      <c r="C12" s="516"/>
      <c r="D12" s="516"/>
      <c r="E12" s="516"/>
      <c r="F12" s="516"/>
      <c r="G12" s="516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2:25" ht="15" thickBot="1" x14ac:dyDescent="0.25">
      <c r="B13" s="1"/>
      <c r="C13" s="516"/>
      <c r="D13" s="516"/>
      <c r="E13" s="516"/>
      <c r="F13" s="516"/>
      <c r="G13" s="516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2:25" x14ac:dyDescent="0.2">
      <c r="B14" s="1"/>
      <c r="C14" s="440" t="s">
        <v>155</v>
      </c>
      <c r="D14" s="441" t="s">
        <v>156</v>
      </c>
      <c r="E14" s="442" t="s">
        <v>112</v>
      </c>
      <c r="F14" s="516"/>
      <c r="G14" s="516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2:25" x14ac:dyDescent="0.2">
      <c r="B15" s="1"/>
      <c r="C15" s="443">
        <v>4627948.08</v>
      </c>
      <c r="D15" s="444">
        <f>D80</f>
        <v>4627948.0800000019</v>
      </c>
      <c r="E15" s="445">
        <f>C15-D15</f>
        <v>0</v>
      </c>
      <c r="F15" s="516"/>
      <c r="G15" s="516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2:25" ht="15" thickBot="1" x14ac:dyDescent="0.25">
      <c r="B16" s="1"/>
      <c r="C16" s="446">
        <v>2069.34</v>
      </c>
      <c r="D16" s="447">
        <f>ROUND(G80,2)</f>
        <v>2069.34</v>
      </c>
      <c r="E16" s="448">
        <f>C16-D16</f>
        <v>0</v>
      </c>
      <c r="F16" s="516"/>
      <c r="G16" s="516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2:25" x14ac:dyDescent="0.2">
      <c r="B17" s="1"/>
      <c r="C17" s="516"/>
      <c r="D17" s="516"/>
      <c r="E17" s="516"/>
      <c r="F17" s="516"/>
      <c r="G17" s="516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2:25" x14ac:dyDescent="0.2">
      <c r="B18" s="1"/>
      <c r="C18" s="516"/>
      <c r="D18" s="516"/>
      <c r="E18" s="516"/>
      <c r="F18" s="516"/>
      <c r="G18" s="516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2:25" x14ac:dyDescent="0.2">
      <c r="B19" s="1"/>
      <c r="C19" s="516"/>
      <c r="D19" s="516"/>
      <c r="E19" s="516"/>
      <c r="F19" s="516"/>
      <c r="G19" s="516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2:25" x14ac:dyDescent="0.2">
      <c r="B20" s="1"/>
      <c r="C20" s="516"/>
      <c r="D20" s="516"/>
      <c r="E20" s="516"/>
      <c r="F20" s="516"/>
      <c r="G20" s="516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2:25" x14ac:dyDescent="0.2">
      <c r="B21" s="1"/>
      <c r="C21" s="516"/>
      <c r="D21" s="516"/>
      <c r="E21" s="516"/>
      <c r="F21" s="516"/>
      <c r="G21" s="516"/>
      <c r="H21" s="1"/>
      <c r="I21" s="1"/>
      <c r="J21" s="1"/>
      <c r="K21" s="1"/>
      <c r="L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2:25" ht="15" thickBot="1" x14ac:dyDescent="0.25">
      <c r="B22" s="1"/>
      <c r="C22" s="419" t="s">
        <v>137</v>
      </c>
      <c r="D22" s="516" t="s">
        <v>138</v>
      </c>
      <c r="E22" s="516"/>
      <c r="F22" s="516" t="s">
        <v>139</v>
      </c>
      <c r="G22" s="516" t="s">
        <v>164</v>
      </c>
      <c r="H22" s="516" t="s">
        <v>143</v>
      </c>
      <c r="I22" s="516" t="s">
        <v>142</v>
      </c>
      <c r="J22" s="516" t="s">
        <v>141</v>
      </c>
      <c r="K22" s="516" t="s">
        <v>140</v>
      </c>
      <c r="L22" s="516" t="s">
        <v>144</v>
      </c>
      <c r="M22" s="516" t="s">
        <v>146</v>
      </c>
      <c r="N22" s="516"/>
      <c r="O22" s="516"/>
      <c r="P22" s="516"/>
      <c r="Q22" s="1"/>
      <c r="R22" s="1"/>
      <c r="S22" s="1"/>
      <c r="T22" s="1"/>
      <c r="U22" s="1"/>
      <c r="V22" s="1"/>
      <c r="W22" s="1"/>
      <c r="X22" s="1"/>
      <c r="Y22" s="1"/>
    </row>
    <row r="23" spans="2:25" ht="36.75" customHeight="1" x14ac:dyDescent="0.2">
      <c r="B23" s="1"/>
      <c r="C23" s="402" t="s">
        <v>134</v>
      </c>
      <c r="D23" s="2261" t="s">
        <v>135</v>
      </c>
      <c r="E23" s="2262"/>
      <c r="F23" s="518" t="s">
        <v>136</v>
      </c>
      <c r="G23" s="461" t="s">
        <v>153</v>
      </c>
      <c r="H23" s="420" t="s">
        <v>129</v>
      </c>
      <c r="I23" s="403" t="s">
        <v>130</v>
      </c>
      <c r="J23" s="422"/>
      <c r="K23" s="422"/>
      <c r="L23" s="422"/>
      <c r="M23" s="404" t="s">
        <v>158</v>
      </c>
      <c r="N23" s="516"/>
      <c r="O23" s="516"/>
      <c r="P23" s="516"/>
      <c r="Q23" s="516"/>
      <c r="R23" s="516"/>
      <c r="S23" s="516"/>
      <c r="T23" s="516"/>
      <c r="U23" s="1"/>
      <c r="V23" s="1"/>
      <c r="W23" s="1"/>
      <c r="X23" s="1"/>
      <c r="Y23" s="1"/>
    </row>
    <row r="24" spans="2:25" x14ac:dyDescent="0.2">
      <c r="B24" s="1"/>
      <c r="C24" s="405">
        <v>850</v>
      </c>
      <c r="D24" s="2263">
        <v>850</v>
      </c>
      <c r="E24" s="2264"/>
      <c r="F24" s="418">
        <v>31482640</v>
      </c>
      <c r="G24" s="462">
        <v>31</v>
      </c>
      <c r="H24" s="460">
        <f>VLOOKUP(C47,Tarifas!D4:H303,3)</f>
        <v>0.14699999999999999</v>
      </c>
      <c r="I24" s="424">
        <f>VLOOKUP(C47,Tarifas!D4:H303,5)</f>
        <v>1E-3</v>
      </c>
      <c r="J24" s="421">
        <v>181.5</v>
      </c>
      <c r="K24" s="421">
        <v>201.4</v>
      </c>
      <c r="L24" s="421">
        <f>I11</f>
        <v>19</v>
      </c>
      <c r="M24" s="431">
        <f>E80</f>
        <v>2296226.9477340006</v>
      </c>
      <c r="N24" s="430" t="s">
        <v>62</v>
      </c>
      <c r="O24" s="516"/>
      <c r="P24" s="516"/>
      <c r="Q24" s="516"/>
      <c r="R24" s="516"/>
      <c r="S24" s="516"/>
      <c r="T24" s="516"/>
      <c r="U24" s="1"/>
      <c r="V24" s="1"/>
      <c r="W24" s="1"/>
      <c r="X24" s="1"/>
      <c r="Y24" s="1"/>
    </row>
    <row r="25" spans="2:25" x14ac:dyDescent="0.2">
      <c r="B25" s="1"/>
      <c r="C25" s="516"/>
      <c r="D25" s="516"/>
      <c r="E25" s="516"/>
      <c r="F25" s="516"/>
      <c r="G25" s="516"/>
      <c r="H25" s="516"/>
      <c r="I25" s="516"/>
      <c r="J25" s="516"/>
      <c r="K25" s="516"/>
      <c r="L25" s="516"/>
      <c r="M25" s="516"/>
      <c r="N25" s="516"/>
      <c r="O25" s="516"/>
      <c r="P25" s="516"/>
      <c r="Q25" s="516"/>
      <c r="R25" s="516"/>
      <c r="S25" s="1"/>
      <c r="T25" s="1"/>
      <c r="U25" s="1"/>
      <c r="V25" s="1"/>
      <c r="W25" s="1"/>
      <c r="X25" s="1"/>
      <c r="Y25" s="1"/>
    </row>
    <row r="26" spans="2:25" x14ac:dyDescent="0.2">
      <c r="B26" s="1"/>
      <c r="C26" s="516"/>
      <c r="D26" s="516"/>
      <c r="E26" s="516"/>
      <c r="F26" s="516"/>
      <c r="G26" s="516"/>
      <c r="H26" s="516"/>
      <c r="I26" s="516"/>
      <c r="J26" s="516"/>
      <c r="K26" s="516"/>
      <c r="L26" s="516"/>
      <c r="M26" s="516"/>
      <c r="N26" s="516"/>
      <c r="O26" s="516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2:25" x14ac:dyDescent="0.2">
      <c r="B27" s="1"/>
      <c r="C27" s="516"/>
      <c r="D27" s="516"/>
      <c r="E27" s="516"/>
      <c r="F27" s="516"/>
      <c r="G27" s="516"/>
      <c r="H27" s="516"/>
      <c r="I27" s="516"/>
      <c r="J27" s="516"/>
      <c r="K27" s="516"/>
      <c r="L27" s="516"/>
      <c r="M27" s="516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2:25" ht="15" thickBot="1" x14ac:dyDescent="0.25">
      <c r="B28" s="1"/>
      <c r="C28" s="2265" t="s">
        <v>86</v>
      </c>
      <c r="D28" s="2265"/>
      <c r="E28" s="2265"/>
      <c r="F28" s="2265"/>
      <c r="G28" s="519"/>
      <c r="H28" s="334"/>
      <c r="I28" s="334"/>
      <c r="J28" s="334"/>
      <c r="K28" s="519"/>
      <c r="L28" s="336"/>
      <c r="M28" s="336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2:25" ht="22.5" x14ac:dyDescent="0.2">
      <c r="B29" s="1"/>
      <c r="C29" s="337" t="s">
        <v>87</v>
      </c>
      <c r="D29" s="514" t="s">
        <v>88</v>
      </c>
      <c r="E29" s="514" t="s">
        <v>89</v>
      </c>
      <c r="F29" s="514" t="s">
        <v>20</v>
      </c>
      <c r="G29" s="514" t="s">
        <v>160</v>
      </c>
      <c r="H29" s="514" t="s">
        <v>90</v>
      </c>
      <c r="I29" s="514" t="s">
        <v>91</v>
      </c>
      <c r="J29" s="514" t="s">
        <v>92</v>
      </c>
      <c r="K29" s="514" t="s">
        <v>93</v>
      </c>
      <c r="L29" s="514" t="s">
        <v>94</v>
      </c>
      <c r="M29" s="515" t="s">
        <v>95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2:25" x14ac:dyDescent="0.2">
      <c r="B30" s="1"/>
      <c r="C30" s="338"/>
      <c r="D30" s="339">
        <v>1</v>
      </c>
      <c r="E30" s="339" t="s">
        <v>96</v>
      </c>
      <c r="F30" s="340" t="s">
        <v>97</v>
      </c>
      <c r="G30" s="339">
        <v>2201</v>
      </c>
      <c r="H30" s="339">
        <v>20823</v>
      </c>
      <c r="I30" s="341">
        <v>0</v>
      </c>
      <c r="J30" s="339">
        <v>138.15</v>
      </c>
      <c r="K30" s="342">
        <f>I30/I$35</f>
        <v>0</v>
      </c>
      <c r="L30" s="343">
        <f>ROUND(K30*E$10,2)</f>
        <v>0</v>
      </c>
      <c r="M30" s="344">
        <f>L30*$I$10</f>
        <v>0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2:25" x14ac:dyDescent="0.2">
      <c r="B31" s="1"/>
      <c r="C31" s="338"/>
      <c r="D31" s="339">
        <v>2</v>
      </c>
      <c r="E31" s="339" t="s">
        <v>98</v>
      </c>
      <c r="F31" s="340" t="s">
        <v>97</v>
      </c>
      <c r="G31" s="339">
        <v>2201</v>
      </c>
      <c r="H31" s="339">
        <v>20824</v>
      </c>
      <c r="I31" s="341">
        <v>0</v>
      </c>
      <c r="J31" s="339">
        <v>138.15</v>
      </c>
      <c r="K31" s="342">
        <f>I31/I$35</f>
        <v>0</v>
      </c>
      <c r="L31" s="343">
        <f>ROUND(K31*E$10,2)</f>
        <v>0</v>
      </c>
      <c r="M31" s="344">
        <f>L31*$I$10</f>
        <v>0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2:25" x14ac:dyDescent="0.2">
      <c r="B32" s="1"/>
      <c r="C32" s="338"/>
      <c r="D32" s="339">
        <v>1</v>
      </c>
      <c r="E32" s="339" t="s">
        <v>99</v>
      </c>
      <c r="F32" s="340" t="s">
        <v>100</v>
      </c>
      <c r="G32" s="339">
        <v>2230</v>
      </c>
      <c r="H32" s="339">
        <v>22228</v>
      </c>
      <c r="I32" s="341">
        <v>0</v>
      </c>
      <c r="J32" s="339">
        <v>130.80000000000001</v>
      </c>
      <c r="K32" s="342">
        <f>I32/I$35</f>
        <v>0</v>
      </c>
      <c r="L32" s="343">
        <f>ROUND(K32*E$10,2)</f>
        <v>0</v>
      </c>
      <c r="M32" s="344">
        <f>L32*$I$10</f>
        <v>0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2:25" x14ac:dyDescent="0.2">
      <c r="B33" s="1"/>
      <c r="C33" s="338">
        <v>800762390</v>
      </c>
      <c r="D33" s="339">
        <v>3</v>
      </c>
      <c r="E33" s="354" t="s">
        <v>101</v>
      </c>
      <c r="F33" s="463" t="s">
        <v>23</v>
      </c>
      <c r="G33" s="354">
        <v>2044</v>
      </c>
      <c r="H33" s="354">
        <v>591000500</v>
      </c>
      <c r="I33" s="341">
        <v>80000</v>
      </c>
      <c r="J33" s="339">
        <v>433</v>
      </c>
      <c r="K33" s="342">
        <f>I33/I$35</f>
        <v>9.4117647058823528E-2</v>
      </c>
      <c r="L33" s="343">
        <f>ROUND(K33*E$10,2)</f>
        <v>435571.58</v>
      </c>
      <c r="M33" s="344">
        <f>L33*$I$10</f>
        <v>8275860.0200000005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2:25" ht="15" thickBot="1" x14ac:dyDescent="0.25">
      <c r="B34" s="1"/>
      <c r="C34" s="345">
        <v>800642440</v>
      </c>
      <c r="D34" s="346">
        <v>5</v>
      </c>
      <c r="E34" s="347" t="s">
        <v>101</v>
      </c>
      <c r="F34" s="348" t="s">
        <v>159</v>
      </c>
      <c r="G34" s="347">
        <v>2277</v>
      </c>
      <c r="H34" s="347">
        <v>22770</v>
      </c>
      <c r="I34" s="349">
        <f>850000-I30-I31-I32-I33</f>
        <v>770000</v>
      </c>
      <c r="J34" s="346"/>
      <c r="K34" s="350">
        <f>I34/I$35</f>
        <v>0.90588235294117647</v>
      </c>
      <c r="L34" s="351">
        <f>ROUND(K34*E$10,2)</f>
        <v>4192376.5</v>
      </c>
      <c r="M34" s="352">
        <f>L34*$I$10</f>
        <v>79655153.5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2:25" x14ac:dyDescent="0.2">
      <c r="B35" s="1"/>
      <c r="C35" s="477">
        <v>3000623</v>
      </c>
      <c r="D35" s="353" t="s">
        <v>102</v>
      </c>
      <c r="E35" s="353"/>
      <c r="F35" s="353"/>
      <c r="G35" s="353"/>
      <c r="H35" s="354"/>
      <c r="I35" s="355">
        <f>SUM(I30:I34)</f>
        <v>850000</v>
      </c>
      <c r="J35" s="353"/>
      <c r="K35" s="356">
        <f>SUM(K30:K34)</f>
        <v>1</v>
      </c>
      <c r="L35" s="357">
        <f>SUM(L30:L34)</f>
        <v>4627948.08</v>
      </c>
      <c r="M35" s="357">
        <f>SUM(M30:M33)</f>
        <v>8275860.0200000005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2:25" x14ac:dyDescent="0.2">
      <c r="B36" s="1"/>
      <c r="C36" s="336"/>
      <c r="D36" s="336"/>
      <c r="E36" s="336"/>
      <c r="F36" s="358"/>
      <c r="G36" s="358"/>
      <c r="H36" s="336"/>
      <c r="I36" s="336"/>
      <c r="J36" s="336"/>
      <c r="K36" s="336"/>
      <c r="L36" s="359"/>
      <c r="M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2:25" x14ac:dyDescent="0.2">
      <c r="B37" s="1"/>
      <c r="C37" s="336"/>
      <c r="D37" s="336"/>
      <c r="E37" s="336"/>
      <c r="F37" s="358"/>
      <c r="G37" s="358"/>
      <c r="H37" s="336"/>
      <c r="I37" s="336"/>
      <c r="J37" s="336"/>
      <c r="K37" s="336"/>
      <c r="L37" s="359"/>
      <c r="M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2:25" x14ac:dyDescent="0.2">
      <c r="B38" s="1"/>
      <c r="C38" s="336"/>
      <c r="D38" s="336"/>
      <c r="E38" s="336"/>
      <c r="F38" s="358"/>
      <c r="G38" s="358"/>
      <c r="H38" s="336"/>
      <c r="I38" s="336"/>
      <c r="J38" s="336"/>
      <c r="K38" s="336"/>
      <c r="L38" s="359"/>
      <c r="M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2:25" ht="15" thickBot="1" x14ac:dyDescent="0.25">
      <c r="B39" s="1"/>
      <c r="C39" s="2266" t="s">
        <v>103</v>
      </c>
      <c r="D39" s="2266"/>
      <c r="E39" s="2266"/>
      <c r="F39" s="2266"/>
      <c r="G39" s="519"/>
      <c r="H39" s="334"/>
      <c r="I39" s="334"/>
      <c r="J39" s="334"/>
      <c r="K39" s="336"/>
      <c r="L39" s="336"/>
      <c r="M39" s="360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2:25" ht="22.5" x14ac:dyDescent="0.2">
      <c r="B40" s="1"/>
      <c r="C40" s="337" t="s">
        <v>87</v>
      </c>
      <c r="D40" s="514" t="s">
        <v>88</v>
      </c>
      <c r="E40" s="514" t="s">
        <v>89</v>
      </c>
      <c r="F40" s="514" t="s">
        <v>20</v>
      </c>
      <c r="G40" s="514"/>
      <c r="H40" s="514" t="s">
        <v>90</v>
      </c>
      <c r="I40" s="514" t="s">
        <v>104</v>
      </c>
      <c r="J40" s="514" t="s">
        <v>93</v>
      </c>
      <c r="K40" s="514" t="s">
        <v>92</v>
      </c>
      <c r="L40" s="514" t="s">
        <v>94</v>
      </c>
      <c r="M40" s="515" t="s">
        <v>95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2:25" x14ac:dyDescent="0.2">
      <c r="B41" s="1"/>
      <c r="C41" s="338"/>
      <c r="D41" s="339">
        <v>1</v>
      </c>
      <c r="E41" s="339" t="s">
        <v>96</v>
      </c>
      <c r="F41" s="340" t="s">
        <v>97</v>
      </c>
      <c r="G41" s="340"/>
      <c r="H41" s="339">
        <v>20823</v>
      </c>
      <c r="I41" s="341">
        <f>M80</f>
        <v>0</v>
      </c>
      <c r="J41" s="342">
        <f>I41/I$45</f>
        <v>0</v>
      </c>
      <c r="K41" s="339">
        <v>138.15</v>
      </c>
      <c r="L41" s="343">
        <f>ROUND(J41*$E$11,2)</f>
        <v>0</v>
      </c>
      <c r="M41" s="344">
        <f>L41*L24</f>
        <v>0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2:25" x14ac:dyDescent="0.2">
      <c r="B42" s="1"/>
      <c r="C42" s="338"/>
      <c r="D42" s="339">
        <v>2</v>
      </c>
      <c r="E42" s="339" t="s">
        <v>98</v>
      </c>
      <c r="F42" s="340" t="s">
        <v>97</v>
      </c>
      <c r="G42" s="340"/>
      <c r="H42" s="339">
        <v>20824</v>
      </c>
      <c r="I42" s="341">
        <f>N80</f>
        <v>0</v>
      </c>
      <c r="J42" s="342">
        <f>I42/I$45</f>
        <v>0</v>
      </c>
      <c r="K42" s="339">
        <v>138.15</v>
      </c>
      <c r="L42" s="343">
        <f>ROUND(J42*$E$11,2)</f>
        <v>0</v>
      </c>
      <c r="M42" s="344">
        <f>L42*L25</f>
        <v>0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2:25" x14ac:dyDescent="0.2">
      <c r="B43" s="1"/>
      <c r="C43" s="338"/>
      <c r="D43" s="339">
        <v>1</v>
      </c>
      <c r="E43" s="339" t="s">
        <v>99</v>
      </c>
      <c r="F43" s="340" t="s">
        <v>100</v>
      </c>
      <c r="G43" s="340"/>
      <c r="H43" s="339">
        <v>22228</v>
      </c>
      <c r="I43" s="341">
        <f>O80</f>
        <v>1655244.6440000003</v>
      </c>
      <c r="J43" s="342">
        <f>I43/I$45</f>
        <v>0.41889321625456483</v>
      </c>
      <c r="K43" s="339">
        <v>130.80000000000001</v>
      </c>
      <c r="L43" s="343">
        <f>ROUND(J43*$E$11,2)</f>
        <v>866.83</v>
      </c>
      <c r="M43" s="344">
        <f>L43*L26</f>
        <v>0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2:25" ht="15" thickBot="1" x14ac:dyDescent="0.25">
      <c r="B44" s="1"/>
      <c r="C44" s="345">
        <v>800762390</v>
      </c>
      <c r="D44" s="346">
        <v>4</v>
      </c>
      <c r="E44" s="347" t="s">
        <v>101</v>
      </c>
      <c r="F44" s="348" t="s">
        <v>23</v>
      </c>
      <c r="G44" s="348"/>
      <c r="H44" s="347">
        <v>591000500</v>
      </c>
      <c r="I44" s="349">
        <f>L80</f>
        <v>2296226.9477340006</v>
      </c>
      <c r="J44" s="350">
        <f>I44/I$45</f>
        <v>0.58110678374543523</v>
      </c>
      <c r="K44" s="346">
        <v>138.15</v>
      </c>
      <c r="L44" s="351">
        <f>ROUND(J44*$E$11,2)</f>
        <v>1202.51</v>
      </c>
      <c r="M44" s="352">
        <f>L44*L27</f>
        <v>0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2:25" x14ac:dyDescent="0.2">
      <c r="B45" s="1"/>
      <c r="C45" s="353"/>
      <c r="D45" s="353"/>
      <c r="E45" s="353"/>
      <c r="F45" s="353"/>
      <c r="G45" s="353"/>
      <c r="H45" s="354"/>
      <c r="I45" s="449">
        <f>SUM(I41:I44)</f>
        <v>3951471.5917340009</v>
      </c>
      <c r="J45" s="355"/>
      <c r="K45" s="353"/>
      <c r="L45" s="357">
        <f>SUM(L41:L44)</f>
        <v>2069.34</v>
      </c>
      <c r="M45" s="357">
        <f>SUM(M41:M44)</f>
        <v>0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2:25" customFormat="1" ht="15" thickBot="1" x14ac:dyDescent="0.25">
      <c r="M46" s="450"/>
      <c r="N46" s="450"/>
      <c r="O46" s="450"/>
      <c r="P46" s="450"/>
      <c r="Q46" s="450"/>
      <c r="R46" s="450"/>
      <c r="S46" s="450"/>
      <c r="T46" s="450"/>
      <c r="U46" s="450"/>
      <c r="V46" s="450"/>
      <c r="W46" s="450"/>
      <c r="X46" s="450"/>
      <c r="Y46" s="450"/>
    </row>
    <row r="47" spans="2:25" ht="15" thickBot="1" x14ac:dyDescent="0.25">
      <c r="B47" s="434" t="s">
        <v>3</v>
      </c>
      <c r="C47" s="1445">
        <f>SUMIF(Tarifas!E4:E303,'Marzo - 2015'!C49,Tarifas!D4:D303)</f>
        <v>20</v>
      </c>
      <c r="D47" s="425" t="s">
        <v>147</v>
      </c>
      <c r="E47" s="426" t="s">
        <v>145</v>
      </c>
      <c r="F47" s="426" t="s">
        <v>150</v>
      </c>
      <c r="G47" s="426" t="s">
        <v>148</v>
      </c>
      <c r="H47" s="382"/>
      <c r="I47" s="331" t="s">
        <v>120</v>
      </c>
      <c r="J47" s="332"/>
      <c r="K47" s="332"/>
      <c r="L47" s="2277" t="s">
        <v>105</v>
      </c>
      <c r="M47" s="2278"/>
      <c r="N47" s="2278"/>
      <c r="O47" s="2278"/>
      <c r="P47" s="2278"/>
      <c r="Q47" s="2278"/>
      <c r="R47" s="2279"/>
      <c r="S47" s="2267" t="s">
        <v>121</v>
      </c>
      <c r="T47" s="2268"/>
      <c r="U47" s="2268"/>
      <c r="V47" s="2268"/>
      <c r="W47" s="2268"/>
      <c r="X47" s="2268"/>
      <c r="Y47" s="2269"/>
    </row>
    <row r="48" spans="2:25" ht="34.5" thickBot="1" x14ac:dyDescent="0.25">
      <c r="C48" s="1427" t="s">
        <v>122</v>
      </c>
      <c r="D48" s="1428" t="s">
        <v>125</v>
      </c>
      <c r="E48" s="1429" t="s">
        <v>149</v>
      </c>
      <c r="F48" s="1429" t="s">
        <v>151</v>
      </c>
      <c r="G48" s="1429" t="s">
        <v>152</v>
      </c>
      <c r="H48" s="1430" t="s">
        <v>123</v>
      </c>
      <c r="I48" s="1450" t="s">
        <v>377</v>
      </c>
      <c r="J48" s="1451" t="s">
        <v>376</v>
      </c>
      <c r="K48" s="1451" t="s">
        <v>375</v>
      </c>
      <c r="L48" s="1437" t="s">
        <v>115</v>
      </c>
      <c r="M48" s="1438" t="s">
        <v>106</v>
      </c>
      <c r="N48" s="1438" t="s">
        <v>107</v>
      </c>
      <c r="O48" s="1438" t="s">
        <v>108</v>
      </c>
      <c r="P48" s="1438" t="s">
        <v>115</v>
      </c>
      <c r="Q48" s="1439" t="s">
        <v>116</v>
      </c>
      <c r="R48" s="1440" t="s">
        <v>117</v>
      </c>
      <c r="S48" s="1446" t="s">
        <v>110</v>
      </c>
      <c r="T48" s="1344" t="s">
        <v>111</v>
      </c>
      <c r="U48" s="1344" t="s">
        <v>112</v>
      </c>
      <c r="V48" s="1345" t="s">
        <v>118</v>
      </c>
      <c r="W48" s="1345" t="s">
        <v>119</v>
      </c>
      <c r="X48" s="1345" t="s">
        <v>114</v>
      </c>
      <c r="Y48" s="1346" t="s">
        <v>113</v>
      </c>
    </row>
    <row r="49" spans="3:25" x14ac:dyDescent="0.2">
      <c r="C49" s="387">
        <f>G7</f>
        <v>42064</v>
      </c>
      <c r="D49" s="388">
        <f>($F$24*$H$24)/$G$24</f>
        <v>149288.64774193548</v>
      </c>
      <c r="E49" s="389">
        <f>P49+Q49+R49</f>
        <v>74537.273438000004</v>
      </c>
      <c r="F49" s="427">
        <f t="shared" ref="F49:F79" si="0">TRUNC(IFERROR(J$24/K$24,0),8)</f>
        <v>0.90119165000000001</v>
      </c>
      <c r="G49" s="390">
        <f t="shared" ref="G49:G79" si="1">ROUND(I$24*F49*E49,4)</f>
        <v>67.172399999999996</v>
      </c>
      <c r="H49" s="391">
        <f t="shared" ref="H49:H79" si="2">SUM(D49:G49)</f>
        <v>223893.99477158548</v>
      </c>
      <c r="I49" s="324">
        <v>70000</v>
      </c>
      <c r="J49" s="325"/>
      <c r="K49" s="325"/>
      <c r="L49" s="317">
        <v>74537.273438000004</v>
      </c>
      <c r="M49" s="318"/>
      <c r="N49" s="318"/>
      <c r="O49" s="318">
        <v>39601.72</v>
      </c>
      <c r="P49" s="389">
        <f>L49</f>
        <v>74537.273438000004</v>
      </c>
      <c r="Q49" s="389">
        <f t="shared" ref="Q49:Q79" si="3">M49+N49</f>
        <v>0</v>
      </c>
      <c r="R49" s="389"/>
      <c r="S49" s="373"/>
      <c r="T49" s="374"/>
      <c r="U49" s="18">
        <f>S49+T49-V49</f>
        <v>-70000</v>
      </c>
      <c r="V49" s="377">
        <f>I49+J49+K49</f>
        <v>70000</v>
      </c>
      <c r="W49" s="18">
        <f>(P49+Q49+R49)*1.055056</f>
        <v>78640.997564402525</v>
      </c>
      <c r="X49" s="377">
        <f>V49-W49</f>
        <v>-8640.9975644025253</v>
      </c>
      <c r="Y49" s="378">
        <f>AL46+X49</f>
        <v>-8640.9975644025253</v>
      </c>
    </row>
    <row r="50" spans="3:25" x14ac:dyDescent="0.2">
      <c r="C50" s="387">
        <f t="shared" ref="C50:C79" si="4">C49+1</f>
        <v>42065</v>
      </c>
      <c r="D50" s="388">
        <f t="shared" ref="D50:D79" si="5">($F$24*$H$24)/$G$24</f>
        <v>149288.64774193548</v>
      </c>
      <c r="E50" s="392">
        <f t="shared" ref="E50:E79" si="6">P50+Q50+R50</f>
        <v>73908.223877000011</v>
      </c>
      <c r="F50" s="428">
        <f t="shared" si="0"/>
        <v>0.90119165000000001</v>
      </c>
      <c r="G50" s="390">
        <f t="shared" si="1"/>
        <v>66.605500000000006</v>
      </c>
      <c r="H50" s="391">
        <f t="shared" si="2"/>
        <v>223264.37831058548</v>
      </c>
      <c r="I50" s="324">
        <v>69000</v>
      </c>
      <c r="J50" s="325"/>
      <c r="K50" s="325"/>
      <c r="L50" s="319">
        <v>73908.223877000011</v>
      </c>
      <c r="M50" s="320"/>
      <c r="N50" s="320"/>
      <c r="O50" s="320">
        <v>39897.760000000002</v>
      </c>
      <c r="P50" s="392">
        <f t="shared" ref="P50:P79" si="7">L50</f>
        <v>73908.223877000011</v>
      </c>
      <c r="Q50" s="392">
        <f t="shared" si="3"/>
        <v>0</v>
      </c>
      <c r="R50" s="392"/>
      <c r="S50" s="373"/>
      <c r="T50" s="374"/>
      <c r="U50" s="18">
        <f t="shared" ref="U50:U79" si="8">S50+T50-V50</f>
        <v>-69000</v>
      </c>
      <c r="V50" s="377">
        <f t="shared" ref="V50:V79" si="9">I50+J50+K50</f>
        <v>69000</v>
      </c>
      <c r="W50" s="18">
        <f t="shared" ref="W50:W79" si="10">(P50+Q50+R50)*1.055056</f>
        <v>77977.315050772129</v>
      </c>
      <c r="X50" s="377">
        <f t="shared" ref="X50:X79" si="11">V50-W50</f>
        <v>-8977.3150507721293</v>
      </c>
      <c r="Y50" s="378">
        <f>Y49+X50</f>
        <v>-17618.312615174655</v>
      </c>
    </row>
    <row r="51" spans="3:25" x14ac:dyDescent="0.2">
      <c r="C51" s="387">
        <f t="shared" si="4"/>
        <v>42066</v>
      </c>
      <c r="D51" s="388">
        <f t="shared" si="5"/>
        <v>149288.64774193548</v>
      </c>
      <c r="E51" s="392">
        <f t="shared" si="6"/>
        <v>76929.109375</v>
      </c>
      <c r="F51" s="428">
        <f t="shared" si="0"/>
        <v>0.90119165000000001</v>
      </c>
      <c r="G51" s="390">
        <f t="shared" si="1"/>
        <v>69.3279</v>
      </c>
      <c r="H51" s="391">
        <f t="shared" si="2"/>
        <v>226287.98620858547</v>
      </c>
      <c r="I51" s="324">
        <v>70000</v>
      </c>
      <c r="J51" s="325"/>
      <c r="K51" s="325"/>
      <c r="L51" s="317">
        <v>76929.109375</v>
      </c>
      <c r="M51" s="318"/>
      <c r="N51" s="318"/>
      <c r="O51" s="318">
        <v>39491.18</v>
      </c>
      <c r="P51" s="392">
        <f t="shared" si="7"/>
        <v>76929.109375</v>
      </c>
      <c r="Q51" s="392">
        <f t="shared" si="3"/>
        <v>0</v>
      </c>
      <c r="R51" s="392"/>
      <c r="S51" s="373"/>
      <c r="T51" s="374"/>
      <c r="U51" s="18">
        <f t="shared" si="8"/>
        <v>-70000</v>
      </c>
      <c r="V51" s="377">
        <f t="shared" si="9"/>
        <v>70000</v>
      </c>
      <c r="W51" s="18">
        <f t="shared" si="10"/>
        <v>81164.518420749999</v>
      </c>
      <c r="X51" s="377">
        <f t="shared" si="11"/>
        <v>-11164.518420749999</v>
      </c>
      <c r="Y51" s="378">
        <f t="shared" ref="Y51:Y79" si="12">Y50+X51</f>
        <v>-28782.831035924653</v>
      </c>
    </row>
    <row r="52" spans="3:25" x14ac:dyDescent="0.2">
      <c r="C52" s="387">
        <f t="shared" si="4"/>
        <v>42067</v>
      </c>
      <c r="D52" s="388">
        <f t="shared" si="5"/>
        <v>149288.64774193548</v>
      </c>
      <c r="E52" s="392">
        <f t="shared" si="6"/>
        <v>73695.359375</v>
      </c>
      <c r="F52" s="428">
        <f t="shared" si="0"/>
        <v>0.90119165000000001</v>
      </c>
      <c r="G52" s="390">
        <f t="shared" si="1"/>
        <v>66.413600000000002</v>
      </c>
      <c r="H52" s="391">
        <f t="shared" si="2"/>
        <v>223051.32190858547</v>
      </c>
      <c r="I52" s="324">
        <v>70000</v>
      </c>
      <c r="J52" s="325"/>
      <c r="K52" s="325"/>
      <c r="L52" s="319">
        <v>73695.359375</v>
      </c>
      <c r="M52" s="320"/>
      <c r="N52" s="320"/>
      <c r="O52" s="320">
        <v>39661.370000000003</v>
      </c>
      <c r="P52" s="392">
        <f t="shared" si="7"/>
        <v>73695.359375</v>
      </c>
      <c r="Q52" s="392">
        <f t="shared" si="3"/>
        <v>0</v>
      </c>
      <c r="R52" s="392"/>
      <c r="S52" s="373"/>
      <c r="T52" s="374"/>
      <c r="U52" s="18">
        <f t="shared" si="8"/>
        <v>-70000</v>
      </c>
      <c r="V52" s="377">
        <f t="shared" si="9"/>
        <v>70000</v>
      </c>
      <c r="W52" s="18">
        <f t="shared" si="10"/>
        <v>77752.731080750003</v>
      </c>
      <c r="X52" s="377">
        <f t="shared" si="11"/>
        <v>-7752.7310807500035</v>
      </c>
      <c r="Y52" s="378">
        <f t="shared" si="12"/>
        <v>-36535.562116674657</v>
      </c>
    </row>
    <row r="53" spans="3:25" x14ac:dyDescent="0.2">
      <c r="C53" s="387">
        <f t="shared" si="4"/>
        <v>42068</v>
      </c>
      <c r="D53" s="388">
        <f t="shared" si="5"/>
        <v>149288.64774193548</v>
      </c>
      <c r="E53" s="392">
        <f t="shared" si="6"/>
        <v>61369.058594000002</v>
      </c>
      <c r="F53" s="428">
        <f t="shared" si="0"/>
        <v>0.90119165000000001</v>
      </c>
      <c r="G53" s="390">
        <f t="shared" si="1"/>
        <v>55.305300000000003</v>
      </c>
      <c r="H53" s="391">
        <f t="shared" si="2"/>
        <v>210713.91282758547</v>
      </c>
      <c r="I53" s="324">
        <v>69000</v>
      </c>
      <c r="J53" s="325"/>
      <c r="K53" s="325"/>
      <c r="L53" s="317">
        <v>61369.058594000002</v>
      </c>
      <c r="M53" s="318"/>
      <c r="N53" s="318"/>
      <c r="O53" s="318">
        <v>39646.32</v>
      </c>
      <c r="P53" s="392">
        <f t="shared" si="7"/>
        <v>61369.058594000002</v>
      </c>
      <c r="Q53" s="392">
        <f t="shared" si="3"/>
        <v>0</v>
      </c>
      <c r="R53" s="392"/>
      <c r="S53" s="373"/>
      <c r="T53" s="374"/>
      <c r="U53" s="18">
        <f t="shared" si="8"/>
        <v>-69000</v>
      </c>
      <c r="V53" s="377">
        <f t="shared" si="9"/>
        <v>69000</v>
      </c>
      <c r="W53" s="18">
        <f t="shared" si="10"/>
        <v>64747.793483951267</v>
      </c>
      <c r="X53" s="377">
        <f t="shared" si="11"/>
        <v>4252.2065160487327</v>
      </c>
      <c r="Y53" s="378">
        <f t="shared" si="12"/>
        <v>-32283.355600625924</v>
      </c>
    </row>
    <row r="54" spans="3:25" x14ac:dyDescent="0.2">
      <c r="C54" s="387">
        <f t="shared" si="4"/>
        <v>42069</v>
      </c>
      <c r="D54" s="388">
        <f t="shared" si="5"/>
        <v>149288.64774193548</v>
      </c>
      <c r="E54" s="392">
        <f t="shared" si="6"/>
        <v>52879.410767000008</v>
      </c>
      <c r="F54" s="428">
        <f t="shared" si="0"/>
        <v>0.90119165000000001</v>
      </c>
      <c r="G54" s="390">
        <f t="shared" si="1"/>
        <v>47.654499999999999</v>
      </c>
      <c r="H54" s="391">
        <f t="shared" si="2"/>
        <v>202216.61420058549</v>
      </c>
      <c r="I54" s="324">
        <v>69000</v>
      </c>
      <c r="J54" s="325"/>
      <c r="K54" s="325"/>
      <c r="L54" s="319">
        <v>52879.410767000008</v>
      </c>
      <c r="M54" s="320"/>
      <c r="N54" s="320"/>
      <c r="O54" s="320">
        <v>39403.21</v>
      </c>
      <c r="P54" s="392">
        <f t="shared" si="7"/>
        <v>52879.410767000008</v>
      </c>
      <c r="Q54" s="392">
        <f t="shared" si="3"/>
        <v>0</v>
      </c>
      <c r="R54" s="392"/>
      <c r="S54" s="373"/>
      <c r="T54" s="374"/>
      <c r="U54" s="18">
        <f t="shared" si="8"/>
        <v>-69000</v>
      </c>
      <c r="V54" s="377">
        <f t="shared" si="9"/>
        <v>69000</v>
      </c>
      <c r="W54" s="18">
        <f t="shared" si="10"/>
        <v>55790.739606187963</v>
      </c>
      <c r="X54" s="377">
        <f t="shared" si="11"/>
        <v>13209.260393812037</v>
      </c>
      <c r="Y54" s="378">
        <f t="shared" si="12"/>
        <v>-19074.095206813887</v>
      </c>
    </row>
    <row r="55" spans="3:25" x14ac:dyDescent="0.2">
      <c r="C55" s="387">
        <f t="shared" si="4"/>
        <v>42070</v>
      </c>
      <c r="D55" s="388">
        <f t="shared" si="5"/>
        <v>149288.64774193548</v>
      </c>
      <c r="E55" s="392">
        <f t="shared" si="6"/>
        <v>77540</v>
      </c>
      <c r="F55" s="428">
        <f t="shared" si="0"/>
        <v>0.90119165000000001</v>
      </c>
      <c r="G55" s="390">
        <f t="shared" si="1"/>
        <v>69.878399999999999</v>
      </c>
      <c r="H55" s="391">
        <f t="shared" si="2"/>
        <v>226899.42733358545</v>
      </c>
      <c r="I55" s="324">
        <v>69000</v>
      </c>
      <c r="J55" s="325"/>
      <c r="K55" s="325"/>
      <c r="L55" s="317">
        <v>77540</v>
      </c>
      <c r="M55" s="318"/>
      <c r="N55" s="318"/>
      <c r="O55" s="318">
        <v>39257.635999999999</v>
      </c>
      <c r="P55" s="392">
        <f t="shared" si="7"/>
        <v>77540</v>
      </c>
      <c r="Q55" s="392">
        <f t="shared" si="3"/>
        <v>0</v>
      </c>
      <c r="R55" s="392"/>
      <c r="S55" s="373"/>
      <c r="T55" s="374"/>
      <c r="U55" s="18">
        <f t="shared" si="8"/>
        <v>-69000</v>
      </c>
      <c r="V55" s="377">
        <f t="shared" si="9"/>
        <v>69000</v>
      </c>
      <c r="W55" s="18">
        <f t="shared" si="10"/>
        <v>81809.042239999995</v>
      </c>
      <c r="X55" s="377">
        <f t="shared" si="11"/>
        <v>-12809.042239999995</v>
      </c>
      <c r="Y55" s="378">
        <f t="shared" si="12"/>
        <v>-31883.137446813882</v>
      </c>
    </row>
    <row r="56" spans="3:25" x14ac:dyDescent="0.2">
      <c r="C56" s="387">
        <f t="shared" si="4"/>
        <v>42071</v>
      </c>
      <c r="D56" s="388">
        <f t="shared" si="5"/>
        <v>149288.64774193548</v>
      </c>
      <c r="E56" s="392">
        <f t="shared" si="6"/>
        <v>76761.036865999995</v>
      </c>
      <c r="F56" s="428">
        <f t="shared" si="0"/>
        <v>0.90119165000000001</v>
      </c>
      <c r="G56" s="390">
        <f t="shared" si="1"/>
        <v>69.176400000000001</v>
      </c>
      <c r="H56" s="391">
        <f t="shared" si="2"/>
        <v>226119.76219958547</v>
      </c>
      <c r="I56" s="324">
        <v>71000</v>
      </c>
      <c r="J56" s="325"/>
      <c r="K56" s="325"/>
      <c r="L56" s="319">
        <v>76761.036865999995</v>
      </c>
      <c r="M56" s="320"/>
      <c r="N56" s="320"/>
      <c r="O56" s="320">
        <v>38833.449999999997</v>
      </c>
      <c r="P56" s="392">
        <f t="shared" si="7"/>
        <v>76761.036865999995</v>
      </c>
      <c r="Q56" s="392">
        <f t="shared" si="3"/>
        <v>0</v>
      </c>
      <c r="R56" s="392"/>
      <c r="S56" s="373"/>
      <c r="T56" s="374"/>
      <c r="U56" s="18">
        <f t="shared" si="8"/>
        <v>-71000</v>
      </c>
      <c r="V56" s="377">
        <f t="shared" si="9"/>
        <v>71000</v>
      </c>
      <c r="W56" s="18">
        <f t="shared" si="10"/>
        <v>80987.192511694491</v>
      </c>
      <c r="X56" s="377">
        <f t="shared" si="11"/>
        <v>-9987.1925116944913</v>
      </c>
      <c r="Y56" s="378">
        <f t="shared" si="12"/>
        <v>-41870.329958508373</v>
      </c>
    </row>
    <row r="57" spans="3:25" x14ac:dyDescent="0.2">
      <c r="C57" s="387">
        <f t="shared" si="4"/>
        <v>42072</v>
      </c>
      <c r="D57" s="388">
        <f t="shared" si="5"/>
        <v>149288.64774193548</v>
      </c>
      <c r="E57" s="392">
        <f t="shared" si="6"/>
        <v>74596.945313000004</v>
      </c>
      <c r="F57" s="428">
        <f t="shared" si="0"/>
        <v>0.90119165000000001</v>
      </c>
      <c r="G57" s="390">
        <f t="shared" si="1"/>
        <v>67.226100000000002</v>
      </c>
      <c r="H57" s="391">
        <f t="shared" si="2"/>
        <v>223953.72034658547</v>
      </c>
      <c r="I57" s="324">
        <v>71000</v>
      </c>
      <c r="J57" s="325"/>
      <c r="K57" s="325"/>
      <c r="L57" s="317">
        <v>74596.945313000004</v>
      </c>
      <c r="M57" s="318"/>
      <c r="N57" s="318"/>
      <c r="O57" s="318">
        <v>39251.464999999997</v>
      </c>
      <c r="P57" s="392">
        <f t="shared" si="7"/>
        <v>74596.945313000004</v>
      </c>
      <c r="Q57" s="392">
        <f t="shared" si="3"/>
        <v>0</v>
      </c>
      <c r="R57" s="392"/>
      <c r="S57" s="373"/>
      <c r="T57" s="374"/>
      <c r="U57" s="18">
        <f t="shared" si="8"/>
        <v>-71000</v>
      </c>
      <c r="V57" s="377">
        <f t="shared" si="9"/>
        <v>71000</v>
      </c>
      <c r="W57" s="18">
        <f t="shared" si="10"/>
        <v>78703.954734152532</v>
      </c>
      <c r="X57" s="377">
        <f t="shared" si="11"/>
        <v>-7703.9547341525322</v>
      </c>
      <c r="Y57" s="378">
        <f t="shared" si="12"/>
        <v>-49574.284692660905</v>
      </c>
    </row>
    <row r="58" spans="3:25" x14ac:dyDescent="0.2">
      <c r="C58" s="387">
        <f t="shared" si="4"/>
        <v>42073</v>
      </c>
      <c r="D58" s="388">
        <f t="shared" si="5"/>
        <v>149288.64774193548</v>
      </c>
      <c r="E58" s="392">
        <f t="shared" si="6"/>
        <v>73888.320313000004</v>
      </c>
      <c r="F58" s="428">
        <f t="shared" si="0"/>
        <v>0.90119165000000001</v>
      </c>
      <c r="G58" s="390">
        <f t="shared" si="1"/>
        <v>66.587500000000006</v>
      </c>
      <c r="H58" s="391">
        <f t="shared" si="2"/>
        <v>223244.45674658546</v>
      </c>
      <c r="I58" s="324">
        <v>71000</v>
      </c>
      <c r="J58" s="325"/>
      <c r="K58" s="325"/>
      <c r="L58" s="319">
        <v>73888.320313000004</v>
      </c>
      <c r="M58" s="320"/>
      <c r="N58" s="320"/>
      <c r="O58" s="320">
        <v>39277.660000000003</v>
      </c>
      <c r="P58" s="392">
        <f t="shared" si="7"/>
        <v>73888.320313000004</v>
      </c>
      <c r="Q58" s="392">
        <f t="shared" si="3"/>
        <v>0</v>
      </c>
      <c r="R58" s="392"/>
      <c r="S58" s="373"/>
      <c r="T58" s="374"/>
      <c r="U58" s="18">
        <f t="shared" si="8"/>
        <v>-71000</v>
      </c>
      <c r="V58" s="377">
        <f t="shared" si="9"/>
        <v>71000</v>
      </c>
      <c r="W58" s="18">
        <f t="shared" si="10"/>
        <v>77956.315676152532</v>
      </c>
      <c r="X58" s="377">
        <f t="shared" si="11"/>
        <v>-6956.3156761525315</v>
      </c>
      <c r="Y58" s="378">
        <f t="shared" si="12"/>
        <v>-56530.600368813437</v>
      </c>
    </row>
    <row r="59" spans="3:25" x14ac:dyDescent="0.2">
      <c r="C59" s="387">
        <f t="shared" si="4"/>
        <v>42074</v>
      </c>
      <c r="D59" s="388">
        <f t="shared" si="5"/>
        <v>149288.64774193548</v>
      </c>
      <c r="E59" s="392">
        <f t="shared" si="6"/>
        <v>73709.273438000004</v>
      </c>
      <c r="F59" s="428">
        <f t="shared" si="0"/>
        <v>0.90119165000000001</v>
      </c>
      <c r="G59" s="390">
        <f t="shared" si="1"/>
        <v>66.426199999999994</v>
      </c>
      <c r="H59" s="391">
        <f t="shared" si="2"/>
        <v>223065.24857158546</v>
      </c>
      <c r="I59" s="324">
        <v>72000</v>
      </c>
      <c r="J59" s="325"/>
      <c r="K59" s="325"/>
      <c r="L59" s="317">
        <v>73709.273438000004</v>
      </c>
      <c r="M59" s="318"/>
      <c r="N59" s="318"/>
      <c r="O59" s="318">
        <v>36784.26</v>
      </c>
      <c r="P59" s="392">
        <f t="shared" si="7"/>
        <v>73709.273438000004</v>
      </c>
      <c r="Q59" s="392">
        <f t="shared" si="3"/>
        <v>0</v>
      </c>
      <c r="R59" s="392"/>
      <c r="S59" s="373"/>
      <c r="T59" s="374"/>
      <c r="U59" s="18">
        <f t="shared" si="8"/>
        <v>-72000</v>
      </c>
      <c r="V59" s="377">
        <f t="shared" si="9"/>
        <v>72000</v>
      </c>
      <c r="W59" s="18">
        <f t="shared" si="10"/>
        <v>77767.411196402536</v>
      </c>
      <c r="X59" s="377">
        <f t="shared" si="11"/>
        <v>-5767.411196402536</v>
      </c>
      <c r="Y59" s="378">
        <f t="shared" si="12"/>
        <v>-62298.011565215973</v>
      </c>
    </row>
    <row r="60" spans="3:25" x14ac:dyDescent="0.2">
      <c r="C60" s="387">
        <f t="shared" si="4"/>
        <v>42075</v>
      </c>
      <c r="D60" s="388">
        <f t="shared" si="5"/>
        <v>149288.64774193548</v>
      </c>
      <c r="E60" s="392">
        <f t="shared" si="6"/>
        <v>74350.320313000004</v>
      </c>
      <c r="F60" s="428">
        <f t="shared" si="0"/>
        <v>0.90119165000000001</v>
      </c>
      <c r="G60" s="390">
        <f t="shared" si="1"/>
        <v>67.003900000000002</v>
      </c>
      <c r="H60" s="391">
        <f t="shared" si="2"/>
        <v>223706.87314658548</v>
      </c>
      <c r="I60" s="324">
        <v>70000</v>
      </c>
      <c r="J60" s="325"/>
      <c r="K60" s="325"/>
      <c r="L60" s="319">
        <v>74350.320313000004</v>
      </c>
      <c r="M60" s="320"/>
      <c r="N60" s="320"/>
      <c r="O60" s="320">
        <v>54486.680999999997</v>
      </c>
      <c r="P60" s="392">
        <f t="shared" si="7"/>
        <v>74350.320313000004</v>
      </c>
      <c r="Q60" s="392">
        <f t="shared" si="3"/>
        <v>0</v>
      </c>
      <c r="R60" s="392"/>
      <c r="S60" s="373"/>
      <c r="T60" s="374"/>
      <c r="U60" s="18">
        <f t="shared" si="8"/>
        <v>-70000</v>
      </c>
      <c r="V60" s="377">
        <f t="shared" si="9"/>
        <v>70000</v>
      </c>
      <c r="W60" s="18">
        <f t="shared" si="10"/>
        <v>78443.751548152533</v>
      </c>
      <c r="X60" s="377">
        <f t="shared" si="11"/>
        <v>-8443.7515481525334</v>
      </c>
      <c r="Y60" s="378">
        <f t="shared" si="12"/>
        <v>-70741.763113368506</v>
      </c>
    </row>
    <row r="61" spans="3:25" x14ac:dyDescent="0.2">
      <c r="C61" s="387">
        <f t="shared" si="4"/>
        <v>42076</v>
      </c>
      <c r="D61" s="388">
        <f t="shared" si="5"/>
        <v>149288.64774193548</v>
      </c>
      <c r="E61" s="392">
        <f t="shared" si="6"/>
        <v>74497.601563000004</v>
      </c>
      <c r="F61" s="428">
        <f t="shared" si="0"/>
        <v>0.90119165000000001</v>
      </c>
      <c r="G61" s="390">
        <f t="shared" si="1"/>
        <v>67.136600000000001</v>
      </c>
      <c r="H61" s="391">
        <f t="shared" si="2"/>
        <v>223854.28709658547</v>
      </c>
      <c r="I61" s="324">
        <v>70000</v>
      </c>
      <c r="J61" s="325"/>
      <c r="K61" s="325"/>
      <c r="L61" s="317">
        <v>74497.601563000004</v>
      </c>
      <c r="M61" s="318"/>
      <c r="N61" s="318"/>
      <c r="O61" s="318">
        <v>39279.449999999997</v>
      </c>
      <c r="P61" s="392">
        <f t="shared" si="7"/>
        <v>74497.601563000004</v>
      </c>
      <c r="Q61" s="392">
        <f t="shared" si="3"/>
        <v>0</v>
      </c>
      <c r="R61" s="392"/>
      <c r="S61" s="373"/>
      <c r="T61" s="374"/>
      <c r="U61" s="18">
        <f t="shared" si="8"/>
        <v>-70000</v>
      </c>
      <c r="V61" s="377">
        <f t="shared" si="9"/>
        <v>70000</v>
      </c>
      <c r="W61" s="18">
        <f t="shared" si="10"/>
        <v>78599.141514652525</v>
      </c>
      <c r="X61" s="377">
        <f t="shared" si="11"/>
        <v>-8599.1415146525251</v>
      </c>
      <c r="Y61" s="378">
        <f t="shared" si="12"/>
        <v>-79340.904628021031</v>
      </c>
    </row>
    <row r="62" spans="3:25" x14ac:dyDescent="0.2">
      <c r="C62" s="387">
        <f t="shared" si="4"/>
        <v>42077</v>
      </c>
      <c r="D62" s="388">
        <f t="shared" si="5"/>
        <v>149288.64774193548</v>
      </c>
      <c r="E62" s="392">
        <f t="shared" si="6"/>
        <v>76556.945313000004</v>
      </c>
      <c r="F62" s="428">
        <f t="shared" si="0"/>
        <v>0.90119165000000001</v>
      </c>
      <c r="G62" s="390">
        <f t="shared" si="1"/>
        <v>68.992500000000007</v>
      </c>
      <c r="H62" s="391">
        <f t="shared" si="2"/>
        <v>225915.48674658546</v>
      </c>
      <c r="I62" s="324">
        <v>70000</v>
      </c>
      <c r="J62" s="325"/>
      <c r="K62" s="325"/>
      <c r="L62" s="319">
        <v>76556.945313000004</v>
      </c>
      <c r="M62" s="320"/>
      <c r="N62" s="320"/>
      <c r="O62" s="320">
        <v>38647.040000000001</v>
      </c>
      <c r="P62" s="392">
        <f t="shared" si="7"/>
        <v>76556.945313000004</v>
      </c>
      <c r="Q62" s="392">
        <f t="shared" si="3"/>
        <v>0</v>
      </c>
      <c r="R62" s="392"/>
      <c r="S62" s="373"/>
      <c r="T62" s="374"/>
      <c r="U62" s="18">
        <f t="shared" si="8"/>
        <v>-70000</v>
      </c>
      <c r="V62" s="377">
        <f t="shared" si="9"/>
        <v>70000</v>
      </c>
      <c r="W62" s="18">
        <f t="shared" si="10"/>
        <v>80771.864494152527</v>
      </c>
      <c r="X62" s="377">
        <f t="shared" si="11"/>
        <v>-10771.864494152527</v>
      </c>
      <c r="Y62" s="378">
        <f t="shared" si="12"/>
        <v>-90112.769122173559</v>
      </c>
    </row>
    <row r="63" spans="3:25" x14ac:dyDescent="0.2">
      <c r="C63" s="387">
        <f t="shared" si="4"/>
        <v>42078</v>
      </c>
      <c r="D63" s="388">
        <f t="shared" si="5"/>
        <v>149288.64774193548</v>
      </c>
      <c r="E63" s="392">
        <f t="shared" si="6"/>
        <v>77378.234375</v>
      </c>
      <c r="F63" s="428">
        <f t="shared" si="0"/>
        <v>0.90119165000000001</v>
      </c>
      <c r="G63" s="390">
        <f t="shared" si="1"/>
        <v>69.732600000000005</v>
      </c>
      <c r="H63" s="391">
        <f t="shared" si="2"/>
        <v>226737.51590858545</v>
      </c>
      <c r="I63" s="324">
        <v>73000</v>
      </c>
      <c r="J63" s="325"/>
      <c r="K63" s="325"/>
      <c r="L63" s="317">
        <v>77378.234375</v>
      </c>
      <c r="M63" s="318"/>
      <c r="N63" s="318"/>
      <c r="O63" s="318">
        <v>13659.37</v>
      </c>
      <c r="P63" s="392">
        <f t="shared" si="7"/>
        <v>77378.234375</v>
      </c>
      <c r="Q63" s="392">
        <f t="shared" si="3"/>
        <v>0</v>
      </c>
      <c r="R63" s="392"/>
      <c r="S63" s="373"/>
      <c r="T63" s="374"/>
      <c r="U63" s="18">
        <f t="shared" si="8"/>
        <v>-73000</v>
      </c>
      <c r="V63" s="377">
        <f t="shared" si="9"/>
        <v>73000</v>
      </c>
      <c r="W63" s="18">
        <f t="shared" si="10"/>
        <v>81638.370446750007</v>
      </c>
      <c r="X63" s="377">
        <f t="shared" si="11"/>
        <v>-8638.3704467500065</v>
      </c>
      <c r="Y63" s="378">
        <f t="shared" si="12"/>
        <v>-98751.139568923565</v>
      </c>
    </row>
    <row r="64" spans="3:25" x14ac:dyDescent="0.2">
      <c r="C64" s="387">
        <f t="shared" si="4"/>
        <v>42079</v>
      </c>
      <c r="D64" s="388">
        <f t="shared" si="5"/>
        <v>149288.64774193548</v>
      </c>
      <c r="E64" s="392">
        <f t="shared" si="6"/>
        <v>78516.8125</v>
      </c>
      <c r="F64" s="428">
        <f t="shared" si="0"/>
        <v>0.90119165000000001</v>
      </c>
      <c r="G64" s="390">
        <f t="shared" si="1"/>
        <v>70.758700000000005</v>
      </c>
      <c r="H64" s="391">
        <f t="shared" si="2"/>
        <v>227877.12013358547</v>
      </c>
      <c r="I64" s="324">
        <v>73000</v>
      </c>
      <c r="J64" s="325"/>
      <c r="K64" s="325"/>
      <c r="L64" s="319">
        <v>78516.8125</v>
      </c>
      <c r="M64" s="320"/>
      <c r="N64" s="320"/>
      <c r="O64" s="320">
        <v>39183.61</v>
      </c>
      <c r="P64" s="392">
        <f t="shared" si="7"/>
        <v>78516.8125</v>
      </c>
      <c r="Q64" s="392">
        <f t="shared" si="3"/>
        <v>0</v>
      </c>
      <c r="R64" s="392"/>
      <c r="S64" s="373"/>
      <c r="T64" s="374"/>
      <c r="U64" s="18">
        <f t="shared" si="8"/>
        <v>-73000</v>
      </c>
      <c r="V64" s="377">
        <f t="shared" si="9"/>
        <v>73000</v>
      </c>
      <c r="W64" s="18">
        <f t="shared" si="10"/>
        <v>82839.634128999998</v>
      </c>
      <c r="X64" s="377">
        <f t="shared" si="11"/>
        <v>-9839.6341289999982</v>
      </c>
      <c r="Y64" s="378">
        <f t="shared" si="12"/>
        <v>-108590.77369792356</v>
      </c>
    </row>
    <row r="65" spans="3:38" x14ac:dyDescent="0.2">
      <c r="C65" s="387">
        <f t="shared" si="4"/>
        <v>42080</v>
      </c>
      <c r="D65" s="388">
        <f t="shared" si="5"/>
        <v>149288.64774193548</v>
      </c>
      <c r="E65" s="392">
        <f t="shared" si="6"/>
        <v>77115.914063000004</v>
      </c>
      <c r="F65" s="428">
        <f t="shared" si="0"/>
        <v>0.90119165000000001</v>
      </c>
      <c r="G65" s="390">
        <f t="shared" si="1"/>
        <v>69.496200000000002</v>
      </c>
      <c r="H65" s="391">
        <f t="shared" si="2"/>
        <v>226474.95919658546</v>
      </c>
      <c r="I65" s="324">
        <v>73000</v>
      </c>
      <c r="J65" s="325"/>
      <c r="K65" s="325"/>
      <c r="L65" s="317">
        <v>77115.914063000004</v>
      </c>
      <c r="M65" s="318"/>
      <c r="N65" s="318"/>
      <c r="O65" s="318">
        <v>39038.639999999999</v>
      </c>
      <c r="P65" s="392">
        <f t="shared" si="7"/>
        <v>77115.914063000004</v>
      </c>
      <c r="Q65" s="392">
        <f t="shared" si="3"/>
        <v>0</v>
      </c>
      <c r="R65" s="392"/>
      <c r="S65" s="373"/>
      <c r="T65" s="374"/>
      <c r="U65" s="18">
        <f t="shared" si="8"/>
        <v>-73000</v>
      </c>
      <c r="V65" s="377">
        <f t="shared" si="9"/>
        <v>73000</v>
      </c>
      <c r="W65" s="18">
        <f t="shared" si="10"/>
        <v>81361.607827652537</v>
      </c>
      <c r="X65" s="377">
        <f t="shared" si="11"/>
        <v>-8361.6078276525368</v>
      </c>
      <c r="Y65" s="378">
        <f t="shared" si="12"/>
        <v>-116952.3815255761</v>
      </c>
    </row>
    <row r="66" spans="3:38" x14ac:dyDescent="0.2">
      <c r="C66" s="387">
        <f t="shared" si="4"/>
        <v>42081</v>
      </c>
      <c r="D66" s="388">
        <f t="shared" si="5"/>
        <v>149288.64774193548</v>
      </c>
      <c r="E66" s="392">
        <f t="shared" si="6"/>
        <v>76862.453125</v>
      </c>
      <c r="F66" s="428">
        <f t="shared" si="0"/>
        <v>0.90119165000000001</v>
      </c>
      <c r="G66" s="390">
        <f t="shared" si="1"/>
        <v>69.267799999999994</v>
      </c>
      <c r="H66" s="391">
        <f t="shared" si="2"/>
        <v>226221.26985858547</v>
      </c>
      <c r="I66" s="324">
        <v>73000</v>
      </c>
      <c r="J66" s="325"/>
      <c r="K66" s="325"/>
      <c r="L66" s="319">
        <v>76862.453125</v>
      </c>
      <c r="M66" s="320"/>
      <c r="N66" s="320"/>
      <c r="O66" s="320">
        <v>37716.629999999997</v>
      </c>
      <c r="P66" s="392">
        <f t="shared" si="7"/>
        <v>76862.453125</v>
      </c>
      <c r="Q66" s="392">
        <f t="shared" si="3"/>
        <v>0</v>
      </c>
      <c r="R66" s="392"/>
      <c r="S66" s="373"/>
      <c r="T66" s="374"/>
      <c r="U66" s="18">
        <f t="shared" si="8"/>
        <v>-73000</v>
      </c>
      <c r="V66" s="377">
        <f t="shared" si="9"/>
        <v>73000</v>
      </c>
      <c r="W66" s="18">
        <f t="shared" si="10"/>
        <v>81094.192344249997</v>
      </c>
      <c r="X66" s="377">
        <f t="shared" si="11"/>
        <v>-8094.1923442499974</v>
      </c>
      <c r="Y66" s="378">
        <f t="shared" si="12"/>
        <v>-125046.5738698261</v>
      </c>
    </row>
    <row r="67" spans="3:38" x14ac:dyDescent="0.2">
      <c r="C67" s="387">
        <f t="shared" si="4"/>
        <v>42082</v>
      </c>
      <c r="D67" s="388">
        <f t="shared" si="5"/>
        <v>149288.64774193548</v>
      </c>
      <c r="E67" s="392">
        <f t="shared" si="6"/>
        <v>73990.445313000004</v>
      </c>
      <c r="F67" s="428">
        <f t="shared" si="0"/>
        <v>0.90119165000000001</v>
      </c>
      <c r="G67" s="390">
        <f t="shared" si="1"/>
        <v>66.679599999999994</v>
      </c>
      <c r="H67" s="391">
        <f t="shared" si="2"/>
        <v>223346.67384658547</v>
      </c>
      <c r="I67" s="324">
        <v>69000</v>
      </c>
      <c r="J67" s="325"/>
      <c r="K67" s="325"/>
      <c r="L67" s="317">
        <v>73990.445313000004</v>
      </c>
      <c r="M67" s="318"/>
      <c r="N67" s="318"/>
      <c r="O67" s="318">
        <v>64944.89</v>
      </c>
      <c r="P67" s="392">
        <f t="shared" si="7"/>
        <v>73990.445313000004</v>
      </c>
      <c r="Q67" s="392">
        <f t="shared" si="3"/>
        <v>0</v>
      </c>
      <c r="R67" s="392"/>
      <c r="S67" s="373"/>
      <c r="T67" s="374"/>
      <c r="U67" s="18">
        <f t="shared" si="8"/>
        <v>-69000</v>
      </c>
      <c r="V67" s="377">
        <f t="shared" si="9"/>
        <v>69000</v>
      </c>
      <c r="W67" s="18">
        <f t="shared" si="10"/>
        <v>78064.063270152532</v>
      </c>
      <c r="X67" s="377">
        <f t="shared" si="11"/>
        <v>-9064.0632701525319</v>
      </c>
      <c r="Y67" s="378">
        <f t="shared" si="12"/>
        <v>-134110.63713997864</v>
      </c>
    </row>
    <row r="68" spans="3:38" x14ac:dyDescent="0.2">
      <c r="C68" s="387">
        <f t="shared" si="4"/>
        <v>42083</v>
      </c>
      <c r="D68" s="388">
        <f t="shared" si="5"/>
        <v>149288.64774193548</v>
      </c>
      <c r="E68" s="392">
        <f t="shared" si="6"/>
        <v>73822.726563000004</v>
      </c>
      <c r="F68" s="428">
        <f t="shared" si="0"/>
        <v>0.90119165000000001</v>
      </c>
      <c r="G68" s="390">
        <f t="shared" si="1"/>
        <v>66.528400000000005</v>
      </c>
      <c r="H68" s="391">
        <f t="shared" si="2"/>
        <v>223178.80389658548</v>
      </c>
      <c r="I68" s="324">
        <v>69000</v>
      </c>
      <c r="J68" s="325"/>
      <c r="K68" s="325"/>
      <c r="L68" s="319">
        <v>73822.726563000004</v>
      </c>
      <c r="M68" s="320"/>
      <c r="N68" s="320"/>
      <c r="O68" s="320">
        <v>71070.2</v>
      </c>
      <c r="P68" s="392">
        <f t="shared" si="7"/>
        <v>73822.726563000004</v>
      </c>
      <c r="Q68" s="392">
        <f t="shared" si="3"/>
        <v>0</v>
      </c>
      <c r="R68" s="392"/>
      <c r="S68" s="373"/>
      <c r="T68" s="374"/>
      <c r="U68" s="18">
        <f t="shared" si="8"/>
        <v>-69000</v>
      </c>
      <c r="V68" s="377">
        <f t="shared" si="9"/>
        <v>69000</v>
      </c>
      <c r="W68" s="18">
        <f t="shared" si="10"/>
        <v>77887.110596652536</v>
      </c>
      <c r="X68" s="377">
        <f t="shared" si="11"/>
        <v>-8887.1105966525356</v>
      </c>
      <c r="Y68" s="378">
        <f t="shared" si="12"/>
        <v>-142997.74773663119</v>
      </c>
    </row>
    <row r="69" spans="3:38" x14ac:dyDescent="0.2">
      <c r="C69" s="387">
        <f t="shared" si="4"/>
        <v>42084</v>
      </c>
      <c r="D69" s="388">
        <f t="shared" si="5"/>
        <v>149288.64774193548</v>
      </c>
      <c r="E69" s="392">
        <f t="shared" si="6"/>
        <v>73915.15625</v>
      </c>
      <c r="F69" s="428">
        <f t="shared" si="0"/>
        <v>0.90119165000000001</v>
      </c>
      <c r="G69" s="390">
        <f t="shared" si="1"/>
        <v>66.611699999999999</v>
      </c>
      <c r="H69" s="391">
        <f t="shared" si="2"/>
        <v>223271.31688358547</v>
      </c>
      <c r="I69" s="324">
        <v>69000</v>
      </c>
      <c r="J69" s="325"/>
      <c r="K69" s="325"/>
      <c r="L69" s="317">
        <v>73915.15625</v>
      </c>
      <c r="M69" s="318"/>
      <c r="N69" s="318"/>
      <c r="O69" s="318">
        <v>63184.966</v>
      </c>
      <c r="P69" s="392">
        <f t="shared" si="7"/>
        <v>73915.15625</v>
      </c>
      <c r="Q69" s="392">
        <f t="shared" si="3"/>
        <v>0</v>
      </c>
      <c r="R69" s="392"/>
      <c r="S69" s="373"/>
      <c r="T69" s="374"/>
      <c r="U69" s="18">
        <f t="shared" si="8"/>
        <v>-69000</v>
      </c>
      <c r="V69" s="377">
        <f t="shared" si="9"/>
        <v>69000</v>
      </c>
      <c r="W69" s="18">
        <f t="shared" si="10"/>
        <v>77984.629092500007</v>
      </c>
      <c r="X69" s="377">
        <f t="shared" si="11"/>
        <v>-8984.6290925000067</v>
      </c>
      <c r="Y69" s="378">
        <f t="shared" si="12"/>
        <v>-151982.37682913122</v>
      </c>
    </row>
    <row r="70" spans="3:38" x14ac:dyDescent="0.2">
      <c r="C70" s="387">
        <f t="shared" si="4"/>
        <v>42085</v>
      </c>
      <c r="D70" s="388">
        <f t="shared" si="5"/>
        <v>149288.64774193548</v>
      </c>
      <c r="E70" s="392">
        <f t="shared" si="6"/>
        <v>74887.03</v>
      </c>
      <c r="F70" s="428">
        <f t="shared" si="0"/>
        <v>0.90119165000000001</v>
      </c>
      <c r="G70" s="390">
        <f t="shared" si="1"/>
        <v>67.4876</v>
      </c>
      <c r="H70" s="391">
        <f t="shared" si="2"/>
        <v>224244.06653358546</v>
      </c>
      <c r="I70" s="324">
        <v>71000</v>
      </c>
      <c r="J70" s="325"/>
      <c r="K70" s="325"/>
      <c r="L70" s="319">
        <v>74887.03</v>
      </c>
      <c r="M70" s="320"/>
      <c r="N70" s="320"/>
      <c r="O70" s="320">
        <v>77225.63</v>
      </c>
      <c r="P70" s="392">
        <f t="shared" si="7"/>
        <v>74887.03</v>
      </c>
      <c r="Q70" s="392">
        <f t="shared" si="3"/>
        <v>0</v>
      </c>
      <c r="R70" s="392"/>
      <c r="S70" s="373"/>
      <c r="T70" s="374"/>
      <c r="U70" s="18">
        <f t="shared" si="8"/>
        <v>-71000</v>
      </c>
      <c r="V70" s="377">
        <f t="shared" si="9"/>
        <v>71000</v>
      </c>
      <c r="W70" s="18">
        <f t="shared" si="10"/>
        <v>79010.010323679991</v>
      </c>
      <c r="X70" s="377">
        <f t="shared" si="11"/>
        <v>-8010.0103236799914</v>
      </c>
      <c r="Y70" s="378">
        <f t="shared" si="12"/>
        <v>-159992.38715281122</v>
      </c>
    </row>
    <row r="71" spans="3:38" x14ac:dyDescent="0.2">
      <c r="C71" s="387">
        <f t="shared" si="4"/>
        <v>42086</v>
      </c>
      <c r="D71" s="388">
        <f t="shared" si="5"/>
        <v>149288.64774193548</v>
      </c>
      <c r="E71" s="392">
        <f t="shared" si="6"/>
        <v>76320.02</v>
      </c>
      <c r="F71" s="428">
        <f t="shared" si="0"/>
        <v>0.90119165000000001</v>
      </c>
      <c r="G71" s="390">
        <f t="shared" si="1"/>
        <v>68.778999999999996</v>
      </c>
      <c r="H71" s="391">
        <f t="shared" si="2"/>
        <v>225678.34793358546</v>
      </c>
      <c r="I71" s="324">
        <v>71000</v>
      </c>
      <c r="J71" s="325"/>
      <c r="K71" s="325"/>
      <c r="L71" s="317">
        <v>76320.02</v>
      </c>
      <c r="M71" s="318"/>
      <c r="N71" s="318"/>
      <c r="O71" s="318">
        <v>76985.59</v>
      </c>
      <c r="P71" s="392">
        <f t="shared" si="7"/>
        <v>76320.02</v>
      </c>
      <c r="Q71" s="392">
        <f t="shared" si="3"/>
        <v>0</v>
      </c>
      <c r="R71" s="392"/>
      <c r="S71" s="373"/>
      <c r="T71" s="374"/>
      <c r="U71" s="18">
        <f t="shared" si="8"/>
        <v>-71000</v>
      </c>
      <c r="V71" s="377">
        <f t="shared" si="9"/>
        <v>71000</v>
      </c>
      <c r="W71" s="18">
        <f t="shared" si="10"/>
        <v>80521.895021119999</v>
      </c>
      <c r="X71" s="377">
        <f t="shared" si="11"/>
        <v>-9521.895021119999</v>
      </c>
      <c r="Y71" s="378">
        <f t="shared" si="12"/>
        <v>-169514.28217393122</v>
      </c>
    </row>
    <row r="72" spans="3:38" x14ac:dyDescent="0.2">
      <c r="C72" s="387">
        <f t="shared" si="4"/>
        <v>42087</v>
      </c>
      <c r="D72" s="388">
        <f t="shared" si="5"/>
        <v>149288.64774193548</v>
      </c>
      <c r="E72" s="392">
        <f t="shared" si="6"/>
        <v>73146.59</v>
      </c>
      <c r="F72" s="428">
        <f t="shared" si="0"/>
        <v>0.90119165000000001</v>
      </c>
      <c r="G72" s="390">
        <f t="shared" si="1"/>
        <v>65.9191</v>
      </c>
      <c r="H72" s="391">
        <f t="shared" si="2"/>
        <v>222502.05803358546</v>
      </c>
      <c r="I72" s="324">
        <v>71000</v>
      </c>
      <c r="J72" s="325"/>
      <c r="K72" s="325"/>
      <c r="L72" s="319">
        <v>73146.59</v>
      </c>
      <c r="M72" s="320"/>
      <c r="N72" s="320"/>
      <c r="O72" s="320">
        <v>77236.679999999993</v>
      </c>
      <c r="P72" s="392">
        <f t="shared" si="7"/>
        <v>73146.59</v>
      </c>
      <c r="Q72" s="392">
        <f t="shared" si="3"/>
        <v>0</v>
      </c>
      <c r="R72" s="392"/>
      <c r="S72" s="373"/>
      <c r="T72" s="374"/>
      <c r="U72" s="18">
        <f t="shared" si="8"/>
        <v>-71000</v>
      </c>
      <c r="V72" s="377">
        <f t="shared" si="9"/>
        <v>71000</v>
      </c>
      <c r="W72" s="18">
        <f t="shared" si="10"/>
        <v>77173.748659039993</v>
      </c>
      <c r="X72" s="377">
        <f t="shared" si="11"/>
        <v>-6173.7486590399931</v>
      </c>
      <c r="Y72" s="378">
        <f t="shared" si="12"/>
        <v>-175688.03083297121</v>
      </c>
    </row>
    <row r="73" spans="3:38" x14ac:dyDescent="0.2">
      <c r="C73" s="387">
        <f t="shared" si="4"/>
        <v>42088</v>
      </c>
      <c r="D73" s="388">
        <f t="shared" si="5"/>
        <v>149288.64774193548</v>
      </c>
      <c r="E73" s="392">
        <f t="shared" si="6"/>
        <v>73407.37</v>
      </c>
      <c r="F73" s="428">
        <f t="shared" si="0"/>
        <v>0.90119165000000001</v>
      </c>
      <c r="G73" s="390">
        <f t="shared" si="1"/>
        <v>66.1541</v>
      </c>
      <c r="H73" s="391">
        <f t="shared" si="2"/>
        <v>222763.07303358548</v>
      </c>
      <c r="I73" s="324">
        <v>65000</v>
      </c>
      <c r="J73" s="325"/>
      <c r="K73" s="325"/>
      <c r="L73" s="317">
        <v>73407.37</v>
      </c>
      <c r="M73" s="318"/>
      <c r="N73" s="318"/>
      <c r="O73" s="318">
        <v>77768.63</v>
      </c>
      <c r="P73" s="392">
        <f t="shared" si="7"/>
        <v>73407.37</v>
      </c>
      <c r="Q73" s="392">
        <f t="shared" si="3"/>
        <v>0</v>
      </c>
      <c r="R73" s="392"/>
      <c r="S73" s="373"/>
      <c r="T73" s="374"/>
      <c r="U73" s="18">
        <f t="shared" si="8"/>
        <v>-65000</v>
      </c>
      <c r="V73" s="377">
        <f t="shared" si="9"/>
        <v>65000</v>
      </c>
      <c r="W73" s="18">
        <f t="shared" si="10"/>
        <v>77448.886162719995</v>
      </c>
      <c r="X73" s="377">
        <f t="shared" si="11"/>
        <v>-12448.886162719995</v>
      </c>
      <c r="Y73" s="378">
        <f t="shared" si="12"/>
        <v>-188136.91699569119</v>
      </c>
    </row>
    <row r="74" spans="3:38" x14ac:dyDescent="0.2">
      <c r="C74" s="387">
        <f t="shared" si="4"/>
        <v>42089</v>
      </c>
      <c r="D74" s="388">
        <f t="shared" si="5"/>
        <v>149288.64774193548</v>
      </c>
      <c r="E74" s="392">
        <f t="shared" si="6"/>
        <v>75424.990000000005</v>
      </c>
      <c r="F74" s="428">
        <f t="shared" si="0"/>
        <v>0.90119165000000001</v>
      </c>
      <c r="G74" s="390">
        <f t="shared" si="1"/>
        <v>67.972399999999993</v>
      </c>
      <c r="H74" s="391">
        <f t="shared" si="2"/>
        <v>224782.51133358548</v>
      </c>
      <c r="I74" s="324">
        <v>65000</v>
      </c>
      <c r="J74" s="325"/>
      <c r="K74" s="325"/>
      <c r="L74" s="319">
        <v>75424.990000000005</v>
      </c>
      <c r="M74" s="320"/>
      <c r="N74" s="320"/>
      <c r="O74" s="320">
        <v>77074.702000000005</v>
      </c>
      <c r="P74" s="392">
        <f t="shared" si="7"/>
        <v>75424.990000000005</v>
      </c>
      <c r="Q74" s="392">
        <f t="shared" si="3"/>
        <v>0</v>
      </c>
      <c r="R74" s="392"/>
      <c r="S74" s="373"/>
      <c r="T74" s="374"/>
      <c r="U74" s="18">
        <f t="shared" si="8"/>
        <v>-65000</v>
      </c>
      <c r="V74" s="377">
        <f t="shared" si="9"/>
        <v>65000</v>
      </c>
      <c r="W74" s="18">
        <f t="shared" si="10"/>
        <v>79577.588249439999</v>
      </c>
      <c r="X74" s="377">
        <f t="shared" si="11"/>
        <v>-14577.588249439999</v>
      </c>
      <c r="Y74" s="378">
        <f t="shared" si="12"/>
        <v>-202714.50524513121</v>
      </c>
    </row>
    <row r="75" spans="3:38" x14ac:dyDescent="0.2">
      <c r="C75" s="387">
        <f t="shared" si="4"/>
        <v>42090</v>
      </c>
      <c r="D75" s="388">
        <f t="shared" si="5"/>
        <v>149288.64774193548</v>
      </c>
      <c r="E75" s="392">
        <f t="shared" si="6"/>
        <v>73686.7</v>
      </c>
      <c r="F75" s="428">
        <f t="shared" si="0"/>
        <v>0.90119165000000001</v>
      </c>
      <c r="G75" s="390">
        <f t="shared" si="1"/>
        <v>66.405799999999999</v>
      </c>
      <c r="H75" s="391">
        <f t="shared" si="2"/>
        <v>223042.65473358546</v>
      </c>
      <c r="I75" s="324">
        <v>64998</v>
      </c>
      <c r="J75" s="325"/>
      <c r="K75" s="325"/>
      <c r="L75" s="317">
        <v>73686.7</v>
      </c>
      <c r="M75" s="318"/>
      <c r="N75" s="318"/>
      <c r="O75" s="318">
        <v>77504.95</v>
      </c>
      <c r="P75" s="392">
        <f t="shared" si="7"/>
        <v>73686.7</v>
      </c>
      <c r="Q75" s="392">
        <f t="shared" si="3"/>
        <v>0</v>
      </c>
      <c r="R75" s="392"/>
      <c r="S75" s="373"/>
      <c r="T75" s="374"/>
      <c r="U75" s="18">
        <f t="shared" si="8"/>
        <v>-64998</v>
      </c>
      <c r="V75" s="377">
        <f t="shared" si="9"/>
        <v>64998</v>
      </c>
      <c r="W75" s="18">
        <f t="shared" si="10"/>
        <v>77743.594955199995</v>
      </c>
      <c r="X75" s="377">
        <f t="shared" si="11"/>
        <v>-12745.594955199995</v>
      </c>
      <c r="Y75" s="378">
        <f t="shared" si="12"/>
        <v>-215460.10020033119</v>
      </c>
    </row>
    <row r="76" spans="3:38" x14ac:dyDescent="0.2">
      <c r="C76" s="387">
        <f t="shared" si="4"/>
        <v>42091</v>
      </c>
      <c r="D76" s="388">
        <f t="shared" si="5"/>
        <v>149288.64774193548</v>
      </c>
      <c r="E76" s="392">
        <f t="shared" si="6"/>
        <v>73490.786999999997</v>
      </c>
      <c r="F76" s="428">
        <f t="shared" si="0"/>
        <v>0.90119165000000001</v>
      </c>
      <c r="G76" s="390">
        <f t="shared" si="1"/>
        <v>66.229299999999995</v>
      </c>
      <c r="H76" s="391">
        <f t="shared" si="2"/>
        <v>222846.56523358545</v>
      </c>
      <c r="I76" s="324">
        <v>65000</v>
      </c>
      <c r="J76" s="325"/>
      <c r="K76" s="325"/>
      <c r="L76" s="319">
        <v>73490.786999999997</v>
      </c>
      <c r="M76" s="320"/>
      <c r="N76" s="320"/>
      <c r="O76" s="320">
        <v>73400.08</v>
      </c>
      <c r="P76" s="392">
        <f t="shared" si="7"/>
        <v>73490.786999999997</v>
      </c>
      <c r="Q76" s="392">
        <f t="shared" si="3"/>
        <v>0</v>
      </c>
      <c r="R76" s="392"/>
      <c r="S76" s="373"/>
      <c r="T76" s="374"/>
      <c r="U76" s="18">
        <f t="shared" si="8"/>
        <v>-65000</v>
      </c>
      <c r="V76" s="377">
        <f t="shared" si="9"/>
        <v>65000</v>
      </c>
      <c r="W76" s="18">
        <f t="shared" si="10"/>
        <v>77536.895769071998</v>
      </c>
      <c r="X76" s="377">
        <f t="shared" si="11"/>
        <v>-12536.895769071998</v>
      </c>
      <c r="Y76" s="378">
        <f t="shared" si="12"/>
        <v>-227996.99596940319</v>
      </c>
    </row>
    <row r="77" spans="3:38" x14ac:dyDescent="0.2">
      <c r="C77" s="387">
        <f t="shared" si="4"/>
        <v>42092</v>
      </c>
      <c r="D77" s="388">
        <f t="shared" si="5"/>
        <v>149288.64774193548</v>
      </c>
      <c r="E77" s="392">
        <f t="shared" si="6"/>
        <v>74443.98</v>
      </c>
      <c r="F77" s="428">
        <f t="shared" si="0"/>
        <v>0.90119165000000001</v>
      </c>
      <c r="G77" s="390">
        <f t="shared" si="1"/>
        <v>67.088300000000004</v>
      </c>
      <c r="H77" s="391">
        <f t="shared" si="2"/>
        <v>223800.61723358548</v>
      </c>
      <c r="I77" s="324">
        <v>74000</v>
      </c>
      <c r="J77" s="325"/>
      <c r="K77" s="325"/>
      <c r="L77" s="317">
        <v>74443.98</v>
      </c>
      <c r="M77" s="318"/>
      <c r="N77" s="318"/>
      <c r="O77" s="318">
        <v>72032.78</v>
      </c>
      <c r="P77" s="392">
        <f t="shared" si="7"/>
        <v>74443.98</v>
      </c>
      <c r="Q77" s="392">
        <f t="shared" si="3"/>
        <v>0</v>
      </c>
      <c r="R77" s="392"/>
      <c r="S77" s="373"/>
      <c r="T77" s="374"/>
      <c r="U77" s="18">
        <f t="shared" si="8"/>
        <v>-74000</v>
      </c>
      <c r="V77" s="377">
        <f t="shared" si="9"/>
        <v>74000</v>
      </c>
      <c r="W77" s="18">
        <f t="shared" si="10"/>
        <v>78542.567762879989</v>
      </c>
      <c r="X77" s="377">
        <f t="shared" si="11"/>
        <v>-4542.5677628799895</v>
      </c>
      <c r="Y77" s="378">
        <f t="shared" si="12"/>
        <v>-232539.56373228319</v>
      </c>
    </row>
    <row r="78" spans="3:38" x14ac:dyDescent="0.2">
      <c r="C78" s="387">
        <f t="shared" si="4"/>
        <v>42093</v>
      </c>
      <c r="D78" s="388">
        <f t="shared" si="5"/>
        <v>149288.64774193548</v>
      </c>
      <c r="E78" s="392">
        <f t="shared" si="6"/>
        <v>77249.09</v>
      </c>
      <c r="F78" s="428">
        <f t="shared" si="0"/>
        <v>0.90119165000000001</v>
      </c>
      <c r="G78" s="390">
        <f t="shared" si="1"/>
        <v>69.616200000000006</v>
      </c>
      <c r="H78" s="391">
        <f t="shared" si="2"/>
        <v>226608.25513358545</v>
      </c>
      <c r="I78" s="324">
        <v>73000</v>
      </c>
      <c r="J78" s="325"/>
      <c r="K78" s="325"/>
      <c r="L78" s="319">
        <v>77249.09</v>
      </c>
      <c r="M78" s="320"/>
      <c r="N78" s="320"/>
      <c r="O78" s="320">
        <v>77429.33</v>
      </c>
      <c r="P78" s="392">
        <f t="shared" si="7"/>
        <v>77249.09</v>
      </c>
      <c r="Q78" s="392">
        <f t="shared" si="3"/>
        <v>0</v>
      </c>
      <c r="R78" s="392"/>
      <c r="S78" s="373"/>
      <c r="T78" s="374"/>
      <c r="U78" s="18">
        <f t="shared" si="8"/>
        <v>-73000</v>
      </c>
      <c r="V78" s="377">
        <f t="shared" si="9"/>
        <v>73000</v>
      </c>
      <c r="W78" s="18">
        <f t="shared" si="10"/>
        <v>81502.11589904</v>
      </c>
      <c r="X78" s="377">
        <f t="shared" si="11"/>
        <v>-8502.1158990399999</v>
      </c>
      <c r="Y78" s="378">
        <f t="shared" si="12"/>
        <v>-241041.6796313232</v>
      </c>
    </row>
    <row r="79" spans="3:38" ht="15" thickBot="1" x14ac:dyDescent="0.25">
      <c r="C79" s="393">
        <f t="shared" si="4"/>
        <v>42094</v>
      </c>
      <c r="D79" s="394">
        <f t="shared" si="5"/>
        <v>149288.64774193548</v>
      </c>
      <c r="E79" s="395">
        <f t="shared" si="6"/>
        <v>77349.77</v>
      </c>
      <c r="F79" s="429">
        <f t="shared" si="0"/>
        <v>0.90119165000000001</v>
      </c>
      <c r="G79" s="396">
        <f t="shared" si="1"/>
        <v>69.706999999999994</v>
      </c>
      <c r="H79" s="397">
        <f t="shared" si="2"/>
        <v>226709.02593358545</v>
      </c>
      <c r="I79" s="326">
        <v>73000</v>
      </c>
      <c r="J79" s="327"/>
      <c r="K79" s="327"/>
      <c r="L79" s="321">
        <v>77349.77</v>
      </c>
      <c r="M79" s="322"/>
      <c r="N79" s="322"/>
      <c r="O79" s="322">
        <v>76268.763999999996</v>
      </c>
      <c r="P79" s="395">
        <f t="shared" si="7"/>
        <v>77349.77</v>
      </c>
      <c r="Q79" s="395">
        <f t="shared" si="3"/>
        <v>0</v>
      </c>
      <c r="R79" s="395"/>
      <c r="S79" s="375"/>
      <c r="T79" s="376"/>
      <c r="U79" s="379">
        <f t="shared" si="8"/>
        <v>-73000</v>
      </c>
      <c r="V79" s="380">
        <f t="shared" si="9"/>
        <v>73000</v>
      </c>
      <c r="W79" s="379">
        <f t="shared" si="10"/>
        <v>81608.338937120003</v>
      </c>
      <c r="X79" s="380">
        <f t="shared" si="11"/>
        <v>-8608.3389371200028</v>
      </c>
      <c r="Y79" s="381">
        <f t="shared" si="12"/>
        <v>-249650.01856844319</v>
      </c>
    </row>
    <row r="80" spans="3:38" ht="15" thickBot="1" x14ac:dyDescent="0.25">
      <c r="C80" s="398"/>
      <c r="D80" s="399">
        <f>SUM(D49:D79)</f>
        <v>4627948.0800000019</v>
      </c>
      <c r="E80" s="400">
        <f>SUM(E49:E79)</f>
        <v>2296226.9477340006</v>
      </c>
      <c r="F80" s="400"/>
      <c r="G80" s="401">
        <f>SUM(G49:G79)</f>
        <v>2069.3405999999995</v>
      </c>
      <c r="H80" s="399">
        <f>SUM(H49:H79)</f>
        <v>6926272.3052751487</v>
      </c>
      <c r="I80" s="432">
        <f>SUM(I49:I79)</f>
        <v>2172998</v>
      </c>
      <c r="J80" s="432">
        <f t="shared" ref="J80:R80" si="13">SUM(J49:J79)</f>
        <v>0</v>
      </c>
      <c r="K80" s="432">
        <f t="shared" si="13"/>
        <v>0</v>
      </c>
      <c r="L80" s="432">
        <f t="shared" si="13"/>
        <v>2296226.9477340006</v>
      </c>
      <c r="M80" s="432">
        <f t="shared" si="13"/>
        <v>0</v>
      </c>
      <c r="N80" s="432">
        <f t="shared" si="13"/>
        <v>0</v>
      </c>
      <c r="O80" s="432">
        <f t="shared" si="13"/>
        <v>1655244.6440000003</v>
      </c>
      <c r="P80" s="432">
        <f t="shared" si="13"/>
        <v>2296226.9477340006</v>
      </c>
      <c r="Q80" s="432">
        <f t="shared" si="13"/>
        <v>0</v>
      </c>
      <c r="R80" s="432">
        <f t="shared" si="13"/>
        <v>0</v>
      </c>
      <c r="U80" s="1"/>
      <c r="V80" s="328">
        <f>SUM(V49:V79)</f>
        <v>2172998</v>
      </c>
      <c r="W80" s="328">
        <f>SUM(W49:W79)</f>
        <v>2422648.0185684436</v>
      </c>
      <c r="X80" s="328">
        <f>SUM(X49:X79)</f>
        <v>-249650.01856844319</v>
      </c>
      <c r="Y80" s="323">
        <f>Y79</f>
        <v>-249650.01856844319</v>
      </c>
      <c r="AL80" s="361">
        <f>Y79</f>
        <v>-249650.01856844319</v>
      </c>
    </row>
    <row r="81" spans="2:14" ht="15" customHeight="1" x14ac:dyDescent="0.2">
      <c r="B81"/>
      <c r="C81"/>
      <c r="D81"/>
      <c r="E81"/>
      <c r="F81"/>
      <c r="G81"/>
      <c r="H81"/>
      <c r="I81"/>
      <c r="J81"/>
      <c r="K81"/>
      <c r="L81"/>
      <c r="N81" s="2"/>
    </row>
  </sheetData>
  <mergeCells count="13">
    <mergeCell ref="C10:D10"/>
    <mergeCell ref="C11:D11"/>
    <mergeCell ref="C3:M4"/>
    <mergeCell ref="C5:M5"/>
    <mergeCell ref="C6:M6"/>
    <mergeCell ref="G7:H7"/>
    <mergeCell ref="C9:D9"/>
    <mergeCell ref="D23:E23"/>
    <mergeCell ref="D24:E24"/>
    <mergeCell ref="C28:F28"/>
    <mergeCell ref="C39:F39"/>
    <mergeCell ref="S47:Y47"/>
    <mergeCell ref="L47:R47"/>
  </mergeCells>
  <conditionalFormatting sqref="L49:O79">
    <cfRule type="cellIs" dxfId="151" priority="1" stopIfTrue="1" operator="equal">
      <formula>0</formula>
    </cfRule>
  </conditionalFormatting>
  <printOptions horizontalCentered="1"/>
  <pageMargins left="0" right="0.31496062992125984" top="0.35433070866141736" bottom="0.35433070866141736" header="0.31496062992125984" footer="0.31496062992125984"/>
  <pageSetup scale="83" orientation="landscape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L81"/>
  <sheetViews>
    <sheetView workbookViewId="0"/>
  </sheetViews>
  <sheetFormatPr baseColWidth="10" defaultColWidth="11" defaultRowHeight="14.25" x14ac:dyDescent="0.2"/>
  <cols>
    <col min="1" max="1" width="11" style="2"/>
    <col min="2" max="2" width="3.875" style="2" bestFit="1" customWidth="1"/>
    <col min="3" max="3" width="16.125" style="2" customWidth="1"/>
    <col min="4" max="4" width="12.375" style="2" bestFit="1" customWidth="1"/>
    <col min="5" max="5" width="10.875" style="2" bestFit="1" customWidth="1"/>
    <col min="6" max="6" width="17.125" style="2" bestFit="1" customWidth="1"/>
    <col min="7" max="7" width="13.125" style="2" bestFit="1" customWidth="1"/>
    <col min="8" max="8" width="12.125" style="2" bestFit="1" customWidth="1"/>
    <col min="9" max="9" width="11.125" style="2" bestFit="1" customWidth="1"/>
    <col min="10" max="10" width="11.875" style="2" bestFit="1" customWidth="1"/>
    <col min="11" max="11" width="11.625" style="2" bestFit="1" customWidth="1"/>
    <col min="12" max="12" width="12.125" style="2" customWidth="1"/>
    <col min="13" max="13" width="12" style="2" bestFit="1" customWidth="1"/>
    <col min="14" max="14" width="9" style="1" customWidth="1"/>
    <col min="15" max="15" width="10.375" style="2" customWidth="1"/>
    <col min="16" max="25" width="11" style="2"/>
    <col min="26" max="31" width="10.875" customWidth="1"/>
    <col min="32" max="16384" width="11" style="2"/>
  </cols>
  <sheetData>
    <row r="2" spans="2:25" x14ac:dyDescent="0.2"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2:25" ht="15" customHeight="1" x14ac:dyDescent="0.2">
      <c r="B3" s="1"/>
      <c r="C3" s="2254" t="s">
        <v>0</v>
      </c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</row>
    <row r="4" spans="2:25" ht="15" customHeight="1" x14ac:dyDescent="0.2"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</row>
    <row r="5" spans="2:25" x14ac:dyDescent="0.2">
      <c r="B5" s="1"/>
      <c r="C5" s="2257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</row>
    <row r="6" spans="2:25" x14ac:dyDescent="0.2">
      <c r="B6" s="1"/>
      <c r="C6" s="2257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</row>
    <row r="7" spans="2:25" x14ac:dyDescent="0.2">
      <c r="B7" s="1"/>
      <c r="C7" s="516"/>
      <c r="D7" s="516"/>
      <c r="E7" s="516"/>
      <c r="F7" s="516"/>
      <c r="G7" s="2271">
        <v>42095</v>
      </c>
      <c r="H7" s="2257"/>
      <c r="I7" s="516"/>
      <c r="J7" s="516"/>
      <c r="K7" s="516"/>
      <c r="L7" s="516"/>
      <c r="M7" s="516"/>
      <c r="N7" s="18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2:25" x14ac:dyDescent="0.2">
      <c r="B8" s="1"/>
      <c r="C8" s="516"/>
      <c r="D8" s="516"/>
      <c r="E8" s="516"/>
      <c r="F8" s="516"/>
      <c r="G8" s="516"/>
      <c r="H8" s="516"/>
      <c r="I8" s="516"/>
      <c r="J8" s="516"/>
      <c r="K8" s="516"/>
      <c r="L8" s="516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2:25" ht="25.5" x14ac:dyDescent="0.2">
      <c r="B9" s="1"/>
      <c r="C9" s="2272" t="s">
        <v>6</v>
      </c>
      <c r="D9" s="2272"/>
      <c r="E9" s="517" t="s">
        <v>94</v>
      </c>
      <c r="F9" s="517" t="s">
        <v>126</v>
      </c>
      <c r="G9" s="410" t="s">
        <v>133</v>
      </c>
      <c r="H9" s="517" t="s">
        <v>127</v>
      </c>
      <c r="I9" s="517" t="s">
        <v>128</v>
      </c>
      <c r="J9" s="516"/>
      <c r="K9" s="516"/>
      <c r="L9" s="516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2:25" x14ac:dyDescent="0.2">
      <c r="B10" s="1"/>
      <c r="C10" s="2270" t="s">
        <v>131</v>
      </c>
      <c r="D10" s="2270"/>
      <c r="E10" s="433">
        <f>IF(C15=0,D15,C15)</f>
        <v>4627948.08</v>
      </c>
      <c r="F10" s="407">
        <f>E10*0.16</f>
        <v>740471.69280000008</v>
      </c>
      <c r="G10" s="407">
        <f>E10+F10</f>
        <v>5368419.7728000004</v>
      </c>
      <c r="H10" s="512" t="s">
        <v>169</v>
      </c>
      <c r="I10" s="513">
        <v>19</v>
      </c>
      <c r="J10" s="516"/>
      <c r="K10" s="516"/>
      <c r="L10" s="516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2:25" x14ac:dyDescent="0.2">
      <c r="B11" s="1"/>
      <c r="C11" s="2270" t="s">
        <v>132</v>
      </c>
      <c r="D11" s="2270"/>
      <c r="E11" s="433">
        <f>IF(C16=0,D16,C16)</f>
        <v>2027.78</v>
      </c>
      <c r="F11" s="407">
        <f>E11*0.16</f>
        <v>324.44479999999999</v>
      </c>
      <c r="G11" s="407">
        <f>E11+F11</f>
        <v>2352.2248</v>
      </c>
      <c r="H11" s="512" t="s">
        <v>169</v>
      </c>
      <c r="I11" s="513">
        <v>19</v>
      </c>
      <c r="J11" s="516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2:25" x14ac:dyDescent="0.2">
      <c r="B12" s="1"/>
      <c r="C12" s="516"/>
      <c r="D12" s="516"/>
      <c r="E12" s="516"/>
      <c r="F12" s="516"/>
      <c r="G12" s="516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2:25" ht="15" thickBot="1" x14ac:dyDescent="0.25">
      <c r="B13" s="1"/>
      <c r="C13" s="516"/>
      <c r="D13" s="516"/>
      <c r="E13" s="516"/>
      <c r="F13" s="516"/>
      <c r="G13" s="516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2:25" x14ac:dyDescent="0.2">
      <c r="B14" s="1"/>
      <c r="C14" s="440" t="s">
        <v>155</v>
      </c>
      <c r="D14" s="441" t="s">
        <v>156</v>
      </c>
      <c r="E14" s="442" t="s">
        <v>112</v>
      </c>
      <c r="F14" s="516"/>
      <c r="G14" s="516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2:25" x14ac:dyDescent="0.2">
      <c r="B15" s="1"/>
      <c r="C15" s="443">
        <v>4627948.08</v>
      </c>
      <c r="D15" s="444">
        <f>D80</f>
        <v>4627948.0800000029</v>
      </c>
      <c r="E15" s="445">
        <f>C15-D15</f>
        <v>0</v>
      </c>
      <c r="F15" s="516"/>
      <c r="G15" s="516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2:25" ht="15" thickBot="1" x14ac:dyDescent="0.25">
      <c r="B16" s="1"/>
      <c r="C16" s="446">
        <v>2027.78</v>
      </c>
      <c r="D16" s="447">
        <f>ROUND(G80,2)</f>
        <v>2027.78</v>
      </c>
      <c r="E16" s="448">
        <f>C16-D16</f>
        <v>0</v>
      </c>
      <c r="F16" s="516"/>
      <c r="G16" s="516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2:25" x14ac:dyDescent="0.2">
      <c r="B17" s="1"/>
      <c r="C17" s="516"/>
      <c r="D17" s="516"/>
      <c r="E17" s="516"/>
      <c r="F17" s="516"/>
      <c r="G17" s="516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2:25" x14ac:dyDescent="0.2">
      <c r="B18" s="1"/>
      <c r="C18" s="516"/>
      <c r="D18" s="516"/>
      <c r="E18" s="516"/>
      <c r="F18" s="516"/>
      <c r="G18" s="516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2:25" x14ac:dyDescent="0.2">
      <c r="B19" s="1"/>
      <c r="C19" s="516"/>
      <c r="D19" s="516"/>
      <c r="E19" s="516"/>
      <c r="F19" s="516"/>
      <c r="G19" s="516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2:25" x14ac:dyDescent="0.2">
      <c r="B20" s="1"/>
      <c r="C20" s="516"/>
      <c r="D20" s="516"/>
      <c r="E20" s="516"/>
      <c r="F20" s="516"/>
      <c r="G20" s="516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2:25" x14ac:dyDescent="0.2">
      <c r="B21" s="1"/>
      <c r="C21" s="516"/>
      <c r="D21" s="516"/>
      <c r="E21" s="516"/>
      <c r="F21" s="516"/>
      <c r="G21" s="516"/>
      <c r="H21" s="1"/>
      <c r="I21" s="1"/>
      <c r="J21" s="1"/>
      <c r="K21" s="1"/>
      <c r="L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2:25" ht="15" thickBot="1" x14ac:dyDescent="0.25">
      <c r="B22" s="1"/>
      <c r="C22" s="419" t="s">
        <v>137</v>
      </c>
      <c r="D22" s="516" t="s">
        <v>138</v>
      </c>
      <c r="E22" s="516"/>
      <c r="F22" s="516" t="s">
        <v>139</v>
      </c>
      <c r="G22" s="516" t="s">
        <v>157</v>
      </c>
      <c r="H22" s="516" t="s">
        <v>143</v>
      </c>
      <c r="I22" s="516" t="s">
        <v>142</v>
      </c>
      <c r="J22" s="516" t="s">
        <v>141</v>
      </c>
      <c r="K22" s="516" t="s">
        <v>140</v>
      </c>
      <c r="L22" s="516" t="s">
        <v>144</v>
      </c>
      <c r="M22" s="516" t="s">
        <v>146</v>
      </c>
      <c r="N22" s="516"/>
      <c r="O22" s="516"/>
      <c r="P22" s="516"/>
      <c r="Q22" s="1"/>
      <c r="R22" s="1"/>
      <c r="S22" s="1"/>
      <c r="T22" s="1"/>
      <c r="U22" s="1"/>
      <c r="V22" s="1"/>
      <c r="W22" s="1"/>
      <c r="X22" s="1"/>
      <c r="Y22" s="1"/>
    </row>
    <row r="23" spans="2:25" ht="36.75" customHeight="1" x14ac:dyDescent="0.2">
      <c r="B23" s="1"/>
      <c r="C23" s="402" t="s">
        <v>134</v>
      </c>
      <c r="D23" s="2261" t="s">
        <v>135</v>
      </c>
      <c r="E23" s="2262"/>
      <c r="F23" s="518" t="s">
        <v>136</v>
      </c>
      <c r="G23" s="461" t="s">
        <v>153</v>
      </c>
      <c r="H23" s="420" t="s">
        <v>129</v>
      </c>
      <c r="I23" s="403" t="s">
        <v>130</v>
      </c>
      <c r="J23" s="422"/>
      <c r="K23" s="422"/>
      <c r="L23" s="422"/>
      <c r="M23" s="404" t="s">
        <v>158</v>
      </c>
      <c r="N23" s="516"/>
      <c r="O23" s="516"/>
      <c r="P23" s="516"/>
      <c r="Q23" s="516"/>
      <c r="R23" s="516"/>
      <c r="S23" s="516"/>
      <c r="T23" s="516"/>
      <c r="U23" s="1"/>
      <c r="V23" s="1"/>
      <c r="W23" s="1"/>
      <c r="X23" s="1"/>
      <c r="Y23" s="1"/>
    </row>
    <row r="24" spans="2:25" x14ac:dyDescent="0.2">
      <c r="B24" s="1"/>
      <c r="C24" s="405">
        <v>850</v>
      </c>
      <c r="D24" s="2263">
        <v>850</v>
      </c>
      <c r="E24" s="2264"/>
      <c r="F24" s="418">
        <v>31482640</v>
      </c>
      <c r="G24" s="462">
        <v>30</v>
      </c>
      <c r="H24" s="460">
        <f>VLOOKUP(C47,Tarifas!D4:H303,3)</f>
        <v>0.14699999999999999</v>
      </c>
      <c r="I24" s="424">
        <f>VLOOKUP(C47,Tarifas!D4:H303,5)</f>
        <v>1E-3</v>
      </c>
      <c r="J24" s="421">
        <v>182.4</v>
      </c>
      <c r="K24" s="421">
        <v>201.4</v>
      </c>
      <c r="L24" s="421">
        <f>I11</f>
        <v>19</v>
      </c>
      <c r="M24" s="431">
        <f>E80</f>
        <v>2239008.1475</v>
      </c>
      <c r="N24" s="430" t="s">
        <v>62</v>
      </c>
      <c r="O24" s="516"/>
      <c r="P24" s="516"/>
      <c r="Q24" s="516"/>
      <c r="R24" s="516"/>
      <c r="S24" s="516"/>
      <c r="T24" s="516"/>
      <c r="U24" s="1"/>
      <c r="V24" s="1"/>
      <c r="W24" s="1"/>
      <c r="X24" s="1"/>
      <c r="Y24" s="1"/>
    </row>
    <row r="25" spans="2:25" x14ac:dyDescent="0.2">
      <c r="B25" s="1"/>
      <c r="C25" s="516"/>
      <c r="D25" s="516"/>
      <c r="E25" s="516"/>
      <c r="F25" s="516"/>
      <c r="G25" s="516"/>
      <c r="H25" s="516"/>
      <c r="I25" s="516"/>
      <c r="J25" s="516"/>
      <c r="K25" s="516"/>
      <c r="L25" s="516"/>
      <c r="M25" s="516"/>
      <c r="N25" s="516"/>
      <c r="O25" s="516"/>
      <c r="P25" s="516"/>
      <c r="Q25" s="516"/>
      <c r="R25" s="516"/>
      <c r="S25" s="1"/>
      <c r="T25" s="1"/>
      <c r="U25" s="1"/>
      <c r="V25" s="1"/>
      <c r="W25" s="1"/>
      <c r="X25" s="1"/>
      <c r="Y25" s="1"/>
    </row>
    <row r="26" spans="2:25" x14ac:dyDescent="0.2">
      <c r="B26" s="1"/>
      <c r="C26" s="516"/>
      <c r="D26" s="516"/>
      <c r="E26" s="516"/>
      <c r="F26" s="516"/>
      <c r="G26" s="516"/>
      <c r="H26" s="516"/>
      <c r="I26" s="516"/>
      <c r="J26" s="516"/>
      <c r="K26" s="516"/>
      <c r="L26" s="516"/>
      <c r="M26" s="516"/>
      <c r="N26" s="516"/>
      <c r="O26" s="516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2:25" x14ac:dyDescent="0.2">
      <c r="B27" s="1"/>
      <c r="C27" s="516"/>
      <c r="D27" s="516"/>
      <c r="E27" s="516"/>
      <c r="F27" s="516"/>
      <c r="G27" s="516"/>
      <c r="H27" s="516"/>
      <c r="I27" s="516"/>
      <c r="J27" s="516"/>
      <c r="K27" s="516"/>
      <c r="L27" s="516"/>
      <c r="M27" s="516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2:25" ht="15" thickBot="1" x14ac:dyDescent="0.25">
      <c r="B28" s="1"/>
      <c r="C28" s="2265" t="s">
        <v>86</v>
      </c>
      <c r="D28" s="2265"/>
      <c r="E28" s="2265"/>
      <c r="F28" s="2265"/>
      <c r="G28" s="519"/>
      <c r="H28" s="334"/>
      <c r="I28" s="334"/>
      <c r="J28" s="334"/>
      <c r="K28" s="519"/>
      <c r="L28" s="336"/>
      <c r="M28" s="336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2:25" ht="22.5" x14ac:dyDescent="0.2">
      <c r="B29" s="1"/>
      <c r="C29" s="337" t="s">
        <v>87</v>
      </c>
      <c r="D29" s="514" t="s">
        <v>88</v>
      </c>
      <c r="E29" s="514" t="s">
        <v>89</v>
      </c>
      <c r="F29" s="514" t="s">
        <v>20</v>
      </c>
      <c r="G29" s="514" t="s">
        <v>160</v>
      </c>
      <c r="H29" s="514" t="s">
        <v>90</v>
      </c>
      <c r="I29" s="514" t="s">
        <v>91</v>
      </c>
      <c r="J29" s="514" t="s">
        <v>92</v>
      </c>
      <c r="K29" s="514" t="s">
        <v>93</v>
      </c>
      <c r="L29" s="514" t="s">
        <v>94</v>
      </c>
      <c r="M29" s="515" t="s">
        <v>95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2:25" x14ac:dyDescent="0.2">
      <c r="B30" s="1"/>
      <c r="C30" s="338"/>
      <c r="D30" s="339">
        <v>1</v>
      </c>
      <c r="E30" s="339" t="s">
        <v>96</v>
      </c>
      <c r="F30" s="340" t="s">
        <v>97</v>
      </c>
      <c r="G30" s="340">
        <v>2201</v>
      </c>
      <c r="H30" s="339">
        <v>20823</v>
      </c>
      <c r="I30" s="341">
        <v>0</v>
      </c>
      <c r="J30" s="339">
        <v>138.15</v>
      </c>
      <c r="K30" s="342">
        <f>I30/I$35</f>
        <v>0</v>
      </c>
      <c r="L30" s="343">
        <f>ROUND(K30*E$10,2)</f>
        <v>0</v>
      </c>
      <c r="M30" s="344">
        <f>L30*$I$10</f>
        <v>0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2:25" x14ac:dyDescent="0.2">
      <c r="B31" s="1"/>
      <c r="C31" s="338"/>
      <c r="D31" s="339">
        <v>2</v>
      </c>
      <c r="E31" s="339" t="s">
        <v>98</v>
      </c>
      <c r="F31" s="340" t="s">
        <v>97</v>
      </c>
      <c r="G31" s="340">
        <v>2201</v>
      </c>
      <c r="H31" s="339">
        <v>20824</v>
      </c>
      <c r="I31" s="341">
        <v>0</v>
      </c>
      <c r="J31" s="339">
        <v>138.15</v>
      </c>
      <c r="K31" s="342">
        <f>I31/I$35</f>
        <v>0</v>
      </c>
      <c r="L31" s="343">
        <f>ROUND(K31*E$10,2)</f>
        <v>0</v>
      </c>
      <c r="M31" s="344">
        <f>L31*$I$10</f>
        <v>0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2:25" x14ac:dyDescent="0.2">
      <c r="B32" s="1"/>
      <c r="C32" s="338"/>
      <c r="D32" s="339">
        <v>1</v>
      </c>
      <c r="E32" s="339" t="s">
        <v>99</v>
      </c>
      <c r="F32" s="340" t="s">
        <v>100</v>
      </c>
      <c r="G32" s="340">
        <v>2230</v>
      </c>
      <c r="H32" s="339">
        <v>22228</v>
      </c>
      <c r="I32" s="341">
        <v>0</v>
      </c>
      <c r="J32" s="339">
        <v>130.80000000000001</v>
      </c>
      <c r="K32" s="342">
        <f>I32/I$35</f>
        <v>0</v>
      </c>
      <c r="L32" s="343">
        <f>ROUND(K32*E$10,2)</f>
        <v>0</v>
      </c>
      <c r="M32" s="344">
        <f>L32*$I$10</f>
        <v>0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2:25" x14ac:dyDescent="0.2">
      <c r="B33" s="1"/>
      <c r="C33" s="338">
        <v>800762390</v>
      </c>
      <c r="D33" s="339">
        <v>3</v>
      </c>
      <c r="E33" s="354" t="s">
        <v>101</v>
      </c>
      <c r="F33" s="463" t="s">
        <v>23</v>
      </c>
      <c r="G33" s="463">
        <v>2044</v>
      </c>
      <c r="H33" s="354">
        <v>591000500</v>
      </c>
      <c r="I33" s="341">
        <v>80000</v>
      </c>
      <c r="J33" s="339"/>
      <c r="K33" s="342">
        <f>I33/I$35</f>
        <v>9.4117647058823528E-2</v>
      </c>
      <c r="L33" s="343">
        <f>ROUND(K33*E$10,2)</f>
        <v>435571.58</v>
      </c>
      <c r="M33" s="344">
        <f>L33*$I$10</f>
        <v>8275860.0200000005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2:25" ht="15" thickBot="1" x14ac:dyDescent="0.25">
      <c r="B34" s="1"/>
      <c r="C34" s="345">
        <v>800642440</v>
      </c>
      <c r="D34" s="346">
        <v>5</v>
      </c>
      <c r="E34" s="347" t="s">
        <v>101</v>
      </c>
      <c r="F34" s="348" t="s">
        <v>159</v>
      </c>
      <c r="G34" s="348">
        <v>2277</v>
      </c>
      <c r="H34" s="347">
        <v>22770</v>
      </c>
      <c r="I34" s="349">
        <f>850000-I30-I31-I32-I33</f>
        <v>770000</v>
      </c>
      <c r="J34" s="346"/>
      <c r="K34" s="350">
        <f>I34/I$35</f>
        <v>0.90588235294117647</v>
      </c>
      <c r="L34" s="351">
        <f>ROUND(K34*E$10,2)</f>
        <v>4192376.5</v>
      </c>
      <c r="M34" s="352">
        <f>L34*$I$10</f>
        <v>79655153.5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2:25" x14ac:dyDescent="0.2">
      <c r="B35" s="1"/>
      <c r="C35" s="406">
        <v>3000623</v>
      </c>
      <c r="D35" s="353" t="s">
        <v>102</v>
      </c>
      <c r="E35" s="353"/>
      <c r="F35" s="353"/>
      <c r="G35" s="353"/>
      <c r="H35" s="354"/>
      <c r="I35" s="355">
        <f>SUM(I30:I34)</f>
        <v>850000</v>
      </c>
      <c r="J35" s="353"/>
      <c r="K35" s="356">
        <f>SUM(K30:K34)</f>
        <v>1</v>
      </c>
      <c r="L35" s="357">
        <f>SUM(L30:L34)</f>
        <v>4627948.08</v>
      </c>
      <c r="M35" s="357">
        <f>SUM(M30:M33)</f>
        <v>8275860.0200000005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2:25" x14ac:dyDescent="0.2">
      <c r="B36" s="1"/>
      <c r="C36" s="336"/>
      <c r="D36" s="336"/>
      <c r="E36" s="336"/>
      <c r="F36" s="358"/>
      <c r="G36" s="358"/>
      <c r="H36" s="336"/>
      <c r="I36" s="336"/>
      <c r="J36" s="336"/>
      <c r="K36" s="336"/>
      <c r="L36" s="359"/>
      <c r="M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2:25" x14ac:dyDescent="0.2">
      <c r="B37" s="1"/>
      <c r="C37" s="336"/>
      <c r="D37" s="336"/>
      <c r="E37" s="336"/>
      <c r="F37" s="358"/>
      <c r="G37" s="358"/>
      <c r="H37" s="336"/>
      <c r="I37" s="336"/>
      <c r="J37" s="336"/>
      <c r="K37" s="336"/>
      <c r="L37" s="359"/>
      <c r="M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2:25" x14ac:dyDescent="0.2">
      <c r="B38" s="1"/>
      <c r="C38" s="336"/>
      <c r="D38" s="336"/>
      <c r="E38" s="336"/>
      <c r="F38" s="358"/>
      <c r="G38" s="358"/>
      <c r="H38" s="336"/>
      <c r="I38" s="336"/>
      <c r="J38" s="336"/>
      <c r="K38" s="336"/>
      <c r="L38" s="359"/>
      <c r="M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2:25" ht="15" thickBot="1" x14ac:dyDescent="0.25">
      <c r="B39" s="1"/>
      <c r="C39" s="2266" t="s">
        <v>103</v>
      </c>
      <c r="D39" s="2266"/>
      <c r="E39" s="2266"/>
      <c r="F39" s="2266"/>
      <c r="G39" s="519"/>
      <c r="H39" s="334"/>
      <c r="I39" s="334"/>
      <c r="J39" s="334"/>
      <c r="K39" s="336"/>
      <c r="L39" s="336"/>
      <c r="M39" s="360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2:25" ht="22.5" x14ac:dyDescent="0.2">
      <c r="B40" s="1"/>
      <c r="C40" s="337" t="s">
        <v>87</v>
      </c>
      <c r="D40" s="514" t="s">
        <v>88</v>
      </c>
      <c r="E40" s="514" t="s">
        <v>89</v>
      </c>
      <c r="F40" s="514" t="s">
        <v>20</v>
      </c>
      <c r="G40" s="514"/>
      <c r="H40" s="514" t="s">
        <v>90</v>
      </c>
      <c r="I40" s="514" t="s">
        <v>104</v>
      </c>
      <c r="J40" s="514" t="s">
        <v>93</v>
      </c>
      <c r="K40" s="514" t="s">
        <v>92</v>
      </c>
      <c r="L40" s="514" t="s">
        <v>94</v>
      </c>
      <c r="M40" s="515" t="s">
        <v>95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2:25" x14ac:dyDescent="0.2">
      <c r="B41" s="1"/>
      <c r="C41" s="338"/>
      <c r="D41" s="339">
        <v>1</v>
      </c>
      <c r="E41" s="339" t="s">
        <v>96</v>
      </c>
      <c r="F41" s="340" t="s">
        <v>97</v>
      </c>
      <c r="G41" s="340"/>
      <c r="H41" s="339">
        <v>20823</v>
      </c>
      <c r="I41" s="341">
        <f>M80</f>
        <v>0</v>
      </c>
      <c r="J41" s="342">
        <f>I41/I$45</f>
        <v>0</v>
      </c>
      <c r="K41" s="339">
        <v>138.15</v>
      </c>
      <c r="L41" s="343">
        <f>ROUND(J41*$E$11,2)</f>
        <v>0</v>
      </c>
      <c r="M41" s="344">
        <f>L41*L24</f>
        <v>0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2:25" x14ac:dyDescent="0.2">
      <c r="B42" s="1"/>
      <c r="C42" s="338"/>
      <c r="D42" s="339">
        <v>2</v>
      </c>
      <c r="E42" s="339" t="s">
        <v>98</v>
      </c>
      <c r="F42" s="340" t="s">
        <v>97</v>
      </c>
      <c r="G42" s="340"/>
      <c r="H42" s="339">
        <v>20824</v>
      </c>
      <c r="I42" s="341">
        <f>N80</f>
        <v>0</v>
      </c>
      <c r="J42" s="342">
        <f>I42/I$45</f>
        <v>0</v>
      </c>
      <c r="K42" s="339">
        <v>138.15</v>
      </c>
      <c r="L42" s="343">
        <f>ROUND(J42*$E$11,2)</f>
        <v>0</v>
      </c>
      <c r="M42" s="344">
        <f>L42*L25</f>
        <v>0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2:25" x14ac:dyDescent="0.2">
      <c r="B43" s="1"/>
      <c r="C43" s="338"/>
      <c r="D43" s="339">
        <v>1</v>
      </c>
      <c r="E43" s="339" t="s">
        <v>99</v>
      </c>
      <c r="F43" s="340" t="s">
        <v>100</v>
      </c>
      <c r="G43" s="340"/>
      <c r="H43" s="339">
        <v>22228</v>
      </c>
      <c r="I43" s="341">
        <f>O80</f>
        <v>2233627.8067200002</v>
      </c>
      <c r="J43" s="342">
        <f>I43/I$45</f>
        <v>0.49939852686032676</v>
      </c>
      <c r="K43" s="339">
        <v>130.80000000000001</v>
      </c>
      <c r="L43" s="343">
        <f>ROUND(J43*$E$11,2)</f>
        <v>1012.67</v>
      </c>
      <c r="M43" s="344">
        <f>L43*L26</f>
        <v>0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2:25" ht="15" thickBot="1" x14ac:dyDescent="0.25">
      <c r="B44" s="1"/>
      <c r="C44" s="345">
        <v>800762390</v>
      </c>
      <c r="D44" s="346">
        <v>4</v>
      </c>
      <c r="E44" s="347" t="s">
        <v>101</v>
      </c>
      <c r="F44" s="348" t="s">
        <v>23</v>
      </c>
      <c r="G44" s="348"/>
      <c r="H44" s="347"/>
      <c r="I44" s="349">
        <f>L80</f>
        <v>2239008.1475</v>
      </c>
      <c r="J44" s="350">
        <f>I44/I$45</f>
        <v>0.50060147313967318</v>
      </c>
      <c r="K44" s="346">
        <v>138.15</v>
      </c>
      <c r="L44" s="351">
        <f>ROUND(J44*$E$11,2)</f>
        <v>1015.11</v>
      </c>
      <c r="M44" s="352">
        <f>L44*L27</f>
        <v>0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2:25" x14ac:dyDescent="0.2">
      <c r="B45" s="1"/>
      <c r="C45" s="353"/>
      <c r="D45" s="353"/>
      <c r="E45" s="353"/>
      <c r="F45" s="353"/>
      <c r="G45" s="353"/>
      <c r="H45" s="354"/>
      <c r="I45" s="449">
        <f>SUM(I41:I44)</f>
        <v>4472635.9542200007</v>
      </c>
      <c r="J45" s="355"/>
      <c r="K45" s="353"/>
      <c r="L45" s="357">
        <f>SUM(L41:L44)</f>
        <v>2027.78</v>
      </c>
      <c r="M45" s="357">
        <f>SUM(M41:M44)</f>
        <v>0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2:25" customFormat="1" ht="15" thickBot="1" x14ac:dyDescent="0.25">
      <c r="M46" s="450"/>
      <c r="N46" s="450"/>
      <c r="O46" s="450"/>
      <c r="P46" s="450"/>
      <c r="Q46" s="450"/>
      <c r="R46" s="450"/>
      <c r="S46" s="450"/>
      <c r="T46" s="450"/>
      <c r="U46" s="450"/>
      <c r="V46" s="450"/>
      <c r="W46" s="450"/>
      <c r="X46" s="450"/>
      <c r="Y46" s="450"/>
    </row>
    <row r="47" spans="2:25" ht="15" thickBot="1" x14ac:dyDescent="0.25">
      <c r="B47" s="434" t="s">
        <v>3</v>
      </c>
      <c r="C47" s="333">
        <f>SUMIF(Tarifas!E4:E303,'Abril - 2015'!C49,Tarifas!D4:D303)</f>
        <v>21</v>
      </c>
      <c r="D47" s="425" t="s">
        <v>147</v>
      </c>
      <c r="E47" s="426" t="s">
        <v>145</v>
      </c>
      <c r="F47" s="426" t="s">
        <v>150</v>
      </c>
      <c r="G47" s="426" t="s">
        <v>148</v>
      </c>
      <c r="H47" s="382"/>
      <c r="I47" s="331" t="s">
        <v>120</v>
      </c>
      <c r="J47" s="332"/>
      <c r="K47" s="332"/>
      <c r="L47" s="2277" t="s">
        <v>105</v>
      </c>
      <c r="M47" s="2278"/>
      <c r="N47" s="2278"/>
      <c r="O47" s="2278"/>
      <c r="P47" s="2278"/>
      <c r="Q47" s="2278"/>
      <c r="R47" s="2279"/>
      <c r="S47" s="2267" t="s">
        <v>121</v>
      </c>
      <c r="T47" s="2268"/>
      <c r="U47" s="2268"/>
      <c r="V47" s="2268"/>
      <c r="W47" s="2268"/>
      <c r="X47" s="2268"/>
      <c r="Y47" s="2269"/>
    </row>
    <row r="48" spans="2:25" ht="34.5" thickBot="1" x14ac:dyDescent="0.25">
      <c r="C48" s="383" t="s">
        <v>122</v>
      </c>
      <c r="D48" s="384" t="s">
        <v>125</v>
      </c>
      <c r="E48" s="385" t="s">
        <v>149</v>
      </c>
      <c r="F48" s="385" t="s">
        <v>151</v>
      </c>
      <c r="G48" s="385" t="s">
        <v>152</v>
      </c>
      <c r="H48" s="386" t="s">
        <v>123</v>
      </c>
      <c r="I48" s="1450" t="s">
        <v>377</v>
      </c>
      <c r="J48" s="1451" t="s">
        <v>376</v>
      </c>
      <c r="K48" s="1451" t="s">
        <v>375</v>
      </c>
      <c r="L48" s="1431" t="s">
        <v>115</v>
      </c>
      <c r="M48" s="1337" t="s">
        <v>106</v>
      </c>
      <c r="N48" s="1337" t="s">
        <v>107</v>
      </c>
      <c r="O48" s="1337" t="s">
        <v>108</v>
      </c>
      <c r="P48" s="1337" t="s">
        <v>115</v>
      </c>
      <c r="Q48" s="1338" t="s">
        <v>116</v>
      </c>
      <c r="R48" s="1339" t="s">
        <v>117</v>
      </c>
      <c r="S48" s="1446" t="s">
        <v>110</v>
      </c>
      <c r="T48" s="1344" t="s">
        <v>111</v>
      </c>
      <c r="U48" s="1344" t="s">
        <v>112</v>
      </c>
      <c r="V48" s="1345" t="s">
        <v>118</v>
      </c>
      <c r="W48" s="1345" t="s">
        <v>119</v>
      </c>
      <c r="X48" s="1345" t="s">
        <v>114</v>
      </c>
      <c r="Y48" s="1346" t="s">
        <v>113</v>
      </c>
    </row>
    <row r="49" spans="3:25" x14ac:dyDescent="0.2">
      <c r="C49" s="387">
        <f>G7</f>
        <v>42095</v>
      </c>
      <c r="D49" s="388">
        <f>($F$24*$H$24)/$G$24</f>
        <v>154264.93600000002</v>
      </c>
      <c r="E49" s="389">
        <f>P49+Q49+R49</f>
        <v>76736.89</v>
      </c>
      <c r="F49" s="427">
        <f t="shared" ref="F49:F78" si="0">TRUNC(IFERROR(J$24/K$24,0),8)</f>
        <v>0.90566036999999999</v>
      </c>
      <c r="G49" s="390">
        <f t="shared" ref="G49:G78" si="1">ROUND(I$24*F49*E49,4)</f>
        <v>69.497600000000006</v>
      </c>
      <c r="H49" s="391">
        <f t="shared" ref="H49:H78" si="2">SUM(D49:G49)</f>
        <v>231072.22926036999</v>
      </c>
      <c r="I49" s="324">
        <v>71186</v>
      </c>
      <c r="J49" s="325"/>
      <c r="K49" s="325">
        <v>76812.03</v>
      </c>
      <c r="L49" s="317">
        <v>76736.89</v>
      </c>
      <c r="M49" s="318"/>
      <c r="N49" s="318"/>
      <c r="O49" s="318">
        <v>76812.03</v>
      </c>
      <c r="P49" s="389">
        <f>L49</f>
        <v>76736.89</v>
      </c>
      <c r="Q49" s="389">
        <f t="shared" ref="Q49:Q78" si="3">M49+N49</f>
        <v>0</v>
      </c>
      <c r="R49" s="389"/>
      <c r="S49" s="373"/>
      <c r="T49" s="374"/>
      <c r="U49" s="524">
        <f>S49+T49-V49</f>
        <v>-147998.03</v>
      </c>
      <c r="V49" s="520">
        <f>I49+J49+K49</f>
        <v>147998.03</v>
      </c>
      <c r="W49" s="520">
        <f>(P49+Q49+R49)*1.055056</f>
        <v>80961.716215840002</v>
      </c>
      <c r="X49" s="520">
        <f>V49-W49</f>
        <v>67036.313784159996</v>
      </c>
      <c r="Y49" s="525">
        <f>AL46+X49</f>
        <v>67036.313784159996</v>
      </c>
    </row>
    <row r="50" spans="3:25" x14ac:dyDescent="0.2">
      <c r="C50" s="387">
        <f t="shared" ref="C50:C78" si="4">C49+1</f>
        <v>42096</v>
      </c>
      <c r="D50" s="388">
        <f t="shared" ref="D50:D78" si="5">($F$24*$H$24)/$G$24</f>
        <v>154264.93600000002</v>
      </c>
      <c r="E50" s="392">
        <f t="shared" ref="E50:E78" si="6">P50+Q50+R50</f>
        <v>74852.990000000005</v>
      </c>
      <c r="F50" s="428">
        <f t="shared" si="0"/>
        <v>0.90566036999999999</v>
      </c>
      <c r="G50" s="390">
        <f t="shared" si="1"/>
        <v>67.791399999999996</v>
      </c>
      <c r="H50" s="391">
        <f t="shared" si="2"/>
        <v>229186.62306037001</v>
      </c>
      <c r="I50" s="324">
        <v>68261</v>
      </c>
      <c r="J50" s="325"/>
      <c r="K50" s="325">
        <v>73715.89</v>
      </c>
      <c r="L50" s="319">
        <v>74852.990000000005</v>
      </c>
      <c r="M50" s="320"/>
      <c r="N50" s="320"/>
      <c r="O50" s="320">
        <v>73715.89</v>
      </c>
      <c r="P50" s="392">
        <f t="shared" ref="P50:P78" si="7">L50</f>
        <v>74852.990000000005</v>
      </c>
      <c r="Q50" s="392">
        <f t="shared" si="3"/>
        <v>0</v>
      </c>
      <c r="R50" s="392"/>
      <c r="S50" s="373"/>
      <c r="T50" s="374"/>
      <c r="U50" s="524">
        <f t="shared" ref="U50:U78" si="8">S50+T50-V50</f>
        <v>-141976.89000000001</v>
      </c>
      <c r="V50" s="520">
        <f t="shared" ref="V50:V78" si="9">I50+J50+K50</f>
        <v>141976.89000000001</v>
      </c>
      <c r="W50" s="520">
        <f t="shared" ref="W50:W78" si="10">(P50+Q50+R50)*1.055056</f>
        <v>78974.096217440005</v>
      </c>
      <c r="X50" s="520">
        <f t="shared" ref="X50:X78" si="11">V50-W50</f>
        <v>63002.793782560009</v>
      </c>
      <c r="Y50" s="525">
        <f>Y49+X50</f>
        <v>130039.10756672001</v>
      </c>
    </row>
    <row r="51" spans="3:25" x14ac:dyDescent="0.2">
      <c r="C51" s="387">
        <f t="shared" si="4"/>
        <v>42097</v>
      </c>
      <c r="D51" s="388">
        <f t="shared" si="5"/>
        <v>154264.93600000002</v>
      </c>
      <c r="E51" s="392">
        <f t="shared" si="6"/>
        <v>72165.66</v>
      </c>
      <c r="F51" s="428">
        <f t="shared" si="0"/>
        <v>0.90566036999999999</v>
      </c>
      <c r="G51" s="390">
        <f t="shared" si="1"/>
        <v>65.357600000000005</v>
      </c>
      <c r="H51" s="391">
        <f t="shared" si="2"/>
        <v>226496.85926036999</v>
      </c>
      <c r="I51" s="324">
        <v>68261</v>
      </c>
      <c r="J51" s="325"/>
      <c r="K51" s="325">
        <v>72963.44</v>
      </c>
      <c r="L51" s="317">
        <v>72165.66</v>
      </c>
      <c r="M51" s="318"/>
      <c r="N51" s="318"/>
      <c r="O51" s="318">
        <v>72963.44</v>
      </c>
      <c r="P51" s="392">
        <f t="shared" si="7"/>
        <v>72165.66</v>
      </c>
      <c r="Q51" s="392">
        <f t="shared" si="3"/>
        <v>0</v>
      </c>
      <c r="R51" s="392"/>
      <c r="S51" s="373"/>
      <c r="T51" s="374"/>
      <c r="U51" s="524">
        <f t="shared" si="8"/>
        <v>-141224.44</v>
      </c>
      <c r="V51" s="520">
        <f t="shared" si="9"/>
        <v>141224.44</v>
      </c>
      <c r="W51" s="520">
        <f t="shared" si="10"/>
        <v>76138.812576960001</v>
      </c>
      <c r="X51" s="520">
        <f t="shared" si="11"/>
        <v>65085.627423040001</v>
      </c>
      <c r="Y51" s="525">
        <f t="shared" ref="Y51:Y78" si="12">Y50+X51</f>
        <v>195124.73498976001</v>
      </c>
    </row>
    <row r="52" spans="3:25" x14ac:dyDescent="0.2">
      <c r="C52" s="387">
        <f t="shared" si="4"/>
        <v>42098</v>
      </c>
      <c r="D52" s="388">
        <f t="shared" si="5"/>
        <v>154264.93600000002</v>
      </c>
      <c r="E52" s="392">
        <f t="shared" si="6"/>
        <v>71365.66</v>
      </c>
      <c r="F52" s="428">
        <f t="shared" si="0"/>
        <v>0.90566036999999999</v>
      </c>
      <c r="G52" s="390">
        <f t="shared" si="1"/>
        <v>64.633099999999999</v>
      </c>
      <c r="H52" s="391">
        <f t="shared" si="2"/>
        <v>225696.13476037001</v>
      </c>
      <c r="I52" s="324">
        <v>68261</v>
      </c>
      <c r="J52" s="325"/>
      <c r="K52" s="325">
        <v>69124.149999999994</v>
      </c>
      <c r="L52" s="319">
        <v>71365.66</v>
      </c>
      <c r="M52" s="320"/>
      <c r="N52" s="320"/>
      <c r="O52" s="320">
        <v>69124.149999999994</v>
      </c>
      <c r="P52" s="392">
        <f t="shared" si="7"/>
        <v>71365.66</v>
      </c>
      <c r="Q52" s="392">
        <f t="shared" si="3"/>
        <v>0</v>
      </c>
      <c r="R52" s="392"/>
      <c r="S52" s="373"/>
      <c r="T52" s="374"/>
      <c r="U52" s="524">
        <f t="shared" si="8"/>
        <v>-137385.15</v>
      </c>
      <c r="V52" s="520">
        <f t="shared" si="9"/>
        <v>137385.15</v>
      </c>
      <c r="W52" s="520">
        <f t="shared" si="10"/>
        <v>75294.767776959998</v>
      </c>
      <c r="X52" s="520">
        <f t="shared" si="11"/>
        <v>62090.382223039996</v>
      </c>
      <c r="Y52" s="525">
        <f t="shared" si="12"/>
        <v>257215.11721280002</v>
      </c>
    </row>
    <row r="53" spans="3:25" x14ac:dyDescent="0.2">
      <c r="C53" s="387">
        <f t="shared" si="4"/>
        <v>42099</v>
      </c>
      <c r="D53" s="388">
        <f t="shared" si="5"/>
        <v>154264.93600000002</v>
      </c>
      <c r="E53" s="392">
        <f t="shared" si="6"/>
        <v>76333.039999999994</v>
      </c>
      <c r="F53" s="428">
        <f t="shared" si="0"/>
        <v>0.90566036999999999</v>
      </c>
      <c r="G53" s="390">
        <f t="shared" si="1"/>
        <v>69.131799999999998</v>
      </c>
      <c r="H53" s="391">
        <f t="shared" si="2"/>
        <v>230668.01346037001</v>
      </c>
      <c r="I53" s="324">
        <v>72161</v>
      </c>
      <c r="J53" s="325"/>
      <c r="K53" s="325">
        <v>67200.558999999994</v>
      </c>
      <c r="L53" s="317">
        <v>76333.039999999994</v>
      </c>
      <c r="M53" s="318"/>
      <c r="N53" s="318"/>
      <c r="O53" s="318">
        <v>67200.558999999994</v>
      </c>
      <c r="P53" s="392">
        <f t="shared" si="7"/>
        <v>76333.039999999994</v>
      </c>
      <c r="Q53" s="392">
        <f t="shared" si="3"/>
        <v>0</v>
      </c>
      <c r="R53" s="392"/>
      <c r="S53" s="373"/>
      <c r="T53" s="374"/>
      <c r="U53" s="524">
        <f t="shared" si="8"/>
        <v>-139361.55900000001</v>
      </c>
      <c r="V53" s="520">
        <f t="shared" si="9"/>
        <v>139361.55900000001</v>
      </c>
      <c r="W53" s="520">
        <f t="shared" si="10"/>
        <v>80535.631850239995</v>
      </c>
      <c r="X53" s="520">
        <f t="shared" si="11"/>
        <v>58825.927149760013</v>
      </c>
      <c r="Y53" s="525">
        <f t="shared" si="12"/>
        <v>316041.04436256003</v>
      </c>
    </row>
    <row r="54" spans="3:25" x14ac:dyDescent="0.2">
      <c r="C54" s="387">
        <f t="shared" si="4"/>
        <v>42100</v>
      </c>
      <c r="D54" s="388">
        <f t="shared" si="5"/>
        <v>154264.93600000002</v>
      </c>
      <c r="E54" s="392">
        <f t="shared" si="6"/>
        <v>76487.58</v>
      </c>
      <c r="F54" s="428">
        <f t="shared" si="0"/>
        <v>0.90566036999999999</v>
      </c>
      <c r="G54" s="390">
        <f t="shared" si="1"/>
        <v>69.271799999999999</v>
      </c>
      <c r="H54" s="391">
        <f t="shared" si="2"/>
        <v>230822.69346036998</v>
      </c>
      <c r="I54" s="324">
        <v>72161</v>
      </c>
      <c r="J54" s="325"/>
      <c r="K54" s="325">
        <v>77308.800000000003</v>
      </c>
      <c r="L54" s="319">
        <v>76487.58</v>
      </c>
      <c r="M54" s="320"/>
      <c r="N54" s="320"/>
      <c r="O54" s="320">
        <v>77308.800000000003</v>
      </c>
      <c r="P54" s="392">
        <f t="shared" si="7"/>
        <v>76487.58</v>
      </c>
      <c r="Q54" s="392">
        <f t="shared" si="3"/>
        <v>0</v>
      </c>
      <c r="R54" s="392"/>
      <c r="S54" s="373"/>
      <c r="T54" s="374"/>
      <c r="U54" s="524">
        <f t="shared" si="8"/>
        <v>-149469.79999999999</v>
      </c>
      <c r="V54" s="520">
        <f t="shared" si="9"/>
        <v>149469.79999999999</v>
      </c>
      <c r="W54" s="520">
        <f t="shared" si="10"/>
        <v>80698.680204479999</v>
      </c>
      <c r="X54" s="520">
        <f t="shared" si="11"/>
        <v>68771.11979551999</v>
      </c>
      <c r="Y54" s="525">
        <f t="shared" si="12"/>
        <v>384812.16415808001</v>
      </c>
    </row>
    <row r="55" spans="3:25" x14ac:dyDescent="0.2">
      <c r="C55" s="387">
        <f t="shared" si="4"/>
        <v>42101</v>
      </c>
      <c r="D55" s="388">
        <f t="shared" si="5"/>
        <v>154264.93600000002</v>
      </c>
      <c r="E55" s="392">
        <f t="shared" si="6"/>
        <v>76022.990000000005</v>
      </c>
      <c r="F55" s="428">
        <f t="shared" si="0"/>
        <v>0.90566036999999999</v>
      </c>
      <c r="G55" s="390">
        <f t="shared" si="1"/>
        <v>68.850999999999999</v>
      </c>
      <c r="H55" s="391">
        <f t="shared" si="2"/>
        <v>230357.68266037002</v>
      </c>
      <c r="I55" s="324">
        <v>72161</v>
      </c>
      <c r="J55" s="325"/>
      <c r="K55" s="325">
        <v>77325.09</v>
      </c>
      <c r="L55" s="317">
        <v>76022.990000000005</v>
      </c>
      <c r="M55" s="318"/>
      <c r="N55" s="318"/>
      <c r="O55" s="318">
        <v>77325.09</v>
      </c>
      <c r="P55" s="392">
        <f t="shared" si="7"/>
        <v>76022.990000000005</v>
      </c>
      <c r="Q55" s="392">
        <f t="shared" si="3"/>
        <v>0</v>
      </c>
      <c r="R55" s="392"/>
      <c r="S55" s="373"/>
      <c r="T55" s="374"/>
      <c r="U55" s="524">
        <f t="shared" si="8"/>
        <v>-149486.09</v>
      </c>
      <c r="V55" s="520">
        <f t="shared" si="9"/>
        <v>149486.09</v>
      </c>
      <c r="W55" s="520">
        <f t="shared" si="10"/>
        <v>80208.51173744</v>
      </c>
      <c r="X55" s="520">
        <f t="shared" si="11"/>
        <v>69277.578262559997</v>
      </c>
      <c r="Y55" s="525">
        <f t="shared" si="12"/>
        <v>454089.74242064002</v>
      </c>
    </row>
    <row r="56" spans="3:25" x14ac:dyDescent="0.2">
      <c r="C56" s="387">
        <f t="shared" si="4"/>
        <v>42102</v>
      </c>
      <c r="D56" s="388">
        <f t="shared" si="5"/>
        <v>154264.93600000002</v>
      </c>
      <c r="E56" s="392">
        <f t="shared" si="6"/>
        <v>75614.97</v>
      </c>
      <c r="F56" s="428">
        <f t="shared" si="0"/>
        <v>0.90566036999999999</v>
      </c>
      <c r="G56" s="390">
        <f t="shared" si="1"/>
        <v>68.481499999999997</v>
      </c>
      <c r="H56" s="391">
        <f t="shared" si="2"/>
        <v>229949.29316037</v>
      </c>
      <c r="I56" s="324">
        <v>72161</v>
      </c>
      <c r="J56" s="325"/>
      <c r="K56" s="325">
        <v>73869.509999999995</v>
      </c>
      <c r="L56" s="319">
        <v>75614.97</v>
      </c>
      <c r="M56" s="320"/>
      <c r="N56" s="320"/>
      <c r="O56" s="320">
        <v>73869.509999999995</v>
      </c>
      <c r="P56" s="392">
        <f t="shared" si="7"/>
        <v>75614.97</v>
      </c>
      <c r="Q56" s="392">
        <f t="shared" si="3"/>
        <v>0</v>
      </c>
      <c r="R56" s="392"/>
      <c r="S56" s="373"/>
      <c r="T56" s="374"/>
      <c r="U56" s="524">
        <f t="shared" si="8"/>
        <v>-146030.51</v>
      </c>
      <c r="V56" s="520">
        <f t="shared" si="9"/>
        <v>146030.51</v>
      </c>
      <c r="W56" s="520">
        <f t="shared" si="10"/>
        <v>79778.027788320003</v>
      </c>
      <c r="X56" s="520">
        <f t="shared" si="11"/>
        <v>66252.482211680006</v>
      </c>
      <c r="Y56" s="525">
        <f t="shared" si="12"/>
        <v>520342.22463231999</v>
      </c>
    </row>
    <row r="57" spans="3:25" x14ac:dyDescent="0.2">
      <c r="C57" s="387">
        <f t="shared" si="4"/>
        <v>42103</v>
      </c>
      <c r="D57" s="388">
        <f t="shared" si="5"/>
        <v>154264.93600000002</v>
      </c>
      <c r="E57" s="392">
        <f t="shared" si="6"/>
        <v>74927.08</v>
      </c>
      <c r="F57" s="428">
        <f t="shared" si="0"/>
        <v>0.90566036999999999</v>
      </c>
      <c r="G57" s="390">
        <f t="shared" si="1"/>
        <v>67.858500000000006</v>
      </c>
      <c r="H57" s="391">
        <f t="shared" si="2"/>
        <v>229260.78016036999</v>
      </c>
      <c r="I57" s="324">
        <v>68261</v>
      </c>
      <c r="J57" s="325"/>
      <c r="K57" s="325">
        <v>72658.59</v>
      </c>
      <c r="L57" s="317">
        <v>74927.08</v>
      </c>
      <c r="M57" s="318"/>
      <c r="N57" s="318"/>
      <c r="O57" s="318">
        <v>72658.59</v>
      </c>
      <c r="P57" s="392">
        <f t="shared" si="7"/>
        <v>74927.08</v>
      </c>
      <c r="Q57" s="392">
        <f t="shared" si="3"/>
        <v>0</v>
      </c>
      <c r="R57" s="392"/>
      <c r="S57" s="373"/>
      <c r="T57" s="374"/>
      <c r="U57" s="524">
        <f t="shared" si="8"/>
        <v>-140919.59</v>
      </c>
      <c r="V57" s="520">
        <f t="shared" si="9"/>
        <v>140919.59</v>
      </c>
      <c r="W57" s="520">
        <f t="shared" si="10"/>
        <v>79052.265316479999</v>
      </c>
      <c r="X57" s="520">
        <f t="shared" si="11"/>
        <v>61867.324683519997</v>
      </c>
      <c r="Y57" s="525">
        <f t="shared" si="12"/>
        <v>582209.54931584001</v>
      </c>
    </row>
    <row r="58" spans="3:25" x14ac:dyDescent="0.2">
      <c r="C58" s="387">
        <f t="shared" si="4"/>
        <v>42104</v>
      </c>
      <c r="D58" s="388">
        <f t="shared" si="5"/>
        <v>154264.93600000002</v>
      </c>
      <c r="E58" s="392">
        <f t="shared" si="6"/>
        <v>76261.429999999993</v>
      </c>
      <c r="F58" s="428">
        <f t="shared" si="0"/>
        <v>0.90566036999999999</v>
      </c>
      <c r="G58" s="390">
        <f t="shared" si="1"/>
        <v>69.066999999999993</v>
      </c>
      <c r="H58" s="391">
        <f t="shared" si="2"/>
        <v>230596.33866037001</v>
      </c>
      <c r="I58" s="324">
        <v>68261</v>
      </c>
      <c r="J58" s="325"/>
      <c r="K58" s="325">
        <v>71610.899999999994</v>
      </c>
      <c r="L58" s="319">
        <v>76261.429999999993</v>
      </c>
      <c r="M58" s="320"/>
      <c r="N58" s="320"/>
      <c r="O58" s="320">
        <v>71610.899999999994</v>
      </c>
      <c r="P58" s="392">
        <f t="shared" si="7"/>
        <v>76261.429999999993</v>
      </c>
      <c r="Q58" s="392">
        <f t="shared" si="3"/>
        <v>0</v>
      </c>
      <c r="R58" s="392"/>
      <c r="S58" s="373"/>
      <c r="T58" s="374"/>
      <c r="U58" s="524">
        <f t="shared" si="8"/>
        <v>-139871.9</v>
      </c>
      <c r="V58" s="520">
        <f t="shared" si="9"/>
        <v>139871.9</v>
      </c>
      <c r="W58" s="520">
        <f t="shared" si="10"/>
        <v>80460.079290079986</v>
      </c>
      <c r="X58" s="520">
        <f t="shared" si="11"/>
        <v>59411.820709920008</v>
      </c>
      <c r="Y58" s="525">
        <f t="shared" si="12"/>
        <v>641621.37002576003</v>
      </c>
    </row>
    <row r="59" spans="3:25" x14ac:dyDescent="0.2">
      <c r="C59" s="387">
        <f t="shared" si="4"/>
        <v>42105</v>
      </c>
      <c r="D59" s="388">
        <f t="shared" si="5"/>
        <v>154264.93600000002</v>
      </c>
      <c r="E59" s="392">
        <f t="shared" si="6"/>
        <v>76253.31</v>
      </c>
      <c r="F59" s="428">
        <f t="shared" si="0"/>
        <v>0.90566036999999999</v>
      </c>
      <c r="G59" s="390">
        <f t="shared" si="1"/>
        <v>69.059600000000003</v>
      </c>
      <c r="H59" s="391">
        <f t="shared" si="2"/>
        <v>230588.21126037001</v>
      </c>
      <c r="I59" s="324">
        <v>68261</v>
      </c>
      <c r="J59" s="325"/>
      <c r="K59" s="325">
        <v>66090.31</v>
      </c>
      <c r="L59" s="317">
        <v>76253.31</v>
      </c>
      <c r="M59" s="318"/>
      <c r="N59" s="318"/>
      <c r="O59" s="318">
        <v>66090.31</v>
      </c>
      <c r="P59" s="392">
        <f t="shared" si="7"/>
        <v>76253.31</v>
      </c>
      <c r="Q59" s="392">
        <f t="shared" si="3"/>
        <v>0</v>
      </c>
      <c r="R59" s="392"/>
      <c r="S59" s="373"/>
      <c r="T59" s="374"/>
      <c r="U59" s="524">
        <f t="shared" si="8"/>
        <v>-134351.31</v>
      </c>
      <c r="V59" s="520">
        <f t="shared" si="9"/>
        <v>134351.31</v>
      </c>
      <c r="W59" s="520">
        <f t="shared" si="10"/>
        <v>80451.512235360002</v>
      </c>
      <c r="X59" s="520">
        <f t="shared" si="11"/>
        <v>53899.797764639996</v>
      </c>
      <c r="Y59" s="525">
        <f t="shared" si="12"/>
        <v>695521.16779039998</v>
      </c>
    </row>
    <row r="60" spans="3:25" x14ac:dyDescent="0.2">
      <c r="C60" s="387">
        <f t="shared" si="4"/>
        <v>42106</v>
      </c>
      <c r="D60" s="388">
        <f t="shared" si="5"/>
        <v>154264.93600000002</v>
      </c>
      <c r="E60" s="392">
        <f t="shared" si="6"/>
        <v>76301.58</v>
      </c>
      <c r="F60" s="428">
        <f t="shared" si="0"/>
        <v>0.90566036999999999</v>
      </c>
      <c r="G60" s="390">
        <f t="shared" si="1"/>
        <v>69.103300000000004</v>
      </c>
      <c r="H60" s="391">
        <f t="shared" si="2"/>
        <v>230636.52496036998</v>
      </c>
      <c r="I60" s="324">
        <v>72161</v>
      </c>
      <c r="J60" s="325"/>
      <c r="K60" s="325">
        <v>48346.61</v>
      </c>
      <c r="L60" s="319">
        <v>76301.58</v>
      </c>
      <c r="M60" s="320"/>
      <c r="N60" s="320"/>
      <c r="O60" s="320">
        <v>48346.61</v>
      </c>
      <c r="P60" s="392">
        <f t="shared" si="7"/>
        <v>76301.58</v>
      </c>
      <c r="Q60" s="392">
        <f t="shared" si="3"/>
        <v>0</v>
      </c>
      <c r="R60" s="392"/>
      <c r="S60" s="373"/>
      <c r="T60" s="374"/>
      <c r="U60" s="524">
        <f t="shared" si="8"/>
        <v>-120507.61</v>
      </c>
      <c r="V60" s="520">
        <f t="shared" si="9"/>
        <v>120507.61</v>
      </c>
      <c r="W60" s="520">
        <f t="shared" si="10"/>
        <v>80502.439788479998</v>
      </c>
      <c r="X60" s="520">
        <f t="shared" si="11"/>
        <v>40005.170211520002</v>
      </c>
      <c r="Y60" s="525">
        <f t="shared" si="12"/>
        <v>735526.33800192003</v>
      </c>
    </row>
    <row r="61" spans="3:25" x14ac:dyDescent="0.2">
      <c r="C61" s="387">
        <f t="shared" si="4"/>
        <v>42107</v>
      </c>
      <c r="D61" s="388">
        <f t="shared" si="5"/>
        <v>154264.93600000002</v>
      </c>
      <c r="E61" s="392">
        <f t="shared" si="6"/>
        <v>74898.080000000002</v>
      </c>
      <c r="F61" s="428">
        <f t="shared" si="0"/>
        <v>0.90566036999999999</v>
      </c>
      <c r="G61" s="390">
        <f t="shared" si="1"/>
        <v>67.8322</v>
      </c>
      <c r="H61" s="391">
        <f t="shared" si="2"/>
        <v>229231.75386036999</v>
      </c>
      <c r="I61" s="324">
        <v>72161</v>
      </c>
      <c r="J61" s="325"/>
      <c r="K61" s="325">
        <v>73816.3</v>
      </c>
      <c r="L61" s="317">
        <v>74898.080000000002</v>
      </c>
      <c r="M61" s="318"/>
      <c r="N61" s="318"/>
      <c r="O61" s="318">
        <v>73816.3</v>
      </c>
      <c r="P61" s="392">
        <f t="shared" si="7"/>
        <v>74898.080000000002</v>
      </c>
      <c r="Q61" s="392">
        <f t="shared" si="3"/>
        <v>0</v>
      </c>
      <c r="R61" s="392"/>
      <c r="S61" s="373"/>
      <c r="T61" s="374"/>
      <c r="U61" s="524">
        <f t="shared" si="8"/>
        <v>-145977.29999999999</v>
      </c>
      <c r="V61" s="520">
        <f t="shared" si="9"/>
        <v>145977.29999999999</v>
      </c>
      <c r="W61" s="520">
        <f t="shared" si="10"/>
        <v>79021.668692480001</v>
      </c>
      <c r="X61" s="520">
        <f t="shared" si="11"/>
        <v>66955.631307519987</v>
      </c>
      <c r="Y61" s="525">
        <f t="shared" si="12"/>
        <v>802481.96930944</v>
      </c>
    </row>
    <row r="62" spans="3:25" x14ac:dyDescent="0.2">
      <c r="C62" s="387">
        <f t="shared" si="4"/>
        <v>42108</v>
      </c>
      <c r="D62" s="388">
        <f t="shared" si="5"/>
        <v>154264.93600000002</v>
      </c>
      <c r="E62" s="392">
        <f t="shared" si="6"/>
        <v>70157.69</v>
      </c>
      <c r="F62" s="428">
        <f t="shared" si="0"/>
        <v>0.90566036999999999</v>
      </c>
      <c r="G62" s="390">
        <f t="shared" si="1"/>
        <v>63.539000000000001</v>
      </c>
      <c r="H62" s="391">
        <f t="shared" si="2"/>
        <v>224487.07066036999</v>
      </c>
      <c r="I62" s="324">
        <v>72161</v>
      </c>
      <c r="J62" s="325"/>
      <c r="K62" s="325">
        <v>76166.350000000006</v>
      </c>
      <c r="L62" s="319">
        <v>70157.69</v>
      </c>
      <c r="M62" s="320"/>
      <c r="N62" s="320"/>
      <c r="O62" s="320">
        <v>76166.350000000006</v>
      </c>
      <c r="P62" s="392">
        <f t="shared" si="7"/>
        <v>70157.69</v>
      </c>
      <c r="Q62" s="392">
        <f t="shared" si="3"/>
        <v>0</v>
      </c>
      <c r="R62" s="392"/>
      <c r="S62" s="373"/>
      <c r="T62" s="374"/>
      <c r="U62" s="524">
        <f t="shared" si="8"/>
        <v>-148327.35</v>
      </c>
      <c r="V62" s="520">
        <f t="shared" si="9"/>
        <v>148327.35</v>
      </c>
      <c r="W62" s="520">
        <f t="shared" si="10"/>
        <v>74020.291780640007</v>
      </c>
      <c r="X62" s="520">
        <f t="shared" si="11"/>
        <v>74307.058219359998</v>
      </c>
      <c r="Y62" s="525">
        <f t="shared" si="12"/>
        <v>876789.02752879995</v>
      </c>
    </row>
    <row r="63" spans="3:25" x14ac:dyDescent="0.2">
      <c r="C63" s="387">
        <f t="shared" si="4"/>
        <v>42109</v>
      </c>
      <c r="D63" s="388">
        <f t="shared" si="5"/>
        <v>154264.93600000002</v>
      </c>
      <c r="E63" s="392">
        <f t="shared" si="6"/>
        <v>75694.899999999994</v>
      </c>
      <c r="F63" s="428">
        <f t="shared" si="0"/>
        <v>0.90566036999999999</v>
      </c>
      <c r="G63" s="390">
        <f t="shared" si="1"/>
        <v>68.553899999999999</v>
      </c>
      <c r="H63" s="391">
        <f t="shared" si="2"/>
        <v>230029.29556037</v>
      </c>
      <c r="I63" s="324">
        <v>72161</v>
      </c>
      <c r="J63" s="325"/>
      <c r="K63" s="325">
        <v>77027.199999999997</v>
      </c>
      <c r="L63" s="317">
        <v>75694.899999999994</v>
      </c>
      <c r="M63" s="318"/>
      <c r="N63" s="318"/>
      <c r="O63" s="318">
        <v>77027.199999999997</v>
      </c>
      <c r="P63" s="392">
        <f t="shared" si="7"/>
        <v>75694.899999999994</v>
      </c>
      <c r="Q63" s="392">
        <f t="shared" si="3"/>
        <v>0</v>
      </c>
      <c r="R63" s="392"/>
      <c r="S63" s="373"/>
      <c r="T63" s="374"/>
      <c r="U63" s="524">
        <f t="shared" si="8"/>
        <v>-149188.20000000001</v>
      </c>
      <c r="V63" s="520">
        <f t="shared" si="9"/>
        <v>149188.20000000001</v>
      </c>
      <c r="W63" s="520">
        <f t="shared" si="10"/>
        <v>79862.358414399991</v>
      </c>
      <c r="X63" s="520">
        <f t="shared" si="11"/>
        <v>69325.841585600021</v>
      </c>
      <c r="Y63" s="525">
        <f t="shared" si="12"/>
        <v>946114.8691144</v>
      </c>
    </row>
    <row r="64" spans="3:25" x14ac:dyDescent="0.2">
      <c r="C64" s="387">
        <f t="shared" si="4"/>
        <v>42110</v>
      </c>
      <c r="D64" s="388">
        <f t="shared" si="5"/>
        <v>154264.93600000002</v>
      </c>
      <c r="E64" s="392">
        <f t="shared" si="6"/>
        <v>74189.490000000005</v>
      </c>
      <c r="F64" s="428">
        <f t="shared" si="0"/>
        <v>0.90566036999999999</v>
      </c>
      <c r="G64" s="390">
        <f t="shared" si="1"/>
        <v>67.1905</v>
      </c>
      <c r="H64" s="391">
        <f t="shared" si="2"/>
        <v>228522.52216037002</v>
      </c>
      <c r="I64" s="324">
        <v>70211</v>
      </c>
      <c r="J64" s="325"/>
      <c r="K64" s="325">
        <v>77077.38</v>
      </c>
      <c r="L64" s="319">
        <v>74189.490000000005</v>
      </c>
      <c r="M64" s="320"/>
      <c r="N64" s="320"/>
      <c r="O64" s="320">
        <v>77077.38</v>
      </c>
      <c r="P64" s="392">
        <f t="shared" si="7"/>
        <v>74189.490000000005</v>
      </c>
      <c r="Q64" s="392">
        <f t="shared" si="3"/>
        <v>0</v>
      </c>
      <c r="R64" s="392"/>
      <c r="S64" s="373"/>
      <c r="T64" s="374"/>
      <c r="U64" s="524">
        <f t="shared" si="8"/>
        <v>-147288.38</v>
      </c>
      <c r="V64" s="520">
        <f t="shared" si="9"/>
        <v>147288.38</v>
      </c>
      <c r="W64" s="520">
        <f t="shared" si="10"/>
        <v>78274.066561440006</v>
      </c>
      <c r="X64" s="520">
        <f t="shared" si="11"/>
        <v>69014.313438559999</v>
      </c>
      <c r="Y64" s="525">
        <f t="shared" si="12"/>
        <v>1015129.18255296</v>
      </c>
    </row>
    <row r="65" spans="3:38" x14ac:dyDescent="0.2">
      <c r="C65" s="387">
        <f t="shared" si="4"/>
        <v>42111</v>
      </c>
      <c r="D65" s="388">
        <f t="shared" si="5"/>
        <v>154264.93600000002</v>
      </c>
      <c r="E65" s="392">
        <f t="shared" si="6"/>
        <v>73752.98</v>
      </c>
      <c r="F65" s="428">
        <f t="shared" si="0"/>
        <v>0.90566036999999999</v>
      </c>
      <c r="G65" s="390">
        <f t="shared" si="1"/>
        <v>66.795199999999994</v>
      </c>
      <c r="H65" s="391">
        <f t="shared" si="2"/>
        <v>228085.61686037001</v>
      </c>
      <c r="I65" s="324">
        <v>70211</v>
      </c>
      <c r="J65" s="325"/>
      <c r="K65" s="325">
        <v>77332.63</v>
      </c>
      <c r="L65" s="317">
        <v>73752.98</v>
      </c>
      <c r="M65" s="318"/>
      <c r="N65" s="318"/>
      <c r="O65" s="318">
        <v>77332.63</v>
      </c>
      <c r="P65" s="392">
        <f t="shared" si="7"/>
        <v>73752.98</v>
      </c>
      <c r="Q65" s="392">
        <f t="shared" si="3"/>
        <v>0</v>
      </c>
      <c r="R65" s="392"/>
      <c r="S65" s="373"/>
      <c r="T65" s="374"/>
      <c r="U65" s="524">
        <f t="shared" si="8"/>
        <v>-147543.63</v>
      </c>
      <c r="V65" s="520">
        <f t="shared" si="9"/>
        <v>147543.63</v>
      </c>
      <c r="W65" s="520">
        <f t="shared" si="10"/>
        <v>77813.524066879996</v>
      </c>
      <c r="X65" s="520">
        <f t="shared" si="11"/>
        <v>69730.105933120009</v>
      </c>
      <c r="Y65" s="525">
        <f t="shared" si="12"/>
        <v>1084859.28848608</v>
      </c>
    </row>
    <row r="66" spans="3:38" x14ac:dyDescent="0.2">
      <c r="C66" s="387">
        <f t="shared" si="4"/>
        <v>42112</v>
      </c>
      <c r="D66" s="388">
        <f t="shared" si="5"/>
        <v>154264.93600000002</v>
      </c>
      <c r="E66" s="392">
        <f t="shared" si="6"/>
        <v>74056.649999999994</v>
      </c>
      <c r="F66" s="428">
        <f t="shared" si="0"/>
        <v>0.90566036999999999</v>
      </c>
      <c r="G66" s="390">
        <f t="shared" si="1"/>
        <v>67.0702</v>
      </c>
      <c r="H66" s="391">
        <f t="shared" si="2"/>
        <v>228389.56186036998</v>
      </c>
      <c r="I66" s="324">
        <v>70211</v>
      </c>
      <c r="J66" s="325"/>
      <c r="K66" s="325">
        <v>77942.539999999994</v>
      </c>
      <c r="L66" s="319">
        <v>74056.649999999994</v>
      </c>
      <c r="M66" s="320"/>
      <c r="N66" s="320"/>
      <c r="O66" s="320">
        <v>77942.539999999994</v>
      </c>
      <c r="P66" s="392">
        <f t="shared" si="7"/>
        <v>74056.649999999994</v>
      </c>
      <c r="Q66" s="392">
        <f t="shared" si="3"/>
        <v>0</v>
      </c>
      <c r="R66" s="392"/>
      <c r="S66" s="373"/>
      <c r="T66" s="374"/>
      <c r="U66" s="524">
        <f t="shared" si="8"/>
        <v>-148153.53999999998</v>
      </c>
      <c r="V66" s="520">
        <f t="shared" si="9"/>
        <v>148153.53999999998</v>
      </c>
      <c r="W66" s="520">
        <f t="shared" si="10"/>
        <v>78133.912922399992</v>
      </c>
      <c r="X66" s="520">
        <f t="shared" si="11"/>
        <v>70019.627077599987</v>
      </c>
      <c r="Y66" s="525">
        <f t="shared" si="12"/>
        <v>1154878.91556368</v>
      </c>
    </row>
    <row r="67" spans="3:38" x14ac:dyDescent="0.2">
      <c r="C67" s="387">
        <f t="shared" si="4"/>
        <v>42113</v>
      </c>
      <c r="D67" s="388">
        <f t="shared" si="5"/>
        <v>154264.93600000002</v>
      </c>
      <c r="E67" s="392">
        <f t="shared" si="6"/>
        <v>71925.2</v>
      </c>
      <c r="F67" s="428">
        <f t="shared" si="0"/>
        <v>0.90566036999999999</v>
      </c>
      <c r="G67" s="390">
        <f t="shared" si="1"/>
        <v>65.139799999999994</v>
      </c>
      <c r="H67" s="391">
        <f t="shared" si="2"/>
        <v>226256.18146036999</v>
      </c>
      <c r="I67" s="324">
        <v>70211</v>
      </c>
      <c r="J67" s="325"/>
      <c r="K67" s="325">
        <v>77929.38</v>
      </c>
      <c r="L67" s="317">
        <v>71925.2</v>
      </c>
      <c r="M67" s="318"/>
      <c r="N67" s="318"/>
      <c r="O67" s="318">
        <v>77929.38</v>
      </c>
      <c r="P67" s="392">
        <f t="shared" si="7"/>
        <v>71925.2</v>
      </c>
      <c r="Q67" s="392">
        <f t="shared" si="3"/>
        <v>0</v>
      </c>
      <c r="R67" s="392"/>
      <c r="S67" s="373"/>
      <c r="T67" s="374"/>
      <c r="U67" s="524">
        <f t="shared" si="8"/>
        <v>-148140.38</v>
      </c>
      <c r="V67" s="520">
        <f t="shared" si="9"/>
        <v>148140.38</v>
      </c>
      <c r="W67" s="520">
        <f t="shared" si="10"/>
        <v>75885.11381119999</v>
      </c>
      <c r="X67" s="520">
        <f t="shared" si="11"/>
        <v>72255.266188800015</v>
      </c>
      <c r="Y67" s="525">
        <f t="shared" si="12"/>
        <v>1227134.1817524801</v>
      </c>
    </row>
    <row r="68" spans="3:38" x14ac:dyDescent="0.2">
      <c r="C68" s="387">
        <f t="shared" si="4"/>
        <v>42114</v>
      </c>
      <c r="D68" s="388">
        <f t="shared" si="5"/>
        <v>154264.93600000002</v>
      </c>
      <c r="E68" s="392">
        <f t="shared" si="6"/>
        <v>73658.649999999994</v>
      </c>
      <c r="F68" s="428">
        <f t="shared" si="0"/>
        <v>0.90566036999999999</v>
      </c>
      <c r="G68" s="390">
        <f t="shared" si="1"/>
        <v>66.709699999999998</v>
      </c>
      <c r="H68" s="391">
        <f t="shared" si="2"/>
        <v>227991.20136037</v>
      </c>
      <c r="I68" s="324">
        <v>72161</v>
      </c>
      <c r="J68" s="325"/>
      <c r="K68" s="325">
        <v>77759.210000000006</v>
      </c>
      <c r="L68" s="319">
        <v>73658.649999999994</v>
      </c>
      <c r="M68" s="320"/>
      <c r="N68" s="320"/>
      <c r="O68" s="320">
        <v>77759.210000000006</v>
      </c>
      <c r="P68" s="392">
        <f t="shared" si="7"/>
        <v>73658.649999999994</v>
      </c>
      <c r="Q68" s="392">
        <f t="shared" si="3"/>
        <v>0</v>
      </c>
      <c r="R68" s="392"/>
      <c r="S68" s="373"/>
      <c r="T68" s="374"/>
      <c r="U68" s="524">
        <f t="shared" si="8"/>
        <v>-149920.21000000002</v>
      </c>
      <c r="V68" s="520">
        <f t="shared" si="9"/>
        <v>149920.21000000002</v>
      </c>
      <c r="W68" s="520">
        <f t="shared" si="10"/>
        <v>77714.000634399999</v>
      </c>
      <c r="X68" s="520">
        <f t="shared" si="11"/>
        <v>72206.209365600022</v>
      </c>
      <c r="Y68" s="525">
        <f t="shared" si="12"/>
        <v>1299340.3911180801</v>
      </c>
    </row>
    <row r="69" spans="3:38" x14ac:dyDescent="0.2">
      <c r="C69" s="387">
        <f t="shared" si="4"/>
        <v>42115</v>
      </c>
      <c r="D69" s="388">
        <f t="shared" si="5"/>
        <v>154264.93600000002</v>
      </c>
      <c r="E69" s="392">
        <f t="shared" si="6"/>
        <v>73338.320000000007</v>
      </c>
      <c r="F69" s="428">
        <f t="shared" si="0"/>
        <v>0.90566036999999999</v>
      </c>
      <c r="G69" s="390">
        <f t="shared" si="1"/>
        <v>66.419600000000003</v>
      </c>
      <c r="H69" s="391">
        <f t="shared" si="2"/>
        <v>227670.58126037</v>
      </c>
      <c r="I69" s="324">
        <v>72955</v>
      </c>
      <c r="J69" s="325"/>
      <c r="K69" s="325">
        <v>77760.289999999994</v>
      </c>
      <c r="L69" s="317">
        <v>73338.320000000007</v>
      </c>
      <c r="M69" s="318"/>
      <c r="N69" s="318"/>
      <c r="O69" s="318">
        <v>77760.289999999994</v>
      </c>
      <c r="P69" s="392">
        <f t="shared" si="7"/>
        <v>73338.320000000007</v>
      </c>
      <c r="Q69" s="392">
        <f t="shared" si="3"/>
        <v>0</v>
      </c>
      <c r="R69" s="392"/>
      <c r="S69" s="373"/>
      <c r="T69" s="374"/>
      <c r="U69" s="524">
        <f t="shared" si="8"/>
        <v>-150715.28999999998</v>
      </c>
      <c r="V69" s="520">
        <f t="shared" si="9"/>
        <v>150715.28999999998</v>
      </c>
      <c r="W69" s="520">
        <f t="shared" si="10"/>
        <v>77376.034545920003</v>
      </c>
      <c r="X69" s="520">
        <f t="shared" si="11"/>
        <v>73339.255454079976</v>
      </c>
      <c r="Y69" s="525">
        <f t="shared" si="12"/>
        <v>1372679.6465721601</v>
      </c>
    </row>
    <row r="70" spans="3:38" x14ac:dyDescent="0.2">
      <c r="C70" s="387">
        <f t="shared" si="4"/>
        <v>42116</v>
      </c>
      <c r="D70" s="388">
        <f t="shared" si="5"/>
        <v>154264.93600000002</v>
      </c>
      <c r="E70" s="392">
        <f t="shared" si="6"/>
        <v>73311.870999999999</v>
      </c>
      <c r="F70" s="428">
        <f t="shared" si="0"/>
        <v>0.90566036999999999</v>
      </c>
      <c r="G70" s="390">
        <f t="shared" si="1"/>
        <v>66.395700000000005</v>
      </c>
      <c r="H70" s="391">
        <f t="shared" si="2"/>
        <v>227644.10836037001</v>
      </c>
      <c r="I70" s="324">
        <v>72955</v>
      </c>
      <c r="J70" s="325"/>
      <c r="K70" s="325">
        <v>77331.02</v>
      </c>
      <c r="L70" s="319">
        <v>73311.870999999999</v>
      </c>
      <c r="M70" s="320"/>
      <c r="N70" s="320"/>
      <c r="O70" s="320">
        <v>77331.02</v>
      </c>
      <c r="P70" s="392">
        <f t="shared" si="7"/>
        <v>73311.870999999999</v>
      </c>
      <c r="Q70" s="392">
        <f t="shared" si="3"/>
        <v>0</v>
      </c>
      <c r="R70" s="392"/>
      <c r="S70" s="373"/>
      <c r="T70" s="374"/>
      <c r="U70" s="524">
        <f t="shared" si="8"/>
        <v>-150286.02000000002</v>
      </c>
      <c r="V70" s="520">
        <f t="shared" si="9"/>
        <v>150286.02000000002</v>
      </c>
      <c r="W70" s="520">
        <f t="shared" si="10"/>
        <v>77348.129369775997</v>
      </c>
      <c r="X70" s="520">
        <f t="shared" si="11"/>
        <v>72937.890630224021</v>
      </c>
      <c r="Y70" s="525">
        <f t="shared" si="12"/>
        <v>1445617.5372023841</v>
      </c>
    </row>
    <row r="71" spans="3:38" x14ac:dyDescent="0.2">
      <c r="C71" s="387">
        <f t="shared" si="4"/>
        <v>42117</v>
      </c>
      <c r="D71" s="388">
        <f t="shared" si="5"/>
        <v>154264.93600000002</v>
      </c>
      <c r="E71" s="392">
        <f t="shared" si="6"/>
        <v>73212.142000000007</v>
      </c>
      <c r="F71" s="428">
        <f t="shared" si="0"/>
        <v>0.90566036999999999</v>
      </c>
      <c r="G71" s="390">
        <f t="shared" si="1"/>
        <v>66.305300000000003</v>
      </c>
      <c r="H71" s="391">
        <f t="shared" si="2"/>
        <v>227544.28896037003</v>
      </c>
      <c r="I71" s="324">
        <v>72955</v>
      </c>
      <c r="J71" s="325"/>
      <c r="K71" s="325">
        <v>75004.58</v>
      </c>
      <c r="L71" s="317">
        <v>73212.142000000007</v>
      </c>
      <c r="M71" s="318"/>
      <c r="N71" s="318"/>
      <c r="O71" s="318">
        <v>75004.58</v>
      </c>
      <c r="P71" s="392">
        <f t="shared" si="7"/>
        <v>73212.142000000007</v>
      </c>
      <c r="Q71" s="392">
        <f t="shared" si="3"/>
        <v>0</v>
      </c>
      <c r="R71" s="392"/>
      <c r="S71" s="373"/>
      <c r="T71" s="374"/>
      <c r="U71" s="524">
        <f t="shared" si="8"/>
        <v>-147959.58000000002</v>
      </c>
      <c r="V71" s="520">
        <f t="shared" si="9"/>
        <v>147959.58000000002</v>
      </c>
      <c r="W71" s="520">
        <f t="shared" si="10"/>
        <v>77242.909689952008</v>
      </c>
      <c r="X71" s="520">
        <f t="shared" si="11"/>
        <v>70716.670310048008</v>
      </c>
      <c r="Y71" s="525">
        <f t="shared" si="12"/>
        <v>1516334.207512432</v>
      </c>
    </row>
    <row r="72" spans="3:38" x14ac:dyDescent="0.2">
      <c r="C72" s="387">
        <f t="shared" si="4"/>
        <v>42118</v>
      </c>
      <c r="D72" s="388">
        <f t="shared" si="5"/>
        <v>154264.93600000002</v>
      </c>
      <c r="E72" s="392">
        <f t="shared" si="6"/>
        <v>74523.88</v>
      </c>
      <c r="F72" s="428">
        <f t="shared" si="0"/>
        <v>0.90566036999999999</v>
      </c>
      <c r="G72" s="390">
        <f t="shared" si="1"/>
        <v>67.493300000000005</v>
      </c>
      <c r="H72" s="391">
        <f t="shared" si="2"/>
        <v>228857.21496037001</v>
      </c>
      <c r="I72" s="324">
        <v>72955</v>
      </c>
      <c r="J72" s="325"/>
      <c r="K72" s="325">
        <v>77195.410999999993</v>
      </c>
      <c r="L72" s="319">
        <v>74523.88</v>
      </c>
      <c r="M72" s="320"/>
      <c r="N72" s="320"/>
      <c r="O72" s="320">
        <v>77195.410999999993</v>
      </c>
      <c r="P72" s="392">
        <f t="shared" si="7"/>
        <v>74523.88</v>
      </c>
      <c r="Q72" s="392">
        <f t="shared" si="3"/>
        <v>0</v>
      </c>
      <c r="R72" s="392"/>
      <c r="S72" s="373"/>
      <c r="T72" s="374"/>
      <c r="U72" s="524">
        <f t="shared" si="8"/>
        <v>-150150.41099999999</v>
      </c>
      <c r="V72" s="520">
        <f t="shared" si="9"/>
        <v>150150.41099999999</v>
      </c>
      <c r="W72" s="520">
        <f t="shared" si="10"/>
        <v>78626.866737279997</v>
      </c>
      <c r="X72" s="520">
        <f t="shared" si="11"/>
        <v>71523.544262719995</v>
      </c>
      <c r="Y72" s="525">
        <f t="shared" si="12"/>
        <v>1587857.751775152</v>
      </c>
    </row>
    <row r="73" spans="3:38" x14ac:dyDescent="0.2">
      <c r="C73" s="387">
        <f t="shared" si="4"/>
        <v>42119</v>
      </c>
      <c r="D73" s="388">
        <f t="shared" si="5"/>
        <v>154264.93600000002</v>
      </c>
      <c r="E73" s="392">
        <f t="shared" si="6"/>
        <v>76416.95</v>
      </c>
      <c r="F73" s="428">
        <f t="shared" si="0"/>
        <v>0.90566036999999999</v>
      </c>
      <c r="G73" s="390">
        <f t="shared" si="1"/>
        <v>69.207800000000006</v>
      </c>
      <c r="H73" s="391">
        <f t="shared" si="2"/>
        <v>230751.99946036999</v>
      </c>
      <c r="I73" s="324">
        <v>72955</v>
      </c>
      <c r="J73" s="325"/>
      <c r="K73" s="325">
        <v>76901.11</v>
      </c>
      <c r="L73" s="317">
        <v>76416.95</v>
      </c>
      <c r="M73" s="318"/>
      <c r="N73" s="318"/>
      <c r="O73" s="318">
        <v>76901.11</v>
      </c>
      <c r="P73" s="392">
        <f t="shared" si="7"/>
        <v>76416.95</v>
      </c>
      <c r="Q73" s="392">
        <f t="shared" si="3"/>
        <v>0</v>
      </c>
      <c r="R73" s="392"/>
      <c r="S73" s="373"/>
      <c r="T73" s="374"/>
      <c r="U73" s="524">
        <f t="shared" si="8"/>
        <v>-149856.10999999999</v>
      </c>
      <c r="V73" s="520">
        <f t="shared" si="9"/>
        <v>149856.10999999999</v>
      </c>
      <c r="W73" s="520">
        <f t="shared" si="10"/>
        <v>80624.161599200001</v>
      </c>
      <c r="X73" s="520">
        <f t="shared" si="11"/>
        <v>69231.948400799985</v>
      </c>
      <c r="Y73" s="525">
        <f t="shared" si="12"/>
        <v>1657089.7001759519</v>
      </c>
    </row>
    <row r="74" spans="3:38" x14ac:dyDescent="0.2">
      <c r="C74" s="387">
        <f t="shared" si="4"/>
        <v>42120</v>
      </c>
      <c r="D74" s="388">
        <f t="shared" si="5"/>
        <v>154264.93600000002</v>
      </c>
      <c r="E74" s="392">
        <f t="shared" si="6"/>
        <v>76484.381999999998</v>
      </c>
      <c r="F74" s="428">
        <f t="shared" si="0"/>
        <v>0.90566036999999999</v>
      </c>
      <c r="G74" s="390">
        <f t="shared" si="1"/>
        <v>69.268900000000002</v>
      </c>
      <c r="H74" s="391">
        <f t="shared" si="2"/>
        <v>230819.49256037001</v>
      </c>
      <c r="I74" s="324">
        <v>72955</v>
      </c>
      <c r="J74" s="325"/>
      <c r="K74" s="325">
        <v>76938.89</v>
      </c>
      <c r="L74" s="319">
        <v>76484.381999999998</v>
      </c>
      <c r="M74" s="320"/>
      <c r="N74" s="320"/>
      <c r="O74" s="320">
        <v>76938.89</v>
      </c>
      <c r="P74" s="392">
        <f t="shared" si="7"/>
        <v>76484.381999999998</v>
      </c>
      <c r="Q74" s="392">
        <f t="shared" si="3"/>
        <v>0</v>
      </c>
      <c r="R74" s="392"/>
      <c r="S74" s="373"/>
      <c r="T74" s="374"/>
      <c r="U74" s="524">
        <f t="shared" si="8"/>
        <v>-149893.89000000001</v>
      </c>
      <c r="V74" s="520">
        <f t="shared" si="9"/>
        <v>149893.89000000001</v>
      </c>
      <c r="W74" s="520">
        <f t="shared" si="10"/>
        <v>80695.306135391991</v>
      </c>
      <c r="X74" s="520">
        <f t="shared" si="11"/>
        <v>69198.583864608023</v>
      </c>
      <c r="Y74" s="525">
        <f t="shared" si="12"/>
        <v>1726288.28404056</v>
      </c>
    </row>
    <row r="75" spans="3:38" x14ac:dyDescent="0.2">
      <c r="C75" s="387">
        <f t="shared" si="4"/>
        <v>42121</v>
      </c>
      <c r="D75" s="388">
        <f t="shared" si="5"/>
        <v>154264.93600000002</v>
      </c>
      <c r="E75" s="392">
        <f t="shared" si="6"/>
        <v>75920.02</v>
      </c>
      <c r="F75" s="428">
        <f t="shared" si="0"/>
        <v>0.90566036999999999</v>
      </c>
      <c r="G75" s="390">
        <f t="shared" si="1"/>
        <v>68.757800000000003</v>
      </c>
      <c r="H75" s="391">
        <f t="shared" si="2"/>
        <v>230254.61946036998</v>
      </c>
      <c r="I75" s="324">
        <v>72955</v>
      </c>
      <c r="J75" s="325"/>
      <c r="K75" s="325">
        <v>77078.636719000002</v>
      </c>
      <c r="L75" s="317">
        <v>75920.02</v>
      </c>
      <c r="M75" s="318"/>
      <c r="N75" s="318"/>
      <c r="O75" s="318">
        <v>77078.636719000002</v>
      </c>
      <c r="P75" s="392">
        <f t="shared" si="7"/>
        <v>75920.02</v>
      </c>
      <c r="Q75" s="392">
        <f t="shared" si="3"/>
        <v>0</v>
      </c>
      <c r="R75" s="392"/>
      <c r="S75" s="373"/>
      <c r="T75" s="374"/>
      <c r="U75" s="524">
        <f t="shared" si="8"/>
        <v>-150033.636719</v>
      </c>
      <c r="V75" s="520">
        <f t="shared" si="9"/>
        <v>150033.636719</v>
      </c>
      <c r="W75" s="520">
        <f t="shared" si="10"/>
        <v>80099.872621119997</v>
      </c>
      <c r="X75" s="520">
        <f t="shared" si="11"/>
        <v>69933.764097880005</v>
      </c>
      <c r="Y75" s="525">
        <f t="shared" si="12"/>
        <v>1796222.0481384401</v>
      </c>
    </row>
    <row r="76" spans="3:38" x14ac:dyDescent="0.2">
      <c r="C76" s="387">
        <f t="shared" si="4"/>
        <v>42122</v>
      </c>
      <c r="D76" s="388">
        <f t="shared" si="5"/>
        <v>154264.93600000002</v>
      </c>
      <c r="E76" s="392">
        <f t="shared" si="6"/>
        <v>75975.45</v>
      </c>
      <c r="F76" s="428">
        <f t="shared" si="0"/>
        <v>0.90566036999999999</v>
      </c>
      <c r="G76" s="390">
        <f t="shared" si="1"/>
        <v>68.808000000000007</v>
      </c>
      <c r="H76" s="391">
        <f t="shared" si="2"/>
        <v>230310.09966036998</v>
      </c>
      <c r="I76" s="324">
        <v>72955</v>
      </c>
      <c r="J76" s="325"/>
      <c r="K76" s="325">
        <v>77359.492188000004</v>
      </c>
      <c r="L76" s="319">
        <v>75975.45</v>
      </c>
      <c r="M76" s="320"/>
      <c r="N76" s="320"/>
      <c r="O76" s="320">
        <v>77359.492188000004</v>
      </c>
      <c r="P76" s="392">
        <f t="shared" si="7"/>
        <v>75975.45</v>
      </c>
      <c r="Q76" s="392">
        <f t="shared" si="3"/>
        <v>0</v>
      </c>
      <c r="R76" s="392"/>
      <c r="S76" s="373"/>
      <c r="T76" s="374"/>
      <c r="U76" s="524">
        <f t="shared" si="8"/>
        <v>-150314.492188</v>
      </c>
      <c r="V76" s="520">
        <f t="shared" si="9"/>
        <v>150314.492188</v>
      </c>
      <c r="W76" s="520">
        <f t="shared" si="10"/>
        <v>80158.354375199997</v>
      </c>
      <c r="X76" s="520">
        <f t="shared" si="11"/>
        <v>70156.137812800007</v>
      </c>
      <c r="Y76" s="525">
        <f t="shared" si="12"/>
        <v>1866378.1859512401</v>
      </c>
    </row>
    <row r="77" spans="3:38" x14ac:dyDescent="0.2">
      <c r="C77" s="387">
        <f t="shared" si="4"/>
        <v>42123</v>
      </c>
      <c r="D77" s="388">
        <f t="shared" si="5"/>
        <v>154264.93600000002</v>
      </c>
      <c r="E77" s="392">
        <f t="shared" si="6"/>
        <v>74486.25</v>
      </c>
      <c r="F77" s="428">
        <f t="shared" si="0"/>
        <v>0.90566036999999999</v>
      </c>
      <c r="G77" s="390">
        <f t="shared" si="1"/>
        <v>67.459199999999996</v>
      </c>
      <c r="H77" s="391">
        <f t="shared" si="2"/>
        <v>228819.55086037001</v>
      </c>
      <c r="I77" s="324">
        <v>72955</v>
      </c>
      <c r="J77" s="325"/>
      <c r="K77" s="325">
        <v>77626.578125</v>
      </c>
      <c r="L77" s="317">
        <v>74486.25</v>
      </c>
      <c r="M77" s="318"/>
      <c r="N77" s="318"/>
      <c r="O77" s="318">
        <v>77626.578125</v>
      </c>
      <c r="P77" s="392">
        <f t="shared" si="7"/>
        <v>74486.25</v>
      </c>
      <c r="Q77" s="392">
        <f t="shared" si="3"/>
        <v>0</v>
      </c>
      <c r="R77" s="392"/>
      <c r="S77" s="373"/>
      <c r="T77" s="374"/>
      <c r="U77" s="524">
        <f t="shared" si="8"/>
        <v>-150581.578125</v>
      </c>
      <c r="V77" s="520">
        <f t="shared" si="9"/>
        <v>150581.578125</v>
      </c>
      <c r="W77" s="520">
        <f t="shared" si="10"/>
        <v>78587.164980000001</v>
      </c>
      <c r="X77" s="520">
        <f t="shared" si="11"/>
        <v>71994.413144999999</v>
      </c>
      <c r="Y77" s="525">
        <f t="shared" si="12"/>
        <v>1938372.59909624</v>
      </c>
    </row>
    <row r="78" spans="3:38" x14ac:dyDescent="0.2">
      <c r="C78" s="387">
        <f t="shared" si="4"/>
        <v>42124</v>
      </c>
      <c r="D78" s="388">
        <f t="shared" si="5"/>
        <v>154264.93600000002</v>
      </c>
      <c r="E78" s="392">
        <f t="shared" si="6"/>
        <v>73682.0625</v>
      </c>
      <c r="F78" s="428">
        <f t="shared" si="0"/>
        <v>0.90566036999999999</v>
      </c>
      <c r="G78" s="390">
        <f t="shared" si="1"/>
        <v>66.730900000000005</v>
      </c>
      <c r="H78" s="391">
        <f t="shared" si="2"/>
        <v>228014.63506037</v>
      </c>
      <c r="I78" s="324">
        <v>72955</v>
      </c>
      <c r="J78" s="325"/>
      <c r="K78" s="325">
        <v>78354.929688000004</v>
      </c>
      <c r="L78" s="319">
        <v>73682.0625</v>
      </c>
      <c r="M78" s="320"/>
      <c r="N78" s="320"/>
      <c r="O78" s="320">
        <v>78354.929688000004</v>
      </c>
      <c r="P78" s="392">
        <f t="shared" si="7"/>
        <v>73682.0625</v>
      </c>
      <c r="Q78" s="392">
        <f t="shared" si="3"/>
        <v>0</v>
      </c>
      <c r="R78" s="392"/>
      <c r="S78" s="373"/>
      <c r="T78" s="374"/>
      <c r="U78" s="524">
        <f t="shared" si="8"/>
        <v>-151309.929688</v>
      </c>
      <c r="V78" s="520">
        <f t="shared" si="9"/>
        <v>151309.929688</v>
      </c>
      <c r="W78" s="520">
        <f t="shared" si="10"/>
        <v>77738.702132999999</v>
      </c>
      <c r="X78" s="520">
        <f t="shared" si="11"/>
        <v>73571.227555000005</v>
      </c>
      <c r="Y78" s="525">
        <f t="shared" si="12"/>
        <v>2011943.82665124</v>
      </c>
    </row>
    <row r="79" spans="3:38" ht="15" thickBot="1" x14ac:dyDescent="0.25">
      <c r="C79" s="393"/>
      <c r="D79" s="394"/>
      <c r="E79" s="395"/>
      <c r="F79" s="429"/>
      <c r="G79" s="396"/>
      <c r="H79" s="397"/>
      <c r="I79" s="326"/>
      <c r="J79" s="327"/>
      <c r="K79" s="327"/>
      <c r="L79" s="321"/>
      <c r="M79" s="322"/>
      <c r="N79" s="322"/>
      <c r="O79" s="322"/>
      <c r="P79" s="395"/>
      <c r="Q79" s="395"/>
      <c r="R79" s="395"/>
      <c r="S79" s="375"/>
      <c r="T79" s="376"/>
      <c r="U79" s="379"/>
      <c r="V79" s="380"/>
      <c r="W79" s="379"/>
      <c r="X79" s="380"/>
      <c r="Y79" s="381"/>
    </row>
    <row r="80" spans="3:38" ht="15" thickBot="1" x14ac:dyDescent="0.25">
      <c r="C80" s="398"/>
      <c r="D80" s="399">
        <f>SUM(D49:D79)</f>
        <v>4627948.0800000029</v>
      </c>
      <c r="E80" s="400">
        <f>SUM(E49:E79)</f>
        <v>2239008.1475</v>
      </c>
      <c r="F80" s="400"/>
      <c r="G80" s="401">
        <f>SUM(G49:G79)</f>
        <v>2027.7811999999999</v>
      </c>
      <c r="H80" s="399">
        <f>SUM(H49:H79)</f>
        <v>6869011.1785110999</v>
      </c>
      <c r="I80" s="432">
        <f>SUM(I49:I79)</f>
        <v>2140595</v>
      </c>
      <c r="J80" s="432">
        <f t="shared" ref="J80:R80" si="13">SUM(J49:J79)</f>
        <v>0</v>
      </c>
      <c r="K80" s="432">
        <f t="shared" si="13"/>
        <v>2233627.8067200002</v>
      </c>
      <c r="L80" s="432">
        <f t="shared" si="13"/>
        <v>2239008.1475</v>
      </c>
      <c r="M80" s="432">
        <f t="shared" si="13"/>
        <v>0</v>
      </c>
      <c r="N80" s="432">
        <f t="shared" si="13"/>
        <v>0</v>
      </c>
      <c r="O80" s="432">
        <f t="shared" si="13"/>
        <v>2233627.8067200002</v>
      </c>
      <c r="P80" s="432">
        <f t="shared" si="13"/>
        <v>2239008.1475</v>
      </c>
      <c r="Q80" s="432">
        <f t="shared" si="13"/>
        <v>0</v>
      </c>
      <c r="R80" s="432">
        <f t="shared" si="13"/>
        <v>0</v>
      </c>
      <c r="U80" s="1"/>
      <c r="V80" s="328">
        <f>SUM(V49:V79)</f>
        <v>4374222.8067200007</v>
      </c>
      <c r="W80" s="328">
        <f>SUM(W49:W79)</f>
        <v>2362278.9800687595</v>
      </c>
      <c r="X80" s="328">
        <f>SUM(X49:X79)</f>
        <v>2011943.82665124</v>
      </c>
      <c r="Y80" s="323">
        <f>Y78</f>
        <v>2011943.82665124</v>
      </c>
      <c r="AL80" s="361">
        <f>Y79</f>
        <v>0</v>
      </c>
    </row>
    <row r="81" spans="2:14" ht="15" customHeight="1" x14ac:dyDescent="0.2">
      <c r="B81"/>
      <c r="C81"/>
      <c r="D81"/>
      <c r="E81"/>
      <c r="F81"/>
      <c r="G81"/>
      <c r="H81"/>
      <c r="I81"/>
      <c r="J81"/>
      <c r="K81"/>
      <c r="L81"/>
      <c r="N81" s="2"/>
    </row>
  </sheetData>
  <mergeCells count="13">
    <mergeCell ref="C10:D10"/>
    <mergeCell ref="C11:D11"/>
    <mergeCell ref="C3:M4"/>
    <mergeCell ref="C5:M5"/>
    <mergeCell ref="C6:M6"/>
    <mergeCell ref="G7:H7"/>
    <mergeCell ref="C9:D9"/>
    <mergeCell ref="D23:E23"/>
    <mergeCell ref="D24:E24"/>
    <mergeCell ref="C28:F28"/>
    <mergeCell ref="C39:F39"/>
    <mergeCell ref="S47:Y47"/>
    <mergeCell ref="L47:R47"/>
  </mergeCells>
  <conditionalFormatting sqref="L49:O79">
    <cfRule type="cellIs" dxfId="150" priority="1" stopIfTrue="1" operator="equal">
      <formula>0</formula>
    </cfRule>
  </conditionalFormatting>
  <printOptions horizontalCentered="1"/>
  <pageMargins left="0" right="0.31496062992125984" top="0.35433070866141736" bottom="0.35433070866141736" header="0.31496062992125984" footer="0.31496062992125984"/>
  <pageSetup scale="80" orientation="landscape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L81"/>
  <sheetViews>
    <sheetView workbookViewId="0"/>
  </sheetViews>
  <sheetFormatPr baseColWidth="10" defaultColWidth="11" defaultRowHeight="14.25" x14ac:dyDescent="0.2"/>
  <cols>
    <col min="1" max="1" width="11" style="2"/>
    <col min="2" max="2" width="3.875" style="2" bestFit="1" customWidth="1"/>
    <col min="3" max="3" width="16.125" style="2" customWidth="1"/>
    <col min="4" max="4" width="12.375" style="2" bestFit="1" customWidth="1"/>
    <col min="5" max="5" width="10.875" style="2" bestFit="1" customWidth="1"/>
    <col min="6" max="6" width="17.125" style="2" bestFit="1" customWidth="1"/>
    <col min="7" max="8" width="13.125" style="2" bestFit="1" customWidth="1"/>
    <col min="9" max="9" width="11.125" style="2" bestFit="1" customWidth="1"/>
    <col min="10" max="10" width="11.875" style="2" bestFit="1" customWidth="1"/>
    <col min="11" max="11" width="11.625" style="2" bestFit="1" customWidth="1"/>
    <col min="12" max="12" width="12.125" style="2" customWidth="1"/>
    <col min="13" max="13" width="12" style="2" bestFit="1" customWidth="1"/>
    <col min="14" max="14" width="9" style="1" customWidth="1"/>
    <col min="15" max="15" width="10.375" style="2" customWidth="1"/>
    <col min="16" max="25" width="11" style="2"/>
    <col min="26" max="31" width="10.875" customWidth="1"/>
    <col min="32" max="16384" width="11" style="2"/>
  </cols>
  <sheetData>
    <row r="2" spans="2:25" x14ac:dyDescent="0.2"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2:25" ht="15" customHeight="1" x14ac:dyDescent="0.2">
      <c r="B3" s="1"/>
      <c r="C3" s="2254" t="s">
        <v>0</v>
      </c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</row>
    <row r="4" spans="2:25" ht="15" customHeight="1" x14ac:dyDescent="0.2"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</row>
    <row r="5" spans="2:25" x14ac:dyDescent="0.2">
      <c r="B5" s="1"/>
      <c r="C5" s="2257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</row>
    <row r="6" spans="2:25" x14ac:dyDescent="0.2">
      <c r="B6" s="1"/>
      <c r="C6" s="2257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</row>
    <row r="7" spans="2:25" x14ac:dyDescent="0.2">
      <c r="B7" s="1"/>
      <c r="C7" s="516"/>
      <c r="D7" s="516"/>
      <c r="E7" s="516"/>
      <c r="F7" s="516"/>
      <c r="G7" s="2271">
        <v>42125</v>
      </c>
      <c r="H7" s="2257"/>
      <c r="I7" s="516"/>
      <c r="J7" s="516"/>
      <c r="K7" s="516"/>
      <c r="L7" s="516"/>
      <c r="M7" s="516"/>
      <c r="N7" s="18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2:25" x14ac:dyDescent="0.2">
      <c r="B8" s="1"/>
      <c r="C8" s="516"/>
      <c r="D8" s="516"/>
      <c r="E8" s="516"/>
      <c r="F8" s="516"/>
      <c r="G8" s="516"/>
      <c r="H8" s="516"/>
      <c r="I8" s="516"/>
      <c r="J8" s="516"/>
      <c r="K8" s="516"/>
      <c r="L8" s="516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2:25" ht="25.5" x14ac:dyDescent="0.2">
      <c r="B9" s="1"/>
      <c r="C9" s="2272" t="s">
        <v>6</v>
      </c>
      <c r="D9" s="2272"/>
      <c r="E9" s="517" t="s">
        <v>94</v>
      </c>
      <c r="F9" s="517" t="s">
        <v>126</v>
      </c>
      <c r="G9" s="410" t="s">
        <v>133</v>
      </c>
      <c r="H9" s="517" t="s">
        <v>127</v>
      </c>
      <c r="I9" s="517" t="s">
        <v>128</v>
      </c>
      <c r="J9" s="516"/>
      <c r="K9" s="516"/>
      <c r="L9" s="516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2:25" x14ac:dyDescent="0.2">
      <c r="B10" s="1"/>
      <c r="C10" s="2270" t="s">
        <v>131</v>
      </c>
      <c r="D10" s="2270"/>
      <c r="E10" s="433">
        <f>IF(C15=0,D15,C15)</f>
        <v>4627948.08</v>
      </c>
      <c r="F10" s="407">
        <f>E10*0.16</f>
        <v>740471.69280000008</v>
      </c>
      <c r="G10" s="407">
        <f>E10+F10</f>
        <v>5368419.7728000004</v>
      </c>
      <c r="H10" s="511" t="s">
        <v>193</v>
      </c>
      <c r="I10" s="474">
        <v>19</v>
      </c>
      <c r="J10" s="516"/>
      <c r="K10" s="516"/>
      <c r="L10" s="516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2:25" x14ac:dyDescent="0.2">
      <c r="B11" s="1"/>
      <c r="C11" s="2270" t="s">
        <v>132</v>
      </c>
      <c r="D11" s="2270"/>
      <c r="E11" s="433">
        <f>IF(C16=0,D16,C16)</f>
        <v>2087.0500000000002</v>
      </c>
      <c r="F11" s="407">
        <f>E11*0.16</f>
        <v>333.92800000000005</v>
      </c>
      <c r="G11" s="407">
        <f>E11+F11</f>
        <v>2420.9780000000001</v>
      </c>
      <c r="H11" s="511" t="s">
        <v>193</v>
      </c>
      <c r="I11" s="474">
        <v>19</v>
      </c>
      <c r="J11" s="516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2:25" x14ac:dyDescent="0.2">
      <c r="B12" s="1"/>
      <c r="C12" s="516"/>
      <c r="D12" s="516"/>
      <c r="E12" s="516"/>
      <c r="F12" s="516"/>
      <c r="G12" s="516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2:25" ht="15" thickBot="1" x14ac:dyDescent="0.25">
      <c r="B13" s="1"/>
      <c r="C13" s="516"/>
      <c r="D13" s="516"/>
      <c r="E13" s="516"/>
      <c r="F13" s="516"/>
      <c r="G13" s="516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2:25" x14ac:dyDescent="0.2">
      <c r="B14" s="1"/>
      <c r="C14" s="440" t="s">
        <v>155</v>
      </c>
      <c r="D14" s="441" t="s">
        <v>156</v>
      </c>
      <c r="E14" s="442" t="s">
        <v>112</v>
      </c>
      <c r="F14" s="516"/>
      <c r="G14" s="516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2:25" x14ac:dyDescent="0.2">
      <c r="B15" s="1"/>
      <c r="C15" s="443">
        <v>4627948.08</v>
      </c>
      <c r="D15" s="444">
        <f>D80</f>
        <v>4627948.0800000019</v>
      </c>
      <c r="E15" s="445">
        <f>C15-D15</f>
        <v>0</v>
      </c>
      <c r="F15" s="516"/>
      <c r="G15" s="516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2:25" ht="15" thickBot="1" x14ac:dyDescent="0.25">
      <c r="B16" s="1"/>
      <c r="C16" s="446">
        <v>2087.0500000000002</v>
      </c>
      <c r="D16" s="447">
        <f>ROUND(G80,2)</f>
        <v>2087.0500000000002</v>
      </c>
      <c r="E16" s="448">
        <f>C16-D16</f>
        <v>0</v>
      </c>
      <c r="F16" s="516"/>
      <c r="G16" s="516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2:25" x14ac:dyDescent="0.2">
      <c r="B17" s="1"/>
      <c r="C17" s="516"/>
      <c r="D17" s="516"/>
      <c r="E17" s="516"/>
      <c r="F17" s="516"/>
      <c r="G17" s="516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2:25" x14ac:dyDescent="0.2">
      <c r="B18" s="1"/>
      <c r="C18" s="516"/>
      <c r="D18" s="516"/>
      <c r="E18" s="516"/>
      <c r="F18" s="516"/>
      <c r="G18" s="516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2:25" x14ac:dyDescent="0.2">
      <c r="B19" s="1"/>
      <c r="C19" s="516"/>
      <c r="D19" s="516"/>
      <c r="E19" s="516"/>
      <c r="F19" s="516"/>
      <c r="G19" s="516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2:25" x14ac:dyDescent="0.2">
      <c r="B20" s="1"/>
      <c r="C20" s="516"/>
      <c r="D20" s="516"/>
      <c r="E20" s="516"/>
      <c r="F20" s="516"/>
      <c r="G20" s="516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2:25" x14ac:dyDescent="0.2">
      <c r="B21" s="1"/>
      <c r="C21" s="516"/>
      <c r="D21" s="516"/>
      <c r="E21" s="516"/>
      <c r="F21" s="516"/>
      <c r="G21" s="516"/>
      <c r="H21" s="1"/>
      <c r="I21" s="1"/>
      <c r="J21" s="1"/>
      <c r="K21" s="1"/>
      <c r="L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2:25" ht="15" thickBot="1" x14ac:dyDescent="0.25">
      <c r="B22" s="1"/>
      <c r="C22" s="419" t="s">
        <v>137</v>
      </c>
      <c r="D22" s="516" t="s">
        <v>138</v>
      </c>
      <c r="E22" s="516"/>
      <c r="F22" s="516" t="s">
        <v>139</v>
      </c>
      <c r="G22" s="516" t="s">
        <v>191</v>
      </c>
      <c r="H22" s="516" t="s">
        <v>143</v>
      </c>
      <c r="I22" s="516" t="s">
        <v>142</v>
      </c>
      <c r="J22" s="516" t="s">
        <v>141</v>
      </c>
      <c r="K22" s="516" t="s">
        <v>140</v>
      </c>
      <c r="L22" s="516" t="s">
        <v>144</v>
      </c>
      <c r="M22" s="516" t="s">
        <v>146</v>
      </c>
      <c r="N22" s="516"/>
      <c r="O22" s="516"/>
      <c r="P22" s="516"/>
      <c r="Q22" s="1"/>
      <c r="R22" s="1"/>
      <c r="S22" s="1"/>
      <c r="T22" s="1"/>
      <c r="U22" s="1"/>
      <c r="V22" s="1"/>
      <c r="W22" s="1"/>
      <c r="X22" s="1"/>
      <c r="Y22" s="1"/>
    </row>
    <row r="23" spans="2:25" ht="36.75" customHeight="1" x14ac:dyDescent="0.2">
      <c r="B23" s="1"/>
      <c r="C23" s="402" t="s">
        <v>134</v>
      </c>
      <c r="D23" s="2261" t="s">
        <v>135</v>
      </c>
      <c r="E23" s="2262"/>
      <c r="F23" s="518" t="s">
        <v>136</v>
      </c>
      <c r="G23" s="461" t="s">
        <v>153</v>
      </c>
      <c r="H23" s="420" t="s">
        <v>129</v>
      </c>
      <c r="I23" s="403" t="s">
        <v>130</v>
      </c>
      <c r="J23" s="422"/>
      <c r="K23" s="422"/>
      <c r="L23" s="422"/>
      <c r="M23" s="404" t="s">
        <v>158</v>
      </c>
      <c r="N23" s="516"/>
      <c r="O23" s="516"/>
      <c r="P23" s="516"/>
      <c r="Q23" s="516"/>
      <c r="R23" s="516"/>
      <c r="S23" s="516"/>
      <c r="T23" s="516"/>
      <c r="U23" s="1"/>
      <c r="V23" s="1"/>
      <c r="W23" s="1"/>
      <c r="X23" s="1"/>
      <c r="Y23" s="1"/>
    </row>
    <row r="24" spans="2:25" x14ac:dyDescent="0.2">
      <c r="B24" s="1"/>
      <c r="C24" s="405">
        <v>850</v>
      </c>
      <c r="D24" s="2263">
        <v>850</v>
      </c>
      <c r="E24" s="2264"/>
      <c r="F24" s="418">
        <v>31482640</v>
      </c>
      <c r="G24" s="462">
        <v>31</v>
      </c>
      <c r="H24" s="460">
        <f>VLOOKUP(C47,Tarifas!D4:H303,3)</f>
        <v>0.14699999999999999</v>
      </c>
      <c r="I24" s="424">
        <f>VLOOKUP(C47,Tarifas!D4:H303,5)</f>
        <v>1E-3</v>
      </c>
      <c r="J24" s="421">
        <v>183.3</v>
      </c>
      <c r="K24" s="421">
        <v>201.4</v>
      </c>
      <c r="L24" s="421">
        <f>I11</f>
        <v>19</v>
      </c>
      <c r="M24" s="431">
        <f>E80</f>
        <v>2293137.4949579998</v>
      </c>
      <c r="N24" s="430" t="s">
        <v>62</v>
      </c>
      <c r="O24" s="516"/>
      <c r="P24" s="516"/>
      <c r="Q24" s="516"/>
      <c r="R24" s="516"/>
      <c r="S24" s="516"/>
      <c r="T24" s="516"/>
      <c r="U24" s="1"/>
      <c r="V24" s="1"/>
      <c r="W24" s="1"/>
      <c r="X24" s="1"/>
      <c r="Y24" s="1"/>
    </row>
    <row r="25" spans="2:25" x14ac:dyDescent="0.2">
      <c r="B25" s="1"/>
      <c r="C25" s="516"/>
      <c r="D25" s="516"/>
      <c r="E25" s="516"/>
      <c r="F25" s="516"/>
      <c r="G25" s="516"/>
      <c r="H25" s="516"/>
      <c r="I25" s="516"/>
      <c r="J25" s="516"/>
      <c r="K25" s="516"/>
      <c r="L25" s="516"/>
      <c r="M25" s="516"/>
      <c r="N25" s="516"/>
      <c r="O25" s="516"/>
      <c r="P25" s="516"/>
      <c r="Q25" s="516"/>
      <c r="R25" s="516"/>
      <c r="S25" s="1"/>
      <c r="T25" s="1"/>
      <c r="U25" s="1"/>
      <c r="V25" s="1"/>
      <c r="W25" s="1"/>
      <c r="X25" s="1"/>
      <c r="Y25" s="1"/>
    </row>
    <row r="26" spans="2:25" x14ac:dyDescent="0.2">
      <c r="B26" s="1"/>
      <c r="C26" s="516"/>
      <c r="D26" s="516"/>
      <c r="E26" s="516"/>
      <c r="F26" s="516"/>
      <c r="G26" s="516"/>
      <c r="H26" s="516"/>
      <c r="I26" s="516"/>
      <c r="J26" s="516"/>
      <c r="K26" s="516"/>
      <c r="L26" s="516"/>
      <c r="M26" s="516"/>
      <c r="N26" s="516"/>
      <c r="O26" s="516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2:25" x14ac:dyDescent="0.2">
      <c r="B27" s="1"/>
      <c r="C27" s="516"/>
      <c r="D27" s="516"/>
      <c r="E27" s="516"/>
      <c r="F27" s="516"/>
      <c r="G27" s="516"/>
      <c r="H27" s="516"/>
      <c r="I27" s="516"/>
      <c r="J27" s="516"/>
      <c r="K27" s="516"/>
      <c r="L27" s="516"/>
      <c r="M27" s="516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2:25" ht="15" thickBot="1" x14ac:dyDescent="0.25">
      <c r="B28" s="1"/>
      <c r="C28" s="2265" t="s">
        <v>86</v>
      </c>
      <c r="D28" s="2265"/>
      <c r="E28" s="2265"/>
      <c r="F28" s="2265"/>
      <c r="G28" s="519"/>
      <c r="H28" s="334"/>
      <c r="I28" s="334"/>
      <c r="J28" s="334"/>
      <c r="K28" s="519"/>
      <c r="L28" s="336"/>
      <c r="M28" s="336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2:25" ht="22.5" x14ac:dyDescent="0.2">
      <c r="B29" s="1"/>
      <c r="C29" s="337" t="s">
        <v>87</v>
      </c>
      <c r="D29" s="514" t="s">
        <v>88</v>
      </c>
      <c r="E29" s="514" t="s">
        <v>89</v>
      </c>
      <c r="F29" s="514" t="s">
        <v>20</v>
      </c>
      <c r="G29" s="514" t="s">
        <v>160</v>
      </c>
      <c r="H29" s="514" t="s">
        <v>90</v>
      </c>
      <c r="I29" s="514" t="s">
        <v>91</v>
      </c>
      <c r="J29" s="514" t="s">
        <v>92</v>
      </c>
      <c r="K29" s="514" t="s">
        <v>93</v>
      </c>
      <c r="L29" s="514" t="s">
        <v>94</v>
      </c>
      <c r="M29" s="515" t="s">
        <v>95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2:25" x14ac:dyDescent="0.2">
      <c r="B30" s="1"/>
      <c r="C30" s="338"/>
      <c r="D30" s="339">
        <v>0</v>
      </c>
      <c r="E30" s="339" t="s">
        <v>96</v>
      </c>
      <c r="F30" s="340" t="s">
        <v>97</v>
      </c>
      <c r="G30" s="340">
        <v>2201</v>
      </c>
      <c r="H30" s="339">
        <v>20823</v>
      </c>
      <c r="I30" s="341">
        <v>0</v>
      </c>
      <c r="J30" s="339">
        <v>138.15</v>
      </c>
      <c r="K30" s="342">
        <v>0</v>
      </c>
      <c r="L30" s="343">
        <f>ROUND(K30*E$10,2)</f>
        <v>0</v>
      </c>
      <c r="M30" s="344">
        <f>L30*$I$10</f>
        <v>0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2:25" x14ac:dyDescent="0.2">
      <c r="B31" s="1"/>
      <c r="C31" s="338"/>
      <c r="D31" s="339">
        <v>0</v>
      </c>
      <c r="E31" s="339" t="s">
        <v>98</v>
      </c>
      <c r="F31" s="340" t="s">
        <v>97</v>
      </c>
      <c r="G31" s="340">
        <v>2201</v>
      </c>
      <c r="H31" s="339">
        <v>20824</v>
      </c>
      <c r="I31" s="341">
        <v>0</v>
      </c>
      <c r="J31" s="339">
        <v>138.15</v>
      </c>
      <c r="K31" s="342">
        <v>0</v>
      </c>
      <c r="L31" s="343">
        <f>ROUND(K31*E$10,2)</f>
        <v>0</v>
      </c>
      <c r="M31" s="344">
        <f>L31*$I$10</f>
        <v>0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2:25" x14ac:dyDescent="0.2">
      <c r="B32" s="1"/>
      <c r="C32" s="338"/>
      <c r="D32" s="339">
        <v>0</v>
      </c>
      <c r="E32" s="339" t="s">
        <v>99</v>
      </c>
      <c r="F32" s="340" t="s">
        <v>100</v>
      </c>
      <c r="G32" s="340">
        <v>2230</v>
      </c>
      <c r="H32" s="339">
        <v>22228</v>
      </c>
      <c r="I32" s="341">
        <v>0</v>
      </c>
      <c r="J32" s="339">
        <v>130.80000000000001</v>
      </c>
      <c r="K32" s="342">
        <v>0</v>
      </c>
      <c r="L32" s="343">
        <f>ROUND(K32*E$10,2)</f>
        <v>0</v>
      </c>
      <c r="M32" s="344">
        <f>L32*$I$10</f>
        <v>0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2:25" x14ac:dyDescent="0.2">
      <c r="B33" s="1"/>
      <c r="C33" s="338">
        <v>800762390</v>
      </c>
      <c r="D33" s="339">
        <v>3</v>
      </c>
      <c r="E33" s="354" t="s">
        <v>101</v>
      </c>
      <c r="F33" s="463" t="s">
        <v>194</v>
      </c>
      <c r="G33" s="463">
        <v>2044</v>
      </c>
      <c r="H33" s="354">
        <v>591000420</v>
      </c>
      <c r="I33" s="341">
        <v>80000</v>
      </c>
      <c r="J33" s="339"/>
      <c r="K33" s="342">
        <v>0.09</v>
      </c>
      <c r="L33" s="343">
        <f>ROUND(K33*E$10,2)</f>
        <v>416515.33</v>
      </c>
      <c r="M33" s="344">
        <f>L33*$I$10</f>
        <v>7913791.2700000005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2:25" ht="15" thickBot="1" x14ac:dyDescent="0.25">
      <c r="B34" s="1"/>
      <c r="C34" s="345">
        <v>800642440</v>
      </c>
      <c r="D34" s="346">
        <v>5</v>
      </c>
      <c r="E34" s="347" t="s">
        <v>101</v>
      </c>
      <c r="F34" s="348" t="s">
        <v>159</v>
      </c>
      <c r="G34" s="348">
        <v>2277</v>
      </c>
      <c r="H34" s="347">
        <v>22770</v>
      </c>
      <c r="I34" s="349">
        <f>850000-I30-I31-I32-I33</f>
        <v>770000</v>
      </c>
      <c r="J34" s="346"/>
      <c r="K34" s="350">
        <v>0.91</v>
      </c>
      <c r="L34" s="351">
        <f>ROUND(K34*E$10,2)</f>
        <v>4211432.75</v>
      </c>
      <c r="M34" s="352">
        <f>L34*$I$10</f>
        <v>80017222.25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2:25" x14ac:dyDescent="0.2">
      <c r="B35" s="1"/>
      <c r="C35" s="406">
        <v>3000623</v>
      </c>
      <c r="D35" s="353" t="s">
        <v>102</v>
      </c>
      <c r="E35" s="353"/>
      <c r="F35" s="353"/>
      <c r="G35" s="353"/>
      <c r="H35" s="354"/>
      <c r="I35" s="355">
        <f>SUM(I30:I34)</f>
        <v>850000</v>
      </c>
      <c r="J35" s="353"/>
      <c r="K35" s="356">
        <f>SUM(K30:K34)</f>
        <v>1</v>
      </c>
      <c r="L35" s="357">
        <f>SUM(L30:L34)</f>
        <v>4627948.08</v>
      </c>
      <c r="M35" s="357">
        <f>SUM(M30:M33)</f>
        <v>7913791.2700000005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2:25" x14ac:dyDescent="0.2">
      <c r="B36" s="1"/>
      <c r="C36" s="336"/>
      <c r="D36" s="336"/>
      <c r="E36" s="336"/>
      <c r="F36" s="358"/>
      <c r="G36" s="358"/>
      <c r="H36" s="336"/>
      <c r="I36" s="336"/>
      <c r="J36" s="336"/>
      <c r="K36" s="336"/>
      <c r="L36" s="359"/>
      <c r="M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2:25" x14ac:dyDescent="0.2">
      <c r="B37" s="1"/>
      <c r="C37" s="336"/>
      <c r="D37" s="336"/>
      <c r="E37" s="336"/>
      <c r="F37" s="358"/>
      <c r="G37" s="358"/>
      <c r="H37" s="336"/>
      <c r="I37" s="336"/>
      <c r="J37" s="336"/>
      <c r="K37" s="336"/>
      <c r="L37" s="359"/>
      <c r="M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2:25" x14ac:dyDescent="0.2">
      <c r="B38" s="1"/>
      <c r="C38" s="336"/>
      <c r="D38" s="336"/>
      <c r="E38" s="336"/>
      <c r="F38" s="358"/>
      <c r="G38" s="358"/>
      <c r="H38" s="336"/>
      <c r="I38" s="336"/>
      <c r="J38" s="336"/>
      <c r="K38" s="336"/>
      <c r="L38" s="359"/>
      <c r="M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2:25" ht="15" thickBot="1" x14ac:dyDescent="0.25">
      <c r="B39" s="1"/>
      <c r="C39" s="2266" t="s">
        <v>103</v>
      </c>
      <c r="D39" s="2266"/>
      <c r="E39" s="2266"/>
      <c r="F39" s="2266"/>
      <c r="G39" s="519"/>
      <c r="H39" s="334"/>
      <c r="I39" s="334"/>
      <c r="J39" s="334"/>
      <c r="K39" s="336"/>
      <c r="L39" s="336"/>
      <c r="M39" s="360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2:25" ht="22.5" x14ac:dyDescent="0.2">
      <c r="B40" s="1"/>
      <c r="C40" s="337" t="s">
        <v>87</v>
      </c>
      <c r="D40" s="514" t="s">
        <v>88</v>
      </c>
      <c r="E40" s="514" t="s">
        <v>89</v>
      </c>
      <c r="F40" s="514" t="s">
        <v>20</v>
      </c>
      <c r="G40" s="514"/>
      <c r="H40" s="514" t="s">
        <v>90</v>
      </c>
      <c r="I40" s="514" t="s">
        <v>104</v>
      </c>
      <c r="J40" s="514" t="s">
        <v>93</v>
      </c>
      <c r="K40" s="514" t="s">
        <v>92</v>
      </c>
      <c r="L40" s="514" t="s">
        <v>94</v>
      </c>
      <c r="M40" s="515" t="s">
        <v>95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2:25" x14ac:dyDescent="0.2">
      <c r="B41" s="1"/>
      <c r="C41" s="338"/>
      <c r="D41" s="339">
        <v>0</v>
      </c>
      <c r="E41" s="339" t="s">
        <v>96</v>
      </c>
      <c r="F41" s="340" t="s">
        <v>97</v>
      </c>
      <c r="G41" s="340"/>
      <c r="H41" s="339">
        <v>20823</v>
      </c>
      <c r="I41" s="341">
        <f>M80</f>
        <v>0</v>
      </c>
      <c r="J41" s="342">
        <f>I41/I$45</f>
        <v>0</v>
      </c>
      <c r="K41" s="339">
        <v>138.15</v>
      </c>
      <c r="L41" s="343">
        <f>ROUND(J41*$E$11,2)</f>
        <v>0</v>
      </c>
      <c r="M41" s="344">
        <f>L41*L24</f>
        <v>0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2:25" x14ac:dyDescent="0.2">
      <c r="B42" s="1"/>
      <c r="C42" s="338"/>
      <c r="D42" s="339">
        <v>0</v>
      </c>
      <c r="E42" s="339" t="s">
        <v>98</v>
      </c>
      <c r="F42" s="340" t="s">
        <v>97</v>
      </c>
      <c r="G42" s="340"/>
      <c r="H42" s="339">
        <v>20824</v>
      </c>
      <c r="I42" s="341">
        <f>N80</f>
        <v>0</v>
      </c>
      <c r="J42" s="342">
        <f>I42/I$45</f>
        <v>0</v>
      </c>
      <c r="K42" s="339">
        <v>138.15</v>
      </c>
      <c r="L42" s="343">
        <f>ROUND(J42*$E$11,2)</f>
        <v>0</v>
      </c>
      <c r="M42" s="344">
        <f>L42*L25</f>
        <v>0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2:25" x14ac:dyDescent="0.2">
      <c r="B43" s="1"/>
      <c r="C43" s="338"/>
      <c r="D43" s="339">
        <v>0</v>
      </c>
      <c r="E43" s="339" t="s">
        <v>99</v>
      </c>
      <c r="F43" s="340" t="s">
        <v>100</v>
      </c>
      <c r="G43" s="340"/>
      <c r="H43" s="339">
        <v>22228</v>
      </c>
      <c r="I43" s="341">
        <f>O80</f>
        <v>0</v>
      </c>
      <c r="J43" s="342">
        <f>I43/I$45</f>
        <v>0</v>
      </c>
      <c r="K43" s="339">
        <v>130.80000000000001</v>
      </c>
      <c r="L43" s="343">
        <f>ROUND(J43*$E$11,2)</f>
        <v>0</v>
      </c>
      <c r="M43" s="344">
        <f>L43*L26</f>
        <v>0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2:25" ht="15" thickBot="1" x14ac:dyDescent="0.25">
      <c r="B44" s="1"/>
      <c r="C44" s="345">
        <v>800762390</v>
      </c>
      <c r="D44" s="346">
        <v>4</v>
      </c>
      <c r="E44" s="347" t="s">
        <v>101</v>
      </c>
      <c r="F44" s="348" t="s">
        <v>194</v>
      </c>
      <c r="G44" s="348"/>
      <c r="H44" s="347"/>
      <c r="I44" s="349">
        <f>L80</f>
        <v>2293137.4949579998</v>
      </c>
      <c r="J44" s="350">
        <f>I44/I$45</f>
        <v>1</v>
      </c>
      <c r="K44" s="346">
        <v>138.15</v>
      </c>
      <c r="L44" s="351">
        <f>ROUND(J44*$E$11,2)</f>
        <v>2087.0500000000002</v>
      </c>
      <c r="M44" s="352">
        <f>L44*L27</f>
        <v>0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2:25" x14ac:dyDescent="0.2">
      <c r="B45" s="1"/>
      <c r="C45" s="353"/>
      <c r="D45" s="353"/>
      <c r="E45" s="353"/>
      <c r="F45" s="353"/>
      <c r="G45" s="353"/>
      <c r="H45" s="354"/>
      <c r="I45" s="449">
        <f>SUM(I41:I44)</f>
        <v>2293137.4949579998</v>
      </c>
      <c r="J45" s="355"/>
      <c r="K45" s="353"/>
      <c r="L45" s="357">
        <f>SUM(L41:L44)</f>
        <v>2087.0500000000002</v>
      </c>
      <c r="M45" s="357">
        <f>SUM(M41:M44)</f>
        <v>0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2:25" customFormat="1" ht="15" thickBot="1" x14ac:dyDescent="0.25">
      <c r="M46" s="450"/>
      <c r="N46" s="450"/>
      <c r="O46" s="450"/>
      <c r="P46" s="450"/>
      <c r="Q46" s="450"/>
      <c r="R46" s="450"/>
      <c r="S46" s="450"/>
      <c r="T46" s="450"/>
      <c r="U46" s="450"/>
      <c r="V46" s="450"/>
      <c r="W46" s="450"/>
      <c r="X46" s="450"/>
      <c r="Y46" s="450"/>
    </row>
    <row r="47" spans="2:25" ht="15" thickBot="1" x14ac:dyDescent="0.25">
      <c r="B47" s="434" t="s">
        <v>3</v>
      </c>
      <c r="C47" s="1445">
        <f>SUMIF(Tarifas!E4:E303,'Mayo - 2015'!C49,Tarifas!D4:D303)</f>
        <v>22</v>
      </c>
      <c r="D47" s="425" t="s">
        <v>147</v>
      </c>
      <c r="E47" s="426" t="s">
        <v>145</v>
      </c>
      <c r="F47" s="426" t="s">
        <v>150</v>
      </c>
      <c r="G47" s="426" t="s">
        <v>148</v>
      </c>
      <c r="H47" s="382"/>
      <c r="I47" s="331" t="s">
        <v>120</v>
      </c>
      <c r="J47" s="332"/>
      <c r="K47" s="332"/>
      <c r="L47" s="2277" t="s">
        <v>105</v>
      </c>
      <c r="M47" s="2278"/>
      <c r="N47" s="2278"/>
      <c r="O47" s="2278"/>
      <c r="P47" s="2278"/>
      <c r="Q47" s="2278"/>
      <c r="R47" s="2279"/>
      <c r="S47" s="1447" t="s">
        <v>121</v>
      </c>
      <c r="T47" s="1448"/>
      <c r="U47" s="1448"/>
      <c r="V47" s="1448"/>
      <c r="W47" s="1448"/>
      <c r="X47" s="1448"/>
      <c r="Y47" s="1449"/>
    </row>
    <row r="48" spans="2:25" ht="34.5" thickBot="1" x14ac:dyDescent="0.25">
      <c r="C48" s="1427" t="s">
        <v>122</v>
      </c>
      <c r="D48" s="1428" t="s">
        <v>125</v>
      </c>
      <c r="E48" s="1429" t="s">
        <v>149</v>
      </c>
      <c r="F48" s="1429" t="s">
        <v>151</v>
      </c>
      <c r="G48" s="1429" t="s">
        <v>152</v>
      </c>
      <c r="H48" s="1430" t="s">
        <v>123</v>
      </c>
      <c r="I48" s="1450" t="s">
        <v>377</v>
      </c>
      <c r="J48" s="1451" t="s">
        <v>376</v>
      </c>
      <c r="K48" s="1451" t="s">
        <v>375</v>
      </c>
      <c r="L48" s="1437" t="s">
        <v>115</v>
      </c>
      <c r="M48" s="1438" t="s">
        <v>106</v>
      </c>
      <c r="N48" s="1438" t="s">
        <v>107</v>
      </c>
      <c r="O48" s="1438" t="s">
        <v>108</v>
      </c>
      <c r="P48" s="1438" t="s">
        <v>115</v>
      </c>
      <c r="Q48" s="1439" t="s">
        <v>116</v>
      </c>
      <c r="R48" s="1440" t="s">
        <v>117</v>
      </c>
      <c r="S48" s="1441" t="s">
        <v>192</v>
      </c>
      <c r="T48" s="1442" t="s">
        <v>111</v>
      </c>
      <c r="U48" s="1442" t="s">
        <v>112</v>
      </c>
      <c r="V48" s="1443" t="s">
        <v>118</v>
      </c>
      <c r="W48" s="1443" t="s">
        <v>119</v>
      </c>
      <c r="X48" s="1443" t="s">
        <v>114</v>
      </c>
      <c r="Y48" s="1444" t="s">
        <v>113</v>
      </c>
    </row>
    <row r="49" spans="3:25" x14ac:dyDescent="0.2">
      <c r="C49" s="387">
        <f>G7</f>
        <v>42125</v>
      </c>
      <c r="D49" s="388">
        <f>($F$24*$H$24)/$G$24</f>
        <v>149288.64774193548</v>
      </c>
      <c r="E49" s="389">
        <f>P49+Q49+R49</f>
        <v>72705.265382000012</v>
      </c>
      <c r="F49" s="427">
        <f t="shared" ref="F49:F79" si="0">TRUNC(IFERROR(J$24/K$24,0),8)</f>
        <v>0.91012908999999997</v>
      </c>
      <c r="G49" s="390">
        <f>ROUND(I$24*F49*E49,4)</f>
        <v>66.171199999999999</v>
      </c>
      <c r="H49" s="391">
        <f t="shared" ref="H49:H79" si="1">SUM(D49:G49)</f>
        <v>222060.99445302552</v>
      </c>
      <c r="I49" s="324">
        <v>72955</v>
      </c>
      <c r="J49" s="325"/>
      <c r="K49" s="325">
        <v>73916.196999999986</v>
      </c>
      <c r="L49" s="317">
        <v>72705.265382000012</v>
      </c>
      <c r="M49" s="318"/>
      <c r="N49" s="318"/>
      <c r="O49" s="318"/>
      <c r="P49" s="389">
        <f>L49</f>
        <v>72705.265382000012</v>
      </c>
      <c r="Q49" s="389">
        <f t="shared" ref="Q49:Q79" si="2">M49+N49</f>
        <v>0</v>
      </c>
      <c r="R49" s="389">
        <f t="shared" ref="R49:R79" si="3">O49</f>
        <v>0</v>
      </c>
      <c r="S49" s="373"/>
      <c r="T49" s="374"/>
      <c r="U49" s="18">
        <f>S49+T49-V49</f>
        <v>-146871.19699999999</v>
      </c>
      <c r="V49" s="377">
        <f>I49+J49+K49</f>
        <v>146871.19699999999</v>
      </c>
      <c r="W49" s="18">
        <f>(P49+Q49+R49)*1.055056</f>
        <v>76708.126472871401</v>
      </c>
      <c r="X49" s="377">
        <f>V49-W49</f>
        <v>70163.070527128584</v>
      </c>
      <c r="Y49" s="378">
        <f>AL46+X49</f>
        <v>70163.070527128584</v>
      </c>
    </row>
    <row r="50" spans="3:25" x14ac:dyDescent="0.2">
      <c r="C50" s="387">
        <f t="shared" ref="C50:C79" si="4">C49+1</f>
        <v>42126</v>
      </c>
      <c r="D50" s="388">
        <f t="shared" ref="D50:D79" si="5">($F$24*$H$24)/$G$24</f>
        <v>149288.64774193548</v>
      </c>
      <c r="E50" s="392">
        <f t="shared" ref="E50:E79" si="6">P50+Q50+R50</f>
        <v>74389.328125</v>
      </c>
      <c r="F50" s="428">
        <f t="shared" si="0"/>
        <v>0.91012908999999997</v>
      </c>
      <c r="G50" s="390">
        <f t="shared" ref="G50:G79" si="7">ROUND(I$24*F50*E50,4)</f>
        <v>67.703900000000004</v>
      </c>
      <c r="H50" s="391">
        <f t="shared" si="1"/>
        <v>223746.58989602549</v>
      </c>
      <c r="I50" s="324">
        <v>72955</v>
      </c>
      <c r="J50" s="325"/>
      <c r="K50" s="325">
        <v>76124.52</v>
      </c>
      <c r="L50" s="319">
        <v>74389.328125</v>
      </c>
      <c r="M50" s="320"/>
      <c r="N50" s="320"/>
      <c r="O50" s="320"/>
      <c r="P50" s="392">
        <f t="shared" ref="P50:P79" si="8">L50</f>
        <v>74389.328125</v>
      </c>
      <c r="Q50" s="392">
        <f t="shared" si="2"/>
        <v>0</v>
      </c>
      <c r="R50" s="392">
        <f t="shared" si="3"/>
        <v>0</v>
      </c>
      <c r="S50" s="373"/>
      <c r="T50" s="374"/>
      <c r="U50" s="18">
        <f t="shared" ref="U50:U79" si="9">S50+T50-V50</f>
        <v>-149079.52000000002</v>
      </c>
      <c r="V50" s="377">
        <f t="shared" ref="V50:V79" si="10">I50+J50+K50</f>
        <v>149079.52000000002</v>
      </c>
      <c r="W50" s="18">
        <f t="shared" ref="W50:W79" si="11">(P50+Q50+R50)*1.055056</f>
        <v>78484.90697425</v>
      </c>
      <c r="X50" s="377">
        <f t="shared" ref="X50:X79" si="12">V50-W50</f>
        <v>70594.613025750019</v>
      </c>
      <c r="Y50" s="378">
        <f>Y49+X50</f>
        <v>140757.68355287862</v>
      </c>
    </row>
    <row r="51" spans="3:25" x14ac:dyDescent="0.2">
      <c r="C51" s="387">
        <f t="shared" si="4"/>
        <v>42127</v>
      </c>
      <c r="D51" s="388">
        <f t="shared" si="5"/>
        <v>149288.64774193548</v>
      </c>
      <c r="E51" s="392">
        <f t="shared" si="6"/>
        <v>73427.000488999984</v>
      </c>
      <c r="F51" s="428">
        <f t="shared" si="0"/>
        <v>0.91012908999999997</v>
      </c>
      <c r="G51" s="390">
        <f t="shared" si="7"/>
        <v>66.828000000000003</v>
      </c>
      <c r="H51" s="391">
        <f t="shared" si="1"/>
        <v>222783.38636002547</v>
      </c>
      <c r="I51" s="324">
        <v>72955</v>
      </c>
      <c r="J51" s="325"/>
      <c r="K51" s="325">
        <v>77155.289000000004</v>
      </c>
      <c r="L51" s="317">
        <v>73427.000488999984</v>
      </c>
      <c r="M51" s="318"/>
      <c r="N51" s="318"/>
      <c r="O51" s="318"/>
      <c r="P51" s="392">
        <f t="shared" si="8"/>
        <v>73427.000488999984</v>
      </c>
      <c r="Q51" s="392">
        <f t="shared" si="2"/>
        <v>0</v>
      </c>
      <c r="R51" s="392">
        <f t="shared" si="3"/>
        <v>0</v>
      </c>
      <c r="S51" s="373"/>
      <c r="T51" s="374"/>
      <c r="U51" s="18">
        <f t="shared" si="9"/>
        <v>-150110.28899999999</v>
      </c>
      <c r="V51" s="377">
        <f t="shared" si="10"/>
        <v>150110.28899999999</v>
      </c>
      <c r="W51" s="18">
        <f t="shared" si="11"/>
        <v>77469.597427922359</v>
      </c>
      <c r="X51" s="377">
        <f t="shared" si="12"/>
        <v>72640.691572077631</v>
      </c>
      <c r="Y51" s="378">
        <f t="shared" ref="Y51:Y78" si="13">Y50+X51</f>
        <v>213398.37512495625</v>
      </c>
    </row>
    <row r="52" spans="3:25" x14ac:dyDescent="0.2">
      <c r="C52" s="387">
        <f t="shared" si="4"/>
        <v>42128</v>
      </c>
      <c r="D52" s="388">
        <f t="shared" si="5"/>
        <v>149288.64774193548</v>
      </c>
      <c r="E52" s="392">
        <f t="shared" si="6"/>
        <v>74231.078125</v>
      </c>
      <c r="F52" s="428">
        <f t="shared" si="0"/>
        <v>0.91012908999999997</v>
      </c>
      <c r="G52" s="390">
        <f t="shared" si="7"/>
        <v>67.559899999999999</v>
      </c>
      <c r="H52" s="391">
        <f t="shared" si="1"/>
        <v>223588.19589602549</v>
      </c>
      <c r="I52" s="324">
        <v>72955</v>
      </c>
      <c r="J52" s="325"/>
      <c r="K52" s="325">
        <v>77276.81</v>
      </c>
      <c r="L52" s="319">
        <v>74231.078125</v>
      </c>
      <c r="M52" s="320"/>
      <c r="N52" s="320"/>
      <c r="O52" s="320"/>
      <c r="P52" s="392">
        <f t="shared" si="8"/>
        <v>74231.078125</v>
      </c>
      <c r="Q52" s="392">
        <f t="shared" si="2"/>
        <v>0</v>
      </c>
      <c r="R52" s="392">
        <f t="shared" si="3"/>
        <v>0</v>
      </c>
      <c r="S52" s="373"/>
      <c r="T52" s="374"/>
      <c r="U52" s="18">
        <f t="shared" si="9"/>
        <v>-150231.81</v>
      </c>
      <c r="V52" s="377">
        <f t="shared" si="10"/>
        <v>150231.81</v>
      </c>
      <c r="W52" s="18">
        <f t="shared" si="11"/>
        <v>78317.944362249997</v>
      </c>
      <c r="X52" s="377">
        <f t="shared" si="12"/>
        <v>71913.865637750001</v>
      </c>
      <c r="Y52" s="378">
        <f t="shared" si="13"/>
        <v>285312.24076270626</v>
      </c>
    </row>
    <row r="53" spans="3:25" x14ac:dyDescent="0.2">
      <c r="C53" s="387">
        <f t="shared" si="4"/>
        <v>42129</v>
      </c>
      <c r="D53" s="388">
        <f t="shared" si="5"/>
        <v>149288.64774193548</v>
      </c>
      <c r="E53" s="392">
        <f t="shared" si="6"/>
        <v>74057.390625</v>
      </c>
      <c r="F53" s="428">
        <f t="shared" si="0"/>
        <v>0.91012908999999997</v>
      </c>
      <c r="G53" s="390">
        <f t="shared" si="7"/>
        <v>67.401799999999994</v>
      </c>
      <c r="H53" s="391">
        <f t="shared" si="1"/>
        <v>223414.35029602548</v>
      </c>
      <c r="I53" s="324">
        <v>72955</v>
      </c>
      <c r="J53" s="325"/>
      <c r="K53" s="325">
        <v>77836.850000000006</v>
      </c>
      <c r="L53" s="317">
        <v>74057.390625</v>
      </c>
      <c r="M53" s="318"/>
      <c r="N53" s="318"/>
      <c r="O53" s="318"/>
      <c r="P53" s="392">
        <f t="shared" si="8"/>
        <v>74057.390625</v>
      </c>
      <c r="Q53" s="392">
        <f t="shared" si="2"/>
        <v>0</v>
      </c>
      <c r="R53" s="392">
        <f t="shared" si="3"/>
        <v>0</v>
      </c>
      <c r="S53" s="373"/>
      <c r="T53" s="374"/>
      <c r="U53" s="18">
        <f t="shared" si="9"/>
        <v>-150791.85</v>
      </c>
      <c r="V53" s="377">
        <f t="shared" si="10"/>
        <v>150791.85</v>
      </c>
      <c r="W53" s="18">
        <f t="shared" si="11"/>
        <v>78134.694323250005</v>
      </c>
      <c r="X53" s="377">
        <f t="shared" si="12"/>
        <v>72657.155676750001</v>
      </c>
      <c r="Y53" s="378">
        <f t="shared" si="13"/>
        <v>357969.39643945626</v>
      </c>
    </row>
    <row r="54" spans="3:25" x14ac:dyDescent="0.2">
      <c r="C54" s="387">
        <f t="shared" si="4"/>
        <v>42130</v>
      </c>
      <c r="D54" s="388">
        <f t="shared" si="5"/>
        <v>149288.64774193548</v>
      </c>
      <c r="E54" s="392">
        <f t="shared" si="6"/>
        <v>74067.671875</v>
      </c>
      <c r="F54" s="428">
        <f t="shared" si="0"/>
        <v>0.91012908999999997</v>
      </c>
      <c r="G54" s="390">
        <f t="shared" si="7"/>
        <v>67.411100000000005</v>
      </c>
      <c r="H54" s="391">
        <f t="shared" si="1"/>
        <v>223424.64084602549</v>
      </c>
      <c r="I54" s="324">
        <v>72955</v>
      </c>
      <c r="J54" s="325"/>
      <c r="K54" s="325">
        <v>73144.679999999993</v>
      </c>
      <c r="L54" s="319">
        <v>74067.671875</v>
      </c>
      <c r="M54" s="320"/>
      <c r="N54" s="320"/>
      <c r="O54" s="320"/>
      <c r="P54" s="392">
        <f t="shared" si="8"/>
        <v>74067.671875</v>
      </c>
      <c r="Q54" s="392">
        <f t="shared" si="2"/>
        <v>0</v>
      </c>
      <c r="R54" s="392">
        <f t="shared" si="3"/>
        <v>0</v>
      </c>
      <c r="S54" s="373"/>
      <c r="T54" s="374"/>
      <c r="U54" s="18">
        <f t="shared" si="9"/>
        <v>-146099.68</v>
      </c>
      <c r="V54" s="377">
        <f t="shared" si="10"/>
        <v>146099.68</v>
      </c>
      <c r="W54" s="18">
        <f t="shared" si="11"/>
        <v>78145.541617750001</v>
      </c>
      <c r="X54" s="377">
        <f t="shared" si="12"/>
        <v>67954.138382249992</v>
      </c>
      <c r="Y54" s="378">
        <f t="shared" si="13"/>
        <v>425923.53482170624</v>
      </c>
    </row>
    <row r="55" spans="3:25" x14ac:dyDescent="0.2">
      <c r="C55" s="387">
        <f t="shared" si="4"/>
        <v>42131</v>
      </c>
      <c r="D55" s="388">
        <f t="shared" si="5"/>
        <v>149288.64774193548</v>
      </c>
      <c r="E55" s="392">
        <f t="shared" si="6"/>
        <v>73907.728271999993</v>
      </c>
      <c r="F55" s="428">
        <f t="shared" si="0"/>
        <v>0.91012908999999997</v>
      </c>
      <c r="G55" s="390">
        <f t="shared" si="7"/>
        <v>67.265600000000006</v>
      </c>
      <c r="H55" s="391">
        <f t="shared" si="1"/>
        <v>223264.55174302551</v>
      </c>
      <c r="I55" s="324">
        <v>72955</v>
      </c>
      <c r="J55" s="325"/>
      <c r="K55" s="325">
        <v>77502.600000000006</v>
      </c>
      <c r="L55" s="317">
        <v>73907.728271999993</v>
      </c>
      <c r="M55" s="318"/>
      <c r="N55" s="318"/>
      <c r="O55" s="318"/>
      <c r="P55" s="392">
        <f t="shared" si="8"/>
        <v>73907.728271999993</v>
      </c>
      <c r="Q55" s="392">
        <f t="shared" si="2"/>
        <v>0</v>
      </c>
      <c r="R55" s="392">
        <f t="shared" si="3"/>
        <v>0</v>
      </c>
      <c r="S55" s="373"/>
      <c r="T55" s="374"/>
      <c r="U55" s="18">
        <f t="shared" si="9"/>
        <v>-150457.60000000001</v>
      </c>
      <c r="V55" s="377">
        <f t="shared" si="10"/>
        <v>150457.60000000001</v>
      </c>
      <c r="W55" s="18">
        <f t="shared" si="11"/>
        <v>77976.792159743229</v>
      </c>
      <c r="X55" s="377">
        <f t="shared" si="12"/>
        <v>72480.807840256777</v>
      </c>
      <c r="Y55" s="378">
        <f t="shared" si="13"/>
        <v>498404.34266196302</v>
      </c>
    </row>
    <row r="56" spans="3:25" x14ac:dyDescent="0.2">
      <c r="C56" s="387">
        <f t="shared" si="4"/>
        <v>42132</v>
      </c>
      <c r="D56" s="388">
        <f t="shared" si="5"/>
        <v>149288.64774193548</v>
      </c>
      <c r="E56" s="392">
        <f t="shared" si="6"/>
        <v>74258.839844000016</v>
      </c>
      <c r="F56" s="428">
        <f t="shared" si="0"/>
        <v>0.91012908999999997</v>
      </c>
      <c r="G56" s="390">
        <f t="shared" si="7"/>
        <v>67.585099999999997</v>
      </c>
      <c r="H56" s="391">
        <f t="shared" si="1"/>
        <v>223615.98281502552</v>
      </c>
      <c r="I56" s="324">
        <v>72955</v>
      </c>
      <c r="J56" s="325"/>
      <c r="K56" s="325">
        <v>78112.61</v>
      </c>
      <c r="L56" s="319">
        <v>74258.839844000016</v>
      </c>
      <c r="M56" s="320"/>
      <c r="N56" s="320"/>
      <c r="O56" s="320"/>
      <c r="P56" s="392">
        <f t="shared" si="8"/>
        <v>74258.839844000016</v>
      </c>
      <c r="Q56" s="392">
        <f t="shared" si="2"/>
        <v>0</v>
      </c>
      <c r="R56" s="392">
        <f t="shared" si="3"/>
        <v>0</v>
      </c>
      <c r="S56" s="373"/>
      <c r="T56" s="374"/>
      <c r="U56" s="18">
        <f t="shared" si="9"/>
        <v>-151067.60999999999</v>
      </c>
      <c r="V56" s="377">
        <f t="shared" si="10"/>
        <v>151067.60999999999</v>
      </c>
      <c r="W56" s="18">
        <f t="shared" si="11"/>
        <v>78347.234530451286</v>
      </c>
      <c r="X56" s="377">
        <f t="shared" si="12"/>
        <v>72720.3754695487</v>
      </c>
      <c r="Y56" s="378">
        <f t="shared" si="13"/>
        <v>571124.7181315117</v>
      </c>
    </row>
    <row r="57" spans="3:25" x14ac:dyDescent="0.2">
      <c r="C57" s="387">
        <f t="shared" si="4"/>
        <v>42133</v>
      </c>
      <c r="D57" s="388">
        <f t="shared" si="5"/>
        <v>149288.64774193548</v>
      </c>
      <c r="E57" s="392">
        <f t="shared" si="6"/>
        <v>74488.847164999985</v>
      </c>
      <c r="F57" s="428">
        <f t="shared" si="0"/>
        <v>0.91012908999999997</v>
      </c>
      <c r="G57" s="390">
        <f t="shared" si="7"/>
        <v>67.794499999999999</v>
      </c>
      <c r="H57" s="391">
        <f t="shared" si="1"/>
        <v>223846.19953602547</v>
      </c>
      <c r="I57" s="324">
        <v>72955</v>
      </c>
      <c r="J57" s="325"/>
      <c r="K57" s="325">
        <v>78626.77</v>
      </c>
      <c r="L57" s="317">
        <v>74488.847164999985</v>
      </c>
      <c r="M57" s="318"/>
      <c r="N57" s="318"/>
      <c r="O57" s="318"/>
      <c r="P57" s="392">
        <f t="shared" si="8"/>
        <v>74488.847164999985</v>
      </c>
      <c r="Q57" s="392">
        <f t="shared" si="2"/>
        <v>0</v>
      </c>
      <c r="R57" s="392">
        <f t="shared" si="3"/>
        <v>0</v>
      </c>
      <c r="S57" s="373"/>
      <c r="T57" s="374"/>
      <c r="U57" s="18">
        <f t="shared" si="9"/>
        <v>-151581.77000000002</v>
      </c>
      <c r="V57" s="377">
        <f t="shared" si="10"/>
        <v>151581.77000000002</v>
      </c>
      <c r="W57" s="18">
        <f t="shared" si="11"/>
        <v>78589.90513451623</v>
      </c>
      <c r="X57" s="377">
        <f t="shared" si="12"/>
        <v>72991.864865483789</v>
      </c>
      <c r="Y57" s="378">
        <f t="shared" si="13"/>
        <v>644116.58299699554</v>
      </c>
    </row>
    <row r="58" spans="3:25" x14ac:dyDescent="0.2">
      <c r="C58" s="387">
        <f t="shared" si="4"/>
        <v>42134</v>
      </c>
      <c r="D58" s="388">
        <f t="shared" si="5"/>
        <v>149288.64774193548</v>
      </c>
      <c r="E58" s="392">
        <f t="shared" si="6"/>
        <v>74741.299314999997</v>
      </c>
      <c r="F58" s="428">
        <f t="shared" si="0"/>
        <v>0.91012908999999997</v>
      </c>
      <c r="G58" s="390">
        <f t="shared" si="7"/>
        <v>68.024199999999993</v>
      </c>
      <c r="H58" s="391">
        <f t="shared" si="1"/>
        <v>224098.88138602549</v>
      </c>
      <c r="I58" s="324">
        <v>72955</v>
      </c>
      <c r="J58" s="325"/>
      <c r="K58" s="325">
        <v>78639.096000000005</v>
      </c>
      <c r="L58" s="319">
        <v>74741.299314999997</v>
      </c>
      <c r="M58" s="320"/>
      <c r="N58" s="320"/>
      <c r="O58" s="320"/>
      <c r="P58" s="392">
        <f t="shared" si="8"/>
        <v>74741.299314999997</v>
      </c>
      <c r="Q58" s="392">
        <f t="shared" si="2"/>
        <v>0</v>
      </c>
      <c r="R58" s="392">
        <f t="shared" si="3"/>
        <v>0</v>
      </c>
      <c r="S58" s="373"/>
      <c r="T58" s="374"/>
      <c r="U58" s="18">
        <f t="shared" si="9"/>
        <v>-151594.09600000002</v>
      </c>
      <c r="V58" s="377">
        <f t="shared" si="10"/>
        <v>151594.09600000002</v>
      </c>
      <c r="W58" s="18">
        <f t="shared" si="11"/>
        <v>78856.256290086632</v>
      </c>
      <c r="X58" s="377">
        <f t="shared" si="12"/>
        <v>72737.839709913387</v>
      </c>
      <c r="Y58" s="378">
        <f t="shared" si="13"/>
        <v>716854.4227069089</v>
      </c>
    </row>
    <row r="59" spans="3:25" x14ac:dyDescent="0.2">
      <c r="C59" s="387">
        <f t="shared" si="4"/>
        <v>42135</v>
      </c>
      <c r="D59" s="388">
        <f t="shared" si="5"/>
        <v>149288.64774193548</v>
      </c>
      <c r="E59" s="392">
        <f t="shared" si="6"/>
        <v>76387.489258999994</v>
      </c>
      <c r="F59" s="428">
        <f t="shared" si="0"/>
        <v>0.91012908999999997</v>
      </c>
      <c r="G59" s="390">
        <f t="shared" si="7"/>
        <v>69.522499999999994</v>
      </c>
      <c r="H59" s="391">
        <f t="shared" si="1"/>
        <v>225746.56963002548</v>
      </c>
      <c r="I59" s="324">
        <v>72955</v>
      </c>
      <c r="J59" s="325"/>
      <c r="K59" s="325">
        <v>78205.72</v>
      </c>
      <c r="L59" s="317">
        <v>76387.489258999994</v>
      </c>
      <c r="M59" s="318"/>
      <c r="N59" s="318"/>
      <c r="O59" s="318"/>
      <c r="P59" s="392">
        <f t="shared" si="8"/>
        <v>76387.489258999994</v>
      </c>
      <c r="Q59" s="392">
        <f t="shared" si="2"/>
        <v>0</v>
      </c>
      <c r="R59" s="392">
        <f t="shared" si="3"/>
        <v>0</v>
      </c>
      <c r="S59" s="373"/>
      <c r="T59" s="374"/>
      <c r="U59" s="18">
        <f t="shared" si="9"/>
        <v>-151160.72</v>
      </c>
      <c r="V59" s="377">
        <f t="shared" si="10"/>
        <v>151160.72</v>
      </c>
      <c r="W59" s="18">
        <f t="shared" si="11"/>
        <v>80593.078867643504</v>
      </c>
      <c r="X59" s="377">
        <f t="shared" si="12"/>
        <v>70567.641132356497</v>
      </c>
      <c r="Y59" s="378">
        <f t="shared" si="13"/>
        <v>787422.06383926538</v>
      </c>
    </row>
    <row r="60" spans="3:25" x14ac:dyDescent="0.2">
      <c r="C60" s="387">
        <f t="shared" si="4"/>
        <v>42136</v>
      </c>
      <c r="D60" s="388">
        <f t="shared" si="5"/>
        <v>149288.64774193548</v>
      </c>
      <c r="E60" s="392">
        <f t="shared" si="6"/>
        <v>75998.344482</v>
      </c>
      <c r="F60" s="428">
        <f t="shared" si="0"/>
        <v>0.91012908999999997</v>
      </c>
      <c r="G60" s="390">
        <f t="shared" si="7"/>
        <v>69.168300000000002</v>
      </c>
      <c r="H60" s="391">
        <f t="shared" si="1"/>
        <v>225357.0706530255</v>
      </c>
      <c r="I60" s="324">
        <v>72955</v>
      </c>
      <c r="J60" s="325"/>
      <c r="K60" s="325">
        <v>69510.747000000003</v>
      </c>
      <c r="L60" s="319">
        <v>75998.344482</v>
      </c>
      <c r="M60" s="320"/>
      <c r="N60" s="320"/>
      <c r="O60" s="320"/>
      <c r="P60" s="392">
        <f t="shared" si="8"/>
        <v>75998.344482</v>
      </c>
      <c r="Q60" s="392">
        <f t="shared" si="2"/>
        <v>0</v>
      </c>
      <c r="R60" s="392">
        <f t="shared" si="3"/>
        <v>0</v>
      </c>
      <c r="S60" s="373"/>
      <c r="T60" s="374"/>
      <c r="U60" s="18">
        <f t="shared" si="9"/>
        <v>-142465.747</v>
      </c>
      <c r="V60" s="377">
        <f t="shared" si="10"/>
        <v>142465.747</v>
      </c>
      <c r="W60" s="18">
        <f t="shared" si="11"/>
        <v>80182.509335800991</v>
      </c>
      <c r="X60" s="377">
        <f t="shared" si="12"/>
        <v>62283.237664199012</v>
      </c>
      <c r="Y60" s="378">
        <f t="shared" si="13"/>
        <v>849705.30150346435</v>
      </c>
    </row>
    <row r="61" spans="3:25" x14ac:dyDescent="0.2">
      <c r="C61" s="387">
        <f t="shared" si="4"/>
        <v>42137</v>
      </c>
      <c r="D61" s="388">
        <f t="shared" si="5"/>
        <v>149288.64774193548</v>
      </c>
      <c r="E61" s="392">
        <f t="shared" si="6"/>
        <v>74583.55</v>
      </c>
      <c r="F61" s="428">
        <f t="shared" si="0"/>
        <v>0.91012908999999997</v>
      </c>
      <c r="G61" s="390">
        <f t="shared" si="7"/>
        <v>67.880700000000004</v>
      </c>
      <c r="H61" s="391">
        <f t="shared" si="1"/>
        <v>223940.98857102552</v>
      </c>
      <c r="I61" s="324">
        <v>72955</v>
      </c>
      <c r="J61" s="325"/>
      <c r="K61" s="325">
        <v>77891.16</v>
      </c>
      <c r="L61" s="317">
        <v>74583.55</v>
      </c>
      <c r="M61" s="318"/>
      <c r="N61" s="318"/>
      <c r="O61" s="318"/>
      <c r="P61" s="392">
        <f t="shared" si="8"/>
        <v>74583.55</v>
      </c>
      <c r="Q61" s="392">
        <f t="shared" si="2"/>
        <v>0</v>
      </c>
      <c r="R61" s="392">
        <f t="shared" si="3"/>
        <v>0</v>
      </c>
      <c r="S61" s="373"/>
      <c r="T61" s="374"/>
      <c r="U61" s="18">
        <f t="shared" si="9"/>
        <v>-150846.16</v>
      </c>
      <c r="V61" s="377">
        <f t="shared" si="10"/>
        <v>150846.16</v>
      </c>
      <c r="W61" s="18">
        <f t="shared" si="11"/>
        <v>78689.821928799996</v>
      </c>
      <c r="X61" s="377">
        <f t="shared" si="12"/>
        <v>72156.338071200007</v>
      </c>
      <c r="Y61" s="378">
        <f t="shared" si="13"/>
        <v>921861.63957466441</v>
      </c>
    </row>
    <row r="62" spans="3:25" x14ac:dyDescent="0.2">
      <c r="C62" s="387">
        <f t="shared" si="4"/>
        <v>42138</v>
      </c>
      <c r="D62" s="388">
        <f t="shared" si="5"/>
        <v>149288.64774193548</v>
      </c>
      <c r="E62" s="392">
        <f t="shared" si="6"/>
        <v>69263.16</v>
      </c>
      <c r="F62" s="428">
        <f t="shared" si="0"/>
        <v>0.91012908999999997</v>
      </c>
      <c r="G62" s="390">
        <f t="shared" si="7"/>
        <v>63.038400000000003</v>
      </c>
      <c r="H62" s="391">
        <f t="shared" si="1"/>
        <v>218615.75627102549</v>
      </c>
      <c r="I62" s="324">
        <v>72955</v>
      </c>
      <c r="J62" s="325"/>
      <c r="K62" s="325">
        <v>76616.12</v>
      </c>
      <c r="L62" s="319">
        <v>69263.16</v>
      </c>
      <c r="M62" s="320"/>
      <c r="N62" s="320"/>
      <c r="O62" s="320"/>
      <c r="P62" s="392">
        <f t="shared" si="8"/>
        <v>69263.16</v>
      </c>
      <c r="Q62" s="392">
        <f t="shared" si="2"/>
        <v>0</v>
      </c>
      <c r="R62" s="392">
        <f t="shared" si="3"/>
        <v>0</v>
      </c>
      <c r="S62" s="373"/>
      <c r="T62" s="374"/>
      <c r="U62" s="18">
        <f t="shared" si="9"/>
        <v>-149571.12</v>
      </c>
      <c r="V62" s="377">
        <f t="shared" si="10"/>
        <v>149571.12</v>
      </c>
      <c r="W62" s="18">
        <f t="shared" si="11"/>
        <v>73076.512536959999</v>
      </c>
      <c r="X62" s="377">
        <f t="shared" si="12"/>
        <v>76494.607463039996</v>
      </c>
      <c r="Y62" s="378">
        <f t="shared" si="13"/>
        <v>998356.24703770445</v>
      </c>
    </row>
    <row r="63" spans="3:25" x14ac:dyDescent="0.2">
      <c r="C63" s="387">
        <f t="shared" si="4"/>
        <v>42139</v>
      </c>
      <c r="D63" s="388">
        <f t="shared" si="5"/>
        <v>149288.64774193548</v>
      </c>
      <c r="E63" s="392">
        <f t="shared" si="6"/>
        <v>73522.38</v>
      </c>
      <c r="F63" s="428">
        <f t="shared" si="0"/>
        <v>0.91012908999999997</v>
      </c>
      <c r="G63" s="390">
        <f t="shared" si="7"/>
        <v>66.914900000000003</v>
      </c>
      <c r="H63" s="391">
        <f t="shared" si="1"/>
        <v>222878.8527710255</v>
      </c>
      <c r="I63" s="324">
        <v>72955</v>
      </c>
      <c r="J63" s="325"/>
      <c r="K63" s="325">
        <v>76965.7</v>
      </c>
      <c r="L63" s="317">
        <v>73522.38</v>
      </c>
      <c r="M63" s="318"/>
      <c r="N63" s="318"/>
      <c r="O63" s="318"/>
      <c r="P63" s="392">
        <f t="shared" si="8"/>
        <v>73522.38</v>
      </c>
      <c r="Q63" s="392">
        <f t="shared" si="2"/>
        <v>0</v>
      </c>
      <c r="R63" s="392">
        <f t="shared" si="3"/>
        <v>0</v>
      </c>
      <c r="S63" s="373"/>
      <c r="T63" s="374"/>
      <c r="U63" s="18">
        <f t="shared" si="9"/>
        <v>-149920.70000000001</v>
      </c>
      <c r="V63" s="377">
        <f t="shared" si="10"/>
        <v>149920.70000000001</v>
      </c>
      <c r="W63" s="18">
        <f t="shared" si="11"/>
        <v>77570.228153280012</v>
      </c>
      <c r="X63" s="377">
        <f t="shared" si="12"/>
        <v>72350.47184672</v>
      </c>
      <c r="Y63" s="378">
        <f t="shared" si="13"/>
        <v>1070706.7188844245</v>
      </c>
    </row>
    <row r="64" spans="3:25" x14ac:dyDescent="0.2">
      <c r="C64" s="387">
        <f t="shared" si="4"/>
        <v>42140</v>
      </c>
      <c r="D64" s="388">
        <f t="shared" si="5"/>
        <v>149288.64774193548</v>
      </c>
      <c r="E64" s="392">
        <f t="shared" si="6"/>
        <v>74653.52</v>
      </c>
      <c r="F64" s="428">
        <f t="shared" si="0"/>
        <v>0.91012908999999997</v>
      </c>
      <c r="G64" s="390">
        <f t="shared" si="7"/>
        <v>67.944299999999998</v>
      </c>
      <c r="H64" s="391">
        <f t="shared" si="1"/>
        <v>224011.02217102548</v>
      </c>
      <c r="I64" s="324">
        <v>72955</v>
      </c>
      <c r="J64" s="325"/>
      <c r="K64" s="325">
        <v>77656.479999999996</v>
      </c>
      <c r="L64" s="319">
        <v>74653.52</v>
      </c>
      <c r="M64" s="320"/>
      <c r="N64" s="320"/>
      <c r="O64" s="320"/>
      <c r="P64" s="392">
        <f t="shared" si="8"/>
        <v>74653.52</v>
      </c>
      <c r="Q64" s="392">
        <f t="shared" si="2"/>
        <v>0</v>
      </c>
      <c r="R64" s="392">
        <f t="shared" si="3"/>
        <v>0</v>
      </c>
      <c r="S64" s="373"/>
      <c r="T64" s="374"/>
      <c r="U64" s="18">
        <f t="shared" si="9"/>
        <v>-150611.47999999998</v>
      </c>
      <c r="V64" s="377">
        <f t="shared" si="10"/>
        <v>150611.47999999998</v>
      </c>
      <c r="W64" s="18">
        <f t="shared" si="11"/>
        <v>78763.644197120011</v>
      </c>
      <c r="X64" s="377">
        <f t="shared" si="12"/>
        <v>71847.83580287997</v>
      </c>
      <c r="Y64" s="378">
        <f t="shared" si="13"/>
        <v>1142554.5546873044</v>
      </c>
    </row>
    <row r="65" spans="3:38" x14ac:dyDescent="0.2">
      <c r="C65" s="387">
        <f t="shared" si="4"/>
        <v>42141</v>
      </c>
      <c r="D65" s="388">
        <f t="shared" si="5"/>
        <v>149288.64774193548</v>
      </c>
      <c r="E65" s="392">
        <f t="shared" si="6"/>
        <v>76100.851999999999</v>
      </c>
      <c r="F65" s="428">
        <f t="shared" si="0"/>
        <v>0.91012908999999997</v>
      </c>
      <c r="G65" s="390">
        <f t="shared" si="7"/>
        <v>69.261600000000001</v>
      </c>
      <c r="H65" s="391">
        <f t="shared" si="1"/>
        <v>225459.67147102547</v>
      </c>
      <c r="I65" s="324">
        <v>72955</v>
      </c>
      <c r="J65" s="325"/>
      <c r="K65" s="325">
        <v>76625.98</v>
      </c>
      <c r="L65" s="317">
        <v>76100.851999999999</v>
      </c>
      <c r="M65" s="318"/>
      <c r="N65" s="318"/>
      <c r="O65" s="318"/>
      <c r="P65" s="392">
        <f t="shared" si="8"/>
        <v>76100.851999999999</v>
      </c>
      <c r="Q65" s="392">
        <f t="shared" si="2"/>
        <v>0</v>
      </c>
      <c r="R65" s="392">
        <f t="shared" si="3"/>
        <v>0</v>
      </c>
      <c r="S65" s="373"/>
      <c r="T65" s="374"/>
      <c r="U65" s="18">
        <f t="shared" si="9"/>
        <v>-149580.97999999998</v>
      </c>
      <c r="V65" s="377">
        <f t="shared" si="10"/>
        <v>149580.97999999998</v>
      </c>
      <c r="W65" s="18">
        <f t="shared" si="11"/>
        <v>80290.660507712004</v>
      </c>
      <c r="X65" s="377">
        <f t="shared" si="12"/>
        <v>69290.319492287977</v>
      </c>
      <c r="Y65" s="378">
        <f t="shared" si="13"/>
        <v>1211844.8741795924</v>
      </c>
    </row>
    <row r="66" spans="3:38" x14ac:dyDescent="0.2">
      <c r="C66" s="387">
        <f t="shared" si="4"/>
        <v>42142</v>
      </c>
      <c r="D66" s="388">
        <f t="shared" si="5"/>
        <v>149288.64774193548</v>
      </c>
      <c r="E66" s="392">
        <f t="shared" si="6"/>
        <v>76177.539999999994</v>
      </c>
      <c r="F66" s="428">
        <f t="shared" si="0"/>
        <v>0.91012908999999997</v>
      </c>
      <c r="G66" s="390">
        <f t="shared" si="7"/>
        <v>69.331400000000002</v>
      </c>
      <c r="H66" s="391">
        <f t="shared" si="1"/>
        <v>225536.4292710255</v>
      </c>
      <c r="I66" s="324">
        <v>72955</v>
      </c>
      <c r="J66" s="325"/>
      <c r="K66" s="325">
        <v>77336.813999999998</v>
      </c>
      <c r="L66" s="319">
        <v>76177.539999999994</v>
      </c>
      <c r="M66" s="320"/>
      <c r="N66" s="320"/>
      <c r="O66" s="320"/>
      <c r="P66" s="392">
        <f t="shared" si="8"/>
        <v>76177.539999999994</v>
      </c>
      <c r="Q66" s="392">
        <f t="shared" si="2"/>
        <v>0</v>
      </c>
      <c r="R66" s="392">
        <f t="shared" si="3"/>
        <v>0</v>
      </c>
      <c r="S66" s="373"/>
      <c r="T66" s="374"/>
      <c r="U66" s="18">
        <f t="shared" si="9"/>
        <v>-150291.81400000001</v>
      </c>
      <c r="V66" s="377">
        <f t="shared" si="10"/>
        <v>150291.81400000001</v>
      </c>
      <c r="W66" s="18">
        <f t="shared" si="11"/>
        <v>80371.570642239996</v>
      </c>
      <c r="X66" s="377">
        <f t="shared" si="12"/>
        <v>69920.243357760017</v>
      </c>
      <c r="Y66" s="378">
        <f t="shared" si="13"/>
        <v>1281765.1175373523</v>
      </c>
    </row>
    <row r="67" spans="3:38" x14ac:dyDescent="0.2">
      <c r="C67" s="387">
        <f t="shared" si="4"/>
        <v>42143</v>
      </c>
      <c r="D67" s="388">
        <f t="shared" si="5"/>
        <v>149288.64774193548</v>
      </c>
      <c r="E67" s="392">
        <f t="shared" si="6"/>
        <v>73410.69</v>
      </c>
      <c r="F67" s="428">
        <f t="shared" si="0"/>
        <v>0.91012908999999997</v>
      </c>
      <c r="G67" s="390">
        <f t="shared" si="7"/>
        <v>66.813199999999995</v>
      </c>
      <c r="H67" s="391">
        <f t="shared" si="1"/>
        <v>222767.0610710255</v>
      </c>
      <c r="I67" s="324">
        <v>72955</v>
      </c>
      <c r="J67" s="325"/>
      <c r="K67" s="325">
        <v>78053.61</v>
      </c>
      <c r="L67" s="317">
        <v>73410.69</v>
      </c>
      <c r="M67" s="318"/>
      <c r="N67" s="318"/>
      <c r="O67" s="318"/>
      <c r="P67" s="392">
        <f t="shared" si="8"/>
        <v>73410.69</v>
      </c>
      <c r="Q67" s="392">
        <f t="shared" si="2"/>
        <v>0</v>
      </c>
      <c r="R67" s="392">
        <f t="shared" si="3"/>
        <v>0</v>
      </c>
      <c r="S67" s="373"/>
      <c r="T67" s="374"/>
      <c r="U67" s="18">
        <f t="shared" si="9"/>
        <v>-151008.60999999999</v>
      </c>
      <c r="V67" s="377">
        <f t="shared" si="10"/>
        <v>151008.60999999999</v>
      </c>
      <c r="W67" s="18">
        <f t="shared" si="11"/>
        <v>77452.38894864</v>
      </c>
      <c r="X67" s="377">
        <f t="shared" si="12"/>
        <v>73556.221051359986</v>
      </c>
      <c r="Y67" s="378">
        <f t="shared" si="13"/>
        <v>1355321.3385887123</v>
      </c>
    </row>
    <row r="68" spans="3:38" x14ac:dyDescent="0.2">
      <c r="C68" s="387">
        <f t="shared" si="4"/>
        <v>42144</v>
      </c>
      <c r="D68" s="388">
        <f t="shared" si="5"/>
        <v>149288.64774193548</v>
      </c>
      <c r="E68" s="392">
        <f t="shared" si="6"/>
        <v>72313.740000000005</v>
      </c>
      <c r="F68" s="428">
        <f t="shared" si="0"/>
        <v>0.91012908999999997</v>
      </c>
      <c r="G68" s="390">
        <f t="shared" si="7"/>
        <v>65.814800000000005</v>
      </c>
      <c r="H68" s="391">
        <f t="shared" si="1"/>
        <v>221669.1126710255</v>
      </c>
      <c r="I68" s="324">
        <v>72955</v>
      </c>
      <c r="J68" s="325"/>
      <c r="K68" s="325">
        <v>77966.63</v>
      </c>
      <c r="L68" s="319">
        <v>72313.740000000005</v>
      </c>
      <c r="M68" s="320"/>
      <c r="N68" s="320"/>
      <c r="O68" s="320"/>
      <c r="P68" s="392">
        <f t="shared" si="8"/>
        <v>72313.740000000005</v>
      </c>
      <c r="Q68" s="392">
        <f t="shared" si="2"/>
        <v>0</v>
      </c>
      <c r="R68" s="392">
        <f t="shared" si="3"/>
        <v>0</v>
      </c>
      <c r="S68" s="373"/>
      <c r="T68" s="374"/>
      <c r="U68" s="18">
        <f t="shared" si="9"/>
        <v>-150921.63</v>
      </c>
      <c r="V68" s="377">
        <f t="shared" si="10"/>
        <v>150921.63</v>
      </c>
      <c r="W68" s="18">
        <f t="shared" si="11"/>
        <v>76295.045269440001</v>
      </c>
      <c r="X68" s="377">
        <f t="shared" si="12"/>
        <v>74626.584730560004</v>
      </c>
      <c r="Y68" s="378">
        <f t="shared" si="13"/>
        <v>1429947.9233192722</v>
      </c>
    </row>
    <row r="69" spans="3:38" x14ac:dyDescent="0.2">
      <c r="C69" s="387">
        <f t="shared" si="4"/>
        <v>42145</v>
      </c>
      <c r="D69" s="388">
        <f t="shared" si="5"/>
        <v>149288.64774193548</v>
      </c>
      <c r="E69" s="392">
        <f t="shared" si="6"/>
        <v>75721.38</v>
      </c>
      <c r="F69" s="428">
        <f t="shared" si="0"/>
        <v>0.91012908999999997</v>
      </c>
      <c r="G69" s="390">
        <f t="shared" si="7"/>
        <v>68.916200000000003</v>
      </c>
      <c r="H69" s="391">
        <f t="shared" si="1"/>
        <v>225079.8540710255</v>
      </c>
      <c r="I69" s="324">
        <v>72955</v>
      </c>
      <c r="J69" s="325"/>
      <c r="K69" s="325">
        <v>77533</v>
      </c>
      <c r="L69" s="317">
        <v>75721.38</v>
      </c>
      <c r="M69" s="318"/>
      <c r="N69" s="318"/>
      <c r="O69" s="318"/>
      <c r="P69" s="392">
        <f t="shared" si="8"/>
        <v>75721.38</v>
      </c>
      <c r="Q69" s="392">
        <f t="shared" si="2"/>
        <v>0</v>
      </c>
      <c r="R69" s="392">
        <f t="shared" si="3"/>
        <v>0</v>
      </c>
      <c r="S69" s="373"/>
      <c r="T69" s="374"/>
      <c r="U69" s="18">
        <f t="shared" si="9"/>
        <v>-150488</v>
      </c>
      <c r="V69" s="377">
        <f t="shared" si="10"/>
        <v>150488</v>
      </c>
      <c r="W69" s="18">
        <f t="shared" si="11"/>
        <v>79890.296297280001</v>
      </c>
      <c r="X69" s="377">
        <f t="shared" si="12"/>
        <v>70597.703702719999</v>
      </c>
      <c r="Y69" s="378">
        <f t="shared" si="13"/>
        <v>1500545.6270219921</v>
      </c>
    </row>
    <row r="70" spans="3:38" x14ac:dyDescent="0.2">
      <c r="C70" s="387">
        <f t="shared" si="4"/>
        <v>42146</v>
      </c>
      <c r="D70" s="388">
        <f t="shared" si="5"/>
        <v>149288.64774193548</v>
      </c>
      <c r="E70" s="392">
        <f t="shared" si="6"/>
        <v>71936.3</v>
      </c>
      <c r="F70" s="428">
        <f t="shared" si="0"/>
        <v>0.91012908999999997</v>
      </c>
      <c r="G70" s="390">
        <f t="shared" si="7"/>
        <v>65.471299999999999</v>
      </c>
      <c r="H70" s="391">
        <f t="shared" si="1"/>
        <v>221291.32917102551</v>
      </c>
      <c r="I70" s="324">
        <v>72955</v>
      </c>
      <c r="J70" s="325"/>
      <c r="K70" s="325">
        <v>77640.44</v>
      </c>
      <c r="L70" s="319">
        <v>71936.3</v>
      </c>
      <c r="M70" s="320"/>
      <c r="N70" s="320"/>
      <c r="O70" s="320"/>
      <c r="P70" s="392">
        <f t="shared" si="8"/>
        <v>71936.3</v>
      </c>
      <c r="Q70" s="392">
        <f t="shared" si="2"/>
        <v>0</v>
      </c>
      <c r="R70" s="392">
        <f t="shared" si="3"/>
        <v>0</v>
      </c>
      <c r="S70" s="373"/>
      <c r="T70" s="374"/>
      <c r="U70" s="18">
        <f t="shared" si="9"/>
        <v>-150595.44</v>
      </c>
      <c r="V70" s="377">
        <f t="shared" si="10"/>
        <v>150595.44</v>
      </c>
      <c r="W70" s="18">
        <f t="shared" si="11"/>
        <v>75896.824932800009</v>
      </c>
      <c r="X70" s="377">
        <f t="shared" si="12"/>
        <v>74698.615067199993</v>
      </c>
      <c r="Y70" s="378">
        <f t="shared" si="13"/>
        <v>1575244.2420891922</v>
      </c>
    </row>
    <row r="71" spans="3:38" x14ac:dyDescent="0.2">
      <c r="C71" s="387">
        <f t="shared" si="4"/>
        <v>42147</v>
      </c>
      <c r="D71" s="388">
        <f t="shared" si="5"/>
        <v>149288.64774193548</v>
      </c>
      <c r="E71" s="392">
        <f t="shared" si="6"/>
        <v>76275.55</v>
      </c>
      <c r="F71" s="428">
        <f t="shared" si="0"/>
        <v>0.91012908999999997</v>
      </c>
      <c r="G71" s="390">
        <f t="shared" si="7"/>
        <v>69.420599999999993</v>
      </c>
      <c r="H71" s="391">
        <f t="shared" si="1"/>
        <v>225634.52847102552</v>
      </c>
      <c r="I71" s="324">
        <v>72955</v>
      </c>
      <c r="J71" s="325"/>
      <c r="K71" s="325">
        <v>77164.66</v>
      </c>
      <c r="L71" s="317">
        <v>76275.55</v>
      </c>
      <c r="M71" s="318"/>
      <c r="N71" s="318"/>
      <c r="O71" s="318"/>
      <c r="P71" s="392">
        <f t="shared" si="8"/>
        <v>76275.55</v>
      </c>
      <c r="Q71" s="392">
        <f t="shared" si="2"/>
        <v>0</v>
      </c>
      <c r="R71" s="392">
        <f t="shared" si="3"/>
        <v>0</v>
      </c>
      <c r="S71" s="373"/>
      <c r="T71" s="374"/>
      <c r="U71" s="18">
        <f t="shared" si="9"/>
        <v>-150119.66</v>
      </c>
      <c r="V71" s="377">
        <f t="shared" si="10"/>
        <v>150119.66</v>
      </c>
      <c r="W71" s="18">
        <f t="shared" si="11"/>
        <v>80474.976680799999</v>
      </c>
      <c r="X71" s="377">
        <f t="shared" si="12"/>
        <v>69644.683319200005</v>
      </c>
      <c r="Y71" s="378">
        <f t="shared" si="13"/>
        <v>1644888.9254083922</v>
      </c>
    </row>
    <row r="72" spans="3:38" x14ac:dyDescent="0.2">
      <c r="C72" s="387">
        <f t="shared" si="4"/>
        <v>42148</v>
      </c>
      <c r="D72" s="388">
        <f t="shared" si="5"/>
        <v>149288.64774193548</v>
      </c>
      <c r="E72" s="392">
        <f t="shared" si="6"/>
        <v>76274.460000000006</v>
      </c>
      <c r="F72" s="428">
        <f t="shared" si="0"/>
        <v>0.91012908999999997</v>
      </c>
      <c r="G72" s="390">
        <f>ROUND(I$24*F72*E72,4)</f>
        <v>69.419600000000003</v>
      </c>
      <c r="H72" s="391">
        <f t="shared" si="1"/>
        <v>225633.43747102548</v>
      </c>
      <c r="I72" s="324">
        <v>72955</v>
      </c>
      <c r="J72" s="325"/>
      <c r="K72" s="325">
        <v>78166.11</v>
      </c>
      <c r="L72" s="319">
        <v>76274.460000000006</v>
      </c>
      <c r="M72" s="320"/>
      <c r="N72" s="320"/>
      <c r="O72" s="320"/>
      <c r="P72" s="392">
        <f t="shared" si="8"/>
        <v>76274.460000000006</v>
      </c>
      <c r="Q72" s="392">
        <f t="shared" si="2"/>
        <v>0</v>
      </c>
      <c r="R72" s="392">
        <f t="shared" si="3"/>
        <v>0</v>
      </c>
      <c r="S72" s="373"/>
      <c r="T72" s="374"/>
      <c r="U72" s="18">
        <f t="shared" si="9"/>
        <v>-151121.10999999999</v>
      </c>
      <c r="V72" s="377">
        <f t="shared" si="10"/>
        <v>151121.10999999999</v>
      </c>
      <c r="W72" s="18">
        <f t="shared" si="11"/>
        <v>80473.826669760005</v>
      </c>
      <c r="X72" s="377">
        <f t="shared" si="12"/>
        <v>70647.283330239981</v>
      </c>
      <c r="Y72" s="378">
        <f t="shared" si="13"/>
        <v>1715536.2087386323</v>
      </c>
    </row>
    <row r="73" spans="3:38" x14ac:dyDescent="0.2">
      <c r="C73" s="387">
        <f t="shared" si="4"/>
        <v>42149</v>
      </c>
      <c r="D73" s="388">
        <f t="shared" si="5"/>
        <v>149288.64774193548</v>
      </c>
      <c r="E73" s="392">
        <f t="shared" si="6"/>
        <v>76345.25</v>
      </c>
      <c r="F73" s="428">
        <f t="shared" si="0"/>
        <v>0.91012908999999997</v>
      </c>
      <c r="G73" s="390">
        <f t="shared" si="7"/>
        <v>69.483999999999995</v>
      </c>
      <c r="H73" s="391">
        <f t="shared" si="1"/>
        <v>225704.29187102549</v>
      </c>
      <c r="I73" s="324">
        <v>72955</v>
      </c>
      <c r="J73" s="325"/>
      <c r="K73" s="325">
        <v>78710.824999999997</v>
      </c>
      <c r="L73" s="317">
        <v>76345.25</v>
      </c>
      <c r="M73" s="318"/>
      <c r="N73" s="318"/>
      <c r="O73" s="318"/>
      <c r="P73" s="392">
        <f t="shared" si="8"/>
        <v>76345.25</v>
      </c>
      <c r="Q73" s="392">
        <f t="shared" si="2"/>
        <v>0</v>
      </c>
      <c r="R73" s="392">
        <f t="shared" si="3"/>
        <v>0</v>
      </c>
      <c r="S73" s="373"/>
      <c r="T73" s="374"/>
      <c r="U73" s="18">
        <f t="shared" si="9"/>
        <v>-151665.82500000001</v>
      </c>
      <c r="V73" s="377">
        <f t="shared" si="10"/>
        <v>151665.82500000001</v>
      </c>
      <c r="W73" s="18">
        <f t="shared" si="11"/>
        <v>80548.514083999995</v>
      </c>
      <c r="X73" s="377">
        <f t="shared" si="12"/>
        <v>71117.310916000017</v>
      </c>
      <c r="Y73" s="378">
        <f t="shared" si="13"/>
        <v>1786653.5196546323</v>
      </c>
    </row>
    <row r="74" spans="3:38" x14ac:dyDescent="0.2">
      <c r="C74" s="387">
        <f t="shared" si="4"/>
        <v>42150</v>
      </c>
      <c r="D74" s="388">
        <f t="shared" si="5"/>
        <v>149288.64774193548</v>
      </c>
      <c r="E74" s="392">
        <f t="shared" si="6"/>
        <v>73697.279999999999</v>
      </c>
      <c r="F74" s="428">
        <f t="shared" si="0"/>
        <v>0.91012908999999997</v>
      </c>
      <c r="G74" s="390">
        <f t="shared" si="7"/>
        <v>67.073999999999998</v>
      </c>
      <c r="H74" s="391">
        <f t="shared" si="1"/>
        <v>223053.91187102548</v>
      </c>
      <c r="I74" s="324">
        <v>72955</v>
      </c>
      <c r="J74" s="325"/>
      <c r="K74" s="325">
        <v>78576.429999999993</v>
      </c>
      <c r="L74" s="319">
        <v>73697.279999999999</v>
      </c>
      <c r="M74" s="320"/>
      <c r="N74" s="320"/>
      <c r="O74" s="320"/>
      <c r="P74" s="392">
        <f t="shared" si="8"/>
        <v>73697.279999999999</v>
      </c>
      <c r="Q74" s="392">
        <f t="shared" si="2"/>
        <v>0</v>
      </c>
      <c r="R74" s="392">
        <f t="shared" si="3"/>
        <v>0</v>
      </c>
      <c r="S74" s="373"/>
      <c r="T74" s="374"/>
      <c r="U74" s="18">
        <f t="shared" si="9"/>
        <v>-151531.43</v>
      </c>
      <c r="V74" s="377">
        <f t="shared" si="10"/>
        <v>151531.43</v>
      </c>
      <c r="W74" s="18">
        <f t="shared" si="11"/>
        <v>77754.757447679993</v>
      </c>
      <c r="X74" s="377">
        <f t="shared" si="12"/>
        <v>73776.67255232</v>
      </c>
      <c r="Y74" s="378">
        <f t="shared" si="13"/>
        <v>1860430.1922069523</v>
      </c>
    </row>
    <row r="75" spans="3:38" x14ac:dyDescent="0.2">
      <c r="C75" s="387">
        <f t="shared" si="4"/>
        <v>42151</v>
      </c>
      <c r="D75" s="388">
        <f t="shared" si="5"/>
        <v>149288.64774193548</v>
      </c>
      <c r="E75" s="392">
        <f t="shared" si="6"/>
        <v>72098.89</v>
      </c>
      <c r="F75" s="428">
        <f t="shared" si="0"/>
        <v>0.91012908999999997</v>
      </c>
      <c r="G75" s="390">
        <f t="shared" si="7"/>
        <v>65.619299999999996</v>
      </c>
      <c r="H75" s="391">
        <f t="shared" si="1"/>
        <v>221454.06717102547</v>
      </c>
      <c r="I75" s="324">
        <v>72955</v>
      </c>
      <c r="J75" s="325"/>
      <c r="K75" s="325">
        <v>78482.42</v>
      </c>
      <c r="L75" s="317">
        <v>72098.89</v>
      </c>
      <c r="M75" s="318"/>
      <c r="N75" s="318"/>
      <c r="O75" s="318"/>
      <c r="P75" s="392">
        <f t="shared" si="8"/>
        <v>72098.89</v>
      </c>
      <c r="Q75" s="392">
        <f t="shared" si="2"/>
        <v>0</v>
      </c>
      <c r="R75" s="392">
        <f t="shared" si="3"/>
        <v>0</v>
      </c>
      <c r="S75" s="373"/>
      <c r="T75" s="374"/>
      <c r="U75" s="18">
        <f t="shared" si="9"/>
        <v>-151437.41999999998</v>
      </c>
      <c r="V75" s="377">
        <f t="shared" si="10"/>
        <v>151437.41999999998</v>
      </c>
      <c r="W75" s="18">
        <f t="shared" si="11"/>
        <v>76068.366487840001</v>
      </c>
      <c r="X75" s="377">
        <f t="shared" si="12"/>
        <v>75369.053512159982</v>
      </c>
      <c r="Y75" s="378">
        <f t="shared" si="13"/>
        <v>1935799.2457191122</v>
      </c>
    </row>
    <row r="76" spans="3:38" x14ac:dyDescent="0.2">
      <c r="C76" s="387">
        <f t="shared" si="4"/>
        <v>42152</v>
      </c>
      <c r="D76" s="388">
        <f t="shared" si="5"/>
        <v>149288.64774193548</v>
      </c>
      <c r="E76" s="392">
        <f t="shared" si="6"/>
        <v>72197.75</v>
      </c>
      <c r="F76" s="428">
        <f t="shared" si="0"/>
        <v>0.91012908999999997</v>
      </c>
      <c r="G76" s="390">
        <f t="shared" si="7"/>
        <v>65.709299999999999</v>
      </c>
      <c r="H76" s="391">
        <f t="shared" si="1"/>
        <v>221553.01717102548</v>
      </c>
      <c r="I76" s="324">
        <v>72955</v>
      </c>
      <c r="J76" s="325"/>
      <c r="K76" s="325">
        <v>77937.808000000005</v>
      </c>
      <c r="L76" s="319">
        <v>72197.75</v>
      </c>
      <c r="M76" s="320"/>
      <c r="N76" s="320"/>
      <c r="O76" s="320"/>
      <c r="P76" s="392">
        <f t="shared" si="8"/>
        <v>72197.75</v>
      </c>
      <c r="Q76" s="392">
        <f t="shared" si="2"/>
        <v>0</v>
      </c>
      <c r="R76" s="392">
        <f t="shared" si="3"/>
        <v>0</v>
      </c>
      <c r="S76" s="373"/>
      <c r="T76" s="374"/>
      <c r="U76" s="18">
        <f t="shared" si="9"/>
        <v>-150892.80800000002</v>
      </c>
      <c r="V76" s="377">
        <f t="shared" si="10"/>
        <v>150892.80800000002</v>
      </c>
      <c r="W76" s="18">
        <f t="shared" si="11"/>
        <v>76172.669324000002</v>
      </c>
      <c r="X76" s="377">
        <f t="shared" si="12"/>
        <v>74720.138676000017</v>
      </c>
      <c r="Y76" s="378">
        <f t="shared" si="13"/>
        <v>2010519.3843951123</v>
      </c>
    </row>
    <row r="77" spans="3:38" x14ac:dyDescent="0.2">
      <c r="C77" s="387">
        <f t="shared" si="4"/>
        <v>42153</v>
      </c>
      <c r="D77" s="388">
        <f t="shared" si="5"/>
        <v>149288.64774193548</v>
      </c>
      <c r="E77" s="392">
        <f t="shared" si="6"/>
        <v>72079.86</v>
      </c>
      <c r="F77" s="428">
        <f t="shared" si="0"/>
        <v>0.91012908999999997</v>
      </c>
      <c r="G77" s="390">
        <f t="shared" si="7"/>
        <v>65.602000000000004</v>
      </c>
      <c r="H77" s="391">
        <f t="shared" si="1"/>
        <v>221435.01987102552</v>
      </c>
      <c r="I77" s="324">
        <v>72955</v>
      </c>
      <c r="J77" s="325"/>
      <c r="K77" s="325">
        <v>77703.350000000006</v>
      </c>
      <c r="L77" s="317">
        <v>72079.86</v>
      </c>
      <c r="M77" s="318"/>
      <c r="N77" s="318"/>
      <c r="O77" s="318"/>
      <c r="P77" s="392">
        <f t="shared" si="8"/>
        <v>72079.86</v>
      </c>
      <c r="Q77" s="392">
        <f t="shared" si="2"/>
        <v>0</v>
      </c>
      <c r="R77" s="392">
        <f t="shared" si="3"/>
        <v>0</v>
      </c>
      <c r="S77" s="373"/>
      <c r="T77" s="374"/>
      <c r="U77" s="18">
        <f t="shared" si="9"/>
        <v>-150658.35</v>
      </c>
      <c r="V77" s="377">
        <f t="shared" si="10"/>
        <v>150658.35</v>
      </c>
      <c r="W77" s="18">
        <f t="shared" si="11"/>
        <v>76048.288772159998</v>
      </c>
      <c r="X77" s="377">
        <f t="shared" si="12"/>
        <v>74610.061227840008</v>
      </c>
      <c r="Y77" s="378">
        <f t="shared" si="13"/>
        <v>2085129.4456229522</v>
      </c>
    </row>
    <row r="78" spans="3:38" x14ac:dyDescent="0.2">
      <c r="C78" s="387">
        <f t="shared" si="4"/>
        <v>42154</v>
      </c>
      <c r="D78" s="388">
        <f t="shared" si="5"/>
        <v>149288.64774193548</v>
      </c>
      <c r="E78" s="392">
        <f t="shared" si="6"/>
        <v>72011.039999999994</v>
      </c>
      <c r="F78" s="428">
        <f t="shared" si="0"/>
        <v>0.91012908999999997</v>
      </c>
      <c r="G78" s="390">
        <f t="shared" si="7"/>
        <v>65.539299999999997</v>
      </c>
      <c r="H78" s="391">
        <f t="shared" si="1"/>
        <v>221366.1371710255</v>
      </c>
      <c r="I78" s="324">
        <v>72955</v>
      </c>
      <c r="J78" s="325"/>
      <c r="K78" s="325">
        <v>76598.41</v>
      </c>
      <c r="L78" s="319">
        <v>72011.039999999994</v>
      </c>
      <c r="M78" s="320"/>
      <c r="N78" s="320"/>
      <c r="O78" s="320"/>
      <c r="P78" s="392">
        <f t="shared" si="8"/>
        <v>72011.039999999994</v>
      </c>
      <c r="Q78" s="392">
        <f t="shared" si="2"/>
        <v>0</v>
      </c>
      <c r="R78" s="392">
        <f t="shared" si="3"/>
        <v>0</v>
      </c>
      <c r="S78" s="373"/>
      <c r="T78" s="374"/>
      <c r="U78" s="18">
        <f t="shared" si="9"/>
        <v>-149553.41</v>
      </c>
      <c r="V78" s="377">
        <f t="shared" si="10"/>
        <v>149553.41</v>
      </c>
      <c r="W78" s="18">
        <f t="shared" si="11"/>
        <v>75975.679818239994</v>
      </c>
      <c r="X78" s="377">
        <f t="shared" si="12"/>
        <v>73577.730181760009</v>
      </c>
      <c r="Y78" s="378">
        <f t="shared" si="13"/>
        <v>2158707.1758047123</v>
      </c>
    </row>
    <row r="79" spans="3:38" ht="15" thickBot="1" x14ac:dyDescent="0.25">
      <c r="C79" s="393">
        <f t="shared" si="4"/>
        <v>42155</v>
      </c>
      <c r="D79" s="394">
        <f t="shared" si="5"/>
        <v>149288.64774193548</v>
      </c>
      <c r="E79" s="395">
        <f t="shared" si="6"/>
        <v>71814.02</v>
      </c>
      <c r="F79" s="429">
        <f t="shared" si="0"/>
        <v>0.91012908999999997</v>
      </c>
      <c r="G79" s="396">
        <f t="shared" si="7"/>
        <v>65.36</v>
      </c>
      <c r="H79" s="397">
        <f t="shared" si="1"/>
        <v>221168.93787102547</v>
      </c>
      <c r="I79" s="326">
        <v>72955</v>
      </c>
      <c r="J79" s="327"/>
      <c r="K79" s="327">
        <v>74784.752999999997</v>
      </c>
      <c r="L79" s="321">
        <v>71814.02</v>
      </c>
      <c r="M79" s="322"/>
      <c r="N79" s="322"/>
      <c r="O79" s="322"/>
      <c r="P79" s="395">
        <f t="shared" si="8"/>
        <v>71814.02</v>
      </c>
      <c r="Q79" s="395">
        <f t="shared" si="2"/>
        <v>0</v>
      </c>
      <c r="R79" s="395">
        <f t="shared" si="3"/>
        <v>0</v>
      </c>
      <c r="S79" s="375"/>
      <c r="T79" s="376"/>
      <c r="U79" s="379">
        <f t="shared" si="9"/>
        <v>-147739.753</v>
      </c>
      <c r="V79" s="380">
        <f t="shared" si="10"/>
        <v>147739.753</v>
      </c>
      <c r="W79" s="379">
        <f t="shared" si="11"/>
        <v>75767.812685120007</v>
      </c>
      <c r="X79" s="380">
        <f t="shared" si="12"/>
        <v>71971.94031487999</v>
      </c>
      <c r="Y79" s="381">
        <f>Y78+X79</f>
        <v>2230679.1161195925</v>
      </c>
    </row>
    <row r="80" spans="3:38" ht="15" thickBot="1" x14ac:dyDescent="0.25">
      <c r="C80" s="398"/>
      <c r="D80" s="399">
        <f>SUM(D49:D79)</f>
        <v>4627948.0800000019</v>
      </c>
      <c r="E80" s="400">
        <f>SUM(E49:E79)</f>
        <v>2293137.4949579998</v>
      </c>
      <c r="F80" s="400"/>
      <c r="G80" s="401">
        <f>SUM(G49:G79)</f>
        <v>2087.0510000000004</v>
      </c>
      <c r="H80" s="399">
        <f>SUM(H49:H79)</f>
        <v>6923200.8399597891</v>
      </c>
      <c r="I80" s="432">
        <f>SUM(I49:I79)</f>
        <v>2261605</v>
      </c>
      <c r="J80" s="432">
        <f t="shared" ref="J80:R80" si="14">SUM(J49:J79)</f>
        <v>0</v>
      </c>
      <c r="K80" s="432">
        <f t="shared" si="14"/>
        <v>2388462.5890000002</v>
      </c>
      <c r="L80" s="432">
        <f t="shared" si="14"/>
        <v>2293137.4949579998</v>
      </c>
      <c r="M80" s="432">
        <f t="shared" si="14"/>
        <v>0</v>
      </c>
      <c r="N80" s="432">
        <f t="shared" si="14"/>
        <v>0</v>
      </c>
      <c r="O80" s="432">
        <f t="shared" si="14"/>
        <v>0</v>
      </c>
      <c r="P80" s="432">
        <f t="shared" si="14"/>
        <v>2293137.4949579998</v>
      </c>
      <c r="Q80" s="432">
        <f t="shared" si="14"/>
        <v>0</v>
      </c>
      <c r="R80" s="432">
        <f t="shared" si="14"/>
        <v>0</v>
      </c>
      <c r="U80" s="1"/>
      <c r="V80" s="328">
        <f>SUM(V49:V79)</f>
        <v>4650067.5889999997</v>
      </c>
      <c r="W80" s="328">
        <f>SUM(W49:W79)</f>
        <v>2419388.4728804072</v>
      </c>
      <c r="X80" s="328">
        <f>SUM(X49:X79)</f>
        <v>2230679.1161195925</v>
      </c>
      <c r="Y80" s="323">
        <f>Y79</f>
        <v>2230679.1161195925</v>
      </c>
      <c r="AL80" s="361">
        <f>Y79</f>
        <v>2230679.1161195925</v>
      </c>
    </row>
    <row r="81" spans="2:14" ht="15" customHeight="1" x14ac:dyDescent="0.2">
      <c r="B81"/>
      <c r="C81"/>
      <c r="D81"/>
      <c r="E81"/>
      <c r="F81"/>
      <c r="G81"/>
      <c r="H81"/>
      <c r="I81"/>
      <c r="J81"/>
      <c r="K81"/>
      <c r="L81"/>
      <c r="N81" s="2"/>
    </row>
  </sheetData>
  <mergeCells count="12">
    <mergeCell ref="C10:D10"/>
    <mergeCell ref="C11:D11"/>
    <mergeCell ref="C3:M4"/>
    <mergeCell ref="C5:M5"/>
    <mergeCell ref="C6:M6"/>
    <mergeCell ref="G7:H7"/>
    <mergeCell ref="C9:D9"/>
    <mergeCell ref="D23:E23"/>
    <mergeCell ref="D24:E24"/>
    <mergeCell ref="C28:F28"/>
    <mergeCell ref="C39:F39"/>
    <mergeCell ref="L47:R47"/>
  </mergeCells>
  <conditionalFormatting sqref="L49:O79">
    <cfRule type="cellIs" dxfId="149" priority="1" stopIfTrue="1" operator="equal">
      <formula>0</formula>
    </cfRule>
  </conditionalFormatting>
  <printOptions horizontalCentered="1" verticalCentered="1"/>
  <pageMargins left="0" right="0.70866141732283472" top="0.74803149606299213" bottom="0.74803149606299213" header="0.31496062992125984" footer="0.31496062992125984"/>
  <pageSetup scale="80" orientation="landscape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L81"/>
  <sheetViews>
    <sheetView workbookViewId="0"/>
  </sheetViews>
  <sheetFormatPr baseColWidth="10" defaultColWidth="11" defaultRowHeight="14.25" x14ac:dyDescent="0.2"/>
  <cols>
    <col min="1" max="1" width="11" style="2"/>
    <col min="2" max="2" width="3.875" style="2" bestFit="1" customWidth="1"/>
    <col min="3" max="3" width="16.125" style="2" customWidth="1"/>
    <col min="4" max="4" width="12.375" style="2" bestFit="1" customWidth="1"/>
    <col min="5" max="5" width="10.875" style="2" bestFit="1" customWidth="1"/>
    <col min="6" max="6" width="17.125" style="2" bestFit="1" customWidth="1"/>
    <col min="7" max="7" width="13.125" style="2" bestFit="1" customWidth="1"/>
    <col min="8" max="8" width="12.125" style="2" bestFit="1" customWidth="1"/>
    <col min="9" max="9" width="11.125" style="2" bestFit="1" customWidth="1"/>
    <col min="10" max="10" width="11.875" style="2" bestFit="1" customWidth="1"/>
    <col min="11" max="11" width="11.625" style="2" bestFit="1" customWidth="1"/>
    <col min="12" max="12" width="12.125" style="2" customWidth="1"/>
    <col min="13" max="13" width="10.5" style="2" bestFit="1" customWidth="1"/>
    <col min="14" max="14" width="9" style="1" customWidth="1"/>
    <col min="15" max="15" width="10.375" style="2" customWidth="1"/>
    <col min="16" max="25" width="11" style="2"/>
    <col min="26" max="31" width="10.875" customWidth="1"/>
    <col min="32" max="16384" width="11" style="2"/>
  </cols>
  <sheetData>
    <row r="2" spans="2:25" x14ac:dyDescent="0.2"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2:25" ht="15" customHeight="1" x14ac:dyDescent="0.2">
      <c r="B3" s="1"/>
      <c r="C3" s="2254" t="s">
        <v>0</v>
      </c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</row>
    <row r="4" spans="2:25" ht="15" customHeight="1" x14ac:dyDescent="0.2"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</row>
    <row r="5" spans="2:25" x14ac:dyDescent="0.2">
      <c r="B5" s="1"/>
      <c r="C5" s="2257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</row>
    <row r="6" spans="2:25" x14ac:dyDescent="0.2">
      <c r="B6" s="1"/>
      <c r="C6" s="2257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</row>
    <row r="7" spans="2:25" x14ac:dyDescent="0.2">
      <c r="B7" s="1"/>
      <c r="C7" s="516"/>
      <c r="D7" s="516"/>
      <c r="E7" s="516"/>
      <c r="F7" s="516"/>
      <c r="G7" s="2271">
        <v>42156</v>
      </c>
      <c r="H7" s="2257"/>
      <c r="I7" s="516"/>
      <c r="J7" s="516"/>
      <c r="K7" s="516"/>
      <c r="L7" s="516"/>
      <c r="M7" s="516"/>
      <c r="N7" s="18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2:25" x14ac:dyDescent="0.2">
      <c r="B8" s="1"/>
      <c r="C8" s="516"/>
      <c r="D8" s="516"/>
      <c r="E8" s="516"/>
      <c r="F8" s="516"/>
      <c r="G8" s="516"/>
      <c r="H8" s="516"/>
      <c r="I8" s="516"/>
      <c r="J8" s="516"/>
      <c r="K8" s="516"/>
      <c r="L8" s="516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2:25" ht="25.5" x14ac:dyDescent="0.2">
      <c r="B9" s="1"/>
      <c r="C9" s="2272" t="s">
        <v>6</v>
      </c>
      <c r="D9" s="2272"/>
      <c r="E9" s="517" t="s">
        <v>94</v>
      </c>
      <c r="F9" s="517" t="s">
        <v>126</v>
      </c>
      <c r="G9" s="410" t="s">
        <v>133</v>
      </c>
      <c r="H9" s="517" t="s">
        <v>127</v>
      </c>
      <c r="I9" s="517" t="s">
        <v>128</v>
      </c>
      <c r="J9" s="516"/>
      <c r="K9" s="516"/>
      <c r="L9" s="516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2:25" x14ac:dyDescent="0.2">
      <c r="B10" s="1"/>
      <c r="C10" s="2270" t="s">
        <v>131</v>
      </c>
      <c r="D10" s="2270"/>
      <c r="E10" s="433">
        <f>IF(C15=0,D15,C15)</f>
        <v>4627948.08</v>
      </c>
      <c r="F10" s="407">
        <f>E10*0.16</f>
        <v>740471.69280000008</v>
      </c>
      <c r="G10" s="407">
        <f>E10+F10</f>
        <v>5368419.7728000004</v>
      </c>
      <c r="H10" s="408"/>
      <c r="I10" s="411">
        <v>19</v>
      </c>
      <c r="J10" s="516"/>
      <c r="K10" s="516"/>
      <c r="L10" s="516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2:25" x14ac:dyDescent="0.2">
      <c r="B11" s="1"/>
      <c r="C11" s="2270" t="s">
        <v>132</v>
      </c>
      <c r="D11" s="2270"/>
      <c r="E11" s="433">
        <f>IF(C16=0,D16,C16)</f>
        <v>2047.42</v>
      </c>
      <c r="F11" s="407">
        <f>E11*0.16</f>
        <v>327.5872</v>
      </c>
      <c r="G11" s="407">
        <f>E11+F11</f>
        <v>2375.0072</v>
      </c>
      <c r="H11" s="408"/>
      <c r="I11" s="411">
        <v>19</v>
      </c>
      <c r="J11" s="516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2:25" x14ac:dyDescent="0.2">
      <c r="B12" s="1"/>
      <c r="C12" s="516"/>
      <c r="D12" s="516"/>
      <c r="E12" s="516"/>
      <c r="F12" s="516"/>
      <c r="G12" s="516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2:25" ht="15" thickBot="1" x14ac:dyDescent="0.25">
      <c r="B13" s="1"/>
      <c r="C13" s="516"/>
      <c r="D13" s="516"/>
      <c r="E13" s="516"/>
      <c r="F13" s="516"/>
      <c r="G13" s="516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2:25" x14ac:dyDescent="0.2">
      <c r="B14" s="1"/>
      <c r="C14" s="440" t="s">
        <v>155</v>
      </c>
      <c r="D14" s="441" t="s">
        <v>156</v>
      </c>
      <c r="E14" s="442" t="s">
        <v>112</v>
      </c>
      <c r="F14" s="516"/>
      <c r="G14" s="516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2:25" x14ac:dyDescent="0.2">
      <c r="B15" s="1"/>
      <c r="C15" s="443">
        <v>4627948.08</v>
      </c>
      <c r="D15" s="444">
        <f>D80</f>
        <v>4627948.0800000029</v>
      </c>
      <c r="E15" s="445">
        <f>C15-D15</f>
        <v>0</v>
      </c>
      <c r="F15" s="516"/>
      <c r="G15" s="516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2:25" ht="15" thickBot="1" x14ac:dyDescent="0.25">
      <c r="B16" s="1"/>
      <c r="C16" s="446">
        <v>2047.42</v>
      </c>
      <c r="D16" s="447">
        <f>ROUND(G80,2)</f>
        <v>0</v>
      </c>
      <c r="E16" s="448">
        <f>C16-D16</f>
        <v>2047.42</v>
      </c>
      <c r="F16" s="516"/>
      <c r="G16" s="516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2:25" x14ac:dyDescent="0.2">
      <c r="B17" s="1"/>
      <c r="C17" s="516"/>
      <c r="D17" s="516"/>
      <c r="E17" s="516"/>
      <c r="F17" s="516"/>
      <c r="G17" s="516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2:25" x14ac:dyDescent="0.2">
      <c r="B18" s="1"/>
      <c r="C18" s="516"/>
      <c r="D18" s="516"/>
      <c r="E18" s="516"/>
      <c r="F18" s="516"/>
      <c r="G18" s="516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2:25" x14ac:dyDescent="0.2">
      <c r="B19" s="1"/>
      <c r="C19" s="516"/>
      <c r="D19" s="516"/>
      <c r="E19" s="516"/>
      <c r="F19" s="516"/>
      <c r="G19" s="516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2:25" x14ac:dyDescent="0.2">
      <c r="B20" s="1"/>
      <c r="C20" s="516"/>
      <c r="D20" s="516"/>
      <c r="E20" s="516"/>
      <c r="F20" s="516"/>
      <c r="G20" s="516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2:25" x14ac:dyDescent="0.2">
      <c r="B21" s="1"/>
      <c r="C21" s="516"/>
      <c r="D21" s="516"/>
      <c r="E21" s="516"/>
      <c r="F21" s="516"/>
      <c r="G21" s="516"/>
      <c r="H21" s="1"/>
      <c r="I21" s="1"/>
      <c r="J21" s="1"/>
      <c r="K21" s="1"/>
      <c r="L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2:25" ht="15" thickBot="1" x14ac:dyDescent="0.25">
      <c r="B22" s="1"/>
      <c r="C22" s="419" t="s">
        <v>137</v>
      </c>
      <c r="D22" s="516" t="s">
        <v>138</v>
      </c>
      <c r="E22" s="516"/>
      <c r="F22" s="516" t="s">
        <v>139</v>
      </c>
      <c r="G22" s="516" t="s">
        <v>157</v>
      </c>
      <c r="H22" s="516" t="s">
        <v>143</v>
      </c>
      <c r="I22" s="516" t="s">
        <v>142</v>
      </c>
      <c r="J22" s="516" t="s">
        <v>141</v>
      </c>
      <c r="K22" s="516" t="s">
        <v>140</v>
      </c>
      <c r="L22" s="516" t="s">
        <v>144</v>
      </c>
      <c r="M22" s="516" t="s">
        <v>146</v>
      </c>
      <c r="N22" s="516"/>
      <c r="O22" s="516"/>
      <c r="P22" s="516"/>
      <c r="Q22" s="1"/>
      <c r="R22" s="1"/>
      <c r="S22" s="1"/>
      <c r="T22" s="1"/>
      <c r="U22" s="1"/>
      <c r="V22" s="1"/>
      <c r="W22" s="1"/>
      <c r="X22" s="1"/>
      <c r="Y22" s="1"/>
    </row>
    <row r="23" spans="2:25" ht="36.75" customHeight="1" x14ac:dyDescent="0.2">
      <c r="B23" s="1"/>
      <c r="C23" s="402" t="s">
        <v>134</v>
      </c>
      <c r="D23" s="2261" t="s">
        <v>135</v>
      </c>
      <c r="E23" s="2262"/>
      <c r="F23" s="518" t="s">
        <v>136</v>
      </c>
      <c r="G23" s="461" t="s">
        <v>153</v>
      </c>
      <c r="H23" s="420" t="s">
        <v>129</v>
      </c>
      <c r="I23" s="403" t="s">
        <v>130</v>
      </c>
      <c r="J23" s="422"/>
      <c r="K23" s="422"/>
      <c r="L23" s="422"/>
      <c r="M23" s="404" t="s">
        <v>158</v>
      </c>
      <c r="N23" s="516"/>
      <c r="O23" s="516"/>
      <c r="P23" s="516"/>
      <c r="Q23" s="516"/>
      <c r="R23" s="516"/>
      <c r="S23" s="516"/>
      <c r="T23" s="516"/>
      <c r="U23" s="1"/>
      <c r="V23" s="1"/>
      <c r="W23" s="1"/>
      <c r="X23" s="1"/>
      <c r="Y23" s="1"/>
    </row>
    <row r="24" spans="2:25" x14ac:dyDescent="0.2">
      <c r="B24" s="1"/>
      <c r="C24" s="405">
        <v>850</v>
      </c>
      <c r="D24" s="2263">
        <v>850</v>
      </c>
      <c r="E24" s="2264"/>
      <c r="F24" s="418">
        <v>31482640</v>
      </c>
      <c r="G24" s="462">
        <v>30</v>
      </c>
      <c r="H24" s="460">
        <f>VLOOKUP(C47,Tarifas!D4:H303,3)</f>
        <v>0.14699999999999999</v>
      </c>
      <c r="I24" s="424">
        <f>VLOOKUP(C47,Tarifas!D4:H303,5)</f>
        <v>1E-3</v>
      </c>
      <c r="J24" s="421">
        <v>182.5</v>
      </c>
      <c r="K24" s="421">
        <v>201.4</v>
      </c>
      <c r="L24" s="421">
        <f>I11</f>
        <v>19</v>
      </c>
      <c r="M24" s="431">
        <f>E80</f>
        <v>0</v>
      </c>
      <c r="N24" s="430" t="s">
        <v>62</v>
      </c>
      <c r="O24" s="516"/>
      <c r="P24" s="516"/>
      <c r="Q24" s="516"/>
      <c r="R24" s="516"/>
      <c r="S24" s="516"/>
      <c r="T24" s="516"/>
      <c r="U24" s="1"/>
      <c r="V24" s="1"/>
      <c r="W24" s="1"/>
      <c r="X24" s="1"/>
      <c r="Y24" s="1"/>
    </row>
    <row r="25" spans="2:25" x14ac:dyDescent="0.2">
      <c r="B25" s="1"/>
      <c r="C25" s="516"/>
      <c r="D25" s="516"/>
      <c r="E25" s="516"/>
      <c r="F25" s="516"/>
      <c r="G25" s="516"/>
      <c r="H25" s="516"/>
      <c r="I25" s="516"/>
      <c r="J25" s="516"/>
      <c r="K25" s="516"/>
      <c r="L25" s="516"/>
      <c r="M25" s="516"/>
      <c r="N25" s="516"/>
      <c r="O25" s="516"/>
      <c r="P25" s="516"/>
      <c r="Q25" s="516"/>
      <c r="R25" s="516"/>
      <c r="S25" s="1"/>
      <c r="T25" s="1"/>
      <c r="U25" s="1"/>
      <c r="V25" s="1"/>
      <c r="W25" s="1"/>
      <c r="X25" s="1"/>
      <c r="Y25" s="1"/>
    </row>
    <row r="26" spans="2:25" x14ac:dyDescent="0.2">
      <c r="B26" s="1"/>
      <c r="C26" s="516"/>
      <c r="D26" s="516"/>
      <c r="E26" s="516"/>
      <c r="F26" s="516"/>
      <c r="G26" s="516"/>
      <c r="H26" s="516"/>
      <c r="I26" s="516"/>
      <c r="J26" s="516"/>
      <c r="K26" s="516"/>
      <c r="L26" s="516"/>
      <c r="M26" s="516"/>
      <c r="N26" s="516"/>
      <c r="O26" s="516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2:25" x14ac:dyDescent="0.2">
      <c r="B27" s="1"/>
      <c r="C27" s="516"/>
      <c r="D27" s="516"/>
      <c r="E27" s="516"/>
      <c r="F27" s="516"/>
      <c r="G27" s="516"/>
      <c r="H27" s="516"/>
      <c r="I27" s="516"/>
      <c r="J27" s="516"/>
      <c r="K27" s="516"/>
      <c r="L27" s="516"/>
      <c r="M27" s="516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2:25" ht="15" thickBot="1" x14ac:dyDescent="0.25">
      <c r="B28" s="1"/>
      <c r="C28" s="2265" t="s">
        <v>86</v>
      </c>
      <c r="D28" s="2265"/>
      <c r="E28" s="2265"/>
      <c r="F28" s="2265"/>
      <c r="G28" s="519"/>
      <c r="H28" s="334"/>
      <c r="I28" s="334"/>
      <c r="J28" s="334"/>
      <c r="K28" s="519"/>
      <c r="L28" s="336"/>
      <c r="M28" s="336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2:25" ht="22.5" x14ac:dyDescent="0.2">
      <c r="B29" s="1"/>
      <c r="C29" s="337" t="s">
        <v>87</v>
      </c>
      <c r="D29" s="514" t="s">
        <v>88</v>
      </c>
      <c r="E29" s="514" t="s">
        <v>89</v>
      </c>
      <c r="F29" s="514" t="s">
        <v>20</v>
      </c>
      <c r="G29" s="514" t="s">
        <v>160</v>
      </c>
      <c r="H29" s="514" t="s">
        <v>90</v>
      </c>
      <c r="I29" s="514" t="s">
        <v>91</v>
      </c>
      <c r="J29" s="514" t="s">
        <v>92</v>
      </c>
      <c r="K29" s="514" t="s">
        <v>93</v>
      </c>
      <c r="L29" s="514" t="s">
        <v>94</v>
      </c>
      <c r="M29" s="515" t="s">
        <v>95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2:25" x14ac:dyDescent="0.2">
      <c r="B30" s="1"/>
      <c r="C30" s="338"/>
      <c r="D30" s="339">
        <v>1</v>
      </c>
      <c r="E30" s="339" t="s">
        <v>96</v>
      </c>
      <c r="F30" s="340" t="s">
        <v>97</v>
      </c>
      <c r="G30" s="340">
        <v>2201</v>
      </c>
      <c r="H30" s="339">
        <v>20823</v>
      </c>
      <c r="I30" s="341">
        <v>40000</v>
      </c>
      <c r="J30" s="339">
        <v>138.15</v>
      </c>
      <c r="K30" s="342">
        <f>I30/I$35</f>
        <v>4.7058823529411764E-2</v>
      </c>
      <c r="L30" s="343">
        <f>ROUND(K30*E$10,2)</f>
        <v>217785.79</v>
      </c>
      <c r="M30" s="344">
        <f>L30*$I$10</f>
        <v>4137930.0100000002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2:25" x14ac:dyDescent="0.2">
      <c r="B31" s="1"/>
      <c r="C31" s="338"/>
      <c r="D31" s="339">
        <v>2</v>
      </c>
      <c r="E31" s="339" t="s">
        <v>98</v>
      </c>
      <c r="F31" s="340" t="s">
        <v>97</v>
      </c>
      <c r="G31" s="340">
        <v>2201</v>
      </c>
      <c r="H31" s="339">
        <v>20824</v>
      </c>
      <c r="I31" s="341">
        <v>40000</v>
      </c>
      <c r="J31" s="339">
        <v>138.15</v>
      </c>
      <c r="K31" s="342">
        <f>I31/I$35</f>
        <v>4.7058823529411764E-2</v>
      </c>
      <c r="L31" s="343">
        <f>ROUND(K31*E$10,2)</f>
        <v>217785.79</v>
      </c>
      <c r="M31" s="344">
        <f>L31*$I$10</f>
        <v>4137930.0100000002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2:25" x14ac:dyDescent="0.2">
      <c r="B32" s="1"/>
      <c r="C32" s="338"/>
      <c r="D32" s="339">
        <v>1</v>
      </c>
      <c r="E32" s="339" t="s">
        <v>99</v>
      </c>
      <c r="F32" s="340" t="s">
        <v>100</v>
      </c>
      <c r="G32" s="340">
        <v>2230</v>
      </c>
      <c r="H32" s="339">
        <v>22228</v>
      </c>
      <c r="I32" s="341">
        <v>32000</v>
      </c>
      <c r="J32" s="339">
        <v>130.80000000000001</v>
      </c>
      <c r="K32" s="342">
        <f>I32/I$35</f>
        <v>3.7647058823529408E-2</v>
      </c>
      <c r="L32" s="343">
        <f>ROUND(K32*E$10,2)</f>
        <v>174228.63</v>
      </c>
      <c r="M32" s="344">
        <f>L32*$I$10</f>
        <v>3310343.97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2:25" x14ac:dyDescent="0.2">
      <c r="B33" s="1"/>
      <c r="C33" s="338">
        <v>800762390</v>
      </c>
      <c r="D33" s="339">
        <v>1</v>
      </c>
      <c r="E33" s="354" t="s">
        <v>101</v>
      </c>
      <c r="F33" s="463" t="s">
        <v>23</v>
      </c>
      <c r="G33" s="463">
        <v>2044</v>
      </c>
      <c r="H33" s="354">
        <v>591000420</v>
      </c>
      <c r="I33" s="341">
        <v>80000</v>
      </c>
      <c r="J33" s="339"/>
      <c r="K33" s="342">
        <f>I33/I$35</f>
        <v>9.4117647058823528E-2</v>
      </c>
      <c r="L33" s="343">
        <f>ROUND(K33*E$10,2)</f>
        <v>435571.58</v>
      </c>
      <c r="M33" s="344">
        <f>L33*$I$10</f>
        <v>8275860.0200000005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2:25" ht="15" thickBot="1" x14ac:dyDescent="0.25">
      <c r="B34" s="1"/>
      <c r="C34" s="345">
        <v>800642440</v>
      </c>
      <c r="D34" s="346">
        <v>5</v>
      </c>
      <c r="E34" s="347" t="s">
        <v>101</v>
      </c>
      <c r="F34" s="348" t="s">
        <v>159</v>
      </c>
      <c r="G34" s="348">
        <v>2277</v>
      </c>
      <c r="H34" s="347">
        <v>22770</v>
      </c>
      <c r="I34" s="349">
        <f>850000-I30-I31-I32-I33</f>
        <v>658000</v>
      </c>
      <c r="J34" s="346"/>
      <c r="K34" s="350">
        <f>I34/I$35</f>
        <v>0.77411764705882358</v>
      </c>
      <c r="L34" s="351">
        <f>ROUND(K34*E$10,2)</f>
        <v>3582576.28</v>
      </c>
      <c r="M34" s="352">
        <f>L34*$I$10</f>
        <v>68068949.319999993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2:25" x14ac:dyDescent="0.2">
      <c r="B35" s="1"/>
      <c r="C35" s="406">
        <v>3000623</v>
      </c>
      <c r="D35" s="353" t="s">
        <v>102</v>
      </c>
      <c r="E35" s="353"/>
      <c r="F35" s="353"/>
      <c r="G35" s="353"/>
      <c r="H35" s="354"/>
      <c r="I35" s="355">
        <f>SUM(I30:I34)</f>
        <v>850000</v>
      </c>
      <c r="J35" s="353"/>
      <c r="K35" s="356">
        <f>SUM(K30:K34)</f>
        <v>1</v>
      </c>
      <c r="L35" s="357">
        <f>SUM(L30:L34)</f>
        <v>4627948.07</v>
      </c>
      <c r="M35" s="357">
        <f>SUM(M30:M33)</f>
        <v>19862064.010000002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2:25" x14ac:dyDescent="0.2">
      <c r="B36" s="1"/>
      <c r="C36" s="336"/>
      <c r="D36" s="336"/>
      <c r="E36" s="336"/>
      <c r="F36" s="358"/>
      <c r="G36" s="358"/>
      <c r="H36" s="336"/>
      <c r="I36" s="336"/>
      <c r="J36" s="336"/>
      <c r="K36" s="336"/>
      <c r="L36" s="359"/>
      <c r="M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2:25" x14ac:dyDescent="0.2">
      <c r="B37" s="1"/>
      <c r="C37" s="336"/>
      <c r="D37" s="336"/>
      <c r="E37" s="336"/>
      <c r="F37" s="358"/>
      <c r="G37" s="358"/>
      <c r="H37" s="336"/>
      <c r="I37" s="336"/>
      <c r="J37" s="336"/>
      <c r="K37" s="336"/>
      <c r="L37" s="359"/>
      <c r="M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2:25" x14ac:dyDescent="0.2">
      <c r="B38" s="1"/>
      <c r="C38" s="336"/>
      <c r="D38" s="336"/>
      <c r="E38" s="336"/>
      <c r="F38" s="358"/>
      <c r="G38" s="358"/>
      <c r="H38" s="336"/>
      <c r="I38" s="336"/>
      <c r="J38" s="336"/>
      <c r="K38" s="336"/>
      <c r="L38" s="359"/>
      <c r="M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2:25" ht="15" thickBot="1" x14ac:dyDescent="0.25">
      <c r="B39" s="1"/>
      <c r="C39" s="2266" t="s">
        <v>103</v>
      </c>
      <c r="D39" s="2266"/>
      <c r="E39" s="2266"/>
      <c r="F39" s="2266"/>
      <c r="G39" s="519"/>
      <c r="H39" s="334"/>
      <c r="I39" s="334"/>
      <c r="J39" s="334"/>
      <c r="K39" s="336"/>
      <c r="L39" s="336"/>
      <c r="M39" s="360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2:25" ht="22.5" x14ac:dyDescent="0.2">
      <c r="B40" s="1"/>
      <c r="C40" s="337" t="s">
        <v>87</v>
      </c>
      <c r="D40" s="514" t="s">
        <v>88</v>
      </c>
      <c r="E40" s="514" t="s">
        <v>89</v>
      </c>
      <c r="F40" s="514" t="s">
        <v>20</v>
      </c>
      <c r="G40" s="514"/>
      <c r="H40" s="514" t="s">
        <v>90</v>
      </c>
      <c r="I40" s="514" t="s">
        <v>104</v>
      </c>
      <c r="J40" s="514" t="s">
        <v>93</v>
      </c>
      <c r="K40" s="514" t="s">
        <v>92</v>
      </c>
      <c r="L40" s="514" t="s">
        <v>94</v>
      </c>
      <c r="M40" s="515" t="s">
        <v>95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2:25" x14ac:dyDescent="0.2">
      <c r="B41" s="1"/>
      <c r="C41" s="338"/>
      <c r="D41" s="339">
        <v>1</v>
      </c>
      <c r="E41" s="339" t="s">
        <v>96</v>
      </c>
      <c r="F41" s="340" t="s">
        <v>97</v>
      </c>
      <c r="G41" s="340"/>
      <c r="H41" s="339">
        <v>20823</v>
      </c>
      <c r="I41" s="341">
        <f>M80</f>
        <v>0</v>
      </c>
      <c r="J41" s="342" t="e">
        <f>I41/I$45</f>
        <v>#DIV/0!</v>
      </c>
      <c r="K41" s="339">
        <v>138.15</v>
      </c>
      <c r="L41" s="343" t="e">
        <f>ROUND(J41*$E$11,2)</f>
        <v>#DIV/0!</v>
      </c>
      <c r="M41" s="344" t="e">
        <f>L41*L24</f>
        <v>#DIV/0!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2:25" x14ac:dyDescent="0.2">
      <c r="B42" s="1"/>
      <c r="C42" s="338"/>
      <c r="D42" s="339">
        <v>2</v>
      </c>
      <c r="E42" s="339" t="s">
        <v>98</v>
      </c>
      <c r="F42" s="340" t="s">
        <v>97</v>
      </c>
      <c r="G42" s="340"/>
      <c r="H42" s="339">
        <v>20824</v>
      </c>
      <c r="I42" s="341">
        <f>N80</f>
        <v>0</v>
      </c>
      <c r="J42" s="342" t="e">
        <f>I42/I$45</f>
        <v>#DIV/0!</v>
      </c>
      <c r="K42" s="339">
        <v>138.15</v>
      </c>
      <c r="L42" s="343" t="e">
        <f>ROUND(J42*$E$11,2)</f>
        <v>#DIV/0!</v>
      </c>
      <c r="M42" s="344" t="e">
        <f>L42*L25</f>
        <v>#DIV/0!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2:25" x14ac:dyDescent="0.2">
      <c r="B43" s="1"/>
      <c r="C43" s="338"/>
      <c r="D43" s="339">
        <v>1</v>
      </c>
      <c r="E43" s="339" t="s">
        <v>99</v>
      </c>
      <c r="F43" s="340" t="s">
        <v>100</v>
      </c>
      <c r="G43" s="340"/>
      <c r="H43" s="339">
        <v>22228</v>
      </c>
      <c r="I43" s="341">
        <f>O80</f>
        <v>0</v>
      </c>
      <c r="J43" s="342" t="e">
        <f>I43/I$45</f>
        <v>#DIV/0!</v>
      </c>
      <c r="K43" s="339">
        <v>130.80000000000001</v>
      </c>
      <c r="L43" s="343" t="e">
        <f>ROUND(J43*$E$11,2)</f>
        <v>#DIV/0!</v>
      </c>
      <c r="M43" s="344" t="e">
        <f>L43*L26</f>
        <v>#DIV/0!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2:25" ht="15" thickBot="1" x14ac:dyDescent="0.25">
      <c r="B44" s="1"/>
      <c r="C44" s="345">
        <v>800762390</v>
      </c>
      <c r="D44" s="346">
        <v>2</v>
      </c>
      <c r="E44" s="347" t="s">
        <v>101</v>
      </c>
      <c r="F44" s="348" t="s">
        <v>23</v>
      </c>
      <c r="G44" s="348"/>
      <c r="H44" s="347"/>
      <c r="I44" s="349">
        <f>L80</f>
        <v>0</v>
      </c>
      <c r="J44" s="350" t="e">
        <f>I44/I$45</f>
        <v>#DIV/0!</v>
      </c>
      <c r="K44" s="346">
        <v>138.15</v>
      </c>
      <c r="L44" s="351" t="e">
        <f>ROUND(J44*$E$11,2)</f>
        <v>#DIV/0!</v>
      </c>
      <c r="M44" s="352" t="e">
        <f>L44*L27</f>
        <v>#DIV/0!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2:25" x14ac:dyDescent="0.2">
      <c r="B45" s="1"/>
      <c r="C45" s="353"/>
      <c r="D45" s="353"/>
      <c r="E45" s="353"/>
      <c r="F45" s="353"/>
      <c r="G45" s="353"/>
      <c r="H45" s="354"/>
      <c r="I45" s="449">
        <f>SUM(I41:I44)</f>
        <v>0</v>
      </c>
      <c r="J45" s="355"/>
      <c r="K45" s="353"/>
      <c r="L45" s="357" t="e">
        <f>SUM(L41:L44)</f>
        <v>#DIV/0!</v>
      </c>
      <c r="M45" s="357" t="e">
        <f>SUM(M41:M44)</f>
        <v>#DIV/0!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2:25" customFormat="1" ht="15" thickBot="1" x14ac:dyDescent="0.25">
      <c r="M46" s="450"/>
      <c r="N46" s="450"/>
      <c r="O46" s="450"/>
      <c r="P46" s="450"/>
      <c r="Q46" s="450"/>
      <c r="R46" s="450"/>
      <c r="S46" s="450"/>
      <c r="T46" s="450"/>
      <c r="U46" s="450"/>
      <c r="V46" s="450"/>
      <c r="W46" s="450"/>
      <c r="X46" s="450"/>
      <c r="Y46" s="450"/>
    </row>
    <row r="47" spans="2:25" ht="15" thickBot="1" x14ac:dyDescent="0.25">
      <c r="B47" s="434" t="s">
        <v>3</v>
      </c>
      <c r="C47" s="1445">
        <f>SUMIF(Tarifas!E4:E303,'Junio - 2015'!C49,Tarifas!D4:D303)</f>
        <v>23</v>
      </c>
      <c r="D47" s="425" t="s">
        <v>147</v>
      </c>
      <c r="E47" s="426" t="s">
        <v>145</v>
      </c>
      <c r="F47" s="426" t="s">
        <v>150</v>
      </c>
      <c r="G47" s="426" t="s">
        <v>148</v>
      </c>
      <c r="H47" s="382"/>
      <c r="I47" s="331" t="s">
        <v>120</v>
      </c>
      <c r="J47" s="332"/>
      <c r="K47" s="332"/>
      <c r="L47" s="2277" t="s">
        <v>105</v>
      </c>
      <c r="M47" s="2278"/>
      <c r="N47" s="2278"/>
      <c r="O47" s="2278"/>
      <c r="P47" s="2278"/>
      <c r="Q47" s="2278"/>
      <c r="R47" s="2279"/>
      <c r="S47" s="2274" t="s">
        <v>121</v>
      </c>
      <c r="T47" s="2275"/>
      <c r="U47" s="2275"/>
      <c r="V47" s="2275"/>
      <c r="W47" s="2275"/>
      <c r="X47" s="2275"/>
      <c r="Y47" s="2276"/>
    </row>
    <row r="48" spans="2:25" ht="34.5" thickBot="1" x14ac:dyDescent="0.25">
      <c r="C48" s="1427" t="s">
        <v>122</v>
      </c>
      <c r="D48" s="1428" t="s">
        <v>125</v>
      </c>
      <c r="E48" s="1429" t="s">
        <v>149</v>
      </c>
      <c r="F48" s="1429" t="s">
        <v>151</v>
      </c>
      <c r="G48" s="1429" t="s">
        <v>152</v>
      </c>
      <c r="H48" s="1430" t="s">
        <v>123</v>
      </c>
      <c r="I48" s="1450" t="s">
        <v>377</v>
      </c>
      <c r="J48" s="1451" t="s">
        <v>376</v>
      </c>
      <c r="K48" s="1451" t="s">
        <v>375</v>
      </c>
      <c r="L48" s="1437" t="s">
        <v>115</v>
      </c>
      <c r="M48" s="1438" t="s">
        <v>106</v>
      </c>
      <c r="N48" s="1438" t="s">
        <v>107</v>
      </c>
      <c r="O48" s="1438" t="s">
        <v>108</v>
      </c>
      <c r="P48" s="1438" t="s">
        <v>115</v>
      </c>
      <c r="Q48" s="1439" t="s">
        <v>116</v>
      </c>
      <c r="R48" s="1440" t="s">
        <v>117</v>
      </c>
      <c r="S48" s="1441" t="s">
        <v>110</v>
      </c>
      <c r="T48" s="1442" t="s">
        <v>111</v>
      </c>
      <c r="U48" s="1442" t="s">
        <v>112</v>
      </c>
      <c r="V48" s="1443" t="s">
        <v>118</v>
      </c>
      <c r="W48" s="1443" t="s">
        <v>119</v>
      </c>
      <c r="X48" s="1443" t="s">
        <v>114</v>
      </c>
      <c r="Y48" s="1444" t="s">
        <v>113</v>
      </c>
    </row>
    <row r="49" spans="3:25" x14ac:dyDescent="0.2">
      <c r="C49" s="387">
        <f>G7</f>
        <v>42156</v>
      </c>
      <c r="D49" s="388">
        <f>($F$24*$H$24)/$G$24</f>
        <v>154264.93600000002</v>
      </c>
      <c r="E49" s="389">
        <f>P49+Q49+R49</f>
        <v>0</v>
      </c>
      <c r="F49" s="427">
        <f t="shared" ref="F49:F78" si="0">TRUNC(IFERROR(J$24/K$24,0),8)</f>
        <v>0.90615690000000004</v>
      </c>
      <c r="G49" s="390">
        <f t="shared" ref="G49:G78" si="1">ROUND(I$24*F49*E49,4)</f>
        <v>0</v>
      </c>
      <c r="H49" s="391">
        <f t="shared" ref="H49:H78" si="2">SUM(D49:G49)</f>
        <v>154265.84215690001</v>
      </c>
      <c r="I49" s="324"/>
      <c r="J49" s="325"/>
      <c r="K49" s="325">
        <v>77222.570000000007</v>
      </c>
      <c r="L49" s="317"/>
      <c r="M49" s="318"/>
      <c r="N49" s="318"/>
      <c r="O49" s="318"/>
      <c r="P49" s="389">
        <f>L49</f>
        <v>0</v>
      </c>
      <c r="Q49" s="389">
        <f t="shared" ref="Q49:Q78" si="3">M49+N49</f>
        <v>0</v>
      </c>
      <c r="R49" s="389">
        <f t="shared" ref="R49:R78" si="4">O49</f>
        <v>0</v>
      </c>
      <c r="S49" s="373"/>
      <c r="T49" s="374"/>
      <c r="U49" s="18">
        <f>S49+T49-V49</f>
        <v>-77222.570000000007</v>
      </c>
      <c r="V49" s="377">
        <f>I49+J49+K49</f>
        <v>77222.570000000007</v>
      </c>
      <c r="W49" s="18">
        <f>(P49+Q49+R49)*1.055056</f>
        <v>0</v>
      </c>
      <c r="X49" s="377">
        <f>V49-W49</f>
        <v>77222.570000000007</v>
      </c>
      <c r="Y49" s="378">
        <f>AL46+X49</f>
        <v>77222.570000000007</v>
      </c>
    </row>
    <row r="50" spans="3:25" x14ac:dyDescent="0.2">
      <c r="C50" s="387">
        <f t="shared" ref="C50:C78" si="5">C49+1</f>
        <v>42157</v>
      </c>
      <c r="D50" s="388">
        <f t="shared" ref="D50:D78" si="6">($F$24*$H$24)/$G$24</f>
        <v>154264.93600000002</v>
      </c>
      <c r="E50" s="392">
        <f t="shared" ref="E50:E78" si="7">P50+Q50+R50</f>
        <v>0</v>
      </c>
      <c r="F50" s="428">
        <f t="shared" si="0"/>
        <v>0.90615690000000004</v>
      </c>
      <c r="G50" s="390">
        <f t="shared" si="1"/>
        <v>0</v>
      </c>
      <c r="H50" s="391">
        <f t="shared" si="2"/>
        <v>154265.84215690001</v>
      </c>
      <c r="I50" s="324"/>
      <c r="J50" s="325"/>
      <c r="K50" s="325">
        <v>77068.182000000001</v>
      </c>
      <c r="L50" s="319"/>
      <c r="M50" s="320"/>
      <c r="N50" s="320"/>
      <c r="O50" s="320"/>
      <c r="P50" s="392">
        <f t="shared" ref="P50:P78" si="8">L50</f>
        <v>0</v>
      </c>
      <c r="Q50" s="392">
        <f t="shared" si="3"/>
        <v>0</v>
      </c>
      <c r="R50" s="392">
        <f t="shared" si="4"/>
        <v>0</v>
      </c>
      <c r="S50" s="373"/>
      <c r="T50" s="374"/>
      <c r="U50" s="18">
        <f t="shared" ref="U50:U78" si="9">S50+T50-V50</f>
        <v>-77068.182000000001</v>
      </c>
      <c r="V50" s="377">
        <f t="shared" ref="V50:V78" si="10">I50+J50+K50</f>
        <v>77068.182000000001</v>
      </c>
      <c r="W50" s="18">
        <f t="shared" ref="W50:W78" si="11">(P50+Q50+R50)*1.055056</f>
        <v>0</v>
      </c>
      <c r="X50" s="377">
        <f t="shared" ref="X50:X78" si="12">V50-W50</f>
        <v>77068.182000000001</v>
      </c>
      <c r="Y50" s="378">
        <f>Y49+X50</f>
        <v>154290.75200000001</v>
      </c>
    </row>
    <row r="51" spans="3:25" x14ac:dyDescent="0.2">
      <c r="C51" s="387">
        <f t="shared" si="5"/>
        <v>42158</v>
      </c>
      <c r="D51" s="388">
        <f t="shared" si="6"/>
        <v>154264.93600000002</v>
      </c>
      <c r="E51" s="392">
        <f t="shared" si="7"/>
        <v>0</v>
      </c>
      <c r="F51" s="428">
        <f t="shared" si="0"/>
        <v>0.90615690000000004</v>
      </c>
      <c r="G51" s="390">
        <f t="shared" si="1"/>
        <v>0</v>
      </c>
      <c r="H51" s="391">
        <f t="shared" si="2"/>
        <v>154265.84215690001</v>
      </c>
      <c r="I51" s="324"/>
      <c r="J51" s="325"/>
      <c r="K51" s="325">
        <v>77650.543999999994</v>
      </c>
      <c r="L51" s="317"/>
      <c r="M51" s="318"/>
      <c r="N51" s="318"/>
      <c r="O51" s="318"/>
      <c r="P51" s="392">
        <f t="shared" si="8"/>
        <v>0</v>
      </c>
      <c r="Q51" s="392">
        <f t="shared" si="3"/>
        <v>0</v>
      </c>
      <c r="R51" s="392">
        <f t="shared" si="4"/>
        <v>0</v>
      </c>
      <c r="S51" s="373"/>
      <c r="T51" s="374"/>
      <c r="U51" s="18">
        <f t="shared" si="9"/>
        <v>-77650.543999999994</v>
      </c>
      <c r="V51" s="377">
        <f t="shared" si="10"/>
        <v>77650.543999999994</v>
      </c>
      <c r="W51" s="18">
        <f t="shared" si="11"/>
        <v>0</v>
      </c>
      <c r="X51" s="377">
        <f t="shared" si="12"/>
        <v>77650.543999999994</v>
      </c>
      <c r="Y51" s="378">
        <f t="shared" ref="Y51:Y78" si="13">Y50+X51</f>
        <v>231941.296</v>
      </c>
    </row>
    <row r="52" spans="3:25" x14ac:dyDescent="0.2">
      <c r="C52" s="387">
        <f t="shared" si="5"/>
        <v>42159</v>
      </c>
      <c r="D52" s="388">
        <f t="shared" si="6"/>
        <v>154264.93600000002</v>
      </c>
      <c r="E52" s="392">
        <f t="shared" si="7"/>
        <v>0</v>
      </c>
      <c r="F52" s="428">
        <f t="shared" si="0"/>
        <v>0.90615690000000004</v>
      </c>
      <c r="G52" s="390">
        <f t="shared" si="1"/>
        <v>0</v>
      </c>
      <c r="H52" s="391">
        <f t="shared" si="2"/>
        <v>154265.84215690001</v>
      </c>
      <c r="I52" s="324"/>
      <c r="J52" s="325"/>
      <c r="K52" s="325">
        <v>77232.59</v>
      </c>
      <c r="L52" s="319"/>
      <c r="M52" s="320"/>
      <c r="N52" s="320"/>
      <c r="O52" s="320"/>
      <c r="P52" s="392">
        <f t="shared" si="8"/>
        <v>0</v>
      </c>
      <c r="Q52" s="392">
        <f t="shared" si="3"/>
        <v>0</v>
      </c>
      <c r="R52" s="392">
        <f t="shared" si="4"/>
        <v>0</v>
      </c>
      <c r="S52" s="373"/>
      <c r="T52" s="374"/>
      <c r="U52" s="18">
        <f t="shared" si="9"/>
        <v>-77232.59</v>
      </c>
      <c r="V52" s="377">
        <f t="shared" si="10"/>
        <v>77232.59</v>
      </c>
      <c r="W52" s="18">
        <f t="shared" si="11"/>
        <v>0</v>
      </c>
      <c r="X52" s="377">
        <f t="shared" si="12"/>
        <v>77232.59</v>
      </c>
      <c r="Y52" s="378">
        <f t="shared" si="13"/>
        <v>309173.886</v>
      </c>
    </row>
    <row r="53" spans="3:25" x14ac:dyDescent="0.2">
      <c r="C53" s="387">
        <f t="shared" si="5"/>
        <v>42160</v>
      </c>
      <c r="D53" s="388">
        <f t="shared" si="6"/>
        <v>154264.93600000002</v>
      </c>
      <c r="E53" s="392">
        <f t="shared" si="7"/>
        <v>0</v>
      </c>
      <c r="F53" s="428">
        <f t="shared" si="0"/>
        <v>0.90615690000000004</v>
      </c>
      <c r="G53" s="390">
        <f t="shared" si="1"/>
        <v>0</v>
      </c>
      <c r="H53" s="391">
        <f t="shared" si="2"/>
        <v>154265.84215690001</v>
      </c>
      <c r="I53" s="324"/>
      <c r="J53" s="325"/>
      <c r="K53" s="325">
        <v>76708.86</v>
      </c>
      <c r="L53" s="317"/>
      <c r="M53" s="318"/>
      <c r="N53" s="318"/>
      <c r="O53" s="318"/>
      <c r="P53" s="392">
        <f t="shared" si="8"/>
        <v>0</v>
      </c>
      <c r="Q53" s="392">
        <f t="shared" si="3"/>
        <v>0</v>
      </c>
      <c r="R53" s="392">
        <f t="shared" si="4"/>
        <v>0</v>
      </c>
      <c r="S53" s="373"/>
      <c r="T53" s="374"/>
      <c r="U53" s="18">
        <f t="shared" si="9"/>
        <v>-76708.86</v>
      </c>
      <c r="V53" s="377">
        <f t="shared" si="10"/>
        <v>76708.86</v>
      </c>
      <c r="W53" s="18">
        <f t="shared" si="11"/>
        <v>0</v>
      </c>
      <c r="X53" s="377">
        <f t="shared" si="12"/>
        <v>76708.86</v>
      </c>
      <c r="Y53" s="378">
        <f t="shared" si="13"/>
        <v>385882.74599999998</v>
      </c>
    </row>
    <row r="54" spans="3:25" x14ac:dyDescent="0.2">
      <c r="C54" s="387">
        <f t="shared" si="5"/>
        <v>42161</v>
      </c>
      <c r="D54" s="388">
        <f t="shared" si="6"/>
        <v>154264.93600000002</v>
      </c>
      <c r="E54" s="392">
        <f t="shared" si="7"/>
        <v>0</v>
      </c>
      <c r="F54" s="428">
        <f t="shared" si="0"/>
        <v>0.90615690000000004</v>
      </c>
      <c r="G54" s="390">
        <f t="shared" si="1"/>
        <v>0</v>
      </c>
      <c r="H54" s="391">
        <f t="shared" si="2"/>
        <v>154265.84215690001</v>
      </c>
      <c r="I54" s="324"/>
      <c r="J54" s="325"/>
      <c r="K54" s="325">
        <v>76079.42</v>
      </c>
      <c r="L54" s="319"/>
      <c r="M54" s="320"/>
      <c r="N54" s="320"/>
      <c r="O54" s="320"/>
      <c r="P54" s="392">
        <f t="shared" si="8"/>
        <v>0</v>
      </c>
      <c r="Q54" s="392">
        <f t="shared" si="3"/>
        <v>0</v>
      </c>
      <c r="R54" s="392">
        <f t="shared" si="4"/>
        <v>0</v>
      </c>
      <c r="S54" s="373"/>
      <c r="T54" s="374"/>
      <c r="U54" s="18">
        <f t="shared" si="9"/>
        <v>-76079.42</v>
      </c>
      <c r="V54" s="377">
        <f t="shared" si="10"/>
        <v>76079.42</v>
      </c>
      <c r="W54" s="18">
        <f t="shared" si="11"/>
        <v>0</v>
      </c>
      <c r="X54" s="377">
        <f t="shared" si="12"/>
        <v>76079.42</v>
      </c>
      <c r="Y54" s="378">
        <f t="shared" si="13"/>
        <v>461962.16599999997</v>
      </c>
    </row>
    <row r="55" spans="3:25" x14ac:dyDescent="0.2">
      <c r="C55" s="387">
        <f t="shared" si="5"/>
        <v>42162</v>
      </c>
      <c r="D55" s="388">
        <f t="shared" si="6"/>
        <v>154264.93600000002</v>
      </c>
      <c r="E55" s="392">
        <f t="shared" si="7"/>
        <v>0</v>
      </c>
      <c r="F55" s="428">
        <f t="shared" si="0"/>
        <v>0.90615690000000004</v>
      </c>
      <c r="G55" s="390">
        <f t="shared" si="1"/>
        <v>0</v>
      </c>
      <c r="H55" s="391">
        <f t="shared" si="2"/>
        <v>154265.84215690001</v>
      </c>
      <c r="I55" s="324"/>
      <c r="J55" s="325"/>
      <c r="K55" s="325">
        <v>75521.42</v>
      </c>
      <c r="L55" s="317"/>
      <c r="M55" s="318"/>
      <c r="N55" s="318"/>
      <c r="O55" s="318"/>
      <c r="P55" s="392">
        <f t="shared" si="8"/>
        <v>0</v>
      </c>
      <c r="Q55" s="392">
        <f t="shared" si="3"/>
        <v>0</v>
      </c>
      <c r="R55" s="392">
        <f t="shared" si="4"/>
        <v>0</v>
      </c>
      <c r="S55" s="373"/>
      <c r="T55" s="374"/>
      <c r="U55" s="18">
        <f t="shared" si="9"/>
        <v>-75521.42</v>
      </c>
      <c r="V55" s="377">
        <f t="shared" si="10"/>
        <v>75521.42</v>
      </c>
      <c r="W55" s="18">
        <f t="shared" si="11"/>
        <v>0</v>
      </c>
      <c r="X55" s="377">
        <f t="shared" si="12"/>
        <v>75521.42</v>
      </c>
      <c r="Y55" s="378">
        <f t="shared" si="13"/>
        <v>537483.58600000001</v>
      </c>
    </row>
    <row r="56" spans="3:25" x14ac:dyDescent="0.2">
      <c r="C56" s="387">
        <f t="shared" si="5"/>
        <v>42163</v>
      </c>
      <c r="D56" s="388">
        <f t="shared" si="6"/>
        <v>154264.93600000002</v>
      </c>
      <c r="E56" s="392">
        <f t="shared" si="7"/>
        <v>0</v>
      </c>
      <c r="F56" s="428">
        <f t="shared" si="0"/>
        <v>0.90615690000000004</v>
      </c>
      <c r="G56" s="390">
        <f t="shared" si="1"/>
        <v>0</v>
      </c>
      <c r="H56" s="391">
        <f t="shared" si="2"/>
        <v>154265.84215690001</v>
      </c>
      <c r="I56" s="324"/>
      <c r="J56" s="325"/>
      <c r="K56" s="325">
        <v>75413.41</v>
      </c>
      <c r="L56" s="319"/>
      <c r="M56" s="320"/>
      <c r="N56" s="320"/>
      <c r="O56" s="320"/>
      <c r="P56" s="392">
        <f t="shared" si="8"/>
        <v>0</v>
      </c>
      <c r="Q56" s="392">
        <f t="shared" si="3"/>
        <v>0</v>
      </c>
      <c r="R56" s="392">
        <f t="shared" si="4"/>
        <v>0</v>
      </c>
      <c r="S56" s="373"/>
      <c r="T56" s="374"/>
      <c r="U56" s="18">
        <f t="shared" si="9"/>
        <v>-75413.41</v>
      </c>
      <c r="V56" s="377">
        <f t="shared" si="10"/>
        <v>75413.41</v>
      </c>
      <c r="W56" s="18">
        <f t="shared" si="11"/>
        <v>0</v>
      </c>
      <c r="X56" s="377">
        <f t="shared" si="12"/>
        <v>75413.41</v>
      </c>
      <c r="Y56" s="378">
        <f t="shared" si="13"/>
        <v>612896.99600000004</v>
      </c>
    </row>
    <row r="57" spans="3:25" x14ac:dyDescent="0.2">
      <c r="C57" s="387">
        <f t="shared" si="5"/>
        <v>42164</v>
      </c>
      <c r="D57" s="388">
        <f t="shared" si="6"/>
        <v>154264.93600000002</v>
      </c>
      <c r="E57" s="392">
        <f t="shared" si="7"/>
        <v>0</v>
      </c>
      <c r="F57" s="428">
        <f t="shared" si="0"/>
        <v>0.90615690000000004</v>
      </c>
      <c r="G57" s="390">
        <f t="shared" si="1"/>
        <v>0</v>
      </c>
      <c r="H57" s="391">
        <f t="shared" si="2"/>
        <v>154265.84215690001</v>
      </c>
      <c r="I57" s="324"/>
      <c r="J57" s="325"/>
      <c r="K57" s="325">
        <v>75694.070000000007</v>
      </c>
      <c r="L57" s="317"/>
      <c r="M57" s="318"/>
      <c r="N57" s="318"/>
      <c r="O57" s="318"/>
      <c r="P57" s="392">
        <f t="shared" si="8"/>
        <v>0</v>
      </c>
      <c r="Q57" s="392">
        <f t="shared" si="3"/>
        <v>0</v>
      </c>
      <c r="R57" s="392">
        <f t="shared" si="4"/>
        <v>0</v>
      </c>
      <c r="S57" s="373"/>
      <c r="T57" s="374"/>
      <c r="U57" s="18">
        <f t="shared" si="9"/>
        <v>-75694.070000000007</v>
      </c>
      <c r="V57" s="377">
        <f t="shared" si="10"/>
        <v>75694.070000000007</v>
      </c>
      <c r="W57" s="18">
        <f t="shared" si="11"/>
        <v>0</v>
      </c>
      <c r="X57" s="377">
        <f t="shared" si="12"/>
        <v>75694.070000000007</v>
      </c>
      <c r="Y57" s="378">
        <f t="shared" si="13"/>
        <v>688591.06600000011</v>
      </c>
    </row>
    <row r="58" spans="3:25" x14ac:dyDescent="0.2">
      <c r="C58" s="387">
        <f t="shared" si="5"/>
        <v>42165</v>
      </c>
      <c r="D58" s="388">
        <f t="shared" si="6"/>
        <v>154264.93600000002</v>
      </c>
      <c r="E58" s="392">
        <f t="shared" si="7"/>
        <v>0</v>
      </c>
      <c r="F58" s="428">
        <f t="shared" si="0"/>
        <v>0.90615690000000004</v>
      </c>
      <c r="G58" s="390">
        <f t="shared" si="1"/>
        <v>0</v>
      </c>
      <c r="H58" s="391">
        <f t="shared" si="2"/>
        <v>154265.84215690001</v>
      </c>
      <c r="I58" s="324"/>
      <c r="J58" s="325"/>
      <c r="K58" s="325">
        <v>75296.2</v>
      </c>
      <c r="L58" s="319"/>
      <c r="M58" s="320"/>
      <c r="N58" s="320"/>
      <c r="O58" s="320"/>
      <c r="P58" s="392">
        <f t="shared" si="8"/>
        <v>0</v>
      </c>
      <c r="Q58" s="392">
        <f t="shared" si="3"/>
        <v>0</v>
      </c>
      <c r="R58" s="392">
        <f t="shared" si="4"/>
        <v>0</v>
      </c>
      <c r="S58" s="373"/>
      <c r="T58" s="374"/>
      <c r="U58" s="18">
        <f t="shared" si="9"/>
        <v>-75296.2</v>
      </c>
      <c r="V58" s="377">
        <f t="shared" si="10"/>
        <v>75296.2</v>
      </c>
      <c r="W58" s="18">
        <f t="shared" si="11"/>
        <v>0</v>
      </c>
      <c r="X58" s="377">
        <f t="shared" si="12"/>
        <v>75296.2</v>
      </c>
      <c r="Y58" s="378">
        <f t="shared" si="13"/>
        <v>763887.26600000006</v>
      </c>
    </row>
    <row r="59" spans="3:25" x14ac:dyDescent="0.2">
      <c r="C59" s="387">
        <f t="shared" si="5"/>
        <v>42166</v>
      </c>
      <c r="D59" s="388">
        <f t="shared" si="6"/>
        <v>154264.93600000002</v>
      </c>
      <c r="E59" s="392">
        <f t="shared" si="7"/>
        <v>0</v>
      </c>
      <c r="F59" s="428">
        <f t="shared" si="0"/>
        <v>0.90615690000000004</v>
      </c>
      <c r="G59" s="390">
        <f t="shared" si="1"/>
        <v>0</v>
      </c>
      <c r="H59" s="391">
        <f t="shared" si="2"/>
        <v>154265.84215690001</v>
      </c>
      <c r="I59" s="324"/>
      <c r="J59" s="325"/>
      <c r="K59" s="325">
        <v>76417.046000000002</v>
      </c>
      <c r="L59" s="317"/>
      <c r="M59" s="318"/>
      <c r="N59" s="318"/>
      <c r="O59" s="318"/>
      <c r="P59" s="392">
        <f t="shared" si="8"/>
        <v>0</v>
      </c>
      <c r="Q59" s="392">
        <f t="shared" si="3"/>
        <v>0</v>
      </c>
      <c r="R59" s="392">
        <f t="shared" si="4"/>
        <v>0</v>
      </c>
      <c r="S59" s="373"/>
      <c r="T59" s="374"/>
      <c r="U59" s="18">
        <f t="shared" si="9"/>
        <v>-76417.046000000002</v>
      </c>
      <c r="V59" s="377">
        <f t="shared" si="10"/>
        <v>76417.046000000002</v>
      </c>
      <c r="W59" s="18">
        <f t="shared" si="11"/>
        <v>0</v>
      </c>
      <c r="X59" s="377">
        <f t="shared" si="12"/>
        <v>76417.046000000002</v>
      </c>
      <c r="Y59" s="378">
        <f t="shared" si="13"/>
        <v>840304.31200000003</v>
      </c>
    </row>
    <row r="60" spans="3:25" x14ac:dyDescent="0.2">
      <c r="C60" s="387">
        <f t="shared" si="5"/>
        <v>42167</v>
      </c>
      <c r="D60" s="388">
        <f t="shared" si="6"/>
        <v>154264.93600000002</v>
      </c>
      <c r="E60" s="392">
        <f t="shared" si="7"/>
        <v>0</v>
      </c>
      <c r="F60" s="428">
        <f t="shared" si="0"/>
        <v>0.90615690000000004</v>
      </c>
      <c r="G60" s="390">
        <f t="shared" si="1"/>
        <v>0</v>
      </c>
      <c r="H60" s="391">
        <f t="shared" si="2"/>
        <v>154265.84215690001</v>
      </c>
      <c r="I60" s="324"/>
      <c r="J60" s="325"/>
      <c r="K60" s="325">
        <v>77154.47</v>
      </c>
      <c r="L60" s="319"/>
      <c r="M60" s="320"/>
      <c r="N60" s="320"/>
      <c r="O60" s="320"/>
      <c r="P60" s="392">
        <f t="shared" si="8"/>
        <v>0</v>
      </c>
      <c r="Q60" s="392">
        <f t="shared" si="3"/>
        <v>0</v>
      </c>
      <c r="R60" s="392">
        <f t="shared" si="4"/>
        <v>0</v>
      </c>
      <c r="S60" s="373"/>
      <c r="T60" s="374"/>
      <c r="U60" s="18">
        <f t="shared" si="9"/>
        <v>-77154.47</v>
      </c>
      <c r="V60" s="377">
        <f t="shared" si="10"/>
        <v>77154.47</v>
      </c>
      <c r="W60" s="18">
        <f t="shared" si="11"/>
        <v>0</v>
      </c>
      <c r="X60" s="377">
        <f t="shared" si="12"/>
        <v>77154.47</v>
      </c>
      <c r="Y60" s="378">
        <f t="shared" si="13"/>
        <v>917458.78200000001</v>
      </c>
    </row>
    <row r="61" spans="3:25" x14ac:dyDescent="0.2">
      <c r="C61" s="387">
        <f t="shared" si="5"/>
        <v>42168</v>
      </c>
      <c r="D61" s="388">
        <f t="shared" si="6"/>
        <v>154264.93600000002</v>
      </c>
      <c r="E61" s="392">
        <f t="shared" si="7"/>
        <v>0</v>
      </c>
      <c r="F61" s="428">
        <f t="shared" si="0"/>
        <v>0.90615690000000004</v>
      </c>
      <c r="G61" s="390">
        <f t="shared" si="1"/>
        <v>0</v>
      </c>
      <c r="H61" s="391">
        <f t="shared" si="2"/>
        <v>154265.84215690001</v>
      </c>
      <c r="I61" s="324"/>
      <c r="J61" s="325"/>
      <c r="K61" s="325">
        <v>77387.58</v>
      </c>
      <c r="L61" s="317"/>
      <c r="M61" s="318"/>
      <c r="N61" s="318"/>
      <c r="O61" s="318"/>
      <c r="P61" s="392">
        <f t="shared" si="8"/>
        <v>0</v>
      </c>
      <c r="Q61" s="392">
        <f t="shared" si="3"/>
        <v>0</v>
      </c>
      <c r="R61" s="392">
        <f t="shared" si="4"/>
        <v>0</v>
      </c>
      <c r="S61" s="373"/>
      <c r="T61" s="374"/>
      <c r="U61" s="18">
        <f t="shared" si="9"/>
        <v>-77387.58</v>
      </c>
      <c r="V61" s="377">
        <f t="shared" si="10"/>
        <v>77387.58</v>
      </c>
      <c r="W61" s="18">
        <f t="shared" si="11"/>
        <v>0</v>
      </c>
      <c r="X61" s="377">
        <f t="shared" si="12"/>
        <v>77387.58</v>
      </c>
      <c r="Y61" s="378">
        <f t="shared" si="13"/>
        <v>994846.36199999996</v>
      </c>
    </row>
    <row r="62" spans="3:25" x14ac:dyDescent="0.2">
      <c r="C62" s="387">
        <f t="shared" si="5"/>
        <v>42169</v>
      </c>
      <c r="D62" s="388">
        <f t="shared" si="6"/>
        <v>154264.93600000002</v>
      </c>
      <c r="E62" s="392">
        <f t="shared" si="7"/>
        <v>0</v>
      </c>
      <c r="F62" s="428">
        <f t="shared" si="0"/>
        <v>0.90615690000000004</v>
      </c>
      <c r="G62" s="390">
        <f t="shared" si="1"/>
        <v>0</v>
      </c>
      <c r="H62" s="391">
        <f t="shared" si="2"/>
        <v>154265.84215690001</v>
      </c>
      <c r="I62" s="324"/>
      <c r="J62" s="325"/>
      <c r="K62" s="325">
        <v>76932.842000000004</v>
      </c>
      <c r="L62" s="319"/>
      <c r="M62" s="320"/>
      <c r="N62" s="320"/>
      <c r="O62" s="320"/>
      <c r="P62" s="392">
        <f t="shared" si="8"/>
        <v>0</v>
      </c>
      <c r="Q62" s="392">
        <f t="shared" si="3"/>
        <v>0</v>
      </c>
      <c r="R62" s="392">
        <f t="shared" si="4"/>
        <v>0</v>
      </c>
      <c r="S62" s="373"/>
      <c r="T62" s="374"/>
      <c r="U62" s="18">
        <f t="shared" si="9"/>
        <v>-76932.842000000004</v>
      </c>
      <c r="V62" s="377">
        <f t="shared" si="10"/>
        <v>76932.842000000004</v>
      </c>
      <c r="W62" s="18">
        <f t="shared" si="11"/>
        <v>0</v>
      </c>
      <c r="X62" s="377">
        <f t="shared" si="12"/>
        <v>76932.842000000004</v>
      </c>
      <c r="Y62" s="378">
        <f t="shared" si="13"/>
        <v>1071779.2039999999</v>
      </c>
    </row>
    <row r="63" spans="3:25" x14ac:dyDescent="0.2">
      <c r="C63" s="387">
        <f t="shared" si="5"/>
        <v>42170</v>
      </c>
      <c r="D63" s="388">
        <f t="shared" si="6"/>
        <v>154264.93600000002</v>
      </c>
      <c r="E63" s="392">
        <f t="shared" si="7"/>
        <v>0</v>
      </c>
      <c r="F63" s="428">
        <f t="shared" si="0"/>
        <v>0.90615690000000004</v>
      </c>
      <c r="G63" s="390">
        <f t="shared" si="1"/>
        <v>0</v>
      </c>
      <c r="H63" s="391">
        <f t="shared" si="2"/>
        <v>154265.84215690001</v>
      </c>
      <c r="I63" s="324"/>
      <c r="J63" s="325"/>
      <c r="K63" s="325">
        <v>76750.61</v>
      </c>
      <c r="L63" s="317"/>
      <c r="M63" s="318"/>
      <c r="N63" s="318"/>
      <c r="O63" s="318"/>
      <c r="P63" s="392">
        <f t="shared" si="8"/>
        <v>0</v>
      </c>
      <c r="Q63" s="392">
        <f t="shared" si="3"/>
        <v>0</v>
      </c>
      <c r="R63" s="392">
        <f t="shared" si="4"/>
        <v>0</v>
      </c>
      <c r="S63" s="373"/>
      <c r="T63" s="374"/>
      <c r="U63" s="18">
        <f t="shared" si="9"/>
        <v>-76750.61</v>
      </c>
      <c r="V63" s="377">
        <f t="shared" si="10"/>
        <v>76750.61</v>
      </c>
      <c r="W63" s="18">
        <f t="shared" si="11"/>
        <v>0</v>
      </c>
      <c r="X63" s="377">
        <f t="shared" si="12"/>
        <v>76750.61</v>
      </c>
      <c r="Y63" s="378">
        <f t="shared" si="13"/>
        <v>1148529.814</v>
      </c>
    </row>
    <row r="64" spans="3:25" x14ac:dyDescent="0.2">
      <c r="C64" s="387">
        <f t="shared" si="5"/>
        <v>42171</v>
      </c>
      <c r="D64" s="388">
        <f t="shared" si="6"/>
        <v>154264.93600000002</v>
      </c>
      <c r="E64" s="392">
        <f t="shared" si="7"/>
        <v>0</v>
      </c>
      <c r="F64" s="428">
        <f t="shared" si="0"/>
        <v>0.90615690000000004</v>
      </c>
      <c r="G64" s="390">
        <f t="shared" si="1"/>
        <v>0</v>
      </c>
      <c r="H64" s="391">
        <f t="shared" si="2"/>
        <v>154265.84215690001</v>
      </c>
      <c r="I64" s="324"/>
      <c r="J64" s="325"/>
      <c r="K64" s="325">
        <v>71758.797999999995</v>
      </c>
      <c r="L64" s="319"/>
      <c r="M64" s="320"/>
      <c r="N64" s="320"/>
      <c r="O64" s="320"/>
      <c r="P64" s="392">
        <f t="shared" si="8"/>
        <v>0</v>
      </c>
      <c r="Q64" s="392">
        <f t="shared" si="3"/>
        <v>0</v>
      </c>
      <c r="R64" s="392">
        <f t="shared" si="4"/>
        <v>0</v>
      </c>
      <c r="S64" s="373"/>
      <c r="T64" s="374"/>
      <c r="U64" s="18">
        <f t="shared" si="9"/>
        <v>-71758.797999999995</v>
      </c>
      <c r="V64" s="377">
        <f t="shared" si="10"/>
        <v>71758.797999999995</v>
      </c>
      <c r="W64" s="18">
        <f t="shared" si="11"/>
        <v>0</v>
      </c>
      <c r="X64" s="377">
        <f t="shared" si="12"/>
        <v>71758.797999999995</v>
      </c>
      <c r="Y64" s="378">
        <f t="shared" si="13"/>
        <v>1220288.612</v>
      </c>
    </row>
    <row r="65" spans="3:38" x14ac:dyDescent="0.2">
      <c r="C65" s="387">
        <f t="shared" si="5"/>
        <v>42172</v>
      </c>
      <c r="D65" s="388">
        <f t="shared" si="6"/>
        <v>154264.93600000002</v>
      </c>
      <c r="E65" s="392">
        <f t="shared" si="7"/>
        <v>0</v>
      </c>
      <c r="F65" s="428">
        <f t="shared" si="0"/>
        <v>0.90615690000000004</v>
      </c>
      <c r="G65" s="390">
        <f t="shared" si="1"/>
        <v>0</v>
      </c>
      <c r="H65" s="391">
        <f t="shared" si="2"/>
        <v>154265.84215690001</v>
      </c>
      <c r="I65" s="324"/>
      <c r="J65" s="325"/>
      <c r="K65" s="325">
        <v>76815</v>
      </c>
      <c r="L65" s="317"/>
      <c r="M65" s="318"/>
      <c r="N65" s="318"/>
      <c r="O65" s="318"/>
      <c r="P65" s="392">
        <f t="shared" si="8"/>
        <v>0</v>
      </c>
      <c r="Q65" s="392">
        <f t="shared" si="3"/>
        <v>0</v>
      </c>
      <c r="R65" s="392">
        <f t="shared" si="4"/>
        <v>0</v>
      </c>
      <c r="S65" s="373"/>
      <c r="T65" s="374"/>
      <c r="U65" s="18">
        <f t="shared" si="9"/>
        <v>-76815</v>
      </c>
      <c r="V65" s="377">
        <f t="shared" si="10"/>
        <v>76815</v>
      </c>
      <c r="W65" s="18">
        <f t="shared" si="11"/>
        <v>0</v>
      </c>
      <c r="X65" s="377">
        <f t="shared" si="12"/>
        <v>76815</v>
      </c>
      <c r="Y65" s="378">
        <f t="shared" si="13"/>
        <v>1297103.612</v>
      </c>
    </row>
    <row r="66" spans="3:38" x14ac:dyDescent="0.2">
      <c r="C66" s="387">
        <f t="shared" si="5"/>
        <v>42173</v>
      </c>
      <c r="D66" s="388">
        <f t="shared" si="6"/>
        <v>154264.93600000002</v>
      </c>
      <c r="E66" s="392">
        <f t="shared" si="7"/>
        <v>0</v>
      </c>
      <c r="F66" s="428">
        <f t="shared" si="0"/>
        <v>0.90615690000000004</v>
      </c>
      <c r="G66" s="390">
        <f t="shared" si="1"/>
        <v>0</v>
      </c>
      <c r="H66" s="391">
        <f t="shared" si="2"/>
        <v>154265.84215690001</v>
      </c>
      <c r="I66" s="324"/>
      <c r="J66" s="325"/>
      <c r="K66" s="325">
        <v>76857.259999999995</v>
      </c>
      <c r="L66" s="319"/>
      <c r="M66" s="320"/>
      <c r="N66" s="320"/>
      <c r="O66" s="320"/>
      <c r="P66" s="392">
        <f t="shared" si="8"/>
        <v>0</v>
      </c>
      <c r="Q66" s="392">
        <f t="shared" si="3"/>
        <v>0</v>
      </c>
      <c r="R66" s="392">
        <f t="shared" si="4"/>
        <v>0</v>
      </c>
      <c r="S66" s="373"/>
      <c r="T66" s="374"/>
      <c r="U66" s="18">
        <f t="shared" si="9"/>
        <v>-76857.259999999995</v>
      </c>
      <c r="V66" s="377">
        <f t="shared" si="10"/>
        <v>76857.259999999995</v>
      </c>
      <c r="W66" s="18">
        <f t="shared" si="11"/>
        <v>0</v>
      </c>
      <c r="X66" s="377">
        <f t="shared" si="12"/>
        <v>76857.259999999995</v>
      </c>
      <c r="Y66" s="378">
        <f t="shared" si="13"/>
        <v>1373960.872</v>
      </c>
    </row>
    <row r="67" spans="3:38" x14ac:dyDescent="0.2">
      <c r="C67" s="387">
        <f t="shared" si="5"/>
        <v>42174</v>
      </c>
      <c r="D67" s="388">
        <f t="shared" si="6"/>
        <v>154264.93600000002</v>
      </c>
      <c r="E67" s="392">
        <f t="shared" si="7"/>
        <v>0</v>
      </c>
      <c r="F67" s="428">
        <f t="shared" si="0"/>
        <v>0.90615690000000004</v>
      </c>
      <c r="G67" s="390">
        <f t="shared" si="1"/>
        <v>0</v>
      </c>
      <c r="H67" s="391">
        <f t="shared" si="2"/>
        <v>154265.84215690001</v>
      </c>
      <c r="I67" s="324"/>
      <c r="J67" s="325"/>
      <c r="K67" s="325">
        <v>76357.52</v>
      </c>
      <c r="L67" s="317"/>
      <c r="M67" s="318"/>
      <c r="N67" s="318"/>
      <c r="O67" s="318"/>
      <c r="P67" s="392">
        <f t="shared" si="8"/>
        <v>0</v>
      </c>
      <c r="Q67" s="392">
        <f t="shared" si="3"/>
        <v>0</v>
      </c>
      <c r="R67" s="392">
        <f t="shared" si="4"/>
        <v>0</v>
      </c>
      <c r="S67" s="373"/>
      <c r="T67" s="374"/>
      <c r="U67" s="18">
        <f t="shared" si="9"/>
        <v>-76357.52</v>
      </c>
      <c r="V67" s="377">
        <f t="shared" si="10"/>
        <v>76357.52</v>
      </c>
      <c r="W67" s="18">
        <f t="shared" si="11"/>
        <v>0</v>
      </c>
      <c r="X67" s="377">
        <f t="shared" si="12"/>
        <v>76357.52</v>
      </c>
      <c r="Y67" s="378">
        <f t="shared" si="13"/>
        <v>1450318.392</v>
      </c>
    </row>
    <row r="68" spans="3:38" x14ac:dyDescent="0.2">
      <c r="C68" s="387">
        <f t="shared" si="5"/>
        <v>42175</v>
      </c>
      <c r="D68" s="388">
        <f t="shared" si="6"/>
        <v>154264.93600000002</v>
      </c>
      <c r="E68" s="392">
        <f t="shared" si="7"/>
        <v>0</v>
      </c>
      <c r="F68" s="428">
        <f t="shared" si="0"/>
        <v>0.90615690000000004</v>
      </c>
      <c r="G68" s="390">
        <f t="shared" si="1"/>
        <v>0</v>
      </c>
      <c r="H68" s="391">
        <f t="shared" si="2"/>
        <v>154265.84215690001</v>
      </c>
      <c r="I68" s="324"/>
      <c r="J68" s="325"/>
      <c r="K68" s="325">
        <v>76420.932000000001</v>
      </c>
      <c r="L68" s="319"/>
      <c r="M68" s="320"/>
      <c r="N68" s="320"/>
      <c r="O68" s="320"/>
      <c r="P68" s="392">
        <f t="shared" si="8"/>
        <v>0</v>
      </c>
      <c r="Q68" s="392">
        <f t="shared" si="3"/>
        <v>0</v>
      </c>
      <c r="R68" s="392">
        <f t="shared" si="4"/>
        <v>0</v>
      </c>
      <c r="S68" s="373"/>
      <c r="T68" s="374"/>
      <c r="U68" s="18">
        <f t="shared" si="9"/>
        <v>-76420.932000000001</v>
      </c>
      <c r="V68" s="377">
        <f t="shared" si="10"/>
        <v>76420.932000000001</v>
      </c>
      <c r="W68" s="18">
        <f t="shared" si="11"/>
        <v>0</v>
      </c>
      <c r="X68" s="377">
        <f t="shared" si="12"/>
        <v>76420.932000000001</v>
      </c>
      <c r="Y68" s="378">
        <f t="shared" si="13"/>
        <v>1526739.324</v>
      </c>
    </row>
    <row r="69" spans="3:38" x14ac:dyDescent="0.2">
      <c r="C69" s="387">
        <f t="shared" si="5"/>
        <v>42176</v>
      </c>
      <c r="D69" s="388">
        <f t="shared" si="6"/>
        <v>154264.93600000002</v>
      </c>
      <c r="E69" s="392">
        <f t="shared" si="7"/>
        <v>0</v>
      </c>
      <c r="F69" s="428">
        <f t="shared" si="0"/>
        <v>0.90615690000000004</v>
      </c>
      <c r="G69" s="390">
        <f t="shared" si="1"/>
        <v>0</v>
      </c>
      <c r="H69" s="391">
        <f t="shared" si="2"/>
        <v>154265.84215690001</v>
      </c>
      <c r="I69" s="324"/>
      <c r="J69" s="325"/>
      <c r="K69" s="325">
        <v>76677.23</v>
      </c>
      <c r="L69" s="317"/>
      <c r="M69" s="318"/>
      <c r="N69" s="318"/>
      <c r="O69" s="318"/>
      <c r="P69" s="392">
        <f t="shared" si="8"/>
        <v>0</v>
      </c>
      <c r="Q69" s="392">
        <f t="shared" si="3"/>
        <v>0</v>
      </c>
      <c r="R69" s="392">
        <f t="shared" si="4"/>
        <v>0</v>
      </c>
      <c r="S69" s="373"/>
      <c r="T69" s="374"/>
      <c r="U69" s="18">
        <f t="shared" si="9"/>
        <v>-76677.23</v>
      </c>
      <c r="V69" s="377">
        <f t="shared" si="10"/>
        <v>76677.23</v>
      </c>
      <c r="W69" s="18">
        <f t="shared" si="11"/>
        <v>0</v>
      </c>
      <c r="X69" s="377">
        <f t="shared" si="12"/>
        <v>76677.23</v>
      </c>
      <c r="Y69" s="378">
        <f t="shared" si="13"/>
        <v>1603416.554</v>
      </c>
    </row>
    <row r="70" spans="3:38" x14ac:dyDescent="0.2">
      <c r="C70" s="387">
        <f t="shared" si="5"/>
        <v>42177</v>
      </c>
      <c r="D70" s="388">
        <f t="shared" si="6"/>
        <v>154264.93600000002</v>
      </c>
      <c r="E70" s="392">
        <f t="shared" si="7"/>
        <v>0</v>
      </c>
      <c r="F70" s="428">
        <f t="shared" si="0"/>
        <v>0.90615690000000004</v>
      </c>
      <c r="G70" s="390">
        <f t="shared" si="1"/>
        <v>0</v>
      </c>
      <c r="H70" s="391">
        <f t="shared" si="2"/>
        <v>154265.84215690001</v>
      </c>
      <c r="I70" s="324"/>
      <c r="J70" s="325"/>
      <c r="K70" s="325">
        <v>76544.05</v>
      </c>
      <c r="L70" s="319"/>
      <c r="M70" s="320"/>
      <c r="N70" s="320"/>
      <c r="O70" s="320"/>
      <c r="P70" s="392">
        <f t="shared" si="8"/>
        <v>0</v>
      </c>
      <c r="Q70" s="392">
        <f t="shared" si="3"/>
        <v>0</v>
      </c>
      <c r="R70" s="392">
        <f t="shared" si="4"/>
        <v>0</v>
      </c>
      <c r="S70" s="373"/>
      <c r="T70" s="374"/>
      <c r="U70" s="18">
        <f t="shared" si="9"/>
        <v>-76544.05</v>
      </c>
      <c r="V70" s="377">
        <f t="shared" si="10"/>
        <v>76544.05</v>
      </c>
      <c r="W70" s="18">
        <f t="shared" si="11"/>
        <v>0</v>
      </c>
      <c r="X70" s="377">
        <f t="shared" si="12"/>
        <v>76544.05</v>
      </c>
      <c r="Y70" s="378">
        <f t="shared" si="13"/>
        <v>1679960.6040000001</v>
      </c>
    </row>
    <row r="71" spans="3:38" x14ac:dyDescent="0.2">
      <c r="C71" s="387">
        <f t="shared" si="5"/>
        <v>42178</v>
      </c>
      <c r="D71" s="388">
        <f t="shared" si="6"/>
        <v>154264.93600000002</v>
      </c>
      <c r="E71" s="392">
        <f t="shared" si="7"/>
        <v>0</v>
      </c>
      <c r="F71" s="428">
        <f t="shared" si="0"/>
        <v>0.90615690000000004</v>
      </c>
      <c r="G71" s="390">
        <f t="shared" si="1"/>
        <v>0</v>
      </c>
      <c r="H71" s="391">
        <f t="shared" si="2"/>
        <v>154265.84215690001</v>
      </c>
      <c r="I71" s="324"/>
      <c r="J71" s="325"/>
      <c r="K71" s="325">
        <v>75688.929999999993</v>
      </c>
      <c r="L71" s="317"/>
      <c r="M71" s="318"/>
      <c r="N71" s="318"/>
      <c r="O71" s="318"/>
      <c r="P71" s="392">
        <f t="shared" si="8"/>
        <v>0</v>
      </c>
      <c r="Q71" s="392">
        <f t="shared" si="3"/>
        <v>0</v>
      </c>
      <c r="R71" s="392">
        <f t="shared" si="4"/>
        <v>0</v>
      </c>
      <c r="S71" s="373"/>
      <c r="T71" s="374"/>
      <c r="U71" s="18">
        <f t="shared" si="9"/>
        <v>-75688.929999999993</v>
      </c>
      <c r="V71" s="377">
        <f t="shared" si="10"/>
        <v>75688.929999999993</v>
      </c>
      <c r="W71" s="18">
        <f t="shared" si="11"/>
        <v>0</v>
      </c>
      <c r="X71" s="377">
        <f t="shared" si="12"/>
        <v>75688.929999999993</v>
      </c>
      <c r="Y71" s="378">
        <f t="shared" si="13"/>
        <v>1755649.534</v>
      </c>
    </row>
    <row r="72" spans="3:38" x14ac:dyDescent="0.2">
      <c r="C72" s="387">
        <f t="shared" si="5"/>
        <v>42179</v>
      </c>
      <c r="D72" s="388">
        <f t="shared" si="6"/>
        <v>154264.93600000002</v>
      </c>
      <c r="E72" s="392">
        <f t="shared" si="7"/>
        <v>0</v>
      </c>
      <c r="F72" s="428">
        <f t="shared" si="0"/>
        <v>0.90615690000000004</v>
      </c>
      <c r="G72" s="390">
        <f t="shared" si="1"/>
        <v>0</v>
      </c>
      <c r="H72" s="391">
        <f t="shared" si="2"/>
        <v>154265.84215690001</v>
      </c>
      <c r="I72" s="324"/>
      <c r="J72" s="325"/>
      <c r="K72" s="325">
        <v>75736.070999999996</v>
      </c>
      <c r="L72" s="319"/>
      <c r="M72" s="320"/>
      <c r="N72" s="320"/>
      <c r="O72" s="320"/>
      <c r="P72" s="392">
        <f t="shared" si="8"/>
        <v>0</v>
      </c>
      <c r="Q72" s="392">
        <f t="shared" si="3"/>
        <v>0</v>
      </c>
      <c r="R72" s="392">
        <f t="shared" si="4"/>
        <v>0</v>
      </c>
      <c r="S72" s="373"/>
      <c r="T72" s="374"/>
      <c r="U72" s="18">
        <f t="shared" si="9"/>
        <v>-75736.070999999996</v>
      </c>
      <c r="V72" s="377">
        <f t="shared" si="10"/>
        <v>75736.070999999996</v>
      </c>
      <c r="W72" s="18">
        <f t="shared" si="11"/>
        <v>0</v>
      </c>
      <c r="X72" s="377">
        <f t="shared" si="12"/>
        <v>75736.070999999996</v>
      </c>
      <c r="Y72" s="378">
        <f t="shared" si="13"/>
        <v>1831385.605</v>
      </c>
    </row>
    <row r="73" spans="3:38" x14ac:dyDescent="0.2">
      <c r="C73" s="387">
        <f t="shared" si="5"/>
        <v>42180</v>
      </c>
      <c r="D73" s="388">
        <f t="shared" si="6"/>
        <v>154264.93600000002</v>
      </c>
      <c r="E73" s="392">
        <f t="shared" si="7"/>
        <v>0</v>
      </c>
      <c r="F73" s="428">
        <f t="shared" si="0"/>
        <v>0.90615690000000004</v>
      </c>
      <c r="G73" s="390">
        <f t="shared" si="1"/>
        <v>0</v>
      </c>
      <c r="H73" s="391">
        <f t="shared" si="2"/>
        <v>154265.84215690001</v>
      </c>
      <c r="I73" s="324"/>
      <c r="J73" s="325"/>
      <c r="K73" s="325">
        <v>75430.720000000001</v>
      </c>
      <c r="L73" s="317"/>
      <c r="M73" s="318"/>
      <c r="N73" s="318"/>
      <c r="O73" s="318"/>
      <c r="P73" s="392">
        <f t="shared" si="8"/>
        <v>0</v>
      </c>
      <c r="Q73" s="392">
        <f t="shared" si="3"/>
        <v>0</v>
      </c>
      <c r="R73" s="392">
        <f t="shared" si="4"/>
        <v>0</v>
      </c>
      <c r="S73" s="373"/>
      <c r="T73" s="374"/>
      <c r="U73" s="18">
        <f t="shared" si="9"/>
        <v>-75430.720000000001</v>
      </c>
      <c r="V73" s="377">
        <f t="shared" si="10"/>
        <v>75430.720000000001</v>
      </c>
      <c r="W73" s="18">
        <f t="shared" si="11"/>
        <v>0</v>
      </c>
      <c r="X73" s="377">
        <f t="shared" si="12"/>
        <v>75430.720000000001</v>
      </c>
      <c r="Y73" s="378">
        <f t="shared" si="13"/>
        <v>1906816.325</v>
      </c>
    </row>
    <row r="74" spans="3:38" x14ac:dyDescent="0.2">
      <c r="C74" s="387">
        <f t="shared" si="5"/>
        <v>42181</v>
      </c>
      <c r="D74" s="388">
        <f t="shared" si="6"/>
        <v>154264.93600000002</v>
      </c>
      <c r="E74" s="392">
        <f t="shared" si="7"/>
        <v>0</v>
      </c>
      <c r="F74" s="428">
        <f t="shared" si="0"/>
        <v>0.90615690000000004</v>
      </c>
      <c r="G74" s="390">
        <f t="shared" si="1"/>
        <v>0</v>
      </c>
      <c r="H74" s="391">
        <f t="shared" si="2"/>
        <v>154265.84215690001</v>
      </c>
      <c r="I74" s="324"/>
      <c r="J74" s="325"/>
      <c r="K74" s="325">
        <v>76118.91</v>
      </c>
      <c r="L74" s="319"/>
      <c r="M74" s="320"/>
      <c r="N74" s="320"/>
      <c r="O74" s="320"/>
      <c r="P74" s="392">
        <f t="shared" si="8"/>
        <v>0</v>
      </c>
      <c r="Q74" s="392">
        <f t="shared" si="3"/>
        <v>0</v>
      </c>
      <c r="R74" s="392">
        <f t="shared" si="4"/>
        <v>0</v>
      </c>
      <c r="S74" s="373"/>
      <c r="T74" s="374"/>
      <c r="U74" s="18">
        <f t="shared" si="9"/>
        <v>-76118.91</v>
      </c>
      <c r="V74" s="377">
        <f t="shared" si="10"/>
        <v>76118.91</v>
      </c>
      <c r="W74" s="18">
        <f t="shared" si="11"/>
        <v>0</v>
      </c>
      <c r="X74" s="377">
        <f t="shared" si="12"/>
        <v>76118.91</v>
      </c>
      <c r="Y74" s="378">
        <f t="shared" si="13"/>
        <v>1982935.2349999999</v>
      </c>
    </row>
    <row r="75" spans="3:38" x14ac:dyDescent="0.2">
      <c r="C75" s="387">
        <f t="shared" si="5"/>
        <v>42182</v>
      </c>
      <c r="D75" s="388">
        <f t="shared" si="6"/>
        <v>154264.93600000002</v>
      </c>
      <c r="E75" s="392">
        <f t="shared" si="7"/>
        <v>0</v>
      </c>
      <c r="F75" s="428">
        <f t="shared" si="0"/>
        <v>0.90615690000000004</v>
      </c>
      <c r="G75" s="390">
        <f t="shared" si="1"/>
        <v>0</v>
      </c>
      <c r="H75" s="391">
        <f t="shared" si="2"/>
        <v>154265.84215690001</v>
      </c>
      <c r="I75" s="324"/>
      <c r="J75" s="325"/>
      <c r="K75" s="325">
        <v>75897.88</v>
      </c>
      <c r="L75" s="317"/>
      <c r="M75" s="318"/>
      <c r="N75" s="318"/>
      <c r="O75" s="318"/>
      <c r="P75" s="392">
        <f t="shared" si="8"/>
        <v>0</v>
      </c>
      <c r="Q75" s="392">
        <f t="shared" si="3"/>
        <v>0</v>
      </c>
      <c r="R75" s="392">
        <f t="shared" si="4"/>
        <v>0</v>
      </c>
      <c r="S75" s="373"/>
      <c r="T75" s="374"/>
      <c r="U75" s="18">
        <f t="shared" si="9"/>
        <v>-75897.88</v>
      </c>
      <c r="V75" s="377">
        <f t="shared" si="10"/>
        <v>75897.88</v>
      </c>
      <c r="W75" s="18">
        <f t="shared" si="11"/>
        <v>0</v>
      </c>
      <c r="X75" s="377">
        <f t="shared" si="12"/>
        <v>75897.88</v>
      </c>
      <c r="Y75" s="378">
        <f t="shared" si="13"/>
        <v>2058833.1149999998</v>
      </c>
    </row>
    <row r="76" spans="3:38" x14ac:dyDescent="0.2">
      <c r="C76" s="387">
        <f t="shared" si="5"/>
        <v>42183</v>
      </c>
      <c r="D76" s="388">
        <f t="shared" si="6"/>
        <v>154264.93600000002</v>
      </c>
      <c r="E76" s="392">
        <f t="shared" si="7"/>
        <v>0</v>
      </c>
      <c r="F76" s="428">
        <f t="shared" si="0"/>
        <v>0.90615690000000004</v>
      </c>
      <c r="G76" s="390">
        <f t="shared" si="1"/>
        <v>0</v>
      </c>
      <c r="H76" s="391">
        <f t="shared" si="2"/>
        <v>154265.84215690001</v>
      </c>
      <c r="I76" s="324"/>
      <c r="J76" s="325"/>
      <c r="K76" s="325">
        <v>76364.06</v>
      </c>
      <c r="L76" s="319"/>
      <c r="M76" s="320"/>
      <c r="N76" s="320"/>
      <c r="O76" s="320"/>
      <c r="P76" s="392">
        <f t="shared" si="8"/>
        <v>0</v>
      </c>
      <c r="Q76" s="392">
        <f t="shared" si="3"/>
        <v>0</v>
      </c>
      <c r="R76" s="392">
        <f t="shared" si="4"/>
        <v>0</v>
      </c>
      <c r="S76" s="373"/>
      <c r="T76" s="374"/>
      <c r="U76" s="18">
        <f t="shared" si="9"/>
        <v>-76364.06</v>
      </c>
      <c r="V76" s="377">
        <f t="shared" si="10"/>
        <v>76364.06</v>
      </c>
      <c r="W76" s="18">
        <f t="shared" si="11"/>
        <v>0</v>
      </c>
      <c r="X76" s="377">
        <f t="shared" si="12"/>
        <v>76364.06</v>
      </c>
      <c r="Y76" s="378">
        <f t="shared" si="13"/>
        <v>2135197.1749999998</v>
      </c>
    </row>
    <row r="77" spans="3:38" x14ac:dyDescent="0.2">
      <c r="C77" s="387">
        <f t="shared" si="5"/>
        <v>42184</v>
      </c>
      <c r="D77" s="388">
        <f t="shared" si="6"/>
        <v>154264.93600000002</v>
      </c>
      <c r="E77" s="392">
        <f t="shared" si="7"/>
        <v>0</v>
      </c>
      <c r="F77" s="428">
        <f t="shared" si="0"/>
        <v>0.90615690000000004</v>
      </c>
      <c r="G77" s="390">
        <f t="shared" si="1"/>
        <v>0</v>
      </c>
      <c r="H77" s="391">
        <f t="shared" si="2"/>
        <v>154265.84215690001</v>
      </c>
      <c r="I77" s="324"/>
      <c r="J77" s="325"/>
      <c r="K77" s="325">
        <v>76180.23</v>
      </c>
      <c r="L77" s="317"/>
      <c r="M77" s="318"/>
      <c r="N77" s="318"/>
      <c r="O77" s="318"/>
      <c r="P77" s="392">
        <f t="shared" si="8"/>
        <v>0</v>
      </c>
      <c r="Q77" s="392">
        <f t="shared" si="3"/>
        <v>0</v>
      </c>
      <c r="R77" s="392">
        <f t="shared" si="4"/>
        <v>0</v>
      </c>
      <c r="S77" s="373"/>
      <c r="T77" s="374"/>
      <c r="U77" s="18">
        <f t="shared" si="9"/>
        <v>-76180.23</v>
      </c>
      <c r="V77" s="377">
        <f t="shared" si="10"/>
        <v>76180.23</v>
      </c>
      <c r="W77" s="18">
        <f t="shared" si="11"/>
        <v>0</v>
      </c>
      <c r="X77" s="377">
        <f t="shared" si="12"/>
        <v>76180.23</v>
      </c>
      <c r="Y77" s="378">
        <f t="shared" si="13"/>
        <v>2211377.4049999998</v>
      </c>
    </row>
    <row r="78" spans="3:38" x14ac:dyDescent="0.2">
      <c r="C78" s="387">
        <f t="shared" si="5"/>
        <v>42185</v>
      </c>
      <c r="D78" s="388">
        <f t="shared" si="6"/>
        <v>154264.93600000002</v>
      </c>
      <c r="E78" s="392">
        <f t="shared" si="7"/>
        <v>0</v>
      </c>
      <c r="F78" s="428">
        <f t="shared" si="0"/>
        <v>0.90615690000000004</v>
      </c>
      <c r="G78" s="390">
        <f t="shared" si="1"/>
        <v>0</v>
      </c>
      <c r="H78" s="391">
        <f t="shared" si="2"/>
        <v>154265.84215690001</v>
      </c>
      <c r="I78" s="324"/>
      <c r="J78" s="325"/>
      <c r="K78" s="325">
        <v>76147.758000000002</v>
      </c>
      <c r="L78" s="319"/>
      <c r="M78" s="320"/>
      <c r="N78" s="320"/>
      <c r="O78" s="320"/>
      <c r="P78" s="392">
        <f t="shared" si="8"/>
        <v>0</v>
      </c>
      <c r="Q78" s="392">
        <f t="shared" si="3"/>
        <v>0</v>
      </c>
      <c r="R78" s="392">
        <f t="shared" si="4"/>
        <v>0</v>
      </c>
      <c r="S78" s="373"/>
      <c r="T78" s="374"/>
      <c r="U78" s="18">
        <f t="shared" si="9"/>
        <v>-76147.758000000002</v>
      </c>
      <c r="V78" s="377">
        <f t="shared" si="10"/>
        <v>76147.758000000002</v>
      </c>
      <c r="W78" s="18">
        <f t="shared" si="11"/>
        <v>0</v>
      </c>
      <c r="X78" s="377">
        <f t="shared" si="12"/>
        <v>76147.758000000002</v>
      </c>
      <c r="Y78" s="378">
        <f t="shared" si="13"/>
        <v>2287525.1629999997</v>
      </c>
    </row>
    <row r="79" spans="3:38" ht="15" thickBot="1" x14ac:dyDescent="0.25">
      <c r="C79" s="393"/>
      <c r="D79" s="394"/>
      <c r="E79" s="395"/>
      <c r="F79" s="429"/>
      <c r="G79" s="396"/>
      <c r="H79" s="397"/>
      <c r="I79" s="326"/>
      <c r="J79" s="327"/>
      <c r="K79" s="327"/>
      <c r="L79" s="321"/>
      <c r="M79" s="322"/>
      <c r="N79" s="322"/>
      <c r="O79" s="322"/>
      <c r="P79" s="395"/>
      <c r="Q79" s="395"/>
      <c r="R79" s="395"/>
      <c r="S79" s="375"/>
      <c r="T79" s="376"/>
      <c r="U79" s="379"/>
      <c r="V79" s="380"/>
      <c r="W79" s="379"/>
      <c r="X79" s="380"/>
      <c r="Y79" s="381"/>
    </row>
    <row r="80" spans="3:38" ht="15" thickBot="1" x14ac:dyDescent="0.25">
      <c r="C80" s="398"/>
      <c r="D80" s="399">
        <f>SUM(D49:D79)</f>
        <v>4627948.0800000029</v>
      </c>
      <c r="E80" s="400">
        <f>SUM(E49:E79)</f>
        <v>0</v>
      </c>
      <c r="F80" s="400"/>
      <c r="G80" s="401">
        <f>SUM(G49:G79)</f>
        <v>0</v>
      </c>
      <c r="H80" s="399">
        <f>SUM(H49:H79)</f>
        <v>4627975.2647070019</v>
      </c>
      <c r="I80" s="432">
        <f>SUM(I49:I79)</f>
        <v>0</v>
      </c>
      <c r="J80" s="432">
        <f t="shared" ref="J80:R80" si="14">SUM(J49:J79)</f>
        <v>0</v>
      </c>
      <c r="K80" s="432">
        <f t="shared" si="14"/>
        <v>2287525.1629999997</v>
      </c>
      <c r="L80" s="432">
        <f t="shared" si="14"/>
        <v>0</v>
      </c>
      <c r="M80" s="432">
        <f t="shared" si="14"/>
        <v>0</v>
      </c>
      <c r="N80" s="432">
        <f t="shared" si="14"/>
        <v>0</v>
      </c>
      <c r="O80" s="432">
        <f t="shared" si="14"/>
        <v>0</v>
      </c>
      <c r="P80" s="432">
        <f t="shared" si="14"/>
        <v>0</v>
      </c>
      <c r="Q80" s="432">
        <f t="shared" si="14"/>
        <v>0</v>
      </c>
      <c r="R80" s="432">
        <f t="shared" si="14"/>
        <v>0</v>
      </c>
      <c r="U80" s="1"/>
      <c r="V80" s="328">
        <f>SUM(V49:V79)</f>
        <v>2287525.1629999997</v>
      </c>
      <c r="W80" s="328">
        <f>SUM(W49:W79)</f>
        <v>0</v>
      </c>
      <c r="X80" s="328">
        <f>SUM(X49:X79)</f>
        <v>2287525.1629999997</v>
      </c>
      <c r="Y80" s="323">
        <f>Y78</f>
        <v>2287525.1629999997</v>
      </c>
      <c r="AL80" s="361">
        <f>Y79</f>
        <v>0</v>
      </c>
    </row>
    <row r="81" spans="2:14" ht="15" customHeight="1" x14ac:dyDescent="0.2">
      <c r="B81"/>
      <c r="C81"/>
      <c r="D81"/>
      <c r="E81"/>
      <c r="F81"/>
      <c r="G81"/>
      <c r="H81"/>
      <c r="I81"/>
      <c r="J81"/>
      <c r="K81"/>
      <c r="L81"/>
      <c r="N81" s="2"/>
    </row>
  </sheetData>
  <mergeCells count="13">
    <mergeCell ref="C10:D10"/>
    <mergeCell ref="C11:D11"/>
    <mergeCell ref="C3:M4"/>
    <mergeCell ref="C5:M5"/>
    <mergeCell ref="C6:M6"/>
    <mergeCell ref="G7:H7"/>
    <mergeCell ref="C9:D9"/>
    <mergeCell ref="D23:E23"/>
    <mergeCell ref="D24:E24"/>
    <mergeCell ref="C28:F28"/>
    <mergeCell ref="C39:F39"/>
    <mergeCell ref="S47:Y47"/>
    <mergeCell ref="L47:R47"/>
  </mergeCells>
  <conditionalFormatting sqref="L49:O79">
    <cfRule type="cellIs" dxfId="148" priority="1" stopIfTrue="1" operator="equal">
      <formula>0</formula>
    </cfRule>
  </conditionalFormatting>
  <pageMargins left="0.7" right="0.7" top="0.75" bottom="0.75" header="0.3" footer="0.3"/>
  <pageSetup orientation="portrait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L81"/>
  <sheetViews>
    <sheetView workbookViewId="0"/>
  </sheetViews>
  <sheetFormatPr baseColWidth="10" defaultColWidth="11" defaultRowHeight="14.25" x14ac:dyDescent="0.2"/>
  <cols>
    <col min="1" max="1" width="11" style="2"/>
    <col min="2" max="2" width="3.875" style="2" bestFit="1" customWidth="1"/>
    <col min="3" max="3" width="16.125" style="2" customWidth="1"/>
    <col min="4" max="4" width="12.375" style="2" bestFit="1" customWidth="1"/>
    <col min="5" max="5" width="10.875" style="2" bestFit="1" customWidth="1"/>
    <col min="6" max="6" width="17.125" style="2" bestFit="1" customWidth="1"/>
    <col min="7" max="7" width="13.125" style="2" bestFit="1" customWidth="1"/>
    <col min="8" max="8" width="12.125" style="2" bestFit="1" customWidth="1"/>
    <col min="9" max="9" width="11.125" style="2" bestFit="1" customWidth="1"/>
    <col min="10" max="10" width="11.875" style="2" bestFit="1" customWidth="1"/>
    <col min="11" max="11" width="11.625" style="2" bestFit="1" customWidth="1"/>
    <col min="12" max="12" width="12.125" style="2" customWidth="1"/>
    <col min="13" max="13" width="10.5" style="2" bestFit="1" customWidth="1"/>
    <col min="14" max="14" width="9" style="1" customWidth="1"/>
    <col min="15" max="15" width="10.375" style="2" customWidth="1"/>
    <col min="16" max="25" width="11" style="2"/>
    <col min="26" max="32" width="10.875" customWidth="1"/>
    <col min="33" max="16384" width="11" style="2"/>
  </cols>
  <sheetData>
    <row r="2" spans="2:25" x14ac:dyDescent="0.2"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2:25" ht="15" customHeight="1" x14ac:dyDescent="0.2">
      <c r="B3" s="1"/>
      <c r="C3" s="2254" t="s">
        <v>0</v>
      </c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</row>
    <row r="4" spans="2:25" ht="15" customHeight="1" x14ac:dyDescent="0.2"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</row>
    <row r="5" spans="2:25" x14ac:dyDescent="0.2">
      <c r="B5" s="1"/>
      <c r="C5" s="2257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</row>
    <row r="6" spans="2:25" x14ac:dyDescent="0.2">
      <c r="B6" s="1"/>
      <c r="C6" s="2257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</row>
    <row r="7" spans="2:25" x14ac:dyDescent="0.2">
      <c r="B7" s="1"/>
      <c r="C7" s="516"/>
      <c r="D7" s="516"/>
      <c r="E7" s="516"/>
      <c r="F7" s="516"/>
      <c r="G7" s="2271">
        <v>42186</v>
      </c>
      <c r="H7" s="2257"/>
      <c r="I7" s="516"/>
      <c r="J7" s="516"/>
      <c r="K7" s="516"/>
      <c r="L7" s="516"/>
      <c r="M7" s="516"/>
      <c r="N7" s="18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2:25" x14ac:dyDescent="0.2">
      <c r="B8" s="1"/>
      <c r="C8" s="516"/>
      <c r="D8" s="516"/>
      <c r="E8" s="516"/>
      <c r="F8" s="516"/>
      <c r="G8" s="516"/>
      <c r="H8" s="516"/>
      <c r="I8" s="516"/>
      <c r="J8" s="516"/>
      <c r="K8" s="516"/>
      <c r="L8" s="516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2:25" ht="25.5" x14ac:dyDescent="0.2">
      <c r="B9" s="1"/>
      <c r="C9" s="2272" t="s">
        <v>6</v>
      </c>
      <c r="D9" s="2272"/>
      <c r="E9" s="517" t="s">
        <v>94</v>
      </c>
      <c r="F9" s="517" t="s">
        <v>126</v>
      </c>
      <c r="G9" s="410" t="s">
        <v>133</v>
      </c>
      <c r="H9" s="517" t="s">
        <v>127</v>
      </c>
      <c r="I9" s="517" t="s">
        <v>128</v>
      </c>
      <c r="J9" s="516"/>
      <c r="K9" s="516"/>
      <c r="L9" s="516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2:25" x14ac:dyDescent="0.2">
      <c r="B10" s="1"/>
      <c r="C10" s="2270" t="s">
        <v>131</v>
      </c>
      <c r="D10" s="2270"/>
      <c r="E10" s="433">
        <f>IF(C15=0,D15,C15)</f>
        <v>4627948.08</v>
      </c>
      <c r="F10" s="407">
        <f>E10*0.16</f>
        <v>740471.69280000008</v>
      </c>
      <c r="G10" s="407">
        <f>E10+F10</f>
        <v>5368419.7728000004</v>
      </c>
      <c r="H10" s="408"/>
      <c r="I10" s="411">
        <v>19</v>
      </c>
      <c r="J10" s="516"/>
      <c r="K10" s="516"/>
      <c r="L10" s="516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2:25" x14ac:dyDescent="0.2">
      <c r="B11" s="1"/>
      <c r="C11" s="2270" t="s">
        <v>132</v>
      </c>
      <c r="D11" s="2270"/>
      <c r="E11" s="433">
        <f>IF(C16=0,D16,C16)</f>
        <v>2047.42</v>
      </c>
      <c r="F11" s="407">
        <f>E11*0.16</f>
        <v>327.5872</v>
      </c>
      <c r="G11" s="407">
        <f>E11+F11</f>
        <v>2375.0072</v>
      </c>
      <c r="H11" s="408"/>
      <c r="I11" s="411">
        <v>19</v>
      </c>
      <c r="J11" s="516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2:25" x14ac:dyDescent="0.2">
      <c r="B12" s="1"/>
      <c r="C12" s="516"/>
      <c r="D12" s="516"/>
      <c r="E12" s="516"/>
      <c r="F12" s="516"/>
      <c r="G12" s="516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2:25" ht="15" thickBot="1" x14ac:dyDescent="0.25">
      <c r="B13" s="1"/>
      <c r="C13" s="516"/>
      <c r="D13" s="516"/>
      <c r="E13" s="516"/>
      <c r="F13" s="516"/>
      <c r="G13" s="516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2:25" x14ac:dyDescent="0.2">
      <c r="B14" s="1"/>
      <c r="C14" s="440" t="s">
        <v>155</v>
      </c>
      <c r="D14" s="441" t="s">
        <v>156</v>
      </c>
      <c r="E14" s="442" t="s">
        <v>112</v>
      </c>
      <c r="F14" s="516"/>
      <c r="G14" s="516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2:25" x14ac:dyDescent="0.2">
      <c r="B15" s="1"/>
      <c r="C15" s="443">
        <v>4627948.08</v>
      </c>
      <c r="D15" s="444">
        <f>D80</f>
        <v>4627948.0800000019</v>
      </c>
      <c r="E15" s="445">
        <f>C15-D15</f>
        <v>0</v>
      </c>
      <c r="F15" s="516"/>
      <c r="G15" s="516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2:25" ht="15" thickBot="1" x14ac:dyDescent="0.25">
      <c r="B16" s="1"/>
      <c r="C16" s="446">
        <v>2047.42</v>
      </c>
      <c r="D16" s="447">
        <f>ROUND(G80,2)</f>
        <v>0</v>
      </c>
      <c r="E16" s="448">
        <f>C16-D16</f>
        <v>2047.42</v>
      </c>
      <c r="F16" s="516"/>
      <c r="G16" s="516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2:25" x14ac:dyDescent="0.2">
      <c r="B17" s="1"/>
      <c r="C17" s="516"/>
      <c r="D17" s="516"/>
      <c r="E17" s="516"/>
      <c r="F17" s="516"/>
      <c r="G17" s="516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2:25" x14ac:dyDescent="0.2">
      <c r="B18" s="1"/>
      <c r="C18" s="516"/>
      <c r="D18" s="516"/>
      <c r="E18" s="516"/>
      <c r="F18" s="516"/>
      <c r="G18" s="516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2:25" x14ac:dyDescent="0.2">
      <c r="B19" s="1"/>
      <c r="C19" s="516"/>
      <c r="D19" s="516"/>
      <c r="E19" s="516"/>
      <c r="F19" s="516"/>
      <c r="G19" s="516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2:25" x14ac:dyDescent="0.2">
      <c r="B20" s="1"/>
      <c r="C20" s="516"/>
      <c r="D20" s="516"/>
      <c r="E20" s="516"/>
      <c r="F20" s="516"/>
      <c r="G20" s="516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2:25" x14ac:dyDescent="0.2">
      <c r="B21" s="1"/>
      <c r="C21" s="516"/>
      <c r="D21" s="516"/>
      <c r="E21" s="516"/>
      <c r="F21" s="516"/>
      <c r="G21" s="516"/>
      <c r="H21" s="1"/>
      <c r="I21" s="1"/>
      <c r="J21" s="1"/>
      <c r="K21" s="1"/>
      <c r="L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2:25" ht="15" thickBot="1" x14ac:dyDescent="0.25">
      <c r="B22" s="1"/>
      <c r="C22" s="419" t="s">
        <v>137</v>
      </c>
      <c r="D22" s="516" t="s">
        <v>138</v>
      </c>
      <c r="E22" s="516"/>
      <c r="F22" s="516" t="s">
        <v>139</v>
      </c>
      <c r="G22" s="516" t="s">
        <v>157</v>
      </c>
      <c r="H22" s="516" t="s">
        <v>143</v>
      </c>
      <c r="I22" s="516" t="s">
        <v>142</v>
      </c>
      <c r="J22" s="516" t="s">
        <v>141</v>
      </c>
      <c r="K22" s="516" t="s">
        <v>140</v>
      </c>
      <c r="L22" s="516" t="s">
        <v>144</v>
      </c>
      <c r="M22" s="516" t="s">
        <v>146</v>
      </c>
      <c r="N22" s="516"/>
      <c r="O22" s="516"/>
      <c r="P22" s="516"/>
      <c r="Q22" s="1"/>
      <c r="R22" s="1"/>
      <c r="S22" s="1"/>
      <c r="T22" s="1"/>
      <c r="U22" s="1"/>
      <c r="V22" s="1"/>
      <c r="W22" s="1"/>
      <c r="X22" s="1"/>
      <c r="Y22" s="1"/>
    </row>
    <row r="23" spans="2:25" ht="36.75" customHeight="1" x14ac:dyDescent="0.2">
      <c r="B23" s="1"/>
      <c r="C23" s="402" t="s">
        <v>134</v>
      </c>
      <c r="D23" s="2261" t="s">
        <v>135</v>
      </c>
      <c r="E23" s="2262"/>
      <c r="F23" s="518" t="s">
        <v>136</v>
      </c>
      <c r="G23" s="461" t="s">
        <v>153</v>
      </c>
      <c r="H23" s="420" t="s">
        <v>129</v>
      </c>
      <c r="I23" s="403" t="s">
        <v>130</v>
      </c>
      <c r="J23" s="422"/>
      <c r="K23" s="422"/>
      <c r="L23" s="422"/>
      <c r="M23" s="404" t="s">
        <v>158</v>
      </c>
      <c r="N23" s="516"/>
      <c r="O23" s="516"/>
      <c r="P23" s="516"/>
      <c r="Q23" s="516"/>
      <c r="R23" s="516"/>
      <c r="S23" s="516"/>
      <c r="T23" s="516"/>
      <c r="U23" s="1"/>
      <c r="V23" s="1"/>
      <c r="W23" s="1"/>
      <c r="X23" s="1"/>
      <c r="Y23" s="1"/>
    </row>
    <row r="24" spans="2:25" x14ac:dyDescent="0.2">
      <c r="B24" s="1"/>
      <c r="C24" s="405">
        <v>850</v>
      </c>
      <c r="D24" s="2263">
        <v>850</v>
      </c>
      <c r="E24" s="2264"/>
      <c r="F24" s="418">
        <v>31482640</v>
      </c>
      <c r="G24" s="462">
        <v>31</v>
      </c>
      <c r="H24" s="460">
        <f>VLOOKUP(C47,Tarifas!D4:H303,3)</f>
        <v>0.14699999999999999</v>
      </c>
      <c r="I24" s="424">
        <f>VLOOKUP(C47,Tarifas!D4:H303,5)</f>
        <v>1E-3</v>
      </c>
      <c r="J24" s="421">
        <v>182.5</v>
      </c>
      <c r="K24" s="421">
        <v>201.4</v>
      </c>
      <c r="L24" s="421">
        <f>I11</f>
        <v>19</v>
      </c>
      <c r="M24" s="431">
        <f>E80</f>
        <v>0</v>
      </c>
      <c r="N24" s="430" t="s">
        <v>62</v>
      </c>
      <c r="O24" s="516"/>
      <c r="P24" s="516"/>
      <c r="Q24" s="516"/>
      <c r="R24" s="516"/>
      <c r="S24" s="516"/>
      <c r="T24" s="516"/>
      <c r="U24" s="1"/>
      <c r="V24" s="1"/>
      <c r="W24" s="1"/>
      <c r="X24" s="1"/>
      <c r="Y24" s="1"/>
    </row>
    <row r="25" spans="2:25" x14ac:dyDescent="0.2">
      <c r="B25" s="1"/>
      <c r="C25" s="516"/>
      <c r="D25" s="516"/>
      <c r="E25" s="516"/>
      <c r="F25" s="516"/>
      <c r="G25" s="516"/>
      <c r="H25" s="516"/>
      <c r="I25" s="516"/>
      <c r="J25" s="516"/>
      <c r="K25" s="516"/>
      <c r="L25" s="516"/>
      <c r="M25" s="516"/>
      <c r="N25" s="516"/>
      <c r="O25" s="516"/>
      <c r="P25" s="516"/>
      <c r="Q25" s="516"/>
      <c r="R25" s="516"/>
      <c r="S25" s="1"/>
      <c r="T25" s="1"/>
      <c r="U25" s="1"/>
      <c r="V25" s="1"/>
      <c r="W25" s="1"/>
      <c r="X25" s="1"/>
      <c r="Y25" s="1"/>
    </row>
    <row r="26" spans="2:25" x14ac:dyDescent="0.2">
      <c r="B26" s="1"/>
      <c r="C26" s="516"/>
      <c r="D26" s="516"/>
      <c r="E26" s="516"/>
      <c r="F26" s="516"/>
      <c r="G26" s="516"/>
      <c r="H26" s="516"/>
      <c r="I26" s="516"/>
      <c r="J26" s="516"/>
      <c r="K26" s="516"/>
      <c r="L26" s="516"/>
      <c r="M26" s="516"/>
      <c r="N26" s="516"/>
      <c r="O26" s="516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2:25" x14ac:dyDescent="0.2">
      <c r="B27" s="1"/>
      <c r="C27" s="516"/>
      <c r="D27" s="516"/>
      <c r="E27" s="516"/>
      <c r="F27" s="516"/>
      <c r="G27" s="516"/>
      <c r="H27" s="516"/>
      <c r="I27" s="516"/>
      <c r="J27" s="516"/>
      <c r="K27" s="516"/>
      <c r="L27" s="516"/>
      <c r="M27" s="516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2:25" ht="15" thickBot="1" x14ac:dyDescent="0.25">
      <c r="B28" s="1"/>
      <c r="C28" s="2265" t="s">
        <v>86</v>
      </c>
      <c r="D28" s="2265"/>
      <c r="E28" s="2265"/>
      <c r="F28" s="2265"/>
      <c r="G28" s="519"/>
      <c r="H28" s="334"/>
      <c r="I28" s="334"/>
      <c r="J28" s="334"/>
      <c r="K28" s="519"/>
      <c r="L28" s="336"/>
      <c r="M28" s="336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2:25" ht="22.5" x14ac:dyDescent="0.2">
      <c r="B29" s="1"/>
      <c r="C29" s="337" t="s">
        <v>87</v>
      </c>
      <c r="D29" s="514" t="s">
        <v>88</v>
      </c>
      <c r="E29" s="514" t="s">
        <v>89</v>
      </c>
      <c r="F29" s="514" t="s">
        <v>20</v>
      </c>
      <c r="G29" s="514" t="s">
        <v>160</v>
      </c>
      <c r="H29" s="514" t="s">
        <v>90</v>
      </c>
      <c r="I29" s="514" t="s">
        <v>91</v>
      </c>
      <c r="J29" s="514" t="s">
        <v>92</v>
      </c>
      <c r="K29" s="514" t="s">
        <v>93</v>
      </c>
      <c r="L29" s="514" t="s">
        <v>94</v>
      </c>
      <c r="M29" s="515" t="s">
        <v>95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2:25" x14ac:dyDescent="0.2">
      <c r="B30" s="1"/>
      <c r="C30" s="338"/>
      <c r="D30" s="339">
        <v>1</v>
      </c>
      <c r="E30" s="339" t="s">
        <v>96</v>
      </c>
      <c r="F30" s="340" t="s">
        <v>97</v>
      </c>
      <c r="G30" s="340">
        <v>2201</v>
      </c>
      <c r="H30" s="339">
        <v>20823</v>
      </c>
      <c r="I30" s="341">
        <v>40000</v>
      </c>
      <c r="J30" s="339">
        <v>138.15</v>
      </c>
      <c r="K30" s="342">
        <f>I30/I$35</f>
        <v>4.7058823529411764E-2</v>
      </c>
      <c r="L30" s="343">
        <f>ROUND(K30*E$10,2)</f>
        <v>217785.79</v>
      </c>
      <c r="M30" s="344">
        <f>L30*$I$10</f>
        <v>4137930.0100000002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2:25" x14ac:dyDescent="0.2">
      <c r="B31" s="1"/>
      <c r="C31" s="338"/>
      <c r="D31" s="339">
        <v>2</v>
      </c>
      <c r="E31" s="339" t="s">
        <v>98</v>
      </c>
      <c r="F31" s="340" t="s">
        <v>97</v>
      </c>
      <c r="G31" s="340">
        <v>2201</v>
      </c>
      <c r="H31" s="339">
        <v>20824</v>
      </c>
      <c r="I31" s="341">
        <v>40000</v>
      </c>
      <c r="J31" s="339">
        <v>138.15</v>
      </c>
      <c r="K31" s="342">
        <f>I31/I$35</f>
        <v>4.7058823529411764E-2</v>
      </c>
      <c r="L31" s="343">
        <f>ROUND(K31*E$10,2)</f>
        <v>217785.79</v>
      </c>
      <c r="M31" s="344">
        <f>L31*$I$10</f>
        <v>4137930.0100000002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2:25" x14ac:dyDescent="0.2">
      <c r="B32" s="1"/>
      <c r="C32" s="338"/>
      <c r="D32" s="339">
        <v>1</v>
      </c>
      <c r="E32" s="339" t="s">
        <v>99</v>
      </c>
      <c r="F32" s="340" t="s">
        <v>100</v>
      </c>
      <c r="G32" s="340">
        <v>2230</v>
      </c>
      <c r="H32" s="339">
        <v>22228</v>
      </c>
      <c r="I32" s="341">
        <v>32000</v>
      </c>
      <c r="J32" s="339">
        <v>130.80000000000001</v>
      </c>
      <c r="K32" s="342">
        <f>I32/I$35</f>
        <v>3.7647058823529408E-2</v>
      </c>
      <c r="L32" s="343">
        <f>ROUND(K32*E$10,2)</f>
        <v>174228.63</v>
      </c>
      <c r="M32" s="344">
        <f>L32*$I$10</f>
        <v>3310343.97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2:25" x14ac:dyDescent="0.2">
      <c r="B33" s="1"/>
      <c r="C33" s="338">
        <v>800762390</v>
      </c>
      <c r="D33" s="339">
        <v>1</v>
      </c>
      <c r="E33" s="354" t="s">
        <v>101</v>
      </c>
      <c r="F33" s="463" t="s">
        <v>23</v>
      </c>
      <c r="G33" s="463">
        <v>2044</v>
      </c>
      <c r="H33" s="354">
        <v>591000420</v>
      </c>
      <c r="I33" s="341">
        <v>80000</v>
      </c>
      <c r="J33" s="339"/>
      <c r="K33" s="342">
        <f>I33/I$35</f>
        <v>9.4117647058823528E-2</v>
      </c>
      <c r="L33" s="343">
        <f>ROUND(K33*E$10,2)</f>
        <v>435571.58</v>
      </c>
      <c r="M33" s="344">
        <f>L33*$I$10</f>
        <v>8275860.0200000005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2:25" ht="15" thickBot="1" x14ac:dyDescent="0.25">
      <c r="B34" s="1"/>
      <c r="C34" s="345">
        <v>800642440</v>
      </c>
      <c r="D34" s="346">
        <v>5</v>
      </c>
      <c r="E34" s="347" t="s">
        <v>101</v>
      </c>
      <c r="F34" s="348" t="s">
        <v>159</v>
      </c>
      <c r="G34" s="348">
        <v>2277</v>
      </c>
      <c r="H34" s="347">
        <v>22770</v>
      </c>
      <c r="I34" s="349">
        <f>850000-I30-I31-I32-I33</f>
        <v>658000</v>
      </c>
      <c r="J34" s="346"/>
      <c r="K34" s="350">
        <f>I34/I$35</f>
        <v>0.77411764705882358</v>
      </c>
      <c r="L34" s="351">
        <f>ROUND(K34*E$10,2)</f>
        <v>3582576.28</v>
      </c>
      <c r="M34" s="352">
        <f>L34*$I$10</f>
        <v>68068949.319999993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2:25" x14ac:dyDescent="0.2">
      <c r="B35" s="1"/>
      <c r="C35" s="406">
        <v>3000623</v>
      </c>
      <c r="D35" s="353" t="s">
        <v>102</v>
      </c>
      <c r="E35" s="353"/>
      <c r="F35" s="353"/>
      <c r="G35" s="353"/>
      <c r="H35" s="354"/>
      <c r="I35" s="355">
        <f>SUM(I30:I34)</f>
        <v>850000</v>
      </c>
      <c r="J35" s="353"/>
      <c r="K35" s="356">
        <f>SUM(K30:K34)</f>
        <v>1</v>
      </c>
      <c r="L35" s="357">
        <f>SUM(L30:L34)</f>
        <v>4627948.07</v>
      </c>
      <c r="M35" s="357">
        <f>SUM(M30:M33)</f>
        <v>19862064.010000002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2:25" x14ac:dyDescent="0.2">
      <c r="B36" s="1"/>
      <c r="C36" s="336"/>
      <c r="D36" s="336"/>
      <c r="E36" s="336"/>
      <c r="F36" s="358"/>
      <c r="G36" s="358"/>
      <c r="H36" s="336"/>
      <c r="I36" s="336"/>
      <c r="J36" s="336"/>
      <c r="K36" s="336"/>
      <c r="L36" s="359"/>
      <c r="M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2:25" x14ac:dyDescent="0.2">
      <c r="B37" s="1"/>
      <c r="C37" s="336"/>
      <c r="D37" s="336"/>
      <c r="E37" s="336"/>
      <c r="F37" s="358"/>
      <c r="G37" s="358"/>
      <c r="H37" s="336"/>
      <c r="I37" s="336"/>
      <c r="J37" s="336"/>
      <c r="K37" s="336"/>
      <c r="L37" s="359"/>
      <c r="M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2:25" x14ac:dyDescent="0.2">
      <c r="B38" s="1"/>
      <c r="C38" s="336"/>
      <c r="D38" s="336"/>
      <c r="E38" s="336"/>
      <c r="F38" s="358"/>
      <c r="G38" s="358"/>
      <c r="H38" s="336"/>
      <c r="I38" s="336"/>
      <c r="J38" s="336"/>
      <c r="K38" s="336"/>
      <c r="L38" s="359"/>
      <c r="M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2:25" ht="15" thickBot="1" x14ac:dyDescent="0.25">
      <c r="B39" s="1"/>
      <c r="C39" s="2266" t="s">
        <v>103</v>
      </c>
      <c r="D39" s="2266"/>
      <c r="E39" s="2266"/>
      <c r="F39" s="2266"/>
      <c r="G39" s="519"/>
      <c r="H39" s="334"/>
      <c r="I39" s="334"/>
      <c r="J39" s="334"/>
      <c r="K39" s="336"/>
      <c r="L39" s="336"/>
      <c r="M39" s="360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2:25" ht="22.5" x14ac:dyDescent="0.2">
      <c r="B40" s="1"/>
      <c r="C40" s="337" t="s">
        <v>87</v>
      </c>
      <c r="D40" s="514" t="s">
        <v>88</v>
      </c>
      <c r="E40" s="514" t="s">
        <v>89</v>
      </c>
      <c r="F40" s="514" t="s">
        <v>20</v>
      </c>
      <c r="G40" s="514"/>
      <c r="H40" s="514" t="s">
        <v>90</v>
      </c>
      <c r="I40" s="514" t="s">
        <v>104</v>
      </c>
      <c r="J40" s="514" t="s">
        <v>93</v>
      </c>
      <c r="K40" s="514" t="s">
        <v>92</v>
      </c>
      <c r="L40" s="514" t="s">
        <v>94</v>
      </c>
      <c r="M40" s="515" t="s">
        <v>95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2:25" x14ac:dyDescent="0.2">
      <c r="B41" s="1"/>
      <c r="C41" s="338"/>
      <c r="D41" s="339">
        <v>1</v>
      </c>
      <c r="E41" s="339" t="s">
        <v>96</v>
      </c>
      <c r="F41" s="340" t="s">
        <v>97</v>
      </c>
      <c r="G41" s="340"/>
      <c r="H41" s="339">
        <v>20823</v>
      </c>
      <c r="I41" s="341">
        <f>M80</f>
        <v>0</v>
      </c>
      <c r="J41" s="342" t="e">
        <f>I41/I$45</f>
        <v>#DIV/0!</v>
      </c>
      <c r="K41" s="339">
        <v>138.15</v>
      </c>
      <c r="L41" s="343" t="e">
        <f>ROUND(J41*$E$11,2)</f>
        <v>#DIV/0!</v>
      </c>
      <c r="M41" s="344" t="e">
        <f>L41*L24</f>
        <v>#DIV/0!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2:25" x14ac:dyDescent="0.2">
      <c r="B42" s="1"/>
      <c r="C42" s="338"/>
      <c r="D42" s="339">
        <v>2</v>
      </c>
      <c r="E42" s="339" t="s">
        <v>98</v>
      </c>
      <c r="F42" s="340" t="s">
        <v>97</v>
      </c>
      <c r="G42" s="340"/>
      <c r="H42" s="339">
        <v>20824</v>
      </c>
      <c r="I42" s="341">
        <f>N80</f>
        <v>0</v>
      </c>
      <c r="J42" s="342" t="e">
        <f>I42/I$45</f>
        <v>#DIV/0!</v>
      </c>
      <c r="K42" s="339">
        <v>138.15</v>
      </c>
      <c r="L42" s="343" t="e">
        <f>ROUND(J42*$E$11,2)</f>
        <v>#DIV/0!</v>
      </c>
      <c r="M42" s="344" t="e">
        <f>L42*L25</f>
        <v>#DIV/0!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2:25" x14ac:dyDescent="0.2">
      <c r="B43" s="1"/>
      <c r="C43" s="338"/>
      <c r="D43" s="339">
        <v>1</v>
      </c>
      <c r="E43" s="339" t="s">
        <v>99</v>
      </c>
      <c r="F43" s="340" t="s">
        <v>100</v>
      </c>
      <c r="G43" s="340"/>
      <c r="H43" s="339">
        <v>22228</v>
      </c>
      <c r="I43" s="341">
        <f>O80</f>
        <v>0</v>
      </c>
      <c r="J43" s="342" t="e">
        <f>I43/I$45</f>
        <v>#DIV/0!</v>
      </c>
      <c r="K43" s="339">
        <v>130.80000000000001</v>
      </c>
      <c r="L43" s="343" t="e">
        <f>ROUND(J43*$E$11,2)</f>
        <v>#DIV/0!</v>
      </c>
      <c r="M43" s="344" t="e">
        <f>L43*L26</f>
        <v>#DIV/0!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2:25" ht="15" thickBot="1" x14ac:dyDescent="0.25">
      <c r="B44" s="1"/>
      <c r="C44" s="345">
        <v>800762390</v>
      </c>
      <c r="D44" s="346">
        <v>2</v>
      </c>
      <c r="E44" s="347" t="s">
        <v>101</v>
      </c>
      <c r="F44" s="348" t="s">
        <v>23</v>
      </c>
      <c r="G44" s="348"/>
      <c r="H44" s="347"/>
      <c r="I44" s="349">
        <f>L80</f>
        <v>0</v>
      </c>
      <c r="J44" s="350" t="e">
        <f>I44/I$45</f>
        <v>#DIV/0!</v>
      </c>
      <c r="K44" s="346">
        <v>138.15</v>
      </c>
      <c r="L44" s="351" t="e">
        <f>ROUND(J44*$E$11,2)</f>
        <v>#DIV/0!</v>
      </c>
      <c r="M44" s="352" t="e">
        <f>L44*L27</f>
        <v>#DIV/0!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2:25" x14ac:dyDescent="0.2">
      <c r="B45" s="1"/>
      <c r="C45" s="353"/>
      <c r="D45" s="353"/>
      <c r="E45" s="353"/>
      <c r="F45" s="353"/>
      <c r="G45" s="353"/>
      <c r="H45" s="354"/>
      <c r="I45" s="449">
        <f>SUM(I41:I44)</f>
        <v>0</v>
      </c>
      <c r="J45" s="355"/>
      <c r="K45" s="353"/>
      <c r="L45" s="357" t="e">
        <f>SUM(L41:L44)</f>
        <v>#DIV/0!</v>
      </c>
      <c r="M45" s="357" t="e">
        <f>SUM(M41:M44)</f>
        <v>#DIV/0!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2:25" customFormat="1" ht="15" thickBot="1" x14ac:dyDescent="0.25">
      <c r="M46" s="450"/>
      <c r="N46" s="450"/>
      <c r="O46" s="450"/>
      <c r="P46" s="450"/>
      <c r="Q46" s="450"/>
      <c r="R46" s="450"/>
      <c r="S46" s="450"/>
      <c r="T46" s="450"/>
      <c r="U46" s="450"/>
      <c r="V46" s="450"/>
      <c r="W46" s="450"/>
      <c r="X46" s="450"/>
      <c r="Y46" s="450"/>
    </row>
    <row r="47" spans="2:25" ht="15" thickBot="1" x14ac:dyDescent="0.25">
      <c r="B47" s="434" t="s">
        <v>3</v>
      </c>
      <c r="C47" s="1445">
        <f>SUMIF(Tarifas!E4:E303,'Julio - 2015'!C49,Tarifas!D4:D303)</f>
        <v>24</v>
      </c>
      <c r="D47" s="425" t="s">
        <v>147</v>
      </c>
      <c r="E47" s="426" t="s">
        <v>145</v>
      </c>
      <c r="F47" s="426" t="s">
        <v>150</v>
      </c>
      <c r="G47" s="426" t="s">
        <v>148</v>
      </c>
      <c r="H47" s="382"/>
      <c r="I47" s="331" t="s">
        <v>120</v>
      </c>
      <c r="J47" s="332"/>
      <c r="K47" s="332"/>
      <c r="L47" s="2277" t="s">
        <v>105</v>
      </c>
      <c r="M47" s="2278"/>
      <c r="N47" s="2278"/>
      <c r="O47" s="2278"/>
      <c r="P47" s="2278"/>
      <c r="Q47" s="2278"/>
      <c r="R47" s="2279"/>
      <c r="S47" s="2274" t="s">
        <v>121</v>
      </c>
      <c r="T47" s="2275"/>
      <c r="U47" s="2275"/>
      <c r="V47" s="2275"/>
      <c r="W47" s="2275"/>
      <c r="X47" s="2275"/>
      <c r="Y47" s="2276"/>
    </row>
    <row r="48" spans="2:25" ht="34.5" thickBot="1" x14ac:dyDescent="0.25">
      <c r="C48" s="1427" t="s">
        <v>122</v>
      </c>
      <c r="D48" s="1428" t="s">
        <v>125</v>
      </c>
      <c r="E48" s="1429" t="s">
        <v>149</v>
      </c>
      <c r="F48" s="1429" t="s">
        <v>151</v>
      </c>
      <c r="G48" s="1429" t="s">
        <v>152</v>
      </c>
      <c r="H48" s="1430" t="s">
        <v>123</v>
      </c>
      <c r="I48" s="1450" t="s">
        <v>377</v>
      </c>
      <c r="J48" s="1451" t="s">
        <v>376</v>
      </c>
      <c r="K48" s="1451" t="s">
        <v>375</v>
      </c>
      <c r="L48" s="1437" t="s">
        <v>115</v>
      </c>
      <c r="M48" s="1438" t="s">
        <v>106</v>
      </c>
      <c r="N48" s="1438" t="s">
        <v>107</v>
      </c>
      <c r="O48" s="1438" t="s">
        <v>108</v>
      </c>
      <c r="P48" s="1438" t="s">
        <v>115</v>
      </c>
      <c r="Q48" s="1439" t="s">
        <v>116</v>
      </c>
      <c r="R48" s="1440" t="s">
        <v>117</v>
      </c>
      <c r="S48" s="1441" t="s">
        <v>110</v>
      </c>
      <c r="T48" s="1442" t="s">
        <v>111</v>
      </c>
      <c r="U48" s="1442" t="s">
        <v>112</v>
      </c>
      <c r="V48" s="1443" t="s">
        <v>118</v>
      </c>
      <c r="W48" s="1443" t="s">
        <v>119</v>
      </c>
      <c r="X48" s="1443" t="s">
        <v>114</v>
      </c>
      <c r="Y48" s="1444" t="s">
        <v>113</v>
      </c>
    </row>
    <row r="49" spans="3:25" x14ac:dyDescent="0.2">
      <c r="C49" s="387">
        <f>G7</f>
        <v>42186</v>
      </c>
      <c r="D49" s="388">
        <f>($F$24*$H$24)/$G$24</f>
        <v>149288.64774193548</v>
      </c>
      <c r="E49" s="389">
        <f>P49+Q49+R49</f>
        <v>0</v>
      </c>
      <c r="F49" s="427">
        <f t="shared" ref="F49:F79" si="0">TRUNC(IFERROR(J$24/K$24,0),8)</f>
        <v>0.90615690000000004</v>
      </c>
      <c r="G49" s="390">
        <f t="shared" ref="G49:G79" si="1">ROUND(I$24*F49*E49,4)</f>
        <v>0</v>
      </c>
      <c r="H49" s="391">
        <f t="shared" ref="H49:H79" si="2">SUM(D49:G49)</f>
        <v>149289.55389883547</v>
      </c>
      <c r="I49" s="324"/>
      <c r="J49" s="325"/>
      <c r="K49" s="325">
        <v>76343.55</v>
      </c>
      <c r="L49" s="317"/>
      <c r="M49" s="318"/>
      <c r="N49" s="318"/>
      <c r="O49" s="318"/>
      <c r="P49" s="389">
        <f>L49</f>
        <v>0</v>
      </c>
      <c r="Q49" s="389">
        <f t="shared" ref="Q49:Q79" si="3">M49+N49</f>
        <v>0</v>
      </c>
      <c r="R49" s="389">
        <f t="shared" ref="R49:R79" si="4">O49</f>
        <v>0</v>
      </c>
      <c r="S49" s="373"/>
      <c r="T49" s="374"/>
      <c r="U49" s="524">
        <f>S49+T49-V49</f>
        <v>-76343.55</v>
      </c>
      <c r="V49" s="520">
        <f>I49+J49+K49</f>
        <v>76343.55</v>
      </c>
      <c r="W49" s="524">
        <f>(P49+Q49+R49)*1.055056</f>
        <v>0</v>
      </c>
      <c r="X49" s="520">
        <f>V49-W49</f>
        <v>76343.55</v>
      </c>
      <c r="Y49" s="525">
        <f>AL46+X49</f>
        <v>76343.55</v>
      </c>
    </row>
    <row r="50" spans="3:25" x14ac:dyDescent="0.2">
      <c r="C50" s="387">
        <f t="shared" ref="C50:C79" si="5">C49+1</f>
        <v>42187</v>
      </c>
      <c r="D50" s="388">
        <f t="shared" ref="D50:D79" si="6">($F$24*$H$24)/$G$24</f>
        <v>149288.64774193548</v>
      </c>
      <c r="E50" s="392">
        <f t="shared" ref="E50:E79" si="7">P50+Q50+R50</f>
        <v>0</v>
      </c>
      <c r="F50" s="428">
        <f t="shared" si="0"/>
        <v>0.90615690000000004</v>
      </c>
      <c r="G50" s="390">
        <f t="shared" si="1"/>
        <v>0</v>
      </c>
      <c r="H50" s="391">
        <f t="shared" si="2"/>
        <v>149289.55389883547</v>
      </c>
      <c r="I50" s="324"/>
      <c r="J50" s="325"/>
      <c r="K50" s="325">
        <v>76426.13</v>
      </c>
      <c r="L50" s="319"/>
      <c r="M50" s="320"/>
      <c r="N50" s="320"/>
      <c r="O50" s="320"/>
      <c r="P50" s="392">
        <f t="shared" ref="P50:P79" si="8">L50</f>
        <v>0</v>
      </c>
      <c r="Q50" s="392">
        <f t="shared" si="3"/>
        <v>0</v>
      </c>
      <c r="R50" s="392">
        <f t="shared" si="4"/>
        <v>0</v>
      </c>
      <c r="S50" s="373"/>
      <c r="T50" s="374"/>
      <c r="U50" s="524">
        <f t="shared" ref="U50:U79" si="9">S50+T50-V50</f>
        <v>-76426.13</v>
      </c>
      <c r="V50" s="520">
        <f t="shared" ref="V50:V79" si="10">I50+J50+K50</f>
        <v>76426.13</v>
      </c>
      <c r="W50" s="524">
        <f t="shared" ref="W50:W79" si="11">(P50+Q50+R50)*1.055056</f>
        <v>0</v>
      </c>
      <c r="X50" s="520">
        <f t="shared" ref="X50:X79" si="12">V50-W50</f>
        <v>76426.13</v>
      </c>
      <c r="Y50" s="525">
        <f>Y49+X50</f>
        <v>152769.68</v>
      </c>
    </row>
    <row r="51" spans="3:25" x14ac:dyDescent="0.2">
      <c r="C51" s="387">
        <f t="shared" si="5"/>
        <v>42188</v>
      </c>
      <c r="D51" s="388">
        <f t="shared" si="6"/>
        <v>149288.64774193548</v>
      </c>
      <c r="E51" s="392">
        <f t="shared" si="7"/>
        <v>0</v>
      </c>
      <c r="F51" s="428">
        <f t="shared" si="0"/>
        <v>0.90615690000000004</v>
      </c>
      <c r="G51" s="390">
        <f t="shared" si="1"/>
        <v>0</v>
      </c>
      <c r="H51" s="391">
        <f t="shared" si="2"/>
        <v>149289.55389883547</v>
      </c>
      <c r="I51" s="324"/>
      <c r="J51" s="325"/>
      <c r="K51" s="325">
        <v>76101.142999999996</v>
      </c>
      <c r="L51" s="317"/>
      <c r="M51" s="318"/>
      <c r="N51" s="318"/>
      <c r="O51" s="318"/>
      <c r="P51" s="392">
        <f t="shared" si="8"/>
        <v>0</v>
      </c>
      <c r="Q51" s="392">
        <f t="shared" si="3"/>
        <v>0</v>
      </c>
      <c r="R51" s="392">
        <f t="shared" si="4"/>
        <v>0</v>
      </c>
      <c r="S51" s="373"/>
      <c r="T51" s="374"/>
      <c r="U51" s="524">
        <f t="shared" si="9"/>
        <v>-76101.142999999996</v>
      </c>
      <c r="V51" s="520">
        <f t="shared" si="10"/>
        <v>76101.142999999996</v>
      </c>
      <c r="W51" s="524">
        <f t="shared" si="11"/>
        <v>0</v>
      </c>
      <c r="X51" s="520">
        <f t="shared" si="12"/>
        <v>76101.142999999996</v>
      </c>
      <c r="Y51" s="525">
        <f t="shared" ref="Y51:Y79" si="13">Y50+X51</f>
        <v>228870.82299999997</v>
      </c>
    </row>
    <row r="52" spans="3:25" x14ac:dyDescent="0.2">
      <c r="C52" s="387">
        <f t="shared" si="5"/>
        <v>42189</v>
      </c>
      <c r="D52" s="388">
        <f t="shared" si="6"/>
        <v>149288.64774193548</v>
      </c>
      <c r="E52" s="392">
        <f t="shared" si="7"/>
        <v>0</v>
      </c>
      <c r="F52" s="428">
        <f t="shared" si="0"/>
        <v>0.90615690000000004</v>
      </c>
      <c r="G52" s="390">
        <f t="shared" si="1"/>
        <v>0</v>
      </c>
      <c r="H52" s="391">
        <f t="shared" si="2"/>
        <v>149289.55389883547</v>
      </c>
      <c r="I52" s="324"/>
      <c r="J52" s="325"/>
      <c r="K52" s="325">
        <v>75458.039999999994</v>
      </c>
      <c r="L52" s="319"/>
      <c r="M52" s="320"/>
      <c r="N52" s="320"/>
      <c r="O52" s="320"/>
      <c r="P52" s="392">
        <f t="shared" si="8"/>
        <v>0</v>
      </c>
      <c r="Q52" s="392">
        <f t="shared" si="3"/>
        <v>0</v>
      </c>
      <c r="R52" s="392">
        <f t="shared" si="4"/>
        <v>0</v>
      </c>
      <c r="S52" s="373"/>
      <c r="T52" s="374"/>
      <c r="U52" s="524">
        <f t="shared" si="9"/>
        <v>-75458.039999999994</v>
      </c>
      <c r="V52" s="520">
        <f t="shared" si="10"/>
        <v>75458.039999999994</v>
      </c>
      <c r="W52" s="524">
        <f t="shared" si="11"/>
        <v>0</v>
      </c>
      <c r="X52" s="520">
        <f t="shared" si="12"/>
        <v>75458.039999999994</v>
      </c>
      <c r="Y52" s="525">
        <f t="shared" si="13"/>
        <v>304328.86299999995</v>
      </c>
    </row>
    <row r="53" spans="3:25" x14ac:dyDescent="0.2">
      <c r="C53" s="387">
        <f t="shared" si="5"/>
        <v>42190</v>
      </c>
      <c r="D53" s="388">
        <f t="shared" si="6"/>
        <v>149288.64774193548</v>
      </c>
      <c r="E53" s="392">
        <f t="shared" si="7"/>
        <v>0</v>
      </c>
      <c r="F53" s="428">
        <f t="shared" si="0"/>
        <v>0.90615690000000004</v>
      </c>
      <c r="G53" s="390">
        <f t="shared" si="1"/>
        <v>0</v>
      </c>
      <c r="H53" s="391">
        <f t="shared" si="2"/>
        <v>149289.55389883547</v>
      </c>
      <c r="I53" s="324"/>
      <c r="J53" s="325"/>
      <c r="K53" s="325">
        <v>74737.2</v>
      </c>
      <c r="L53" s="317"/>
      <c r="M53" s="318"/>
      <c r="N53" s="318"/>
      <c r="O53" s="318"/>
      <c r="P53" s="392">
        <f t="shared" si="8"/>
        <v>0</v>
      </c>
      <c r="Q53" s="392">
        <f t="shared" si="3"/>
        <v>0</v>
      </c>
      <c r="R53" s="392">
        <f t="shared" si="4"/>
        <v>0</v>
      </c>
      <c r="S53" s="373"/>
      <c r="T53" s="374"/>
      <c r="U53" s="524">
        <f t="shared" si="9"/>
        <v>-74737.2</v>
      </c>
      <c r="V53" s="520">
        <f t="shared" si="10"/>
        <v>74737.2</v>
      </c>
      <c r="W53" s="524">
        <f t="shared" si="11"/>
        <v>0</v>
      </c>
      <c r="X53" s="520">
        <f t="shared" si="12"/>
        <v>74737.2</v>
      </c>
      <c r="Y53" s="525">
        <f t="shared" si="13"/>
        <v>379066.06299999997</v>
      </c>
    </row>
    <row r="54" spans="3:25" x14ac:dyDescent="0.2">
      <c r="C54" s="387">
        <f t="shared" si="5"/>
        <v>42191</v>
      </c>
      <c r="D54" s="388">
        <f t="shared" si="6"/>
        <v>149288.64774193548</v>
      </c>
      <c r="E54" s="392">
        <f t="shared" si="7"/>
        <v>0</v>
      </c>
      <c r="F54" s="428">
        <f t="shared" si="0"/>
        <v>0.90615690000000004</v>
      </c>
      <c r="G54" s="390">
        <f t="shared" si="1"/>
        <v>0</v>
      </c>
      <c r="H54" s="391">
        <f t="shared" si="2"/>
        <v>149289.55389883547</v>
      </c>
      <c r="I54" s="324"/>
      <c r="J54" s="325"/>
      <c r="K54" s="325">
        <v>58445.51</v>
      </c>
      <c r="L54" s="319"/>
      <c r="M54" s="320"/>
      <c r="N54" s="320"/>
      <c r="O54" s="320"/>
      <c r="P54" s="392">
        <f t="shared" si="8"/>
        <v>0</v>
      </c>
      <c r="Q54" s="392">
        <f t="shared" si="3"/>
        <v>0</v>
      </c>
      <c r="R54" s="392">
        <f t="shared" si="4"/>
        <v>0</v>
      </c>
      <c r="S54" s="373"/>
      <c r="T54" s="374"/>
      <c r="U54" s="524">
        <f t="shared" si="9"/>
        <v>-58445.51</v>
      </c>
      <c r="V54" s="520">
        <f t="shared" si="10"/>
        <v>58445.51</v>
      </c>
      <c r="W54" s="524">
        <f t="shared" si="11"/>
        <v>0</v>
      </c>
      <c r="X54" s="520">
        <f t="shared" si="12"/>
        <v>58445.51</v>
      </c>
      <c r="Y54" s="525">
        <f t="shared" si="13"/>
        <v>437511.57299999997</v>
      </c>
    </row>
    <row r="55" spans="3:25" x14ac:dyDescent="0.2">
      <c r="C55" s="387">
        <f t="shared" si="5"/>
        <v>42192</v>
      </c>
      <c r="D55" s="388">
        <f t="shared" si="6"/>
        <v>149288.64774193548</v>
      </c>
      <c r="E55" s="392">
        <f t="shared" si="7"/>
        <v>0</v>
      </c>
      <c r="F55" s="428">
        <f t="shared" si="0"/>
        <v>0.90615690000000004</v>
      </c>
      <c r="G55" s="390">
        <f t="shared" si="1"/>
        <v>0</v>
      </c>
      <c r="H55" s="391">
        <f t="shared" si="2"/>
        <v>149289.55389883547</v>
      </c>
      <c r="I55" s="324"/>
      <c r="J55" s="325"/>
      <c r="K55" s="325">
        <v>75331.83</v>
      </c>
      <c r="L55" s="317"/>
      <c r="M55" s="318"/>
      <c r="N55" s="318"/>
      <c r="O55" s="318"/>
      <c r="P55" s="392">
        <f t="shared" si="8"/>
        <v>0</v>
      </c>
      <c r="Q55" s="392">
        <f t="shared" si="3"/>
        <v>0</v>
      </c>
      <c r="R55" s="392">
        <f t="shared" si="4"/>
        <v>0</v>
      </c>
      <c r="S55" s="373"/>
      <c r="T55" s="374"/>
      <c r="U55" s="524">
        <f t="shared" si="9"/>
        <v>-75331.83</v>
      </c>
      <c r="V55" s="520">
        <f t="shared" si="10"/>
        <v>75331.83</v>
      </c>
      <c r="W55" s="524">
        <f t="shared" si="11"/>
        <v>0</v>
      </c>
      <c r="X55" s="520">
        <f t="shared" si="12"/>
        <v>75331.83</v>
      </c>
      <c r="Y55" s="525">
        <f t="shared" si="13"/>
        <v>512843.40299999999</v>
      </c>
    </row>
    <row r="56" spans="3:25" x14ac:dyDescent="0.2">
      <c r="C56" s="387">
        <f t="shared" si="5"/>
        <v>42193</v>
      </c>
      <c r="D56" s="388">
        <f t="shared" si="6"/>
        <v>149288.64774193548</v>
      </c>
      <c r="E56" s="392">
        <f t="shared" si="7"/>
        <v>0</v>
      </c>
      <c r="F56" s="428">
        <f t="shared" si="0"/>
        <v>0.90615690000000004</v>
      </c>
      <c r="G56" s="390">
        <f t="shared" si="1"/>
        <v>0</v>
      </c>
      <c r="H56" s="391">
        <f t="shared" si="2"/>
        <v>149289.55389883547</v>
      </c>
      <c r="I56" s="324"/>
      <c r="J56" s="325"/>
      <c r="K56" s="325">
        <v>75394.59</v>
      </c>
      <c r="L56" s="319"/>
      <c r="M56" s="320"/>
      <c r="N56" s="320"/>
      <c r="O56" s="320"/>
      <c r="P56" s="392">
        <f t="shared" si="8"/>
        <v>0</v>
      </c>
      <c r="Q56" s="392">
        <f t="shared" si="3"/>
        <v>0</v>
      </c>
      <c r="R56" s="392">
        <f t="shared" si="4"/>
        <v>0</v>
      </c>
      <c r="S56" s="373"/>
      <c r="T56" s="374"/>
      <c r="U56" s="524">
        <f t="shared" si="9"/>
        <v>-75394.59</v>
      </c>
      <c r="V56" s="520">
        <f t="shared" si="10"/>
        <v>75394.59</v>
      </c>
      <c r="W56" s="524">
        <f t="shared" si="11"/>
        <v>0</v>
      </c>
      <c r="X56" s="520">
        <f t="shared" si="12"/>
        <v>75394.59</v>
      </c>
      <c r="Y56" s="525">
        <f t="shared" si="13"/>
        <v>588237.99300000002</v>
      </c>
    </row>
    <row r="57" spans="3:25" x14ac:dyDescent="0.2">
      <c r="C57" s="387">
        <f t="shared" si="5"/>
        <v>42194</v>
      </c>
      <c r="D57" s="388">
        <f t="shared" si="6"/>
        <v>149288.64774193548</v>
      </c>
      <c r="E57" s="392">
        <f t="shared" si="7"/>
        <v>0</v>
      </c>
      <c r="F57" s="428">
        <f t="shared" si="0"/>
        <v>0.90615690000000004</v>
      </c>
      <c r="G57" s="390">
        <f t="shared" si="1"/>
        <v>0</v>
      </c>
      <c r="H57" s="391">
        <f t="shared" si="2"/>
        <v>149289.55389883547</v>
      </c>
      <c r="I57" s="324"/>
      <c r="J57" s="325"/>
      <c r="K57" s="325">
        <v>75701.38</v>
      </c>
      <c r="L57" s="317"/>
      <c r="M57" s="318"/>
      <c r="N57" s="318"/>
      <c r="O57" s="318"/>
      <c r="P57" s="392">
        <f t="shared" si="8"/>
        <v>0</v>
      </c>
      <c r="Q57" s="392">
        <f t="shared" si="3"/>
        <v>0</v>
      </c>
      <c r="R57" s="392">
        <f t="shared" si="4"/>
        <v>0</v>
      </c>
      <c r="S57" s="373"/>
      <c r="T57" s="374"/>
      <c r="U57" s="524">
        <f t="shared" si="9"/>
        <v>-75701.38</v>
      </c>
      <c r="V57" s="520">
        <f t="shared" si="10"/>
        <v>75701.38</v>
      </c>
      <c r="W57" s="524">
        <f t="shared" si="11"/>
        <v>0</v>
      </c>
      <c r="X57" s="520">
        <f t="shared" si="12"/>
        <v>75701.38</v>
      </c>
      <c r="Y57" s="525">
        <f t="shared" si="13"/>
        <v>663939.37300000002</v>
      </c>
    </row>
    <row r="58" spans="3:25" x14ac:dyDescent="0.2">
      <c r="C58" s="387">
        <f t="shared" si="5"/>
        <v>42195</v>
      </c>
      <c r="D58" s="388">
        <f t="shared" si="6"/>
        <v>149288.64774193548</v>
      </c>
      <c r="E58" s="392">
        <f t="shared" si="7"/>
        <v>0</v>
      </c>
      <c r="F58" s="428">
        <f t="shared" si="0"/>
        <v>0.90615690000000004</v>
      </c>
      <c r="G58" s="390">
        <f t="shared" si="1"/>
        <v>0</v>
      </c>
      <c r="H58" s="391">
        <f t="shared" si="2"/>
        <v>149289.55389883547</v>
      </c>
      <c r="I58" s="324"/>
      <c r="J58" s="325"/>
      <c r="K58" s="325">
        <v>75655.789999999994</v>
      </c>
      <c r="L58" s="319"/>
      <c r="M58" s="320"/>
      <c r="N58" s="320"/>
      <c r="O58" s="320"/>
      <c r="P58" s="392">
        <f t="shared" si="8"/>
        <v>0</v>
      </c>
      <c r="Q58" s="392">
        <f t="shared" si="3"/>
        <v>0</v>
      </c>
      <c r="R58" s="392">
        <f t="shared" si="4"/>
        <v>0</v>
      </c>
      <c r="S58" s="373"/>
      <c r="T58" s="374"/>
      <c r="U58" s="524">
        <f t="shared" si="9"/>
        <v>-75655.789999999994</v>
      </c>
      <c r="V58" s="520">
        <f t="shared" si="10"/>
        <v>75655.789999999994</v>
      </c>
      <c r="W58" s="524">
        <f t="shared" si="11"/>
        <v>0</v>
      </c>
      <c r="X58" s="520">
        <f t="shared" si="12"/>
        <v>75655.789999999994</v>
      </c>
      <c r="Y58" s="525">
        <f t="shared" si="13"/>
        <v>739595.16300000006</v>
      </c>
    </row>
    <row r="59" spans="3:25" x14ac:dyDescent="0.2">
      <c r="C59" s="387">
        <f t="shared" si="5"/>
        <v>42196</v>
      </c>
      <c r="D59" s="388">
        <f t="shared" si="6"/>
        <v>149288.64774193548</v>
      </c>
      <c r="E59" s="392">
        <f t="shared" si="7"/>
        <v>0</v>
      </c>
      <c r="F59" s="428">
        <f t="shared" si="0"/>
        <v>0.90615690000000004</v>
      </c>
      <c r="G59" s="390">
        <f t="shared" si="1"/>
        <v>0</v>
      </c>
      <c r="H59" s="391">
        <f t="shared" si="2"/>
        <v>149289.55389883547</v>
      </c>
      <c r="I59" s="324"/>
      <c r="J59" s="325"/>
      <c r="K59" s="325">
        <v>75997.06</v>
      </c>
      <c r="L59" s="317"/>
      <c r="M59" s="318"/>
      <c r="N59" s="318"/>
      <c r="O59" s="318"/>
      <c r="P59" s="392">
        <f t="shared" si="8"/>
        <v>0</v>
      </c>
      <c r="Q59" s="392">
        <f t="shared" si="3"/>
        <v>0</v>
      </c>
      <c r="R59" s="392">
        <f t="shared" si="4"/>
        <v>0</v>
      </c>
      <c r="S59" s="373"/>
      <c r="T59" s="374"/>
      <c r="U59" s="524">
        <f t="shared" si="9"/>
        <v>-75997.06</v>
      </c>
      <c r="V59" s="520">
        <f t="shared" si="10"/>
        <v>75997.06</v>
      </c>
      <c r="W59" s="524">
        <f t="shared" si="11"/>
        <v>0</v>
      </c>
      <c r="X59" s="520">
        <f t="shared" si="12"/>
        <v>75997.06</v>
      </c>
      <c r="Y59" s="525">
        <f t="shared" si="13"/>
        <v>815592.223</v>
      </c>
    </row>
    <row r="60" spans="3:25" x14ac:dyDescent="0.2">
      <c r="C60" s="387">
        <f t="shared" si="5"/>
        <v>42197</v>
      </c>
      <c r="D60" s="388">
        <f t="shared" si="6"/>
        <v>149288.64774193548</v>
      </c>
      <c r="E60" s="392">
        <f t="shared" si="7"/>
        <v>0</v>
      </c>
      <c r="F60" s="428">
        <f t="shared" si="0"/>
        <v>0.90615690000000004</v>
      </c>
      <c r="G60" s="390">
        <f t="shared" si="1"/>
        <v>0</v>
      </c>
      <c r="H60" s="391">
        <f t="shared" si="2"/>
        <v>149289.55389883547</v>
      </c>
      <c r="I60" s="324"/>
      <c r="J60" s="325"/>
      <c r="K60" s="325">
        <v>75530.740000000005</v>
      </c>
      <c r="L60" s="319"/>
      <c r="M60" s="320"/>
      <c r="N60" s="320"/>
      <c r="O60" s="320"/>
      <c r="P60" s="392">
        <f t="shared" si="8"/>
        <v>0</v>
      </c>
      <c r="Q60" s="392">
        <f t="shared" si="3"/>
        <v>0</v>
      </c>
      <c r="R60" s="392">
        <f t="shared" si="4"/>
        <v>0</v>
      </c>
      <c r="S60" s="373"/>
      <c r="T60" s="374"/>
      <c r="U60" s="524">
        <f t="shared" si="9"/>
        <v>-75530.740000000005</v>
      </c>
      <c r="V60" s="520">
        <f t="shared" si="10"/>
        <v>75530.740000000005</v>
      </c>
      <c r="W60" s="524">
        <f t="shared" si="11"/>
        <v>0</v>
      </c>
      <c r="X60" s="520">
        <f t="shared" si="12"/>
        <v>75530.740000000005</v>
      </c>
      <c r="Y60" s="525">
        <f t="shared" si="13"/>
        <v>891122.96299999999</v>
      </c>
    </row>
    <row r="61" spans="3:25" x14ac:dyDescent="0.2">
      <c r="C61" s="387">
        <f t="shared" si="5"/>
        <v>42198</v>
      </c>
      <c r="D61" s="388">
        <f t="shared" si="6"/>
        <v>149288.64774193548</v>
      </c>
      <c r="E61" s="392">
        <f t="shared" si="7"/>
        <v>0</v>
      </c>
      <c r="F61" s="428">
        <f t="shared" si="0"/>
        <v>0.90615690000000004</v>
      </c>
      <c r="G61" s="390">
        <f t="shared" si="1"/>
        <v>0</v>
      </c>
      <c r="H61" s="391">
        <f t="shared" si="2"/>
        <v>149289.55389883547</v>
      </c>
      <c r="I61" s="324"/>
      <c r="J61" s="325"/>
      <c r="K61" s="325">
        <v>76941.08</v>
      </c>
      <c r="L61" s="317"/>
      <c r="M61" s="318"/>
      <c r="N61" s="318"/>
      <c r="O61" s="318"/>
      <c r="P61" s="392">
        <f t="shared" si="8"/>
        <v>0</v>
      </c>
      <c r="Q61" s="392">
        <f t="shared" si="3"/>
        <v>0</v>
      </c>
      <c r="R61" s="392">
        <f t="shared" si="4"/>
        <v>0</v>
      </c>
      <c r="S61" s="373"/>
      <c r="T61" s="374"/>
      <c r="U61" s="524">
        <f t="shared" si="9"/>
        <v>-76941.08</v>
      </c>
      <c r="V61" s="520">
        <f t="shared" si="10"/>
        <v>76941.08</v>
      </c>
      <c r="W61" s="524">
        <f t="shared" si="11"/>
        <v>0</v>
      </c>
      <c r="X61" s="520">
        <f t="shared" si="12"/>
        <v>76941.08</v>
      </c>
      <c r="Y61" s="525">
        <f t="shared" si="13"/>
        <v>968064.04299999995</v>
      </c>
    </row>
    <row r="62" spans="3:25" x14ac:dyDescent="0.2">
      <c r="C62" s="387">
        <f t="shared" si="5"/>
        <v>42199</v>
      </c>
      <c r="D62" s="388">
        <f t="shared" si="6"/>
        <v>149288.64774193548</v>
      </c>
      <c r="E62" s="392">
        <f t="shared" si="7"/>
        <v>0</v>
      </c>
      <c r="F62" s="428">
        <f t="shared" si="0"/>
        <v>0.90615690000000004</v>
      </c>
      <c r="G62" s="390">
        <f t="shared" si="1"/>
        <v>0</v>
      </c>
      <c r="H62" s="391">
        <f t="shared" si="2"/>
        <v>149289.55389883547</v>
      </c>
      <c r="I62" s="324"/>
      <c r="J62" s="325"/>
      <c r="K62" s="325">
        <v>76938.001999999993</v>
      </c>
      <c r="L62" s="319"/>
      <c r="M62" s="320"/>
      <c r="N62" s="320"/>
      <c r="O62" s="320"/>
      <c r="P62" s="392">
        <f t="shared" si="8"/>
        <v>0</v>
      </c>
      <c r="Q62" s="392">
        <f t="shared" si="3"/>
        <v>0</v>
      </c>
      <c r="R62" s="392">
        <f t="shared" si="4"/>
        <v>0</v>
      </c>
      <c r="S62" s="373"/>
      <c r="T62" s="374"/>
      <c r="U62" s="524">
        <f t="shared" si="9"/>
        <v>-76938.001999999993</v>
      </c>
      <c r="V62" s="520">
        <f t="shared" si="10"/>
        <v>76938.001999999993</v>
      </c>
      <c r="W62" s="524">
        <f t="shared" si="11"/>
        <v>0</v>
      </c>
      <c r="X62" s="520">
        <f t="shared" si="12"/>
        <v>76938.001999999993</v>
      </c>
      <c r="Y62" s="525">
        <f t="shared" si="13"/>
        <v>1045002.0449999999</v>
      </c>
    </row>
    <row r="63" spans="3:25" x14ac:dyDescent="0.2">
      <c r="C63" s="387">
        <f t="shared" si="5"/>
        <v>42200</v>
      </c>
      <c r="D63" s="388">
        <f t="shared" si="6"/>
        <v>149288.64774193548</v>
      </c>
      <c r="E63" s="392">
        <f t="shared" si="7"/>
        <v>0</v>
      </c>
      <c r="F63" s="428">
        <f t="shared" si="0"/>
        <v>0.90615690000000004</v>
      </c>
      <c r="G63" s="390">
        <f t="shared" si="1"/>
        <v>0</v>
      </c>
      <c r="H63" s="391">
        <f t="shared" si="2"/>
        <v>149289.55389883547</v>
      </c>
      <c r="I63" s="324"/>
      <c r="J63" s="325"/>
      <c r="K63" s="325">
        <v>76351.63</v>
      </c>
      <c r="L63" s="317"/>
      <c r="M63" s="318"/>
      <c r="N63" s="318"/>
      <c r="O63" s="318"/>
      <c r="P63" s="392">
        <f t="shared" si="8"/>
        <v>0</v>
      </c>
      <c r="Q63" s="392">
        <f t="shared" si="3"/>
        <v>0</v>
      </c>
      <c r="R63" s="392">
        <f t="shared" si="4"/>
        <v>0</v>
      </c>
      <c r="S63" s="373"/>
      <c r="T63" s="374"/>
      <c r="U63" s="524">
        <f t="shared" si="9"/>
        <v>-76351.63</v>
      </c>
      <c r="V63" s="520">
        <f t="shared" si="10"/>
        <v>76351.63</v>
      </c>
      <c r="W63" s="524">
        <f t="shared" si="11"/>
        <v>0</v>
      </c>
      <c r="X63" s="520">
        <f t="shared" si="12"/>
        <v>76351.63</v>
      </c>
      <c r="Y63" s="525">
        <f t="shared" si="13"/>
        <v>1121353.6749999998</v>
      </c>
    </row>
    <row r="64" spans="3:25" x14ac:dyDescent="0.2">
      <c r="C64" s="387">
        <f t="shared" si="5"/>
        <v>42201</v>
      </c>
      <c r="D64" s="388">
        <f t="shared" si="6"/>
        <v>149288.64774193548</v>
      </c>
      <c r="E64" s="392">
        <f t="shared" si="7"/>
        <v>0</v>
      </c>
      <c r="F64" s="428">
        <f t="shared" si="0"/>
        <v>0.90615690000000004</v>
      </c>
      <c r="G64" s="390">
        <f t="shared" si="1"/>
        <v>0</v>
      </c>
      <c r="H64" s="391">
        <f t="shared" si="2"/>
        <v>149289.55389883547</v>
      </c>
      <c r="I64" s="324"/>
      <c r="J64" s="325"/>
      <c r="K64" s="325">
        <v>76619.91</v>
      </c>
      <c r="L64" s="319"/>
      <c r="M64" s="320"/>
      <c r="N64" s="320"/>
      <c r="O64" s="320"/>
      <c r="P64" s="392">
        <f t="shared" si="8"/>
        <v>0</v>
      </c>
      <c r="Q64" s="392">
        <f t="shared" si="3"/>
        <v>0</v>
      </c>
      <c r="R64" s="392">
        <f t="shared" si="4"/>
        <v>0</v>
      </c>
      <c r="S64" s="373"/>
      <c r="T64" s="374"/>
      <c r="U64" s="524">
        <f t="shared" si="9"/>
        <v>-76619.91</v>
      </c>
      <c r="V64" s="520">
        <f t="shared" si="10"/>
        <v>76619.91</v>
      </c>
      <c r="W64" s="524">
        <f t="shared" si="11"/>
        <v>0</v>
      </c>
      <c r="X64" s="520">
        <f t="shared" si="12"/>
        <v>76619.91</v>
      </c>
      <c r="Y64" s="525">
        <f t="shared" si="13"/>
        <v>1197973.5849999997</v>
      </c>
    </row>
    <row r="65" spans="3:38" x14ac:dyDescent="0.2">
      <c r="C65" s="387">
        <f t="shared" si="5"/>
        <v>42202</v>
      </c>
      <c r="D65" s="388">
        <f t="shared" si="6"/>
        <v>149288.64774193548</v>
      </c>
      <c r="E65" s="392">
        <f t="shared" si="7"/>
        <v>0</v>
      </c>
      <c r="F65" s="428">
        <f t="shared" si="0"/>
        <v>0.90615690000000004</v>
      </c>
      <c r="G65" s="390">
        <f t="shared" si="1"/>
        <v>0</v>
      </c>
      <c r="H65" s="391">
        <f t="shared" si="2"/>
        <v>149289.55389883547</v>
      </c>
      <c r="I65" s="324"/>
      <c r="J65" s="325"/>
      <c r="K65" s="325">
        <v>73713.91</v>
      </c>
      <c r="L65" s="317"/>
      <c r="M65" s="318"/>
      <c r="N65" s="318"/>
      <c r="O65" s="318"/>
      <c r="P65" s="392">
        <f t="shared" si="8"/>
        <v>0</v>
      </c>
      <c r="Q65" s="392">
        <f t="shared" si="3"/>
        <v>0</v>
      </c>
      <c r="R65" s="392">
        <f t="shared" si="4"/>
        <v>0</v>
      </c>
      <c r="S65" s="373"/>
      <c r="T65" s="374"/>
      <c r="U65" s="524">
        <f t="shared" si="9"/>
        <v>-73713.91</v>
      </c>
      <c r="V65" s="520">
        <f t="shared" si="10"/>
        <v>73713.91</v>
      </c>
      <c r="W65" s="524">
        <f t="shared" si="11"/>
        <v>0</v>
      </c>
      <c r="X65" s="520">
        <f t="shared" si="12"/>
        <v>73713.91</v>
      </c>
      <c r="Y65" s="525">
        <f t="shared" si="13"/>
        <v>1271687.4949999996</v>
      </c>
    </row>
    <row r="66" spans="3:38" x14ac:dyDescent="0.2">
      <c r="C66" s="387">
        <f t="shared" si="5"/>
        <v>42203</v>
      </c>
      <c r="D66" s="388">
        <f t="shared" si="6"/>
        <v>149288.64774193548</v>
      </c>
      <c r="E66" s="392">
        <f t="shared" si="7"/>
        <v>0</v>
      </c>
      <c r="F66" s="428">
        <f t="shared" si="0"/>
        <v>0.90615690000000004</v>
      </c>
      <c r="G66" s="390">
        <f t="shared" si="1"/>
        <v>0</v>
      </c>
      <c r="H66" s="391">
        <f t="shared" si="2"/>
        <v>149289.55389883547</v>
      </c>
      <c r="I66" s="324"/>
      <c r="J66" s="325"/>
      <c r="K66" s="325">
        <v>73424.08</v>
      </c>
      <c r="L66" s="319"/>
      <c r="M66" s="320"/>
      <c r="N66" s="320"/>
      <c r="O66" s="320"/>
      <c r="P66" s="392">
        <f t="shared" si="8"/>
        <v>0</v>
      </c>
      <c r="Q66" s="392">
        <f t="shared" si="3"/>
        <v>0</v>
      </c>
      <c r="R66" s="392">
        <f t="shared" si="4"/>
        <v>0</v>
      </c>
      <c r="S66" s="373"/>
      <c r="T66" s="374"/>
      <c r="U66" s="524">
        <f t="shared" si="9"/>
        <v>-73424.08</v>
      </c>
      <c r="V66" s="520">
        <f t="shared" si="10"/>
        <v>73424.08</v>
      </c>
      <c r="W66" s="524">
        <f t="shared" si="11"/>
        <v>0</v>
      </c>
      <c r="X66" s="520">
        <f t="shared" si="12"/>
        <v>73424.08</v>
      </c>
      <c r="Y66" s="525">
        <f t="shared" si="13"/>
        <v>1345111.5749999997</v>
      </c>
    </row>
    <row r="67" spans="3:38" x14ac:dyDescent="0.2">
      <c r="C67" s="387">
        <f t="shared" si="5"/>
        <v>42204</v>
      </c>
      <c r="D67" s="388">
        <f t="shared" si="6"/>
        <v>149288.64774193548</v>
      </c>
      <c r="E67" s="392">
        <f t="shared" si="7"/>
        <v>0</v>
      </c>
      <c r="F67" s="428">
        <f t="shared" si="0"/>
        <v>0.90615690000000004</v>
      </c>
      <c r="G67" s="390">
        <f t="shared" si="1"/>
        <v>0</v>
      </c>
      <c r="H67" s="391">
        <f t="shared" si="2"/>
        <v>149289.55389883547</v>
      </c>
      <c r="I67" s="324"/>
      <c r="J67" s="325"/>
      <c r="K67" s="325">
        <v>73440.63</v>
      </c>
      <c r="L67" s="317"/>
      <c r="M67" s="318"/>
      <c r="N67" s="318"/>
      <c r="O67" s="318"/>
      <c r="P67" s="392">
        <f t="shared" si="8"/>
        <v>0</v>
      </c>
      <c r="Q67" s="392">
        <f t="shared" si="3"/>
        <v>0</v>
      </c>
      <c r="R67" s="392">
        <f t="shared" si="4"/>
        <v>0</v>
      </c>
      <c r="S67" s="373"/>
      <c r="T67" s="374"/>
      <c r="U67" s="524">
        <f t="shared" si="9"/>
        <v>-73440.63</v>
      </c>
      <c r="V67" s="520">
        <f t="shared" si="10"/>
        <v>73440.63</v>
      </c>
      <c r="W67" s="524">
        <f t="shared" si="11"/>
        <v>0</v>
      </c>
      <c r="X67" s="520">
        <f t="shared" si="12"/>
        <v>73440.63</v>
      </c>
      <c r="Y67" s="525">
        <f t="shared" si="13"/>
        <v>1418552.2049999996</v>
      </c>
    </row>
    <row r="68" spans="3:38" x14ac:dyDescent="0.2">
      <c r="C68" s="387">
        <f t="shared" si="5"/>
        <v>42205</v>
      </c>
      <c r="D68" s="388">
        <f t="shared" si="6"/>
        <v>149288.64774193548</v>
      </c>
      <c r="E68" s="392">
        <f t="shared" si="7"/>
        <v>0</v>
      </c>
      <c r="F68" s="428">
        <f t="shared" si="0"/>
        <v>0.90615690000000004</v>
      </c>
      <c r="G68" s="390">
        <f t="shared" si="1"/>
        <v>0</v>
      </c>
      <c r="H68" s="391">
        <f t="shared" si="2"/>
        <v>149289.55389883547</v>
      </c>
      <c r="I68" s="324"/>
      <c r="J68" s="325"/>
      <c r="K68" s="325">
        <v>75494.460000000006</v>
      </c>
      <c r="L68" s="319"/>
      <c r="M68" s="320"/>
      <c r="N68" s="320"/>
      <c r="O68" s="320"/>
      <c r="P68" s="392">
        <f t="shared" si="8"/>
        <v>0</v>
      </c>
      <c r="Q68" s="392">
        <f t="shared" si="3"/>
        <v>0</v>
      </c>
      <c r="R68" s="392">
        <f t="shared" si="4"/>
        <v>0</v>
      </c>
      <c r="S68" s="373"/>
      <c r="T68" s="374"/>
      <c r="U68" s="524">
        <f t="shared" si="9"/>
        <v>-75494.460000000006</v>
      </c>
      <c r="V68" s="520">
        <f t="shared" si="10"/>
        <v>75494.460000000006</v>
      </c>
      <c r="W68" s="524">
        <f t="shared" si="11"/>
        <v>0</v>
      </c>
      <c r="X68" s="520">
        <f t="shared" si="12"/>
        <v>75494.460000000006</v>
      </c>
      <c r="Y68" s="525">
        <f t="shared" si="13"/>
        <v>1494046.6649999996</v>
      </c>
    </row>
    <row r="69" spans="3:38" x14ac:dyDescent="0.2">
      <c r="C69" s="387">
        <f t="shared" si="5"/>
        <v>42206</v>
      </c>
      <c r="D69" s="388">
        <f t="shared" si="6"/>
        <v>149288.64774193548</v>
      </c>
      <c r="E69" s="392">
        <f t="shared" si="7"/>
        <v>0</v>
      </c>
      <c r="F69" s="428">
        <f t="shared" si="0"/>
        <v>0.90615690000000004</v>
      </c>
      <c r="G69" s="390">
        <f t="shared" si="1"/>
        <v>0</v>
      </c>
      <c r="H69" s="391">
        <f t="shared" si="2"/>
        <v>149289.55389883547</v>
      </c>
      <c r="I69" s="324"/>
      <c r="J69" s="325"/>
      <c r="K69" s="325">
        <v>75627.22</v>
      </c>
      <c r="L69" s="317"/>
      <c r="M69" s="318"/>
      <c r="N69" s="318"/>
      <c r="O69" s="318"/>
      <c r="P69" s="392">
        <f t="shared" si="8"/>
        <v>0</v>
      </c>
      <c r="Q69" s="392">
        <f t="shared" si="3"/>
        <v>0</v>
      </c>
      <c r="R69" s="392">
        <f t="shared" si="4"/>
        <v>0</v>
      </c>
      <c r="S69" s="373"/>
      <c r="T69" s="374"/>
      <c r="U69" s="524">
        <f t="shared" si="9"/>
        <v>-75627.22</v>
      </c>
      <c r="V69" s="520">
        <f t="shared" si="10"/>
        <v>75627.22</v>
      </c>
      <c r="W69" s="524">
        <f t="shared" si="11"/>
        <v>0</v>
      </c>
      <c r="X69" s="520">
        <f t="shared" si="12"/>
        <v>75627.22</v>
      </c>
      <c r="Y69" s="525">
        <f t="shared" si="13"/>
        <v>1569673.8849999995</v>
      </c>
    </row>
    <row r="70" spans="3:38" x14ac:dyDescent="0.2">
      <c r="C70" s="387">
        <f t="shared" si="5"/>
        <v>42207</v>
      </c>
      <c r="D70" s="388">
        <f t="shared" si="6"/>
        <v>149288.64774193548</v>
      </c>
      <c r="E70" s="392">
        <f t="shared" si="7"/>
        <v>0</v>
      </c>
      <c r="F70" s="428">
        <f t="shared" si="0"/>
        <v>0.90615690000000004</v>
      </c>
      <c r="G70" s="390">
        <f t="shared" si="1"/>
        <v>0</v>
      </c>
      <c r="H70" s="391">
        <f t="shared" si="2"/>
        <v>149289.55389883547</v>
      </c>
      <c r="I70" s="324"/>
      <c r="J70" s="325"/>
      <c r="K70" s="325">
        <v>75221.055999999997</v>
      </c>
      <c r="L70" s="319"/>
      <c r="M70" s="320"/>
      <c r="N70" s="320"/>
      <c r="O70" s="320"/>
      <c r="P70" s="392">
        <f t="shared" si="8"/>
        <v>0</v>
      </c>
      <c r="Q70" s="392">
        <f t="shared" si="3"/>
        <v>0</v>
      </c>
      <c r="R70" s="392">
        <f t="shared" si="4"/>
        <v>0</v>
      </c>
      <c r="S70" s="373"/>
      <c r="T70" s="374"/>
      <c r="U70" s="524">
        <f t="shared" si="9"/>
        <v>-75221.055999999997</v>
      </c>
      <c r="V70" s="520">
        <f t="shared" si="10"/>
        <v>75221.055999999997</v>
      </c>
      <c r="W70" s="524">
        <f t="shared" si="11"/>
        <v>0</v>
      </c>
      <c r="X70" s="520">
        <f t="shared" si="12"/>
        <v>75221.055999999997</v>
      </c>
      <c r="Y70" s="525">
        <f t="shared" si="13"/>
        <v>1644894.9409999996</v>
      </c>
    </row>
    <row r="71" spans="3:38" x14ac:dyDescent="0.2">
      <c r="C71" s="387">
        <f t="shared" si="5"/>
        <v>42208</v>
      </c>
      <c r="D71" s="388">
        <f t="shared" si="6"/>
        <v>149288.64774193548</v>
      </c>
      <c r="E71" s="392">
        <f t="shared" si="7"/>
        <v>0</v>
      </c>
      <c r="F71" s="428">
        <f t="shared" si="0"/>
        <v>0.90615690000000004</v>
      </c>
      <c r="G71" s="390">
        <f t="shared" si="1"/>
        <v>0</v>
      </c>
      <c r="H71" s="391">
        <f t="shared" si="2"/>
        <v>149289.55389883547</v>
      </c>
      <c r="I71" s="324"/>
      <c r="J71" s="325"/>
      <c r="K71" s="325">
        <v>73017.119999999995</v>
      </c>
      <c r="L71" s="317"/>
      <c r="M71" s="318"/>
      <c r="N71" s="318"/>
      <c r="O71" s="318"/>
      <c r="P71" s="392">
        <f t="shared" si="8"/>
        <v>0</v>
      </c>
      <c r="Q71" s="392">
        <f t="shared" si="3"/>
        <v>0</v>
      </c>
      <c r="R71" s="392">
        <f t="shared" si="4"/>
        <v>0</v>
      </c>
      <c r="S71" s="373"/>
      <c r="T71" s="374"/>
      <c r="U71" s="524">
        <f t="shared" si="9"/>
        <v>-73017.119999999995</v>
      </c>
      <c r="V71" s="520">
        <f t="shared" si="10"/>
        <v>73017.119999999995</v>
      </c>
      <c r="W71" s="524">
        <f t="shared" si="11"/>
        <v>0</v>
      </c>
      <c r="X71" s="520">
        <f t="shared" si="12"/>
        <v>73017.119999999995</v>
      </c>
      <c r="Y71" s="525">
        <f t="shared" si="13"/>
        <v>1717912.0609999998</v>
      </c>
    </row>
    <row r="72" spans="3:38" x14ac:dyDescent="0.2">
      <c r="C72" s="387">
        <f t="shared" si="5"/>
        <v>42209</v>
      </c>
      <c r="D72" s="388">
        <f t="shared" si="6"/>
        <v>149288.64774193548</v>
      </c>
      <c r="E72" s="392">
        <f t="shared" si="7"/>
        <v>0</v>
      </c>
      <c r="F72" s="428">
        <f t="shared" si="0"/>
        <v>0.90615690000000004</v>
      </c>
      <c r="G72" s="390">
        <f t="shared" si="1"/>
        <v>0</v>
      </c>
      <c r="H72" s="391">
        <f t="shared" si="2"/>
        <v>149289.55389883547</v>
      </c>
      <c r="I72" s="324"/>
      <c r="J72" s="325"/>
      <c r="K72" s="325">
        <v>74866.039999999994</v>
      </c>
      <c r="L72" s="319"/>
      <c r="M72" s="320"/>
      <c r="N72" s="320"/>
      <c r="O72" s="320"/>
      <c r="P72" s="392">
        <f t="shared" si="8"/>
        <v>0</v>
      </c>
      <c r="Q72" s="392">
        <f t="shared" si="3"/>
        <v>0</v>
      </c>
      <c r="R72" s="392">
        <f t="shared" si="4"/>
        <v>0</v>
      </c>
      <c r="S72" s="373"/>
      <c r="T72" s="374"/>
      <c r="U72" s="524">
        <f t="shared" si="9"/>
        <v>-74866.039999999994</v>
      </c>
      <c r="V72" s="520">
        <f t="shared" si="10"/>
        <v>74866.039999999994</v>
      </c>
      <c r="W72" s="524">
        <f t="shared" si="11"/>
        <v>0</v>
      </c>
      <c r="X72" s="520">
        <f t="shared" si="12"/>
        <v>74866.039999999994</v>
      </c>
      <c r="Y72" s="525">
        <f t="shared" si="13"/>
        <v>1792778.1009999998</v>
      </c>
    </row>
    <row r="73" spans="3:38" x14ac:dyDescent="0.2">
      <c r="C73" s="387">
        <f t="shared" si="5"/>
        <v>42210</v>
      </c>
      <c r="D73" s="388">
        <f t="shared" si="6"/>
        <v>149288.64774193548</v>
      </c>
      <c r="E73" s="392">
        <f t="shared" si="7"/>
        <v>0</v>
      </c>
      <c r="F73" s="428">
        <f t="shared" si="0"/>
        <v>0.90615690000000004</v>
      </c>
      <c r="G73" s="390">
        <f t="shared" si="1"/>
        <v>0</v>
      </c>
      <c r="H73" s="391">
        <f t="shared" si="2"/>
        <v>149289.55389883547</v>
      </c>
      <c r="I73" s="324"/>
      <c r="J73" s="325"/>
      <c r="K73" s="325">
        <v>76099.759999999995</v>
      </c>
      <c r="L73" s="317"/>
      <c r="M73" s="318"/>
      <c r="N73" s="318"/>
      <c r="O73" s="318"/>
      <c r="P73" s="392">
        <f t="shared" si="8"/>
        <v>0</v>
      </c>
      <c r="Q73" s="392">
        <f t="shared" si="3"/>
        <v>0</v>
      </c>
      <c r="R73" s="392">
        <f t="shared" si="4"/>
        <v>0</v>
      </c>
      <c r="S73" s="373"/>
      <c r="T73" s="374"/>
      <c r="U73" s="524">
        <f t="shared" si="9"/>
        <v>-76099.759999999995</v>
      </c>
      <c r="V73" s="520">
        <f t="shared" si="10"/>
        <v>76099.759999999995</v>
      </c>
      <c r="W73" s="524">
        <f t="shared" si="11"/>
        <v>0</v>
      </c>
      <c r="X73" s="520">
        <f t="shared" si="12"/>
        <v>76099.759999999995</v>
      </c>
      <c r="Y73" s="525">
        <f t="shared" si="13"/>
        <v>1868877.8609999998</v>
      </c>
    </row>
    <row r="74" spans="3:38" x14ac:dyDescent="0.2">
      <c r="C74" s="387">
        <f t="shared" si="5"/>
        <v>42211</v>
      </c>
      <c r="D74" s="388">
        <f t="shared" si="6"/>
        <v>149288.64774193548</v>
      </c>
      <c r="E74" s="392">
        <f t="shared" si="7"/>
        <v>0</v>
      </c>
      <c r="F74" s="428">
        <f t="shared" si="0"/>
        <v>0.90615690000000004</v>
      </c>
      <c r="G74" s="390">
        <f t="shared" si="1"/>
        <v>0</v>
      </c>
      <c r="H74" s="391">
        <f t="shared" si="2"/>
        <v>149289.55389883547</v>
      </c>
      <c r="I74" s="324"/>
      <c r="J74" s="325"/>
      <c r="K74" s="325">
        <v>74240.45</v>
      </c>
      <c r="L74" s="319"/>
      <c r="M74" s="320"/>
      <c r="N74" s="320"/>
      <c r="O74" s="320"/>
      <c r="P74" s="392">
        <f t="shared" si="8"/>
        <v>0</v>
      </c>
      <c r="Q74" s="392">
        <f t="shared" si="3"/>
        <v>0</v>
      </c>
      <c r="R74" s="392">
        <f t="shared" si="4"/>
        <v>0</v>
      </c>
      <c r="S74" s="373"/>
      <c r="T74" s="374"/>
      <c r="U74" s="524">
        <f t="shared" si="9"/>
        <v>-74240.45</v>
      </c>
      <c r="V74" s="520">
        <f t="shared" si="10"/>
        <v>74240.45</v>
      </c>
      <c r="W74" s="524">
        <f t="shared" si="11"/>
        <v>0</v>
      </c>
      <c r="X74" s="520">
        <f t="shared" si="12"/>
        <v>74240.45</v>
      </c>
      <c r="Y74" s="525">
        <f t="shared" si="13"/>
        <v>1943118.3109999998</v>
      </c>
    </row>
    <row r="75" spans="3:38" x14ac:dyDescent="0.2">
      <c r="C75" s="387">
        <f t="shared" si="5"/>
        <v>42212</v>
      </c>
      <c r="D75" s="388">
        <f t="shared" si="6"/>
        <v>149288.64774193548</v>
      </c>
      <c r="E75" s="392">
        <f t="shared" si="7"/>
        <v>0</v>
      </c>
      <c r="F75" s="428">
        <f t="shared" si="0"/>
        <v>0.90615690000000004</v>
      </c>
      <c r="G75" s="390">
        <f t="shared" si="1"/>
        <v>0</v>
      </c>
      <c r="H75" s="391">
        <f t="shared" si="2"/>
        <v>149289.55389883547</v>
      </c>
      <c r="I75" s="324"/>
      <c r="J75" s="325"/>
      <c r="K75" s="325">
        <v>76459.023438000004</v>
      </c>
      <c r="L75" s="317"/>
      <c r="M75" s="318"/>
      <c r="N75" s="318"/>
      <c r="O75" s="318"/>
      <c r="P75" s="392">
        <f t="shared" si="8"/>
        <v>0</v>
      </c>
      <c r="Q75" s="392">
        <f t="shared" si="3"/>
        <v>0</v>
      </c>
      <c r="R75" s="392">
        <f t="shared" si="4"/>
        <v>0</v>
      </c>
      <c r="S75" s="373"/>
      <c r="T75" s="374"/>
      <c r="U75" s="524">
        <f t="shared" si="9"/>
        <v>-76459.023438000004</v>
      </c>
      <c r="V75" s="520">
        <f t="shared" si="10"/>
        <v>76459.023438000004</v>
      </c>
      <c r="W75" s="524">
        <f t="shared" si="11"/>
        <v>0</v>
      </c>
      <c r="X75" s="520">
        <f t="shared" si="12"/>
        <v>76459.023438000004</v>
      </c>
      <c r="Y75" s="525">
        <f t="shared" si="13"/>
        <v>2019577.3344379999</v>
      </c>
    </row>
    <row r="76" spans="3:38" x14ac:dyDescent="0.2">
      <c r="C76" s="387">
        <f t="shared" si="5"/>
        <v>42213</v>
      </c>
      <c r="D76" s="388">
        <f t="shared" si="6"/>
        <v>149288.64774193548</v>
      </c>
      <c r="E76" s="392">
        <f t="shared" si="7"/>
        <v>0</v>
      </c>
      <c r="F76" s="428">
        <f t="shared" si="0"/>
        <v>0.90615690000000004</v>
      </c>
      <c r="G76" s="390">
        <f t="shared" si="1"/>
        <v>0</v>
      </c>
      <c r="H76" s="391">
        <f t="shared" si="2"/>
        <v>149289.55389883547</v>
      </c>
      <c r="I76" s="324"/>
      <c r="J76" s="325"/>
      <c r="K76" s="325">
        <v>76145.25</v>
      </c>
      <c r="L76" s="319"/>
      <c r="M76" s="320"/>
      <c r="N76" s="320"/>
      <c r="O76" s="320"/>
      <c r="P76" s="392">
        <f t="shared" si="8"/>
        <v>0</v>
      </c>
      <c r="Q76" s="392">
        <f t="shared" si="3"/>
        <v>0</v>
      </c>
      <c r="R76" s="392">
        <f t="shared" si="4"/>
        <v>0</v>
      </c>
      <c r="S76" s="373"/>
      <c r="T76" s="374"/>
      <c r="U76" s="524">
        <f t="shared" si="9"/>
        <v>-76145.25</v>
      </c>
      <c r="V76" s="520">
        <f t="shared" si="10"/>
        <v>76145.25</v>
      </c>
      <c r="W76" s="524">
        <f t="shared" si="11"/>
        <v>0</v>
      </c>
      <c r="X76" s="520">
        <f t="shared" si="12"/>
        <v>76145.25</v>
      </c>
      <c r="Y76" s="525">
        <f t="shared" si="13"/>
        <v>2095722.5844379999</v>
      </c>
    </row>
    <row r="77" spans="3:38" x14ac:dyDescent="0.2">
      <c r="C77" s="387">
        <f t="shared" si="5"/>
        <v>42214</v>
      </c>
      <c r="D77" s="388">
        <f t="shared" si="6"/>
        <v>149288.64774193548</v>
      </c>
      <c r="E77" s="392">
        <f t="shared" si="7"/>
        <v>0</v>
      </c>
      <c r="F77" s="428">
        <f t="shared" si="0"/>
        <v>0.90615690000000004</v>
      </c>
      <c r="G77" s="390">
        <f t="shared" si="1"/>
        <v>0</v>
      </c>
      <c r="H77" s="391">
        <f t="shared" si="2"/>
        <v>149289.55389883547</v>
      </c>
      <c r="I77" s="324"/>
      <c r="J77" s="325"/>
      <c r="K77" s="325">
        <v>76125.703125</v>
      </c>
      <c r="L77" s="317"/>
      <c r="M77" s="318"/>
      <c r="N77" s="318"/>
      <c r="O77" s="318"/>
      <c r="P77" s="392">
        <f t="shared" si="8"/>
        <v>0</v>
      </c>
      <c r="Q77" s="392">
        <f t="shared" si="3"/>
        <v>0</v>
      </c>
      <c r="R77" s="392">
        <f t="shared" si="4"/>
        <v>0</v>
      </c>
      <c r="S77" s="373"/>
      <c r="T77" s="374"/>
      <c r="U77" s="524">
        <f t="shared" si="9"/>
        <v>-76125.703125</v>
      </c>
      <c r="V77" s="520">
        <f t="shared" si="10"/>
        <v>76125.703125</v>
      </c>
      <c r="W77" s="524">
        <f t="shared" si="11"/>
        <v>0</v>
      </c>
      <c r="X77" s="520">
        <f t="shared" si="12"/>
        <v>76125.703125</v>
      </c>
      <c r="Y77" s="525">
        <f t="shared" si="13"/>
        <v>2171848.2875629999</v>
      </c>
    </row>
    <row r="78" spans="3:38" x14ac:dyDescent="0.2">
      <c r="C78" s="387">
        <f t="shared" si="5"/>
        <v>42215</v>
      </c>
      <c r="D78" s="388">
        <f t="shared" si="6"/>
        <v>149288.64774193548</v>
      </c>
      <c r="E78" s="392">
        <f t="shared" si="7"/>
        <v>0</v>
      </c>
      <c r="F78" s="428">
        <f t="shared" si="0"/>
        <v>0.90615690000000004</v>
      </c>
      <c r="G78" s="390">
        <f t="shared" si="1"/>
        <v>0</v>
      </c>
      <c r="H78" s="391">
        <f t="shared" si="2"/>
        <v>149289.55389883547</v>
      </c>
      <c r="I78" s="324"/>
      <c r="J78" s="325"/>
      <c r="K78" s="325">
        <v>76173.898438000004</v>
      </c>
      <c r="L78" s="319"/>
      <c r="M78" s="320"/>
      <c r="N78" s="320"/>
      <c r="O78" s="320"/>
      <c r="P78" s="392">
        <f t="shared" si="8"/>
        <v>0</v>
      </c>
      <c r="Q78" s="392">
        <f t="shared" si="3"/>
        <v>0</v>
      </c>
      <c r="R78" s="392">
        <f t="shared" si="4"/>
        <v>0</v>
      </c>
      <c r="S78" s="373"/>
      <c r="T78" s="374"/>
      <c r="U78" s="524">
        <f t="shared" si="9"/>
        <v>-76173.898438000004</v>
      </c>
      <c r="V78" s="520">
        <f t="shared" si="10"/>
        <v>76173.898438000004</v>
      </c>
      <c r="W78" s="524">
        <f t="shared" si="11"/>
        <v>0</v>
      </c>
      <c r="X78" s="520">
        <f t="shared" si="12"/>
        <v>76173.898438000004</v>
      </c>
      <c r="Y78" s="525">
        <f t="shared" si="13"/>
        <v>2248022.186001</v>
      </c>
    </row>
    <row r="79" spans="3:38" ht="15" thickBot="1" x14ac:dyDescent="0.25">
      <c r="C79" s="393">
        <f t="shared" si="5"/>
        <v>42216</v>
      </c>
      <c r="D79" s="394">
        <f t="shared" si="6"/>
        <v>149288.64774193548</v>
      </c>
      <c r="E79" s="395">
        <f t="shared" si="7"/>
        <v>0</v>
      </c>
      <c r="F79" s="429">
        <f t="shared" si="0"/>
        <v>0.90615690000000004</v>
      </c>
      <c r="G79" s="396">
        <f t="shared" si="1"/>
        <v>0</v>
      </c>
      <c r="H79" s="397">
        <f t="shared" si="2"/>
        <v>149289.55389883547</v>
      </c>
      <c r="I79" s="326"/>
      <c r="J79" s="327"/>
      <c r="K79" s="327">
        <v>76607.71875</v>
      </c>
      <c r="L79" s="321"/>
      <c r="M79" s="322"/>
      <c r="N79" s="322"/>
      <c r="O79" s="322"/>
      <c r="P79" s="395">
        <f t="shared" si="8"/>
        <v>0</v>
      </c>
      <c r="Q79" s="395">
        <f t="shared" si="3"/>
        <v>0</v>
      </c>
      <c r="R79" s="395">
        <f t="shared" si="4"/>
        <v>0</v>
      </c>
      <c r="S79" s="375"/>
      <c r="T79" s="376"/>
      <c r="U79" s="521">
        <f t="shared" si="9"/>
        <v>-76607.71875</v>
      </c>
      <c r="V79" s="528">
        <f t="shared" si="10"/>
        <v>76607.71875</v>
      </c>
      <c r="W79" s="521">
        <f t="shared" si="11"/>
        <v>0</v>
      </c>
      <c r="X79" s="528">
        <f t="shared" si="12"/>
        <v>76607.71875</v>
      </c>
      <c r="Y79" s="529">
        <f t="shared" si="13"/>
        <v>2324629.904751</v>
      </c>
    </row>
    <row r="80" spans="3:38" ht="15" thickBot="1" x14ac:dyDescent="0.25">
      <c r="C80" s="398"/>
      <c r="D80" s="399">
        <f>SUM(D49:D79)</f>
        <v>4627948.0800000019</v>
      </c>
      <c r="E80" s="400">
        <f>SUM(E49:E79)</f>
        <v>0</v>
      </c>
      <c r="F80" s="400"/>
      <c r="G80" s="401">
        <f>SUM(G49:G79)</f>
        <v>0</v>
      </c>
      <c r="H80" s="399">
        <f>SUM(H49:H79)</f>
        <v>4627976.1708639013</v>
      </c>
      <c r="I80" s="432">
        <f>SUM(I49:I79)</f>
        <v>0</v>
      </c>
      <c r="J80" s="432">
        <f t="shared" ref="J80:R80" si="14">SUM(J49:J79)</f>
        <v>0</v>
      </c>
      <c r="K80" s="432">
        <f t="shared" si="14"/>
        <v>2324629.904751</v>
      </c>
      <c r="L80" s="432">
        <f t="shared" si="14"/>
        <v>0</v>
      </c>
      <c r="M80" s="432">
        <f t="shared" si="14"/>
        <v>0</v>
      </c>
      <c r="N80" s="432">
        <f t="shared" si="14"/>
        <v>0</v>
      </c>
      <c r="O80" s="432">
        <f t="shared" si="14"/>
        <v>0</v>
      </c>
      <c r="P80" s="432">
        <f t="shared" si="14"/>
        <v>0</v>
      </c>
      <c r="Q80" s="432">
        <f t="shared" si="14"/>
        <v>0</v>
      </c>
      <c r="R80" s="432">
        <f t="shared" si="14"/>
        <v>0</v>
      </c>
      <c r="U80" s="1"/>
      <c r="V80" s="328">
        <f>SUM(V49:V79)</f>
        <v>2324629.904751</v>
      </c>
      <c r="W80" s="328">
        <f>SUM(W49:W79)</f>
        <v>0</v>
      </c>
      <c r="X80" s="328">
        <f>SUM(X49:X79)</f>
        <v>2324629.904751</v>
      </c>
      <c r="Y80" s="323">
        <f>Y79</f>
        <v>2324629.904751</v>
      </c>
      <c r="AL80" s="361">
        <f>Y79</f>
        <v>2324629.904751</v>
      </c>
    </row>
    <row r="81" spans="2:14" ht="15" customHeight="1" x14ac:dyDescent="0.2">
      <c r="B81"/>
      <c r="C81"/>
      <c r="D81"/>
      <c r="E81"/>
      <c r="F81"/>
      <c r="G81"/>
      <c r="H81"/>
      <c r="I81"/>
      <c r="J81"/>
      <c r="K81"/>
      <c r="L81"/>
      <c r="N81" s="2"/>
    </row>
  </sheetData>
  <mergeCells count="13">
    <mergeCell ref="C10:D10"/>
    <mergeCell ref="C11:D11"/>
    <mergeCell ref="C3:M4"/>
    <mergeCell ref="C5:M5"/>
    <mergeCell ref="C6:M6"/>
    <mergeCell ref="G7:H7"/>
    <mergeCell ref="C9:D9"/>
    <mergeCell ref="D23:E23"/>
    <mergeCell ref="D24:E24"/>
    <mergeCell ref="C28:F28"/>
    <mergeCell ref="C39:F39"/>
    <mergeCell ref="S47:Y47"/>
    <mergeCell ref="L47:R47"/>
  </mergeCells>
  <conditionalFormatting sqref="L49:O79">
    <cfRule type="cellIs" dxfId="147" priority="1" stopIfTrue="1" operator="equal">
      <formula>0</formula>
    </cfRule>
  </conditionalFormatting>
  <pageMargins left="0.7" right="0.7" top="0.75" bottom="0.75" header="0.3" footer="0.3"/>
  <pageSetup orientation="portrait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L81"/>
  <sheetViews>
    <sheetView workbookViewId="0"/>
  </sheetViews>
  <sheetFormatPr baseColWidth="10" defaultColWidth="11" defaultRowHeight="14.25" x14ac:dyDescent="0.2"/>
  <cols>
    <col min="1" max="1" width="11" style="2"/>
    <col min="2" max="2" width="3.875" style="2" bestFit="1" customWidth="1"/>
    <col min="3" max="3" width="16.125" style="2" customWidth="1"/>
    <col min="4" max="4" width="12.375" style="2" bestFit="1" customWidth="1"/>
    <col min="5" max="5" width="10.875" style="2" bestFit="1" customWidth="1"/>
    <col min="6" max="6" width="17.125" style="2" bestFit="1" customWidth="1"/>
    <col min="7" max="7" width="13.125" style="2" bestFit="1" customWidth="1"/>
    <col min="8" max="8" width="12.125" style="2" bestFit="1" customWidth="1"/>
    <col min="9" max="9" width="11.125" style="2" bestFit="1" customWidth="1"/>
    <col min="10" max="10" width="11.875" style="2" bestFit="1" customWidth="1"/>
    <col min="11" max="11" width="11.625" style="2" bestFit="1" customWidth="1"/>
    <col min="12" max="12" width="12.125" style="2" customWidth="1"/>
    <col min="13" max="13" width="10.5" style="2" bestFit="1" customWidth="1"/>
    <col min="14" max="14" width="9" style="1" customWidth="1"/>
    <col min="15" max="15" width="10.375" style="2" customWidth="1"/>
    <col min="16" max="25" width="11" style="2"/>
    <col min="26" max="32" width="10.875" customWidth="1"/>
    <col min="33" max="16384" width="11" style="2"/>
  </cols>
  <sheetData>
    <row r="2" spans="2:25" x14ac:dyDescent="0.2"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2:25" ht="15" customHeight="1" x14ac:dyDescent="0.2">
      <c r="B3" s="1"/>
      <c r="C3" s="2254" t="s">
        <v>0</v>
      </c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</row>
    <row r="4" spans="2:25" ht="15" customHeight="1" x14ac:dyDescent="0.2"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</row>
    <row r="5" spans="2:25" x14ac:dyDescent="0.2">
      <c r="B5" s="1"/>
      <c r="C5" s="2257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</row>
    <row r="6" spans="2:25" x14ac:dyDescent="0.2">
      <c r="B6" s="1"/>
      <c r="C6" s="2257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</row>
    <row r="7" spans="2:25" x14ac:dyDescent="0.2">
      <c r="B7" s="1"/>
      <c r="C7" s="516"/>
      <c r="D7" s="516"/>
      <c r="E7" s="516"/>
      <c r="F7" s="516"/>
      <c r="G7" s="2271">
        <v>42217</v>
      </c>
      <c r="H7" s="2257"/>
      <c r="I7" s="516"/>
      <c r="J7" s="516"/>
      <c r="K7" s="516"/>
      <c r="L7" s="516"/>
      <c r="M7" s="516"/>
      <c r="N7" s="18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2:25" x14ac:dyDescent="0.2">
      <c r="B8" s="1"/>
      <c r="C8" s="516"/>
      <c r="D8" s="516"/>
      <c r="E8" s="516"/>
      <c r="F8" s="516"/>
      <c r="G8" s="516"/>
      <c r="H8" s="516"/>
      <c r="I8" s="516"/>
      <c r="J8" s="516"/>
      <c r="K8" s="516"/>
      <c r="L8" s="516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2:25" ht="25.5" x14ac:dyDescent="0.2">
      <c r="B9" s="1"/>
      <c r="C9" s="2272" t="s">
        <v>6</v>
      </c>
      <c r="D9" s="2272"/>
      <c r="E9" s="517" t="s">
        <v>94</v>
      </c>
      <c r="F9" s="517" t="s">
        <v>126</v>
      </c>
      <c r="G9" s="410" t="s">
        <v>133</v>
      </c>
      <c r="H9" s="517" t="s">
        <v>127</v>
      </c>
      <c r="I9" s="517" t="s">
        <v>128</v>
      </c>
      <c r="J9" s="516"/>
      <c r="K9" s="516"/>
      <c r="L9" s="516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2:25" x14ac:dyDescent="0.2">
      <c r="B10" s="1"/>
      <c r="C10" s="2270" t="s">
        <v>131</v>
      </c>
      <c r="D10" s="2270"/>
      <c r="E10" s="433">
        <f>IF(C15=0,D15,C15)</f>
        <v>4627948.08</v>
      </c>
      <c r="F10" s="407">
        <f>E10*0.16</f>
        <v>740471.69280000008</v>
      </c>
      <c r="G10" s="407">
        <f>E10+F10</f>
        <v>5368419.7728000004</v>
      </c>
      <c r="H10" s="408"/>
      <c r="I10" s="411">
        <v>19</v>
      </c>
      <c r="J10" s="516"/>
      <c r="K10" s="516"/>
      <c r="L10" s="516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2:25" x14ac:dyDescent="0.2">
      <c r="B11" s="1"/>
      <c r="C11" s="2270" t="s">
        <v>132</v>
      </c>
      <c r="D11" s="2270"/>
      <c r="E11" s="433">
        <f>IF(C16=0,D16,C16)</f>
        <v>2047.42</v>
      </c>
      <c r="F11" s="407">
        <f>E11*0.16</f>
        <v>327.5872</v>
      </c>
      <c r="G11" s="407">
        <f>E11+F11</f>
        <v>2375.0072</v>
      </c>
      <c r="H11" s="408"/>
      <c r="I11" s="411">
        <v>19</v>
      </c>
      <c r="J11" s="516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2:25" x14ac:dyDescent="0.2">
      <c r="B12" s="1"/>
      <c r="C12" s="516"/>
      <c r="D12" s="516"/>
      <c r="E12" s="516"/>
      <c r="F12" s="516"/>
      <c r="G12" s="516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2:25" ht="15" thickBot="1" x14ac:dyDescent="0.25">
      <c r="B13" s="1"/>
      <c r="C13" s="516"/>
      <c r="D13" s="516"/>
      <c r="E13" s="516"/>
      <c r="F13" s="516"/>
      <c r="G13" s="516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2:25" x14ac:dyDescent="0.2">
      <c r="B14" s="1"/>
      <c r="C14" s="440" t="s">
        <v>155</v>
      </c>
      <c r="D14" s="441" t="s">
        <v>156</v>
      </c>
      <c r="E14" s="442" t="s">
        <v>112</v>
      </c>
      <c r="F14" s="516"/>
      <c r="G14" s="516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2:25" x14ac:dyDescent="0.2">
      <c r="B15" s="1"/>
      <c r="C15" s="443">
        <v>4627948.08</v>
      </c>
      <c r="D15" s="444">
        <f>D80</f>
        <v>4627948.0800000019</v>
      </c>
      <c r="E15" s="445">
        <f>C15-D15</f>
        <v>0</v>
      </c>
      <c r="F15" s="516"/>
      <c r="G15" s="516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2:25" ht="15" thickBot="1" x14ac:dyDescent="0.25">
      <c r="B16" s="1"/>
      <c r="C16" s="446">
        <v>2047.42</v>
      </c>
      <c r="D16" s="447">
        <f>ROUND(G80,2)</f>
        <v>0</v>
      </c>
      <c r="E16" s="448">
        <f>C16-D16</f>
        <v>2047.42</v>
      </c>
      <c r="F16" s="516"/>
      <c r="G16" s="516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2:25" x14ac:dyDescent="0.2">
      <c r="B17" s="1"/>
      <c r="C17" s="516"/>
      <c r="D17" s="516"/>
      <c r="E17" s="516"/>
      <c r="F17" s="516"/>
      <c r="G17" s="516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2:25" x14ac:dyDescent="0.2">
      <c r="B18" s="1"/>
      <c r="C18" s="516"/>
      <c r="D18" s="516"/>
      <c r="E18" s="516"/>
      <c r="F18" s="516"/>
      <c r="G18" s="516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2:25" x14ac:dyDescent="0.2">
      <c r="B19" s="1"/>
      <c r="C19" s="516"/>
      <c r="D19" s="516"/>
      <c r="E19" s="516"/>
      <c r="F19" s="516"/>
      <c r="G19" s="516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2:25" x14ac:dyDescent="0.2">
      <c r="B20" s="1"/>
      <c r="C20" s="516"/>
      <c r="D20" s="516"/>
      <c r="E20" s="516"/>
      <c r="F20" s="516"/>
      <c r="G20" s="516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2:25" x14ac:dyDescent="0.2">
      <c r="B21" s="1"/>
      <c r="C21" s="516"/>
      <c r="D21" s="516"/>
      <c r="E21" s="516"/>
      <c r="F21" s="516"/>
      <c r="G21" s="516"/>
      <c r="H21" s="1"/>
      <c r="I21" s="1"/>
      <c r="J21" s="1"/>
      <c r="K21" s="1"/>
      <c r="L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2:25" ht="15" thickBot="1" x14ac:dyDescent="0.25">
      <c r="B22" s="1"/>
      <c r="C22" s="419" t="s">
        <v>137</v>
      </c>
      <c r="D22" s="516" t="s">
        <v>138</v>
      </c>
      <c r="E22" s="516"/>
      <c r="F22" s="516" t="s">
        <v>139</v>
      </c>
      <c r="G22" s="516" t="s">
        <v>157</v>
      </c>
      <c r="H22" s="516" t="s">
        <v>143</v>
      </c>
      <c r="I22" s="516" t="s">
        <v>142</v>
      </c>
      <c r="J22" s="516" t="s">
        <v>141</v>
      </c>
      <c r="K22" s="516" t="s">
        <v>140</v>
      </c>
      <c r="L22" s="516" t="s">
        <v>144</v>
      </c>
      <c r="M22" s="516" t="s">
        <v>146</v>
      </c>
      <c r="N22" s="516"/>
      <c r="O22" s="516"/>
      <c r="P22" s="516"/>
      <c r="Q22" s="1"/>
      <c r="R22" s="1"/>
      <c r="S22" s="1"/>
      <c r="T22" s="1"/>
      <c r="U22" s="1"/>
      <c r="V22" s="1"/>
      <c r="W22" s="1"/>
      <c r="X22" s="1"/>
      <c r="Y22" s="1"/>
    </row>
    <row r="23" spans="2:25" ht="36.75" customHeight="1" x14ac:dyDescent="0.2">
      <c r="B23" s="1"/>
      <c r="C23" s="402" t="s">
        <v>134</v>
      </c>
      <c r="D23" s="2261" t="s">
        <v>135</v>
      </c>
      <c r="E23" s="2262"/>
      <c r="F23" s="518" t="s">
        <v>136</v>
      </c>
      <c r="G23" s="461" t="s">
        <v>153</v>
      </c>
      <c r="H23" s="420" t="s">
        <v>129</v>
      </c>
      <c r="I23" s="403" t="s">
        <v>130</v>
      </c>
      <c r="J23" s="422"/>
      <c r="K23" s="422"/>
      <c r="L23" s="422"/>
      <c r="M23" s="404" t="s">
        <v>158</v>
      </c>
      <c r="N23" s="516"/>
      <c r="O23" s="516"/>
      <c r="P23" s="516"/>
      <c r="Q23" s="516"/>
      <c r="R23" s="516"/>
      <c r="S23" s="516"/>
      <c r="T23" s="516"/>
      <c r="U23" s="1"/>
      <c r="V23" s="1"/>
      <c r="W23" s="1"/>
      <c r="X23" s="1"/>
      <c r="Y23" s="1"/>
    </row>
    <row r="24" spans="2:25" x14ac:dyDescent="0.2">
      <c r="B24" s="1"/>
      <c r="C24" s="405">
        <v>850</v>
      </c>
      <c r="D24" s="2263">
        <v>850</v>
      </c>
      <c r="E24" s="2264"/>
      <c r="F24" s="418">
        <v>31482640</v>
      </c>
      <c r="G24" s="462">
        <v>31</v>
      </c>
      <c r="H24" s="460">
        <f>VLOOKUP(C47,Tarifas!D4:H303,3)</f>
        <v>0.14699999999999999</v>
      </c>
      <c r="I24" s="424">
        <f>VLOOKUP(C47,Tarifas!D4:H303,5)</f>
        <v>1E-3</v>
      </c>
      <c r="J24" s="421">
        <v>182.5</v>
      </c>
      <c r="K24" s="421">
        <v>201.4</v>
      </c>
      <c r="L24" s="421">
        <f>I11</f>
        <v>19</v>
      </c>
      <c r="M24" s="431">
        <f>E80</f>
        <v>0</v>
      </c>
      <c r="N24" s="430" t="s">
        <v>62</v>
      </c>
      <c r="O24" s="516"/>
      <c r="P24" s="516"/>
      <c r="Q24" s="516"/>
      <c r="R24" s="516"/>
      <c r="S24" s="516"/>
      <c r="T24" s="516"/>
      <c r="U24" s="1"/>
      <c r="V24" s="1"/>
      <c r="W24" s="1"/>
      <c r="X24" s="1"/>
      <c r="Y24" s="1"/>
    </row>
    <row r="25" spans="2:25" x14ac:dyDescent="0.2">
      <c r="B25" s="1"/>
      <c r="C25" s="516"/>
      <c r="D25" s="516"/>
      <c r="E25" s="516"/>
      <c r="F25" s="516"/>
      <c r="G25" s="516"/>
      <c r="H25" s="516"/>
      <c r="I25" s="516"/>
      <c r="J25" s="516"/>
      <c r="K25" s="516"/>
      <c r="L25" s="516"/>
      <c r="M25" s="516"/>
      <c r="N25" s="516"/>
      <c r="O25" s="516"/>
      <c r="P25" s="516"/>
      <c r="Q25" s="516"/>
      <c r="R25" s="516"/>
      <c r="S25" s="1"/>
      <c r="T25" s="1"/>
      <c r="U25" s="1"/>
      <c r="V25" s="1"/>
      <c r="W25" s="1"/>
      <c r="X25" s="1"/>
      <c r="Y25" s="1"/>
    </row>
    <row r="26" spans="2:25" x14ac:dyDescent="0.2">
      <c r="B26" s="1"/>
      <c r="C26" s="516"/>
      <c r="D26" s="516"/>
      <c r="E26" s="516"/>
      <c r="F26" s="516"/>
      <c r="G26" s="516"/>
      <c r="H26" s="516"/>
      <c r="I26" s="516"/>
      <c r="J26" s="516"/>
      <c r="K26" s="516"/>
      <c r="L26" s="516"/>
      <c r="M26" s="516"/>
      <c r="N26" s="516"/>
      <c r="O26" s="516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2:25" x14ac:dyDescent="0.2">
      <c r="B27" s="1"/>
      <c r="C27" s="516"/>
      <c r="D27" s="516"/>
      <c r="E27" s="516"/>
      <c r="F27" s="516"/>
      <c r="G27" s="516"/>
      <c r="H27" s="516"/>
      <c r="I27" s="516"/>
      <c r="J27" s="516"/>
      <c r="K27" s="516"/>
      <c r="L27" s="516"/>
      <c r="M27" s="516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2:25" ht="15" thickBot="1" x14ac:dyDescent="0.25">
      <c r="B28" s="1"/>
      <c r="C28" s="2265" t="s">
        <v>86</v>
      </c>
      <c r="D28" s="2265"/>
      <c r="E28" s="2265"/>
      <c r="F28" s="2265"/>
      <c r="G28" s="519"/>
      <c r="H28" s="334"/>
      <c r="I28" s="334"/>
      <c r="J28" s="334"/>
      <c r="K28" s="519"/>
      <c r="L28" s="336"/>
      <c r="M28" s="336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2:25" ht="22.5" x14ac:dyDescent="0.2">
      <c r="B29" s="1"/>
      <c r="C29" s="337" t="s">
        <v>87</v>
      </c>
      <c r="D29" s="514" t="s">
        <v>88</v>
      </c>
      <c r="E29" s="514" t="s">
        <v>89</v>
      </c>
      <c r="F29" s="514" t="s">
        <v>20</v>
      </c>
      <c r="G29" s="514" t="s">
        <v>160</v>
      </c>
      <c r="H29" s="514" t="s">
        <v>90</v>
      </c>
      <c r="I29" s="514" t="s">
        <v>91</v>
      </c>
      <c r="J29" s="514" t="s">
        <v>92</v>
      </c>
      <c r="K29" s="514" t="s">
        <v>93</v>
      </c>
      <c r="L29" s="514" t="s">
        <v>94</v>
      </c>
      <c r="M29" s="515" t="s">
        <v>95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2:25" x14ac:dyDescent="0.2">
      <c r="B30" s="1"/>
      <c r="C30" s="338"/>
      <c r="D30" s="339">
        <v>1</v>
      </c>
      <c r="E30" s="339" t="s">
        <v>96</v>
      </c>
      <c r="F30" s="340" t="s">
        <v>97</v>
      </c>
      <c r="G30" s="340">
        <v>2201</v>
      </c>
      <c r="H30" s="339">
        <v>20823</v>
      </c>
      <c r="I30" s="341">
        <v>40000</v>
      </c>
      <c r="J30" s="339">
        <v>138.15</v>
      </c>
      <c r="K30" s="342">
        <f>I30/I$35</f>
        <v>4.7058823529411764E-2</v>
      </c>
      <c r="L30" s="343">
        <f>ROUND(K30*E$10,2)</f>
        <v>217785.79</v>
      </c>
      <c r="M30" s="344">
        <f>L30*$I$10</f>
        <v>4137930.0100000002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2:25" x14ac:dyDescent="0.2">
      <c r="B31" s="1"/>
      <c r="C31" s="338"/>
      <c r="D31" s="339">
        <v>2</v>
      </c>
      <c r="E31" s="339" t="s">
        <v>98</v>
      </c>
      <c r="F31" s="340" t="s">
        <v>97</v>
      </c>
      <c r="G31" s="340">
        <v>2201</v>
      </c>
      <c r="H31" s="339">
        <v>20824</v>
      </c>
      <c r="I31" s="341">
        <v>40000</v>
      </c>
      <c r="J31" s="339">
        <v>138.15</v>
      </c>
      <c r="K31" s="342">
        <f>I31/I$35</f>
        <v>4.7058823529411764E-2</v>
      </c>
      <c r="L31" s="343">
        <f>ROUND(K31*E$10,2)</f>
        <v>217785.79</v>
      </c>
      <c r="M31" s="344">
        <f>L31*$I$10</f>
        <v>4137930.0100000002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2:25" x14ac:dyDescent="0.2">
      <c r="B32" s="1"/>
      <c r="C32" s="338"/>
      <c r="D32" s="339">
        <v>1</v>
      </c>
      <c r="E32" s="339" t="s">
        <v>99</v>
      </c>
      <c r="F32" s="340" t="s">
        <v>100</v>
      </c>
      <c r="G32" s="340">
        <v>2230</v>
      </c>
      <c r="H32" s="339">
        <v>22228</v>
      </c>
      <c r="I32" s="341">
        <v>32000</v>
      </c>
      <c r="J32" s="339">
        <v>130.80000000000001</v>
      </c>
      <c r="K32" s="342">
        <f>I32/I$35</f>
        <v>3.7647058823529408E-2</v>
      </c>
      <c r="L32" s="343">
        <f>ROUND(K32*E$10,2)</f>
        <v>174228.63</v>
      </c>
      <c r="M32" s="344">
        <f>L32*$I$10</f>
        <v>3310343.97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2:25" x14ac:dyDescent="0.2">
      <c r="B33" s="1"/>
      <c r="C33" s="338">
        <v>800762390</v>
      </c>
      <c r="D33" s="339">
        <v>1</v>
      </c>
      <c r="E33" s="354" t="s">
        <v>101</v>
      </c>
      <c r="F33" s="463" t="s">
        <v>23</v>
      </c>
      <c r="G33" s="463">
        <v>2044</v>
      </c>
      <c r="H33" s="354">
        <v>591000420</v>
      </c>
      <c r="I33" s="341">
        <v>80000</v>
      </c>
      <c r="J33" s="339"/>
      <c r="K33" s="342">
        <f>I33/I$35</f>
        <v>9.4117647058823528E-2</v>
      </c>
      <c r="L33" s="343">
        <f>ROUND(K33*E$10,2)</f>
        <v>435571.58</v>
      </c>
      <c r="M33" s="344">
        <f>L33*$I$10</f>
        <v>8275860.0200000005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2:25" ht="15" thickBot="1" x14ac:dyDescent="0.25">
      <c r="B34" s="1"/>
      <c r="C34" s="345">
        <v>800642440</v>
      </c>
      <c r="D34" s="346">
        <v>5</v>
      </c>
      <c r="E34" s="347" t="s">
        <v>101</v>
      </c>
      <c r="F34" s="348" t="s">
        <v>159</v>
      </c>
      <c r="G34" s="348">
        <v>2277</v>
      </c>
      <c r="H34" s="347">
        <v>22770</v>
      </c>
      <c r="I34" s="349">
        <f>850000-I30-I31-I32-I33</f>
        <v>658000</v>
      </c>
      <c r="J34" s="346"/>
      <c r="K34" s="350">
        <f>I34/I$35</f>
        <v>0.77411764705882358</v>
      </c>
      <c r="L34" s="351">
        <f>ROUND(K34*E$10,2)</f>
        <v>3582576.28</v>
      </c>
      <c r="M34" s="352">
        <f>L34*$I$10</f>
        <v>68068949.319999993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2:25" x14ac:dyDescent="0.2">
      <c r="B35" s="1"/>
      <c r="C35" s="406">
        <v>3000623</v>
      </c>
      <c r="D35" s="353" t="s">
        <v>102</v>
      </c>
      <c r="E35" s="353"/>
      <c r="F35" s="353"/>
      <c r="G35" s="353"/>
      <c r="H35" s="354"/>
      <c r="I35" s="355">
        <f>SUM(I30:I34)</f>
        <v>850000</v>
      </c>
      <c r="J35" s="353"/>
      <c r="K35" s="356">
        <f>SUM(K30:K34)</f>
        <v>1</v>
      </c>
      <c r="L35" s="357">
        <f>SUM(L30:L34)</f>
        <v>4627948.07</v>
      </c>
      <c r="M35" s="357">
        <f>SUM(M30:M33)</f>
        <v>19862064.010000002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2:25" x14ac:dyDescent="0.2">
      <c r="B36" s="1"/>
      <c r="C36" s="336"/>
      <c r="D36" s="336"/>
      <c r="E36" s="336"/>
      <c r="F36" s="358"/>
      <c r="G36" s="358"/>
      <c r="H36" s="336"/>
      <c r="I36" s="336"/>
      <c r="J36" s="336"/>
      <c r="K36" s="336"/>
      <c r="L36" s="359"/>
      <c r="M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2:25" x14ac:dyDescent="0.2">
      <c r="B37" s="1"/>
      <c r="C37" s="336"/>
      <c r="D37" s="336"/>
      <c r="E37" s="336"/>
      <c r="F37" s="358"/>
      <c r="G37" s="358"/>
      <c r="H37" s="336"/>
      <c r="I37" s="336"/>
      <c r="J37" s="336"/>
      <c r="K37" s="336"/>
      <c r="L37" s="359"/>
      <c r="M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2:25" x14ac:dyDescent="0.2">
      <c r="B38" s="1"/>
      <c r="C38" s="336"/>
      <c r="D38" s="336"/>
      <c r="E38" s="336"/>
      <c r="F38" s="358"/>
      <c r="G38" s="358"/>
      <c r="H38" s="336"/>
      <c r="I38" s="336"/>
      <c r="J38" s="336"/>
      <c r="K38" s="336"/>
      <c r="L38" s="359"/>
      <c r="M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2:25" ht="15" thickBot="1" x14ac:dyDescent="0.25">
      <c r="B39" s="1"/>
      <c r="C39" s="2266" t="s">
        <v>103</v>
      </c>
      <c r="D39" s="2266"/>
      <c r="E39" s="2266"/>
      <c r="F39" s="2266"/>
      <c r="G39" s="519"/>
      <c r="H39" s="334"/>
      <c r="I39" s="334"/>
      <c r="J39" s="334"/>
      <c r="K39" s="336"/>
      <c r="L39" s="336"/>
      <c r="M39" s="360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2:25" ht="22.5" x14ac:dyDescent="0.2">
      <c r="B40" s="1"/>
      <c r="C40" s="337" t="s">
        <v>87</v>
      </c>
      <c r="D40" s="514" t="s">
        <v>88</v>
      </c>
      <c r="E40" s="514" t="s">
        <v>89</v>
      </c>
      <c r="F40" s="514" t="s">
        <v>20</v>
      </c>
      <c r="G40" s="514"/>
      <c r="H40" s="514" t="s">
        <v>90</v>
      </c>
      <c r="I40" s="514" t="s">
        <v>104</v>
      </c>
      <c r="J40" s="514" t="s">
        <v>93</v>
      </c>
      <c r="K40" s="514" t="s">
        <v>92</v>
      </c>
      <c r="L40" s="514" t="s">
        <v>94</v>
      </c>
      <c r="M40" s="515" t="s">
        <v>95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2:25" x14ac:dyDescent="0.2">
      <c r="B41" s="1"/>
      <c r="C41" s="338"/>
      <c r="D41" s="339">
        <v>1</v>
      </c>
      <c r="E41" s="339" t="s">
        <v>96</v>
      </c>
      <c r="F41" s="340" t="s">
        <v>97</v>
      </c>
      <c r="G41" s="340"/>
      <c r="H41" s="339">
        <v>20823</v>
      </c>
      <c r="I41" s="341">
        <f>M80</f>
        <v>0</v>
      </c>
      <c r="J41" s="342" t="e">
        <f>I41/I$45</f>
        <v>#DIV/0!</v>
      </c>
      <c r="K41" s="339">
        <v>138.15</v>
      </c>
      <c r="L41" s="343" t="e">
        <f>ROUND(J41*$E$11,2)</f>
        <v>#DIV/0!</v>
      </c>
      <c r="M41" s="344" t="e">
        <f>L41*L24</f>
        <v>#DIV/0!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2:25" x14ac:dyDescent="0.2">
      <c r="B42" s="1"/>
      <c r="C42" s="338"/>
      <c r="D42" s="339">
        <v>2</v>
      </c>
      <c r="E42" s="339" t="s">
        <v>98</v>
      </c>
      <c r="F42" s="340" t="s">
        <v>97</v>
      </c>
      <c r="G42" s="340"/>
      <c r="H42" s="339">
        <v>20824</v>
      </c>
      <c r="I42" s="341">
        <f>N80</f>
        <v>0</v>
      </c>
      <c r="J42" s="342" t="e">
        <f>I42/I$45</f>
        <v>#DIV/0!</v>
      </c>
      <c r="K42" s="339">
        <v>138.15</v>
      </c>
      <c r="L42" s="343" t="e">
        <f>ROUND(J42*$E$11,2)</f>
        <v>#DIV/0!</v>
      </c>
      <c r="M42" s="344" t="e">
        <f>L42*L25</f>
        <v>#DIV/0!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2:25" x14ac:dyDescent="0.2">
      <c r="B43" s="1"/>
      <c r="C43" s="338"/>
      <c r="D43" s="339">
        <v>1</v>
      </c>
      <c r="E43" s="339" t="s">
        <v>99</v>
      </c>
      <c r="F43" s="340" t="s">
        <v>100</v>
      </c>
      <c r="G43" s="340"/>
      <c r="H43" s="339">
        <v>22228</v>
      </c>
      <c r="I43" s="341">
        <f>O80</f>
        <v>0</v>
      </c>
      <c r="J43" s="342" t="e">
        <f>I43/I$45</f>
        <v>#DIV/0!</v>
      </c>
      <c r="K43" s="339">
        <v>130.80000000000001</v>
      </c>
      <c r="L43" s="343" t="e">
        <f>ROUND(J43*$E$11,2)</f>
        <v>#DIV/0!</v>
      </c>
      <c r="M43" s="344" t="e">
        <f>L43*L26</f>
        <v>#DIV/0!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2:25" ht="15" thickBot="1" x14ac:dyDescent="0.25">
      <c r="B44" s="1"/>
      <c r="C44" s="345">
        <v>800762390</v>
      </c>
      <c r="D44" s="346">
        <v>2</v>
      </c>
      <c r="E44" s="347" t="s">
        <v>101</v>
      </c>
      <c r="F44" s="348" t="s">
        <v>23</v>
      </c>
      <c r="G44" s="348"/>
      <c r="H44" s="347"/>
      <c r="I44" s="349">
        <f>L80</f>
        <v>0</v>
      </c>
      <c r="J44" s="350" t="e">
        <f>I44/I$45</f>
        <v>#DIV/0!</v>
      </c>
      <c r="K44" s="346">
        <v>138.15</v>
      </c>
      <c r="L44" s="351" t="e">
        <f>ROUND(J44*$E$11,2)</f>
        <v>#DIV/0!</v>
      </c>
      <c r="M44" s="352" t="e">
        <f>L44*L27</f>
        <v>#DIV/0!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2:25" x14ac:dyDescent="0.2">
      <c r="B45" s="1"/>
      <c r="C45" s="353"/>
      <c r="D45" s="353"/>
      <c r="E45" s="353"/>
      <c r="F45" s="353"/>
      <c r="G45" s="353"/>
      <c r="H45" s="354"/>
      <c r="I45" s="449">
        <f>SUM(I41:I44)</f>
        <v>0</v>
      </c>
      <c r="J45" s="355"/>
      <c r="K45" s="353"/>
      <c r="L45" s="357" t="e">
        <f>SUM(L41:L44)</f>
        <v>#DIV/0!</v>
      </c>
      <c r="M45" s="357" t="e">
        <f>SUM(M41:M44)</f>
        <v>#DIV/0!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2:25" customFormat="1" ht="15" thickBot="1" x14ac:dyDescent="0.25">
      <c r="M46" s="450"/>
      <c r="N46" s="450"/>
      <c r="O46" s="450"/>
      <c r="P46" s="450"/>
      <c r="Q46" s="450"/>
      <c r="R46" s="450"/>
      <c r="S46" s="450"/>
      <c r="T46" s="450"/>
      <c r="U46" s="450"/>
      <c r="V46" s="450"/>
      <c r="W46" s="450"/>
      <c r="X46" s="450"/>
      <c r="Y46" s="450"/>
    </row>
    <row r="47" spans="2:25" ht="15" thickBot="1" x14ac:dyDescent="0.25">
      <c r="B47" s="434" t="s">
        <v>3</v>
      </c>
      <c r="C47" s="1445">
        <f>SUMIF(Tarifas!E4:E303,'Agosto - 2015'!C49,Tarifas!D4:D303)</f>
        <v>25</v>
      </c>
      <c r="D47" s="425" t="s">
        <v>147</v>
      </c>
      <c r="E47" s="426" t="s">
        <v>145</v>
      </c>
      <c r="F47" s="426" t="s">
        <v>150</v>
      </c>
      <c r="G47" s="426" t="s">
        <v>148</v>
      </c>
      <c r="H47" s="382"/>
      <c r="I47" s="331" t="s">
        <v>120</v>
      </c>
      <c r="J47" s="332"/>
      <c r="K47" s="332"/>
      <c r="L47" s="2277" t="s">
        <v>105</v>
      </c>
      <c r="M47" s="2278"/>
      <c r="N47" s="2278"/>
      <c r="O47" s="2278"/>
      <c r="P47" s="2278"/>
      <c r="Q47" s="2278"/>
      <c r="R47" s="2279"/>
      <c r="S47" s="2274" t="s">
        <v>121</v>
      </c>
      <c r="T47" s="2275"/>
      <c r="U47" s="2275"/>
      <c r="V47" s="2275"/>
      <c r="W47" s="2275"/>
      <c r="X47" s="2275"/>
      <c r="Y47" s="2276"/>
    </row>
    <row r="48" spans="2:25" ht="34.5" thickBot="1" x14ac:dyDescent="0.25">
      <c r="C48" s="1427" t="s">
        <v>122</v>
      </c>
      <c r="D48" s="1428" t="s">
        <v>125</v>
      </c>
      <c r="E48" s="1429" t="s">
        <v>149</v>
      </c>
      <c r="F48" s="1429" t="s">
        <v>151</v>
      </c>
      <c r="G48" s="1429" t="s">
        <v>152</v>
      </c>
      <c r="H48" s="1430" t="s">
        <v>123</v>
      </c>
      <c r="I48" s="1450" t="s">
        <v>377</v>
      </c>
      <c r="J48" s="1451" t="s">
        <v>376</v>
      </c>
      <c r="K48" s="1451" t="s">
        <v>375</v>
      </c>
      <c r="L48" s="1437" t="s">
        <v>115</v>
      </c>
      <c r="M48" s="1438" t="s">
        <v>106</v>
      </c>
      <c r="N48" s="1438" t="s">
        <v>107</v>
      </c>
      <c r="O48" s="1438" t="s">
        <v>108</v>
      </c>
      <c r="P48" s="1438" t="s">
        <v>115</v>
      </c>
      <c r="Q48" s="1439" t="s">
        <v>116</v>
      </c>
      <c r="R48" s="1440" t="s">
        <v>117</v>
      </c>
      <c r="S48" s="1441" t="s">
        <v>110</v>
      </c>
      <c r="T48" s="1442" t="s">
        <v>111</v>
      </c>
      <c r="U48" s="1442" t="s">
        <v>112</v>
      </c>
      <c r="V48" s="1443" t="s">
        <v>118</v>
      </c>
      <c r="W48" s="1443" t="s">
        <v>119</v>
      </c>
      <c r="X48" s="1443" t="s">
        <v>114</v>
      </c>
      <c r="Y48" s="1444" t="s">
        <v>113</v>
      </c>
    </row>
    <row r="49" spans="3:25" x14ac:dyDescent="0.2">
      <c r="C49" s="387">
        <f>G7</f>
        <v>42217</v>
      </c>
      <c r="D49" s="388">
        <f>($F$24*$H$24)/$G$24</f>
        <v>149288.64774193548</v>
      </c>
      <c r="E49" s="389">
        <f>P49+Q49+R49</f>
        <v>0</v>
      </c>
      <c r="F49" s="427">
        <f t="shared" ref="F49:F79" si="0">TRUNC(IFERROR(J$24/K$24,0),8)</f>
        <v>0.90615690000000004</v>
      </c>
      <c r="G49" s="390">
        <f t="shared" ref="G49:G79" si="1">ROUND(I$24*F49*E49,4)</f>
        <v>0</v>
      </c>
      <c r="H49" s="391">
        <f t="shared" ref="H49:H79" si="2">SUM(D49:G49)</f>
        <v>149289.55389883547</v>
      </c>
      <c r="I49" s="324"/>
      <c r="J49" s="325"/>
      <c r="K49" s="325">
        <v>76339.218999999997</v>
      </c>
      <c r="L49" s="317"/>
      <c r="M49" s="318"/>
      <c r="N49" s="318"/>
      <c r="O49" s="318"/>
      <c r="P49" s="389">
        <f>L49</f>
        <v>0</v>
      </c>
      <c r="Q49" s="389">
        <f t="shared" ref="Q49:Q79" si="3">M49+N49</f>
        <v>0</v>
      </c>
      <c r="R49" s="389">
        <f t="shared" ref="R49:R79" si="4">O49</f>
        <v>0</v>
      </c>
      <c r="S49" s="373"/>
      <c r="T49" s="374"/>
      <c r="U49" s="524">
        <f>S49+T49-V49</f>
        <v>-76339.218999999997</v>
      </c>
      <c r="V49" s="520">
        <f>I49+J49+K49</f>
        <v>76339.218999999997</v>
      </c>
      <c r="W49" s="524">
        <f>(P49+Q49+R49)*1.055056</f>
        <v>0</v>
      </c>
      <c r="X49" s="520">
        <f>V49-W49</f>
        <v>76339.218999999997</v>
      </c>
      <c r="Y49" s="525">
        <f>AL46+X49</f>
        <v>76339.218999999997</v>
      </c>
    </row>
    <row r="50" spans="3:25" x14ac:dyDescent="0.2">
      <c r="C50" s="387">
        <f t="shared" ref="C50:C79" si="5">C49+1</f>
        <v>42218</v>
      </c>
      <c r="D50" s="388">
        <f t="shared" ref="D50:D79" si="6">($F$24*$H$24)/$G$24</f>
        <v>149288.64774193548</v>
      </c>
      <c r="E50" s="392">
        <f t="shared" ref="E50:E79" si="7">P50+Q50+R50</f>
        <v>0</v>
      </c>
      <c r="F50" s="428">
        <f t="shared" si="0"/>
        <v>0.90615690000000004</v>
      </c>
      <c r="G50" s="390">
        <f t="shared" si="1"/>
        <v>0</v>
      </c>
      <c r="H50" s="391">
        <f t="shared" si="2"/>
        <v>149289.55389883547</v>
      </c>
      <c r="I50" s="324"/>
      <c r="J50" s="325"/>
      <c r="K50" s="325">
        <v>76106.880000000005</v>
      </c>
      <c r="L50" s="319"/>
      <c r="M50" s="320"/>
      <c r="N50" s="320"/>
      <c r="O50" s="320"/>
      <c r="P50" s="392">
        <f t="shared" ref="P50:P79" si="8">L50</f>
        <v>0</v>
      </c>
      <c r="Q50" s="392">
        <f t="shared" si="3"/>
        <v>0</v>
      </c>
      <c r="R50" s="392">
        <f t="shared" si="4"/>
        <v>0</v>
      </c>
      <c r="S50" s="373"/>
      <c r="T50" s="374"/>
      <c r="U50" s="524">
        <f t="shared" ref="U50:U79" si="9">S50+T50-V50</f>
        <v>-76106.880000000005</v>
      </c>
      <c r="V50" s="520">
        <f t="shared" ref="V50:V79" si="10">I50+J50+K50</f>
        <v>76106.880000000005</v>
      </c>
      <c r="W50" s="524">
        <f t="shared" ref="W50:W79" si="11">(P50+Q50+R50)*1.055056</f>
        <v>0</v>
      </c>
      <c r="X50" s="520">
        <f t="shared" ref="X50:X79" si="12">V50-W50</f>
        <v>76106.880000000005</v>
      </c>
      <c r="Y50" s="525">
        <f>Y49+X50</f>
        <v>152446.09899999999</v>
      </c>
    </row>
    <row r="51" spans="3:25" x14ac:dyDescent="0.2">
      <c r="C51" s="387">
        <f t="shared" si="5"/>
        <v>42219</v>
      </c>
      <c r="D51" s="388">
        <f t="shared" si="6"/>
        <v>149288.64774193548</v>
      </c>
      <c r="E51" s="392">
        <f t="shared" si="7"/>
        <v>0</v>
      </c>
      <c r="F51" s="428">
        <f t="shared" si="0"/>
        <v>0.90615690000000004</v>
      </c>
      <c r="G51" s="390">
        <f t="shared" si="1"/>
        <v>0</v>
      </c>
      <c r="H51" s="391">
        <f t="shared" si="2"/>
        <v>149289.55389883547</v>
      </c>
      <c r="I51" s="324"/>
      <c r="J51" s="325"/>
      <c r="K51" s="325">
        <v>76043.39</v>
      </c>
      <c r="L51" s="317"/>
      <c r="M51" s="318"/>
      <c r="N51" s="318"/>
      <c r="O51" s="318"/>
      <c r="P51" s="392">
        <f t="shared" si="8"/>
        <v>0</v>
      </c>
      <c r="Q51" s="392">
        <f t="shared" si="3"/>
        <v>0</v>
      </c>
      <c r="R51" s="392">
        <f t="shared" si="4"/>
        <v>0</v>
      </c>
      <c r="S51" s="373"/>
      <c r="T51" s="374"/>
      <c r="U51" s="524">
        <f t="shared" si="9"/>
        <v>-76043.39</v>
      </c>
      <c r="V51" s="520">
        <f t="shared" si="10"/>
        <v>76043.39</v>
      </c>
      <c r="W51" s="524">
        <f t="shared" si="11"/>
        <v>0</v>
      </c>
      <c r="X51" s="520">
        <f t="shared" si="12"/>
        <v>76043.39</v>
      </c>
      <c r="Y51" s="525">
        <f t="shared" ref="Y51:Y79" si="13">Y50+X51</f>
        <v>228489.489</v>
      </c>
    </row>
    <row r="52" spans="3:25" x14ac:dyDescent="0.2">
      <c r="C52" s="387">
        <f t="shared" si="5"/>
        <v>42220</v>
      </c>
      <c r="D52" s="388">
        <f t="shared" si="6"/>
        <v>149288.64774193548</v>
      </c>
      <c r="E52" s="392">
        <f t="shared" si="7"/>
        <v>0</v>
      </c>
      <c r="F52" s="428">
        <f t="shared" si="0"/>
        <v>0.90615690000000004</v>
      </c>
      <c r="G52" s="390">
        <f t="shared" si="1"/>
        <v>0</v>
      </c>
      <c r="H52" s="391">
        <f t="shared" si="2"/>
        <v>149289.55389883547</v>
      </c>
      <c r="I52" s="324"/>
      <c r="J52" s="325"/>
      <c r="K52" s="325">
        <v>75776.490000000005</v>
      </c>
      <c r="L52" s="319"/>
      <c r="M52" s="320"/>
      <c r="N52" s="320"/>
      <c r="O52" s="320"/>
      <c r="P52" s="392">
        <f t="shared" si="8"/>
        <v>0</v>
      </c>
      <c r="Q52" s="392">
        <f t="shared" si="3"/>
        <v>0</v>
      </c>
      <c r="R52" s="392">
        <f t="shared" si="4"/>
        <v>0</v>
      </c>
      <c r="S52" s="373"/>
      <c r="T52" s="374"/>
      <c r="U52" s="524">
        <f t="shared" si="9"/>
        <v>-75776.490000000005</v>
      </c>
      <c r="V52" s="520">
        <f t="shared" si="10"/>
        <v>75776.490000000005</v>
      </c>
      <c r="W52" s="524">
        <f t="shared" si="11"/>
        <v>0</v>
      </c>
      <c r="X52" s="520">
        <f t="shared" si="12"/>
        <v>75776.490000000005</v>
      </c>
      <c r="Y52" s="525">
        <f t="shared" si="13"/>
        <v>304265.97899999999</v>
      </c>
    </row>
    <row r="53" spans="3:25" x14ac:dyDescent="0.2">
      <c r="C53" s="387">
        <f t="shared" si="5"/>
        <v>42221</v>
      </c>
      <c r="D53" s="388">
        <f t="shared" si="6"/>
        <v>149288.64774193548</v>
      </c>
      <c r="E53" s="392">
        <f t="shared" si="7"/>
        <v>0</v>
      </c>
      <c r="F53" s="428">
        <f t="shared" si="0"/>
        <v>0.90615690000000004</v>
      </c>
      <c r="G53" s="390">
        <f t="shared" si="1"/>
        <v>0</v>
      </c>
      <c r="H53" s="391">
        <f t="shared" si="2"/>
        <v>149289.55389883547</v>
      </c>
      <c r="I53" s="324"/>
      <c r="J53" s="325"/>
      <c r="K53" s="325">
        <v>76753.516000000003</v>
      </c>
      <c r="L53" s="317"/>
      <c r="M53" s="318"/>
      <c r="N53" s="318"/>
      <c r="O53" s="318"/>
      <c r="P53" s="392">
        <f t="shared" si="8"/>
        <v>0</v>
      </c>
      <c r="Q53" s="392">
        <f t="shared" si="3"/>
        <v>0</v>
      </c>
      <c r="R53" s="392">
        <f t="shared" si="4"/>
        <v>0</v>
      </c>
      <c r="S53" s="373"/>
      <c r="T53" s="374"/>
      <c r="U53" s="524">
        <f t="shared" si="9"/>
        <v>-76753.516000000003</v>
      </c>
      <c r="V53" s="520">
        <f t="shared" si="10"/>
        <v>76753.516000000003</v>
      </c>
      <c r="W53" s="524">
        <f t="shared" si="11"/>
        <v>0</v>
      </c>
      <c r="X53" s="520">
        <f t="shared" si="12"/>
        <v>76753.516000000003</v>
      </c>
      <c r="Y53" s="525">
        <f t="shared" si="13"/>
        <v>381019.495</v>
      </c>
    </row>
    <row r="54" spans="3:25" x14ac:dyDescent="0.2">
      <c r="C54" s="387">
        <f t="shared" si="5"/>
        <v>42222</v>
      </c>
      <c r="D54" s="388">
        <f t="shared" si="6"/>
        <v>149288.64774193548</v>
      </c>
      <c r="E54" s="392">
        <f t="shared" si="7"/>
        <v>0</v>
      </c>
      <c r="F54" s="428">
        <f t="shared" si="0"/>
        <v>0.90615690000000004</v>
      </c>
      <c r="G54" s="390">
        <f t="shared" si="1"/>
        <v>0</v>
      </c>
      <c r="H54" s="391">
        <f t="shared" si="2"/>
        <v>149289.55389883547</v>
      </c>
      <c r="I54" s="324"/>
      <c r="J54" s="325"/>
      <c r="K54" s="325">
        <v>73469.55</v>
      </c>
      <c r="L54" s="319"/>
      <c r="M54" s="320"/>
      <c r="N54" s="320"/>
      <c r="O54" s="320"/>
      <c r="P54" s="392">
        <f t="shared" si="8"/>
        <v>0</v>
      </c>
      <c r="Q54" s="392">
        <f t="shared" si="3"/>
        <v>0</v>
      </c>
      <c r="R54" s="392">
        <f t="shared" si="4"/>
        <v>0</v>
      </c>
      <c r="S54" s="373"/>
      <c r="T54" s="374"/>
      <c r="U54" s="524">
        <f t="shared" si="9"/>
        <v>-73469.55</v>
      </c>
      <c r="V54" s="520">
        <f t="shared" si="10"/>
        <v>73469.55</v>
      </c>
      <c r="W54" s="524">
        <f t="shared" si="11"/>
        <v>0</v>
      </c>
      <c r="X54" s="520">
        <f t="shared" si="12"/>
        <v>73469.55</v>
      </c>
      <c r="Y54" s="525">
        <f t="shared" si="13"/>
        <v>454489.04499999998</v>
      </c>
    </row>
    <row r="55" spans="3:25" x14ac:dyDescent="0.2">
      <c r="C55" s="387">
        <f t="shared" si="5"/>
        <v>42223</v>
      </c>
      <c r="D55" s="388">
        <f t="shared" si="6"/>
        <v>149288.64774193548</v>
      </c>
      <c r="E55" s="392">
        <f t="shared" si="7"/>
        <v>0</v>
      </c>
      <c r="F55" s="428">
        <f t="shared" si="0"/>
        <v>0.90615690000000004</v>
      </c>
      <c r="G55" s="390">
        <f t="shared" si="1"/>
        <v>0</v>
      </c>
      <c r="H55" s="391">
        <f t="shared" si="2"/>
        <v>149289.55389883547</v>
      </c>
      <c r="I55" s="324"/>
      <c r="J55" s="325"/>
      <c r="K55" s="325">
        <v>69300.493000000002</v>
      </c>
      <c r="L55" s="317"/>
      <c r="M55" s="318"/>
      <c r="N55" s="318"/>
      <c r="O55" s="318"/>
      <c r="P55" s="392">
        <f t="shared" si="8"/>
        <v>0</v>
      </c>
      <c r="Q55" s="392">
        <f t="shared" si="3"/>
        <v>0</v>
      </c>
      <c r="R55" s="392">
        <f t="shared" si="4"/>
        <v>0</v>
      </c>
      <c r="S55" s="373"/>
      <c r="T55" s="374"/>
      <c r="U55" s="524">
        <f t="shared" si="9"/>
        <v>-69300.493000000002</v>
      </c>
      <c r="V55" s="520">
        <f t="shared" si="10"/>
        <v>69300.493000000002</v>
      </c>
      <c r="W55" s="524">
        <f t="shared" si="11"/>
        <v>0</v>
      </c>
      <c r="X55" s="520">
        <f t="shared" si="12"/>
        <v>69300.493000000002</v>
      </c>
      <c r="Y55" s="525">
        <f t="shared" si="13"/>
        <v>523789.538</v>
      </c>
    </row>
    <row r="56" spans="3:25" x14ac:dyDescent="0.2">
      <c r="C56" s="387">
        <f t="shared" si="5"/>
        <v>42224</v>
      </c>
      <c r="D56" s="388">
        <f t="shared" si="6"/>
        <v>149288.64774193548</v>
      </c>
      <c r="E56" s="392">
        <f t="shared" si="7"/>
        <v>0</v>
      </c>
      <c r="F56" s="428">
        <f t="shared" si="0"/>
        <v>0.90615690000000004</v>
      </c>
      <c r="G56" s="390">
        <f t="shared" si="1"/>
        <v>0</v>
      </c>
      <c r="H56" s="391">
        <f t="shared" si="2"/>
        <v>149289.55389883547</v>
      </c>
      <c r="I56" s="324"/>
      <c r="J56" s="325"/>
      <c r="K56" s="325">
        <v>74328.06</v>
      </c>
      <c r="L56" s="319"/>
      <c r="M56" s="320"/>
      <c r="N56" s="320"/>
      <c r="O56" s="320"/>
      <c r="P56" s="392">
        <f t="shared" si="8"/>
        <v>0</v>
      </c>
      <c r="Q56" s="392">
        <f t="shared" si="3"/>
        <v>0</v>
      </c>
      <c r="R56" s="392">
        <f t="shared" si="4"/>
        <v>0</v>
      </c>
      <c r="S56" s="373"/>
      <c r="T56" s="374"/>
      <c r="U56" s="524">
        <f t="shared" si="9"/>
        <v>-74328.06</v>
      </c>
      <c r="V56" s="520">
        <f t="shared" si="10"/>
        <v>74328.06</v>
      </c>
      <c r="W56" s="524">
        <f t="shared" si="11"/>
        <v>0</v>
      </c>
      <c r="X56" s="520">
        <f t="shared" si="12"/>
        <v>74328.06</v>
      </c>
      <c r="Y56" s="525">
        <f t="shared" si="13"/>
        <v>598117.598</v>
      </c>
    </row>
    <row r="57" spans="3:25" x14ac:dyDescent="0.2">
      <c r="C57" s="387">
        <f t="shared" si="5"/>
        <v>42225</v>
      </c>
      <c r="D57" s="388">
        <f t="shared" si="6"/>
        <v>149288.64774193548</v>
      </c>
      <c r="E57" s="392">
        <f t="shared" si="7"/>
        <v>0</v>
      </c>
      <c r="F57" s="428">
        <f t="shared" si="0"/>
        <v>0.90615690000000004</v>
      </c>
      <c r="G57" s="390">
        <f t="shared" si="1"/>
        <v>0</v>
      </c>
      <c r="H57" s="391">
        <f t="shared" si="2"/>
        <v>149289.55389883547</v>
      </c>
      <c r="I57" s="324"/>
      <c r="J57" s="325"/>
      <c r="K57" s="325">
        <v>73928.94</v>
      </c>
      <c r="L57" s="317"/>
      <c r="M57" s="318"/>
      <c r="N57" s="318"/>
      <c r="O57" s="318"/>
      <c r="P57" s="392">
        <f t="shared" si="8"/>
        <v>0</v>
      </c>
      <c r="Q57" s="392">
        <f t="shared" si="3"/>
        <v>0</v>
      </c>
      <c r="R57" s="392">
        <f t="shared" si="4"/>
        <v>0</v>
      </c>
      <c r="S57" s="373"/>
      <c r="T57" s="374"/>
      <c r="U57" s="524">
        <f t="shared" si="9"/>
        <v>-73928.94</v>
      </c>
      <c r="V57" s="520">
        <f t="shared" si="10"/>
        <v>73928.94</v>
      </c>
      <c r="W57" s="524">
        <f t="shared" si="11"/>
        <v>0</v>
      </c>
      <c r="X57" s="520">
        <f t="shared" si="12"/>
        <v>73928.94</v>
      </c>
      <c r="Y57" s="525">
        <f t="shared" si="13"/>
        <v>672046.53799999994</v>
      </c>
    </row>
    <row r="58" spans="3:25" x14ac:dyDescent="0.2">
      <c r="C58" s="387">
        <f t="shared" si="5"/>
        <v>42226</v>
      </c>
      <c r="D58" s="388">
        <f t="shared" si="6"/>
        <v>149288.64774193548</v>
      </c>
      <c r="E58" s="392">
        <f t="shared" si="7"/>
        <v>0</v>
      </c>
      <c r="F58" s="428">
        <f t="shared" si="0"/>
        <v>0.90615690000000004</v>
      </c>
      <c r="G58" s="390">
        <f t="shared" si="1"/>
        <v>0</v>
      </c>
      <c r="H58" s="391">
        <f t="shared" si="2"/>
        <v>149289.55389883547</v>
      </c>
      <c r="I58" s="324"/>
      <c r="J58" s="325"/>
      <c r="K58" s="325">
        <v>75998.05</v>
      </c>
      <c r="L58" s="319"/>
      <c r="M58" s="320"/>
      <c r="N58" s="320"/>
      <c r="O58" s="320"/>
      <c r="P58" s="392">
        <f t="shared" si="8"/>
        <v>0</v>
      </c>
      <c r="Q58" s="392">
        <f t="shared" si="3"/>
        <v>0</v>
      </c>
      <c r="R58" s="392">
        <f t="shared" si="4"/>
        <v>0</v>
      </c>
      <c r="S58" s="373"/>
      <c r="T58" s="374"/>
      <c r="U58" s="524">
        <f t="shared" si="9"/>
        <v>-75998.05</v>
      </c>
      <c r="V58" s="520">
        <f t="shared" si="10"/>
        <v>75998.05</v>
      </c>
      <c r="W58" s="524">
        <f t="shared" si="11"/>
        <v>0</v>
      </c>
      <c r="X58" s="520">
        <f t="shared" si="12"/>
        <v>75998.05</v>
      </c>
      <c r="Y58" s="525">
        <f t="shared" si="13"/>
        <v>748044.58799999999</v>
      </c>
    </row>
    <row r="59" spans="3:25" x14ac:dyDescent="0.2">
      <c r="C59" s="387">
        <f t="shared" si="5"/>
        <v>42227</v>
      </c>
      <c r="D59" s="388">
        <f t="shared" si="6"/>
        <v>149288.64774193548</v>
      </c>
      <c r="E59" s="392">
        <f t="shared" si="7"/>
        <v>0</v>
      </c>
      <c r="F59" s="428">
        <f t="shared" si="0"/>
        <v>0.90615690000000004</v>
      </c>
      <c r="G59" s="390">
        <f t="shared" si="1"/>
        <v>0</v>
      </c>
      <c r="H59" s="391">
        <f t="shared" si="2"/>
        <v>149289.55389883547</v>
      </c>
      <c r="I59" s="324"/>
      <c r="J59" s="325"/>
      <c r="K59" s="325">
        <v>76297.740000000005</v>
      </c>
      <c r="L59" s="317"/>
      <c r="M59" s="318"/>
      <c r="N59" s="318"/>
      <c r="O59" s="318"/>
      <c r="P59" s="392">
        <f t="shared" si="8"/>
        <v>0</v>
      </c>
      <c r="Q59" s="392">
        <f t="shared" si="3"/>
        <v>0</v>
      </c>
      <c r="R59" s="392">
        <f t="shared" si="4"/>
        <v>0</v>
      </c>
      <c r="S59" s="373"/>
      <c r="T59" s="374"/>
      <c r="U59" s="524">
        <f t="shared" si="9"/>
        <v>-76297.740000000005</v>
      </c>
      <c r="V59" s="520">
        <f t="shared" si="10"/>
        <v>76297.740000000005</v>
      </c>
      <c r="W59" s="524">
        <f t="shared" si="11"/>
        <v>0</v>
      </c>
      <c r="X59" s="520">
        <f t="shared" si="12"/>
        <v>76297.740000000005</v>
      </c>
      <c r="Y59" s="525">
        <f t="shared" si="13"/>
        <v>824342.32799999998</v>
      </c>
    </row>
    <row r="60" spans="3:25" x14ac:dyDescent="0.2">
      <c r="C60" s="387">
        <f t="shared" si="5"/>
        <v>42228</v>
      </c>
      <c r="D60" s="388">
        <f t="shared" si="6"/>
        <v>149288.64774193548</v>
      </c>
      <c r="E60" s="392">
        <f t="shared" si="7"/>
        <v>0</v>
      </c>
      <c r="F60" s="428">
        <f t="shared" si="0"/>
        <v>0.90615690000000004</v>
      </c>
      <c r="G60" s="390">
        <f t="shared" si="1"/>
        <v>0</v>
      </c>
      <c r="H60" s="391">
        <f t="shared" si="2"/>
        <v>149289.55389883547</v>
      </c>
      <c r="I60" s="324"/>
      <c r="J60" s="325"/>
      <c r="K60" s="325">
        <v>74094.27</v>
      </c>
      <c r="L60" s="319"/>
      <c r="M60" s="320"/>
      <c r="N60" s="320"/>
      <c r="O60" s="320"/>
      <c r="P60" s="392">
        <f t="shared" si="8"/>
        <v>0</v>
      </c>
      <c r="Q60" s="392">
        <f t="shared" si="3"/>
        <v>0</v>
      </c>
      <c r="R60" s="392">
        <f t="shared" si="4"/>
        <v>0</v>
      </c>
      <c r="S60" s="373"/>
      <c r="T60" s="374"/>
      <c r="U60" s="524">
        <f t="shared" si="9"/>
        <v>-74094.27</v>
      </c>
      <c r="V60" s="520">
        <f t="shared" si="10"/>
        <v>74094.27</v>
      </c>
      <c r="W60" s="524">
        <f t="shared" si="11"/>
        <v>0</v>
      </c>
      <c r="X60" s="520">
        <f t="shared" si="12"/>
        <v>74094.27</v>
      </c>
      <c r="Y60" s="525">
        <f t="shared" si="13"/>
        <v>898436.598</v>
      </c>
    </row>
    <row r="61" spans="3:25" x14ac:dyDescent="0.2">
      <c r="C61" s="387">
        <f t="shared" si="5"/>
        <v>42229</v>
      </c>
      <c r="D61" s="388">
        <f t="shared" si="6"/>
        <v>149288.64774193548</v>
      </c>
      <c r="E61" s="392">
        <f t="shared" si="7"/>
        <v>0</v>
      </c>
      <c r="F61" s="428">
        <f t="shared" si="0"/>
        <v>0.90615690000000004</v>
      </c>
      <c r="G61" s="390">
        <f t="shared" si="1"/>
        <v>0</v>
      </c>
      <c r="H61" s="391">
        <f t="shared" si="2"/>
        <v>149289.55389883547</v>
      </c>
      <c r="I61" s="324"/>
      <c r="J61" s="325"/>
      <c r="K61" s="325">
        <v>76926.31</v>
      </c>
      <c r="L61" s="317"/>
      <c r="M61" s="318"/>
      <c r="N61" s="318"/>
      <c r="O61" s="318"/>
      <c r="P61" s="392">
        <f t="shared" si="8"/>
        <v>0</v>
      </c>
      <c r="Q61" s="392">
        <f t="shared" si="3"/>
        <v>0</v>
      </c>
      <c r="R61" s="392">
        <f t="shared" si="4"/>
        <v>0</v>
      </c>
      <c r="S61" s="373"/>
      <c r="T61" s="374"/>
      <c r="U61" s="524">
        <f t="shared" si="9"/>
        <v>-76926.31</v>
      </c>
      <c r="V61" s="520">
        <f t="shared" si="10"/>
        <v>76926.31</v>
      </c>
      <c r="W61" s="524">
        <f t="shared" si="11"/>
        <v>0</v>
      </c>
      <c r="X61" s="520">
        <f t="shared" si="12"/>
        <v>76926.31</v>
      </c>
      <c r="Y61" s="525">
        <f t="shared" si="13"/>
        <v>975362.90800000005</v>
      </c>
    </row>
    <row r="62" spans="3:25" x14ac:dyDescent="0.2">
      <c r="C62" s="387">
        <f t="shared" si="5"/>
        <v>42230</v>
      </c>
      <c r="D62" s="388">
        <f t="shared" si="6"/>
        <v>149288.64774193548</v>
      </c>
      <c r="E62" s="392">
        <f t="shared" si="7"/>
        <v>0</v>
      </c>
      <c r="F62" s="428">
        <f t="shared" si="0"/>
        <v>0.90615690000000004</v>
      </c>
      <c r="G62" s="390">
        <f t="shared" si="1"/>
        <v>0</v>
      </c>
      <c r="H62" s="391">
        <f t="shared" si="2"/>
        <v>149289.55389883547</v>
      </c>
      <c r="I62" s="324"/>
      <c r="J62" s="325"/>
      <c r="K62" s="325">
        <v>76884.39</v>
      </c>
      <c r="L62" s="319"/>
      <c r="M62" s="320"/>
      <c r="N62" s="320"/>
      <c r="O62" s="320"/>
      <c r="P62" s="392">
        <f t="shared" si="8"/>
        <v>0</v>
      </c>
      <c r="Q62" s="392">
        <f t="shared" si="3"/>
        <v>0</v>
      </c>
      <c r="R62" s="392">
        <f t="shared" si="4"/>
        <v>0</v>
      </c>
      <c r="S62" s="373"/>
      <c r="T62" s="374"/>
      <c r="U62" s="524">
        <f t="shared" si="9"/>
        <v>-76884.39</v>
      </c>
      <c r="V62" s="520">
        <f t="shared" si="10"/>
        <v>76884.39</v>
      </c>
      <c r="W62" s="524">
        <f t="shared" si="11"/>
        <v>0</v>
      </c>
      <c r="X62" s="520">
        <f t="shared" si="12"/>
        <v>76884.39</v>
      </c>
      <c r="Y62" s="525">
        <f t="shared" si="13"/>
        <v>1052247.298</v>
      </c>
    </row>
    <row r="63" spans="3:25" x14ac:dyDescent="0.2">
      <c r="C63" s="387">
        <f t="shared" si="5"/>
        <v>42231</v>
      </c>
      <c r="D63" s="388">
        <f t="shared" si="6"/>
        <v>149288.64774193548</v>
      </c>
      <c r="E63" s="392">
        <f t="shared" si="7"/>
        <v>0</v>
      </c>
      <c r="F63" s="428">
        <f t="shared" si="0"/>
        <v>0.90615690000000004</v>
      </c>
      <c r="G63" s="390">
        <f t="shared" si="1"/>
        <v>0</v>
      </c>
      <c r="H63" s="391">
        <f t="shared" si="2"/>
        <v>149289.55389883547</v>
      </c>
      <c r="I63" s="324"/>
      <c r="J63" s="325"/>
      <c r="K63" s="325">
        <v>76996.850000000006</v>
      </c>
      <c r="L63" s="317"/>
      <c r="M63" s="318"/>
      <c r="N63" s="318"/>
      <c r="O63" s="318"/>
      <c r="P63" s="392">
        <f t="shared" si="8"/>
        <v>0</v>
      </c>
      <c r="Q63" s="392">
        <f t="shared" si="3"/>
        <v>0</v>
      </c>
      <c r="R63" s="392">
        <f t="shared" si="4"/>
        <v>0</v>
      </c>
      <c r="S63" s="373"/>
      <c r="T63" s="374"/>
      <c r="U63" s="524">
        <f t="shared" si="9"/>
        <v>-76996.850000000006</v>
      </c>
      <c r="V63" s="520">
        <f t="shared" si="10"/>
        <v>76996.850000000006</v>
      </c>
      <c r="W63" s="524">
        <f t="shared" si="11"/>
        <v>0</v>
      </c>
      <c r="X63" s="520">
        <f t="shared" si="12"/>
        <v>76996.850000000006</v>
      </c>
      <c r="Y63" s="525">
        <f t="shared" si="13"/>
        <v>1129244.148</v>
      </c>
    </row>
    <row r="64" spans="3:25" x14ac:dyDescent="0.2">
      <c r="C64" s="387">
        <f t="shared" si="5"/>
        <v>42232</v>
      </c>
      <c r="D64" s="388">
        <f t="shared" si="6"/>
        <v>149288.64774193548</v>
      </c>
      <c r="E64" s="392">
        <f t="shared" si="7"/>
        <v>0</v>
      </c>
      <c r="F64" s="428">
        <f t="shared" si="0"/>
        <v>0.90615690000000004</v>
      </c>
      <c r="G64" s="390">
        <f t="shared" si="1"/>
        <v>0</v>
      </c>
      <c r="H64" s="391">
        <f t="shared" si="2"/>
        <v>149289.55389883547</v>
      </c>
      <c r="I64" s="324"/>
      <c r="J64" s="325"/>
      <c r="K64" s="325">
        <v>76494.81</v>
      </c>
      <c r="L64" s="319"/>
      <c r="M64" s="320"/>
      <c r="N64" s="320"/>
      <c r="O64" s="320"/>
      <c r="P64" s="392">
        <f t="shared" si="8"/>
        <v>0</v>
      </c>
      <c r="Q64" s="392">
        <f t="shared" si="3"/>
        <v>0</v>
      </c>
      <c r="R64" s="392">
        <f t="shared" si="4"/>
        <v>0</v>
      </c>
      <c r="S64" s="373"/>
      <c r="T64" s="374"/>
      <c r="U64" s="524">
        <f t="shared" si="9"/>
        <v>-76494.81</v>
      </c>
      <c r="V64" s="520">
        <f t="shared" si="10"/>
        <v>76494.81</v>
      </c>
      <c r="W64" s="524">
        <f t="shared" si="11"/>
        <v>0</v>
      </c>
      <c r="X64" s="520">
        <f t="shared" si="12"/>
        <v>76494.81</v>
      </c>
      <c r="Y64" s="525">
        <f t="shared" si="13"/>
        <v>1205738.9580000001</v>
      </c>
    </row>
    <row r="65" spans="3:38" x14ac:dyDescent="0.2">
      <c r="C65" s="387">
        <f t="shared" si="5"/>
        <v>42233</v>
      </c>
      <c r="D65" s="388">
        <f t="shared" si="6"/>
        <v>149288.64774193548</v>
      </c>
      <c r="E65" s="392">
        <f t="shared" si="7"/>
        <v>0</v>
      </c>
      <c r="F65" s="428">
        <f t="shared" si="0"/>
        <v>0.90615690000000004</v>
      </c>
      <c r="G65" s="390">
        <f t="shared" si="1"/>
        <v>0</v>
      </c>
      <c r="H65" s="391">
        <f t="shared" si="2"/>
        <v>149289.55389883547</v>
      </c>
      <c r="I65" s="324"/>
      <c r="J65" s="325"/>
      <c r="K65" s="325">
        <v>76768.293000000005</v>
      </c>
      <c r="L65" s="317"/>
      <c r="M65" s="318"/>
      <c r="N65" s="318"/>
      <c r="O65" s="318"/>
      <c r="P65" s="392">
        <f t="shared" si="8"/>
        <v>0</v>
      </c>
      <c r="Q65" s="392">
        <f t="shared" si="3"/>
        <v>0</v>
      </c>
      <c r="R65" s="392">
        <f t="shared" si="4"/>
        <v>0</v>
      </c>
      <c r="S65" s="373"/>
      <c r="T65" s="374"/>
      <c r="U65" s="524">
        <f t="shared" si="9"/>
        <v>-76768.293000000005</v>
      </c>
      <c r="V65" s="520">
        <f t="shared" si="10"/>
        <v>76768.293000000005</v>
      </c>
      <c r="W65" s="524">
        <f t="shared" si="11"/>
        <v>0</v>
      </c>
      <c r="X65" s="520">
        <f t="shared" si="12"/>
        <v>76768.293000000005</v>
      </c>
      <c r="Y65" s="525">
        <f t="shared" si="13"/>
        <v>1282507.2510000002</v>
      </c>
    </row>
    <row r="66" spans="3:38" x14ac:dyDescent="0.2">
      <c r="C66" s="387">
        <f t="shared" si="5"/>
        <v>42234</v>
      </c>
      <c r="D66" s="388">
        <f t="shared" si="6"/>
        <v>149288.64774193548</v>
      </c>
      <c r="E66" s="392">
        <f t="shared" si="7"/>
        <v>0</v>
      </c>
      <c r="F66" s="428">
        <f t="shared" si="0"/>
        <v>0.90615690000000004</v>
      </c>
      <c r="G66" s="390">
        <f t="shared" si="1"/>
        <v>0</v>
      </c>
      <c r="H66" s="391">
        <f t="shared" si="2"/>
        <v>149289.55389883547</v>
      </c>
      <c r="I66" s="324"/>
      <c r="J66" s="325"/>
      <c r="K66" s="325">
        <v>75941.490000000005</v>
      </c>
      <c r="L66" s="319"/>
      <c r="M66" s="320"/>
      <c r="N66" s="320"/>
      <c r="O66" s="320"/>
      <c r="P66" s="392">
        <f t="shared" si="8"/>
        <v>0</v>
      </c>
      <c r="Q66" s="392">
        <f t="shared" si="3"/>
        <v>0</v>
      </c>
      <c r="R66" s="392">
        <f t="shared" si="4"/>
        <v>0</v>
      </c>
      <c r="S66" s="373"/>
      <c r="T66" s="374"/>
      <c r="U66" s="524">
        <f t="shared" si="9"/>
        <v>-75941.490000000005</v>
      </c>
      <c r="V66" s="520">
        <f t="shared" si="10"/>
        <v>75941.490000000005</v>
      </c>
      <c r="W66" s="524">
        <f t="shared" si="11"/>
        <v>0</v>
      </c>
      <c r="X66" s="520">
        <f t="shared" si="12"/>
        <v>75941.490000000005</v>
      </c>
      <c r="Y66" s="525">
        <f t="shared" si="13"/>
        <v>1358448.7410000002</v>
      </c>
    </row>
    <row r="67" spans="3:38" x14ac:dyDescent="0.2">
      <c r="C67" s="387">
        <f t="shared" si="5"/>
        <v>42235</v>
      </c>
      <c r="D67" s="388">
        <f t="shared" si="6"/>
        <v>149288.64774193548</v>
      </c>
      <c r="E67" s="392">
        <f t="shared" si="7"/>
        <v>0</v>
      </c>
      <c r="F67" s="428">
        <f t="shared" si="0"/>
        <v>0.90615690000000004</v>
      </c>
      <c r="G67" s="390">
        <f t="shared" si="1"/>
        <v>0</v>
      </c>
      <c r="H67" s="391">
        <f t="shared" si="2"/>
        <v>149289.55389883547</v>
      </c>
      <c r="I67" s="324"/>
      <c r="J67" s="325"/>
      <c r="K67" s="325">
        <v>76439.850000000006</v>
      </c>
      <c r="L67" s="317"/>
      <c r="M67" s="318"/>
      <c r="N67" s="318"/>
      <c r="O67" s="318"/>
      <c r="P67" s="392">
        <f t="shared" si="8"/>
        <v>0</v>
      </c>
      <c r="Q67" s="392">
        <f t="shared" si="3"/>
        <v>0</v>
      </c>
      <c r="R67" s="392">
        <f t="shared" si="4"/>
        <v>0</v>
      </c>
      <c r="S67" s="373"/>
      <c r="T67" s="374"/>
      <c r="U67" s="524">
        <f t="shared" si="9"/>
        <v>-76439.850000000006</v>
      </c>
      <c r="V67" s="520">
        <f t="shared" si="10"/>
        <v>76439.850000000006</v>
      </c>
      <c r="W67" s="524">
        <f t="shared" si="11"/>
        <v>0</v>
      </c>
      <c r="X67" s="520">
        <f t="shared" si="12"/>
        <v>76439.850000000006</v>
      </c>
      <c r="Y67" s="525">
        <f t="shared" si="13"/>
        <v>1434888.5910000002</v>
      </c>
    </row>
    <row r="68" spans="3:38" x14ac:dyDescent="0.2">
      <c r="C68" s="387">
        <f t="shared" si="5"/>
        <v>42236</v>
      </c>
      <c r="D68" s="388">
        <f t="shared" si="6"/>
        <v>149288.64774193548</v>
      </c>
      <c r="E68" s="392">
        <f t="shared" si="7"/>
        <v>0</v>
      </c>
      <c r="F68" s="428">
        <f t="shared" si="0"/>
        <v>0.90615690000000004</v>
      </c>
      <c r="G68" s="390">
        <f t="shared" si="1"/>
        <v>0</v>
      </c>
      <c r="H68" s="391">
        <f t="shared" si="2"/>
        <v>149289.55389883547</v>
      </c>
      <c r="I68" s="324"/>
      <c r="J68" s="325"/>
      <c r="K68" s="325">
        <v>76728.796000000002</v>
      </c>
      <c r="L68" s="319"/>
      <c r="M68" s="320"/>
      <c r="N68" s="320"/>
      <c r="O68" s="320"/>
      <c r="P68" s="392">
        <f t="shared" si="8"/>
        <v>0</v>
      </c>
      <c r="Q68" s="392">
        <f t="shared" si="3"/>
        <v>0</v>
      </c>
      <c r="R68" s="392">
        <f t="shared" si="4"/>
        <v>0</v>
      </c>
      <c r="S68" s="373"/>
      <c r="T68" s="374"/>
      <c r="U68" s="524">
        <f t="shared" si="9"/>
        <v>-76728.796000000002</v>
      </c>
      <c r="V68" s="520">
        <f t="shared" si="10"/>
        <v>76728.796000000002</v>
      </c>
      <c r="W68" s="524">
        <f t="shared" si="11"/>
        <v>0</v>
      </c>
      <c r="X68" s="520">
        <f t="shared" si="12"/>
        <v>76728.796000000002</v>
      </c>
      <c r="Y68" s="525">
        <f t="shared" si="13"/>
        <v>1511617.3870000003</v>
      </c>
    </row>
    <row r="69" spans="3:38" x14ac:dyDescent="0.2">
      <c r="C69" s="387">
        <f t="shared" si="5"/>
        <v>42237</v>
      </c>
      <c r="D69" s="388">
        <f t="shared" si="6"/>
        <v>149288.64774193548</v>
      </c>
      <c r="E69" s="392">
        <f t="shared" si="7"/>
        <v>0</v>
      </c>
      <c r="F69" s="428">
        <f t="shared" si="0"/>
        <v>0.90615690000000004</v>
      </c>
      <c r="G69" s="390">
        <f t="shared" si="1"/>
        <v>0</v>
      </c>
      <c r="H69" s="391">
        <f t="shared" si="2"/>
        <v>149289.55389883547</v>
      </c>
      <c r="I69" s="324"/>
      <c r="J69" s="325"/>
      <c r="K69" s="325">
        <v>76236.73</v>
      </c>
      <c r="L69" s="317"/>
      <c r="M69" s="318"/>
      <c r="N69" s="318"/>
      <c r="O69" s="318"/>
      <c r="P69" s="392">
        <f t="shared" si="8"/>
        <v>0</v>
      </c>
      <c r="Q69" s="392">
        <f t="shared" si="3"/>
        <v>0</v>
      </c>
      <c r="R69" s="392">
        <f t="shared" si="4"/>
        <v>0</v>
      </c>
      <c r="S69" s="373"/>
      <c r="T69" s="374"/>
      <c r="U69" s="524">
        <f t="shared" si="9"/>
        <v>-76236.73</v>
      </c>
      <c r="V69" s="520">
        <f t="shared" si="10"/>
        <v>76236.73</v>
      </c>
      <c r="W69" s="524">
        <f t="shared" si="11"/>
        <v>0</v>
      </c>
      <c r="X69" s="520">
        <f t="shared" si="12"/>
        <v>76236.73</v>
      </c>
      <c r="Y69" s="525">
        <f t="shared" si="13"/>
        <v>1587854.1170000003</v>
      </c>
    </row>
    <row r="70" spans="3:38" x14ac:dyDescent="0.2">
      <c r="C70" s="387">
        <f t="shared" si="5"/>
        <v>42238</v>
      </c>
      <c r="D70" s="388">
        <f t="shared" si="6"/>
        <v>149288.64774193548</v>
      </c>
      <c r="E70" s="392">
        <f t="shared" si="7"/>
        <v>0</v>
      </c>
      <c r="F70" s="428">
        <f t="shared" si="0"/>
        <v>0.90615690000000004</v>
      </c>
      <c r="G70" s="390">
        <f t="shared" si="1"/>
        <v>0</v>
      </c>
      <c r="H70" s="391">
        <f t="shared" si="2"/>
        <v>149289.55389883547</v>
      </c>
      <c r="I70" s="324"/>
      <c r="J70" s="325"/>
      <c r="K70" s="325">
        <v>76333.539999999994</v>
      </c>
      <c r="L70" s="319"/>
      <c r="M70" s="320"/>
      <c r="N70" s="320"/>
      <c r="O70" s="320"/>
      <c r="P70" s="392">
        <f t="shared" si="8"/>
        <v>0</v>
      </c>
      <c r="Q70" s="392">
        <f t="shared" si="3"/>
        <v>0</v>
      </c>
      <c r="R70" s="392">
        <f t="shared" si="4"/>
        <v>0</v>
      </c>
      <c r="S70" s="373"/>
      <c r="T70" s="374"/>
      <c r="U70" s="524">
        <f t="shared" si="9"/>
        <v>-76333.539999999994</v>
      </c>
      <c r="V70" s="520">
        <f t="shared" si="10"/>
        <v>76333.539999999994</v>
      </c>
      <c r="W70" s="524">
        <f t="shared" si="11"/>
        <v>0</v>
      </c>
      <c r="X70" s="520">
        <f t="shared" si="12"/>
        <v>76333.539999999994</v>
      </c>
      <c r="Y70" s="525">
        <f t="shared" si="13"/>
        <v>1664187.6570000004</v>
      </c>
    </row>
    <row r="71" spans="3:38" x14ac:dyDescent="0.2">
      <c r="C71" s="387">
        <f t="shared" si="5"/>
        <v>42239</v>
      </c>
      <c r="D71" s="388">
        <f t="shared" si="6"/>
        <v>149288.64774193548</v>
      </c>
      <c r="E71" s="392">
        <f t="shared" si="7"/>
        <v>0</v>
      </c>
      <c r="F71" s="428">
        <f t="shared" si="0"/>
        <v>0.90615690000000004</v>
      </c>
      <c r="G71" s="390">
        <f t="shared" si="1"/>
        <v>0</v>
      </c>
      <c r="H71" s="391">
        <f t="shared" si="2"/>
        <v>149289.55389883547</v>
      </c>
      <c r="I71" s="324"/>
      <c r="J71" s="325"/>
      <c r="K71" s="325">
        <v>76329.994000000006</v>
      </c>
      <c r="L71" s="317"/>
      <c r="M71" s="318"/>
      <c r="N71" s="318"/>
      <c r="O71" s="318"/>
      <c r="P71" s="392">
        <f t="shared" si="8"/>
        <v>0</v>
      </c>
      <c r="Q71" s="392">
        <f t="shared" si="3"/>
        <v>0</v>
      </c>
      <c r="R71" s="392">
        <f t="shared" si="4"/>
        <v>0</v>
      </c>
      <c r="S71" s="373"/>
      <c r="T71" s="374"/>
      <c r="U71" s="524">
        <f t="shared" si="9"/>
        <v>-76329.994000000006</v>
      </c>
      <c r="V71" s="520">
        <f t="shared" si="10"/>
        <v>76329.994000000006</v>
      </c>
      <c r="W71" s="524">
        <f t="shared" si="11"/>
        <v>0</v>
      </c>
      <c r="X71" s="520">
        <f t="shared" si="12"/>
        <v>76329.994000000006</v>
      </c>
      <c r="Y71" s="525">
        <f t="shared" si="13"/>
        <v>1740517.6510000003</v>
      </c>
    </row>
    <row r="72" spans="3:38" x14ac:dyDescent="0.2">
      <c r="C72" s="387">
        <f t="shared" si="5"/>
        <v>42240</v>
      </c>
      <c r="D72" s="388">
        <f t="shared" si="6"/>
        <v>149288.64774193548</v>
      </c>
      <c r="E72" s="392">
        <f t="shared" si="7"/>
        <v>0</v>
      </c>
      <c r="F72" s="428">
        <f t="shared" si="0"/>
        <v>0.90615690000000004</v>
      </c>
      <c r="G72" s="390">
        <f t="shared" si="1"/>
        <v>0</v>
      </c>
      <c r="H72" s="391">
        <f t="shared" si="2"/>
        <v>149289.55389883547</v>
      </c>
      <c r="I72" s="324"/>
      <c r="J72" s="325"/>
      <c r="K72" s="325">
        <v>76345.429999999993</v>
      </c>
      <c r="L72" s="319"/>
      <c r="M72" s="320"/>
      <c r="N72" s="320"/>
      <c r="O72" s="320"/>
      <c r="P72" s="392">
        <f t="shared" si="8"/>
        <v>0</v>
      </c>
      <c r="Q72" s="392">
        <f t="shared" si="3"/>
        <v>0</v>
      </c>
      <c r="R72" s="392">
        <f t="shared" si="4"/>
        <v>0</v>
      </c>
      <c r="S72" s="373"/>
      <c r="T72" s="374"/>
      <c r="U72" s="524">
        <f t="shared" si="9"/>
        <v>-76345.429999999993</v>
      </c>
      <c r="V72" s="520">
        <f t="shared" si="10"/>
        <v>76345.429999999993</v>
      </c>
      <c r="W72" s="524">
        <f t="shared" si="11"/>
        <v>0</v>
      </c>
      <c r="X72" s="520">
        <f t="shared" si="12"/>
        <v>76345.429999999993</v>
      </c>
      <c r="Y72" s="525">
        <f t="shared" si="13"/>
        <v>1816863.0810000002</v>
      </c>
    </row>
    <row r="73" spans="3:38" x14ac:dyDescent="0.2">
      <c r="C73" s="387">
        <f t="shared" si="5"/>
        <v>42241</v>
      </c>
      <c r="D73" s="388">
        <f t="shared" si="6"/>
        <v>149288.64774193548</v>
      </c>
      <c r="E73" s="392">
        <f t="shared" si="7"/>
        <v>0</v>
      </c>
      <c r="F73" s="428">
        <f t="shared" si="0"/>
        <v>0.90615690000000004</v>
      </c>
      <c r="G73" s="390">
        <f t="shared" si="1"/>
        <v>0</v>
      </c>
      <c r="H73" s="391">
        <f t="shared" si="2"/>
        <v>149289.55389883547</v>
      </c>
      <c r="I73" s="324"/>
      <c r="J73" s="325"/>
      <c r="K73" s="325">
        <v>76819.649999999994</v>
      </c>
      <c r="L73" s="317"/>
      <c r="M73" s="318"/>
      <c r="N73" s="318"/>
      <c r="O73" s="318"/>
      <c r="P73" s="392">
        <f t="shared" si="8"/>
        <v>0</v>
      </c>
      <c r="Q73" s="392">
        <f t="shared" si="3"/>
        <v>0</v>
      </c>
      <c r="R73" s="392">
        <f t="shared" si="4"/>
        <v>0</v>
      </c>
      <c r="S73" s="373"/>
      <c r="T73" s="374"/>
      <c r="U73" s="524">
        <f t="shared" si="9"/>
        <v>-76819.649999999994</v>
      </c>
      <c r="V73" s="520">
        <f t="shared" si="10"/>
        <v>76819.649999999994</v>
      </c>
      <c r="W73" s="524">
        <f t="shared" si="11"/>
        <v>0</v>
      </c>
      <c r="X73" s="520">
        <f t="shared" si="12"/>
        <v>76819.649999999994</v>
      </c>
      <c r="Y73" s="525">
        <f t="shared" si="13"/>
        <v>1893682.7310000001</v>
      </c>
    </row>
    <row r="74" spans="3:38" x14ac:dyDescent="0.2">
      <c r="C74" s="387">
        <f t="shared" si="5"/>
        <v>42242</v>
      </c>
      <c r="D74" s="388">
        <f t="shared" si="6"/>
        <v>149288.64774193548</v>
      </c>
      <c r="E74" s="392">
        <f t="shared" si="7"/>
        <v>0</v>
      </c>
      <c r="F74" s="428">
        <f t="shared" si="0"/>
        <v>0.90615690000000004</v>
      </c>
      <c r="G74" s="390">
        <f t="shared" si="1"/>
        <v>0</v>
      </c>
      <c r="H74" s="391">
        <f t="shared" si="2"/>
        <v>149289.55389883547</v>
      </c>
      <c r="I74" s="324"/>
      <c r="J74" s="325"/>
      <c r="K74" s="325">
        <v>76944.107999999993</v>
      </c>
      <c r="L74" s="319"/>
      <c r="M74" s="320"/>
      <c r="N74" s="320"/>
      <c r="O74" s="320"/>
      <c r="P74" s="392">
        <f t="shared" si="8"/>
        <v>0</v>
      </c>
      <c r="Q74" s="392">
        <f t="shared" si="3"/>
        <v>0</v>
      </c>
      <c r="R74" s="392">
        <f t="shared" si="4"/>
        <v>0</v>
      </c>
      <c r="S74" s="373"/>
      <c r="T74" s="374"/>
      <c r="U74" s="524">
        <f t="shared" si="9"/>
        <v>-76944.107999999993</v>
      </c>
      <c r="V74" s="520">
        <f t="shared" si="10"/>
        <v>76944.107999999993</v>
      </c>
      <c r="W74" s="524">
        <f t="shared" si="11"/>
        <v>0</v>
      </c>
      <c r="X74" s="520">
        <f t="shared" si="12"/>
        <v>76944.107999999993</v>
      </c>
      <c r="Y74" s="525">
        <f t="shared" si="13"/>
        <v>1970626.8390000002</v>
      </c>
    </row>
    <row r="75" spans="3:38" x14ac:dyDescent="0.2">
      <c r="C75" s="387">
        <f t="shared" si="5"/>
        <v>42243</v>
      </c>
      <c r="D75" s="388">
        <f t="shared" si="6"/>
        <v>149288.64774193548</v>
      </c>
      <c r="E75" s="392">
        <f t="shared" si="7"/>
        <v>0</v>
      </c>
      <c r="F75" s="428">
        <f t="shared" si="0"/>
        <v>0.90615690000000004</v>
      </c>
      <c r="G75" s="390">
        <f t="shared" si="1"/>
        <v>0</v>
      </c>
      <c r="H75" s="391">
        <f t="shared" si="2"/>
        <v>149289.55389883547</v>
      </c>
      <c r="I75" s="324"/>
      <c r="J75" s="325"/>
      <c r="K75" s="325">
        <v>77200.69</v>
      </c>
      <c r="L75" s="317"/>
      <c r="M75" s="318"/>
      <c r="N75" s="318"/>
      <c r="O75" s="318"/>
      <c r="P75" s="392">
        <f t="shared" si="8"/>
        <v>0</v>
      </c>
      <c r="Q75" s="392">
        <f t="shared" si="3"/>
        <v>0</v>
      </c>
      <c r="R75" s="392">
        <f t="shared" si="4"/>
        <v>0</v>
      </c>
      <c r="S75" s="373"/>
      <c r="T75" s="374"/>
      <c r="U75" s="524">
        <f t="shared" si="9"/>
        <v>-77200.69</v>
      </c>
      <c r="V75" s="520">
        <f t="shared" si="10"/>
        <v>77200.69</v>
      </c>
      <c r="W75" s="524">
        <f t="shared" si="11"/>
        <v>0</v>
      </c>
      <c r="X75" s="520">
        <f t="shared" si="12"/>
        <v>77200.69</v>
      </c>
      <c r="Y75" s="525">
        <f t="shared" si="13"/>
        <v>2047827.5290000001</v>
      </c>
    </row>
    <row r="76" spans="3:38" x14ac:dyDescent="0.2">
      <c r="C76" s="387">
        <f t="shared" si="5"/>
        <v>42244</v>
      </c>
      <c r="D76" s="388">
        <f t="shared" si="6"/>
        <v>149288.64774193548</v>
      </c>
      <c r="E76" s="392">
        <f t="shared" si="7"/>
        <v>0</v>
      </c>
      <c r="F76" s="428">
        <f t="shared" si="0"/>
        <v>0.90615690000000004</v>
      </c>
      <c r="G76" s="390">
        <f t="shared" si="1"/>
        <v>0</v>
      </c>
      <c r="H76" s="391">
        <f t="shared" si="2"/>
        <v>149289.55389883547</v>
      </c>
      <c r="I76" s="324"/>
      <c r="J76" s="325"/>
      <c r="K76" s="325">
        <v>77294.210000000006</v>
      </c>
      <c r="L76" s="319"/>
      <c r="M76" s="320"/>
      <c r="N76" s="320"/>
      <c r="O76" s="320"/>
      <c r="P76" s="392">
        <f t="shared" si="8"/>
        <v>0</v>
      </c>
      <c r="Q76" s="392">
        <f t="shared" si="3"/>
        <v>0</v>
      </c>
      <c r="R76" s="392">
        <f t="shared" si="4"/>
        <v>0</v>
      </c>
      <c r="S76" s="373"/>
      <c r="T76" s="374"/>
      <c r="U76" s="524">
        <f t="shared" si="9"/>
        <v>-77294.210000000006</v>
      </c>
      <c r="V76" s="520">
        <f t="shared" si="10"/>
        <v>77294.210000000006</v>
      </c>
      <c r="W76" s="524">
        <f t="shared" si="11"/>
        <v>0</v>
      </c>
      <c r="X76" s="520">
        <f t="shared" si="12"/>
        <v>77294.210000000006</v>
      </c>
      <c r="Y76" s="525">
        <f t="shared" si="13"/>
        <v>2125121.7390000001</v>
      </c>
    </row>
    <row r="77" spans="3:38" x14ac:dyDescent="0.2">
      <c r="C77" s="387">
        <f t="shared" si="5"/>
        <v>42245</v>
      </c>
      <c r="D77" s="388">
        <f t="shared" si="6"/>
        <v>149288.64774193548</v>
      </c>
      <c r="E77" s="392">
        <f t="shared" si="7"/>
        <v>0</v>
      </c>
      <c r="F77" s="428">
        <f t="shared" si="0"/>
        <v>0.90615690000000004</v>
      </c>
      <c r="G77" s="390">
        <f t="shared" si="1"/>
        <v>0</v>
      </c>
      <c r="H77" s="391">
        <f t="shared" si="2"/>
        <v>149289.55389883547</v>
      </c>
      <c r="I77" s="324"/>
      <c r="J77" s="325"/>
      <c r="K77" s="325">
        <v>75862.373000000007</v>
      </c>
      <c r="L77" s="317"/>
      <c r="M77" s="318"/>
      <c r="N77" s="318"/>
      <c r="O77" s="318"/>
      <c r="P77" s="392">
        <f t="shared" si="8"/>
        <v>0</v>
      </c>
      <c r="Q77" s="392">
        <f t="shared" si="3"/>
        <v>0</v>
      </c>
      <c r="R77" s="392">
        <f t="shared" si="4"/>
        <v>0</v>
      </c>
      <c r="S77" s="373"/>
      <c r="T77" s="374"/>
      <c r="U77" s="524">
        <f t="shared" si="9"/>
        <v>-75862.373000000007</v>
      </c>
      <c r="V77" s="520">
        <f t="shared" si="10"/>
        <v>75862.373000000007</v>
      </c>
      <c r="W77" s="524">
        <f t="shared" si="11"/>
        <v>0</v>
      </c>
      <c r="X77" s="520">
        <f t="shared" si="12"/>
        <v>75862.373000000007</v>
      </c>
      <c r="Y77" s="525">
        <f t="shared" si="13"/>
        <v>2200984.1120000002</v>
      </c>
    </row>
    <row r="78" spans="3:38" x14ac:dyDescent="0.2">
      <c r="C78" s="387">
        <f t="shared" si="5"/>
        <v>42246</v>
      </c>
      <c r="D78" s="388">
        <f t="shared" si="6"/>
        <v>149288.64774193548</v>
      </c>
      <c r="E78" s="392">
        <f t="shared" si="7"/>
        <v>0</v>
      </c>
      <c r="F78" s="428">
        <f t="shared" si="0"/>
        <v>0.90615690000000004</v>
      </c>
      <c r="G78" s="390">
        <f t="shared" si="1"/>
        <v>0</v>
      </c>
      <c r="H78" s="391">
        <f t="shared" si="2"/>
        <v>149289.55389883547</v>
      </c>
      <c r="I78" s="324"/>
      <c r="J78" s="325"/>
      <c r="K78" s="325">
        <v>75674.55</v>
      </c>
      <c r="L78" s="319"/>
      <c r="M78" s="320"/>
      <c r="N78" s="320"/>
      <c r="O78" s="320"/>
      <c r="P78" s="392">
        <f t="shared" si="8"/>
        <v>0</v>
      </c>
      <c r="Q78" s="392">
        <f t="shared" si="3"/>
        <v>0</v>
      </c>
      <c r="R78" s="392">
        <f t="shared" si="4"/>
        <v>0</v>
      </c>
      <c r="S78" s="373"/>
      <c r="T78" s="374"/>
      <c r="U78" s="524">
        <f t="shared" si="9"/>
        <v>-75674.55</v>
      </c>
      <c r="V78" s="520">
        <f t="shared" si="10"/>
        <v>75674.55</v>
      </c>
      <c r="W78" s="524">
        <f t="shared" si="11"/>
        <v>0</v>
      </c>
      <c r="X78" s="520">
        <f t="shared" si="12"/>
        <v>75674.55</v>
      </c>
      <c r="Y78" s="525">
        <f t="shared" si="13"/>
        <v>2276658.662</v>
      </c>
    </row>
    <row r="79" spans="3:38" ht="15" thickBot="1" x14ac:dyDescent="0.25">
      <c r="C79" s="393">
        <f t="shared" si="5"/>
        <v>42247</v>
      </c>
      <c r="D79" s="394">
        <f t="shared" si="6"/>
        <v>149288.64774193548</v>
      </c>
      <c r="E79" s="395">
        <f t="shared" si="7"/>
        <v>0</v>
      </c>
      <c r="F79" s="429">
        <f t="shared" si="0"/>
        <v>0.90615690000000004</v>
      </c>
      <c r="G79" s="396">
        <f t="shared" si="1"/>
        <v>0</v>
      </c>
      <c r="H79" s="397">
        <f t="shared" si="2"/>
        <v>149289.55389883547</v>
      </c>
      <c r="I79" s="326"/>
      <c r="J79" s="327"/>
      <c r="K79" s="327">
        <v>77536.907999999996</v>
      </c>
      <c r="L79" s="321"/>
      <c r="M79" s="322"/>
      <c r="N79" s="322"/>
      <c r="O79" s="322"/>
      <c r="P79" s="395">
        <f t="shared" si="8"/>
        <v>0</v>
      </c>
      <c r="Q79" s="395">
        <f t="shared" si="3"/>
        <v>0</v>
      </c>
      <c r="R79" s="395">
        <f t="shared" si="4"/>
        <v>0</v>
      </c>
      <c r="S79" s="375"/>
      <c r="T79" s="376"/>
      <c r="U79" s="521">
        <f t="shared" si="9"/>
        <v>-77536.907999999996</v>
      </c>
      <c r="V79" s="528">
        <f t="shared" si="10"/>
        <v>77536.907999999996</v>
      </c>
      <c r="W79" s="521">
        <f t="shared" si="11"/>
        <v>0</v>
      </c>
      <c r="X79" s="528">
        <f t="shared" si="12"/>
        <v>77536.907999999996</v>
      </c>
      <c r="Y79" s="529">
        <f t="shared" si="13"/>
        <v>2354195.5699999998</v>
      </c>
    </row>
    <row r="80" spans="3:38" ht="15" thickBot="1" x14ac:dyDescent="0.25">
      <c r="C80" s="398"/>
      <c r="D80" s="399">
        <f>SUM(D49:D79)</f>
        <v>4627948.0800000019</v>
      </c>
      <c r="E80" s="400">
        <f>SUM(E49:E79)</f>
        <v>0</v>
      </c>
      <c r="F80" s="400"/>
      <c r="G80" s="401">
        <f>SUM(G49:G79)</f>
        <v>0</v>
      </c>
      <c r="H80" s="399">
        <f>SUM(H49:H79)</f>
        <v>4627976.1708639013</v>
      </c>
      <c r="I80" s="432">
        <f>SUM(I49:I79)</f>
        <v>0</v>
      </c>
      <c r="J80" s="432">
        <f t="shared" ref="J80:R80" si="14">SUM(J49:J79)</f>
        <v>0</v>
      </c>
      <c r="K80" s="432">
        <f t="shared" si="14"/>
        <v>2354195.5699999998</v>
      </c>
      <c r="L80" s="432">
        <f t="shared" si="14"/>
        <v>0</v>
      </c>
      <c r="M80" s="432">
        <f t="shared" si="14"/>
        <v>0</v>
      </c>
      <c r="N80" s="432">
        <f t="shared" si="14"/>
        <v>0</v>
      </c>
      <c r="O80" s="432">
        <f t="shared" si="14"/>
        <v>0</v>
      </c>
      <c r="P80" s="432">
        <f t="shared" si="14"/>
        <v>0</v>
      </c>
      <c r="Q80" s="432">
        <f t="shared" si="14"/>
        <v>0</v>
      </c>
      <c r="R80" s="432">
        <f t="shared" si="14"/>
        <v>0</v>
      </c>
      <c r="U80" s="1"/>
      <c r="V80" s="328">
        <f>SUM(V49:V79)</f>
        <v>2354195.5699999998</v>
      </c>
      <c r="W80" s="328">
        <f>SUM(W49:W79)</f>
        <v>0</v>
      </c>
      <c r="X80" s="328">
        <f>SUM(X49:X79)</f>
        <v>2354195.5699999998</v>
      </c>
      <c r="Y80" s="323">
        <f>Y79</f>
        <v>2354195.5699999998</v>
      </c>
      <c r="AL80" s="361">
        <f>Y79</f>
        <v>2354195.5699999998</v>
      </c>
    </row>
    <row r="81" spans="2:14" ht="15" customHeight="1" x14ac:dyDescent="0.2">
      <c r="B81"/>
      <c r="C81"/>
      <c r="D81"/>
      <c r="E81"/>
      <c r="F81"/>
      <c r="G81"/>
      <c r="H81"/>
      <c r="I81"/>
      <c r="J81"/>
      <c r="K81"/>
      <c r="L81"/>
      <c r="N81" s="2"/>
    </row>
  </sheetData>
  <mergeCells count="13">
    <mergeCell ref="C10:D10"/>
    <mergeCell ref="C11:D11"/>
    <mergeCell ref="C3:M4"/>
    <mergeCell ref="C5:M5"/>
    <mergeCell ref="C6:M6"/>
    <mergeCell ref="G7:H7"/>
    <mergeCell ref="C9:D9"/>
    <mergeCell ref="D23:E23"/>
    <mergeCell ref="D24:E24"/>
    <mergeCell ref="C28:F28"/>
    <mergeCell ref="C39:F39"/>
    <mergeCell ref="S47:Y47"/>
    <mergeCell ref="L47:R47"/>
  </mergeCells>
  <conditionalFormatting sqref="L49:O79">
    <cfRule type="cellIs" dxfId="146" priority="1" stopIfTrue="1" operator="equal">
      <formula>0</formula>
    </cfRule>
  </conditionalFormatting>
  <pageMargins left="0.7" right="0.7" top="0.75" bottom="0.75" header="0.3" footer="0.3"/>
  <pageSetup orientation="portrait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L81"/>
  <sheetViews>
    <sheetView workbookViewId="0"/>
  </sheetViews>
  <sheetFormatPr baseColWidth="10" defaultColWidth="11" defaultRowHeight="14.25" x14ac:dyDescent="0.2"/>
  <cols>
    <col min="1" max="1" width="11" style="2"/>
    <col min="2" max="2" width="3.875" style="2" bestFit="1" customWidth="1"/>
    <col min="3" max="3" width="16.125" style="2" customWidth="1"/>
    <col min="4" max="4" width="12.375" style="2" bestFit="1" customWidth="1"/>
    <col min="5" max="5" width="10.875" style="2" bestFit="1" customWidth="1"/>
    <col min="6" max="6" width="17.125" style="2" bestFit="1" customWidth="1"/>
    <col min="7" max="7" width="13.125" style="2" bestFit="1" customWidth="1"/>
    <col min="8" max="8" width="12.125" style="2" bestFit="1" customWidth="1"/>
    <col min="9" max="9" width="11.125" style="2" bestFit="1" customWidth="1"/>
    <col min="10" max="10" width="11.875" style="2" bestFit="1" customWidth="1"/>
    <col min="11" max="11" width="11.625" style="2" bestFit="1" customWidth="1"/>
    <col min="12" max="12" width="12.125" style="2" customWidth="1"/>
    <col min="13" max="13" width="10.5" style="2" bestFit="1" customWidth="1"/>
    <col min="14" max="14" width="9" style="1" customWidth="1"/>
    <col min="15" max="15" width="10.375" style="2" customWidth="1"/>
    <col min="16" max="25" width="11" style="2"/>
    <col min="26" max="32" width="10.875" customWidth="1"/>
    <col min="33" max="16384" width="11" style="2"/>
  </cols>
  <sheetData>
    <row r="2" spans="2:25" x14ac:dyDescent="0.2"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2:25" ht="15" customHeight="1" x14ac:dyDescent="0.2">
      <c r="B3" s="1"/>
      <c r="C3" s="2254" t="s">
        <v>0</v>
      </c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</row>
    <row r="4" spans="2:25" ht="15" customHeight="1" x14ac:dyDescent="0.2"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</row>
    <row r="5" spans="2:25" x14ac:dyDescent="0.2">
      <c r="B5" s="1"/>
      <c r="C5" s="2257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</row>
    <row r="6" spans="2:25" x14ac:dyDescent="0.2">
      <c r="B6" s="1"/>
      <c r="C6" s="2257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</row>
    <row r="7" spans="2:25" x14ac:dyDescent="0.2">
      <c r="B7" s="1"/>
      <c r="C7" s="516"/>
      <c r="D7" s="516"/>
      <c r="E7" s="516"/>
      <c r="F7" s="516"/>
      <c r="G7" s="2271">
        <v>42278</v>
      </c>
      <c r="H7" s="2257"/>
      <c r="I7" s="516"/>
      <c r="J7" s="516"/>
      <c r="K7" s="516"/>
      <c r="L7" s="516"/>
      <c r="M7" s="516"/>
      <c r="N7" s="18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2:25" x14ac:dyDescent="0.2">
      <c r="B8" s="1"/>
      <c r="C8" s="516"/>
      <c r="D8" s="516"/>
      <c r="E8" s="516"/>
      <c r="F8" s="516"/>
      <c r="G8" s="516"/>
      <c r="H8" s="516"/>
      <c r="I8" s="516"/>
      <c r="J8" s="516"/>
      <c r="K8" s="516"/>
      <c r="L8" s="516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2:25" ht="25.5" x14ac:dyDescent="0.2">
      <c r="B9" s="1"/>
      <c r="C9" s="2272" t="s">
        <v>6</v>
      </c>
      <c r="D9" s="2272"/>
      <c r="E9" s="517" t="s">
        <v>94</v>
      </c>
      <c r="F9" s="517" t="s">
        <v>126</v>
      </c>
      <c r="G9" s="410" t="s">
        <v>133</v>
      </c>
      <c r="H9" s="517" t="s">
        <v>127</v>
      </c>
      <c r="I9" s="517" t="s">
        <v>128</v>
      </c>
      <c r="J9" s="516"/>
      <c r="K9" s="516"/>
      <c r="L9" s="516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2:25" x14ac:dyDescent="0.2">
      <c r="B10" s="1"/>
      <c r="C10" s="2270" t="s">
        <v>131</v>
      </c>
      <c r="D10" s="2270"/>
      <c r="E10" s="433">
        <f>IF(C15=0,D15,C15)</f>
        <v>4627948.08</v>
      </c>
      <c r="F10" s="407">
        <f>E10*0.16</f>
        <v>740471.69280000008</v>
      </c>
      <c r="G10" s="407">
        <f>E10+F10</f>
        <v>5368419.7728000004</v>
      </c>
      <c r="H10" s="408"/>
      <c r="I10" s="411">
        <v>19</v>
      </c>
      <c r="J10" s="516"/>
      <c r="K10" s="516"/>
      <c r="L10" s="516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2:25" x14ac:dyDescent="0.2">
      <c r="B11" s="1"/>
      <c r="C11" s="2270" t="s">
        <v>132</v>
      </c>
      <c r="D11" s="2270"/>
      <c r="E11" s="433">
        <f>IF(C16=0,D16,C16)</f>
        <v>2047.42</v>
      </c>
      <c r="F11" s="407">
        <f>E11*0.16</f>
        <v>327.5872</v>
      </c>
      <c r="G11" s="407">
        <f>E11+F11</f>
        <v>2375.0072</v>
      </c>
      <c r="H11" s="408"/>
      <c r="I11" s="411">
        <v>19</v>
      </c>
      <c r="J11" s="516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2:25" x14ac:dyDescent="0.2">
      <c r="B12" s="1"/>
      <c r="C12" s="516"/>
      <c r="D12" s="516"/>
      <c r="E12" s="516"/>
      <c r="F12" s="516"/>
      <c r="G12" s="516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2:25" ht="15" thickBot="1" x14ac:dyDescent="0.25">
      <c r="B13" s="1"/>
      <c r="C13" s="516"/>
      <c r="D13" s="516"/>
      <c r="E13" s="516"/>
      <c r="F13" s="516"/>
      <c r="G13" s="516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2:25" x14ac:dyDescent="0.2">
      <c r="B14" s="1"/>
      <c r="C14" s="440" t="s">
        <v>155</v>
      </c>
      <c r="D14" s="441" t="s">
        <v>156</v>
      </c>
      <c r="E14" s="442" t="s">
        <v>112</v>
      </c>
      <c r="F14" s="516"/>
      <c r="G14" s="516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2:25" x14ac:dyDescent="0.2">
      <c r="B15" s="1"/>
      <c r="C15" s="443">
        <v>4627948.08</v>
      </c>
      <c r="D15" s="444">
        <f>D80</f>
        <v>4627948.0800000019</v>
      </c>
      <c r="E15" s="445">
        <f>C15-D15</f>
        <v>0</v>
      </c>
      <c r="F15" s="516"/>
      <c r="G15" s="516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2:25" ht="15" thickBot="1" x14ac:dyDescent="0.25">
      <c r="B16" s="1"/>
      <c r="C16" s="446">
        <v>2047.42</v>
      </c>
      <c r="D16" s="447">
        <f>ROUND(G80,2)</f>
        <v>0</v>
      </c>
      <c r="E16" s="448">
        <f>C16-D16</f>
        <v>2047.42</v>
      </c>
      <c r="F16" s="516"/>
      <c r="G16" s="516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2:25" x14ac:dyDescent="0.2">
      <c r="B17" s="1"/>
      <c r="C17" s="516"/>
      <c r="D17" s="516"/>
      <c r="E17" s="516"/>
      <c r="F17" s="516"/>
      <c r="G17" s="516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2:25" x14ac:dyDescent="0.2">
      <c r="B18" s="1"/>
      <c r="C18" s="516"/>
      <c r="D18" s="516"/>
      <c r="E18" s="516"/>
      <c r="F18" s="516"/>
      <c r="G18" s="516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2:25" x14ac:dyDescent="0.2">
      <c r="B19" s="1"/>
      <c r="C19" s="516"/>
      <c r="D19" s="516"/>
      <c r="E19" s="516"/>
      <c r="F19" s="516"/>
      <c r="G19" s="516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2:25" x14ac:dyDescent="0.2">
      <c r="B20" s="1"/>
      <c r="C20" s="516"/>
      <c r="D20" s="516"/>
      <c r="E20" s="516"/>
      <c r="F20" s="516"/>
      <c r="G20" s="516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2:25" x14ac:dyDescent="0.2">
      <c r="B21" s="1"/>
      <c r="C21" s="516"/>
      <c r="D21" s="516"/>
      <c r="E21" s="516"/>
      <c r="F21" s="516"/>
      <c r="G21" s="516"/>
      <c r="H21" s="1"/>
      <c r="I21" s="1"/>
      <c r="J21" s="1"/>
      <c r="K21" s="1"/>
      <c r="L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2:25" ht="15" thickBot="1" x14ac:dyDescent="0.25">
      <c r="B22" s="1"/>
      <c r="C22" s="419" t="s">
        <v>137</v>
      </c>
      <c r="D22" s="516" t="s">
        <v>138</v>
      </c>
      <c r="E22" s="516"/>
      <c r="F22" s="516" t="s">
        <v>139</v>
      </c>
      <c r="G22" s="516" t="s">
        <v>157</v>
      </c>
      <c r="H22" s="516" t="s">
        <v>143</v>
      </c>
      <c r="I22" s="516" t="s">
        <v>142</v>
      </c>
      <c r="J22" s="516" t="s">
        <v>141</v>
      </c>
      <c r="K22" s="516" t="s">
        <v>140</v>
      </c>
      <c r="L22" s="516" t="s">
        <v>144</v>
      </c>
      <c r="M22" s="516" t="s">
        <v>146</v>
      </c>
      <c r="N22" s="516"/>
      <c r="O22" s="516"/>
      <c r="P22" s="516"/>
      <c r="Q22" s="1"/>
      <c r="R22" s="1"/>
      <c r="S22" s="1"/>
      <c r="T22" s="1"/>
      <c r="U22" s="1"/>
      <c r="V22" s="1"/>
      <c r="W22" s="1"/>
      <c r="X22" s="1"/>
      <c r="Y22" s="1"/>
    </row>
    <row r="23" spans="2:25" ht="36.75" customHeight="1" x14ac:dyDescent="0.2">
      <c r="B23" s="1"/>
      <c r="C23" s="402" t="s">
        <v>134</v>
      </c>
      <c r="D23" s="2261" t="s">
        <v>135</v>
      </c>
      <c r="E23" s="2262"/>
      <c r="F23" s="518" t="s">
        <v>136</v>
      </c>
      <c r="G23" s="461" t="s">
        <v>153</v>
      </c>
      <c r="H23" s="420" t="s">
        <v>129</v>
      </c>
      <c r="I23" s="403" t="s">
        <v>130</v>
      </c>
      <c r="J23" s="422"/>
      <c r="K23" s="422"/>
      <c r="L23" s="422"/>
      <c r="M23" s="404" t="s">
        <v>158</v>
      </c>
      <c r="N23" s="516"/>
      <c r="O23" s="516"/>
      <c r="P23" s="516"/>
      <c r="Q23" s="516"/>
      <c r="R23" s="516"/>
      <c r="S23" s="516"/>
      <c r="T23" s="516"/>
      <c r="U23" s="1"/>
      <c r="V23" s="1"/>
      <c r="W23" s="1"/>
      <c r="X23" s="1"/>
      <c r="Y23" s="1"/>
    </row>
    <row r="24" spans="2:25" x14ac:dyDescent="0.2">
      <c r="B24" s="1"/>
      <c r="C24" s="405">
        <v>850</v>
      </c>
      <c r="D24" s="2263">
        <v>850</v>
      </c>
      <c r="E24" s="2264"/>
      <c r="F24" s="418">
        <v>31482640</v>
      </c>
      <c r="G24" s="462">
        <v>31</v>
      </c>
      <c r="H24" s="460">
        <f>VLOOKUP(C47,Tarifas!D4:H303,3)</f>
        <v>0.14699999999999999</v>
      </c>
      <c r="I24" s="424">
        <f>VLOOKUP(C47,Tarifas!D4:H303,5)</f>
        <v>1E-3</v>
      </c>
      <c r="J24" s="421">
        <v>182.5</v>
      </c>
      <c r="K24" s="421">
        <v>201.4</v>
      </c>
      <c r="L24" s="421">
        <f>I11</f>
        <v>19</v>
      </c>
      <c r="M24" s="431">
        <f>E80</f>
        <v>0</v>
      </c>
      <c r="N24" s="430" t="s">
        <v>62</v>
      </c>
      <c r="O24" s="516"/>
      <c r="P24" s="516"/>
      <c r="Q24" s="516"/>
      <c r="R24" s="516"/>
      <c r="S24" s="516"/>
      <c r="T24" s="516"/>
      <c r="U24" s="1"/>
      <c r="V24" s="1"/>
      <c r="W24" s="1"/>
      <c r="X24" s="1"/>
      <c r="Y24" s="1"/>
    </row>
    <row r="25" spans="2:25" x14ac:dyDescent="0.2">
      <c r="B25" s="1"/>
      <c r="C25" s="516"/>
      <c r="D25" s="516"/>
      <c r="E25" s="516"/>
      <c r="F25" s="516"/>
      <c r="G25" s="516"/>
      <c r="H25" s="516"/>
      <c r="I25" s="516"/>
      <c r="J25" s="516"/>
      <c r="K25" s="516"/>
      <c r="L25" s="516"/>
      <c r="M25" s="516"/>
      <c r="N25" s="516"/>
      <c r="O25" s="516"/>
      <c r="P25" s="516"/>
      <c r="Q25" s="516"/>
      <c r="R25" s="516"/>
      <c r="S25" s="1"/>
      <c r="T25" s="1"/>
      <c r="U25" s="1"/>
      <c r="V25" s="1"/>
      <c r="W25" s="1"/>
      <c r="X25" s="1"/>
      <c r="Y25" s="1"/>
    </row>
    <row r="26" spans="2:25" x14ac:dyDescent="0.2">
      <c r="B26" s="1"/>
      <c r="C26" s="516"/>
      <c r="D26" s="516"/>
      <c r="E26" s="516"/>
      <c r="F26" s="516"/>
      <c r="G26" s="516"/>
      <c r="H26" s="516"/>
      <c r="I26" s="516"/>
      <c r="J26" s="516"/>
      <c r="K26" s="516"/>
      <c r="L26" s="516"/>
      <c r="M26" s="516"/>
      <c r="N26" s="516"/>
      <c r="O26" s="516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2:25" x14ac:dyDescent="0.2">
      <c r="B27" s="1"/>
      <c r="C27" s="516"/>
      <c r="D27" s="516"/>
      <c r="E27" s="516"/>
      <c r="F27" s="516"/>
      <c r="G27" s="516"/>
      <c r="H27" s="516"/>
      <c r="I27" s="516"/>
      <c r="J27" s="516"/>
      <c r="K27" s="516"/>
      <c r="L27" s="516"/>
      <c r="M27" s="516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2:25" ht="15" thickBot="1" x14ac:dyDescent="0.25">
      <c r="B28" s="1"/>
      <c r="C28" s="2265" t="s">
        <v>86</v>
      </c>
      <c r="D28" s="2265"/>
      <c r="E28" s="2265"/>
      <c r="F28" s="2265"/>
      <c r="G28" s="519"/>
      <c r="H28" s="334"/>
      <c r="I28" s="334"/>
      <c r="J28" s="334"/>
      <c r="K28" s="519"/>
      <c r="L28" s="336"/>
      <c r="M28" s="336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2:25" ht="22.5" x14ac:dyDescent="0.2">
      <c r="B29" s="1"/>
      <c r="C29" s="337" t="s">
        <v>87</v>
      </c>
      <c r="D29" s="514" t="s">
        <v>88</v>
      </c>
      <c r="E29" s="514" t="s">
        <v>89</v>
      </c>
      <c r="F29" s="514" t="s">
        <v>20</v>
      </c>
      <c r="G29" s="514" t="s">
        <v>160</v>
      </c>
      <c r="H29" s="514" t="s">
        <v>90</v>
      </c>
      <c r="I29" s="514" t="s">
        <v>91</v>
      </c>
      <c r="J29" s="514" t="s">
        <v>92</v>
      </c>
      <c r="K29" s="514" t="s">
        <v>93</v>
      </c>
      <c r="L29" s="514" t="s">
        <v>94</v>
      </c>
      <c r="M29" s="515" t="s">
        <v>95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2:25" x14ac:dyDescent="0.2">
      <c r="B30" s="1"/>
      <c r="C30" s="338"/>
      <c r="D30" s="339">
        <v>1</v>
      </c>
      <c r="E30" s="339" t="s">
        <v>96</v>
      </c>
      <c r="F30" s="340" t="s">
        <v>97</v>
      </c>
      <c r="G30" s="340">
        <v>2201</v>
      </c>
      <c r="H30" s="339">
        <v>20823</v>
      </c>
      <c r="I30" s="341">
        <v>40000</v>
      </c>
      <c r="J30" s="339">
        <v>138.15</v>
      </c>
      <c r="K30" s="342">
        <f>I30/I$35</f>
        <v>4.7058823529411764E-2</v>
      </c>
      <c r="L30" s="343">
        <f>ROUND(K30*E$10,2)</f>
        <v>217785.79</v>
      </c>
      <c r="M30" s="344">
        <f>L30*$I$10</f>
        <v>4137930.0100000002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2:25" x14ac:dyDescent="0.2">
      <c r="B31" s="1"/>
      <c r="C31" s="338"/>
      <c r="D31" s="339">
        <v>2</v>
      </c>
      <c r="E31" s="339" t="s">
        <v>98</v>
      </c>
      <c r="F31" s="340" t="s">
        <v>97</v>
      </c>
      <c r="G31" s="340">
        <v>2201</v>
      </c>
      <c r="H31" s="339">
        <v>20824</v>
      </c>
      <c r="I31" s="341">
        <v>40000</v>
      </c>
      <c r="J31" s="339">
        <v>138.15</v>
      </c>
      <c r="K31" s="342">
        <f>I31/I$35</f>
        <v>4.7058823529411764E-2</v>
      </c>
      <c r="L31" s="343">
        <f>ROUND(K31*E$10,2)</f>
        <v>217785.79</v>
      </c>
      <c r="M31" s="344">
        <f>L31*$I$10</f>
        <v>4137930.0100000002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2:25" x14ac:dyDescent="0.2">
      <c r="B32" s="1"/>
      <c r="C32" s="338"/>
      <c r="D32" s="339">
        <v>1</v>
      </c>
      <c r="E32" s="339" t="s">
        <v>99</v>
      </c>
      <c r="F32" s="340" t="s">
        <v>100</v>
      </c>
      <c r="G32" s="340">
        <v>2230</v>
      </c>
      <c r="H32" s="339">
        <v>22228</v>
      </c>
      <c r="I32" s="341">
        <v>32000</v>
      </c>
      <c r="J32" s="339">
        <v>130.80000000000001</v>
      </c>
      <c r="K32" s="342">
        <f>I32/I$35</f>
        <v>3.7647058823529408E-2</v>
      </c>
      <c r="L32" s="343">
        <f>ROUND(K32*E$10,2)</f>
        <v>174228.63</v>
      </c>
      <c r="M32" s="344">
        <f>L32*$I$10</f>
        <v>3310343.97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2:25" x14ac:dyDescent="0.2">
      <c r="B33" s="1"/>
      <c r="C33" s="338">
        <v>800762390</v>
      </c>
      <c r="D33" s="339">
        <v>1</v>
      </c>
      <c r="E33" s="354" t="s">
        <v>101</v>
      </c>
      <c r="F33" s="463" t="s">
        <v>23</v>
      </c>
      <c r="G33" s="463">
        <v>2044</v>
      </c>
      <c r="H33" s="354">
        <v>591000420</v>
      </c>
      <c r="I33" s="341">
        <v>80000</v>
      </c>
      <c r="J33" s="339"/>
      <c r="K33" s="342">
        <f>I33/I$35</f>
        <v>9.4117647058823528E-2</v>
      </c>
      <c r="L33" s="343">
        <f>ROUND(K33*E$10,2)</f>
        <v>435571.58</v>
      </c>
      <c r="M33" s="344">
        <f>L33*$I$10</f>
        <v>8275860.0200000005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2:25" ht="15" thickBot="1" x14ac:dyDescent="0.25">
      <c r="B34" s="1"/>
      <c r="C34" s="345">
        <v>800642440</v>
      </c>
      <c r="D34" s="346">
        <v>5</v>
      </c>
      <c r="E34" s="347" t="s">
        <v>101</v>
      </c>
      <c r="F34" s="348" t="s">
        <v>159</v>
      </c>
      <c r="G34" s="348">
        <v>2277</v>
      </c>
      <c r="H34" s="347">
        <v>22770</v>
      </c>
      <c r="I34" s="349">
        <f>850000-I30-I31-I32-I33</f>
        <v>658000</v>
      </c>
      <c r="J34" s="346"/>
      <c r="K34" s="350">
        <f>I34/I$35</f>
        <v>0.77411764705882358</v>
      </c>
      <c r="L34" s="351">
        <f>ROUND(K34*E$10,2)</f>
        <v>3582576.28</v>
      </c>
      <c r="M34" s="352">
        <f>L34*$I$10</f>
        <v>68068949.319999993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2:25" x14ac:dyDescent="0.2">
      <c r="B35" s="1"/>
      <c r="C35" s="406">
        <v>3000623</v>
      </c>
      <c r="D35" s="353" t="s">
        <v>102</v>
      </c>
      <c r="E35" s="353"/>
      <c r="F35" s="353"/>
      <c r="G35" s="353"/>
      <c r="H35" s="354"/>
      <c r="I35" s="355">
        <f>SUM(I30:I34)</f>
        <v>850000</v>
      </c>
      <c r="J35" s="353"/>
      <c r="K35" s="356">
        <f>SUM(K30:K34)</f>
        <v>1</v>
      </c>
      <c r="L35" s="357">
        <f>SUM(L30:L34)</f>
        <v>4627948.07</v>
      </c>
      <c r="M35" s="357">
        <f>SUM(M30:M33)</f>
        <v>19862064.010000002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2:25" x14ac:dyDescent="0.2">
      <c r="B36" s="1"/>
      <c r="C36" s="336"/>
      <c r="D36" s="336"/>
      <c r="E36" s="336"/>
      <c r="F36" s="358"/>
      <c r="G36" s="358"/>
      <c r="H36" s="336"/>
      <c r="I36" s="336"/>
      <c r="J36" s="336"/>
      <c r="K36" s="336"/>
      <c r="L36" s="359"/>
      <c r="M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2:25" x14ac:dyDescent="0.2">
      <c r="B37" s="1"/>
      <c r="C37" s="336"/>
      <c r="D37" s="336"/>
      <c r="E37" s="336"/>
      <c r="F37" s="358"/>
      <c r="G37" s="358"/>
      <c r="H37" s="336"/>
      <c r="I37" s="336"/>
      <c r="J37" s="336"/>
      <c r="K37" s="336"/>
      <c r="L37" s="359"/>
      <c r="M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2:25" x14ac:dyDescent="0.2">
      <c r="B38" s="1"/>
      <c r="C38" s="336"/>
      <c r="D38" s="336"/>
      <c r="E38" s="336"/>
      <c r="F38" s="358"/>
      <c r="G38" s="358"/>
      <c r="H38" s="336"/>
      <c r="I38" s="336"/>
      <c r="J38" s="336"/>
      <c r="K38" s="336"/>
      <c r="L38" s="359"/>
      <c r="M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2:25" ht="15" thickBot="1" x14ac:dyDescent="0.25">
      <c r="B39" s="1"/>
      <c r="C39" s="2266" t="s">
        <v>103</v>
      </c>
      <c r="D39" s="2266"/>
      <c r="E39" s="2266"/>
      <c r="F39" s="2266"/>
      <c r="G39" s="519"/>
      <c r="H39" s="334"/>
      <c r="I39" s="334"/>
      <c r="J39" s="334"/>
      <c r="K39" s="336"/>
      <c r="L39" s="336"/>
      <c r="M39" s="360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2:25" ht="22.5" x14ac:dyDescent="0.2">
      <c r="B40" s="1"/>
      <c r="C40" s="337" t="s">
        <v>87</v>
      </c>
      <c r="D40" s="514" t="s">
        <v>88</v>
      </c>
      <c r="E40" s="514" t="s">
        <v>89</v>
      </c>
      <c r="F40" s="514" t="s">
        <v>20</v>
      </c>
      <c r="G40" s="514"/>
      <c r="H40" s="514" t="s">
        <v>90</v>
      </c>
      <c r="I40" s="514" t="s">
        <v>104</v>
      </c>
      <c r="J40" s="514" t="s">
        <v>93</v>
      </c>
      <c r="K40" s="514" t="s">
        <v>92</v>
      </c>
      <c r="L40" s="514" t="s">
        <v>94</v>
      </c>
      <c r="M40" s="515" t="s">
        <v>95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2:25" x14ac:dyDescent="0.2">
      <c r="B41" s="1"/>
      <c r="C41" s="338"/>
      <c r="D41" s="339">
        <v>1</v>
      </c>
      <c r="E41" s="339" t="s">
        <v>96</v>
      </c>
      <c r="F41" s="340" t="s">
        <v>97</v>
      </c>
      <c r="G41" s="340"/>
      <c r="H41" s="339">
        <v>20823</v>
      </c>
      <c r="I41" s="341">
        <f>M80</f>
        <v>0</v>
      </c>
      <c r="J41" s="342" t="e">
        <f>I41/I$45</f>
        <v>#DIV/0!</v>
      </c>
      <c r="K41" s="339">
        <v>138.15</v>
      </c>
      <c r="L41" s="343" t="e">
        <f>ROUND(J41*$E$11,2)</f>
        <v>#DIV/0!</v>
      </c>
      <c r="M41" s="344" t="e">
        <f>L41*L24</f>
        <v>#DIV/0!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2:25" x14ac:dyDescent="0.2">
      <c r="B42" s="1"/>
      <c r="C42" s="338"/>
      <c r="D42" s="339">
        <v>2</v>
      </c>
      <c r="E42" s="339" t="s">
        <v>98</v>
      </c>
      <c r="F42" s="340" t="s">
        <v>97</v>
      </c>
      <c r="G42" s="340"/>
      <c r="H42" s="339">
        <v>20824</v>
      </c>
      <c r="I42" s="341">
        <f>N80</f>
        <v>0</v>
      </c>
      <c r="J42" s="342" t="e">
        <f>I42/I$45</f>
        <v>#DIV/0!</v>
      </c>
      <c r="K42" s="339">
        <v>138.15</v>
      </c>
      <c r="L42" s="343" t="e">
        <f>ROUND(J42*$E$11,2)</f>
        <v>#DIV/0!</v>
      </c>
      <c r="M42" s="344" t="e">
        <f>L42*L25</f>
        <v>#DIV/0!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2:25" x14ac:dyDescent="0.2">
      <c r="B43" s="1"/>
      <c r="C43" s="338"/>
      <c r="D43" s="339">
        <v>1</v>
      </c>
      <c r="E43" s="339" t="s">
        <v>99</v>
      </c>
      <c r="F43" s="340" t="s">
        <v>100</v>
      </c>
      <c r="G43" s="340"/>
      <c r="H43" s="339">
        <v>22228</v>
      </c>
      <c r="I43" s="341">
        <f>O80</f>
        <v>0</v>
      </c>
      <c r="J43" s="342" t="e">
        <f>I43/I$45</f>
        <v>#DIV/0!</v>
      </c>
      <c r="K43" s="339">
        <v>130.80000000000001</v>
      </c>
      <c r="L43" s="343" t="e">
        <f>ROUND(J43*$E$11,2)</f>
        <v>#DIV/0!</v>
      </c>
      <c r="M43" s="344" t="e">
        <f>L43*L26</f>
        <v>#DIV/0!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2:25" ht="15" thickBot="1" x14ac:dyDescent="0.25">
      <c r="B44" s="1"/>
      <c r="C44" s="345">
        <v>800762390</v>
      </c>
      <c r="D44" s="346">
        <v>2</v>
      </c>
      <c r="E44" s="347" t="s">
        <v>101</v>
      </c>
      <c r="F44" s="348" t="s">
        <v>23</v>
      </c>
      <c r="G44" s="348"/>
      <c r="H44" s="347"/>
      <c r="I44" s="349">
        <f>L80</f>
        <v>0</v>
      </c>
      <c r="J44" s="350" t="e">
        <f>I44/I$45</f>
        <v>#DIV/0!</v>
      </c>
      <c r="K44" s="346">
        <v>138.15</v>
      </c>
      <c r="L44" s="351" t="e">
        <f>ROUND(J44*$E$11,2)</f>
        <v>#DIV/0!</v>
      </c>
      <c r="M44" s="352" t="e">
        <f>L44*L27</f>
        <v>#DIV/0!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2:25" x14ac:dyDescent="0.2">
      <c r="B45" s="1"/>
      <c r="C45" s="353"/>
      <c r="D45" s="353"/>
      <c r="E45" s="353"/>
      <c r="F45" s="353"/>
      <c r="G45" s="353"/>
      <c r="H45" s="354"/>
      <c r="I45" s="449">
        <f>SUM(I41:I44)</f>
        <v>0</v>
      </c>
      <c r="J45" s="355"/>
      <c r="K45" s="353"/>
      <c r="L45" s="357" t="e">
        <f>SUM(L41:L44)</f>
        <v>#DIV/0!</v>
      </c>
      <c r="M45" s="357" t="e">
        <f>SUM(M41:M44)</f>
        <v>#DIV/0!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2:25" customFormat="1" ht="15" thickBot="1" x14ac:dyDescent="0.25">
      <c r="M46" s="450"/>
      <c r="N46" s="450"/>
      <c r="O46" s="450"/>
      <c r="P46" s="450"/>
      <c r="Q46" s="450"/>
      <c r="R46" s="450"/>
      <c r="S46" s="450"/>
      <c r="T46" s="450"/>
      <c r="U46" s="450"/>
      <c r="V46" s="450"/>
      <c r="W46" s="450"/>
      <c r="X46" s="450"/>
      <c r="Y46" s="450"/>
    </row>
    <row r="47" spans="2:25" ht="15" thickBot="1" x14ac:dyDescent="0.25">
      <c r="B47" s="434" t="s">
        <v>3</v>
      </c>
      <c r="C47" s="1445">
        <f>SUMIF(Tarifas!E4:E303,'Octubre - 2015'!C49,Tarifas!D4:D303)</f>
        <v>27</v>
      </c>
      <c r="D47" s="425" t="s">
        <v>147</v>
      </c>
      <c r="E47" s="426" t="s">
        <v>145</v>
      </c>
      <c r="F47" s="426" t="s">
        <v>150</v>
      </c>
      <c r="G47" s="426" t="s">
        <v>148</v>
      </c>
      <c r="H47" s="382"/>
      <c r="I47" s="331" t="s">
        <v>120</v>
      </c>
      <c r="J47" s="332"/>
      <c r="K47" s="332"/>
      <c r="L47" s="2280" t="s">
        <v>105</v>
      </c>
      <c r="M47" s="2281"/>
      <c r="N47" s="2281"/>
      <c r="O47" s="2281"/>
      <c r="P47" s="2281"/>
      <c r="Q47" s="2281"/>
      <c r="R47" s="2282"/>
      <c r="S47" s="2274" t="s">
        <v>121</v>
      </c>
      <c r="T47" s="2275"/>
      <c r="U47" s="2275"/>
      <c r="V47" s="2275"/>
      <c r="W47" s="2275"/>
      <c r="X47" s="2275"/>
      <c r="Y47" s="2276"/>
    </row>
    <row r="48" spans="2:25" ht="34.5" thickBot="1" x14ac:dyDescent="0.25">
      <c r="C48" s="1427" t="s">
        <v>122</v>
      </c>
      <c r="D48" s="1428" t="s">
        <v>125</v>
      </c>
      <c r="E48" s="1429" t="s">
        <v>149</v>
      </c>
      <c r="F48" s="1429" t="s">
        <v>151</v>
      </c>
      <c r="G48" s="1429" t="s">
        <v>152</v>
      </c>
      <c r="H48" s="1430" t="s">
        <v>123</v>
      </c>
      <c r="I48" s="1450" t="s">
        <v>377</v>
      </c>
      <c r="J48" s="1451" t="s">
        <v>376</v>
      </c>
      <c r="K48" s="1451" t="s">
        <v>375</v>
      </c>
      <c r="L48" s="1437" t="s">
        <v>115</v>
      </c>
      <c r="M48" s="1438" t="s">
        <v>106</v>
      </c>
      <c r="N48" s="1438" t="s">
        <v>107</v>
      </c>
      <c r="O48" s="1438" t="s">
        <v>108</v>
      </c>
      <c r="P48" s="1438" t="s">
        <v>115</v>
      </c>
      <c r="Q48" s="1439" t="s">
        <v>116</v>
      </c>
      <c r="R48" s="1440" t="s">
        <v>117</v>
      </c>
      <c r="S48" s="1441" t="s">
        <v>110</v>
      </c>
      <c r="T48" s="1442" t="s">
        <v>111</v>
      </c>
      <c r="U48" s="1442" t="s">
        <v>112</v>
      </c>
      <c r="V48" s="1443" t="s">
        <v>118</v>
      </c>
      <c r="W48" s="1443" t="s">
        <v>119</v>
      </c>
      <c r="X48" s="1443" t="s">
        <v>114</v>
      </c>
      <c r="Y48" s="1444" t="s">
        <v>113</v>
      </c>
    </row>
    <row r="49" spans="3:25" x14ac:dyDescent="0.2">
      <c r="C49" s="387">
        <f>G7</f>
        <v>42278</v>
      </c>
      <c r="D49" s="388">
        <f>($F$24*$H$24)/$G$24</f>
        <v>149288.64774193548</v>
      </c>
      <c r="E49" s="389">
        <f>P49+Q49+R49</f>
        <v>0</v>
      </c>
      <c r="F49" s="427">
        <f t="shared" ref="F49:F79" si="0">TRUNC(IFERROR(J$24/K$24,0),8)</f>
        <v>0.90615690000000004</v>
      </c>
      <c r="G49" s="390">
        <f t="shared" ref="G49:G79" si="1">ROUND(I$24*F49*E49,4)</f>
        <v>0</v>
      </c>
      <c r="H49" s="391">
        <f t="shared" ref="H49:H79" si="2">SUM(D49:G49)</f>
        <v>149289.55389883547</v>
      </c>
      <c r="I49" s="324"/>
      <c r="J49" s="325"/>
      <c r="K49" s="325">
        <v>77086.788</v>
      </c>
      <c r="L49" s="317"/>
      <c r="M49" s="318"/>
      <c r="N49" s="318"/>
      <c r="O49" s="318"/>
      <c r="P49" s="389">
        <f>L49</f>
        <v>0</v>
      </c>
      <c r="Q49" s="389">
        <f t="shared" ref="Q49:Q79" si="3">M49+N49</f>
        <v>0</v>
      </c>
      <c r="R49" s="389">
        <f t="shared" ref="R49:R79" si="4">O49</f>
        <v>0</v>
      </c>
      <c r="S49" s="373"/>
      <c r="T49" s="374"/>
      <c r="U49" s="524">
        <f>S49+T49-V49</f>
        <v>-77086.788</v>
      </c>
      <c r="V49" s="520">
        <f>I49+J49+K49</f>
        <v>77086.788</v>
      </c>
      <c r="W49" s="524">
        <f>(P49+Q49+R49)*1.055056</f>
        <v>0</v>
      </c>
      <c r="X49" s="520">
        <f>V49-W49</f>
        <v>77086.788</v>
      </c>
      <c r="Y49" s="525">
        <f>AL46+X49</f>
        <v>77086.788</v>
      </c>
    </row>
    <row r="50" spans="3:25" x14ac:dyDescent="0.2">
      <c r="C50" s="387">
        <f t="shared" ref="C50:C79" si="5">C49+1</f>
        <v>42279</v>
      </c>
      <c r="D50" s="388">
        <f t="shared" ref="D50:D79" si="6">($F$24*$H$24)/$G$24</f>
        <v>149288.64774193548</v>
      </c>
      <c r="E50" s="392">
        <f t="shared" ref="E50:E79" si="7">P50+Q50+R50</f>
        <v>0</v>
      </c>
      <c r="F50" s="428">
        <f t="shared" si="0"/>
        <v>0.90615690000000004</v>
      </c>
      <c r="G50" s="390">
        <f t="shared" si="1"/>
        <v>0</v>
      </c>
      <c r="H50" s="391">
        <f t="shared" si="2"/>
        <v>149289.55389883547</v>
      </c>
      <c r="I50" s="324"/>
      <c r="J50" s="325"/>
      <c r="K50" s="325">
        <v>76962.679999999993</v>
      </c>
      <c r="L50" s="319"/>
      <c r="M50" s="320"/>
      <c r="N50" s="320"/>
      <c r="O50" s="320"/>
      <c r="P50" s="392">
        <f t="shared" ref="P50:P79" si="8">L50</f>
        <v>0</v>
      </c>
      <c r="Q50" s="392">
        <f t="shared" si="3"/>
        <v>0</v>
      </c>
      <c r="R50" s="392">
        <f t="shared" si="4"/>
        <v>0</v>
      </c>
      <c r="S50" s="373"/>
      <c r="T50" s="374"/>
      <c r="U50" s="524">
        <f t="shared" ref="U50:U79" si="9">S50+T50-V50</f>
        <v>-76962.679999999993</v>
      </c>
      <c r="V50" s="520">
        <f t="shared" ref="V50:V79" si="10">I50+J50+K50</f>
        <v>76962.679999999993</v>
      </c>
      <c r="W50" s="524">
        <f t="shared" ref="W50:W79" si="11">(P50+Q50+R50)*1.055056</f>
        <v>0</v>
      </c>
      <c r="X50" s="520">
        <f t="shared" ref="X50:X79" si="12">V50-W50</f>
        <v>76962.679999999993</v>
      </c>
      <c r="Y50" s="525">
        <f>Y49+X50</f>
        <v>154049.46799999999</v>
      </c>
    </row>
    <row r="51" spans="3:25" x14ac:dyDescent="0.2">
      <c r="C51" s="387">
        <f t="shared" si="5"/>
        <v>42280</v>
      </c>
      <c r="D51" s="388">
        <f t="shared" si="6"/>
        <v>149288.64774193548</v>
      </c>
      <c r="E51" s="392">
        <f t="shared" si="7"/>
        <v>0</v>
      </c>
      <c r="F51" s="428">
        <f t="shared" si="0"/>
        <v>0.90615690000000004</v>
      </c>
      <c r="G51" s="390">
        <f t="shared" si="1"/>
        <v>0</v>
      </c>
      <c r="H51" s="391">
        <f t="shared" si="2"/>
        <v>149289.55389883547</v>
      </c>
      <c r="I51" s="324"/>
      <c r="J51" s="325"/>
      <c r="K51" s="325">
        <v>75313.61</v>
      </c>
      <c r="L51" s="317"/>
      <c r="M51" s="318"/>
      <c r="N51" s="318"/>
      <c r="O51" s="318"/>
      <c r="P51" s="392">
        <f t="shared" si="8"/>
        <v>0</v>
      </c>
      <c r="Q51" s="392">
        <f t="shared" si="3"/>
        <v>0</v>
      </c>
      <c r="R51" s="392">
        <f t="shared" si="4"/>
        <v>0</v>
      </c>
      <c r="S51" s="373"/>
      <c r="T51" s="374"/>
      <c r="U51" s="524">
        <f t="shared" si="9"/>
        <v>-75313.61</v>
      </c>
      <c r="V51" s="520">
        <f t="shared" si="10"/>
        <v>75313.61</v>
      </c>
      <c r="W51" s="524">
        <f t="shared" si="11"/>
        <v>0</v>
      </c>
      <c r="X51" s="520">
        <f t="shared" si="12"/>
        <v>75313.61</v>
      </c>
      <c r="Y51" s="525">
        <f t="shared" ref="Y51:Y79" si="13">Y50+X51</f>
        <v>229363.07799999998</v>
      </c>
    </row>
    <row r="52" spans="3:25" x14ac:dyDescent="0.2">
      <c r="C52" s="387">
        <f t="shared" si="5"/>
        <v>42281</v>
      </c>
      <c r="D52" s="388">
        <f t="shared" si="6"/>
        <v>149288.64774193548</v>
      </c>
      <c r="E52" s="392">
        <f t="shared" si="7"/>
        <v>0</v>
      </c>
      <c r="F52" s="428">
        <f t="shared" si="0"/>
        <v>0.90615690000000004</v>
      </c>
      <c r="G52" s="390">
        <f t="shared" si="1"/>
        <v>0</v>
      </c>
      <c r="H52" s="391">
        <f t="shared" si="2"/>
        <v>149289.55389883547</v>
      </c>
      <c r="I52" s="324"/>
      <c r="J52" s="325"/>
      <c r="K52" s="325">
        <v>73345.66</v>
      </c>
      <c r="L52" s="319"/>
      <c r="M52" s="320"/>
      <c r="N52" s="320"/>
      <c r="O52" s="320"/>
      <c r="P52" s="392">
        <f t="shared" si="8"/>
        <v>0</v>
      </c>
      <c r="Q52" s="392">
        <f t="shared" si="3"/>
        <v>0</v>
      </c>
      <c r="R52" s="392">
        <f t="shared" si="4"/>
        <v>0</v>
      </c>
      <c r="S52" s="373"/>
      <c r="T52" s="374"/>
      <c r="U52" s="524">
        <f t="shared" si="9"/>
        <v>-73345.66</v>
      </c>
      <c r="V52" s="520">
        <f t="shared" si="10"/>
        <v>73345.66</v>
      </c>
      <c r="W52" s="524">
        <f t="shared" si="11"/>
        <v>0</v>
      </c>
      <c r="X52" s="520">
        <f t="shared" si="12"/>
        <v>73345.66</v>
      </c>
      <c r="Y52" s="525">
        <f t="shared" si="13"/>
        <v>302708.73800000001</v>
      </c>
    </row>
    <row r="53" spans="3:25" x14ac:dyDescent="0.2">
      <c r="C53" s="387">
        <f t="shared" si="5"/>
        <v>42282</v>
      </c>
      <c r="D53" s="388">
        <f t="shared" si="6"/>
        <v>149288.64774193548</v>
      </c>
      <c r="E53" s="392">
        <f t="shared" si="7"/>
        <v>0</v>
      </c>
      <c r="F53" s="428">
        <f t="shared" si="0"/>
        <v>0.90615690000000004</v>
      </c>
      <c r="G53" s="390">
        <f t="shared" si="1"/>
        <v>0</v>
      </c>
      <c r="H53" s="391">
        <f t="shared" si="2"/>
        <v>149289.55389883547</v>
      </c>
      <c r="I53" s="324"/>
      <c r="J53" s="325"/>
      <c r="K53" s="325">
        <v>74302.239000000001</v>
      </c>
      <c r="L53" s="317"/>
      <c r="M53" s="318"/>
      <c r="N53" s="318"/>
      <c r="O53" s="318"/>
      <c r="P53" s="392">
        <f t="shared" si="8"/>
        <v>0</v>
      </c>
      <c r="Q53" s="392">
        <f t="shared" si="3"/>
        <v>0</v>
      </c>
      <c r="R53" s="392">
        <f t="shared" si="4"/>
        <v>0</v>
      </c>
      <c r="S53" s="373"/>
      <c r="T53" s="374"/>
      <c r="U53" s="524">
        <f t="shared" si="9"/>
        <v>-74302.239000000001</v>
      </c>
      <c r="V53" s="520">
        <f t="shared" si="10"/>
        <v>74302.239000000001</v>
      </c>
      <c r="W53" s="524">
        <f t="shared" si="11"/>
        <v>0</v>
      </c>
      <c r="X53" s="520">
        <f t="shared" si="12"/>
        <v>74302.239000000001</v>
      </c>
      <c r="Y53" s="525">
        <f t="shared" si="13"/>
        <v>377010.97700000001</v>
      </c>
    </row>
    <row r="54" spans="3:25" x14ac:dyDescent="0.2">
      <c r="C54" s="387">
        <f t="shared" si="5"/>
        <v>42283</v>
      </c>
      <c r="D54" s="388">
        <f t="shared" si="6"/>
        <v>149288.64774193548</v>
      </c>
      <c r="E54" s="392">
        <f t="shared" si="7"/>
        <v>0</v>
      </c>
      <c r="F54" s="428">
        <f t="shared" si="0"/>
        <v>0.90615690000000004</v>
      </c>
      <c r="G54" s="390">
        <f t="shared" si="1"/>
        <v>0</v>
      </c>
      <c r="H54" s="391">
        <f t="shared" si="2"/>
        <v>149289.55389883547</v>
      </c>
      <c r="I54" s="324"/>
      <c r="J54" s="325"/>
      <c r="K54" s="325">
        <v>75662.38</v>
      </c>
      <c r="L54" s="319"/>
      <c r="M54" s="320"/>
      <c r="N54" s="320"/>
      <c r="O54" s="320"/>
      <c r="P54" s="392">
        <f t="shared" si="8"/>
        <v>0</v>
      </c>
      <c r="Q54" s="392">
        <f t="shared" si="3"/>
        <v>0</v>
      </c>
      <c r="R54" s="392">
        <f t="shared" si="4"/>
        <v>0</v>
      </c>
      <c r="S54" s="373"/>
      <c r="T54" s="374"/>
      <c r="U54" s="524">
        <f t="shared" si="9"/>
        <v>-75662.38</v>
      </c>
      <c r="V54" s="520">
        <f t="shared" si="10"/>
        <v>75662.38</v>
      </c>
      <c r="W54" s="524">
        <f t="shared" si="11"/>
        <v>0</v>
      </c>
      <c r="X54" s="520">
        <f t="shared" si="12"/>
        <v>75662.38</v>
      </c>
      <c r="Y54" s="525">
        <f t="shared" si="13"/>
        <v>452673.35700000002</v>
      </c>
    </row>
    <row r="55" spans="3:25" x14ac:dyDescent="0.2">
      <c r="C55" s="387">
        <f t="shared" si="5"/>
        <v>42284</v>
      </c>
      <c r="D55" s="388">
        <f t="shared" si="6"/>
        <v>149288.64774193548</v>
      </c>
      <c r="E55" s="392">
        <f t="shared" si="7"/>
        <v>0</v>
      </c>
      <c r="F55" s="428">
        <f t="shared" si="0"/>
        <v>0.90615690000000004</v>
      </c>
      <c r="G55" s="390">
        <f t="shared" si="1"/>
        <v>0</v>
      </c>
      <c r="H55" s="391">
        <f t="shared" si="2"/>
        <v>149289.55389883547</v>
      </c>
      <c r="I55" s="324"/>
      <c r="J55" s="325"/>
      <c r="K55" s="325">
        <v>73424.952999999994</v>
      </c>
      <c r="L55" s="317"/>
      <c r="M55" s="318"/>
      <c r="N55" s="318"/>
      <c r="O55" s="318"/>
      <c r="P55" s="392">
        <f t="shared" si="8"/>
        <v>0</v>
      </c>
      <c r="Q55" s="392">
        <f t="shared" si="3"/>
        <v>0</v>
      </c>
      <c r="R55" s="392">
        <f t="shared" si="4"/>
        <v>0</v>
      </c>
      <c r="S55" s="373"/>
      <c r="T55" s="374"/>
      <c r="U55" s="524">
        <f t="shared" si="9"/>
        <v>-73424.952999999994</v>
      </c>
      <c r="V55" s="520">
        <f t="shared" si="10"/>
        <v>73424.952999999994</v>
      </c>
      <c r="W55" s="524">
        <f t="shared" si="11"/>
        <v>0</v>
      </c>
      <c r="X55" s="520">
        <f t="shared" si="12"/>
        <v>73424.952999999994</v>
      </c>
      <c r="Y55" s="525">
        <f t="shared" si="13"/>
        <v>526098.31000000006</v>
      </c>
    </row>
    <row r="56" spans="3:25" x14ac:dyDescent="0.2">
      <c r="C56" s="387">
        <f t="shared" si="5"/>
        <v>42285</v>
      </c>
      <c r="D56" s="388">
        <f t="shared" si="6"/>
        <v>149288.64774193548</v>
      </c>
      <c r="E56" s="392">
        <f t="shared" si="7"/>
        <v>0</v>
      </c>
      <c r="F56" s="428">
        <f t="shared" si="0"/>
        <v>0.90615690000000004</v>
      </c>
      <c r="G56" s="390">
        <f t="shared" si="1"/>
        <v>0</v>
      </c>
      <c r="H56" s="391">
        <f t="shared" si="2"/>
        <v>149289.55389883547</v>
      </c>
      <c r="I56" s="324"/>
      <c r="J56" s="325"/>
      <c r="K56" s="325">
        <v>72974.34</v>
      </c>
      <c r="L56" s="319"/>
      <c r="M56" s="320"/>
      <c r="N56" s="320"/>
      <c r="O56" s="320"/>
      <c r="P56" s="392">
        <f t="shared" si="8"/>
        <v>0</v>
      </c>
      <c r="Q56" s="392">
        <f t="shared" si="3"/>
        <v>0</v>
      </c>
      <c r="R56" s="392">
        <f t="shared" si="4"/>
        <v>0</v>
      </c>
      <c r="S56" s="373"/>
      <c r="T56" s="374"/>
      <c r="U56" s="524">
        <f t="shared" si="9"/>
        <v>-72974.34</v>
      </c>
      <c r="V56" s="520">
        <f t="shared" si="10"/>
        <v>72974.34</v>
      </c>
      <c r="W56" s="524">
        <f t="shared" si="11"/>
        <v>0</v>
      </c>
      <c r="X56" s="520">
        <f t="shared" si="12"/>
        <v>72974.34</v>
      </c>
      <c r="Y56" s="525">
        <f t="shared" si="13"/>
        <v>599072.65</v>
      </c>
    </row>
    <row r="57" spans="3:25" x14ac:dyDescent="0.2">
      <c r="C57" s="387">
        <f t="shared" si="5"/>
        <v>42286</v>
      </c>
      <c r="D57" s="388">
        <f t="shared" si="6"/>
        <v>149288.64774193548</v>
      </c>
      <c r="E57" s="392">
        <f t="shared" si="7"/>
        <v>0</v>
      </c>
      <c r="F57" s="428">
        <f t="shared" si="0"/>
        <v>0.90615690000000004</v>
      </c>
      <c r="G57" s="390">
        <f t="shared" si="1"/>
        <v>0</v>
      </c>
      <c r="H57" s="391">
        <f t="shared" si="2"/>
        <v>149289.55389883547</v>
      </c>
      <c r="I57" s="324"/>
      <c r="J57" s="325"/>
      <c r="K57" s="325">
        <v>75027.929999999993</v>
      </c>
      <c r="L57" s="317"/>
      <c r="M57" s="318"/>
      <c r="N57" s="318"/>
      <c r="O57" s="318"/>
      <c r="P57" s="392">
        <f t="shared" si="8"/>
        <v>0</v>
      </c>
      <c r="Q57" s="392">
        <f t="shared" si="3"/>
        <v>0</v>
      </c>
      <c r="R57" s="392">
        <f t="shared" si="4"/>
        <v>0</v>
      </c>
      <c r="S57" s="373"/>
      <c r="T57" s="374"/>
      <c r="U57" s="524">
        <f t="shared" si="9"/>
        <v>-75027.929999999993</v>
      </c>
      <c r="V57" s="520">
        <f t="shared" si="10"/>
        <v>75027.929999999993</v>
      </c>
      <c r="W57" s="524">
        <f t="shared" si="11"/>
        <v>0</v>
      </c>
      <c r="X57" s="520">
        <f t="shared" si="12"/>
        <v>75027.929999999993</v>
      </c>
      <c r="Y57" s="525">
        <f t="shared" si="13"/>
        <v>674100.58000000007</v>
      </c>
    </row>
    <row r="58" spans="3:25" x14ac:dyDescent="0.2">
      <c r="C58" s="387">
        <f t="shared" si="5"/>
        <v>42287</v>
      </c>
      <c r="D58" s="388">
        <f t="shared" si="6"/>
        <v>149288.64774193548</v>
      </c>
      <c r="E58" s="392">
        <f t="shared" si="7"/>
        <v>0</v>
      </c>
      <c r="F58" s="428">
        <f t="shared" si="0"/>
        <v>0.90615690000000004</v>
      </c>
      <c r="G58" s="390">
        <f t="shared" si="1"/>
        <v>0</v>
      </c>
      <c r="H58" s="391">
        <f t="shared" si="2"/>
        <v>149289.55389883547</v>
      </c>
      <c r="I58" s="324"/>
      <c r="J58" s="325"/>
      <c r="K58" s="325">
        <v>72691.42</v>
      </c>
      <c r="L58" s="319"/>
      <c r="M58" s="320"/>
      <c r="N58" s="320"/>
      <c r="O58" s="320"/>
      <c r="P58" s="392">
        <f t="shared" si="8"/>
        <v>0</v>
      </c>
      <c r="Q58" s="392">
        <f t="shared" si="3"/>
        <v>0</v>
      </c>
      <c r="R58" s="392">
        <f t="shared" si="4"/>
        <v>0</v>
      </c>
      <c r="S58" s="373"/>
      <c r="T58" s="374"/>
      <c r="U58" s="524">
        <f t="shared" si="9"/>
        <v>-72691.42</v>
      </c>
      <c r="V58" s="520">
        <f t="shared" si="10"/>
        <v>72691.42</v>
      </c>
      <c r="W58" s="524">
        <f t="shared" si="11"/>
        <v>0</v>
      </c>
      <c r="X58" s="520">
        <f t="shared" si="12"/>
        <v>72691.42</v>
      </c>
      <c r="Y58" s="525">
        <f t="shared" si="13"/>
        <v>746792.00000000012</v>
      </c>
    </row>
    <row r="59" spans="3:25" x14ac:dyDescent="0.2">
      <c r="C59" s="387">
        <f t="shared" si="5"/>
        <v>42288</v>
      </c>
      <c r="D59" s="388">
        <f t="shared" si="6"/>
        <v>149288.64774193548</v>
      </c>
      <c r="E59" s="392">
        <f t="shared" si="7"/>
        <v>0</v>
      </c>
      <c r="F59" s="428">
        <f t="shared" si="0"/>
        <v>0.90615690000000004</v>
      </c>
      <c r="G59" s="390">
        <f t="shared" si="1"/>
        <v>0</v>
      </c>
      <c r="H59" s="391">
        <f t="shared" si="2"/>
        <v>149289.55389883547</v>
      </c>
      <c r="I59" s="324"/>
      <c r="J59" s="325"/>
      <c r="K59" s="325">
        <v>73083.078999999998</v>
      </c>
      <c r="L59" s="317"/>
      <c r="M59" s="318"/>
      <c r="N59" s="318"/>
      <c r="O59" s="318"/>
      <c r="P59" s="392">
        <f t="shared" si="8"/>
        <v>0</v>
      </c>
      <c r="Q59" s="392">
        <f t="shared" si="3"/>
        <v>0</v>
      </c>
      <c r="R59" s="392">
        <f t="shared" si="4"/>
        <v>0</v>
      </c>
      <c r="S59" s="373"/>
      <c r="T59" s="374"/>
      <c r="U59" s="524">
        <f t="shared" si="9"/>
        <v>-73083.078999999998</v>
      </c>
      <c r="V59" s="520">
        <f t="shared" si="10"/>
        <v>73083.078999999998</v>
      </c>
      <c r="W59" s="524">
        <f t="shared" si="11"/>
        <v>0</v>
      </c>
      <c r="X59" s="520">
        <f t="shared" si="12"/>
        <v>73083.078999999998</v>
      </c>
      <c r="Y59" s="525">
        <f t="shared" si="13"/>
        <v>819875.07900000014</v>
      </c>
    </row>
    <row r="60" spans="3:25" x14ac:dyDescent="0.2">
      <c r="C60" s="387">
        <f t="shared" si="5"/>
        <v>42289</v>
      </c>
      <c r="D60" s="388">
        <f t="shared" si="6"/>
        <v>149288.64774193548</v>
      </c>
      <c r="E60" s="392">
        <f t="shared" si="7"/>
        <v>0</v>
      </c>
      <c r="F60" s="428">
        <f t="shared" si="0"/>
        <v>0.90615690000000004</v>
      </c>
      <c r="G60" s="390">
        <f t="shared" si="1"/>
        <v>0</v>
      </c>
      <c r="H60" s="391">
        <f t="shared" si="2"/>
        <v>149289.55389883547</v>
      </c>
      <c r="I60" s="324"/>
      <c r="J60" s="325"/>
      <c r="K60" s="325">
        <v>76697.259999999995</v>
      </c>
      <c r="L60" s="319"/>
      <c r="M60" s="320"/>
      <c r="N60" s="320"/>
      <c r="O60" s="320"/>
      <c r="P60" s="392">
        <f t="shared" si="8"/>
        <v>0</v>
      </c>
      <c r="Q60" s="392">
        <f t="shared" si="3"/>
        <v>0</v>
      </c>
      <c r="R60" s="392">
        <f t="shared" si="4"/>
        <v>0</v>
      </c>
      <c r="S60" s="373"/>
      <c r="T60" s="374"/>
      <c r="U60" s="524">
        <f t="shared" si="9"/>
        <v>-76697.259999999995</v>
      </c>
      <c r="V60" s="520">
        <f t="shared" si="10"/>
        <v>76697.259999999995</v>
      </c>
      <c r="W60" s="524">
        <f t="shared" si="11"/>
        <v>0</v>
      </c>
      <c r="X60" s="520">
        <f t="shared" si="12"/>
        <v>76697.259999999995</v>
      </c>
      <c r="Y60" s="525">
        <f t="shared" si="13"/>
        <v>896572.33900000015</v>
      </c>
    </row>
    <row r="61" spans="3:25" x14ac:dyDescent="0.2">
      <c r="C61" s="387">
        <f t="shared" si="5"/>
        <v>42290</v>
      </c>
      <c r="D61" s="388">
        <f t="shared" si="6"/>
        <v>149288.64774193548</v>
      </c>
      <c r="E61" s="392">
        <f t="shared" si="7"/>
        <v>0</v>
      </c>
      <c r="F61" s="428">
        <f t="shared" si="0"/>
        <v>0.90615690000000004</v>
      </c>
      <c r="G61" s="390">
        <f t="shared" si="1"/>
        <v>0</v>
      </c>
      <c r="H61" s="391">
        <f t="shared" si="2"/>
        <v>149289.55389883547</v>
      </c>
      <c r="I61" s="324"/>
      <c r="J61" s="325"/>
      <c r="K61" s="325">
        <v>75497.17</v>
      </c>
      <c r="L61" s="317"/>
      <c r="M61" s="318"/>
      <c r="N61" s="318"/>
      <c r="O61" s="318"/>
      <c r="P61" s="392">
        <f t="shared" si="8"/>
        <v>0</v>
      </c>
      <c r="Q61" s="392">
        <f t="shared" si="3"/>
        <v>0</v>
      </c>
      <c r="R61" s="392">
        <f t="shared" si="4"/>
        <v>0</v>
      </c>
      <c r="S61" s="373"/>
      <c r="T61" s="374"/>
      <c r="U61" s="524">
        <f t="shared" si="9"/>
        <v>-75497.17</v>
      </c>
      <c r="V61" s="520">
        <f t="shared" si="10"/>
        <v>75497.17</v>
      </c>
      <c r="W61" s="524">
        <f t="shared" si="11"/>
        <v>0</v>
      </c>
      <c r="X61" s="520">
        <f t="shared" si="12"/>
        <v>75497.17</v>
      </c>
      <c r="Y61" s="525">
        <f t="shared" si="13"/>
        <v>972069.50900000019</v>
      </c>
    </row>
    <row r="62" spans="3:25" x14ac:dyDescent="0.2">
      <c r="C62" s="387">
        <f t="shared" si="5"/>
        <v>42291</v>
      </c>
      <c r="D62" s="388">
        <f t="shared" si="6"/>
        <v>149288.64774193548</v>
      </c>
      <c r="E62" s="392">
        <f t="shared" si="7"/>
        <v>0</v>
      </c>
      <c r="F62" s="428">
        <f t="shared" si="0"/>
        <v>0.90615690000000004</v>
      </c>
      <c r="G62" s="390">
        <f t="shared" si="1"/>
        <v>0</v>
      </c>
      <c r="H62" s="391">
        <f t="shared" si="2"/>
        <v>149289.55389883547</v>
      </c>
      <c r="I62" s="324"/>
      <c r="J62" s="325"/>
      <c r="K62" s="325">
        <v>74896.679999999993</v>
      </c>
      <c r="L62" s="319"/>
      <c r="M62" s="320"/>
      <c r="N62" s="320"/>
      <c r="O62" s="320"/>
      <c r="P62" s="392">
        <f t="shared" si="8"/>
        <v>0</v>
      </c>
      <c r="Q62" s="392">
        <f t="shared" si="3"/>
        <v>0</v>
      </c>
      <c r="R62" s="392">
        <f t="shared" si="4"/>
        <v>0</v>
      </c>
      <c r="S62" s="373"/>
      <c r="T62" s="374"/>
      <c r="U62" s="524">
        <f t="shared" si="9"/>
        <v>-74896.679999999993</v>
      </c>
      <c r="V62" s="520">
        <f t="shared" si="10"/>
        <v>74896.679999999993</v>
      </c>
      <c r="W62" s="524">
        <f t="shared" si="11"/>
        <v>0</v>
      </c>
      <c r="X62" s="520">
        <f t="shared" si="12"/>
        <v>74896.679999999993</v>
      </c>
      <c r="Y62" s="525">
        <f t="shared" si="13"/>
        <v>1046966.1890000002</v>
      </c>
    </row>
    <row r="63" spans="3:25" x14ac:dyDescent="0.2">
      <c r="C63" s="387">
        <f t="shared" si="5"/>
        <v>42292</v>
      </c>
      <c r="D63" s="388">
        <f t="shared" si="6"/>
        <v>149288.64774193548</v>
      </c>
      <c r="E63" s="392">
        <f t="shared" si="7"/>
        <v>0</v>
      </c>
      <c r="F63" s="428">
        <f t="shared" si="0"/>
        <v>0.90615690000000004</v>
      </c>
      <c r="G63" s="390">
        <f t="shared" si="1"/>
        <v>0</v>
      </c>
      <c r="H63" s="391">
        <f t="shared" si="2"/>
        <v>149289.55389883547</v>
      </c>
      <c r="I63" s="324"/>
      <c r="J63" s="325"/>
      <c r="K63" s="325">
        <v>72553.759999999995</v>
      </c>
      <c r="L63" s="317"/>
      <c r="M63" s="318"/>
      <c r="N63" s="318"/>
      <c r="O63" s="318"/>
      <c r="P63" s="392">
        <f t="shared" si="8"/>
        <v>0</v>
      </c>
      <c r="Q63" s="392">
        <f t="shared" si="3"/>
        <v>0</v>
      </c>
      <c r="R63" s="392">
        <f t="shared" si="4"/>
        <v>0</v>
      </c>
      <c r="S63" s="373"/>
      <c r="T63" s="374"/>
      <c r="U63" s="524">
        <f t="shared" si="9"/>
        <v>-72553.759999999995</v>
      </c>
      <c r="V63" s="520">
        <f t="shared" si="10"/>
        <v>72553.759999999995</v>
      </c>
      <c r="W63" s="524">
        <f t="shared" si="11"/>
        <v>0</v>
      </c>
      <c r="X63" s="520">
        <f t="shared" si="12"/>
        <v>72553.759999999995</v>
      </c>
      <c r="Y63" s="525">
        <f t="shared" si="13"/>
        <v>1119519.9490000003</v>
      </c>
    </row>
    <row r="64" spans="3:25" x14ac:dyDescent="0.2">
      <c r="C64" s="387">
        <f t="shared" si="5"/>
        <v>42293</v>
      </c>
      <c r="D64" s="388">
        <f t="shared" si="6"/>
        <v>149288.64774193548</v>
      </c>
      <c r="E64" s="392">
        <f t="shared" si="7"/>
        <v>0</v>
      </c>
      <c r="F64" s="428">
        <f t="shared" si="0"/>
        <v>0.90615690000000004</v>
      </c>
      <c r="G64" s="390">
        <f t="shared" si="1"/>
        <v>0</v>
      </c>
      <c r="H64" s="391">
        <f t="shared" si="2"/>
        <v>149289.55389883547</v>
      </c>
      <c r="I64" s="324"/>
      <c r="J64" s="325"/>
      <c r="K64" s="325">
        <v>73174.12</v>
      </c>
      <c r="L64" s="319"/>
      <c r="M64" s="320"/>
      <c r="N64" s="320"/>
      <c r="O64" s="320"/>
      <c r="P64" s="392">
        <f t="shared" si="8"/>
        <v>0</v>
      </c>
      <c r="Q64" s="392">
        <f t="shared" si="3"/>
        <v>0</v>
      </c>
      <c r="R64" s="392">
        <f t="shared" si="4"/>
        <v>0</v>
      </c>
      <c r="S64" s="373"/>
      <c r="T64" s="374"/>
      <c r="U64" s="524">
        <f t="shared" si="9"/>
        <v>-73174.12</v>
      </c>
      <c r="V64" s="520">
        <f t="shared" si="10"/>
        <v>73174.12</v>
      </c>
      <c r="W64" s="524">
        <f t="shared" si="11"/>
        <v>0</v>
      </c>
      <c r="X64" s="520">
        <f t="shared" si="12"/>
        <v>73174.12</v>
      </c>
      <c r="Y64" s="525">
        <f t="shared" si="13"/>
        <v>1192694.0690000001</v>
      </c>
    </row>
    <row r="65" spans="3:38" x14ac:dyDescent="0.2">
      <c r="C65" s="387">
        <f t="shared" si="5"/>
        <v>42294</v>
      </c>
      <c r="D65" s="388">
        <f t="shared" si="6"/>
        <v>149288.64774193548</v>
      </c>
      <c r="E65" s="392">
        <f t="shared" si="7"/>
        <v>0</v>
      </c>
      <c r="F65" s="428">
        <f t="shared" si="0"/>
        <v>0.90615690000000004</v>
      </c>
      <c r="G65" s="390">
        <f t="shared" si="1"/>
        <v>0</v>
      </c>
      <c r="H65" s="391">
        <f t="shared" si="2"/>
        <v>149289.55389883547</v>
      </c>
      <c r="I65" s="324"/>
      <c r="J65" s="325"/>
      <c r="K65" s="325">
        <v>64549.195</v>
      </c>
      <c r="L65" s="317"/>
      <c r="M65" s="318"/>
      <c r="N65" s="318"/>
      <c r="O65" s="318"/>
      <c r="P65" s="392">
        <f t="shared" si="8"/>
        <v>0</v>
      </c>
      <c r="Q65" s="392">
        <f t="shared" si="3"/>
        <v>0</v>
      </c>
      <c r="R65" s="392">
        <f t="shared" si="4"/>
        <v>0</v>
      </c>
      <c r="S65" s="373"/>
      <c r="T65" s="374"/>
      <c r="U65" s="524">
        <f t="shared" si="9"/>
        <v>-64549.195</v>
      </c>
      <c r="V65" s="520">
        <f t="shared" si="10"/>
        <v>64549.195</v>
      </c>
      <c r="W65" s="524">
        <f t="shared" si="11"/>
        <v>0</v>
      </c>
      <c r="X65" s="520">
        <f t="shared" si="12"/>
        <v>64549.195</v>
      </c>
      <c r="Y65" s="525">
        <f t="shared" si="13"/>
        <v>1257243.2640000002</v>
      </c>
    </row>
    <row r="66" spans="3:38" x14ac:dyDescent="0.2">
      <c r="C66" s="387">
        <f t="shared" si="5"/>
        <v>42295</v>
      </c>
      <c r="D66" s="388">
        <f t="shared" si="6"/>
        <v>149288.64774193548</v>
      </c>
      <c r="E66" s="392">
        <f t="shared" si="7"/>
        <v>0</v>
      </c>
      <c r="F66" s="428">
        <f t="shared" si="0"/>
        <v>0.90615690000000004</v>
      </c>
      <c r="G66" s="390">
        <f t="shared" si="1"/>
        <v>0</v>
      </c>
      <c r="H66" s="391">
        <f t="shared" si="2"/>
        <v>149289.55389883547</v>
      </c>
      <c r="I66" s="324"/>
      <c r="J66" s="325"/>
      <c r="K66" s="325">
        <v>65006.29</v>
      </c>
      <c r="L66" s="319"/>
      <c r="M66" s="320"/>
      <c r="N66" s="320"/>
      <c r="O66" s="320"/>
      <c r="P66" s="392">
        <f t="shared" si="8"/>
        <v>0</v>
      </c>
      <c r="Q66" s="392">
        <f t="shared" si="3"/>
        <v>0</v>
      </c>
      <c r="R66" s="392">
        <f t="shared" si="4"/>
        <v>0</v>
      </c>
      <c r="S66" s="373"/>
      <c r="T66" s="374"/>
      <c r="U66" s="524">
        <f t="shared" si="9"/>
        <v>-65006.29</v>
      </c>
      <c r="V66" s="520">
        <f t="shared" si="10"/>
        <v>65006.29</v>
      </c>
      <c r="W66" s="524">
        <f t="shared" si="11"/>
        <v>0</v>
      </c>
      <c r="X66" s="520">
        <f t="shared" si="12"/>
        <v>65006.29</v>
      </c>
      <c r="Y66" s="525">
        <f t="shared" si="13"/>
        <v>1322249.5540000002</v>
      </c>
    </row>
    <row r="67" spans="3:38" x14ac:dyDescent="0.2">
      <c r="C67" s="387">
        <f t="shared" si="5"/>
        <v>42296</v>
      </c>
      <c r="D67" s="388">
        <f t="shared" si="6"/>
        <v>149288.64774193548</v>
      </c>
      <c r="E67" s="392">
        <f t="shared" si="7"/>
        <v>0</v>
      </c>
      <c r="F67" s="428">
        <f t="shared" si="0"/>
        <v>0.90615690000000004</v>
      </c>
      <c r="G67" s="390">
        <f t="shared" si="1"/>
        <v>0</v>
      </c>
      <c r="H67" s="391">
        <f t="shared" si="2"/>
        <v>149289.55389883547</v>
      </c>
      <c r="I67" s="324"/>
      <c r="J67" s="325"/>
      <c r="K67" s="325">
        <v>67991.782000000007</v>
      </c>
      <c r="L67" s="317"/>
      <c r="M67" s="318"/>
      <c r="N67" s="318"/>
      <c r="O67" s="318"/>
      <c r="P67" s="392">
        <f t="shared" si="8"/>
        <v>0</v>
      </c>
      <c r="Q67" s="392">
        <f t="shared" si="3"/>
        <v>0</v>
      </c>
      <c r="R67" s="392">
        <f t="shared" si="4"/>
        <v>0</v>
      </c>
      <c r="S67" s="373"/>
      <c r="T67" s="374"/>
      <c r="U67" s="524">
        <f t="shared" si="9"/>
        <v>-67991.782000000007</v>
      </c>
      <c r="V67" s="520">
        <f t="shared" si="10"/>
        <v>67991.782000000007</v>
      </c>
      <c r="W67" s="524">
        <f t="shared" si="11"/>
        <v>0</v>
      </c>
      <c r="X67" s="520">
        <f t="shared" si="12"/>
        <v>67991.782000000007</v>
      </c>
      <c r="Y67" s="525">
        <f t="shared" si="13"/>
        <v>1390241.3360000001</v>
      </c>
    </row>
    <row r="68" spans="3:38" x14ac:dyDescent="0.2">
      <c r="C68" s="387">
        <f t="shared" si="5"/>
        <v>42297</v>
      </c>
      <c r="D68" s="388">
        <f t="shared" si="6"/>
        <v>149288.64774193548</v>
      </c>
      <c r="E68" s="392">
        <f t="shared" si="7"/>
        <v>0</v>
      </c>
      <c r="F68" s="428">
        <f t="shared" si="0"/>
        <v>0.90615690000000004</v>
      </c>
      <c r="G68" s="390">
        <f t="shared" si="1"/>
        <v>0</v>
      </c>
      <c r="H68" s="391">
        <f t="shared" si="2"/>
        <v>149289.55389883547</v>
      </c>
      <c r="I68" s="324"/>
      <c r="J68" s="325"/>
      <c r="K68" s="325">
        <v>76521.460000000006</v>
      </c>
      <c r="L68" s="319"/>
      <c r="M68" s="320"/>
      <c r="N68" s="320"/>
      <c r="O68" s="320"/>
      <c r="P68" s="392">
        <f t="shared" si="8"/>
        <v>0</v>
      </c>
      <c r="Q68" s="392">
        <f t="shared" si="3"/>
        <v>0</v>
      </c>
      <c r="R68" s="392">
        <f t="shared" si="4"/>
        <v>0</v>
      </c>
      <c r="S68" s="373"/>
      <c r="T68" s="374"/>
      <c r="U68" s="524">
        <f t="shared" si="9"/>
        <v>-76521.460000000006</v>
      </c>
      <c r="V68" s="520">
        <f t="shared" si="10"/>
        <v>76521.460000000006</v>
      </c>
      <c r="W68" s="524">
        <f t="shared" si="11"/>
        <v>0</v>
      </c>
      <c r="X68" s="520">
        <f t="shared" si="12"/>
        <v>76521.460000000006</v>
      </c>
      <c r="Y68" s="525">
        <f t="shared" si="13"/>
        <v>1466762.7960000001</v>
      </c>
    </row>
    <row r="69" spans="3:38" x14ac:dyDescent="0.2">
      <c r="C69" s="387">
        <f t="shared" si="5"/>
        <v>42298</v>
      </c>
      <c r="D69" s="388">
        <f t="shared" si="6"/>
        <v>149288.64774193548</v>
      </c>
      <c r="E69" s="392">
        <f t="shared" si="7"/>
        <v>0</v>
      </c>
      <c r="F69" s="428">
        <f t="shared" si="0"/>
        <v>0.90615690000000004</v>
      </c>
      <c r="G69" s="390">
        <f t="shared" si="1"/>
        <v>0</v>
      </c>
      <c r="H69" s="391">
        <f t="shared" si="2"/>
        <v>149289.55389883547</v>
      </c>
      <c r="I69" s="324"/>
      <c r="J69" s="325"/>
      <c r="K69" s="325">
        <v>72501.84</v>
      </c>
      <c r="L69" s="317"/>
      <c r="M69" s="318"/>
      <c r="N69" s="318"/>
      <c r="O69" s="318"/>
      <c r="P69" s="392">
        <f t="shared" si="8"/>
        <v>0</v>
      </c>
      <c r="Q69" s="392">
        <f t="shared" si="3"/>
        <v>0</v>
      </c>
      <c r="R69" s="392">
        <f t="shared" si="4"/>
        <v>0</v>
      </c>
      <c r="S69" s="373"/>
      <c r="T69" s="374"/>
      <c r="U69" s="524">
        <f t="shared" si="9"/>
        <v>-72501.84</v>
      </c>
      <c r="V69" s="520">
        <f t="shared" si="10"/>
        <v>72501.84</v>
      </c>
      <c r="W69" s="524">
        <f t="shared" si="11"/>
        <v>0</v>
      </c>
      <c r="X69" s="520">
        <f t="shared" si="12"/>
        <v>72501.84</v>
      </c>
      <c r="Y69" s="525">
        <f t="shared" si="13"/>
        <v>1539264.6360000002</v>
      </c>
    </row>
    <row r="70" spans="3:38" x14ac:dyDescent="0.2">
      <c r="C70" s="387">
        <f t="shared" si="5"/>
        <v>42299</v>
      </c>
      <c r="D70" s="388">
        <f t="shared" si="6"/>
        <v>149288.64774193548</v>
      </c>
      <c r="E70" s="392">
        <f t="shared" si="7"/>
        <v>0</v>
      </c>
      <c r="F70" s="428">
        <f t="shared" si="0"/>
        <v>0.90615690000000004</v>
      </c>
      <c r="G70" s="390">
        <f t="shared" si="1"/>
        <v>0</v>
      </c>
      <c r="H70" s="391">
        <f t="shared" si="2"/>
        <v>149289.55389883547</v>
      </c>
      <c r="I70" s="324"/>
      <c r="J70" s="325"/>
      <c r="K70" s="325">
        <v>76593.039999999994</v>
      </c>
      <c r="L70" s="319"/>
      <c r="M70" s="320"/>
      <c r="N70" s="320"/>
      <c r="O70" s="320"/>
      <c r="P70" s="392">
        <f t="shared" si="8"/>
        <v>0</v>
      </c>
      <c r="Q70" s="392">
        <f t="shared" si="3"/>
        <v>0</v>
      </c>
      <c r="R70" s="392">
        <f t="shared" si="4"/>
        <v>0</v>
      </c>
      <c r="S70" s="373"/>
      <c r="T70" s="374"/>
      <c r="U70" s="524">
        <f t="shared" si="9"/>
        <v>-76593.039999999994</v>
      </c>
      <c r="V70" s="520">
        <f t="shared" si="10"/>
        <v>76593.039999999994</v>
      </c>
      <c r="W70" s="524">
        <f t="shared" si="11"/>
        <v>0</v>
      </c>
      <c r="X70" s="520">
        <f t="shared" si="12"/>
        <v>76593.039999999994</v>
      </c>
      <c r="Y70" s="525">
        <f t="shared" si="13"/>
        <v>1615857.6760000002</v>
      </c>
    </row>
    <row r="71" spans="3:38" x14ac:dyDescent="0.2">
      <c r="C71" s="387">
        <f t="shared" si="5"/>
        <v>42300</v>
      </c>
      <c r="D71" s="388">
        <f t="shared" si="6"/>
        <v>149288.64774193548</v>
      </c>
      <c r="E71" s="392">
        <f t="shared" si="7"/>
        <v>0</v>
      </c>
      <c r="F71" s="428">
        <f t="shared" si="0"/>
        <v>0.90615690000000004</v>
      </c>
      <c r="G71" s="390">
        <f t="shared" si="1"/>
        <v>0</v>
      </c>
      <c r="H71" s="391">
        <f t="shared" si="2"/>
        <v>149289.55389883547</v>
      </c>
      <c r="I71" s="324"/>
      <c r="J71" s="325"/>
      <c r="K71" s="325">
        <v>76000.94</v>
      </c>
      <c r="L71" s="317"/>
      <c r="M71" s="318"/>
      <c r="N71" s="318"/>
      <c r="O71" s="318"/>
      <c r="P71" s="392">
        <f t="shared" si="8"/>
        <v>0</v>
      </c>
      <c r="Q71" s="392">
        <f t="shared" si="3"/>
        <v>0</v>
      </c>
      <c r="R71" s="392">
        <f t="shared" si="4"/>
        <v>0</v>
      </c>
      <c r="S71" s="373"/>
      <c r="T71" s="374"/>
      <c r="U71" s="524">
        <f t="shared" si="9"/>
        <v>-76000.94</v>
      </c>
      <c r="V71" s="520">
        <f t="shared" si="10"/>
        <v>76000.94</v>
      </c>
      <c r="W71" s="524">
        <f t="shared" si="11"/>
        <v>0</v>
      </c>
      <c r="X71" s="520">
        <f t="shared" si="12"/>
        <v>76000.94</v>
      </c>
      <c r="Y71" s="525">
        <f t="shared" si="13"/>
        <v>1691858.6160000002</v>
      </c>
    </row>
    <row r="72" spans="3:38" x14ac:dyDescent="0.2">
      <c r="C72" s="387">
        <f t="shared" si="5"/>
        <v>42301</v>
      </c>
      <c r="D72" s="388">
        <f t="shared" si="6"/>
        <v>149288.64774193548</v>
      </c>
      <c r="E72" s="392">
        <f t="shared" si="7"/>
        <v>0</v>
      </c>
      <c r="F72" s="428">
        <f t="shared" si="0"/>
        <v>0.90615690000000004</v>
      </c>
      <c r="G72" s="390">
        <f t="shared" si="1"/>
        <v>0</v>
      </c>
      <c r="H72" s="391">
        <f t="shared" si="2"/>
        <v>149289.55389883547</v>
      </c>
      <c r="I72" s="324"/>
      <c r="J72" s="325"/>
      <c r="K72" s="325">
        <v>71233.09</v>
      </c>
      <c r="L72" s="319"/>
      <c r="M72" s="320"/>
      <c r="N72" s="320"/>
      <c r="O72" s="320"/>
      <c r="P72" s="392">
        <f t="shared" si="8"/>
        <v>0</v>
      </c>
      <c r="Q72" s="392">
        <f t="shared" si="3"/>
        <v>0</v>
      </c>
      <c r="R72" s="392">
        <f t="shared" si="4"/>
        <v>0</v>
      </c>
      <c r="S72" s="373"/>
      <c r="T72" s="374"/>
      <c r="U72" s="524">
        <f t="shared" si="9"/>
        <v>-71233.09</v>
      </c>
      <c r="V72" s="520">
        <f t="shared" si="10"/>
        <v>71233.09</v>
      </c>
      <c r="W72" s="524">
        <f t="shared" si="11"/>
        <v>0</v>
      </c>
      <c r="X72" s="520">
        <f t="shared" si="12"/>
        <v>71233.09</v>
      </c>
      <c r="Y72" s="525">
        <f t="shared" si="13"/>
        <v>1763091.7060000002</v>
      </c>
    </row>
    <row r="73" spans="3:38" x14ac:dyDescent="0.2">
      <c r="C73" s="387">
        <f t="shared" si="5"/>
        <v>42302</v>
      </c>
      <c r="D73" s="388">
        <f t="shared" si="6"/>
        <v>149288.64774193548</v>
      </c>
      <c r="E73" s="392">
        <f t="shared" si="7"/>
        <v>0</v>
      </c>
      <c r="F73" s="428">
        <f t="shared" si="0"/>
        <v>0.90615690000000004</v>
      </c>
      <c r="G73" s="390">
        <f t="shared" si="1"/>
        <v>0</v>
      </c>
      <c r="H73" s="391">
        <f t="shared" si="2"/>
        <v>149289.55389883547</v>
      </c>
      <c r="I73" s="324"/>
      <c r="J73" s="325"/>
      <c r="K73" s="325">
        <v>67865.149999999994</v>
      </c>
      <c r="L73" s="317"/>
      <c r="M73" s="318"/>
      <c r="N73" s="318"/>
      <c r="O73" s="318"/>
      <c r="P73" s="392">
        <f t="shared" si="8"/>
        <v>0</v>
      </c>
      <c r="Q73" s="392">
        <f t="shared" si="3"/>
        <v>0</v>
      </c>
      <c r="R73" s="392">
        <f t="shared" si="4"/>
        <v>0</v>
      </c>
      <c r="S73" s="373"/>
      <c r="T73" s="374"/>
      <c r="U73" s="524">
        <f t="shared" si="9"/>
        <v>-67865.149999999994</v>
      </c>
      <c r="V73" s="520">
        <f t="shared" si="10"/>
        <v>67865.149999999994</v>
      </c>
      <c r="W73" s="524">
        <f t="shared" si="11"/>
        <v>0</v>
      </c>
      <c r="X73" s="520">
        <f t="shared" si="12"/>
        <v>67865.149999999994</v>
      </c>
      <c r="Y73" s="525">
        <f t="shared" si="13"/>
        <v>1830956.8560000001</v>
      </c>
    </row>
    <row r="74" spans="3:38" x14ac:dyDescent="0.2">
      <c r="C74" s="387">
        <f t="shared" si="5"/>
        <v>42303</v>
      </c>
      <c r="D74" s="388">
        <f t="shared" si="6"/>
        <v>149288.64774193548</v>
      </c>
      <c r="E74" s="392">
        <f t="shared" si="7"/>
        <v>0</v>
      </c>
      <c r="F74" s="428">
        <f t="shared" si="0"/>
        <v>0.90615690000000004</v>
      </c>
      <c r="G74" s="390">
        <f t="shared" si="1"/>
        <v>0</v>
      </c>
      <c r="H74" s="391">
        <f t="shared" si="2"/>
        <v>149289.55389883547</v>
      </c>
      <c r="I74" s="324"/>
      <c r="J74" s="325"/>
      <c r="K74" s="325">
        <v>74663.807000000001</v>
      </c>
      <c r="L74" s="319"/>
      <c r="M74" s="320"/>
      <c r="N74" s="320"/>
      <c r="O74" s="320"/>
      <c r="P74" s="392">
        <f t="shared" si="8"/>
        <v>0</v>
      </c>
      <c r="Q74" s="392">
        <f t="shared" si="3"/>
        <v>0</v>
      </c>
      <c r="R74" s="392">
        <f t="shared" si="4"/>
        <v>0</v>
      </c>
      <c r="S74" s="373"/>
      <c r="T74" s="374"/>
      <c r="U74" s="524">
        <f t="shared" si="9"/>
        <v>-74663.807000000001</v>
      </c>
      <c r="V74" s="520">
        <f t="shared" si="10"/>
        <v>74663.807000000001</v>
      </c>
      <c r="W74" s="524">
        <f t="shared" si="11"/>
        <v>0</v>
      </c>
      <c r="X74" s="520">
        <f t="shared" si="12"/>
        <v>74663.807000000001</v>
      </c>
      <c r="Y74" s="525">
        <f t="shared" si="13"/>
        <v>1905620.6630000002</v>
      </c>
    </row>
    <row r="75" spans="3:38" x14ac:dyDescent="0.2">
      <c r="C75" s="387">
        <f t="shared" si="5"/>
        <v>42304</v>
      </c>
      <c r="D75" s="388">
        <f t="shared" si="6"/>
        <v>149288.64774193548</v>
      </c>
      <c r="E75" s="392">
        <f t="shared" si="7"/>
        <v>0</v>
      </c>
      <c r="F75" s="428">
        <f t="shared" si="0"/>
        <v>0.90615690000000004</v>
      </c>
      <c r="G75" s="390">
        <f t="shared" si="1"/>
        <v>0</v>
      </c>
      <c r="H75" s="391">
        <f t="shared" si="2"/>
        <v>149289.55389883547</v>
      </c>
      <c r="I75" s="324"/>
      <c r="J75" s="325"/>
      <c r="K75" s="325">
        <v>72302.91</v>
      </c>
      <c r="L75" s="317"/>
      <c r="M75" s="318"/>
      <c r="N75" s="318"/>
      <c r="O75" s="318"/>
      <c r="P75" s="392">
        <f t="shared" si="8"/>
        <v>0</v>
      </c>
      <c r="Q75" s="392">
        <f t="shared" si="3"/>
        <v>0</v>
      </c>
      <c r="R75" s="392">
        <f t="shared" si="4"/>
        <v>0</v>
      </c>
      <c r="S75" s="373"/>
      <c r="T75" s="374"/>
      <c r="U75" s="524">
        <f t="shared" si="9"/>
        <v>-72302.91</v>
      </c>
      <c r="V75" s="520">
        <f t="shared" si="10"/>
        <v>72302.91</v>
      </c>
      <c r="W75" s="524">
        <f t="shared" si="11"/>
        <v>0</v>
      </c>
      <c r="X75" s="520">
        <f t="shared" si="12"/>
        <v>72302.91</v>
      </c>
      <c r="Y75" s="525">
        <f t="shared" si="13"/>
        <v>1977923.5730000001</v>
      </c>
    </row>
    <row r="76" spans="3:38" x14ac:dyDescent="0.2">
      <c r="C76" s="387">
        <f t="shared" si="5"/>
        <v>42305</v>
      </c>
      <c r="D76" s="388">
        <f t="shared" si="6"/>
        <v>149288.64774193548</v>
      </c>
      <c r="E76" s="392">
        <f t="shared" si="7"/>
        <v>0</v>
      </c>
      <c r="F76" s="428">
        <f t="shared" si="0"/>
        <v>0.90615690000000004</v>
      </c>
      <c r="G76" s="390">
        <f t="shared" si="1"/>
        <v>0</v>
      </c>
      <c r="H76" s="391">
        <f t="shared" si="2"/>
        <v>149289.55389883547</v>
      </c>
      <c r="I76" s="324"/>
      <c r="J76" s="325"/>
      <c r="K76" s="325">
        <v>75567.41</v>
      </c>
      <c r="L76" s="319"/>
      <c r="M76" s="320"/>
      <c r="N76" s="320"/>
      <c r="O76" s="320"/>
      <c r="P76" s="392">
        <f t="shared" si="8"/>
        <v>0</v>
      </c>
      <c r="Q76" s="392">
        <f t="shared" si="3"/>
        <v>0</v>
      </c>
      <c r="R76" s="392">
        <f t="shared" si="4"/>
        <v>0</v>
      </c>
      <c r="S76" s="373"/>
      <c r="T76" s="374"/>
      <c r="U76" s="524">
        <f t="shared" si="9"/>
        <v>-75567.41</v>
      </c>
      <c r="V76" s="520">
        <f t="shared" si="10"/>
        <v>75567.41</v>
      </c>
      <c r="W76" s="524">
        <f t="shared" si="11"/>
        <v>0</v>
      </c>
      <c r="X76" s="520">
        <f t="shared" si="12"/>
        <v>75567.41</v>
      </c>
      <c r="Y76" s="525">
        <f t="shared" si="13"/>
        <v>2053490.983</v>
      </c>
    </row>
    <row r="77" spans="3:38" x14ac:dyDescent="0.2">
      <c r="C77" s="387">
        <f t="shared" si="5"/>
        <v>42306</v>
      </c>
      <c r="D77" s="388">
        <f t="shared" si="6"/>
        <v>149288.64774193548</v>
      </c>
      <c r="E77" s="392">
        <f t="shared" si="7"/>
        <v>0</v>
      </c>
      <c r="F77" s="428">
        <f t="shared" si="0"/>
        <v>0.90615690000000004</v>
      </c>
      <c r="G77" s="390">
        <f t="shared" si="1"/>
        <v>0</v>
      </c>
      <c r="H77" s="391">
        <f t="shared" si="2"/>
        <v>149289.55389883547</v>
      </c>
      <c r="I77" s="324"/>
      <c r="J77" s="325"/>
      <c r="K77" s="325">
        <v>74343.02</v>
      </c>
      <c r="L77" s="317"/>
      <c r="M77" s="318"/>
      <c r="N77" s="318"/>
      <c r="O77" s="318"/>
      <c r="P77" s="392">
        <f t="shared" si="8"/>
        <v>0</v>
      </c>
      <c r="Q77" s="392">
        <f t="shared" si="3"/>
        <v>0</v>
      </c>
      <c r="R77" s="392">
        <f t="shared" si="4"/>
        <v>0</v>
      </c>
      <c r="S77" s="373"/>
      <c r="T77" s="374"/>
      <c r="U77" s="524">
        <f t="shared" si="9"/>
        <v>-74343.02</v>
      </c>
      <c r="V77" s="520">
        <f t="shared" si="10"/>
        <v>74343.02</v>
      </c>
      <c r="W77" s="524">
        <f t="shared" si="11"/>
        <v>0</v>
      </c>
      <c r="X77" s="520">
        <f t="shared" si="12"/>
        <v>74343.02</v>
      </c>
      <c r="Y77" s="525">
        <f t="shared" si="13"/>
        <v>2127834.003</v>
      </c>
    </row>
    <row r="78" spans="3:38" x14ac:dyDescent="0.2">
      <c r="C78" s="387">
        <f t="shared" si="5"/>
        <v>42307</v>
      </c>
      <c r="D78" s="388">
        <f t="shared" si="6"/>
        <v>149288.64774193548</v>
      </c>
      <c r="E78" s="392">
        <f t="shared" si="7"/>
        <v>0</v>
      </c>
      <c r="F78" s="428">
        <f t="shared" si="0"/>
        <v>0.90615690000000004</v>
      </c>
      <c r="G78" s="390">
        <f t="shared" si="1"/>
        <v>0</v>
      </c>
      <c r="H78" s="391">
        <f t="shared" si="2"/>
        <v>149289.55389883547</v>
      </c>
      <c r="I78" s="324"/>
      <c r="J78" s="325"/>
      <c r="K78" s="325">
        <v>75558.600000000006</v>
      </c>
      <c r="L78" s="319"/>
      <c r="M78" s="320"/>
      <c r="N78" s="320"/>
      <c r="O78" s="320"/>
      <c r="P78" s="392">
        <f t="shared" si="8"/>
        <v>0</v>
      </c>
      <c r="Q78" s="392">
        <f t="shared" si="3"/>
        <v>0</v>
      </c>
      <c r="R78" s="392">
        <f t="shared" si="4"/>
        <v>0</v>
      </c>
      <c r="S78" s="373"/>
      <c r="T78" s="374"/>
      <c r="U78" s="524">
        <f t="shared" si="9"/>
        <v>-75558.600000000006</v>
      </c>
      <c r="V78" s="520">
        <f t="shared" si="10"/>
        <v>75558.600000000006</v>
      </c>
      <c r="W78" s="524">
        <f t="shared" si="11"/>
        <v>0</v>
      </c>
      <c r="X78" s="520">
        <f t="shared" si="12"/>
        <v>75558.600000000006</v>
      </c>
      <c r="Y78" s="525">
        <f t="shared" si="13"/>
        <v>2203392.6030000001</v>
      </c>
    </row>
    <row r="79" spans="3:38" ht="15" thickBot="1" x14ac:dyDescent="0.25">
      <c r="C79" s="393">
        <f t="shared" si="5"/>
        <v>42308</v>
      </c>
      <c r="D79" s="394">
        <f t="shared" si="6"/>
        <v>149288.64774193548</v>
      </c>
      <c r="E79" s="395">
        <f t="shared" si="7"/>
        <v>0</v>
      </c>
      <c r="F79" s="429">
        <f t="shared" si="0"/>
        <v>0.90615690000000004</v>
      </c>
      <c r="G79" s="396">
        <f t="shared" si="1"/>
        <v>0</v>
      </c>
      <c r="H79" s="397">
        <f t="shared" si="2"/>
        <v>149289.55389883547</v>
      </c>
      <c r="I79" s="326"/>
      <c r="J79" s="327"/>
      <c r="K79" s="327">
        <v>71927.167000000001</v>
      </c>
      <c r="L79" s="321"/>
      <c r="M79" s="322"/>
      <c r="N79" s="322"/>
      <c r="O79" s="322"/>
      <c r="P79" s="395">
        <f t="shared" si="8"/>
        <v>0</v>
      </c>
      <c r="Q79" s="395">
        <f t="shared" si="3"/>
        <v>0</v>
      </c>
      <c r="R79" s="395">
        <f t="shared" si="4"/>
        <v>0</v>
      </c>
      <c r="S79" s="375"/>
      <c r="T79" s="376"/>
      <c r="U79" s="521">
        <f t="shared" si="9"/>
        <v>-71927.167000000001</v>
      </c>
      <c r="V79" s="528">
        <f t="shared" si="10"/>
        <v>71927.167000000001</v>
      </c>
      <c r="W79" s="521">
        <f t="shared" si="11"/>
        <v>0</v>
      </c>
      <c r="X79" s="528">
        <f t="shared" si="12"/>
        <v>71927.167000000001</v>
      </c>
      <c r="Y79" s="529">
        <f t="shared" si="13"/>
        <v>2275319.77</v>
      </c>
    </row>
    <row r="80" spans="3:38" ht="15" thickBot="1" x14ac:dyDescent="0.25">
      <c r="C80" s="398"/>
      <c r="D80" s="399">
        <f>SUM(D49:D79)</f>
        <v>4627948.0800000019</v>
      </c>
      <c r="E80" s="400">
        <f>SUM(E49:E79)</f>
        <v>0</v>
      </c>
      <c r="F80" s="400"/>
      <c r="G80" s="401">
        <f>SUM(G49:G79)</f>
        <v>0</v>
      </c>
      <c r="H80" s="399">
        <f>SUM(H49:H79)</f>
        <v>4627976.1708639013</v>
      </c>
      <c r="I80" s="432">
        <f>SUM(I49:I79)</f>
        <v>0</v>
      </c>
      <c r="J80" s="432">
        <f t="shared" ref="J80:R80" si="14">SUM(J49:J79)</f>
        <v>0</v>
      </c>
      <c r="K80" s="432">
        <f t="shared" si="14"/>
        <v>2275319.77</v>
      </c>
      <c r="L80" s="432">
        <f t="shared" si="14"/>
        <v>0</v>
      </c>
      <c r="M80" s="432">
        <f t="shared" si="14"/>
        <v>0</v>
      </c>
      <c r="N80" s="432">
        <f t="shared" si="14"/>
        <v>0</v>
      </c>
      <c r="O80" s="432">
        <f t="shared" si="14"/>
        <v>0</v>
      </c>
      <c r="P80" s="432">
        <f t="shared" si="14"/>
        <v>0</v>
      </c>
      <c r="Q80" s="432">
        <f t="shared" si="14"/>
        <v>0</v>
      </c>
      <c r="R80" s="432">
        <f t="shared" si="14"/>
        <v>0</v>
      </c>
      <c r="U80" s="530"/>
      <c r="V80" s="328">
        <f>SUM(V49:V79)</f>
        <v>2275319.77</v>
      </c>
      <c r="W80" s="328">
        <f>SUM(W49:W79)</f>
        <v>0</v>
      </c>
      <c r="X80" s="328">
        <f>SUM(X49:X79)</f>
        <v>2275319.77</v>
      </c>
      <c r="Y80" s="323">
        <f>Y79</f>
        <v>2275319.77</v>
      </c>
      <c r="AL80" s="361">
        <f>Y79</f>
        <v>2275319.77</v>
      </c>
    </row>
    <row r="81" spans="2:14" ht="15" customHeight="1" x14ac:dyDescent="0.2">
      <c r="B81"/>
      <c r="C81"/>
      <c r="D81"/>
      <c r="E81"/>
      <c r="F81"/>
      <c r="G81"/>
      <c r="H81"/>
      <c r="I81"/>
      <c r="J81"/>
      <c r="K81"/>
      <c r="L81"/>
      <c r="N81" s="2"/>
    </row>
  </sheetData>
  <mergeCells count="13">
    <mergeCell ref="C10:D10"/>
    <mergeCell ref="C11:D11"/>
    <mergeCell ref="C3:M4"/>
    <mergeCell ref="C5:M5"/>
    <mergeCell ref="C6:M6"/>
    <mergeCell ref="G7:H7"/>
    <mergeCell ref="C9:D9"/>
    <mergeCell ref="D23:E23"/>
    <mergeCell ref="D24:E24"/>
    <mergeCell ref="C28:F28"/>
    <mergeCell ref="C39:F39"/>
    <mergeCell ref="S47:Y47"/>
    <mergeCell ref="L47:R47"/>
  </mergeCells>
  <conditionalFormatting sqref="L49:O79">
    <cfRule type="cellIs" dxfId="145" priority="1" stopIfTrue="1" operator="equal">
      <formula>0</formula>
    </cfRule>
  </conditionalFormatting>
  <pageMargins left="0.7" right="0.7" top="0.75" bottom="0.75" header="0.3" footer="0.3"/>
  <pageSetup orientation="portrait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L81"/>
  <sheetViews>
    <sheetView workbookViewId="0"/>
  </sheetViews>
  <sheetFormatPr baseColWidth="10" defaultColWidth="11" defaultRowHeight="14.25" x14ac:dyDescent="0.2"/>
  <cols>
    <col min="1" max="1" width="11" style="2"/>
    <col min="2" max="2" width="3.875" style="2" bestFit="1" customWidth="1"/>
    <col min="3" max="3" width="16.125" style="2" customWidth="1"/>
    <col min="4" max="4" width="12.375" style="2" bestFit="1" customWidth="1"/>
    <col min="5" max="5" width="10.875" style="2" bestFit="1" customWidth="1"/>
    <col min="6" max="6" width="17.125" style="2" bestFit="1" customWidth="1"/>
    <col min="7" max="7" width="13.125" style="2" bestFit="1" customWidth="1"/>
    <col min="8" max="8" width="12.125" style="2" bestFit="1" customWidth="1"/>
    <col min="9" max="9" width="11.125" style="2" bestFit="1" customWidth="1"/>
    <col min="10" max="10" width="11.875" style="2" bestFit="1" customWidth="1"/>
    <col min="11" max="11" width="11.625" style="2" bestFit="1" customWidth="1"/>
    <col min="12" max="12" width="12.125" style="2" customWidth="1"/>
    <col min="13" max="13" width="10.5" style="2" bestFit="1" customWidth="1"/>
    <col min="14" max="14" width="9" style="1" customWidth="1"/>
    <col min="15" max="15" width="10.375" style="2" customWidth="1"/>
    <col min="16" max="25" width="11" style="2"/>
    <col min="26" max="31" width="10.875" customWidth="1"/>
    <col min="32" max="16384" width="11" style="2"/>
  </cols>
  <sheetData>
    <row r="2" spans="2:25" x14ac:dyDescent="0.2"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2:25" ht="15" customHeight="1" x14ac:dyDescent="0.2">
      <c r="B3" s="1"/>
      <c r="C3" s="2254" t="s">
        <v>0</v>
      </c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</row>
    <row r="4" spans="2:25" ht="15" customHeight="1" x14ac:dyDescent="0.2"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</row>
    <row r="5" spans="2:25" x14ac:dyDescent="0.2">
      <c r="B5" s="1"/>
      <c r="C5" s="2257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</row>
    <row r="6" spans="2:25" x14ac:dyDescent="0.2">
      <c r="B6" s="1"/>
      <c r="C6" s="2257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</row>
    <row r="7" spans="2:25" x14ac:dyDescent="0.2">
      <c r="B7" s="1"/>
      <c r="C7" s="516"/>
      <c r="D7" s="516"/>
      <c r="E7" s="516"/>
      <c r="F7" s="516"/>
      <c r="G7" s="2271">
        <v>42309</v>
      </c>
      <c r="H7" s="2257"/>
      <c r="I7" s="516"/>
      <c r="J7" s="516"/>
      <c r="K7" s="516"/>
      <c r="L7" s="516"/>
      <c r="M7" s="516"/>
      <c r="N7" s="18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2:25" x14ac:dyDescent="0.2">
      <c r="B8" s="1"/>
      <c r="C8" s="516"/>
      <c r="D8" s="516"/>
      <c r="E8" s="516"/>
      <c r="F8" s="516"/>
      <c r="G8" s="516"/>
      <c r="H8" s="516"/>
      <c r="I8" s="516"/>
      <c r="J8" s="516"/>
      <c r="K8" s="516"/>
      <c r="L8" s="516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2:25" ht="25.5" x14ac:dyDescent="0.2">
      <c r="B9" s="1"/>
      <c r="C9" s="2272" t="s">
        <v>6</v>
      </c>
      <c r="D9" s="2272"/>
      <c r="E9" s="517" t="s">
        <v>94</v>
      </c>
      <c r="F9" s="517" t="s">
        <v>126</v>
      </c>
      <c r="G9" s="410" t="s">
        <v>133</v>
      </c>
      <c r="H9" s="517" t="s">
        <v>127</v>
      </c>
      <c r="I9" s="517" t="s">
        <v>128</v>
      </c>
      <c r="J9" s="516"/>
      <c r="K9" s="516"/>
      <c r="L9" s="516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2:25" x14ac:dyDescent="0.2">
      <c r="B10" s="1"/>
      <c r="C10" s="2270" t="s">
        <v>131</v>
      </c>
      <c r="D10" s="2270"/>
      <c r="E10" s="433">
        <f>IF(C15=0,D15,C15)</f>
        <v>4627948.08</v>
      </c>
      <c r="F10" s="407">
        <f>E10*0.16</f>
        <v>740471.69280000008</v>
      </c>
      <c r="G10" s="407">
        <f>E10+F10</f>
        <v>5368419.7728000004</v>
      </c>
      <c r="H10" s="408"/>
      <c r="I10" s="411">
        <v>20</v>
      </c>
      <c r="J10" s="516"/>
      <c r="K10" s="516"/>
      <c r="L10" s="516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2:25" x14ac:dyDescent="0.2">
      <c r="B11" s="1"/>
      <c r="C11" s="2270" t="s">
        <v>132</v>
      </c>
      <c r="D11" s="2270"/>
      <c r="E11" s="433">
        <f>IF(C16=0,D16,C16)</f>
        <v>2047.42</v>
      </c>
      <c r="F11" s="407">
        <f>E11*0.16</f>
        <v>327.5872</v>
      </c>
      <c r="G11" s="407">
        <f>E11+F11</f>
        <v>2375.0072</v>
      </c>
      <c r="H11" s="408"/>
      <c r="I11" s="411">
        <v>20</v>
      </c>
      <c r="J11" s="516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2:25" x14ac:dyDescent="0.2">
      <c r="B12" s="1"/>
      <c r="C12" s="516"/>
      <c r="D12" s="516"/>
      <c r="E12" s="516"/>
      <c r="F12" s="516"/>
      <c r="G12" s="516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2:25" ht="15" thickBot="1" x14ac:dyDescent="0.25">
      <c r="B13" s="1"/>
      <c r="C13" s="516"/>
      <c r="D13" s="516"/>
      <c r="E13" s="516"/>
      <c r="F13" s="516"/>
      <c r="G13" s="516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2:25" x14ac:dyDescent="0.2">
      <c r="B14" s="1"/>
      <c r="C14" s="440" t="s">
        <v>155</v>
      </c>
      <c r="D14" s="441" t="s">
        <v>156</v>
      </c>
      <c r="E14" s="442" t="s">
        <v>112</v>
      </c>
      <c r="F14" s="516"/>
      <c r="G14" s="516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2:25" x14ac:dyDescent="0.2">
      <c r="B15" s="1"/>
      <c r="C15" s="443">
        <v>4627948.08</v>
      </c>
      <c r="D15" s="444">
        <f>D80</f>
        <v>4627948.0800000029</v>
      </c>
      <c r="E15" s="445">
        <f>C15-D15</f>
        <v>0</v>
      </c>
      <c r="F15" s="516"/>
      <c r="G15" s="516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2:25" ht="15" thickBot="1" x14ac:dyDescent="0.25">
      <c r="B16" s="1"/>
      <c r="C16" s="446">
        <v>2047.42</v>
      </c>
      <c r="D16" s="447">
        <f>ROUND(G80,2)</f>
        <v>1938.68</v>
      </c>
      <c r="E16" s="448">
        <f>C16-D16</f>
        <v>108.74000000000001</v>
      </c>
      <c r="F16" s="516"/>
      <c r="G16" s="516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2:25" x14ac:dyDescent="0.2">
      <c r="B17" s="1"/>
      <c r="C17" s="516"/>
      <c r="D17" s="516"/>
      <c r="E17" s="516"/>
      <c r="F17" s="516"/>
      <c r="G17" s="516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2:25" x14ac:dyDescent="0.2">
      <c r="B18" s="1"/>
      <c r="C18" s="516"/>
      <c r="D18" s="516"/>
      <c r="E18" s="516"/>
      <c r="F18" s="516"/>
      <c r="G18" s="516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2:25" x14ac:dyDescent="0.2">
      <c r="B19" s="1"/>
      <c r="C19" s="516"/>
      <c r="D19" s="516"/>
      <c r="E19" s="516"/>
      <c r="F19" s="516"/>
      <c r="G19" s="516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2:25" x14ac:dyDescent="0.2">
      <c r="B20" s="1"/>
      <c r="C20" s="516"/>
      <c r="D20" s="516"/>
      <c r="E20" s="516"/>
      <c r="F20" s="516"/>
      <c r="G20" s="516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2:25" x14ac:dyDescent="0.2">
      <c r="B21" s="1"/>
      <c r="C21" s="516"/>
      <c r="D21" s="516"/>
      <c r="E21" s="516"/>
      <c r="F21" s="516"/>
      <c r="G21" s="516"/>
      <c r="H21" s="1"/>
      <c r="I21" s="1"/>
      <c r="J21" s="1"/>
      <c r="K21" s="1"/>
      <c r="L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2:25" ht="15" thickBot="1" x14ac:dyDescent="0.25">
      <c r="B22" s="1"/>
      <c r="C22" s="419" t="s">
        <v>137</v>
      </c>
      <c r="D22" s="516" t="s">
        <v>138</v>
      </c>
      <c r="E22" s="516"/>
      <c r="F22" s="516" t="s">
        <v>139</v>
      </c>
      <c r="G22" s="516" t="s">
        <v>157</v>
      </c>
      <c r="H22" s="516" t="s">
        <v>143</v>
      </c>
      <c r="I22" s="516" t="s">
        <v>142</v>
      </c>
      <c r="J22" s="516" t="s">
        <v>141</v>
      </c>
      <c r="K22" s="516" t="s">
        <v>140</v>
      </c>
      <c r="L22" s="516" t="s">
        <v>144</v>
      </c>
      <c r="M22" s="516" t="s">
        <v>146</v>
      </c>
      <c r="N22" s="516"/>
      <c r="O22" s="516"/>
      <c r="P22" s="516"/>
      <c r="Q22" s="1"/>
      <c r="R22" s="1"/>
      <c r="S22" s="1"/>
      <c r="T22" s="1"/>
      <c r="U22" s="1"/>
      <c r="V22" s="1"/>
      <c r="W22" s="1"/>
      <c r="X22" s="1"/>
      <c r="Y22" s="1"/>
    </row>
    <row r="23" spans="2:25" ht="36.75" customHeight="1" x14ac:dyDescent="0.2">
      <c r="B23" s="1"/>
      <c r="C23" s="402" t="s">
        <v>134</v>
      </c>
      <c r="D23" s="2261" t="s">
        <v>135</v>
      </c>
      <c r="E23" s="2262"/>
      <c r="F23" s="518" t="s">
        <v>136</v>
      </c>
      <c r="G23" s="461" t="s">
        <v>153</v>
      </c>
      <c r="H23" s="420" t="s">
        <v>129</v>
      </c>
      <c r="I23" s="403" t="s">
        <v>130</v>
      </c>
      <c r="J23" s="422"/>
      <c r="K23" s="422"/>
      <c r="L23" s="422"/>
      <c r="M23" s="404" t="s">
        <v>158</v>
      </c>
      <c r="N23" s="516"/>
      <c r="O23" s="516"/>
      <c r="P23" s="516"/>
      <c r="Q23" s="516"/>
      <c r="R23" s="516"/>
      <c r="S23" s="516"/>
      <c r="T23" s="516"/>
      <c r="U23" s="1"/>
      <c r="V23" s="1"/>
      <c r="W23" s="1"/>
      <c r="X23" s="1"/>
      <c r="Y23" s="1"/>
    </row>
    <row r="24" spans="2:25" x14ac:dyDescent="0.2">
      <c r="B24" s="1"/>
      <c r="C24" s="405">
        <v>850</v>
      </c>
      <c r="D24" s="2263">
        <v>850</v>
      </c>
      <c r="E24" s="2264"/>
      <c r="F24" s="418">
        <v>31482640</v>
      </c>
      <c r="G24" s="462">
        <v>30</v>
      </c>
      <c r="H24" s="460">
        <f>VLOOKUP(C47,Tarifas!D4:H303,3)</f>
        <v>0.14699999999999999</v>
      </c>
      <c r="I24" s="424">
        <f>VLOOKUP(C47,Tarifas!D4:H303,5)</f>
        <v>1E-3</v>
      </c>
      <c r="J24" s="421">
        <v>182.5</v>
      </c>
      <c r="K24" s="421">
        <v>201.4</v>
      </c>
      <c r="L24" s="421">
        <f>I11</f>
        <v>20</v>
      </c>
      <c r="M24" s="431">
        <f>E80</f>
        <v>2139454.2489999998</v>
      </c>
      <c r="N24" s="430" t="s">
        <v>62</v>
      </c>
      <c r="O24" s="516"/>
      <c r="P24" s="516"/>
      <c r="Q24" s="516"/>
      <c r="R24" s="516"/>
      <c r="S24" s="516"/>
      <c r="T24" s="516"/>
      <c r="U24" s="1"/>
      <c r="V24" s="1"/>
      <c r="W24" s="1"/>
      <c r="X24" s="1"/>
      <c r="Y24" s="1"/>
    </row>
    <row r="25" spans="2:25" x14ac:dyDescent="0.2">
      <c r="B25" s="1"/>
      <c r="C25" s="516"/>
      <c r="D25" s="516"/>
      <c r="E25" s="516"/>
      <c r="F25" s="516"/>
      <c r="G25" s="516"/>
      <c r="H25" s="516"/>
      <c r="I25" s="516"/>
      <c r="J25" s="516"/>
      <c r="K25" s="516"/>
      <c r="L25" s="516"/>
      <c r="M25" s="516"/>
      <c r="N25" s="516"/>
      <c r="O25" s="516"/>
      <c r="P25" s="516"/>
      <c r="Q25" s="516"/>
      <c r="R25" s="516"/>
      <c r="S25" s="1"/>
      <c r="T25" s="1"/>
      <c r="U25" s="1"/>
      <c r="V25" s="1"/>
      <c r="W25" s="1"/>
      <c r="X25" s="1"/>
      <c r="Y25" s="1"/>
    </row>
    <row r="26" spans="2:25" x14ac:dyDescent="0.2">
      <c r="B26" s="1"/>
      <c r="C26" s="516"/>
      <c r="D26" s="516"/>
      <c r="E26" s="516"/>
      <c r="F26" s="516"/>
      <c r="G26" s="516"/>
      <c r="H26" s="516"/>
      <c r="I26" s="516"/>
      <c r="J26" s="516"/>
      <c r="K26" s="516"/>
      <c r="L26" s="516"/>
      <c r="M26" s="516"/>
      <c r="N26" s="516"/>
      <c r="O26" s="516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2:25" x14ac:dyDescent="0.2">
      <c r="B27" s="1"/>
      <c r="C27" s="516"/>
      <c r="D27" s="516"/>
      <c r="E27" s="516"/>
      <c r="F27" s="516"/>
      <c r="G27" s="516"/>
      <c r="H27" s="516"/>
      <c r="I27" s="516"/>
      <c r="J27" s="516"/>
      <c r="K27" s="516"/>
      <c r="L27" s="516"/>
      <c r="M27" s="516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2:25" ht="15" thickBot="1" x14ac:dyDescent="0.25">
      <c r="B28" s="1"/>
      <c r="C28" s="2265" t="s">
        <v>86</v>
      </c>
      <c r="D28" s="2265"/>
      <c r="E28" s="2265"/>
      <c r="F28" s="2265"/>
      <c r="G28" s="519"/>
      <c r="H28" s="334"/>
      <c r="I28" s="334"/>
      <c r="J28" s="334"/>
      <c r="K28" s="519"/>
      <c r="L28" s="336"/>
      <c r="M28" s="336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2:25" ht="22.5" x14ac:dyDescent="0.2">
      <c r="B29" s="1"/>
      <c r="C29" s="337" t="s">
        <v>87</v>
      </c>
      <c r="D29" s="514" t="s">
        <v>88</v>
      </c>
      <c r="E29" s="514" t="s">
        <v>89</v>
      </c>
      <c r="F29" s="514" t="s">
        <v>20</v>
      </c>
      <c r="G29" s="514" t="s">
        <v>160</v>
      </c>
      <c r="H29" s="514" t="s">
        <v>90</v>
      </c>
      <c r="I29" s="514" t="s">
        <v>91</v>
      </c>
      <c r="J29" s="514" t="s">
        <v>92</v>
      </c>
      <c r="K29" s="514" t="s">
        <v>93</v>
      </c>
      <c r="L29" s="514" t="s">
        <v>94</v>
      </c>
      <c r="M29" s="515" t="s">
        <v>95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2:25" x14ac:dyDescent="0.2">
      <c r="B30" s="1"/>
      <c r="C30" s="338"/>
      <c r="D30" s="339">
        <v>1</v>
      </c>
      <c r="E30" s="339" t="s">
        <v>96</v>
      </c>
      <c r="F30" s="340" t="s">
        <v>97</v>
      </c>
      <c r="G30" s="340">
        <v>2201</v>
      </c>
      <c r="H30" s="339">
        <v>20823</v>
      </c>
      <c r="I30" s="341">
        <v>40000</v>
      </c>
      <c r="J30" s="339">
        <v>138.15</v>
      </c>
      <c r="K30" s="342">
        <f>I30/I$35</f>
        <v>4.7058823529411764E-2</v>
      </c>
      <c r="L30" s="343">
        <f>ROUND(K30*E$10,2)</f>
        <v>217785.79</v>
      </c>
      <c r="M30" s="344">
        <f>L30*$I$10</f>
        <v>4355715.8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2:25" x14ac:dyDescent="0.2">
      <c r="B31" s="1"/>
      <c r="C31" s="338"/>
      <c r="D31" s="339">
        <v>2</v>
      </c>
      <c r="E31" s="339" t="s">
        <v>98</v>
      </c>
      <c r="F31" s="340" t="s">
        <v>97</v>
      </c>
      <c r="G31" s="340">
        <v>2201</v>
      </c>
      <c r="H31" s="339">
        <v>20824</v>
      </c>
      <c r="I31" s="341">
        <v>40000</v>
      </c>
      <c r="J31" s="339">
        <v>138.15</v>
      </c>
      <c r="K31" s="342">
        <f>I31/I$35</f>
        <v>4.7058823529411764E-2</v>
      </c>
      <c r="L31" s="343">
        <f>ROUND(K31*E$10,2)</f>
        <v>217785.79</v>
      </c>
      <c r="M31" s="344">
        <f>L31*$I$10</f>
        <v>4355715.8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2:25" x14ac:dyDescent="0.2">
      <c r="B32" s="1"/>
      <c r="C32" s="338"/>
      <c r="D32" s="339">
        <v>1</v>
      </c>
      <c r="E32" s="339" t="s">
        <v>99</v>
      </c>
      <c r="F32" s="340" t="s">
        <v>100</v>
      </c>
      <c r="G32" s="340">
        <v>2230</v>
      </c>
      <c r="H32" s="339">
        <v>22228</v>
      </c>
      <c r="I32" s="341">
        <v>32000</v>
      </c>
      <c r="J32" s="339">
        <v>130.80000000000001</v>
      </c>
      <c r="K32" s="342">
        <f>I32/I$35</f>
        <v>3.7647058823529408E-2</v>
      </c>
      <c r="L32" s="343">
        <f>ROUND(K32*E$10,2)</f>
        <v>174228.63</v>
      </c>
      <c r="M32" s="344">
        <f>L32*$I$10</f>
        <v>3484572.6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2:25" x14ac:dyDescent="0.2">
      <c r="B33" s="1"/>
      <c r="C33" s="338">
        <v>800762390</v>
      </c>
      <c r="D33" s="339">
        <v>1</v>
      </c>
      <c r="E33" s="354" t="s">
        <v>101</v>
      </c>
      <c r="F33" s="463" t="s">
        <v>23</v>
      </c>
      <c r="G33" s="463">
        <v>2044</v>
      </c>
      <c r="H33" s="354">
        <v>591000420</v>
      </c>
      <c r="I33" s="341">
        <v>80000</v>
      </c>
      <c r="J33" s="339"/>
      <c r="K33" s="342">
        <f>I33/I$35</f>
        <v>9.4117647058823528E-2</v>
      </c>
      <c r="L33" s="343">
        <f>ROUND(K33*E$10,2)</f>
        <v>435571.58</v>
      </c>
      <c r="M33" s="344">
        <f>L33*$I$10</f>
        <v>8711431.5999999996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2:25" ht="15" thickBot="1" x14ac:dyDescent="0.25">
      <c r="B34" s="1"/>
      <c r="C34" s="345">
        <v>800642440</v>
      </c>
      <c r="D34" s="346">
        <v>5</v>
      </c>
      <c r="E34" s="347" t="s">
        <v>101</v>
      </c>
      <c r="F34" s="348" t="s">
        <v>159</v>
      </c>
      <c r="G34" s="348">
        <v>2277</v>
      </c>
      <c r="H34" s="347">
        <v>22770</v>
      </c>
      <c r="I34" s="349">
        <f>850000-I30-I31-I32-I33</f>
        <v>658000</v>
      </c>
      <c r="J34" s="346"/>
      <c r="K34" s="350">
        <f>I34/I$35</f>
        <v>0.77411764705882358</v>
      </c>
      <c r="L34" s="351">
        <f>ROUND(K34*E$10,2)</f>
        <v>3582576.28</v>
      </c>
      <c r="M34" s="352">
        <f>L34*$I$10</f>
        <v>71651525.599999994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2:25" x14ac:dyDescent="0.2">
      <c r="B35" s="1"/>
      <c r="C35" s="406">
        <v>3000623</v>
      </c>
      <c r="D35" s="353" t="s">
        <v>102</v>
      </c>
      <c r="E35" s="353"/>
      <c r="F35" s="353"/>
      <c r="G35" s="353"/>
      <c r="H35" s="354"/>
      <c r="I35" s="355">
        <f>SUM(I30:I34)</f>
        <v>850000</v>
      </c>
      <c r="J35" s="353"/>
      <c r="K35" s="356">
        <f>SUM(K30:K34)</f>
        <v>1</v>
      </c>
      <c r="L35" s="357">
        <f>SUM(L30:L34)</f>
        <v>4627948.07</v>
      </c>
      <c r="M35" s="357">
        <f>SUM(M30:M33)</f>
        <v>20907435.799999997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2:25" x14ac:dyDescent="0.2">
      <c r="B36" s="1"/>
      <c r="C36" s="336"/>
      <c r="D36" s="336"/>
      <c r="E36" s="336"/>
      <c r="F36" s="358"/>
      <c r="G36" s="358"/>
      <c r="H36" s="336"/>
      <c r="I36" s="336"/>
      <c r="J36" s="336"/>
      <c r="K36" s="336"/>
      <c r="L36" s="359"/>
      <c r="M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2:25" x14ac:dyDescent="0.2">
      <c r="B37" s="1"/>
      <c r="C37" s="336"/>
      <c r="D37" s="336"/>
      <c r="E37" s="336"/>
      <c r="F37" s="358"/>
      <c r="G37" s="358"/>
      <c r="H37" s="336"/>
      <c r="I37" s="336"/>
      <c r="J37" s="336"/>
      <c r="K37" s="336"/>
      <c r="L37" s="359"/>
      <c r="M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2:25" x14ac:dyDescent="0.2">
      <c r="B38" s="1"/>
      <c r="C38" s="336"/>
      <c r="D38" s="336"/>
      <c r="E38" s="336"/>
      <c r="F38" s="358"/>
      <c r="G38" s="358"/>
      <c r="H38" s="336"/>
      <c r="I38" s="336"/>
      <c r="J38" s="336"/>
      <c r="K38" s="336"/>
      <c r="L38" s="359"/>
      <c r="M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2:25" ht="15" thickBot="1" x14ac:dyDescent="0.25">
      <c r="B39" s="1"/>
      <c r="C39" s="2266" t="s">
        <v>103</v>
      </c>
      <c r="D39" s="2266"/>
      <c r="E39" s="2266"/>
      <c r="F39" s="2266"/>
      <c r="G39" s="519"/>
      <c r="H39" s="334"/>
      <c r="I39" s="334"/>
      <c r="J39" s="334"/>
      <c r="K39" s="336"/>
      <c r="L39" s="336"/>
      <c r="M39" s="360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2:25" ht="22.5" x14ac:dyDescent="0.2">
      <c r="B40" s="1"/>
      <c r="C40" s="337" t="s">
        <v>87</v>
      </c>
      <c r="D40" s="514" t="s">
        <v>88</v>
      </c>
      <c r="E40" s="514" t="s">
        <v>89</v>
      </c>
      <c r="F40" s="514" t="s">
        <v>20</v>
      </c>
      <c r="G40" s="514"/>
      <c r="H40" s="514" t="s">
        <v>90</v>
      </c>
      <c r="I40" s="514" t="s">
        <v>104</v>
      </c>
      <c r="J40" s="514" t="s">
        <v>93</v>
      </c>
      <c r="K40" s="514" t="s">
        <v>92</v>
      </c>
      <c r="L40" s="514" t="s">
        <v>94</v>
      </c>
      <c r="M40" s="515" t="s">
        <v>95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2:25" x14ac:dyDescent="0.2">
      <c r="B41" s="1"/>
      <c r="C41" s="338"/>
      <c r="D41" s="339">
        <v>1</v>
      </c>
      <c r="E41" s="339" t="s">
        <v>96</v>
      </c>
      <c r="F41" s="340" t="s">
        <v>97</v>
      </c>
      <c r="G41" s="340"/>
      <c r="H41" s="339">
        <v>20823</v>
      </c>
      <c r="I41" s="341">
        <f>M80</f>
        <v>0</v>
      </c>
      <c r="J41" s="342">
        <f>I41/I$45</f>
        <v>0</v>
      </c>
      <c r="K41" s="339">
        <v>138.15</v>
      </c>
      <c r="L41" s="343">
        <f>ROUND(J41*$E$11,2)</f>
        <v>0</v>
      </c>
      <c r="M41" s="344">
        <f>L41*L24</f>
        <v>0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2:25" x14ac:dyDescent="0.2">
      <c r="B42" s="1"/>
      <c r="C42" s="338"/>
      <c r="D42" s="339">
        <v>2</v>
      </c>
      <c r="E42" s="339" t="s">
        <v>98</v>
      </c>
      <c r="F42" s="340" t="s">
        <v>97</v>
      </c>
      <c r="G42" s="340"/>
      <c r="H42" s="339">
        <v>20824</v>
      </c>
      <c r="I42" s="341">
        <f>N80</f>
        <v>0</v>
      </c>
      <c r="J42" s="342">
        <f>I42/I$45</f>
        <v>0</v>
      </c>
      <c r="K42" s="339">
        <v>138.15</v>
      </c>
      <c r="L42" s="343">
        <f>ROUND(J42*$E$11,2)</f>
        <v>0</v>
      </c>
      <c r="M42" s="344">
        <f>L42*L25</f>
        <v>0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2:25" x14ac:dyDescent="0.2">
      <c r="B43" s="1"/>
      <c r="C43" s="338"/>
      <c r="D43" s="339">
        <v>1</v>
      </c>
      <c r="E43" s="339" t="s">
        <v>99</v>
      </c>
      <c r="F43" s="340" t="s">
        <v>100</v>
      </c>
      <c r="G43" s="340"/>
      <c r="H43" s="339">
        <v>22228</v>
      </c>
      <c r="I43" s="341">
        <f>O80</f>
        <v>2139454.2489999998</v>
      </c>
      <c r="J43" s="342">
        <f>I43/I$45</f>
        <v>1</v>
      </c>
      <c r="K43" s="339">
        <v>130.80000000000001</v>
      </c>
      <c r="L43" s="343">
        <f>ROUND(J43*$E$11,2)</f>
        <v>2047.42</v>
      </c>
      <c r="M43" s="344">
        <f>L43*L26</f>
        <v>0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2:25" ht="15" thickBot="1" x14ac:dyDescent="0.25">
      <c r="B44" s="1"/>
      <c r="C44" s="345">
        <v>800762390</v>
      </c>
      <c r="D44" s="346">
        <v>2</v>
      </c>
      <c r="E44" s="347" t="s">
        <v>101</v>
      </c>
      <c r="F44" s="348" t="s">
        <v>23</v>
      </c>
      <c r="G44" s="348"/>
      <c r="H44" s="347"/>
      <c r="I44" s="349">
        <f>L80</f>
        <v>0</v>
      </c>
      <c r="J44" s="350">
        <f>I44/I$45</f>
        <v>0</v>
      </c>
      <c r="K44" s="346">
        <v>138.15</v>
      </c>
      <c r="L44" s="351">
        <f>ROUND(J44*$E$11,2)</f>
        <v>0</v>
      </c>
      <c r="M44" s="352">
        <f>L44*L27</f>
        <v>0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2:25" x14ac:dyDescent="0.2">
      <c r="B45" s="1"/>
      <c r="C45" s="353"/>
      <c r="D45" s="353"/>
      <c r="E45" s="353"/>
      <c r="F45" s="353"/>
      <c r="G45" s="353"/>
      <c r="H45" s="354"/>
      <c r="I45" s="449">
        <f>SUM(I41:I44)</f>
        <v>2139454.2489999998</v>
      </c>
      <c r="J45" s="355"/>
      <c r="K45" s="353"/>
      <c r="L45" s="357">
        <f>SUM(L41:L44)</f>
        <v>2047.42</v>
      </c>
      <c r="M45" s="357">
        <f>SUM(M41:M44)</f>
        <v>0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2:25" customFormat="1" ht="15" thickBot="1" x14ac:dyDescent="0.25">
      <c r="M46" s="450"/>
      <c r="N46" s="450"/>
      <c r="O46" s="450"/>
      <c r="P46" s="450"/>
      <c r="Q46" s="450"/>
      <c r="R46" s="450"/>
      <c r="S46" s="450"/>
      <c r="T46" s="450"/>
      <c r="U46" s="450"/>
      <c r="V46" s="450"/>
      <c r="W46" s="450"/>
      <c r="X46" s="450"/>
      <c r="Y46" s="450"/>
    </row>
    <row r="47" spans="2:25" ht="15" thickBot="1" x14ac:dyDescent="0.25">
      <c r="B47" s="434" t="s">
        <v>3</v>
      </c>
      <c r="C47" s="1445">
        <f>SUMIF(Tarifas!E4:E303,'Noviembre - 2015'!C49,Tarifas!D4:D303)</f>
        <v>28</v>
      </c>
      <c r="D47" s="425" t="s">
        <v>147</v>
      </c>
      <c r="E47" s="426" t="s">
        <v>145</v>
      </c>
      <c r="F47" s="426" t="s">
        <v>150</v>
      </c>
      <c r="G47" s="426" t="s">
        <v>148</v>
      </c>
      <c r="H47" s="382"/>
      <c r="I47" s="331" t="s">
        <v>120</v>
      </c>
      <c r="J47" s="332"/>
      <c r="K47" s="332"/>
      <c r="L47" s="2277" t="s">
        <v>105</v>
      </c>
      <c r="M47" s="2278"/>
      <c r="N47" s="2278"/>
      <c r="O47" s="2278"/>
      <c r="P47" s="2278"/>
      <c r="Q47" s="2278"/>
      <c r="R47" s="2279"/>
      <c r="S47" s="2274" t="s">
        <v>121</v>
      </c>
      <c r="T47" s="2275"/>
      <c r="U47" s="2275"/>
      <c r="V47" s="2275"/>
      <c r="W47" s="2275"/>
      <c r="X47" s="2275"/>
      <c r="Y47" s="2276"/>
    </row>
    <row r="48" spans="2:25" ht="34.5" thickBot="1" x14ac:dyDescent="0.25">
      <c r="C48" s="1427" t="s">
        <v>122</v>
      </c>
      <c r="D48" s="1428" t="s">
        <v>125</v>
      </c>
      <c r="E48" s="1429" t="s">
        <v>149</v>
      </c>
      <c r="F48" s="1429" t="s">
        <v>151</v>
      </c>
      <c r="G48" s="1429" t="s">
        <v>152</v>
      </c>
      <c r="H48" s="1430" t="s">
        <v>123</v>
      </c>
      <c r="I48" s="1450" t="s">
        <v>377</v>
      </c>
      <c r="J48" s="1451" t="s">
        <v>376</v>
      </c>
      <c r="K48" s="1451" t="s">
        <v>375</v>
      </c>
      <c r="L48" s="1437" t="s">
        <v>115</v>
      </c>
      <c r="M48" s="1438" t="s">
        <v>106</v>
      </c>
      <c r="N48" s="1438" t="s">
        <v>107</v>
      </c>
      <c r="O48" s="1438" t="s">
        <v>108</v>
      </c>
      <c r="P48" s="1438" t="s">
        <v>115</v>
      </c>
      <c r="Q48" s="1439" t="s">
        <v>116</v>
      </c>
      <c r="R48" s="1440" t="s">
        <v>117</v>
      </c>
      <c r="S48" s="1441" t="s">
        <v>110</v>
      </c>
      <c r="T48" s="1442" t="s">
        <v>111</v>
      </c>
      <c r="U48" s="1442" t="s">
        <v>112</v>
      </c>
      <c r="V48" s="1443" t="s">
        <v>118</v>
      </c>
      <c r="W48" s="1443" t="s">
        <v>119</v>
      </c>
      <c r="X48" s="1443" t="s">
        <v>114</v>
      </c>
      <c r="Y48" s="1444" t="s">
        <v>113</v>
      </c>
    </row>
    <row r="49" spans="3:25" x14ac:dyDescent="0.2">
      <c r="C49" s="387">
        <f>G7</f>
        <v>42309</v>
      </c>
      <c r="D49" s="388">
        <f>($F$24*$H$24)/$G$24</f>
        <v>154264.93600000002</v>
      </c>
      <c r="E49" s="389">
        <f>P49+Q49+R49</f>
        <v>70476.149999999994</v>
      </c>
      <c r="F49" s="427">
        <f t="shared" ref="F49:F78" si="0">TRUNC(IFERROR(J$24/K$24,0),8)</f>
        <v>0.90615690000000004</v>
      </c>
      <c r="G49" s="390">
        <f t="shared" ref="G49:G78" si="1">ROUND(I$24*F49*E49,4)</f>
        <v>63.862400000000001</v>
      </c>
      <c r="H49" s="391">
        <f t="shared" ref="H49:H78" si="2">SUM(D49:G49)</f>
        <v>224805.85455690001</v>
      </c>
      <c r="I49" s="324"/>
      <c r="J49" s="325"/>
      <c r="K49" s="325"/>
      <c r="L49" s="317"/>
      <c r="M49" s="318"/>
      <c r="N49" s="318"/>
      <c r="O49" s="318">
        <v>70476.149999999994</v>
      </c>
      <c r="P49" s="389">
        <f>L49</f>
        <v>0</v>
      </c>
      <c r="Q49" s="389">
        <f t="shared" ref="Q49:Q78" si="3">M49+N49</f>
        <v>0</v>
      </c>
      <c r="R49" s="389">
        <f t="shared" ref="R49:R78" si="4">O49</f>
        <v>70476.149999999994</v>
      </c>
      <c r="S49" s="373"/>
      <c r="T49" s="374"/>
      <c r="U49" s="524">
        <f>S49+T49-V49</f>
        <v>0</v>
      </c>
      <c r="V49" s="520">
        <f>I49+J49+K49</f>
        <v>0</v>
      </c>
      <c r="W49" s="524">
        <f>(P49+Q49+R49)*1.055056</f>
        <v>74356.284914399992</v>
      </c>
      <c r="X49" s="520">
        <f>V49-W49</f>
        <v>-74356.284914399992</v>
      </c>
      <c r="Y49" s="525">
        <f>AL46+X49</f>
        <v>-74356.284914399992</v>
      </c>
    </row>
    <row r="50" spans="3:25" x14ac:dyDescent="0.2">
      <c r="C50" s="387">
        <f t="shared" ref="C50:C78" si="5">C49+1</f>
        <v>42310</v>
      </c>
      <c r="D50" s="388">
        <f t="shared" ref="D50:D78" si="6">($F$24*$H$24)/$G$24</f>
        <v>154264.93600000002</v>
      </c>
      <c r="E50" s="392">
        <f t="shared" ref="E50:E78" si="7">P50+Q50+R50</f>
        <v>71265.054999999993</v>
      </c>
      <c r="F50" s="428">
        <f t="shared" si="0"/>
        <v>0.90615690000000004</v>
      </c>
      <c r="G50" s="390">
        <f t="shared" si="1"/>
        <v>64.577299999999994</v>
      </c>
      <c r="H50" s="391">
        <f t="shared" si="2"/>
        <v>225595.4744569</v>
      </c>
      <c r="I50" s="324"/>
      <c r="J50" s="325"/>
      <c r="K50" s="325"/>
      <c r="L50" s="319"/>
      <c r="M50" s="320"/>
      <c r="N50" s="320"/>
      <c r="O50" s="320">
        <v>71265.054999999993</v>
      </c>
      <c r="P50" s="392">
        <f t="shared" ref="P50:P78" si="8">L50</f>
        <v>0</v>
      </c>
      <c r="Q50" s="392">
        <f t="shared" si="3"/>
        <v>0</v>
      </c>
      <c r="R50" s="392">
        <f t="shared" si="4"/>
        <v>71265.054999999993</v>
      </c>
      <c r="S50" s="373"/>
      <c r="T50" s="374"/>
      <c r="U50" s="524">
        <f t="shared" ref="U50:U78" si="9">S50+T50-V50</f>
        <v>0</v>
      </c>
      <c r="V50" s="520">
        <f t="shared" ref="V50:V78" si="10">I50+J50+K50</f>
        <v>0</v>
      </c>
      <c r="W50" s="524">
        <f t="shared" ref="W50:W78" si="11">(P50+Q50+R50)*1.055056</f>
        <v>75188.623868079987</v>
      </c>
      <c r="X50" s="520">
        <f t="shared" ref="X50:X78" si="12">V50-W50</f>
        <v>-75188.623868079987</v>
      </c>
      <c r="Y50" s="525">
        <f>Y49+X50</f>
        <v>-149544.90878247999</v>
      </c>
    </row>
    <row r="51" spans="3:25" x14ac:dyDescent="0.2">
      <c r="C51" s="387">
        <f t="shared" si="5"/>
        <v>42311</v>
      </c>
      <c r="D51" s="388">
        <f t="shared" si="6"/>
        <v>154264.93600000002</v>
      </c>
      <c r="E51" s="392">
        <f t="shared" si="7"/>
        <v>74829.460000000006</v>
      </c>
      <c r="F51" s="428">
        <f t="shared" si="0"/>
        <v>0.90615690000000004</v>
      </c>
      <c r="G51" s="390">
        <f t="shared" si="1"/>
        <v>67.807199999999995</v>
      </c>
      <c r="H51" s="391">
        <f t="shared" si="2"/>
        <v>229163.10935690001</v>
      </c>
      <c r="I51" s="324"/>
      <c r="J51" s="325"/>
      <c r="K51" s="325"/>
      <c r="L51" s="317"/>
      <c r="M51" s="318"/>
      <c r="N51" s="318"/>
      <c r="O51" s="318">
        <v>74829.460000000006</v>
      </c>
      <c r="P51" s="392">
        <f t="shared" si="8"/>
        <v>0</v>
      </c>
      <c r="Q51" s="392">
        <f t="shared" si="3"/>
        <v>0</v>
      </c>
      <c r="R51" s="392">
        <f t="shared" si="4"/>
        <v>74829.460000000006</v>
      </c>
      <c r="S51" s="373"/>
      <c r="T51" s="374"/>
      <c r="U51" s="524">
        <f t="shared" si="9"/>
        <v>0</v>
      </c>
      <c r="V51" s="520">
        <f t="shared" si="10"/>
        <v>0</v>
      </c>
      <c r="W51" s="524">
        <f t="shared" si="11"/>
        <v>78949.270749760006</v>
      </c>
      <c r="X51" s="520">
        <f t="shared" si="12"/>
        <v>-78949.270749760006</v>
      </c>
      <c r="Y51" s="525">
        <f t="shared" ref="Y51:Y78" si="13">Y50+X51</f>
        <v>-228494.17953224</v>
      </c>
    </row>
    <row r="52" spans="3:25" x14ac:dyDescent="0.2">
      <c r="C52" s="387">
        <f t="shared" si="5"/>
        <v>42312</v>
      </c>
      <c r="D52" s="388">
        <f t="shared" si="6"/>
        <v>154264.93600000002</v>
      </c>
      <c r="E52" s="392">
        <f t="shared" si="7"/>
        <v>75618.942999999999</v>
      </c>
      <c r="F52" s="428">
        <f t="shared" si="0"/>
        <v>0.90615690000000004</v>
      </c>
      <c r="G52" s="390">
        <f t="shared" si="1"/>
        <v>68.522599999999997</v>
      </c>
      <c r="H52" s="391">
        <f t="shared" si="2"/>
        <v>229953.3077569</v>
      </c>
      <c r="I52" s="324"/>
      <c r="J52" s="325"/>
      <c r="K52" s="325"/>
      <c r="L52" s="319"/>
      <c r="M52" s="320"/>
      <c r="N52" s="320"/>
      <c r="O52" s="320">
        <v>75618.942999999999</v>
      </c>
      <c r="P52" s="392">
        <f t="shared" si="8"/>
        <v>0</v>
      </c>
      <c r="Q52" s="392">
        <f t="shared" si="3"/>
        <v>0</v>
      </c>
      <c r="R52" s="392">
        <f t="shared" si="4"/>
        <v>75618.942999999999</v>
      </c>
      <c r="S52" s="373"/>
      <c r="T52" s="374"/>
      <c r="U52" s="524">
        <f t="shared" si="9"/>
        <v>0</v>
      </c>
      <c r="V52" s="520">
        <f t="shared" si="10"/>
        <v>0</v>
      </c>
      <c r="W52" s="524">
        <f t="shared" si="11"/>
        <v>79782.219525808003</v>
      </c>
      <c r="X52" s="520">
        <f t="shared" si="12"/>
        <v>-79782.219525808003</v>
      </c>
      <c r="Y52" s="525">
        <f t="shared" si="13"/>
        <v>-308276.39905804803</v>
      </c>
    </row>
    <row r="53" spans="3:25" x14ac:dyDescent="0.2">
      <c r="C53" s="387">
        <f t="shared" si="5"/>
        <v>42313</v>
      </c>
      <c r="D53" s="388">
        <f t="shared" si="6"/>
        <v>154264.93600000002</v>
      </c>
      <c r="E53" s="392">
        <f t="shared" si="7"/>
        <v>77521.88</v>
      </c>
      <c r="F53" s="428">
        <f t="shared" si="0"/>
        <v>0.90615690000000004</v>
      </c>
      <c r="G53" s="390">
        <f t="shared" si="1"/>
        <v>70.247</v>
      </c>
      <c r="H53" s="391">
        <f t="shared" si="2"/>
        <v>231857.96915690001</v>
      </c>
      <c r="I53" s="324"/>
      <c r="J53" s="325"/>
      <c r="K53" s="325"/>
      <c r="L53" s="317"/>
      <c r="M53" s="318"/>
      <c r="N53" s="318"/>
      <c r="O53" s="318">
        <v>77521.88</v>
      </c>
      <c r="P53" s="392">
        <f t="shared" si="8"/>
        <v>0</v>
      </c>
      <c r="Q53" s="392">
        <f t="shared" si="3"/>
        <v>0</v>
      </c>
      <c r="R53" s="392">
        <f t="shared" si="4"/>
        <v>77521.88</v>
      </c>
      <c r="S53" s="373"/>
      <c r="T53" s="374"/>
      <c r="U53" s="524">
        <f t="shared" si="9"/>
        <v>0</v>
      </c>
      <c r="V53" s="520">
        <f t="shared" si="10"/>
        <v>0</v>
      </c>
      <c r="W53" s="524">
        <f t="shared" si="11"/>
        <v>81789.924625280008</v>
      </c>
      <c r="X53" s="520">
        <f t="shared" si="12"/>
        <v>-81789.924625280008</v>
      </c>
      <c r="Y53" s="525">
        <f t="shared" si="13"/>
        <v>-390066.32368332805</v>
      </c>
    </row>
    <row r="54" spans="3:25" x14ac:dyDescent="0.2">
      <c r="C54" s="387">
        <f t="shared" si="5"/>
        <v>42314</v>
      </c>
      <c r="D54" s="388">
        <f t="shared" si="6"/>
        <v>154264.93600000002</v>
      </c>
      <c r="E54" s="392">
        <f t="shared" si="7"/>
        <v>77051.294999999998</v>
      </c>
      <c r="F54" s="428">
        <f t="shared" si="0"/>
        <v>0.90615690000000004</v>
      </c>
      <c r="G54" s="390">
        <f t="shared" si="1"/>
        <v>69.820599999999999</v>
      </c>
      <c r="H54" s="391">
        <f t="shared" si="2"/>
        <v>231386.95775690002</v>
      </c>
      <c r="I54" s="324"/>
      <c r="J54" s="325"/>
      <c r="K54" s="325"/>
      <c r="L54" s="319"/>
      <c r="M54" s="320"/>
      <c r="N54" s="320"/>
      <c r="O54" s="320">
        <v>77051.294999999998</v>
      </c>
      <c r="P54" s="392">
        <f t="shared" si="8"/>
        <v>0</v>
      </c>
      <c r="Q54" s="392">
        <f t="shared" si="3"/>
        <v>0</v>
      </c>
      <c r="R54" s="392">
        <f t="shared" si="4"/>
        <v>77051.294999999998</v>
      </c>
      <c r="S54" s="373"/>
      <c r="T54" s="374"/>
      <c r="U54" s="524">
        <f t="shared" si="9"/>
        <v>0</v>
      </c>
      <c r="V54" s="520">
        <f t="shared" si="10"/>
        <v>0</v>
      </c>
      <c r="W54" s="524">
        <f t="shared" si="11"/>
        <v>81293.431097519991</v>
      </c>
      <c r="X54" s="520">
        <f t="shared" si="12"/>
        <v>-81293.431097519991</v>
      </c>
      <c r="Y54" s="525">
        <f t="shared" si="13"/>
        <v>-471359.75478084804</v>
      </c>
    </row>
    <row r="55" spans="3:25" x14ac:dyDescent="0.2">
      <c r="C55" s="387">
        <f t="shared" si="5"/>
        <v>42315</v>
      </c>
      <c r="D55" s="388">
        <f t="shared" si="6"/>
        <v>154264.93600000002</v>
      </c>
      <c r="E55" s="392">
        <f t="shared" si="7"/>
        <v>71174.38</v>
      </c>
      <c r="F55" s="428">
        <f t="shared" si="0"/>
        <v>0.90615690000000004</v>
      </c>
      <c r="G55" s="390">
        <f t="shared" si="1"/>
        <v>64.495199999999997</v>
      </c>
      <c r="H55" s="391">
        <f t="shared" si="2"/>
        <v>225504.71735690002</v>
      </c>
      <c r="I55" s="324"/>
      <c r="J55" s="325"/>
      <c r="K55" s="325"/>
      <c r="L55" s="317"/>
      <c r="M55" s="318"/>
      <c r="N55" s="318"/>
      <c r="O55" s="318">
        <v>71174.38</v>
      </c>
      <c r="P55" s="392">
        <f t="shared" si="8"/>
        <v>0</v>
      </c>
      <c r="Q55" s="392">
        <f t="shared" si="3"/>
        <v>0</v>
      </c>
      <c r="R55" s="392">
        <f t="shared" si="4"/>
        <v>71174.38</v>
      </c>
      <c r="S55" s="373"/>
      <c r="T55" s="374"/>
      <c r="U55" s="524">
        <f t="shared" si="9"/>
        <v>0</v>
      </c>
      <c r="V55" s="520">
        <f t="shared" si="10"/>
        <v>0</v>
      </c>
      <c r="W55" s="524">
        <f t="shared" si="11"/>
        <v>75092.956665279999</v>
      </c>
      <c r="X55" s="520">
        <f t="shared" si="12"/>
        <v>-75092.956665279999</v>
      </c>
      <c r="Y55" s="525">
        <f t="shared" si="13"/>
        <v>-546452.71144612809</v>
      </c>
    </row>
    <row r="56" spans="3:25" x14ac:dyDescent="0.2">
      <c r="C56" s="387">
        <f t="shared" si="5"/>
        <v>42316</v>
      </c>
      <c r="D56" s="388">
        <f t="shared" si="6"/>
        <v>154264.93600000002</v>
      </c>
      <c r="E56" s="392">
        <f t="shared" si="7"/>
        <v>66619.95</v>
      </c>
      <c r="F56" s="428">
        <f t="shared" si="0"/>
        <v>0.90615690000000004</v>
      </c>
      <c r="G56" s="390">
        <f t="shared" si="1"/>
        <v>60.368099999999998</v>
      </c>
      <c r="H56" s="391">
        <f t="shared" si="2"/>
        <v>220946.16025689998</v>
      </c>
      <c r="I56" s="324"/>
      <c r="J56" s="325"/>
      <c r="K56" s="325"/>
      <c r="L56" s="319"/>
      <c r="M56" s="320"/>
      <c r="N56" s="320"/>
      <c r="O56" s="320">
        <v>66619.95</v>
      </c>
      <c r="P56" s="392">
        <f t="shared" si="8"/>
        <v>0</v>
      </c>
      <c r="Q56" s="392">
        <f t="shared" si="3"/>
        <v>0</v>
      </c>
      <c r="R56" s="392">
        <f t="shared" si="4"/>
        <v>66619.95</v>
      </c>
      <c r="S56" s="373"/>
      <c r="T56" s="374"/>
      <c r="U56" s="524">
        <f t="shared" si="9"/>
        <v>0</v>
      </c>
      <c r="V56" s="520">
        <f t="shared" si="10"/>
        <v>0</v>
      </c>
      <c r="W56" s="524">
        <f t="shared" si="11"/>
        <v>70287.777967200003</v>
      </c>
      <c r="X56" s="520">
        <f t="shared" si="12"/>
        <v>-70287.777967200003</v>
      </c>
      <c r="Y56" s="525">
        <f t="shared" si="13"/>
        <v>-616740.48941332812</v>
      </c>
    </row>
    <row r="57" spans="3:25" x14ac:dyDescent="0.2">
      <c r="C57" s="387">
        <f t="shared" si="5"/>
        <v>42317</v>
      </c>
      <c r="D57" s="388">
        <f t="shared" si="6"/>
        <v>154264.93600000002</v>
      </c>
      <c r="E57" s="392">
        <f t="shared" si="7"/>
        <v>72258.720000000001</v>
      </c>
      <c r="F57" s="428">
        <f t="shared" si="0"/>
        <v>0.90615690000000004</v>
      </c>
      <c r="G57" s="390">
        <f t="shared" si="1"/>
        <v>65.477699999999999</v>
      </c>
      <c r="H57" s="391">
        <f t="shared" si="2"/>
        <v>226590.0398569</v>
      </c>
      <c r="I57" s="324"/>
      <c r="J57" s="325"/>
      <c r="K57" s="325"/>
      <c r="L57" s="317"/>
      <c r="M57" s="318"/>
      <c r="N57" s="318"/>
      <c r="O57" s="318">
        <v>72258.720000000001</v>
      </c>
      <c r="P57" s="392">
        <f t="shared" si="8"/>
        <v>0</v>
      </c>
      <c r="Q57" s="392">
        <f t="shared" si="3"/>
        <v>0</v>
      </c>
      <c r="R57" s="392">
        <f t="shared" si="4"/>
        <v>72258.720000000001</v>
      </c>
      <c r="S57" s="373"/>
      <c r="T57" s="374"/>
      <c r="U57" s="524">
        <f t="shared" si="9"/>
        <v>0</v>
      </c>
      <c r="V57" s="520">
        <f t="shared" si="10"/>
        <v>0</v>
      </c>
      <c r="W57" s="524">
        <f t="shared" si="11"/>
        <v>76236.996088319996</v>
      </c>
      <c r="X57" s="520">
        <f t="shared" si="12"/>
        <v>-76236.996088319996</v>
      </c>
      <c r="Y57" s="525">
        <f t="shared" si="13"/>
        <v>-692977.48550164816</v>
      </c>
    </row>
    <row r="58" spans="3:25" x14ac:dyDescent="0.2">
      <c r="C58" s="387">
        <f t="shared" si="5"/>
        <v>42318</v>
      </c>
      <c r="D58" s="388">
        <f t="shared" si="6"/>
        <v>154264.93600000002</v>
      </c>
      <c r="E58" s="392">
        <f t="shared" si="7"/>
        <v>72872.535000000003</v>
      </c>
      <c r="F58" s="428">
        <f t="shared" si="0"/>
        <v>0.90615690000000004</v>
      </c>
      <c r="G58" s="390">
        <f t="shared" si="1"/>
        <v>66.034000000000006</v>
      </c>
      <c r="H58" s="391">
        <f t="shared" si="2"/>
        <v>227204.41115690002</v>
      </c>
      <c r="I58" s="324"/>
      <c r="J58" s="325"/>
      <c r="K58" s="325"/>
      <c r="L58" s="319"/>
      <c r="M58" s="320"/>
      <c r="N58" s="320"/>
      <c r="O58" s="320">
        <v>72872.535000000003</v>
      </c>
      <c r="P58" s="392">
        <f t="shared" si="8"/>
        <v>0</v>
      </c>
      <c r="Q58" s="392">
        <f t="shared" si="3"/>
        <v>0</v>
      </c>
      <c r="R58" s="392">
        <f t="shared" si="4"/>
        <v>72872.535000000003</v>
      </c>
      <c r="S58" s="373"/>
      <c r="T58" s="374"/>
      <c r="U58" s="524">
        <f t="shared" si="9"/>
        <v>0</v>
      </c>
      <c r="V58" s="520">
        <f t="shared" si="10"/>
        <v>0</v>
      </c>
      <c r="W58" s="524">
        <f t="shared" si="11"/>
        <v>76884.60528696001</v>
      </c>
      <c r="X58" s="520">
        <f t="shared" si="12"/>
        <v>-76884.60528696001</v>
      </c>
      <c r="Y58" s="525">
        <f t="shared" si="13"/>
        <v>-769862.09078860818</v>
      </c>
    </row>
    <row r="59" spans="3:25" x14ac:dyDescent="0.2">
      <c r="C59" s="387">
        <f t="shared" si="5"/>
        <v>42319</v>
      </c>
      <c r="D59" s="388">
        <f t="shared" si="6"/>
        <v>154264.93600000002</v>
      </c>
      <c r="E59" s="392">
        <f t="shared" si="7"/>
        <v>75380.7</v>
      </c>
      <c r="F59" s="428">
        <f t="shared" si="0"/>
        <v>0.90615690000000004</v>
      </c>
      <c r="G59" s="390">
        <f t="shared" si="1"/>
        <v>68.306700000000006</v>
      </c>
      <c r="H59" s="391">
        <f t="shared" si="2"/>
        <v>229714.84885689997</v>
      </c>
      <c r="I59" s="324"/>
      <c r="J59" s="325"/>
      <c r="K59" s="325"/>
      <c r="L59" s="317"/>
      <c r="M59" s="318"/>
      <c r="N59" s="318"/>
      <c r="O59" s="318">
        <v>75380.7</v>
      </c>
      <c r="P59" s="392">
        <f t="shared" si="8"/>
        <v>0</v>
      </c>
      <c r="Q59" s="392">
        <f t="shared" si="3"/>
        <v>0</v>
      </c>
      <c r="R59" s="392">
        <f t="shared" si="4"/>
        <v>75380.7</v>
      </c>
      <c r="S59" s="373"/>
      <c r="T59" s="374"/>
      <c r="U59" s="524">
        <f t="shared" si="9"/>
        <v>0</v>
      </c>
      <c r="V59" s="520">
        <f t="shared" si="10"/>
        <v>0</v>
      </c>
      <c r="W59" s="524">
        <f t="shared" si="11"/>
        <v>79530.859819199992</v>
      </c>
      <c r="X59" s="520">
        <f t="shared" si="12"/>
        <v>-79530.859819199992</v>
      </c>
      <c r="Y59" s="525">
        <f t="shared" si="13"/>
        <v>-849392.95060780819</v>
      </c>
    </row>
    <row r="60" spans="3:25" x14ac:dyDescent="0.2">
      <c r="C60" s="387">
        <f t="shared" si="5"/>
        <v>42320</v>
      </c>
      <c r="D60" s="388">
        <f t="shared" si="6"/>
        <v>154264.93600000002</v>
      </c>
      <c r="E60" s="392">
        <f t="shared" si="7"/>
        <v>70415.749999999985</v>
      </c>
      <c r="F60" s="428">
        <f t="shared" si="0"/>
        <v>0.90615690000000004</v>
      </c>
      <c r="G60" s="390">
        <f t="shared" si="1"/>
        <v>63.807699999999997</v>
      </c>
      <c r="H60" s="391">
        <f t="shared" si="2"/>
        <v>224745.39985689998</v>
      </c>
      <c r="I60" s="324"/>
      <c r="J60" s="325"/>
      <c r="K60" s="325"/>
      <c r="L60" s="319"/>
      <c r="M60" s="320"/>
      <c r="N60" s="320"/>
      <c r="O60" s="320">
        <v>70415.749999999985</v>
      </c>
      <c r="P60" s="392">
        <f t="shared" si="8"/>
        <v>0</v>
      </c>
      <c r="Q60" s="392">
        <f t="shared" si="3"/>
        <v>0</v>
      </c>
      <c r="R60" s="392">
        <f t="shared" si="4"/>
        <v>70415.749999999985</v>
      </c>
      <c r="S60" s="373"/>
      <c r="T60" s="374"/>
      <c r="U60" s="524">
        <f t="shared" si="9"/>
        <v>0</v>
      </c>
      <c r="V60" s="520">
        <f t="shared" si="10"/>
        <v>0</v>
      </c>
      <c r="W60" s="524">
        <f t="shared" si="11"/>
        <v>74292.559531999985</v>
      </c>
      <c r="X60" s="520">
        <f t="shared" si="12"/>
        <v>-74292.559531999985</v>
      </c>
      <c r="Y60" s="525">
        <f t="shared" si="13"/>
        <v>-923685.51013980818</v>
      </c>
    </row>
    <row r="61" spans="3:25" x14ac:dyDescent="0.2">
      <c r="C61" s="387">
        <f t="shared" si="5"/>
        <v>42321</v>
      </c>
      <c r="D61" s="388">
        <f t="shared" si="6"/>
        <v>154264.93600000002</v>
      </c>
      <c r="E61" s="392">
        <f t="shared" si="7"/>
        <v>65781.850000000006</v>
      </c>
      <c r="F61" s="428">
        <f t="shared" si="0"/>
        <v>0.90615690000000004</v>
      </c>
      <c r="G61" s="390">
        <f t="shared" si="1"/>
        <v>59.608699999999999</v>
      </c>
      <c r="H61" s="391">
        <f t="shared" si="2"/>
        <v>220107.30085690002</v>
      </c>
      <c r="I61" s="324"/>
      <c r="J61" s="325"/>
      <c r="K61" s="325"/>
      <c r="L61" s="317"/>
      <c r="M61" s="318"/>
      <c r="N61" s="318"/>
      <c r="O61" s="318">
        <v>65781.850000000006</v>
      </c>
      <c r="P61" s="392">
        <f t="shared" si="8"/>
        <v>0</v>
      </c>
      <c r="Q61" s="392">
        <f t="shared" si="3"/>
        <v>0</v>
      </c>
      <c r="R61" s="392">
        <f t="shared" si="4"/>
        <v>65781.850000000006</v>
      </c>
      <c r="S61" s="373"/>
      <c r="T61" s="374"/>
      <c r="U61" s="524">
        <f t="shared" si="9"/>
        <v>0</v>
      </c>
      <c r="V61" s="520">
        <f t="shared" si="10"/>
        <v>0</v>
      </c>
      <c r="W61" s="524">
        <f t="shared" si="11"/>
        <v>69403.535533600007</v>
      </c>
      <c r="X61" s="520">
        <f t="shared" si="12"/>
        <v>-69403.535533600007</v>
      </c>
      <c r="Y61" s="525">
        <f t="shared" si="13"/>
        <v>-993089.0456734082</v>
      </c>
    </row>
    <row r="62" spans="3:25" x14ac:dyDescent="0.2">
      <c r="C62" s="387">
        <f t="shared" si="5"/>
        <v>42322</v>
      </c>
      <c r="D62" s="388">
        <f t="shared" si="6"/>
        <v>154264.93600000002</v>
      </c>
      <c r="E62" s="392">
        <f t="shared" si="7"/>
        <v>68123.199999999997</v>
      </c>
      <c r="F62" s="428">
        <f t="shared" si="0"/>
        <v>0.90615690000000004</v>
      </c>
      <c r="G62" s="390">
        <f t="shared" si="1"/>
        <v>61.7303</v>
      </c>
      <c r="H62" s="391">
        <f t="shared" si="2"/>
        <v>222450.77245689998</v>
      </c>
      <c r="I62" s="324"/>
      <c r="J62" s="325"/>
      <c r="K62" s="325"/>
      <c r="L62" s="319"/>
      <c r="M62" s="320"/>
      <c r="N62" s="320"/>
      <c r="O62" s="320">
        <v>68123.199999999997</v>
      </c>
      <c r="P62" s="392">
        <f t="shared" si="8"/>
        <v>0</v>
      </c>
      <c r="Q62" s="392">
        <f t="shared" si="3"/>
        <v>0</v>
      </c>
      <c r="R62" s="392">
        <f t="shared" si="4"/>
        <v>68123.199999999997</v>
      </c>
      <c r="S62" s="373"/>
      <c r="T62" s="374"/>
      <c r="U62" s="524">
        <f t="shared" si="9"/>
        <v>0</v>
      </c>
      <c r="V62" s="520">
        <f t="shared" si="10"/>
        <v>0</v>
      </c>
      <c r="W62" s="524">
        <f t="shared" si="11"/>
        <v>71873.790899200001</v>
      </c>
      <c r="X62" s="520">
        <f t="shared" si="12"/>
        <v>-71873.790899200001</v>
      </c>
      <c r="Y62" s="525">
        <f t="shared" si="13"/>
        <v>-1064962.8365726082</v>
      </c>
    </row>
    <row r="63" spans="3:25" x14ac:dyDescent="0.2">
      <c r="C63" s="387">
        <f t="shared" si="5"/>
        <v>42323</v>
      </c>
      <c r="D63" s="388">
        <f t="shared" si="6"/>
        <v>154264.93600000002</v>
      </c>
      <c r="E63" s="392">
        <f t="shared" si="7"/>
        <v>67165.517000000007</v>
      </c>
      <c r="F63" s="428">
        <f t="shared" si="0"/>
        <v>0.90615690000000004</v>
      </c>
      <c r="G63" s="390">
        <f t="shared" si="1"/>
        <v>60.862499999999997</v>
      </c>
      <c r="H63" s="391">
        <f t="shared" si="2"/>
        <v>221492.22165690002</v>
      </c>
      <c r="I63" s="324"/>
      <c r="J63" s="325"/>
      <c r="K63" s="325"/>
      <c r="L63" s="317"/>
      <c r="M63" s="318"/>
      <c r="N63" s="318"/>
      <c r="O63" s="318">
        <v>67165.517000000007</v>
      </c>
      <c r="P63" s="392">
        <f t="shared" si="8"/>
        <v>0</v>
      </c>
      <c r="Q63" s="392">
        <f t="shared" si="3"/>
        <v>0</v>
      </c>
      <c r="R63" s="392">
        <f t="shared" si="4"/>
        <v>67165.517000000007</v>
      </c>
      <c r="S63" s="373"/>
      <c r="T63" s="374"/>
      <c r="U63" s="524">
        <f t="shared" si="9"/>
        <v>0</v>
      </c>
      <c r="V63" s="520">
        <f t="shared" si="10"/>
        <v>0</v>
      </c>
      <c r="W63" s="524">
        <f t="shared" si="11"/>
        <v>70863.381703952007</v>
      </c>
      <c r="X63" s="520">
        <f t="shared" si="12"/>
        <v>-70863.381703952007</v>
      </c>
      <c r="Y63" s="525">
        <f t="shared" si="13"/>
        <v>-1135826.2182765603</v>
      </c>
    </row>
    <row r="64" spans="3:25" x14ac:dyDescent="0.2">
      <c r="C64" s="387">
        <f t="shared" si="5"/>
        <v>42324</v>
      </c>
      <c r="D64" s="388">
        <f t="shared" si="6"/>
        <v>154264.93600000002</v>
      </c>
      <c r="E64" s="392">
        <f t="shared" si="7"/>
        <v>72438.990000000005</v>
      </c>
      <c r="F64" s="428">
        <f t="shared" si="0"/>
        <v>0.90615690000000004</v>
      </c>
      <c r="G64" s="390">
        <f t="shared" si="1"/>
        <v>65.641099999999994</v>
      </c>
      <c r="H64" s="391">
        <f t="shared" si="2"/>
        <v>226770.47325690003</v>
      </c>
      <c r="I64" s="324"/>
      <c r="J64" s="325"/>
      <c r="K64" s="325"/>
      <c r="L64" s="319"/>
      <c r="M64" s="320"/>
      <c r="N64" s="320"/>
      <c r="O64" s="320">
        <v>72438.990000000005</v>
      </c>
      <c r="P64" s="392">
        <f t="shared" si="8"/>
        <v>0</v>
      </c>
      <c r="Q64" s="392">
        <f t="shared" si="3"/>
        <v>0</v>
      </c>
      <c r="R64" s="392">
        <f t="shared" si="4"/>
        <v>72438.990000000005</v>
      </c>
      <c r="S64" s="373"/>
      <c r="T64" s="374"/>
      <c r="U64" s="524">
        <f t="shared" si="9"/>
        <v>0</v>
      </c>
      <c r="V64" s="520">
        <f t="shared" si="10"/>
        <v>0</v>
      </c>
      <c r="W64" s="524">
        <f t="shared" si="11"/>
        <v>76427.191033440002</v>
      </c>
      <c r="X64" s="520">
        <f t="shared" si="12"/>
        <v>-76427.191033440002</v>
      </c>
      <c r="Y64" s="525">
        <f t="shared" si="13"/>
        <v>-1212253.4093100003</v>
      </c>
    </row>
    <row r="65" spans="3:38" x14ac:dyDescent="0.2">
      <c r="C65" s="387">
        <f t="shared" si="5"/>
        <v>42325</v>
      </c>
      <c r="D65" s="388">
        <f t="shared" si="6"/>
        <v>154264.93600000002</v>
      </c>
      <c r="E65" s="392">
        <f t="shared" si="7"/>
        <v>72226.19</v>
      </c>
      <c r="F65" s="428">
        <f t="shared" si="0"/>
        <v>0.90615690000000004</v>
      </c>
      <c r="G65" s="390">
        <f t="shared" si="1"/>
        <v>65.448300000000003</v>
      </c>
      <c r="H65" s="391">
        <f t="shared" si="2"/>
        <v>226557.4804569</v>
      </c>
      <c r="I65" s="324"/>
      <c r="J65" s="325"/>
      <c r="K65" s="325"/>
      <c r="L65" s="317"/>
      <c r="M65" s="318"/>
      <c r="N65" s="318"/>
      <c r="O65" s="318">
        <v>72226.19</v>
      </c>
      <c r="P65" s="392">
        <f t="shared" si="8"/>
        <v>0</v>
      </c>
      <c r="Q65" s="392">
        <f t="shared" si="3"/>
        <v>0</v>
      </c>
      <c r="R65" s="392">
        <f t="shared" si="4"/>
        <v>72226.19</v>
      </c>
      <c r="S65" s="373"/>
      <c r="T65" s="374"/>
      <c r="U65" s="524">
        <f t="shared" si="9"/>
        <v>0</v>
      </c>
      <c r="V65" s="520">
        <f t="shared" si="10"/>
        <v>0</v>
      </c>
      <c r="W65" s="524">
        <f t="shared" si="11"/>
        <v>76202.675116640006</v>
      </c>
      <c r="X65" s="520">
        <f t="shared" si="12"/>
        <v>-76202.675116640006</v>
      </c>
      <c r="Y65" s="525">
        <f t="shared" si="13"/>
        <v>-1288456.0844266403</v>
      </c>
    </row>
    <row r="66" spans="3:38" x14ac:dyDescent="0.2">
      <c r="C66" s="387">
        <f t="shared" si="5"/>
        <v>42326</v>
      </c>
      <c r="D66" s="388">
        <f t="shared" si="6"/>
        <v>154264.93600000002</v>
      </c>
      <c r="E66" s="392">
        <f t="shared" si="7"/>
        <v>72465.45</v>
      </c>
      <c r="F66" s="428">
        <f t="shared" si="0"/>
        <v>0.90615690000000004</v>
      </c>
      <c r="G66" s="390">
        <f t="shared" si="1"/>
        <v>65.665099999999995</v>
      </c>
      <c r="H66" s="391">
        <f t="shared" si="2"/>
        <v>226796.9572569</v>
      </c>
      <c r="I66" s="324"/>
      <c r="J66" s="325"/>
      <c r="K66" s="325"/>
      <c r="L66" s="319"/>
      <c r="M66" s="320"/>
      <c r="N66" s="320"/>
      <c r="O66" s="320">
        <v>72465.45</v>
      </c>
      <c r="P66" s="392">
        <f t="shared" si="8"/>
        <v>0</v>
      </c>
      <c r="Q66" s="392">
        <f t="shared" si="3"/>
        <v>0</v>
      </c>
      <c r="R66" s="392">
        <f t="shared" si="4"/>
        <v>72465.45</v>
      </c>
      <c r="S66" s="373"/>
      <c r="T66" s="374"/>
      <c r="U66" s="524">
        <f t="shared" si="9"/>
        <v>0</v>
      </c>
      <c r="V66" s="520">
        <f t="shared" si="10"/>
        <v>0</v>
      </c>
      <c r="W66" s="524">
        <f t="shared" si="11"/>
        <v>76455.107815199997</v>
      </c>
      <c r="X66" s="520">
        <f t="shared" si="12"/>
        <v>-76455.107815199997</v>
      </c>
      <c r="Y66" s="525">
        <f t="shared" si="13"/>
        <v>-1364911.1922418403</v>
      </c>
    </row>
    <row r="67" spans="3:38" x14ac:dyDescent="0.2">
      <c r="C67" s="387">
        <f t="shared" si="5"/>
        <v>42327</v>
      </c>
      <c r="D67" s="388">
        <f t="shared" si="6"/>
        <v>154264.93600000002</v>
      </c>
      <c r="E67" s="392">
        <f t="shared" si="7"/>
        <v>64304.4</v>
      </c>
      <c r="F67" s="428">
        <f t="shared" si="0"/>
        <v>0.90615690000000004</v>
      </c>
      <c r="G67" s="390">
        <f t="shared" si="1"/>
        <v>58.2699</v>
      </c>
      <c r="H67" s="391">
        <f t="shared" si="2"/>
        <v>218628.51205690001</v>
      </c>
      <c r="I67" s="324"/>
      <c r="J67" s="325"/>
      <c r="K67" s="325"/>
      <c r="L67" s="317"/>
      <c r="M67" s="318"/>
      <c r="N67" s="318"/>
      <c r="O67" s="318">
        <v>64304.4</v>
      </c>
      <c r="P67" s="392">
        <f t="shared" si="8"/>
        <v>0</v>
      </c>
      <c r="Q67" s="392">
        <f t="shared" si="3"/>
        <v>0</v>
      </c>
      <c r="R67" s="392">
        <f t="shared" si="4"/>
        <v>64304.4</v>
      </c>
      <c r="S67" s="373"/>
      <c r="T67" s="374"/>
      <c r="U67" s="524">
        <f t="shared" si="9"/>
        <v>0</v>
      </c>
      <c r="V67" s="520">
        <f t="shared" si="10"/>
        <v>0</v>
      </c>
      <c r="W67" s="524">
        <f t="shared" si="11"/>
        <v>67844.743046400006</v>
      </c>
      <c r="X67" s="520">
        <f t="shared" si="12"/>
        <v>-67844.743046400006</v>
      </c>
      <c r="Y67" s="525">
        <f t="shared" si="13"/>
        <v>-1432755.9352882402</v>
      </c>
    </row>
    <row r="68" spans="3:38" x14ac:dyDescent="0.2">
      <c r="C68" s="387">
        <f t="shared" si="5"/>
        <v>42328</v>
      </c>
      <c r="D68" s="388">
        <f t="shared" si="6"/>
        <v>154264.93600000002</v>
      </c>
      <c r="E68" s="392">
        <f t="shared" si="7"/>
        <v>71586.043999999994</v>
      </c>
      <c r="F68" s="428">
        <f t="shared" si="0"/>
        <v>0.90615690000000004</v>
      </c>
      <c r="G68" s="390">
        <f t="shared" si="1"/>
        <v>64.868200000000002</v>
      </c>
      <c r="H68" s="391">
        <f t="shared" si="2"/>
        <v>225916.7543569</v>
      </c>
      <c r="I68" s="324"/>
      <c r="J68" s="325"/>
      <c r="K68" s="325"/>
      <c r="L68" s="319"/>
      <c r="M68" s="320"/>
      <c r="N68" s="320"/>
      <c r="O68" s="320">
        <v>71586.043999999994</v>
      </c>
      <c r="P68" s="392">
        <f t="shared" si="8"/>
        <v>0</v>
      </c>
      <c r="Q68" s="392">
        <f t="shared" si="3"/>
        <v>0</v>
      </c>
      <c r="R68" s="392">
        <f t="shared" si="4"/>
        <v>71586.043999999994</v>
      </c>
      <c r="S68" s="373"/>
      <c r="T68" s="374"/>
      <c r="U68" s="524">
        <f t="shared" si="9"/>
        <v>0</v>
      </c>
      <c r="V68" s="520">
        <f t="shared" si="10"/>
        <v>0</v>
      </c>
      <c r="W68" s="524">
        <f t="shared" si="11"/>
        <v>75527.285238463999</v>
      </c>
      <c r="X68" s="520">
        <f t="shared" si="12"/>
        <v>-75527.285238463999</v>
      </c>
      <c r="Y68" s="525">
        <f t="shared" si="13"/>
        <v>-1508283.2205267041</v>
      </c>
    </row>
    <row r="69" spans="3:38" x14ac:dyDescent="0.2">
      <c r="C69" s="387">
        <f t="shared" si="5"/>
        <v>42329</v>
      </c>
      <c r="D69" s="388">
        <f t="shared" si="6"/>
        <v>154264.93600000002</v>
      </c>
      <c r="E69" s="392">
        <f t="shared" si="7"/>
        <v>70675.72</v>
      </c>
      <c r="F69" s="428">
        <f t="shared" si="0"/>
        <v>0.90615690000000004</v>
      </c>
      <c r="G69" s="390">
        <f t="shared" si="1"/>
        <v>64.043300000000002</v>
      </c>
      <c r="H69" s="391">
        <f t="shared" si="2"/>
        <v>225005.6054569</v>
      </c>
      <c r="I69" s="324"/>
      <c r="J69" s="325"/>
      <c r="K69" s="325"/>
      <c r="L69" s="317"/>
      <c r="M69" s="318"/>
      <c r="N69" s="318"/>
      <c r="O69" s="318">
        <v>70675.72</v>
      </c>
      <c r="P69" s="392">
        <f t="shared" si="8"/>
        <v>0</v>
      </c>
      <c r="Q69" s="392">
        <f t="shared" si="3"/>
        <v>0</v>
      </c>
      <c r="R69" s="392">
        <f t="shared" si="4"/>
        <v>70675.72</v>
      </c>
      <c r="S69" s="373"/>
      <c r="T69" s="374"/>
      <c r="U69" s="524">
        <f t="shared" si="9"/>
        <v>0</v>
      </c>
      <c r="V69" s="520">
        <f t="shared" si="10"/>
        <v>0</v>
      </c>
      <c r="W69" s="524">
        <f t="shared" si="11"/>
        <v>74566.842440320004</v>
      </c>
      <c r="X69" s="520">
        <f t="shared" si="12"/>
        <v>-74566.842440320004</v>
      </c>
      <c r="Y69" s="525">
        <f t="shared" si="13"/>
        <v>-1582850.062967024</v>
      </c>
    </row>
    <row r="70" spans="3:38" x14ac:dyDescent="0.2">
      <c r="C70" s="387">
        <f t="shared" si="5"/>
        <v>42330</v>
      </c>
      <c r="D70" s="388">
        <f t="shared" si="6"/>
        <v>154264.93600000002</v>
      </c>
      <c r="E70" s="392">
        <f t="shared" si="7"/>
        <v>66501.89</v>
      </c>
      <c r="F70" s="428">
        <f t="shared" si="0"/>
        <v>0.90615690000000004</v>
      </c>
      <c r="G70" s="390">
        <f t="shared" si="1"/>
        <v>60.261099999999999</v>
      </c>
      <c r="H70" s="391">
        <f t="shared" si="2"/>
        <v>220827.99325689999</v>
      </c>
      <c r="I70" s="324"/>
      <c r="J70" s="325"/>
      <c r="K70" s="325"/>
      <c r="L70" s="319"/>
      <c r="M70" s="320"/>
      <c r="N70" s="320"/>
      <c r="O70" s="320">
        <v>66501.89</v>
      </c>
      <c r="P70" s="392">
        <f t="shared" si="8"/>
        <v>0</v>
      </c>
      <c r="Q70" s="392">
        <f t="shared" si="3"/>
        <v>0</v>
      </c>
      <c r="R70" s="392">
        <f t="shared" si="4"/>
        <v>66501.89</v>
      </c>
      <c r="S70" s="373"/>
      <c r="T70" s="374"/>
      <c r="U70" s="524">
        <f t="shared" si="9"/>
        <v>0</v>
      </c>
      <c r="V70" s="520">
        <f t="shared" si="10"/>
        <v>0</v>
      </c>
      <c r="W70" s="524">
        <f t="shared" si="11"/>
        <v>70163.21805584</v>
      </c>
      <c r="X70" s="520">
        <f t="shared" si="12"/>
        <v>-70163.21805584</v>
      </c>
      <c r="Y70" s="525">
        <f t="shared" si="13"/>
        <v>-1653013.2810228639</v>
      </c>
    </row>
    <row r="71" spans="3:38" x14ac:dyDescent="0.2">
      <c r="C71" s="387">
        <f t="shared" si="5"/>
        <v>42331</v>
      </c>
      <c r="D71" s="388">
        <f t="shared" si="6"/>
        <v>154264.93600000002</v>
      </c>
      <c r="E71" s="392">
        <f t="shared" si="7"/>
        <v>73475.740000000005</v>
      </c>
      <c r="F71" s="428">
        <f t="shared" si="0"/>
        <v>0.90615690000000004</v>
      </c>
      <c r="G71" s="390">
        <f t="shared" si="1"/>
        <v>66.580500000000001</v>
      </c>
      <c r="H71" s="391">
        <f t="shared" si="2"/>
        <v>227808.16265690004</v>
      </c>
      <c r="I71" s="324"/>
      <c r="J71" s="325"/>
      <c r="K71" s="325"/>
      <c r="L71" s="317"/>
      <c r="M71" s="318"/>
      <c r="N71" s="318"/>
      <c r="O71" s="318">
        <v>73475.740000000005</v>
      </c>
      <c r="P71" s="392">
        <f t="shared" si="8"/>
        <v>0</v>
      </c>
      <c r="Q71" s="392">
        <f t="shared" si="3"/>
        <v>0</v>
      </c>
      <c r="R71" s="392">
        <f t="shared" si="4"/>
        <v>73475.740000000005</v>
      </c>
      <c r="S71" s="373"/>
      <c r="T71" s="374"/>
      <c r="U71" s="524">
        <f t="shared" si="9"/>
        <v>0</v>
      </c>
      <c r="V71" s="520">
        <f t="shared" si="10"/>
        <v>0</v>
      </c>
      <c r="W71" s="524">
        <f t="shared" si="11"/>
        <v>77521.020341440002</v>
      </c>
      <c r="X71" s="520">
        <f t="shared" si="12"/>
        <v>-77521.020341440002</v>
      </c>
      <c r="Y71" s="525">
        <f t="shared" si="13"/>
        <v>-1730534.301364304</v>
      </c>
    </row>
    <row r="72" spans="3:38" x14ac:dyDescent="0.2">
      <c r="C72" s="387">
        <f t="shared" si="5"/>
        <v>42332</v>
      </c>
      <c r="D72" s="388">
        <f t="shared" si="6"/>
        <v>154264.93600000002</v>
      </c>
      <c r="E72" s="392">
        <f t="shared" si="7"/>
        <v>75034.53</v>
      </c>
      <c r="F72" s="428">
        <f t="shared" si="0"/>
        <v>0.90615690000000004</v>
      </c>
      <c r="G72" s="390">
        <f t="shared" si="1"/>
        <v>67.993099999999998</v>
      </c>
      <c r="H72" s="391">
        <f t="shared" si="2"/>
        <v>229368.3652569</v>
      </c>
      <c r="I72" s="324"/>
      <c r="J72" s="325"/>
      <c r="K72" s="325"/>
      <c r="L72" s="319"/>
      <c r="M72" s="320"/>
      <c r="N72" s="320"/>
      <c r="O72" s="320">
        <v>75034.53</v>
      </c>
      <c r="P72" s="392">
        <f t="shared" si="8"/>
        <v>0</v>
      </c>
      <c r="Q72" s="392">
        <f t="shared" si="3"/>
        <v>0</v>
      </c>
      <c r="R72" s="392">
        <f t="shared" si="4"/>
        <v>75034.53</v>
      </c>
      <c r="S72" s="373"/>
      <c r="T72" s="374"/>
      <c r="U72" s="524">
        <f t="shared" si="9"/>
        <v>0</v>
      </c>
      <c r="V72" s="520">
        <f t="shared" si="10"/>
        <v>0</v>
      </c>
      <c r="W72" s="524">
        <f t="shared" si="11"/>
        <v>79165.631083679997</v>
      </c>
      <c r="X72" s="520">
        <f t="shared" si="12"/>
        <v>-79165.631083679997</v>
      </c>
      <c r="Y72" s="525">
        <f t="shared" si="13"/>
        <v>-1809699.9324479841</v>
      </c>
    </row>
    <row r="73" spans="3:38" x14ac:dyDescent="0.2">
      <c r="C73" s="387">
        <f t="shared" si="5"/>
        <v>42333</v>
      </c>
      <c r="D73" s="388">
        <f t="shared" si="6"/>
        <v>154264.93600000002</v>
      </c>
      <c r="E73" s="392">
        <f t="shared" si="7"/>
        <v>75801.91</v>
      </c>
      <c r="F73" s="428">
        <f t="shared" si="0"/>
        <v>0.90615690000000004</v>
      </c>
      <c r="G73" s="390">
        <f t="shared" si="1"/>
        <v>68.688400000000001</v>
      </c>
      <c r="H73" s="391">
        <f t="shared" si="2"/>
        <v>230136.44055690002</v>
      </c>
      <c r="I73" s="324"/>
      <c r="J73" s="325"/>
      <c r="K73" s="325"/>
      <c r="L73" s="317"/>
      <c r="M73" s="318"/>
      <c r="N73" s="318"/>
      <c r="O73" s="318">
        <v>75801.91</v>
      </c>
      <c r="P73" s="392">
        <f t="shared" si="8"/>
        <v>0</v>
      </c>
      <c r="Q73" s="392">
        <f t="shared" si="3"/>
        <v>0</v>
      </c>
      <c r="R73" s="392">
        <f t="shared" si="4"/>
        <v>75801.91</v>
      </c>
      <c r="S73" s="373"/>
      <c r="T73" s="374"/>
      <c r="U73" s="524">
        <f t="shared" si="9"/>
        <v>0</v>
      </c>
      <c r="V73" s="520">
        <f t="shared" si="10"/>
        <v>0</v>
      </c>
      <c r="W73" s="524">
        <f t="shared" si="11"/>
        <v>79975.259956959999</v>
      </c>
      <c r="X73" s="520">
        <f t="shared" si="12"/>
        <v>-79975.259956959999</v>
      </c>
      <c r="Y73" s="525">
        <f t="shared" si="13"/>
        <v>-1889675.1924049442</v>
      </c>
    </row>
    <row r="74" spans="3:38" x14ac:dyDescent="0.2">
      <c r="C74" s="387">
        <f t="shared" si="5"/>
        <v>42334</v>
      </c>
      <c r="D74" s="388">
        <f t="shared" si="6"/>
        <v>154264.93600000002</v>
      </c>
      <c r="E74" s="392">
        <f t="shared" si="7"/>
        <v>72694.070000000007</v>
      </c>
      <c r="F74" s="428">
        <f t="shared" si="0"/>
        <v>0.90615690000000004</v>
      </c>
      <c r="G74" s="390">
        <f t="shared" si="1"/>
        <v>65.872200000000007</v>
      </c>
      <c r="H74" s="391">
        <f t="shared" si="2"/>
        <v>227025.78435690003</v>
      </c>
      <c r="I74" s="324"/>
      <c r="J74" s="325"/>
      <c r="K74" s="325"/>
      <c r="L74" s="319"/>
      <c r="M74" s="320"/>
      <c r="N74" s="320"/>
      <c r="O74" s="320">
        <v>72694.070000000007</v>
      </c>
      <c r="P74" s="392">
        <f t="shared" si="8"/>
        <v>0</v>
      </c>
      <c r="Q74" s="392">
        <f t="shared" si="3"/>
        <v>0</v>
      </c>
      <c r="R74" s="392">
        <f t="shared" si="4"/>
        <v>72694.070000000007</v>
      </c>
      <c r="S74" s="373"/>
      <c r="T74" s="374"/>
      <c r="U74" s="524">
        <f t="shared" si="9"/>
        <v>0</v>
      </c>
      <c r="V74" s="520">
        <f t="shared" si="10"/>
        <v>0</v>
      </c>
      <c r="W74" s="524">
        <f t="shared" si="11"/>
        <v>76696.314717920002</v>
      </c>
      <c r="X74" s="520">
        <f t="shared" si="12"/>
        <v>-76696.314717920002</v>
      </c>
      <c r="Y74" s="525">
        <f t="shared" si="13"/>
        <v>-1966371.5071228642</v>
      </c>
    </row>
    <row r="75" spans="3:38" x14ac:dyDescent="0.2">
      <c r="C75" s="387">
        <f t="shared" si="5"/>
        <v>42335</v>
      </c>
      <c r="D75" s="388">
        <f t="shared" si="6"/>
        <v>154264.93600000002</v>
      </c>
      <c r="E75" s="392">
        <f t="shared" si="7"/>
        <v>73530.87</v>
      </c>
      <c r="F75" s="428">
        <f t="shared" si="0"/>
        <v>0.90615690000000004</v>
      </c>
      <c r="G75" s="390">
        <f t="shared" si="1"/>
        <v>66.630499999999998</v>
      </c>
      <c r="H75" s="391">
        <f t="shared" si="2"/>
        <v>227863.3426569</v>
      </c>
      <c r="I75" s="324"/>
      <c r="J75" s="325"/>
      <c r="K75" s="325"/>
      <c r="L75" s="317"/>
      <c r="M75" s="318"/>
      <c r="N75" s="318"/>
      <c r="O75" s="318">
        <v>73530.87</v>
      </c>
      <c r="P75" s="392">
        <f t="shared" si="8"/>
        <v>0</v>
      </c>
      <c r="Q75" s="392">
        <f t="shared" si="3"/>
        <v>0</v>
      </c>
      <c r="R75" s="392">
        <f t="shared" si="4"/>
        <v>73530.87</v>
      </c>
      <c r="S75" s="373"/>
      <c r="T75" s="374"/>
      <c r="U75" s="524">
        <f t="shared" si="9"/>
        <v>0</v>
      </c>
      <c r="V75" s="520">
        <f t="shared" si="10"/>
        <v>0</v>
      </c>
      <c r="W75" s="524">
        <f t="shared" si="11"/>
        <v>77579.185578719989</v>
      </c>
      <c r="X75" s="520">
        <f t="shared" si="12"/>
        <v>-77579.185578719989</v>
      </c>
      <c r="Y75" s="525">
        <f t="shared" si="13"/>
        <v>-2043950.6927015842</v>
      </c>
    </row>
    <row r="76" spans="3:38" x14ac:dyDescent="0.2">
      <c r="C76" s="387">
        <f t="shared" si="5"/>
        <v>42336</v>
      </c>
      <c r="D76" s="388">
        <f t="shared" si="6"/>
        <v>154264.93600000002</v>
      </c>
      <c r="E76" s="392">
        <f t="shared" si="7"/>
        <v>64420.56</v>
      </c>
      <c r="F76" s="428">
        <f t="shared" si="0"/>
        <v>0.90615690000000004</v>
      </c>
      <c r="G76" s="390">
        <f t="shared" si="1"/>
        <v>58.375100000000003</v>
      </c>
      <c r="H76" s="391">
        <f t="shared" si="2"/>
        <v>218744.77725690001</v>
      </c>
      <c r="I76" s="324"/>
      <c r="J76" s="325"/>
      <c r="K76" s="325"/>
      <c r="L76" s="319"/>
      <c r="M76" s="320"/>
      <c r="N76" s="320"/>
      <c r="O76" s="320">
        <v>64420.56</v>
      </c>
      <c r="P76" s="392">
        <f t="shared" si="8"/>
        <v>0</v>
      </c>
      <c r="Q76" s="392">
        <f t="shared" si="3"/>
        <v>0</v>
      </c>
      <c r="R76" s="392">
        <f t="shared" si="4"/>
        <v>64420.56</v>
      </c>
      <c r="S76" s="373"/>
      <c r="T76" s="374"/>
      <c r="U76" s="524">
        <f t="shared" si="9"/>
        <v>0</v>
      </c>
      <c r="V76" s="520">
        <f t="shared" si="10"/>
        <v>0</v>
      </c>
      <c r="W76" s="524">
        <f t="shared" si="11"/>
        <v>67967.29835135999</v>
      </c>
      <c r="X76" s="520">
        <f t="shared" si="12"/>
        <v>-67967.29835135999</v>
      </c>
      <c r="Y76" s="525">
        <f t="shared" si="13"/>
        <v>-2111917.9910529442</v>
      </c>
    </row>
    <row r="77" spans="3:38" x14ac:dyDescent="0.2">
      <c r="C77" s="387">
        <f t="shared" si="5"/>
        <v>42337</v>
      </c>
      <c r="D77" s="388">
        <f t="shared" si="6"/>
        <v>154264.93600000002</v>
      </c>
      <c r="E77" s="392">
        <f t="shared" si="7"/>
        <v>67326.22</v>
      </c>
      <c r="F77" s="428">
        <f t="shared" si="0"/>
        <v>0.90615690000000004</v>
      </c>
      <c r="G77" s="390">
        <f t="shared" si="1"/>
        <v>61.008099999999999</v>
      </c>
      <c r="H77" s="391">
        <f t="shared" si="2"/>
        <v>221653.07025690001</v>
      </c>
      <c r="I77" s="324"/>
      <c r="J77" s="325"/>
      <c r="K77" s="325"/>
      <c r="L77" s="317"/>
      <c r="M77" s="318"/>
      <c r="N77" s="318"/>
      <c r="O77" s="318">
        <v>67326.22</v>
      </c>
      <c r="P77" s="392">
        <f t="shared" si="8"/>
        <v>0</v>
      </c>
      <c r="Q77" s="392">
        <f t="shared" si="3"/>
        <v>0</v>
      </c>
      <c r="R77" s="392">
        <f t="shared" si="4"/>
        <v>67326.22</v>
      </c>
      <c r="S77" s="373"/>
      <c r="T77" s="374"/>
      <c r="U77" s="524">
        <f t="shared" si="9"/>
        <v>0</v>
      </c>
      <c r="V77" s="520">
        <f t="shared" si="10"/>
        <v>0</v>
      </c>
      <c r="W77" s="524">
        <f t="shared" si="11"/>
        <v>71032.932368320005</v>
      </c>
      <c r="X77" s="520">
        <f t="shared" si="12"/>
        <v>-71032.932368320005</v>
      </c>
      <c r="Y77" s="525">
        <f t="shared" si="13"/>
        <v>-2182950.9234212642</v>
      </c>
    </row>
    <row r="78" spans="3:38" x14ac:dyDescent="0.2">
      <c r="C78" s="387">
        <f t="shared" si="5"/>
        <v>42338</v>
      </c>
      <c r="D78" s="388">
        <f t="shared" si="6"/>
        <v>154264.93600000002</v>
      </c>
      <c r="E78" s="392">
        <f t="shared" si="7"/>
        <v>70416.28</v>
      </c>
      <c r="F78" s="428">
        <f t="shared" si="0"/>
        <v>0.90615690000000004</v>
      </c>
      <c r="G78" s="390">
        <f t="shared" si="1"/>
        <v>63.808199999999999</v>
      </c>
      <c r="H78" s="391">
        <f t="shared" si="2"/>
        <v>224745.9303569</v>
      </c>
      <c r="I78" s="324"/>
      <c r="J78" s="325"/>
      <c r="K78" s="325"/>
      <c r="L78" s="319"/>
      <c r="M78" s="320"/>
      <c r="N78" s="320"/>
      <c r="O78" s="320">
        <v>70416.28</v>
      </c>
      <c r="P78" s="392">
        <f t="shared" si="8"/>
        <v>0</v>
      </c>
      <c r="Q78" s="392">
        <f t="shared" si="3"/>
        <v>0</v>
      </c>
      <c r="R78" s="392">
        <f t="shared" si="4"/>
        <v>70416.28</v>
      </c>
      <c r="S78" s="373"/>
      <c r="T78" s="374"/>
      <c r="U78" s="524">
        <f t="shared" si="9"/>
        <v>0</v>
      </c>
      <c r="V78" s="520">
        <f t="shared" si="10"/>
        <v>0</v>
      </c>
      <c r="W78" s="524">
        <f t="shared" si="11"/>
        <v>74293.118711679999</v>
      </c>
      <c r="X78" s="520">
        <f t="shared" si="12"/>
        <v>-74293.118711679999</v>
      </c>
      <c r="Y78" s="525">
        <f t="shared" si="13"/>
        <v>-2257244.0421329443</v>
      </c>
    </row>
    <row r="79" spans="3:38" ht="15" thickBot="1" x14ac:dyDescent="0.25">
      <c r="C79" s="393"/>
      <c r="D79" s="394"/>
      <c r="E79" s="395"/>
      <c r="F79" s="429"/>
      <c r="G79" s="396"/>
      <c r="H79" s="397"/>
      <c r="I79" s="326"/>
      <c r="J79" s="327"/>
      <c r="K79" s="327"/>
      <c r="L79" s="321"/>
      <c r="M79" s="322"/>
      <c r="N79" s="322"/>
      <c r="O79" s="322"/>
      <c r="P79" s="395"/>
      <c r="Q79" s="395"/>
      <c r="R79" s="395"/>
      <c r="S79" s="375"/>
      <c r="T79" s="376"/>
      <c r="U79" s="521"/>
      <c r="V79" s="528"/>
      <c r="W79" s="521"/>
      <c r="X79" s="528"/>
      <c r="Y79" s="529"/>
    </row>
    <row r="80" spans="3:38" ht="15" thickBot="1" x14ac:dyDescent="0.25">
      <c r="C80" s="398"/>
      <c r="D80" s="399">
        <f>SUM(D49:D79)</f>
        <v>4627948.0800000029</v>
      </c>
      <c r="E80" s="400">
        <f>SUM(E49:E79)</f>
        <v>2139454.2489999998</v>
      </c>
      <c r="F80" s="400"/>
      <c r="G80" s="401">
        <f>SUM(G49:G79)</f>
        <v>1938.6810999999998</v>
      </c>
      <c r="H80" s="399">
        <f>SUM(H49:H79)</f>
        <v>6769368.1948070005</v>
      </c>
      <c r="I80" s="432">
        <f>SUM(I49:I79)</f>
        <v>0</v>
      </c>
      <c r="J80" s="432">
        <f t="shared" ref="J80:R80" si="14">SUM(J49:J79)</f>
        <v>0</v>
      </c>
      <c r="K80" s="432">
        <f t="shared" si="14"/>
        <v>0</v>
      </c>
      <c r="L80" s="432">
        <f t="shared" si="14"/>
        <v>0</v>
      </c>
      <c r="M80" s="432">
        <f t="shared" si="14"/>
        <v>0</v>
      </c>
      <c r="N80" s="432">
        <f t="shared" si="14"/>
        <v>0</v>
      </c>
      <c r="O80" s="432">
        <f t="shared" si="14"/>
        <v>2139454.2489999998</v>
      </c>
      <c r="P80" s="432">
        <f t="shared" si="14"/>
        <v>0</v>
      </c>
      <c r="Q80" s="432">
        <f t="shared" si="14"/>
        <v>0</v>
      </c>
      <c r="R80" s="432">
        <f t="shared" si="14"/>
        <v>2139454.2489999998</v>
      </c>
      <c r="U80" s="530"/>
      <c r="V80" s="328">
        <f>SUM(V49:V79)</f>
        <v>0</v>
      </c>
      <c r="W80" s="328">
        <f>SUM(W49:W79)</f>
        <v>2257244.0421329443</v>
      </c>
      <c r="X80" s="328">
        <f>SUM(X49:X79)</f>
        <v>-2257244.0421329443</v>
      </c>
      <c r="Y80" s="323">
        <f>Y79</f>
        <v>0</v>
      </c>
      <c r="AL80" s="361">
        <f>Y79</f>
        <v>0</v>
      </c>
    </row>
    <row r="81" spans="2:14" ht="15" customHeight="1" x14ac:dyDescent="0.2">
      <c r="B81"/>
      <c r="C81"/>
      <c r="D81"/>
      <c r="E81"/>
      <c r="F81"/>
      <c r="G81"/>
      <c r="H81"/>
      <c r="I81"/>
      <c r="J81"/>
      <c r="K81"/>
      <c r="L81"/>
      <c r="N81" s="2"/>
    </row>
  </sheetData>
  <mergeCells count="13">
    <mergeCell ref="C10:D10"/>
    <mergeCell ref="C11:D11"/>
    <mergeCell ref="C3:M4"/>
    <mergeCell ref="C5:M5"/>
    <mergeCell ref="C6:M6"/>
    <mergeCell ref="G7:H7"/>
    <mergeCell ref="C9:D9"/>
    <mergeCell ref="D23:E23"/>
    <mergeCell ref="D24:E24"/>
    <mergeCell ref="C28:F28"/>
    <mergeCell ref="C39:F39"/>
    <mergeCell ref="S47:Y47"/>
    <mergeCell ref="L47:R47"/>
  </mergeCells>
  <conditionalFormatting sqref="L49:O79">
    <cfRule type="cellIs" dxfId="144" priority="1" stopIfTrue="1" operator="equal">
      <formula>0</formula>
    </cfRule>
  </conditionalFormatting>
  <pageMargins left="0.7" right="0.7" top="0.75" bottom="0.75" header="0.3" footer="0.3"/>
  <pageSetup orientation="portrait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L81"/>
  <sheetViews>
    <sheetView workbookViewId="0"/>
  </sheetViews>
  <sheetFormatPr baseColWidth="10" defaultColWidth="11" defaultRowHeight="14.25" x14ac:dyDescent="0.2"/>
  <cols>
    <col min="1" max="1" width="11" style="2"/>
    <col min="2" max="2" width="3.875" style="2" bestFit="1" customWidth="1"/>
    <col min="3" max="3" width="16.125" style="2" customWidth="1"/>
    <col min="4" max="4" width="12.375" style="2" bestFit="1" customWidth="1"/>
    <col min="5" max="5" width="10.875" style="2" bestFit="1" customWidth="1"/>
    <col min="6" max="6" width="17.125" style="2" bestFit="1" customWidth="1"/>
    <col min="7" max="7" width="13.125" style="2" bestFit="1" customWidth="1"/>
    <col min="8" max="8" width="12.125" style="2" bestFit="1" customWidth="1"/>
    <col min="9" max="9" width="11.125" style="2" bestFit="1" customWidth="1"/>
    <col min="10" max="10" width="11.875" style="2" bestFit="1" customWidth="1"/>
    <col min="11" max="11" width="11.625" style="2" bestFit="1" customWidth="1"/>
    <col min="12" max="12" width="12.125" style="2" customWidth="1"/>
    <col min="13" max="13" width="10.5" style="2" bestFit="1" customWidth="1"/>
    <col min="14" max="14" width="9" style="1" customWidth="1"/>
    <col min="15" max="15" width="10.375" style="2" customWidth="1"/>
    <col min="16" max="25" width="11" style="2"/>
    <col min="26" max="32" width="10.875" customWidth="1"/>
    <col min="33" max="16384" width="11" style="2"/>
  </cols>
  <sheetData>
    <row r="2" spans="2:25" x14ac:dyDescent="0.2"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2:25" ht="15" customHeight="1" x14ac:dyDescent="0.2">
      <c r="B3" s="1"/>
      <c r="C3" s="2254" t="s">
        <v>0</v>
      </c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</row>
    <row r="4" spans="2:25" ht="15" customHeight="1" x14ac:dyDescent="0.2"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</row>
    <row r="5" spans="2:25" x14ac:dyDescent="0.2">
      <c r="B5" s="1"/>
      <c r="C5" s="2257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</row>
    <row r="6" spans="2:25" x14ac:dyDescent="0.2">
      <c r="B6" s="1"/>
      <c r="C6" s="2257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</row>
    <row r="7" spans="2:25" x14ac:dyDescent="0.2">
      <c r="B7" s="1"/>
      <c r="C7" s="516"/>
      <c r="D7" s="516"/>
      <c r="E7" s="516"/>
      <c r="F7" s="516"/>
      <c r="G7" s="2271">
        <v>42339</v>
      </c>
      <c r="H7" s="2257"/>
      <c r="I7" s="516"/>
      <c r="J7" s="516"/>
      <c r="K7" s="516"/>
      <c r="L7" s="516"/>
      <c r="M7" s="516"/>
      <c r="N7" s="18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2:25" x14ac:dyDescent="0.2">
      <c r="B8" s="1"/>
      <c r="C8" s="516"/>
      <c r="D8" s="516"/>
      <c r="E8" s="516"/>
      <c r="F8" s="516"/>
      <c r="G8" s="516"/>
      <c r="H8" s="516"/>
      <c r="I8" s="516"/>
      <c r="J8" s="516"/>
      <c r="K8" s="516"/>
      <c r="L8" s="516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2:25" ht="25.5" x14ac:dyDescent="0.2">
      <c r="B9" s="1"/>
      <c r="C9" s="2272" t="s">
        <v>6</v>
      </c>
      <c r="D9" s="2272"/>
      <c r="E9" s="517" t="s">
        <v>94</v>
      </c>
      <c r="F9" s="517" t="s">
        <v>126</v>
      </c>
      <c r="G9" s="410" t="s">
        <v>133</v>
      </c>
      <c r="H9" s="517" t="s">
        <v>127</v>
      </c>
      <c r="I9" s="517" t="s">
        <v>128</v>
      </c>
      <c r="J9" s="516"/>
      <c r="K9" s="516"/>
      <c r="L9" s="516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2:25" x14ac:dyDescent="0.2">
      <c r="B10" s="1"/>
      <c r="C10" s="2270" t="s">
        <v>131</v>
      </c>
      <c r="D10" s="2270"/>
      <c r="E10" s="433">
        <f>IF(C15=0,D15,C15)</f>
        <v>4627948.08</v>
      </c>
      <c r="F10" s="407">
        <f>E10*0.16</f>
        <v>740471.69280000008</v>
      </c>
      <c r="G10" s="407">
        <f>E10+F10</f>
        <v>5368419.7728000004</v>
      </c>
      <c r="H10" s="408"/>
      <c r="I10" s="411">
        <v>19</v>
      </c>
      <c r="J10" s="516"/>
      <c r="K10" s="516"/>
      <c r="L10" s="516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2:25" x14ac:dyDescent="0.2">
      <c r="B11" s="1"/>
      <c r="C11" s="2270" t="s">
        <v>132</v>
      </c>
      <c r="D11" s="2270"/>
      <c r="E11" s="433">
        <f>IF(C16=0,D16,C16)</f>
        <v>2047.42</v>
      </c>
      <c r="F11" s="407">
        <f>E11*0.16</f>
        <v>327.5872</v>
      </c>
      <c r="G11" s="407">
        <f>E11+F11</f>
        <v>2375.0072</v>
      </c>
      <c r="H11" s="408"/>
      <c r="I11" s="411">
        <v>19</v>
      </c>
      <c r="J11" s="516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2:25" x14ac:dyDescent="0.2">
      <c r="B12" s="1"/>
      <c r="C12" s="516"/>
      <c r="D12" s="516"/>
      <c r="E12" s="516"/>
      <c r="F12" s="516"/>
      <c r="G12" s="516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2:25" ht="15" thickBot="1" x14ac:dyDescent="0.25">
      <c r="B13" s="1"/>
      <c r="C13" s="516"/>
      <c r="D13" s="516"/>
      <c r="E13" s="516"/>
      <c r="F13" s="516"/>
      <c r="G13" s="516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2:25" x14ac:dyDescent="0.2">
      <c r="B14" s="1"/>
      <c r="C14" s="440" t="s">
        <v>155</v>
      </c>
      <c r="D14" s="441" t="s">
        <v>156</v>
      </c>
      <c r="E14" s="442" t="s">
        <v>112</v>
      </c>
      <c r="F14" s="516"/>
      <c r="G14" s="516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2:25" x14ac:dyDescent="0.2">
      <c r="B15" s="1"/>
      <c r="C15" s="443">
        <v>4627948.08</v>
      </c>
      <c r="D15" s="444">
        <f>D80</f>
        <v>4627948.0800000019</v>
      </c>
      <c r="E15" s="445">
        <f>C15-D15</f>
        <v>0</v>
      </c>
      <c r="F15" s="516"/>
      <c r="G15" s="516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2:25" ht="15" thickBot="1" x14ac:dyDescent="0.25">
      <c r="B16" s="1"/>
      <c r="C16" s="446">
        <v>2047.42</v>
      </c>
      <c r="D16" s="447">
        <f>ROUND(G80,2)</f>
        <v>0</v>
      </c>
      <c r="E16" s="448">
        <f>C16-D16</f>
        <v>2047.42</v>
      </c>
      <c r="F16" s="516"/>
      <c r="G16" s="516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2:25" x14ac:dyDescent="0.2">
      <c r="B17" s="1"/>
      <c r="C17" s="516"/>
      <c r="D17" s="516"/>
      <c r="E17" s="516"/>
      <c r="F17" s="516"/>
      <c r="G17" s="516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2:25" x14ac:dyDescent="0.2">
      <c r="B18" s="1"/>
      <c r="C18" s="516"/>
      <c r="D18" s="516"/>
      <c r="E18" s="516"/>
      <c r="F18" s="516"/>
      <c r="G18" s="516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2:25" x14ac:dyDescent="0.2">
      <c r="B19" s="1"/>
      <c r="C19" s="516"/>
      <c r="D19" s="516"/>
      <c r="E19" s="516"/>
      <c r="F19" s="516"/>
      <c r="G19" s="516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2:25" x14ac:dyDescent="0.2">
      <c r="B20" s="1"/>
      <c r="C20" s="516"/>
      <c r="D20" s="516"/>
      <c r="E20" s="516"/>
      <c r="F20" s="516"/>
      <c r="G20" s="516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2:25" x14ac:dyDescent="0.2">
      <c r="B21" s="1"/>
      <c r="C21" s="516"/>
      <c r="D21" s="516"/>
      <c r="E21" s="516"/>
      <c r="F21" s="516"/>
      <c r="G21" s="516"/>
      <c r="H21" s="1"/>
      <c r="I21" s="1"/>
      <c r="J21" s="1"/>
      <c r="K21" s="1"/>
      <c r="L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2:25" ht="15" thickBot="1" x14ac:dyDescent="0.25">
      <c r="B22" s="1"/>
      <c r="C22" s="419" t="s">
        <v>137</v>
      </c>
      <c r="D22" s="516" t="s">
        <v>138</v>
      </c>
      <c r="E22" s="516"/>
      <c r="F22" s="516" t="s">
        <v>139</v>
      </c>
      <c r="G22" s="516" t="s">
        <v>157</v>
      </c>
      <c r="H22" s="516" t="s">
        <v>143</v>
      </c>
      <c r="I22" s="516" t="s">
        <v>142</v>
      </c>
      <c r="J22" s="516" t="s">
        <v>141</v>
      </c>
      <c r="K22" s="516" t="s">
        <v>140</v>
      </c>
      <c r="L22" s="516" t="s">
        <v>144</v>
      </c>
      <c r="M22" s="516" t="s">
        <v>146</v>
      </c>
      <c r="N22" s="516"/>
      <c r="O22" s="516"/>
      <c r="P22" s="516"/>
      <c r="Q22" s="1"/>
      <c r="R22" s="1"/>
      <c r="S22" s="1"/>
      <c r="T22" s="1"/>
      <c r="U22" s="1"/>
      <c r="V22" s="1"/>
      <c r="W22" s="1"/>
      <c r="X22" s="1"/>
      <c r="Y22" s="1"/>
    </row>
    <row r="23" spans="2:25" ht="36.75" customHeight="1" x14ac:dyDescent="0.2">
      <c r="B23" s="1"/>
      <c r="C23" s="402" t="s">
        <v>134</v>
      </c>
      <c r="D23" s="2261" t="s">
        <v>135</v>
      </c>
      <c r="E23" s="2262"/>
      <c r="F23" s="518" t="s">
        <v>136</v>
      </c>
      <c r="G23" s="461" t="s">
        <v>153</v>
      </c>
      <c r="H23" s="420" t="s">
        <v>129</v>
      </c>
      <c r="I23" s="403" t="s">
        <v>130</v>
      </c>
      <c r="J23" s="422"/>
      <c r="K23" s="422"/>
      <c r="L23" s="422"/>
      <c r="M23" s="404" t="s">
        <v>158</v>
      </c>
      <c r="N23" s="516"/>
      <c r="O23" s="516"/>
      <c r="P23" s="516"/>
      <c r="Q23" s="516"/>
      <c r="R23" s="516"/>
      <c r="S23" s="516"/>
      <c r="T23" s="516"/>
      <c r="U23" s="1"/>
      <c r="V23" s="1"/>
      <c r="W23" s="1"/>
      <c r="X23" s="1"/>
      <c r="Y23" s="1"/>
    </row>
    <row r="24" spans="2:25" x14ac:dyDescent="0.2">
      <c r="B24" s="1"/>
      <c r="C24" s="405">
        <v>850</v>
      </c>
      <c r="D24" s="2263">
        <v>850</v>
      </c>
      <c r="E24" s="2264"/>
      <c r="F24" s="418">
        <v>31482640</v>
      </c>
      <c r="G24" s="462">
        <v>31</v>
      </c>
      <c r="H24" s="460">
        <f>VLOOKUP(C47,Tarifas!D4:H303,3)</f>
        <v>0.14699999999999999</v>
      </c>
      <c r="I24" s="424">
        <f>VLOOKUP(C47,Tarifas!D4:H303,5)</f>
        <v>1E-3</v>
      </c>
      <c r="J24" s="421">
        <v>182.5</v>
      </c>
      <c r="K24" s="421">
        <v>201.4</v>
      </c>
      <c r="L24" s="421">
        <f>I11</f>
        <v>19</v>
      </c>
      <c r="M24" s="431">
        <f>E80</f>
        <v>0</v>
      </c>
      <c r="N24" s="430" t="s">
        <v>62</v>
      </c>
      <c r="O24" s="516"/>
      <c r="P24" s="516"/>
      <c r="Q24" s="516"/>
      <c r="R24" s="516"/>
      <c r="S24" s="516"/>
      <c r="T24" s="516"/>
      <c r="U24" s="1"/>
      <c r="V24" s="1"/>
      <c r="W24" s="1"/>
      <c r="X24" s="1"/>
      <c r="Y24" s="1"/>
    </row>
    <row r="25" spans="2:25" x14ac:dyDescent="0.2">
      <c r="B25" s="1"/>
      <c r="C25" s="516"/>
      <c r="D25" s="516"/>
      <c r="E25" s="516"/>
      <c r="F25" s="516"/>
      <c r="G25" s="516"/>
      <c r="H25" s="516"/>
      <c r="I25" s="516"/>
      <c r="J25" s="516"/>
      <c r="K25" s="516"/>
      <c r="L25" s="516"/>
      <c r="M25" s="516"/>
      <c r="N25" s="516"/>
      <c r="O25" s="516"/>
      <c r="P25" s="516"/>
      <c r="Q25" s="516"/>
      <c r="R25" s="516"/>
      <c r="S25" s="1"/>
      <c r="T25" s="1"/>
      <c r="U25" s="1"/>
      <c r="V25" s="1"/>
      <c r="W25" s="1"/>
      <c r="X25" s="1"/>
      <c r="Y25" s="1"/>
    </row>
    <row r="26" spans="2:25" x14ac:dyDescent="0.2">
      <c r="B26" s="1"/>
      <c r="C26" s="516"/>
      <c r="D26" s="516"/>
      <c r="E26" s="516"/>
      <c r="F26" s="516"/>
      <c r="G26" s="516"/>
      <c r="H26" s="516"/>
      <c r="I26" s="516"/>
      <c r="J26" s="516"/>
      <c r="K26" s="516"/>
      <c r="L26" s="516"/>
      <c r="M26" s="516"/>
      <c r="N26" s="516"/>
      <c r="O26" s="516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2:25" x14ac:dyDescent="0.2">
      <c r="B27" s="1"/>
      <c r="C27" s="516"/>
      <c r="D27" s="516"/>
      <c r="E27" s="516"/>
      <c r="F27" s="516"/>
      <c r="G27" s="516"/>
      <c r="H27" s="516"/>
      <c r="I27" s="516"/>
      <c r="J27" s="516"/>
      <c r="K27" s="516"/>
      <c r="L27" s="516"/>
      <c r="M27" s="516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2:25" ht="15" thickBot="1" x14ac:dyDescent="0.25">
      <c r="B28" s="1"/>
      <c r="C28" s="2265" t="s">
        <v>86</v>
      </c>
      <c r="D28" s="2265"/>
      <c r="E28" s="2265"/>
      <c r="F28" s="2265"/>
      <c r="G28" s="519"/>
      <c r="H28" s="334"/>
      <c r="I28" s="334"/>
      <c r="J28" s="334"/>
      <c r="K28" s="519"/>
      <c r="L28" s="336"/>
      <c r="M28" s="336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2:25" ht="22.5" x14ac:dyDescent="0.2">
      <c r="B29" s="1"/>
      <c r="C29" s="337" t="s">
        <v>87</v>
      </c>
      <c r="D29" s="514" t="s">
        <v>88</v>
      </c>
      <c r="E29" s="514" t="s">
        <v>89</v>
      </c>
      <c r="F29" s="514" t="s">
        <v>20</v>
      </c>
      <c r="G29" s="514" t="s">
        <v>160</v>
      </c>
      <c r="H29" s="514" t="s">
        <v>90</v>
      </c>
      <c r="I29" s="514" t="s">
        <v>91</v>
      </c>
      <c r="J29" s="514" t="s">
        <v>92</v>
      </c>
      <c r="K29" s="514" t="s">
        <v>93</v>
      </c>
      <c r="L29" s="514" t="s">
        <v>94</v>
      </c>
      <c r="M29" s="515" t="s">
        <v>95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2:25" x14ac:dyDescent="0.2">
      <c r="B30" s="1"/>
      <c r="C30" s="338"/>
      <c r="D30" s="339">
        <v>1</v>
      </c>
      <c r="E30" s="339" t="s">
        <v>96</v>
      </c>
      <c r="F30" s="340" t="s">
        <v>97</v>
      </c>
      <c r="G30" s="340">
        <v>2201</v>
      </c>
      <c r="H30" s="339">
        <v>20823</v>
      </c>
      <c r="I30" s="341">
        <v>40000</v>
      </c>
      <c r="J30" s="339">
        <v>138.15</v>
      </c>
      <c r="K30" s="342">
        <f>I30/I$35</f>
        <v>4.7058823529411764E-2</v>
      </c>
      <c r="L30" s="343">
        <f>ROUND(K30*E$10,2)</f>
        <v>217785.79</v>
      </c>
      <c r="M30" s="344">
        <f>L30*$I$10</f>
        <v>4137930.0100000002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2:25" x14ac:dyDescent="0.2">
      <c r="B31" s="1"/>
      <c r="C31" s="338"/>
      <c r="D31" s="339">
        <v>2</v>
      </c>
      <c r="E31" s="339" t="s">
        <v>98</v>
      </c>
      <c r="F31" s="340" t="s">
        <v>97</v>
      </c>
      <c r="G31" s="340">
        <v>2201</v>
      </c>
      <c r="H31" s="339">
        <v>20824</v>
      </c>
      <c r="I31" s="341">
        <v>40000</v>
      </c>
      <c r="J31" s="339">
        <v>138.15</v>
      </c>
      <c r="K31" s="342">
        <f>I31/I$35</f>
        <v>4.7058823529411764E-2</v>
      </c>
      <c r="L31" s="343">
        <f>ROUND(K31*E$10,2)</f>
        <v>217785.79</v>
      </c>
      <c r="M31" s="344">
        <f>L31*$I$10</f>
        <v>4137930.0100000002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2:25" x14ac:dyDescent="0.2">
      <c r="B32" s="1"/>
      <c r="C32" s="338"/>
      <c r="D32" s="339">
        <v>1</v>
      </c>
      <c r="E32" s="339" t="s">
        <v>99</v>
      </c>
      <c r="F32" s="340" t="s">
        <v>100</v>
      </c>
      <c r="G32" s="340">
        <v>2230</v>
      </c>
      <c r="H32" s="339">
        <v>22228</v>
      </c>
      <c r="I32" s="341">
        <v>32000</v>
      </c>
      <c r="J32" s="339">
        <v>130.80000000000001</v>
      </c>
      <c r="K32" s="342">
        <f>I32/I$35</f>
        <v>3.7647058823529408E-2</v>
      </c>
      <c r="L32" s="343">
        <f>ROUND(K32*E$10,2)</f>
        <v>174228.63</v>
      </c>
      <c r="M32" s="344">
        <f>L32*$I$10</f>
        <v>3310343.97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2:25" x14ac:dyDescent="0.2">
      <c r="B33" s="1"/>
      <c r="C33" s="338">
        <v>800762390</v>
      </c>
      <c r="D33" s="339">
        <v>1</v>
      </c>
      <c r="E33" s="354" t="s">
        <v>101</v>
      </c>
      <c r="F33" s="463" t="s">
        <v>23</v>
      </c>
      <c r="G33" s="463">
        <v>2044</v>
      </c>
      <c r="H33" s="354">
        <v>591000420</v>
      </c>
      <c r="I33" s="341">
        <v>80000</v>
      </c>
      <c r="J33" s="339"/>
      <c r="K33" s="342">
        <f>I33/I$35</f>
        <v>9.4117647058823528E-2</v>
      </c>
      <c r="L33" s="343">
        <f>ROUND(K33*E$10,2)</f>
        <v>435571.58</v>
      </c>
      <c r="M33" s="344">
        <f>L33*$I$10</f>
        <v>8275860.0200000005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2:25" ht="15" thickBot="1" x14ac:dyDescent="0.25">
      <c r="B34" s="1"/>
      <c r="C34" s="345">
        <v>800642440</v>
      </c>
      <c r="D34" s="346">
        <v>5</v>
      </c>
      <c r="E34" s="347" t="s">
        <v>101</v>
      </c>
      <c r="F34" s="348" t="s">
        <v>159</v>
      </c>
      <c r="G34" s="348">
        <v>2277</v>
      </c>
      <c r="H34" s="347">
        <v>22770</v>
      </c>
      <c r="I34" s="349">
        <f>850000-I30-I31-I32-I33</f>
        <v>658000</v>
      </c>
      <c r="J34" s="346"/>
      <c r="K34" s="350">
        <f>I34/I$35</f>
        <v>0.77411764705882358</v>
      </c>
      <c r="L34" s="351">
        <f>ROUND(K34*E$10,2)</f>
        <v>3582576.28</v>
      </c>
      <c r="M34" s="352">
        <f>L34*$I$10</f>
        <v>68068949.319999993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2:25" x14ac:dyDescent="0.2">
      <c r="B35" s="1"/>
      <c r="C35" s="406">
        <v>3000623</v>
      </c>
      <c r="D35" s="353" t="s">
        <v>102</v>
      </c>
      <c r="E35" s="353"/>
      <c r="F35" s="353"/>
      <c r="G35" s="353"/>
      <c r="H35" s="354"/>
      <c r="I35" s="355">
        <f>SUM(I30:I34)</f>
        <v>850000</v>
      </c>
      <c r="J35" s="353"/>
      <c r="K35" s="356">
        <f>SUM(K30:K34)</f>
        <v>1</v>
      </c>
      <c r="L35" s="357">
        <f>SUM(L30:L34)</f>
        <v>4627948.07</v>
      </c>
      <c r="M35" s="357">
        <f>SUM(M30:M33)</f>
        <v>19862064.010000002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2:25" x14ac:dyDescent="0.2">
      <c r="B36" s="1"/>
      <c r="C36" s="336"/>
      <c r="D36" s="336"/>
      <c r="E36" s="336"/>
      <c r="F36" s="358"/>
      <c r="G36" s="358"/>
      <c r="H36" s="336"/>
      <c r="I36" s="336"/>
      <c r="J36" s="336"/>
      <c r="K36" s="336"/>
      <c r="L36" s="359"/>
      <c r="M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2:25" x14ac:dyDescent="0.2">
      <c r="B37" s="1"/>
      <c r="C37" s="336"/>
      <c r="D37" s="336"/>
      <c r="E37" s="336"/>
      <c r="F37" s="358"/>
      <c r="G37" s="358"/>
      <c r="H37" s="336"/>
      <c r="I37" s="336"/>
      <c r="J37" s="336"/>
      <c r="K37" s="336"/>
      <c r="L37" s="359"/>
      <c r="M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2:25" x14ac:dyDescent="0.2">
      <c r="B38" s="1"/>
      <c r="C38" s="336"/>
      <c r="D38" s="336"/>
      <c r="E38" s="336"/>
      <c r="F38" s="358"/>
      <c r="G38" s="358"/>
      <c r="H38" s="336"/>
      <c r="I38" s="336"/>
      <c r="J38" s="336"/>
      <c r="K38" s="336"/>
      <c r="L38" s="359"/>
      <c r="M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2:25" ht="15" thickBot="1" x14ac:dyDescent="0.25">
      <c r="B39" s="1"/>
      <c r="C39" s="2266" t="s">
        <v>103</v>
      </c>
      <c r="D39" s="2266"/>
      <c r="E39" s="2266"/>
      <c r="F39" s="2266"/>
      <c r="G39" s="519"/>
      <c r="H39" s="334"/>
      <c r="I39" s="334"/>
      <c r="J39" s="334"/>
      <c r="K39" s="336"/>
      <c r="L39" s="336"/>
      <c r="M39" s="360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2:25" ht="22.5" x14ac:dyDescent="0.2">
      <c r="B40" s="1"/>
      <c r="C40" s="337" t="s">
        <v>87</v>
      </c>
      <c r="D40" s="514" t="s">
        <v>88</v>
      </c>
      <c r="E40" s="514" t="s">
        <v>89</v>
      </c>
      <c r="F40" s="514" t="s">
        <v>20</v>
      </c>
      <c r="G40" s="514"/>
      <c r="H40" s="514" t="s">
        <v>90</v>
      </c>
      <c r="I40" s="514" t="s">
        <v>104</v>
      </c>
      <c r="J40" s="514" t="s">
        <v>93</v>
      </c>
      <c r="K40" s="514" t="s">
        <v>92</v>
      </c>
      <c r="L40" s="514" t="s">
        <v>94</v>
      </c>
      <c r="M40" s="515" t="s">
        <v>95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2:25" x14ac:dyDescent="0.2">
      <c r="B41" s="1"/>
      <c r="C41" s="338"/>
      <c r="D41" s="339">
        <v>1</v>
      </c>
      <c r="E41" s="339" t="s">
        <v>96</v>
      </c>
      <c r="F41" s="340" t="s">
        <v>97</v>
      </c>
      <c r="G41" s="340"/>
      <c r="H41" s="339">
        <v>20823</v>
      </c>
      <c r="I41" s="341">
        <f>M80</f>
        <v>0</v>
      </c>
      <c r="J41" s="342" t="e">
        <f>I41/I$45</f>
        <v>#DIV/0!</v>
      </c>
      <c r="K41" s="339">
        <v>138.15</v>
      </c>
      <c r="L41" s="343" t="e">
        <f>ROUND(J41*$E$11,2)</f>
        <v>#DIV/0!</v>
      </c>
      <c r="M41" s="344" t="e">
        <f>L41*L24</f>
        <v>#DIV/0!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2:25" x14ac:dyDescent="0.2">
      <c r="B42" s="1"/>
      <c r="C42" s="338"/>
      <c r="D42" s="339">
        <v>2</v>
      </c>
      <c r="E42" s="339" t="s">
        <v>98</v>
      </c>
      <c r="F42" s="340" t="s">
        <v>97</v>
      </c>
      <c r="G42" s="340"/>
      <c r="H42" s="339">
        <v>20824</v>
      </c>
      <c r="I42" s="341">
        <f>N80</f>
        <v>0</v>
      </c>
      <c r="J42" s="342" t="e">
        <f>I42/I$45</f>
        <v>#DIV/0!</v>
      </c>
      <c r="K42" s="339">
        <v>138.15</v>
      </c>
      <c r="L42" s="343" t="e">
        <f>ROUND(J42*$E$11,2)</f>
        <v>#DIV/0!</v>
      </c>
      <c r="M42" s="344" t="e">
        <f>L42*L25</f>
        <v>#DIV/0!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2:25" x14ac:dyDescent="0.2">
      <c r="B43" s="1"/>
      <c r="C43" s="338"/>
      <c r="D43" s="339">
        <v>1</v>
      </c>
      <c r="E43" s="339" t="s">
        <v>99</v>
      </c>
      <c r="F43" s="340" t="s">
        <v>100</v>
      </c>
      <c r="G43" s="340"/>
      <c r="H43" s="339">
        <v>22228</v>
      </c>
      <c r="I43" s="341">
        <f>O80</f>
        <v>0</v>
      </c>
      <c r="J43" s="342" t="e">
        <f>I43/I$45</f>
        <v>#DIV/0!</v>
      </c>
      <c r="K43" s="339">
        <v>130.80000000000001</v>
      </c>
      <c r="L43" s="343" t="e">
        <f>ROUND(J43*$E$11,2)</f>
        <v>#DIV/0!</v>
      </c>
      <c r="M43" s="344" t="e">
        <f>L43*L26</f>
        <v>#DIV/0!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2:25" ht="15" thickBot="1" x14ac:dyDescent="0.25">
      <c r="B44" s="1"/>
      <c r="C44" s="345">
        <v>800762390</v>
      </c>
      <c r="D44" s="346">
        <v>2</v>
      </c>
      <c r="E44" s="347" t="s">
        <v>101</v>
      </c>
      <c r="F44" s="348" t="s">
        <v>23</v>
      </c>
      <c r="G44" s="348"/>
      <c r="H44" s="347"/>
      <c r="I44" s="349">
        <f>L80</f>
        <v>0</v>
      </c>
      <c r="J44" s="350" t="e">
        <f>I44/I$45</f>
        <v>#DIV/0!</v>
      </c>
      <c r="K44" s="346">
        <v>138.15</v>
      </c>
      <c r="L44" s="351" t="e">
        <f>ROUND(J44*$E$11,2)</f>
        <v>#DIV/0!</v>
      </c>
      <c r="M44" s="352" t="e">
        <f>L44*L27</f>
        <v>#DIV/0!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2:25" x14ac:dyDescent="0.2">
      <c r="B45" s="1"/>
      <c r="C45" s="353"/>
      <c r="D45" s="353"/>
      <c r="E45" s="353"/>
      <c r="F45" s="353"/>
      <c r="G45" s="353"/>
      <c r="H45" s="354"/>
      <c r="I45" s="449">
        <f>SUM(I41:I44)</f>
        <v>0</v>
      </c>
      <c r="J45" s="355"/>
      <c r="K45" s="353"/>
      <c r="L45" s="357" t="e">
        <f>SUM(L41:L44)</f>
        <v>#DIV/0!</v>
      </c>
      <c r="M45" s="357" t="e">
        <f>SUM(M41:M44)</f>
        <v>#DIV/0!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2:25" customFormat="1" ht="15" thickBot="1" x14ac:dyDescent="0.25">
      <c r="M46" s="450"/>
      <c r="N46" s="450"/>
      <c r="O46" s="450"/>
      <c r="P46" s="450"/>
      <c r="Q46" s="450"/>
      <c r="R46" s="450"/>
      <c r="S46" s="450"/>
      <c r="T46" s="450"/>
      <c r="U46" s="450"/>
      <c r="V46" s="450"/>
      <c r="W46" s="450"/>
      <c r="X46" s="450"/>
      <c r="Y46" s="450"/>
    </row>
    <row r="47" spans="2:25" ht="15" thickBot="1" x14ac:dyDescent="0.25">
      <c r="B47" s="434" t="s">
        <v>3</v>
      </c>
      <c r="C47" s="1445">
        <f>SUMIF(Tarifas!E4:E303,'Diciembre - 2015'!C49,Tarifas!D4:D303)</f>
        <v>29</v>
      </c>
      <c r="D47" s="425" t="s">
        <v>147</v>
      </c>
      <c r="E47" s="426" t="s">
        <v>145</v>
      </c>
      <c r="F47" s="426" t="s">
        <v>150</v>
      </c>
      <c r="G47" s="426" t="s">
        <v>148</v>
      </c>
      <c r="H47" s="382"/>
      <c r="I47" s="331" t="s">
        <v>120</v>
      </c>
      <c r="J47" s="332"/>
      <c r="K47" s="332"/>
      <c r="L47" s="2277" t="s">
        <v>105</v>
      </c>
      <c r="M47" s="2278"/>
      <c r="N47" s="2278"/>
      <c r="O47" s="2278"/>
      <c r="P47" s="2278"/>
      <c r="Q47" s="2278"/>
      <c r="R47" s="2279"/>
      <c r="S47" s="2274" t="s">
        <v>121</v>
      </c>
      <c r="T47" s="2275"/>
      <c r="U47" s="2275"/>
      <c r="V47" s="2275"/>
      <c r="W47" s="2275"/>
      <c r="X47" s="2275"/>
      <c r="Y47" s="2276"/>
    </row>
    <row r="48" spans="2:25" ht="34.5" thickBot="1" x14ac:dyDescent="0.25">
      <c r="C48" s="1427" t="s">
        <v>122</v>
      </c>
      <c r="D48" s="1428" t="s">
        <v>125</v>
      </c>
      <c r="E48" s="1429" t="s">
        <v>149</v>
      </c>
      <c r="F48" s="1429" t="s">
        <v>151</v>
      </c>
      <c r="G48" s="1429" t="s">
        <v>152</v>
      </c>
      <c r="H48" s="1430" t="s">
        <v>123</v>
      </c>
      <c r="I48" s="1450" t="s">
        <v>377</v>
      </c>
      <c r="J48" s="1451" t="s">
        <v>376</v>
      </c>
      <c r="K48" s="1451" t="s">
        <v>375</v>
      </c>
      <c r="L48" s="1437" t="s">
        <v>115</v>
      </c>
      <c r="M48" s="1438" t="s">
        <v>106</v>
      </c>
      <c r="N48" s="1438" t="s">
        <v>107</v>
      </c>
      <c r="O48" s="1438" t="s">
        <v>108</v>
      </c>
      <c r="P48" s="1438" t="s">
        <v>115</v>
      </c>
      <c r="Q48" s="1439" t="s">
        <v>116</v>
      </c>
      <c r="R48" s="1440" t="s">
        <v>117</v>
      </c>
      <c r="S48" s="1441" t="s">
        <v>110</v>
      </c>
      <c r="T48" s="1442" t="s">
        <v>111</v>
      </c>
      <c r="U48" s="1442" t="s">
        <v>112</v>
      </c>
      <c r="V48" s="1443" t="s">
        <v>118</v>
      </c>
      <c r="W48" s="1443" t="s">
        <v>119</v>
      </c>
      <c r="X48" s="1443" t="s">
        <v>114</v>
      </c>
      <c r="Y48" s="1444" t="s">
        <v>113</v>
      </c>
    </row>
    <row r="49" spans="3:25" x14ac:dyDescent="0.2">
      <c r="C49" s="387">
        <f>G7</f>
        <v>42339</v>
      </c>
      <c r="D49" s="388">
        <f>($F$24*$H$24)/$G$24</f>
        <v>149288.64774193548</v>
      </c>
      <c r="E49" s="389">
        <f>P49+Q49+R49</f>
        <v>0</v>
      </c>
      <c r="F49" s="427">
        <f t="shared" ref="F49:F79" si="0">TRUNC(IFERROR(J$24/K$24,0),8)</f>
        <v>0.90615690000000004</v>
      </c>
      <c r="G49" s="390">
        <f t="shared" ref="G49:G79" si="1">ROUND(I$24*F49*E49,4)</f>
        <v>0</v>
      </c>
      <c r="H49" s="391">
        <f t="shared" ref="H49:H79" si="2">SUM(D49:G49)</f>
        <v>149289.55389883547</v>
      </c>
      <c r="I49" s="324"/>
      <c r="J49" s="325"/>
      <c r="K49" s="325">
        <v>75299.710000000006</v>
      </c>
      <c r="L49" s="317"/>
      <c r="M49" s="318"/>
      <c r="N49" s="318"/>
      <c r="O49" s="318"/>
      <c r="P49" s="389">
        <f>L49</f>
        <v>0</v>
      </c>
      <c r="Q49" s="389">
        <f t="shared" ref="Q49:Q79" si="3">M49+N49</f>
        <v>0</v>
      </c>
      <c r="R49" s="389">
        <f t="shared" ref="R49:R79" si="4">O49</f>
        <v>0</v>
      </c>
      <c r="S49" s="373"/>
      <c r="T49" s="374"/>
      <c r="U49" s="524">
        <f>S49+T49-V49</f>
        <v>-75299.710000000006</v>
      </c>
      <c r="V49" s="520">
        <f>I49+J49+K49</f>
        <v>75299.710000000006</v>
      </c>
      <c r="W49" s="524">
        <f>(P49+Q49+R49)*1.055056</f>
        <v>0</v>
      </c>
      <c r="X49" s="520">
        <f>V49-W49</f>
        <v>75299.710000000006</v>
      </c>
      <c r="Y49" s="525">
        <f>AL46+X49</f>
        <v>75299.710000000006</v>
      </c>
    </row>
    <row r="50" spans="3:25" x14ac:dyDescent="0.2">
      <c r="C50" s="387">
        <f t="shared" ref="C50:C79" si="5">C49+1</f>
        <v>42340</v>
      </c>
      <c r="D50" s="388">
        <f t="shared" ref="D50:D79" si="6">($F$24*$H$24)/$G$24</f>
        <v>149288.64774193548</v>
      </c>
      <c r="E50" s="392">
        <f t="shared" ref="E50:E79" si="7">P50+Q50+R50</f>
        <v>0</v>
      </c>
      <c r="F50" s="428">
        <f t="shared" si="0"/>
        <v>0.90615690000000004</v>
      </c>
      <c r="G50" s="390">
        <f t="shared" si="1"/>
        <v>0</v>
      </c>
      <c r="H50" s="391">
        <f t="shared" si="2"/>
        <v>149289.55389883547</v>
      </c>
      <c r="I50" s="324"/>
      <c r="J50" s="325"/>
      <c r="K50" s="325">
        <v>76514.410999999993</v>
      </c>
      <c r="L50" s="319"/>
      <c r="M50" s="320"/>
      <c r="N50" s="320"/>
      <c r="O50" s="320"/>
      <c r="P50" s="392">
        <f t="shared" ref="P50:P79" si="8">L50</f>
        <v>0</v>
      </c>
      <c r="Q50" s="392">
        <f t="shared" si="3"/>
        <v>0</v>
      </c>
      <c r="R50" s="392">
        <f t="shared" si="4"/>
        <v>0</v>
      </c>
      <c r="S50" s="373"/>
      <c r="T50" s="374"/>
      <c r="U50" s="524">
        <f t="shared" ref="U50:U79" si="9">S50+T50-V50</f>
        <v>-76514.410999999993</v>
      </c>
      <c r="V50" s="520">
        <f t="shared" ref="V50:V79" si="10">I50+J50+K50</f>
        <v>76514.410999999993</v>
      </c>
      <c r="W50" s="524">
        <f t="shared" ref="W50:W79" si="11">(P50+Q50+R50)*1.055056</f>
        <v>0</v>
      </c>
      <c r="X50" s="520">
        <f t="shared" ref="X50:X79" si="12">V50-W50</f>
        <v>76514.410999999993</v>
      </c>
      <c r="Y50" s="525">
        <f>Y49+X50</f>
        <v>151814.12099999998</v>
      </c>
    </row>
    <row r="51" spans="3:25" x14ac:dyDescent="0.2">
      <c r="C51" s="387">
        <f t="shared" si="5"/>
        <v>42341</v>
      </c>
      <c r="D51" s="388">
        <f t="shared" si="6"/>
        <v>149288.64774193548</v>
      </c>
      <c r="E51" s="392">
        <f t="shared" si="7"/>
        <v>0</v>
      </c>
      <c r="F51" s="428">
        <f t="shared" si="0"/>
        <v>0.90615690000000004</v>
      </c>
      <c r="G51" s="390">
        <f t="shared" si="1"/>
        <v>0</v>
      </c>
      <c r="H51" s="391">
        <f t="shared" si="2"/>
        <v>149289.55389883547</v>
      </c>
      <c r="I51" s="324"/>
      <c r="J51" s="325"/>
      <c r="K51" s="325">
        <v>74088.63</v>
      </c>
      <c r="L51" s="317"/>
      <c r="M51" s="318"/>
      <c r="N51" s="318"/>
      <c r="O51" s="318"/>
      <c r="P51" s="392">
        <f t="shared" si="8"/>
        <v>0</v>
      </c>
      <c r="Q51" s="392">
        <f t="shared" si="3"/>
        <v>0</v>
      </c>
      <c r="R51" s="392">
        <f t="shared" si="4"/>
        <v>0</v>
      </c>
      <c r="S51" s="373"/>
      <c r="T51" s="374"/>
      <c r="U51" s="524">
        <f t="shared" si="9"/>
        <v>-74088.63</v>
      </c>
      <c r="V51" s="520">
        <f t="shared" si="10"/>
        <v>74088.63</v>
      </c>
      <c r="W51" s="524">
        <f t="shared" si="11"/>
        <v>0</v>
      </c>
      <c r="X51" s="520">
        <f t="shared" si="12"/>
        <v>74088.63</v>
      </c>
      <c r="Y51" s="525">
        <f t="shared" ref="Y51:Y79" si="13">Y50+X51</f>
        <v>225902.75099999999</v>
      </c>
    </row>
    <row r="52" spans="3:25" x14ac:dyDescent="0.2">
      <c r="C52" s="387">
        <f t="shared" si="5"/>
        <v>42342</v>
      </c>
      <c r="D52" s="388">
        <f t="shared" si="6"/>
        <v>149288.64774193548</v>
      </c>
      <c r="E52" s="392">
        <f t="shared" si="7"/>
        <v>0</v>
      </c>
      <c r="F52" s="428">
        <f t="shared" si="0"/>
        <v>0.90615690000000004</v>
      </c>
      <c r="G52" s="390">
        <f t="shared" si="1"/>
        <v>0</v>
      </c>
      <c r="H52" s="391">
        <f t="shared" si="2"/>
        <v>149289.55389883547</v>
      </c>
      <c r="I52" s="324"/>
      <c r="J52" s="325"/>
      <c r="K52" s="325">
        <v>77082.05</v>
      </c>
      <c r="L52" s="319"/>
      <c r="M52" s="320"/>
      <c r="N52" s="320"/>
      <c r="O52" s="320"/>
      <c r="P52" s="392">
        <f t="shared" si="8"/>
        <v>0</v>
      </c>
      <c r="Q52" s="392">
        <f t="shared" si="3"/>
        <v>0</v>
      </c>
      <c r="R52" s="392">
        <f t="shared" si="4"/>
        <v>0</v>
      </c>
      <c r="S52" s="373"/>
      <c r="T52" s="374"/>
      <c r="U52" s="524">
        <f t="shared" si="9"/>
        <v>-77082.05</v>
      </c>
      <c r="V52" s="520">
        <f t="shared" si="10"/>
        <v>77082.05</v>
      </c>
      <c r="W52" s="524">
        <f t="shared" si="11"/>
        <v>0</v>
      </c>
      <c r="X52" s="520">
        <f t="shared" si="12"/>
        <v>77082.05</v>
      </c>
      <c r="Y52" s="525">
        <f t="shared" si="13"/>
        <v>302984.80099999998</v>
      </c>
    </row>
    <row r="53" spans="3:25" x14ac:dyDescent="0.2">
      <c r="C53" s="387">
        <f t="shared" si="5"/>
        <v>42343</v>
      </c>
      <c r="D53" s="388">
        <f t="shared" si="6"/>
        <v>149288.64774193548</v>
      </c>
      <c r="E53" s="392">
        <f t="shared" si="7"/>
        <v>0</v>
      </c>
      <c r="F53" s="428">
        <f t="shared" si="0"/>
        <v>0.90615690000000004</v>
      </c>
      <c r="G53" s="390">
        <f t="shared" si="1"/>
        <v>0</v>
      </c>
      <c r="H53" s="391">
        <f t="shared" si="2"/>
        <v>149289.55389883547</v>
      </c>
      <c r="I53" s="324"/>
      <c r="J53" s="325"/>
      <c r="K53" s="325">
        <v>76131.78</v>
      </c>
      <c r="L53" s="317"/>
      <c r="M53" s="318"/>
      <c r="N53" s="318"/>
      <c r="O53" s="318"/>
      <c r="P53" s="392">
        <f t="shared" si="8"/>
        <v>0</v>
      </c>
      <c r="Q53" s="392">
        <f t="shared" si="3"/>
        <v>0</v>
      </c>
      <c r="R53" s="392">
        <f t="shared" si="4"/>
        <v>0</v>
      </c>
      <c r="S53" s="373"/>
      <c r="T53" s="374"/>
      <c r="U53" s="524">
        <f t="shared" si="9"/>
        <v>-76131.78</v>
      </c>
      <c r="V53" s="520">
        <f t="shared" si="10"/>
        <v>76131.78</v>
      </c>
      <c r="W53" s="524">
        <f t="shared" si="11"/>
        <v>0</v>
      </c>
      <c r="X53" s="520">
        <f t="shared" si="12"/>
        <v>76131.78</v>
      </c>
      <c r="Y53" s="525">
        <f t="shared" si="13"/>
        <v>379116.58100000001</v>
      </c>
    </row>
    <row r="54" spans="3:25" x14ac:dyDescent="0.2">
      <c r="C54" s="387">
        <f t="shared" si="5"/>
        <v>42344</v>
      </c>
      <c r="D54" s="388">
        <f t="shared" si="6"/>
        <v>149288.64774193548</v>
      </c>
      <c r="E54" s="392">
        <f t="shared" si="7"/>
        <v>0</v>
      </c>
      <c r="F54" s="428">
        <f t="shared" si="0"/>
        <v>0.90615690000000004</v>
      </c>
      <c r="G54" s="390">
        <f t="shared" si="1"/>
        <v>0</v>
      </c>
      <c r="H54" s="391">
        <f t="shared" si="2"/>
        <v>149289.55389883547</v>
      </c>
      <c r="I54" s="324"/>
      <c r="J54" s="325"/>
      <c r="K54" s="325">
        <v>73540.98</v>
      </c>
      <c r="L54" s="319"/>
      <c r="M54" s="320"/>
      <c r="N54" s="320"/>
      <c r="O54" s="320"/>
      <c r="P54" s="392">
        <f t="shared" si="8"/>
        <v>0</v>
      </c>
      <c r="Q54" s="392">
        <f t="shared" si="3"/>
        <v>0</v>
      </c>
      <c r="R54" s="392">
        <f t="shared" si="4"/>
        <v>0</v>
      </c>
      <c r="S54" s="373"/>
      <c r="T54" s="374"/>
      <c r="U54" s="524">
        <f t="shared" si="9"/>
        <v>-73540.98</v>
      </c>
      <c r="V54" s="520">
        <f t="shared" si="10"/>
        <v>73540.98</v>
      </c>
      <c r="W54" s="524">
        <f t="shared" si="11"/>
        <v>0</v>
      </c>
      <c r="X54" s="520">
        <f t="shared" si="12"/>
        <v>73540.98</v>
      </c>
      <c r="Y54" s="525">
        <f t="shared" si="13"/>
        <v>452657.56099999999</v>
      </c>
    </row>
    <row r="55" spans="3:25" x14ac:dyDescent="0.2">
      <c r="C55" s="387">
        <f t="shared" si="5"/>
        <v>42345</v>
      </c>
      <c r="D55" s="388">
        <f t="shared" si="6"/>
        <v>149288.64774193548</v>
      </c>
      <c r="E55" s="392">
        <f t="shared" si="7"/>
        <v>0</v>
      </c>
      <c r="F55" s="428">
        <f t="shared" si="0"/>
        <v>0.90615690000000004</v>
      </c>
      <c r="G55" s="390">
        <f t="shared" si="1"/>
        <v>0</v>
      </c>
      <c r="H55" s="391">
        <f t="shared" si="2"/>
        <v>149289.55389883547</v>
      </c>
      <c r="I55" s="324"/>
      <c r="J55" s="325"/>
      <c r="K55" s="325">
        <v>73196.763000000006</v>
      </c>
      <c r="L55" s="317"/>
      <c r="M55" s="318"/>
      <c r="N55" s="318"/>
      <c r="O55" s="318"/>
      <c r="P55" s="392">
        <f t="shared" si="8"/>
        <v>0</v>
      </c>
      <c r="Q55" s="392">
        <f t="shared" si="3"/>
        <v>0</v>
      </c>
      <c r="R55" s="392">
        <f t="shared" si="4"/>
        <v>0</v>
      </c>
      <c r="S55" s="373"/>
      <c r="T55" s="374"/>
      <c r="U55" s="524">
        <f t="shared" si="9"/>
        <v>-73196.763000000006</v>
      </c>
      <c r="V55" s="520">
        <f t="shared" si="10"/>
        <v>73196.763000000006</v>
      </c>
      <c r="W55" s="524">
        <f t="shared" si="11"/>
        <v>0</v>
      </c>
      <c r="X55" s="520">
        <f t="shared" si="12"/>
        <v>73196.763000000006</v>
      </c>
      <c r="Y55" s="525">
        <f t="shared" si="13"/>
        <v>525854.32400000002</v>
      </c>
    </row>
    <row r="56" spans="3:25" x14ac:dyDescent="0.2">
      <c r="C56" s="387">
        <f t="shared" si="5"/>
        <v>42346</v>
      </c>
      <c r="D56" s="388">
        <f t="shared" si="6"/>
        <v>149288.64774193548</v>
      </c>
      <c r="E56" s="392">
        <f t="shared" si="7"/>
        <v>0</v>
      </c>
      <c r="F56" s="428">
        <f t="shared" si="0"/>
        <v>0.90615690000000004</v>
      </c>
      <c r="G56" s="390">
        <f t="shared" si="1"/>
        <v>0</v>
      </c>
      <c r="H56" s="391">
        <f t="shared" si="2"/>
        <v>149289.55389883547</v>
      </c>
      <c r="I56" s="324"/>
      <c r="J56" s="325"/>
      <c r="K56" s="325">
        <v>74781.644</v>
      </c>
      <c r="L56" s="319"/>
      <c r="M56" s="320"/>
      <c r="N56" s="320"/>
      <c r="O56" s="320"/>
      <c r="P56" s="392">
        <f t="shared" si="8"/>
        <v>0</v>
      </c>
      <c r="Q56" s="392">
        <f t="shared" si="3"/>
        <v>0</v>
      </c>
      <c r="R56" s="392">
        <f t="shared" si="4"/>
        <v>0</v>
      </c>
      <c r="S56" s="373"/>
      <c r="T56" s="374"/>
      <c r="U56" s="524">
        <f t="shared" si="9"/>
        <v>-74781.644</v>
      </c>
      <c r="V56" s="520">
        <f t="shared" si="10"/>
        <v>74781.644</v>
      </c>
      <c r="W56" s="524">
        <f t="shared" si="11"/>
        <v>0</v>
      </c>
      <c r="X56" s="520">
        <f t="shared" si="12"/>
        <v>74781.644</v>
      </c>
      <c r="Y56" s="525">
        <f t="shared" si="13"/>
        <v>600635.96799999999</v>
      </c>
    </row>
    <row r="57" spans="3:25" x14ac:dyDescent="0.2">
      <c r="C57" s="387">
        <f t="shared" si="5"/>
        <v>42347</v>
      </c>
      <c r="D57" s="388">
        <f t="shared" si="6"/>
        <v>149288.64774193548</v>
      </c>
      <c r="E57" s="392">
        <f t="shared" si="7"/>
        <v>0</v>
      </c>
      <c r="F57" s="428">
        <f t="shared" si="0"/>
        <v>0.90615690000000004</v>
      </c>
      <c r="G57" s="390">
        <f t="shared" si="1"/>
        <v>0</v>
      </c>
      <c r="H57" s="391">
        <f t="shared" si="2"/>
        <v>149289.55389883547</v>
      </c>
      <c r="I57" s="324"/>
      <c r="J57" s="325"/>
      <c r="K57" s="325">
        <v>72477.09</v>
      </c>
      <c r="L57" s="317"/>
      <c r="M57" s="318"/>
      <c r="N57" s="318"/>
      <c r="O57" s="318"/>
      <c r="P57" s="392">
        <f t="shared" si="8"/>
        <v>0</v>
      </c>
      <c r="Q57" s="392">
        <f t="shared" si="3"/>
        <v>0</v>
      </c>
      <c r="R57" s="392">
        <f t="shared" si="4"/>
        <v>0</v>
      </c>
      <c r="S57" s="373"/>
      <c r="T57" s="374"/>
      <c r="U57" s="524">
        <f t="shared" si="9"/>
        <v>-72477.09</v>
      </c>
      <c r="V57" s="520">
        <f t="shared" si="10"/>
        <v>72477.09</v>
      </c>
      <c r="W57" s="524">
        <f t="shared" si="11"/>
        <v>0</v>
      </c>
      <c r="X57" s="520">
        <f t="shared" si="12"/>
        <v>72477.09</v>
      </c>
      <c r="Y57" s="525">
        <f t="shared" si="13"/>
        <v>673113.05799999996</v>
      </c>
    </row>
    <row r="58" spans="3:25" x14ac:dyDescent="0.2">
      <c r="C58" s="387">
        <f t="shared" si="5"/>
        <v>42348</v>
      </c>
      <c r="D58" s="388">
        <f t="shared" si="6"/>
        <v>149288.64774193548</v>
      </c>
      <c r="E58" s="392">
        <f t="shared" si="7"/>
        <v>0</v>
      </c>
      <c r="F58" s="428">
        <f t="shared" si="0"/>
        <v>0.90615690000000004</v>
      </c>
      <c r="G58" s="390">
        <f t="shared" si="1"/>
        <v>0</v>
      </c>
      <c r="H58" s="391">
        <f t="shared" si="2"/>
        <v>149289.55389883547</v>
      </c>
      <c r="I58" s="324"/>
      <c r="J58" s="325"/>
      <c r="K58" s="325">
        <v>72962.982000000004</v>
      </c>
      <c r="L58" s="319"/>
      <c r="M58" s="320"/>
      <c r="N58" s="320"/>
      <c r="O58" s="320"/>
      <c r="P58" s="392">
        <f t="shared" si="8"/>
        <v>0</v>
      </c>
      <c r="Q58" s="392">
        <f t="shared" si="3"/>
        <v>0</v>
      </c>
      <c r="R58" s="392">
        <f t="shared" si="4"/>
        <v>0</v>
      </c>
      <c r="S58" s="373"/>
      <c r="T58" s="374"/>
      <c r="U58" s="524">
        <f t="shared" si="9"/>
        <v>-72962.982000000004</v>
      </c>
      <c r="V58" s="520">
        <f t="shared" si="10"/>
        <v>72962.982000000004</v>
      </c>
      <c r="W58" s="524">
        <f t="shared" si="11"/>
        <v>0</v>
      </c>
      <c r="X58" s="520">
        <f t="shared" si="12"/>
        <v>72962.982000000004</v>
      </c>
      <c r="Y58" s="525">
        <f t="shared" si="13"/>
        <v>746076.03999999992</v>
      </c>
    </row>
    <row r="59" spans="3:25" x14ac:dyDescent="0.2">
      <c r="C59" s="387">
        <f t="shared" si="5"/>
        <v>42349</v>
      </c>
      <c r="D59" s="388">
        <f t="shared" si="6"/>
        <v>149288.64774193548</v>
      </c>
      <c r="E59" s="392">
        <f t="shared" si="7"/>
        <v>0</v>
      </c>
      <c r="F59" s="428">
        <f t="shared" si="0"/>
        <v>0.90615690000000004</v>
      </c>
      <c r="G59" s="390">
        <f t="shared" si="1"/>
        <v>0</v>
      </c>
      <c r="H59" s="391">
        <f t="shared" si="2"/>
        <v>149289.55389883547</v>
      </c>
      <c r="I59" s="324"/>
      <c r="J59" s="325"/>
      <c r="K59" s="325">
        <v>76864.350000000006</v>
      </c>
      <c r="L59" s="317"/>
      <c r="M59" s="318"/>
      <c r="N59" s="318"/>
      <c r="O59" s="318"/>
      <c r="P59" s="392">
        <f t="shared" si="8"/>
        <v>0</v>
      </c>
      <c r="Q59" s="392">
        <f t="shared" si="3"/>
        <v>0</v>
      </c>
      <c r="R59" s="392">
        <f t="shared" si="4"/>
        <v>0</v>
      </c>
      <c r="S59" s="373"/>
      <c r="T59" s="374"/>
      <c r="U59" s="524">
        <f t="shared" si="9"/>
        <v>-76864.350000000006</v>
      </c>
      <c r="V59" s="520">
        <f t="shared" si="10"/>
        <v>76864.350000000006</v>
      </c>
      <c r="W59" s="524">
        <f t="shared" si="11"/>
        <v>0</v>
      </c>
      <c r="X59" s="520">
        <f t="shared" si="12"/>
        <v>76864.350000000006</v>
      </c>
      <c r="Y59" s="525">
        <f t="shared" si="13"/>
        <v>822940.3899999999</v>
      </c>
    </row>
    <row r="60" spans="3:25" x14ac:dyDescent="0.2">
      <c r="C60" s="387">
        <f t="shared" si="5"/>
        <v>42350</v>
      </c>
      <c r="D60" s="388">
        <f t="shared" si="6"/>
        <v>149288.64774193548</v>
      </c>
      <c r="E60" s="392">
        <f t="shared" si="7"/>
        <v>0</v>
      </c>
      <c r="F60" s="428">
        <f t="shared" si="0"/>
        <v>0.90615690000000004</v>
      </c>
      <c r="G60" s="390">
        <f t="shared" si="1"/>
        <v>0</v>
      </c>
      <c r="H60" s="391">
        <f t="shared" si="2"/>
        <v>149289.55389883547</v>
      </c>
      <c r="I60" s="324"/>
      <c r="J60" s="325"/>
      <c r="K60" s="325">
        <v>75122.98</v>
      </c>
      <c r="L60" s="319"/>
      <c r="M60" s="320"/>
      <c r="N60" s="320"/>
      <c r="O60" s="320"/>
      <c r="P60" s="392">
        <f t="shared" si="8"/>
        <v>0</v>
      </c>
      <c r="Q60" s="392">
        <f t="shared" si="3"/>
        <v>0</v>
      </c>
      <c r="R60" s="392">
        <f t="shared" si="4"/>
        <v>0</v>
      </c>
      <c r="S60" s="373"/>
      <c r="T60" s="374"/>
      <c r="U60" s="524">
        <f t="shared" si="9"/>
        <v>-75122.98</v>
      </c>
      <c r="V60" s="520">
        <f t="shared" si="10"/>
        <v>75122.98</v>
      </c>
      <c r="W60" s="524">
        <f t="shared" si="11"/>
        <v>0</v>
      </c>
      <c r="X60" s="520">
        <f t="shared" si="12"/>
        <v>75122.98</v>
      </c>
      <c r="Y60" s="525">
        <f t="shared" si="13"/>
        <v>898063.36999999988</v>
      </c>
    </row>
    <row r="61" spans="3:25" x14ac:dyDescent="0.2">
      <c r="C61" s="387">
        <f t="shared" si="5"/>
        <v>42351</v>
      </c>
      <c r="D61" s="388">
        <f t="shared" si="6"/>
        <v>149288.64774193548</v>
      </c>
      <c r="E61" s="392">
        <f t="shared" si="7"/>
        <v>0</v>
      </c>
      <c r="F61" s="428">
        <f t="shared" si="0"/>
        <v>0.90615690000000004</v>
      </c>
      <c r="G61" s="390">
        <f t="shared" si="1"/>
        <v>0</v>
      </c>
      <c r="H61" s="391">
        <f t="shared" si="2"/>
        <v>149289.55389883547</v>
      </c>
      <c r="I61" s="324"/>
      <c r="J61" s="325"/>
      <c r="K61" s="325">
        <v>72779.38</v>
      </c>
      <c r="L61" s="317"/>
      <c r="M61" s="318"/>
      <c r="N61" s="318"/>
      <c r="O61" s="318"/>
      <c r="P61" s="392">
        <f t="shared" si="8"/>
        <v>0</v>
      </c>
      <c r="Q61" s="392">
        <f t="shared" si="3"/>
        <v>0</v>
      </c>
      <c r="R61" s="392">
        <f t="shared" si="4"/>
        <v>0</v>
      </c>
      <c r="S61" s="373"/>
      <c r="T61" s="374"/>
      <c r="U61" s="524">
        <f t="shared" si="9"/>
        <v>-72779.38</v>
      </c>
      <c r="V61" s="520">
        <f t="shared" si="10"/>
        <v>72779.38</v>
      </c>
      <c r="W61" s="524">
        <f t="shared" si="11"/>
        <v>0</v>
      </c>
      <c r="X61" s="520">
        <f t="shared" si="12"/>
        <v>72779.38</v>
      </c>
      <c r="Y61" s="525">
        <f t="shared" si="13"/>
        <v>970842.74999999988</v>
      </c>
    </row>
    <row r="62" spans="3:25" x14ac:dyDescent="0.2">
      <c r="C62" s="387">
        <f t="shared" si="5"/>
        <v>42352</v>
      </c>
      <c r="D62" s="388">
        <f t="shared" si="6"/>
        <v>149288.64774193548</v>
      </c>
      <c r="E62" s="392">
        <f t="shared" si="7"/>
        <v>0</v>
      </c>
      <c r="F62" s="428">
        <f t="shared" si="0"/>
        <v>0.90615690000000004</v>
      </c>
      <c r="G62" s="390">
        <f t="shared" si="1"/>
        <v>0</v>
      </c>
      <c r="H62" s="391">
        <f t="shared" si="2"/>
        <v>149289.55389883547</v>
      </c>
      <c r="I62" s="324"/>
      <c r="J62" s="325"/>
      <c r="K62" s="325">
        <v>70535.23</v>
      </c>
      <c r="L62" s="319"/>
      <c r="M62" s="320"/>
      <c r="N62" s="320"/>
      <c r="O62" s="320"/>
      <c r="P62" s="392">
        <f t="shared" si="8"/>
        <v>0</v>
      </c>
      <c r="Q62" s="392">
        <f t="shared" si="3"/>
        <v>0</v>
      </c>
      <c r="R62" s="392">
        <f t="shared" si="4"/>
        <v>0</v>
      </c>
      <c r="S62" s="373"/>
      <c r="T62" s="374"/>
      <c r="U62" s="524">
        <f t="shared" si="9"/>
        <v>-70535.23</v>
      </c>
      <c r="V62" s="520">
        <f t="shared" si="10"/>
        <v>70535.23</v>
      </c>
      <c r="W62" s="524">
        <f t="shared" si="11"/>
        <v>0</v>
      </c>
      <c r="X62" s="520">
        <f t="shared" si="12"/>
        <v>70535.23</v>
      </c>
      <c r="Y62" s="525">
        <f t="shared" si="13"/>
        <v>1041377.9799999999</v>
      </c>
    </row>
    <row r="63" spans="3:25" x14ac:dyDescent="0.2">
      <c r="C63" s="387">
        <f t="shared" si="5"/>
        <v>42353</v>
      </c>
      <c r="D63" s="388">
        <f t="shared" si="6"/>
        <v>149288.64774193548</v>
      </c>
      <c r="E63" s="392">
        <f t="shared" si="7"/>
        <v>0</v>
      </c>
      <c r="F63" s="428">
        <f t="shared" si="0"/>
        <v>0.90615690000000004</v>
      </c>
      <c r="G63" s="390">
        <f t="shared" si="1"/>
        <v>0</v>
      </c>
      <c r="H63" s="391">
        <f t="shared" si="2"/>
        <v>149289.55389883547</v>
      </c>
      <c r="I63" s="324"/>
      <c r="J63" s="325"/>
      <c r="K63" s="325">
        <v>77571.06</v>
      </c>
      <c r="L63" s="317"/>
      <c r="M63" s="318"/>
      <c r="N63" s="318"/>
      <c r="O63" s="318"/>
      <c r="P63" s="392">
        <f t="shared" si="8"/>
        <v>0</v>
      </c>
      <c r="Q63" s="392">
        <f t="shared" si="3"/>
        <v>0</v>
      </c>
      <c r="R63" s="392">
        <f t="shared" si="4"/>
        <v>0</v>
      </c>
      <c r="S63" s="373"/>
      <c r="T63" s="374"/>
      <c r="U63" s="524">
        <f t="shared" si="9"/>
        <v>-77571.06</v>
      </c>
      <c r="V63" s="520">
        <f t="shared" si="10"/>
        <v>77571.06</v>
      </c>
      <c r="W63" s="524">
        <f t="shared" si="11"/>
        <v>0</v>
      </c>
      <c r="X63" s="520">
        <f t="shared" si="12"/>
        <v>77571.06</v>
      </c>
      <c r="Y63" s="525">
        <f t="shared" si="13"/>
        <v>1118949.0399999998</v>
      </c>
    </row>
    <row r="64" spans="3:25" x14ac:dyDescent="0.2">
      <c r="C64" s="387">
        <f t="shared" si="5"/>
        <v>42354</v>
      </c>
      <c r="D64" s="388">
        <f t="shared" si="6"/>
        <v>149288.64774193548</v>
      </c>
      <c r="E64" s="392">
        <f t="shared" si="7"/>
        <v>0</v>
      </c>
      <c r="F64" s="428">
        <f t="shared" si="0"/>
        <v>0.90615690000000004</v>
      </c>
      <c r="G64" s="390">
        <f t="shared" si="1"/>
        <v>0</v>
      </c>
      <c r="H64" s="391">
        <f t="shared" si="2"/>
        <v>149289.55389883547</v>
      </c>
      <c r="I64" s="324"/>
      <c r="J64" s="325"/>
      <c r="K64" s="325">
        <v>78001.64</v>
      </c>
      <c r="L64" s="319"/>
      <c r="M64" s="320"/>
      <c r="N64" s="320"/>
      <c r="O64" s="320"/>
      <c r="P64" s="392">
        <f t="shared" si="8"/>
        <v>0</v>
      </c>
      <c r="Q64" s="392">
        <f t="shared" si="3"/>
        <v>0</v>
      </c>
      <c r="R64" s="392">
        <f t="shared" si="4"/>
        <v>0</v>
      </c>
      <c r="S64" s="373"/>
      <c r="T64" s="374"/>
      <c r="U64" s="524">
        <f t="shared" si="9"/>
        <v>-78001.64</v>
      </c>
      <c r="V64" s="520">
        <f t="shared" si="10"/>
        <v>78001.64</v>
      </c>
      <c r="W64" s="524">
        <f t="shared" si="11"/>
        <v>0</v>
      </c>
      <c r="X64" s="520">
        <f t="shared" si="12"/>
        <v>78001.64</v>
      </c>
      <c r="Y64" s="525">
        <f t="shared" si="13"/>
        <v>1196950.6799999997</v>
      </c>
    </row>
    <row r="65" spans="3:38" x14ac:dyDescent="0.2">
      <c r="C65" s="387">
        <f t="shared" si="5"/>
        <v>42355</v>
      </c>
      <c r="D65" s="388">
        <f t="shared" si="6"/>
        <v>149288.64774193548</v>
      </c>
      <c r="E65" s="392">
        <f t="shared" si="7"/>
        <v>0</v>
      </c>
      <c r="F65" s="428">
        <f t="shared" si="0"/>
        <v>0.90615690000000004</v>
      </c>
      <c r="G65" s="390">
        <f t="shared" si="1"/>
        <v>0</v>
      </c>
      <c r="H65" s="391">
        <f t="shared" si="2"/>
        <v>149289.55389883547</v>
      </c>
      <c r="I65" s="324"/>
      <c r="J65" s="325"/>
      <c r="K65" s="325">
        <v>76691.66</v>
      </c>
      <c r="L65" s="317"/>
      <c r="M65" s="318"/>
      <c r="N65" s="318"/>
      <c r="O65" s="318"/>
      <c r="P65" s="392">
        <f t="shared" si="8"/>
        <v>0</v>
      </c>
      <c r="Q65" s="392">
        <f t="shared" si="3"/>
        <v>0</v>
      </c>
      <c r="R65" s="392">
        <f t="shared" si="4"/>
        <v>0</v>
      </c>
      <c r="S65" s="373"/>
      <c r="T65" s="374"/>
      <c r="U65" s="524">
        <f t="shared" si="9"/>
        <v>-76691.66</v>
      </c>
      <c r="V65" s="520">
        <f t="shared" si="10"/>
        <v>76691.66</v>
      </c>
      <c r="W65" s="524">
        <f t="shared" si="11"/>
        <v>0</v>
      </c>
      <c r="X65" s="520">
        <f t="shared" si="12"/>
        <v>76691.66</v>
      </c>
      <c r="Y65" s="525">
        <f t="shared" si="13"/>
        <v>1273642.3399999996</v>
      </c>
    </row>
    <row r="66" spans="3:38" x14ac:dyDescent="0.2">
      <c r="C66" s="387">
        <f t="shared" si="5"/>
        <v>42356</v>
      </c>
      <c r="D66" s="388">
        <f t="shared" si="6"/>
        <v>149288.64774193548</v>
      </c>
      <c r="E66" s="392">
        <f t="shared" si="7"/>
        <v>0</v>
      </c>
      <c r="F66" s="428">
        <f t="shared" si="0"/>
        <v>0.90615690000000004</v>
      </c>
      <c r="G66" s="390">
        <f t="shared" si="1"/>
        <v>0</v>
      </c>
      <c r="H66" s="391">
        <f t="shared" si="2"/>
        <v>149289.55389883547</v>
      </c>
      <c r="I66" s="324"/>
      <c r="J66" s="325"/>
      <c r="K66" s="325">
        <v>73057.66</v>
      </c>
      <c r="L66" s="319"/>
      <c r="M66" s="320"/>
      <c r="N66" s="320"/>
      <c r="O66" s="320"/>
      <c r="P66" s="392">
        <f t="shared" si="8"/>
        <v>0</v>
      </c>
      <c r="Q66" s="392">
        <f t="shared" si="3"/>
        <v>0</v>
      </c>
      <c r="R66" s="392">
        <f t="shared" si="4"/>
        <v>0</v>
      </c>
      <c r="S66" s="373"/>
      <c r="T66" s="374"/>
      <c r="U66" s="524">
        <f t="shared" si="9"/>
        <v>-73057.66</v>
      </c>
      <c r="V66" s="520">
        <f t="shared" si="10"/>
        <v>73057.66</v>
      </c>
      <c r="W66" s="524">
        <f t="shared" si="11"/>
        <v>0</v>
      </c>
      <c r="X66" s="520">
        <f t="shared" si="12"/>
        <v>73057.66</v>
      </c>
      <c r="Y66" s="525">
        <f t="shared" si="13"/>
        <v>1346699.9999999995</v>
      </c>
    </row>
    <row r="67" spans="3:38" x14ac:dyDescent="0.2">
      <c r="C67" s="387">
        <f t="shared" si="5"/>
        <v>42357</v>
      </c>
      <c r="D67" s="388">
        <f t="shared" si="6"/>
        <v>149288.64774193548</v>
      </c>
      <c r="E67" s="392">
        <f t="shared" si="7"/>
        <v>0</v>
      </c>
      <c r="F67" s="428">
        <f t="shared" si="0"/>
        <v>0.90615690000000004</v>
      </c>
      <c r="G67" s="390">
        <f t="shared" si="1"/>
        <v>0</v>
      </c>
      <c r="H67" s="391">
        <f t="shared" si="2"/>
        <v>149289.55389883547</v>
      </c>
      <c r="I67" s="324"/>
      <c r="J67" s="325"/>
      <c r="K67" s="325">
        <v>73583.251000000004</v>
      </c>
      <c r="L67" s="317"/>
      <c r="M67" s="318"/>
      <c r="N67" s="318"/>
      <c r="O67" s="318"/>
      <c r="P67" s="392">
        <f t="shared" si="8"/>
        <v>0</v>
      </c>
      <c r="Q67" s="392">
        <f t="shared" si="3"/>
        <v>0</v>
      </c>
      <c r="R67" s="392">
        <f t="shared" si="4"/>
        <v>0</v>
      </c>
      <c r="S67" s="373"/>
      <c r="T67" s="374"/>
      <c r="U67" s="524">
        <f t="shared" si="9"/>
        <v>-73583.251000000004</v>
      </c>
      <c r="V67" s="520">
        <f t="shared" si="10"/>
        <v>73583.251000000004</v>
      </c>
      <c r="W67" s="524">
        <f t="shared" si="11"/>
        <v>0</v>
      </c>
      <c r="X67" s="520">
        <f t="shared" si="12"/>
        <v>73583.251000000004</v>
      </c>
      <c r="Y67" s="525">
        <f t="shared" si="13"/>
        <v>1420283.2509999995</v>
      </c>
    </row>
    <row r="68" spans="3:38" x14ac:dyDescent="0.2">
      <c r="C68" s="387">
        <f t="shared" si="5"/>
        <v>42358</v>
      </c>
      <c r="D68" s="388">
        <f t="shared" si="6"/>
        <v>149288.64774193548</v>
      </c>
      <c r="E68" s="392">
        <f t="shared" si="7"/>
        <v>0</v>
      </c>
      <c r="F68" s="428">
        <f t="shared" si="0"/>
        <v>0.90615690000000004</v>
      </c>
      <c r="G68" s="390">
        <f t="shared" si="1"/>
        <v>0</v>
      </c>
      <c r="H68" s="391">
        <f t="shared" si="2"/>
        <v>149289.55389883547</v>
      </c>
      <c r="I68" s="324"/>
      <c r="J68" s="325"/>
      <c r="K68" s="325">
        <v>69727.990000000005</v>
      </c>
      <c r="L68" s="319"/>
      <c r="M68" s="320"/>
      <c r="N68" s="320"/>
      <c r="O68" s="320"/>
      <c r="P68" s="392">
        <f t="shared" si="8"/>
        <v>0</v>
      </c>
      <c r="Q68" s="392">
        <f t="shared" si="3"/>
        <v>0</v>
      </c>
      <c r="R68" s="392">
        <f t="shared" si="4"/>
        <v>0</v>
      </c>
      <c r="S68" s="373"/>
      <c r="T68" s="374"/>
      <c r="U68" s="524">
        <f t="shared" si="9"/>
        <v>-69727.990000000005</v>
      </c>
      <c r="V68" s="520">
        <f t="shared" si="10"/>
        <v>69727.990000000005</v>
      </c>
      <c r="W68" s="524">
        <f t="shared" si="11"/>
        <v>0</v>
      </c>
      <c r="X68" s="520">
        <f t="shared" si="12"/>
        <v>69727.990000000005</v>
      </c>
      <c r="Y68" s="525">
        <f t="shared" si="13"/>
        <v>1490011.2409999995</v>
      </c>
    </row>
    <row r="69" spans="3:38" x14ac:dyDescent="0.2">
      <c r="C69" s="387">
        <f t="shared" si="5"/>
        <v>42359</v>
      </c>
      <c r="D69" s="388">
        <f t="shared" si="6"/>
        <v>149288.64774193548</v>
      </c>
      <c r="E69" s="392">
        <f t="shared" si="7"/>
        <v>0</v>
      </c>
      <c r="F69" s="428">
        <f t="shared" si="0"/>
        <v>0.90615690000000004</v>
      </c>
      <c r="G69" s="390">
        <f t="shared" si="1"/>
        <v>0</v>
      </c>
      <c r="H69" s="391">
        <f t="shared" si="2"/>
        <v>149289.55389883547</v>
      </c>
      <c r="I69" s="324"/>
      <c r="J69" s="325"/>
      <c r="K69" s="325">
        <v>71792.210000000006</v>
      </c>
      <c r="L69" s="317"/>
      <c r="M69" s="318"/>
      <c r="N69" s="318"/>
      <c r="O69" s="318"/>
      <c r="P69" s="392">
        <f t="shared" si="8"/>
        <v>0</v>
      </c>
      <c r="Q69" s="392">
        <f t="shared" si="3"/>
        <v>0</v>
      </c>
      <c r="R69" s="392">
        <f t="shared" si="4"/>
        <v>0</v>
      </c>
      <c r="S69" s="373"/>
      <c r="T69" s="374"/>
      <c r="U69" s="524">
        <f t="shared" si="9"/>
        <v>-71792.210000000006</v>
      </c>
      <c r="V69" s="520">
        <f t="shared" si="10"/>
        <v>71792.210000000006</v>
      </c>
      <c r="W69" s="524">
        <f t="shared" si="11"/>
        <v>0</v>
      </c>
      <c r="X69" s="520">
        <f t="shared" si="12"/>
        <v>71792.210000000006</v>
      </c>
      <c r="Y69" s="525">
        <f t="shared" si="13"/>
        <v>1561803.4509999994</v>
      </c>
    </row>
    <row r="70" spans="3:38" x14ac:dyDescent="0.2">
      <c r="C70" s="387">
        <f t="shared" si="5"/>
        <v>42360</v>
      </c>
      <c r="D70" s="388">
        <f t="shared" si="6"/>
        <v>149288.64774193548</v>
      </c>
      <c r="E70" s="392">
        <f t="shared" si="7"/>
        <v>0</v>
      </c>
      <c r="F70" s="428">
        <f t="shared" si="0"/>
        <v>0.90615690000000004</v>
      </c>
      <c r="G70" s="390">
        <f t="shared" si="1"/>
        <v>0</v>
      </c>
      <c r="H70" s="391">
        <f t="shared" si="2"/>
        <v>149289.55389883547</v>
      </c>
      <c r="I70" s="324"/>
      <c r="J70" s="325"/>
      <c r="K70" s="325">
        <v>73701.048999999999</v>
      </c>
      <c r="L70" s="319"/>
      <c r="M70" s="320"/>
      <c r="N70" s="320"/>
      <c r="O70" s="320"/>
      <c r="P70" s="392">
        <f t="shared" si="8"/>
        <v>0</v>
      </c>
      <c r="Q70" s="392">
        <f t="shared" si="3"/>
        <v>0</v>
      </c>
      <c r="R70" s="392">
        <f t="shared" si="4"/>
        <v>0</v>
      </c>
      <c r="S70" s="373"/>
      <c r="T70" s="374"/>
      <c r="U70" s="524">
        <f t="shared" si="9"/>
        <v>-73701.048999999999</v>
      </c>
      <c r="V70" s="520">
        <f t="shared" si="10"/>
        <v>73701.048999999999</v>
      </c>
      <c r="W70" s="524">
        <f t="shared" si="11"/>
        <v>0</v>
      </c>
      <c r="X70" s="520">
        <f t="shared" si="12"/>
        <v>73701.048999999999</v>
      </c>
      <c r="Y70" s="525">
        <f t="shared" si="13"/>
        <v>1635504.4999999995</v>
      </c>
    </row>
    <row r="71" spans="3:38" x14ac:dyDescent="0.2">
      <c r="C71" s="387">
        <f t="shared" si="5"/>
        <v>42361</v>
      </c>
      <c r="D71" s="388">
        <f t="shared" si="6"/>
        <v>149288.64774193548</v>
      </c>
      <c r="E71" s="392">
        <f t="shared" si="7"/>
        <v>0</v>
      </c>
      <c r="F71" s="428">
        <f t="shared" si="0"/>
        <v>0.90615690000000004</v>
      </c>
      <c r="G71" s="390">
        <f t="shared" si="1"/>
        <v>0</v>
      </c>
      <c r="H71" s="391">
        <f t="shared" si="2"/>
        <v>149289.55389883547</v>
      </c>
      <c r="I71" s="324"/>
      <c r="J71" s="325"/>
      <c r="K71" s="325">
        <v>73490.91</v>
      </c>
      <c r="L71" s="317"/>
      <c r="M71" s="318"/>
      <c r="N71" s="318"/>
      <c r="O71" s="318"/>
      <c r="P71" s="392">
        <f t="shared" si="8"/>
        <v>0</v>
      </c>
      <c r="Q71" s="392">
        <f t="shared" si="3"/>
        <v>0</v>
      </c>
      <c r="R71" s="392">
        <f t="shared" si="4"/>
        <v>0</v>
      </c>
      <c r="S71" s="373"/>
      <c r="T71" s="374"/>
      <c r="U71" s="524">
        <f t="shared" si="9"/>
        <v>-73490.91</v>
      </c>
      <c r="V71" s="520">
        <f t="shared" si="10"/>
        <v>73490.91</v>
      </c>
      <c r="W71" s="524">
        <f t="shared" si="11"/>
        <v>0</v>
      </c>
      <c r="X71" s="520">
        <f t="shared" si="12"/>
        <v>73490.91</v>
      </c>
      <c r="Y71" s="525">
        <f t="shared" si="13"/>
        <v>1708995.4099999995</v>
      </c>
    </row>
    <row r="72" spans="3:38" x14ac:dyDescent="0.2">
      <c r="C72" s="387">
        <f t="shared" si="5"/>
        <v>42362</v>
      </c>
      <c r="D72" s="388">
        <f t="shared" si="6"/>
        <v>149288.64774193548</v>
      </c>
      <c r="E72" s="392">
        <f t="shared" si="7"/>
        <v>0</v>
      </c>
      <c r="F72" s="428">
        <f t="shared" si="0"/>
        <v>0.90615690000000004</v>
      </c>
      <c r="G72" s="390">
        <f t="shared" si="1"/>
        <v>0</v>
      </c>
      <c r="H72" s="391">
        <f t="shared" si="2"/>
        <v>149289.55389883547</v>
      </c>
      <c r="I72" s="324"/>
      <c r="J72" s="325"/>
      <c r="K72" s="325">
        <v>72054.16</v>
      </c>
      <c r="L72" s="319"/>
      <c r="M72" s="320"/>
      <c r="N72" s="320"/>
      <c r="O72" s="320"/>
      <c r="P72" s="392">
        <f t="shared" si="8"/>
        <v>0</v>
      </c>
      <c r="Q72" s="392">
        <f t="shared" si="3"/>
        <v>0</v>
      </c>
      <c r="R72" s="392">
        <f t="shared" si="4"/>
        <v>0</v>
      </c>
      <c r="S72" s="373"/>
      <c r="T72" s="374"/>
      <c r="U72" s="524">
        <f t="shared" si="9"/>
        <v>-72054.16</v>
      </c>
      <c r="V72" s="520">
        <f t="shared" si="10"/>
        <v>72054.16</v>
      </c>
      <c r="W72" s="524">
        <f t="shared" si="11"/>
        <v>0</v>
      </c>
      <c r="X72" s="520">
        <f t="shared" si="12"/>
        <v>72054.16</v>
      </c>
      <c r="Y72" s="525">
        <f t="shared" si="13"/>
        <v>1781049.5699999994</v>
      </c>
    </row>
    <row r="73" spans="3:38" x14ac:dyDescent="0.2">
      <c r="C73" s="387">
        <f t="shared" si="5"/>
        <v>42363</v>
      </c>
      <c r="D73" s="388">
        <f t="shared" si="6"/>
        <v>149288.64774193548</v>
      </c>
      <c r="E73" s="392">
        <f t="shared" si="7"/>
        <v>0</v>
      </c>
      <c r="F73" s="428">
        <f t="shared" si="0"/>
        <v>0.90615690000000004</v>
      </c>
      <c r="G73" s="390">
        <f t="shared" si="1"/>
        <v>0</v>
      </c>
      <c r="H73" s="391">
        <f t="shared" si="2"/>
        <v>149289.55389883547</v>
      </c>
      <c r="I73" s="324"/>
      <c r="J73" s="325"/>
      <c r="K73" s="325">
        <v>64233.060000000005</v>
      </c>
      <c r="L73" s="317"/>
      <c r="M73" s="318"/>
      <c r="N73" s="318"/>
      <c r="O73" s="318"/>
      <c r="P73" s="392">
        <f t="shared" si="8"/>
        <v>0</v>
      </c>
      <c r="Q73" s="392">
        <f t="shared" si="3"/>
        <v>0</v>
      </c>
      <c r="R73" s="392">
        <f t="shared" si="4"/>
        <v>0</v>
      </c>
      <c r="S73" s="373"/>
      <c r="T73" s="374"/>
      <c r="U73" s="524">
        <f t="shared" si="9"/>
        <v>-64233.060000000005</v>
      </c>
      <c r="V73" s="520">
        <f t="shared" si="10"/>
        <v>64233.060000000005</v>
      </c>
      <c r="W73" s="524">
        <f t="shared" si="11"/>
        <v>0</v>
      </c>
      <c r="X73" s="520">
        <f t="shared" si="12"/>
        <v>64233.060000000005</v>
      </c>
      <c r="Y73" s="525">
        <f t="shared" si="13"/>
        <v>1845282.6299999994</v>
      </c>
    </row>
    <row r="74" spans="3:38" x14ac:dyDescent="0.2">
      <c r="C74" s="387">
        <f t="shared" si="5"/>
        <v>42364</v>
      </c>
      <c r="D74" s="388">
        <f t="shared" si="6"/>
        <v>149288.64774193548</v>
      </c>
      <c r="E74" s="392">
        <f t="shared" si="7"/>
        <v>0</v>
      </c>
      <c r="F74" s="428">
        <f t="shared" si="0"/>
        <v>0.90615690000000004</v>
      </c>
      <c r="G74" s="390">
        <f t="shared" si="1"/>
        <v>0</v>
      </c>
      <c r="H74" s="391">
        <f t="shared" si="2"/>
        <v>149289.55389883547</v>
      </c>
      <c r="I74" s="324"/>
      <c r="J74" s="325"/>
      <c r="K74" s="325">
        <v>74228.13</v>
      </c>
      <c r="L74" s="319"/>
      <c r="M74" s="320"/>
      <c r="N74" s="320"/>
      <c r="O74" s="320"/>
      <c r="P74" s="392">
        <f t="shared" si="8"/>
        <v>0</v>
      </c>
      <c r="Q74" s="392">
        <f t="shared" si="3"/>
        <v>0</v>
      </c>
      <c r="R74" s="392">
        <f t="shared" si="4"/>
        <v>0</v>
      </c>
      <c r="S74" s="373"/>
      <c r="T74" s="374"/>
      <c r="U74" s="524">
        <f t="shared" si="9"/>
        <v>-74228.13</v>
      </c>
      <c r="V74" s="520">
        <f t="shared" si="10"/>
        <v>74228.13</v>
      </c>
      <c r="W74" s="524">
        <f t="shared" si="11"/>
        <v>0</v>
      </c>
      <c r="X74" s="520">
        <f t="shared" si="12"/>
        <v>74228.13</v>
      </c>
      <c r="Y74" s="525">
        <f t="shared" si="13"/>
        <v>1919510.7599999993</v>
      </c>
    </row>
    <row r="75" spans="3:38" x14ac:dyDescent="0.2">
      <c r="C75" s="387">
        <f t="shared" si="5"/>
        <v>42365</v>
      </c>
      <c r="D75" s="388">
        <f t="shared" si="6"/>
        <v>149288.64774193548</v>
      </c>
      <c r="E75" s="392">
        <f t="shared" si="7"/>
        <v>0</v>
      </c>
      <c r="F75" s="428">
        <f t="shared" si="0"/>
        <v>0.90615690000000004</v>
      </c>
      <c r="G75" s="390">
        <f t="shared" si="1"/>
        <v>0</v>
      </c>
      <c r="H75" s="391">
        <f t="shared" si="2"/>
        <v>149289.55389883547</v>
      </c>
      <c r="I75" s="324"/>
      <c r="J75" s="325"/>
      <c r="K75" s="325">
        <v>74239.09</v>
      </c>
      <c r="L75" s="317"/>
      <c r="M75" s="318"/>
      <c r="N75" s="318"/>
      <c r="O75" s="318"/>
      <c r="P75" s="392">
        <f t="shared" si="8"/>
        <v>0</v>
      </c>
      <c r="Q75" s="392">
        <f t="shared" si="3"/>
        <v>0</v>
      </c>
      <c r="R75" s="392">
        <f t="shared" si="4"/>
        <v>0</v>
      </c>
      <c r="S75" s="373"/>
      <c r="T75" s="374"/>
      <c r="U75" s="524">
        <f t="shared" si="9"/>
        <v>-74239.09</v>
      </c>
      <c r="V75" s="520">
        <f t="shared" si="10"/>
        <v>74239.09</v>
      </c>
      <c r="W75" s="524">
        <f t="shared" si="11"/>
        <v>0</v>
      </c>
      <c r="X75" s="520">
        <f t="shared" si="12"/>
        <v>74239.09</v>
      </c>
      <c r="Y75" s="525">
        <f t="shared" si="13"/>
        <v>1993749.8499999994</v>
      </c>
    </row>
    <row r="76" spans="3:38" x14ac:dyDescent="0.2">
      <c r="C76" s="387">
        <f t="shared" si="5"/>
        <v>42366</v>
      </c>
      <c r="D76" s="388">
        <f t="shared" si="6"/>
        <v>149288.64774193548</v>
      </c>
      <c r="E76" s="392">
        <f t="shared" si="7"/>
        <v>0</v>
      </c>
      <c r="F76" s="428">
        <f t="shared" si="0"/>
        <v>0.90615690000000004</v>
      </c>
      <c r="G76" s="390">
        <f t="shared" si="1"/>
        <v>0</v>
      </c>
      <c r="H76" s="391">
        <f t="shared" si="2"/>
        <v>149289.55389883547</v>
      </c>
      <c r="I76" s="324"/>
      <c r="J76" s="325"/>
      <c r="K76" s="325">
        <v>71943.77</v>
      </c>
      <c r="L76" s="319"/>
      <c r="M76" s="320"/>
      <c r="N76" s="320"/>
      <c r="O76" s="320"/>
      <c r="P76" s="392">
        <f t="shared" si="8"/>
        <v>0</v>
      </c>
      <c r="Q76" s="392">
        <f t="shared" si="3"/>
        <v>0</v>
      </c>
      <c r="R76" s="392">
        <f t="shared" si="4"/>
        <v>0</v>
      </c>
      <c r="S76" s="373"/>
      <c r="T76" s="374"/>
      <c r="U76" s="524">
        <f t="shared" si="9"/>
        <v>-71943.77</v>
      </c>
      <c r="V76" s="520">
        <f t="shared" si="10"/>
        <v>71943.77</v>
      </c>
      <c r="W76" s="524">
        <f t="shared" si="11"/>
        <v>0</v>
      </c>
      <c r="X76" s="520">
        <f t="shared" si="12"/>
        <v>71943.77</v>
      </c>
      <c r="Y76" s="525">
        <f t="shared" si="13"/>
        <v>2065693.6199999994</v>
      </c>
    </row>
    <row r="77" spans="3:38" x14ac:dyDescent="0.2">
      <c r="C77" s="387">
        <f t="shared" si="5"/>
        <v>42367</v>
      </c>
      <c r="D77" s="388">
        <f t="shared" si="6"/>
        <v>149288.64774193548</v>
      </c>
      <c r="E77" s="392">
        <f t="shared" si="7"/>
        <v>0</v>
      </c>
      <c r="F77" s="428">
        <f t="shared" si="0"/>
        <v>0.90615690000000004</v>
      </c>
      <c r="G77" s="390">
        <f t="shared" si="1"/>
        <v>0</v>
      </c>
      <c r="H77" s="391">
        <f t="shared" si="2"/>
        <v>149289.55389883547</v>
      </c>
      <c r="I77" s="324"/>
      <c r="J77" s="325"/>
      <c r="K77" s="325">
        <v>74013.02</v>
      </c>
      <c r="L77" s="317"/>
      <c r="M77" s="318"/>
      <c r="N77" s="318"/>
      <c r="O77" s="318"/>
      <c r="P77" s="392">
        <f t="shared" si="8"/>
        <v>0</v>
      </c>
      <c r="Q77" s="392">
        <f t="shared" si="3"/>
        <v>0</v>
      </c>
      <c r="R77" s="392">
        <f t="shared" si="4"/>
        <v>0</v>
      </c>
      <c r="S77" s="373"/>
      <c r="T77" s="374"/>
      <c r="U77" s="524">
        <f t="shared" si="9"/>
        <v>-74013.02</v>
      </c>
      <c r="V77" s="520">
        <f t="shared" si="10"/>
        <v>74013.02</v>
      </c>
      <c r="W77" s="524">
        <f t="shared" si="11"/>
        <v>0</v>
      </c>
      <c r="X77" s="520">
        <f t="shared" si="12"/>
        <v>74013.02</v>
      </c>
      <c r="Y77" s="525">
        <f t="shared" si="13"/>
        <v>2139706.6399999992</v>
      </c>
    </row>
    <row r="78" spans="3:38" x14ac:dyDescent="0.2">
      <c r="C78" s="387">
        <f t="shared" si="5"/>
        <v>42368</v>
      </c>
      <c r="D78" s="388">
        <f t="shared" si="6"/>
        <v>149288.64774193548</v>
      </c>
      <c r="E78" s="392">
        <f t="shared" si="7"/>
        <v>0</v>
      </c>
      <c r="F78" s="428">
        <f t="shared" si="0"/>
        <v>0.90615690000000004</v>
      </c>
      <c r="G78" s="390">
        <f t="shared" si="1"/>
        <v>0</v>
      </c>
      <c r="H78" s="391">
        <f t="shared" si="2"/>
        <v>149289.55389883547</v>
      </c>
      <c r="I78" s="324"/>
      <c r="J78" s="325"/>
      <c r="K78" s="325">
        <v>72358.850000000006</v>
      </c>
      <c r="L78" s="319"/>
      <c r="M78" s="320"/>
      <c r="N78" s="320"/>
      <c r="O78" s="320"/>
      <c r="P78" s="392">
        <f t="shared" si="8"/>
        <v>0</v>
      </c>
      <c r="Q78" s="392">
        <f t="shared" si="3"/>
        <v>0</v>
      </c>
      <c r="R78" s="392">
        <f t="shared" si="4"/>
        <v>0</v>
      </c>
      <c r="S78" s="373"/>
      <c r="T78" s="374"/>
      <c r="U78" s="524">
        <f t="shared" si="9"/>
        <v>-72358.850000000006</v>
      </c>
      <c r="V78" s="520">
        <f t="shared" si="10"/>
        <v>72358.850000000006</v>
      </c>
      <c r="W78" s="524">
        <f t="shared" si="11"/>
        <v>0</v>
      </c>
      <c r="X78" s="520">
        <f t="shared" si="12"/>
        <v>72358.850000000006</v>
      </c>
      <c r="Y78" s="525">
        <f t="shared" si="13"/>
        <v>2212065.4899999993</v>
      </c>
    </row>
    <row r="79" spans="3:38" ht="15" thickBot="1" x14ac:dyDescent="0.25">
      <c r="C79" s="393">
        <f t="shared" si="5"/>
        <v>42369</v>
      </c>
      <c r="D79" s="394">
        <f t="shared" si="6"/>
        <v>149288.64774193548</v>
      </c>
      <c r="E79" s="395">
        <f t="shared" si="7"/>
        <v>0</v>
      </c>
      <c r="F79" s="429">
        <f t="shared" si="0"/>
        <v>0.90615690000000004</v>
      </c>
      <c r="G79" s="396">
        <f t="shared" si="1"/>
        <v>0</v>
      </c>
      <c r="H79" s="397">
        <f t="shared" si="2"/>
        <v>149289.55389883547</v>
      </c>
      <c r="I79" s="326"/>
      <c r="J79" s="327"/>
      <c r="K79" s="327">
        <v>63750.386719000002</v>
      </c>
      <c r="L79" s="321"/>
      <c r="M79" s="322"/>
      <c r="N79" s="322"/>
      <c r="O79" s="322"/>
      <c r="P79" s="395">
        <f t="shared" si="8"/>
        <v>0</v>
      </c>
      <c r="Q79" s="395">
        <f t="shared" si="3"/>
        <v>0</v>
      </c>
      <c r="R79" s="395">
        <f t="shared" si="4"/>
        <v>0</v>
      </c>
      <c r="S79" s="375"/>
      <c r="T79" s="376"/>
      <c r="U79" s="521">
        <f t="shared" si="9"/>
        <v>-63750.386719000002</v>
      </c>
      <c r="V79" s="528">
        <f t="shared" si="10"/>
        <v>63750.386719000002</v>
      </c>
      <c r="W79" s="521">
        <f t="shared" si="11"/>
        <v>0</v>
      </c>
      <c r="X79" s="528">
        <f t="shared" si="12"/>
        <v>63750.386719000002</v>
      </c>
      <c r="Y79" s="529">
        <f t="shared" si="13"/>
        <v>2275815.8767189994</v>
      </c>
    </row>
    <row r="80" spans="3:38" ht="15" thickBot="1" x14ac:dyDescent="0.25">
      <c r="C80" s="398"/>
      <c r="D80" s="399">
        <f>SUM(D49:D79)</f>
        <v>4627948.0800000019</v>
      </c>
      <c r="E80" s="400">
        <f>SUM(E49:E79)</f>
        <v>0</v>
      </c>
      <c r="F80" s="400"/>
      <c r="G80" s="401">
        <f>SUM(G49:G79)</f>
        <v>0</v>
      </c>
      <c r="H80" s="399">
        <f>SUM(H49:H79)</f>
        <v>4627976.1708639013</v>
      </c>
      <c r="I80" s="432">
        <f>SUM(I49:I79)</f>
        <v>0</v>
      </c>
      <c r="J80" s="432">
        <f t="shared" ref="J80:R80" si="14">SUM(J49:J79)</f>
        <v>0</v>
      </c>
      <c r="K80" s="432">
        <f t="shared" si="14"/>
        <v>2275815.8767189994</v>
      </c>
      <c r="L80" s="432">
        <f t="shared" si="14"/>
        <v>0</v>
      </c>
      <c r="M80" s="432">
        <f t="shared" si="14"/>
        <v>0</v>
      </c>
      <c r="N80" s="432">
        <f t="shared" si="14"/>
        <v>0</v>
      </c>
      <c r="O80" s="432">
        <f t="shared" si="14"/>
        <v>0</v>
      </c>
      <c r="P80" s="432">
        <f t="shared" si="14"/>
        <v>0</v>
      </c>
      <c r="Q80" s="432">
        <f t="shared" si="14"/>
        <v>0</v>
      </c>
      <c r="R80" s="432">
        <f t="shared" si="14"/>
        <v>0</v>
      </c>
      <c r="U80" s="530"/>
      <c r="V80" s="328">
        <f>SUM(V49:V79)</f>
        <v>2275815.8767189994</v>
      </c>
      <c r="W80" s="328">
        <f>SUM(W49:W79)</f>
        <v>0</v>
      </c>
      <c r="X80" s="328">
        <f>SUM(X49:X79)</f>
        <v>2275815.8767189994</v>
      </c>
      <c r="Y80" s="323">
        <f>Y79</f>
        <v>2275815.8767189994</v>
      </c>
      <c r="AL80" s="361">
        <f>Y79</f>
        <v>2275815.8767189994</v>
      </c>
    </row>
    <row r="81" spans="2:14" ht="15" customHeight="1" x14ac:dyDescent="0.2">
      <c r="B81"/>
      <c r="C81"/>
      <c r="D81"/>
      <c r="E81"/>
      <c r="F81"/>
      <c r="G81"/>
      <c r="H81"/>
      <c r="I81"/>
      <c r="J81"/>
      <c r="K81"/>
      <c r="L81"/>
      <c r="N81" s="2"/>
    </row>
  </sheetData>
  <mergeCells count="13">
    <mergeCell ref="C10:D10"/>
    <mergeCell ref="C11:D11"/>
    <mergeCell ref="C3:M4"/>
    <mergeCell ref="C5:M5"/>
    <mergeCell ref="C6:M6"/>
    <mergeCell ref="G7:H7"/>
    <mergeCell ref="C9:D9"/>
    <mergeCell ref="D23:E23"/>
    <mergeCell ref="D24:E24"/>
    <mergeCell ref="C28:F28"/>
    <mergeCell ref="C39:F39"/>
    <mergeCell ref="S47:Y47"/>
    <mergeCell ref="L47:R47"/>
  </mergeCells>
  <conditionalFormatting sqref="L49:O79">
    <cfRule type="cellIs" dxfId="143" priority="1" stopIfTrue="1" operator="equal">
      <formula>0</formula>
    </cfRule>
  </conditionalFormatting>
  <pageMargins left="0.7" right="0.7" top="0.75" bottom="0.75" header="0.3" footer="0.3"/>
  <pageSetup orientation="portrait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AL80"/>
  <sheetViews>
    <sheetView workbookViewId="0"/>
  </sheetViews>
  <sheetFormatPr baseColWidth="10" defaultColWidth="11" defaultRowHeight="14.25" x14ac:dyDescent="0.2"/>
  <cols>
    <col min="1" max="1" width="11" style="2"/>
    <col min="2" max="2" width="3.875" style="2" bestFit="1" customWidth="1"/>
    <col min="3" max="3" width="16.125" style="2" customWidth="1"/>
    <col min="4" max="4" width="12.375" style="2" bestFit="1" customWidth="1"/>
    <col min="5" max="5" width="10.875" style="2" bestFit="1" customWidth="1"/>
    <col min="6" max="6" width="17.125" style="2" bestFit="1" customWidth="1"/>
    <col min="7" max="7" width="13.125" style="2" bestFit="1" customWidth="1"/>
    <col min="8" max="8" width="11" style="2" customWidth="1"/>
    <col min="9" max="9" width="11.125" style="2" bestFit="1" customWidth="1"/>
    <col min="10" max="10" width="11.875" style="2" bestFit="1" customWidth="1"/>
    <col min="11" max="11" width="11.625" style="2" bestFit="1" customWidth="1"/>
    <col min="12" max="12" width="12.125" style="2" customWidth="1"/>
    <col min="13" max="13" width="10.5" style="2" bestFit="1" customWidth="1"/>
    <col min="14" max="14" width="9" style="1" customWidth="1"/>
    <col min="15" max="15" width="10.375" style="2" customWidth="1"/>
    <col min="16" max="25" width="11" style="2"/>
    <col min="26" max="31" width="10.875" customWidth="1"/>
    <col min="32" max="16384" width="11" style="2"/>
  </cols>
  <sheetData>
    <row r="2" spans="2:25" x14ac:dyDescent="0.2"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2:25" ht="15" customHeight="1" x14ac:dyDescent="0.2">
      <c r="B3" s="1"/>
      <c r="C3" s="2254" t="s">
        <v>0</v>
      </c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</row>
    <row r="4" spans="2:25" ht="15" customHeight="1" x14ac:dyDescent="0.2"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</row>
    <row r="5" spans="2:25" x14ac:dyDescent="0.2">
      <c r="B5" s="1"/>
      <c r="C5" s="2257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</row>
    <row r="6" spans="2:25" x14ac:dyDescent="0.2">
      <c r="B6" s="1"/>
      <c r="C6" s="2257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</row>
    <row r="7" spans="2:25" x14ac:dyDescent="0.2">
      <c r="B7" s="1"/>
      <c r="C7" s="316"/>
      <c r="D7" s="316"/>
      <c r="E7" s="316"/>
      <c r="F7" s="316"/>
      <c r="G7" s="2271">
        <v>42370</v>
      </c>
      <c r="H7" s="2257"/>
      <c r="I7" s="316"/>
      <c r="J7" s="316"/>
      <c r="K7" s="316"/>
      <c r="L7" s="316"/>
      <c r="M7" s="316"/>
      <c r="N7" s="18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2:25" x14ac:dyDescent="0.2">
      <c r="B8" s="1"/>
      <c r="C8" s="316"/>
      <c r="D8" s="316"/>
      <c r="E8" s="316"/>
      <c r="F8" s="316"/>
      <c r="G8" s="316"/>
      <c r="H8" s="316"/>
      <c r="I8" s="316"/>
      <c r="J8" s="316"/>
      <c r="K8" s="316"/>
      <c r="L8" s="316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2:25" ht="25.5" x14ac:dyDescent="0.2">
      <c r="B9" s="1"/>
      <c r="C9" s="2272" t="s">
        <v>6</v>
      </c>
      <c r="D9" s="2272"/>
      <c r="E9" s="409" t="s">
        <v>94</v>
      </c>
      <c r="F9" s="409" t="s">
        <v>126</v>
      </c>
      <c r="G9" s="410" t="s">
        <v>133</v>
      </c>
      <c r="H9" s="409" t="s">
        <v>127</v>
      </c>
      <c r="I9" s="409" t="s">
        <v>128</v>
      </c>
      <c r="J9" s="316"/>
      <c r="K9" s="316"/>
      <c r="L9" s="316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2:25" x14ac:dyDescent="0.2">
      <c r="B10" s="1"/>
      <c r="C10" s="2270" t="s">
        <v>131</v>
      </c>
      <c r="D10" s="2270"/>
      <c r="E10" s="433">
        <f>IF(C15=0,D15,C15)</f>
        <v>4627948.08</v>
      </c>
      <c r="F10" s="407">
        <f>E10*0.16</f>
        <v>740471.69280000008</v>
      </c>
      <c r="G10" s="407">
        <f>E10+F10</f>
        <v>5368419.7728000004</v>
      </c>
      <c r="H10" s="408" t="s">
        <v>206</v>
      </c>
      <c r="I10" s="411">
        <v>19</v>
      </c>
      <c r="J10" s="316"/>
      <c r="K10" s="316"/>
      <c r="L10" s="316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2:25" x14ac:dyDescent="0.2">
      <c r="B11" s="1"/>
      <c r="C11" s="2270" t="s">
        <v>132</v>
      </c>
      <c r="D11" s="2270"/>
      <c r="E11" s="433">
        <f>IF(C16=0,D16,C16)</f>
        <v>2047.42</v>
      </c>
      <c r="F11" s="407">
        <f>E11*0.16</f>
        <v>327.5872</v>
      </c>
      <c r="G11" s="407">
        <f>E11+F11</f>
        <v>2375.0072</v>
      </c>
      <c r="H11" s="408" t="s">
        <v>206</v>
      </c>
      <c r="I11" s="411">
        <v>19</v>
      </c>
      <c r="J11" s="316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2:25" x14ac:dyDescent="0.2">
      <c r="B12" s="1"/>
      <c r="C12" s="313"/>
      <c r="D12" s="313"/>
      <c r="E12" s="313"/>
      <c r="F12" s="313"/>
      <c r="G12" s="313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2:25" ht="15" thickBot="1" x14ac:dyDescent="0.25">
      <c r="B13" s="1"/>
      <c r="C13" s="316"/>
      <c r="D13" s="316"/>
      <c r="E13" s="316"/>
      <c r="F13" s="316"/>
      <c r="G13" s="316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2:25" x14ac:dyDescent="0.2">
      <c r="B14" s="1"/>
      <c r="C14" s="440" t="s">
        <v>155</v>
      </c>
      <c r="D14" s="441" t="s">
        <v>156</v>
      </c>
      <c r="E14" s="442" t="s">
        <v>112</v>
      </c>
      <c r="F14" s="316"/>
      <c r="G14" s="316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2:25" x14ac:dyDescent="0.2">
      <c r="B15" s="1"/>
      <c r="C15" s="443">
        <v>4627948.08</v>
      </c>
      <c r="D15" s="444">
        <f>D79</f>
        <v>4627948.0800000019</v>
      </c>
      <c r="E15" s="445">
        <f>C15-D15</f>
        <v>0</v>
      </c>
      <c r="F15" s="316"/>
      <c r="G15" s="316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2:25" ht="15" thickBot="1" x14ac:dyDescent="0.25">
      <c r="B16" s="1"/>
      <c r="C16" s="446">
        <v>2047.42</v>
      </c>
      <c r="D16" s="447">
        <f>ROUND(G79,2)</f>
        <v>2047.42</v>
      </c>
      <c r="E16" s="448">
        <f>C16-D16</f>
        <v>0</v>
      </c>
      <c r="F16" s="316"/>
      <c r="G16" s="316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2:25" x14ac:dyDescent="0.2">
      <c r="B17" s="1"/>
      <c r="C17" s="316"/>
      <c r="D17" s="316"/>
      <c r="E17" s="316"/>
      <c r="F17" s="316"/>
      <c r="G17" s="316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2:25" x14ac:dyDescent="0.2">
      <c r="B18" s="1"/>
      <c r="C18" s="316"/>
      <c r="D18" s="316"/>
      <c r="E18" s="316"/>
      <c r="F18" s="316"/>
      <c r="G18" s="316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2:25" x14ac:dyDescent="0.2">
      <c r="B19" s="1"/>
      <c r="C19" s="316"/>
      <c r="D19" s="316"/>
      <c r="E19" s="316"/>
      <c r="F19" s="316"/>
      <c r="G19" s="316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2:25" x14ac:dyDescent="0.2">
      <c r="B20" s="1"/>
      <c r="C20" s="316"/>
      <c r="D20" s="316"/>
      <c r="E20" s="316"/>
      <c r="F20" s="316"/>
      <c r="G20" s="316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2:25" x14ac:dyDescent="0.2">
      <c r="B21" s="1"/>
      <c r="C21" s="313"/>
      <c r="D21" s="313"/>
      <c r="E21" s="313"/>
      <c r="F21" s="313"/>
      <c r="G21" s="313"/>
      <c r="H21" s="1"/>
      <c r="I21" s="1"/>
      <c r="J21" s="1"/>
      <c r="K21" s="1"/>
      <c r="L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2:25" ht="15" thickBot="1" x14ac:dyDescent="0.25">
      <c r="B22" s="1"/>
      <c r="C22" s="419" t="s">
        <v>137</v>
      </c>
      <c r="D22" s="316" t="s">
        <v>138</v>
      </c>
      <c r="E22" s="316"/>
      <c r="F22" s="316" t="s">
        <v>139</v>
      </c>
      <c r="G22" s="316"/>
      <c r="H22" s="316" t="s">
        <v>143</v>
      </c>
      <c r="I22" s="316" t="s">
        <v>142</v>
      </c>
      <c r="J22" s="316" t="s">
        <v>141</v>
      </c>
      <c r="K22" s="316" t="s">
        <v>140</v>
      </c>
      <c r="L22" s="316" t="s">
        <v>144</v>
      </c>
      <c r="M22" s="316" t="s">
        <v>146</v>
      </c>
      <c r="N22" s="316"/>
      <c r="O22" s="316"/>
      <c r="P22" s="316"/>
      <c r="Q22" s="1"/>
      <c r="R22" s="1"/>
      <c r="S22" s="1"/>
      <c r="T22" s="1"/>
      <c r="U22" s="1"/>
      <c r="V22" s="1"/>
      <c r="W22" s="1"/>
      <c r="X22" s="1"/>
      <c r="Y22" s="1"/>
    </row>
    <row r="23" spans="2:25" ht="30.6" customHeight="1" x14ac:dyDescent="0.2">
      <c r="B23" s="1"/>
      <c r="C23" s="402" t="s">
        <v>134</v>
      </c>
      <c r="D23" s="2261" t="s">
        <v>135</v>
      </c>
      <c r="E23" s="2262"/>
      <c r="F23" s="416" t="s">
        <v>136</v>
      </c>
      <c r="G23" s="416" t="s">
        <v>153</v>
      </c>
      <c r="H23" s="420" t="s">
        <v>129</v>
      </c>
      <c r="I23" s="403" t="s">
        <v>130</v>
      </c>
      <c r="J23" s="422"/>
      <c r="K23" s="422"/>
      <c r="L23" s="422"/>
      <c r="M23" s="404" t="s">
        <v>124</v>
      </c>
      <c r="N23" s="316"/>
      <c r="O23" s="316"/>
      <c r="P23" s="316"/>
      <c r="Q23" s="316"/>
      <c r="R23" s="316"/>
      <c r="S23" s="316"/>
      <c r="T23" s="316"/>
      <c r="U23" s="1"/>
      <c r="V23" s="1"/>
      <c r="W23" s="1"/>
      <c r="X23" s="1"/>
      <c r="Y23" s="1"/>
    </row>
    <row r="24" spans="2:25" x14ac:dyDescent="0.2">
      <c r="B24" s="1"/>
      <c r="C24" s="405">
        <v>850</v>
      </c>
      <c r="D24" s="2263">
        <v>850</v>
      </c>
      <c r="E24" s="2264"/>
      <c r="F24" s="418">
        <v>31482640</v>
      </c>
      <c r="G24" s="418">
        <v>31</v>
      </c>
      <c r="H24" s="423">
        <f>VLOOKUP(C46,Tarifas!D4:H303,3)</f>
        <v>0.14699999999999999</v>
      </c>
      <c r="I24" s="424">
        <f>VLOOKUP(C46,Tarifas!D4:H303,5)</f>
        <v>1E-3</v>
      </c>
      <c r="J24" s="421">
        <v>183.8</v>
      </c>
      <c r="K24" s="421">
        <v>201.4</v>
      </c>
      <c r="L24" s="421"/>
      <c r="M24" s="431">
        <f>E79</f>
        <v>2243469.3189999997</v>
      </c>
      <c r="N24" s="430" t="s">
        <v>62</v>
      </c>
      <c r="O24" s="316"/>
      <c r="P24" s="316"/>
      <c r="Q24" s="316"/>
      <c r="R24" s="316"/>
      <c r="S24" s="316"/>
      <c r="T24" s="316"/>
      <c r="U24" s="1"/>
      <c r="V24" s="1"/>
      <c r="W24" s="1"/>
      <c r="X24" s="1"/>
      <c r="Y24" s="1"/>
    </row>
    <row r="25" spans="2:25" x14ac:dyDescent="0.2">
      <c r="B25" s="1"/>
      <c r="C25" s="313"/>
      <c r="D25" s="316"/>
      <c r="E25" s="316"/>
      <c r="F25" s="316"/>
      <c r="G25" s="316"/>
      <c r="H25" s="313"/>
      <c r="I25" s="313"/>
      <c r="J25" s="316"/>
      <c r="K25" s="316"/>
      <c r="L25" s="316"/>
      <c r="M25" s="313"/>
      <c r="N25" s="316"/>
      <c r="O25" s="316"/>
      <c r="P25" s="316"/>
      <c r="Q25" s="316"/>
      <c r="R25" s="316"/>
      <c r="S25" s="1"/>
      <c r="T25" s="1"/>
      <c r="U25" s="1"/>
      <c r="V25" s="1"/>
      <c r="W25" s="1"/>
      <c r="X25" s="1"/>
      <c r="Y25" s="1"/>
    </row>
    <row r="26" spans="2:25" x14ac:dyDescent="0.2">
      <c r="B26" s="1"/>
      <c r="C26" s="313"/>
      <c r="D26" s="313"/>
      <c r="E26" s="313"/>
      <c r="F26" s="316"/>
      <c r="G26" s="316"/>
      <c r="H26" s="313"/>
      <c r="I26" s="316"/>
      <c r="J26" s="316"/>
      <c r="K26" s="316"/>
      <c r="L26" s="313"/>
      <c r="M26" s="313"/>
      <c r="N26" s="316"/>
      <c r="O26" s="316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2:25" x14ac:dyDescent="0.2">
      <c r="B27" s="1"/>
      <c r="C27" s="313"/>
      <c r="D27" s="313"/>
      <c r="E27" s="313"/>
      <c r="F27" s="313"/>
      <c r="G27" s="313"/>
      <c r="H27" s="313"/>
      <c r="I27" s="313"/>
      <c r="J27" s="313"/>
      <c r="K27" s="313"/>
      <c r="L27" s="313"/>
      <c r="M27" s="316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2:25" ht="15" thickBot="1" x14ac:dyDescent="0.25">
      <c r="B28" s="1"/>
      <c r="C28" s="2266" t="s">
        <v>86</v>
      </c>
      <c r="D28" s="2266"/>
      <c r="E28" s="2266"/>
      <c r="F28" s="2266"/>
      <c r="G28" s="334"/>
      <c r="H28" s="334"/>
      <c r="I28" s="334"/>
      <c r="J28" s="335"/>
      <c r="K28" s="336"/>
      <c r="L28" s="336"/>
      <c r="M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2:25" ht="22.5" x14ac:dyDescent="0.2">
      <c r="B29" s="1"/>
      <c r="C29" s="337" t="s">
        <v>87</v>
      </c>
      <c r="D29" s="311" t="s">
        <v>88</v>
      </c>
      <c r="E29" s="311" t="s">
        <v>89</v>
      </c>
      <c r="F29" s="311" t="s">
        <v>20</v>
      </c>
      <c r="G29" s="311" t="s">
        <v>90</v>
      </c>
      <c r="H29" s="311" t="s">
        <v>91</v>
      </c>
      <c r="I29" s="311" t="s">
        <v>92</v>
      </c>
      <c r="J29" s="311" t="s">
        <v>93</v>
      </c>
      <c r="K29" s="311" t="s">
        <v>94</v>
      </c>
      <c r="L29" s="312" t="s">
        <v>95</v>
      </c>
      <c r="M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2:25" x14ac:dyDescent="0.2">
      <c r="B30" s="1"/>
      <c r="C30" s="338"/>
      <c r="D30" s="339">
        <v>1</v>
      </c>
      <c r="E30" s="339" t="s">
        <v>96</v>
      </c>
      <c r="F30" s="340" t="s">
        <v>97</v>
      </c>
      <c r="G30" s="339">
        <v>20823</v>
      </c>
      <c r="H30" s="341"/>
      <c r="I30" s="339">
        <v>138.15</v>
      </c>
      <c r="J30" s="342">
        <f>H30/H$34</f>
        <v>0</v>
      </c>
      <c r="K30" s="343">
        <f>ROUND(J30*E$10,2)</f>
        <v>0</v>
      </c>
      <c r="L30" s="344">
        <f>K30*I$10</f>
        <v>0</v>
      </c>
      <c r="M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2:25" x14ac:dyDescent="0.2">
      <c r="B31" s="1"/>
      <c r="C31" s="338"/>
      <c r="D31" s="339">
        <v>2</v>
      </c>
      <c r="E31" s="339" t="s">
        <v>98</v>
      </c>
      <c r="F31" s="340" t="s">
        <v>97</v>
      </c>
      <c r="G31" s="339">
        <v>20824</v>
      </c>
      <c r="H31" s="341"/>
      <c r="I31" s="339">
        <v>138.15</v>
      </c>
      <c r="J31" s="342">
        <f>H31/H$34</f>
        <v>0</v>
      </c>
      <c r="K31" s="343">
        <f>ROUND(J31*E$10,2)</f>
        <v>0</v>
      </c>
      <c r="L31" s="344">
        <f>K31*I$10</f>
        <v>0</v>
      </c>
      <c r="M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2:25" x14ac:dyDescent="0.2">
      <c r="B32" s="1"/>
      <c r="C32" s="338"/>
      <c r="D32" s="339">
        <v>1</v>
      </c>
      <c r="E32" s="339" t="s">
        <v>99</v>
      </c>
      <c r="F32" s="340" t="s">
        <v>100</v>
      </c>
      <c r="G32" s="339">
        <v>22228</v>
      </c>
      <c r="H32" s="341">
        <v>32000</v>
      </c>
      <c r="I32" s="339">
        <v>130.80000000000001</v>
      </c>
      <c r="J32" s="342">
        <f>H32/H$34</f>
        <v>0.2857142857142857</v>
      </c>
      <c r="K32" s="343">
        <f>ROUND(J32*E$10,2)</f>
        <v>1322270.8799999999</v>
      </c>
      <c r="L32" s="344">
        <f>K32*I$10</f>
        <v>25123146.719999999</v>
      </c>
      <c r="M32" s="464">
        <f>K32*12</f>
        <v>15867250.559999999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ht="15" thickBot="1" x14ac:dyDescent="0.25">
      <c r="B33" s="1"/>
      <c r="C33" s="345"/>
      <c r="D33" s="346">
        <v>1</v>
      </c>
      <c r="E33" s="347" t="s">
        <v>101</v>
      </c>
      <c r="F33" s="348" t="s">
        <v>23</v>
      </c>
      <c r="G33" s="347"/>
      <c r="H33" s="349">
        <v>80000</v>
      </c>
      <c r="I33" s="346"/>
      <c r="J33" s="350">
        <f>H33/H$34</f>
        <v>0.7142857142857143</v>
      </c>
      <c r="K33" s="351">
        <f>ROUND(J33*E$10,2)</f>
        <v>3305677.2</v>
      </c>
      <c r="L33" s="352">
        <f>K33*I$10</f>
        <v>62807866.800000004</v>
      </c>
      <c r="M33" s="464">
        <f>K33*12</f>
        <v>39668126.400000006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x14ac:dyDescent="0.2">
      <c r="B34" s="1"/>
      <c r="C34" s="406">
        <v>3000623</v>
      </c>
      <c r="D34" s="353" t="s">
        <v>102</v>
      </c>
      <c r="E34" s="353"/>
      <c r="F34" s="353"/>
      <c r="G34" s="354"/>
      <c r="H34" s="355">
        <f>SUM(H30:H33)</f>
        <v>112000</v>
      </c>
      <c r="I34" s="353"/>
      <c r="J34" s="356">
        <f>SUM(J30:J33)</f>
        <v>1</v>
      </c>
      <c r="K34" s="357">
        <f>SUM(K30:K33)</f>
        <v>4627948.08</v>
      </c>
      <c r="L34" s="357">
        <f>SUM(L30:L33)</f>
        <v>87931013.520000011</v>
      </c>
      <c r="M34" s="464">
        <f>SUM(M32:M33)</f>
        <v>55535376.960000008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x14ac:dyDescent="0.2">
      <c r="B35" s="1"/>
      <c r="C35" s="336"/>
      <c r="D35" s="336"/>
      <c r="E35" s="336"/>
      <c r="F35" s="358"/>
      <c r="G35" s="358"/>
      <c r="H35" s="336"/>
      <c r="I35" s="336"/>
      <c r="J35" s="336"/>
      <c r="K35" s="336"/>
      <c r="L35" s="359"/>
      <c r="M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x14ac:dyDescent="0.2">
      <c r="B36" s="1"/>
      <c r="C36" s="336"/>
      <c r="D36" s="336"/>
      <c r="E36" s="336"/>
      <c r="F36" s="358"/>
      <c r="G36" s="358"/>
      <c r="H36" s="336"/>
      <c r="I36" s="336"/>
      <c r="J36" s="336"/>
      <c r="K36" s="336"/>
      <c r="L36" s="359"/>
      <c r="M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x14ac:dyDescent="0.2">
      <c r="B37" s="1"/>
      <c r="C37" s="336"/>
      <c r="D37" s="336"/>
      <c r="E37" s="336"/>
      <c r="F37" s="358"/>
      <c r="G37" s="358"/>
      <c r="H37" s="336"/>
      <c r="I37" s="336"/>
      <c r="J37" s="336"/>
      <c r="K37" s="336"/>
      <c r="L37" s="359"/>
      <c r="M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ht="15" thickBot="1" x14ac:dyDescent="0.25">
      <c r="B38" s="1"/>
      <c r="C38" s="2266" t="s">
        <v>103</v>
      </c>
      <c r="D38" s="2266"/>
      <c r="E38" s="2266"/>
      <c r="F38" s="2266"/>
      <c r="G38" s="334"/>
      <c r="H38" s="334"/>
      <c r="I38" s="334"/>
      <c r="J38" s="336"/>
      <c r="K38" s="336"/>
      <c r="L38" s="360"/>
      <c r="M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ht="22.5" x14ac:dyDescent="0.2">
      <c r="B39" s="1"/>
      <c r="C39" s="337" t="s">
        <v>87</v>
      </c>
      <c r="D39" s="314" t="s">
        <v>88</v>
      </c>
      <c r="E39" s="314" t="s">
        <v>89</v>
      </c>
      <c r="F39" s="314" t="s">
        <v>20</v>
      </c>
      <c r="G39" s="314" t="s">
        <v>90</v>
      </c>
      <c r="H39" s="314" t="s">
        <v>104</v>
      </c>
      <c r="I39" s="314" t="s">
        <v>93</v>
      </c>
      <c r="J39" s="314" t="s">
        <v>92</v>
      </c>
      <c r="K39" s="314" t="s">
        <v>94</v>
      </c>
      <c r="L39" s="315" t="s">
        <v>95</v>
      </c>
      <c r="M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x14ac:dyDescent="0.2">
      <c r="B40" s="1"/>
      <c r="C40" s="338"/>
      <c r="D40" s="339">
        <v>1</v>
      </c>
      <c r="E40" s="339" t="s">
        <v>96</v>
      </c>
      <c r="F40" s="340" t="s">
        <v>97</v>
      </c>
      <c r="G40" s="339">
        <v>20823</v>
      </c>
      <c r="H40" s="341">
        <f>M79</f>
        <v>0</v>
      </c>
      <c r="I40" s="342">
        <f>H40/H$44</f>
        <v>0</v>
      </c>
      <c r="J40" s="339">
        <v>138.15</v>
      </c>
      <c r="K40" s="343">
        <f>ROUND(I40*$E$11,2)</f>
        <v>0</v>
      </c>
      <c r="L40" s="344">
        <f>K40*L24</f>
        <v>0</v>
      </c>
      <c r="M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x14ac:dyDescent="0.2">
      <c r="B41" s="1"/>
      <c r="C41" s="338"/>
      <c r="D41" s="339">
        <v>2</v>
      </c>
      <c r="E41" s="339" t="s">
        <v>98</v>
      </c>
      <c r="F41" s="340" t="s">
        <v>97</v>
      </c>
      <c r="G41" s="339">
        <v>20824</v>
      </c>
      <c r="H41" s="341">
        <f>N79</f>
        <v>0</v>
      </c>
      <c r="I41" s="342">
        <f>H41/H$44</f>
        <v>0</v>
      </c>
      <c r="J41" s="339">
        <v>138.15</v>
      </c>
      <c r="K41" s="343">
        <f>ROUND(I41*$E$11,2)</f>
        <v>0</v>
      </c>
      <c r="L41" s="344">
        <f>K41*L25</f>
        <v>0</v>
      </c>
      <c r="M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x14ac:dyDescent="0.2">
      <c r="B42" s="1"/>
      <c r="C42" s="338"/>
      <c r="D42" s="339">
        <v>1</v>
      </c>
      <c r="E42" s="339" t="s">
        <v>99</v>
      </c>
      <c r="F42" s="340" t="s">
        <v>100</v>
      </c>
      <c r="G42" s="339">
        <v>22228</v>
      </c>
      <c r="H42" s="341">
        <f>O79</f>
        <v>0</v>
      </c>
      <c r="I42" s="342">
        <f>H42/H$44</f>
        <v>0</v>
      </c>
      <c r="J42" s="339">
        <v>130.80000000000001</v>
      </c>
      <c r="K42" s="343">
        <f>ROUND(I42*$E$11,2)</f>
        <v>0</v>
      </c>
      <c r="L42" s="344">
        <f>K42*L26</f>
        <v>0</v>
      </c>
      <c r="M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ht="15" thickBot="1" x14ac:dyDescent="0.25">
      <c r="B43" s="1"/>
      <c r="C43" s="345"/>
      <c r="D43" s="346">
        <v>1</v>
      </c>
      <c r="E43" s="347" t="s">
        <v>101</v>
      </c>
      <c r="F43" s="348" t="s">
        <v>23</v>
      </c>
      <c r="G43" s="347"/>
      <c r="H43" s="349">
        <f>L79</f>
        <v>2243469.3189999997</v>
      </c>
      <c r="I43" s="350">
        <f>H43/H$44</f>
        <v>1</v>
      </c>
      <c r="J43" s="346">
        <v>138.15</v>
      </c>
      <c r="K43" s="351">
        <f>ROUND(I43*$E$11,2)</f>
        <v>2047.42</v>
      </c>
      <c r="L43" s="352">
        <f>K43*I11</f>
        <v>38900.980000000003</v>
      </c>
      <c r="M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x14ac:dyDescent="0.2">
      <c r="B44" s="1"/>
      <c r="C44" s="353"/>
      <c r="D44" s="353"/>
      <c r="E44" s="353"/>
      <c r="F44" s="353"/>
      <c r="G44" s="354"/>
      <c r="H44" s="449">
        <f>SUM(H40:H43)</f>
        <v>2243469.3189999997</v>
      </c>
      <c r="I44" s="355"/>
      <c r="J44" s="353"/>
      <c r="K44" s="357">
        <f>SUM(K40:K43)</f>
        <v>2047.42</v>
      </c>
      <c r="L44" s="357">
        <f>SUM(L40:L43)</f>
        <v>38900.980000000003</v>
      </c>
      <c r="M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customFormat="1" ht="15" thickBot="1" x14ac:dyDescent="0.25">
      <c r="M45" s="450"/>
      <c r="N45" s="450"/>
      <c r="O45" s="450"/>
      <c r="P45" s="450"/>
      <c r="Q45" s="450"/>
      <c r="R45" s="450"/>
      <c r="S45" s="450"/>
      <c r="T45" s="450"/>
      <c r="U45" s="450"/>
      <c r="V45" s="450"/>
      <c r="W45" s="450"/>
      <c r="X45" s="450"/>
      <c r="Y45" s="450"/>
    </row>
    <row r="46" spans="1:25" ht="15" thickBot="1" x14ac:dyDescent="0.25">
      <c r="B46" s="434" t="s">
        <v>3</v>
      </c>
      <c r="C46" s="333">
        <f>SUMIF(Tarifas!E4:E303,'Enero - 2016'!C48,Tarifas!D4:D303)</f>
        <v>30</v>
      </c>
      <c r="D46" s="425" t="s">
        <v>147</v>
      </c>
      <c r="E46" s="426" t="s">
        <v>145</v>
      </c>
      <c r="F46" s="426" t="s">
        <v>150</v>
      </c>
      <c r="G46" s="426" t="s">
        <v>148</v>
      </c>
      <c r="H46" s="382"/>
      <c r="I46" s="331" t="s">
        <v>120</v>
      </c>
      <c r="J46" s="332"/>
      <c r="K46" s="332"/>
      <c r="L46" s="364" t="s">
        <v>105</v>
      </c>
      <c r="M46" s="365"/>
      <c r="N46" s="365"/>
      <c r="O46" s="365"/>
      <c r="P46" s="365"/>
      <c r="Q46" s="365"/>
      <c r="R46" s="366"/>
      <c r="S46" s="2267" t="s">
        <v>121</v>
      </c>
      <c r="T46" s="2268"/>
      <c r="U46" s="2268"/>
      <c r="V46" s="2268"/>
      <c r="W46" s="2268"/>
      <c r="X46" s="2268"/>
      <c r="Y46" s="2269"/>
    </row>
    <row r="47" spans="1:25" ht="33.75" x14ac:dyDescent="0.2">
      <c r="A47" s="2" t="s">
        <v>29</v>
      </c>
      <c r="B47" s="2" t="s">
        <v>154</v>
      </c>
      <c r="C47" s="383" t="s">
        <v>122</v>
      </c>
      <c r="D47" s="384" t="s">
        <v>125</v>
      </c>
      <c r="E47" s="385" t="s">
        <v>149</v>
      </c>
      <c r="F47" s="385" t="s">
        <v>151</v>
      </c>
      <c r="G47" s="385" t="s">
        <v>152</v>
      </c>
      <c r="H47" s="386" t="s">
        <v>123</v>
      </c>
      <c r="I47" s="329" t="s">
        <v>109</v>
      </c>
      <c r="J47" s="330" t="s">
        <v>25</v>
      </c>
      <c r="K47" s="330" t="s">
        <v>26</v>
      </c>
      <c r="L47" s="367" t="s">
        <v>115</v>
      </c>
      <c r="M47" s="362" t="s">
        <v>106</v>
      </c>
      <c r="N47" s="362" t="s">
        <v>107</v>
      </c>
      <c r="O47" s="362" t="s">
        <v>108</v>
      </c>
      <c r="P47" s="362" t="s">
        <v>115</v>
      </c>
      <c r="Q47" s="363" t="s">
        <v>116</v>
      </c>
      <c r="R47" s="368" t="s">
        <v>117</v>
      </c>
      <c r="S47" s="369" t="s">
        <v>110</v>
      </c>
      <c r="T47" s="370" t="s">
        <v>111</v>
      </c>
      <c r="U47" s="370" t="s">
        <v>112</v>
      </c>
      <c r="V47" s="371" t="s">
        <v>118</v>
      </c>
      <c r="W47" s="371" t="s">
        <v>119</v>
      </c>
      <c r="X47" s="371" t="s">
        <v>114</v>
      </c>
      <c r="Y47" s="372" t="s">
        <v>113</v>
      </c>
    </row>
    <row r="48" spans="1:25" x14ac:dyDescent="0.2">
      <c r="A48" s="2">
        <f>MONTH(C48)</f>
        <v>1</v>
      </c>
      <c r="B48" s="2">
        <f>YEAR(C48)</f>
        <v>2016</v>
      </c>
      <c r="C48" s="387">
        <f>G7</f>
        <v>42370</v>
      </c>
      <c r="D48" s="388">
        <f>($F$24*$H$24)/$G$24</f>
        <v>149288.64774193548</v>
      </c>
      <c r="E48" s="389">
        <f>P48+Q48+R48</f>
        <v>58724.406000000003</v>
      </c>
      <c r="F48" s="427">
        <f t="shared" ref="F48:F78" si="0">TRUNC(IFERROR(J$24/K$24,0),8)</f>
        <v>0.91261170999999996</v>
      </c>
      <c r="G48" s="390">
        <f t="shared" ref="G48:G78" si="1">ROUND(I$24*F48*E48,4)</f>
        <v>53.592599999999997</v>
      </c>
      <c r="H48" s="391">
        <f t="shared" ref="H48:H78" si="2">SUM(D48:G48)</f>
        <v>208067.55895364546</v>
      </c>
      <c r="I48" s="324">
        <v>64993</v>
      </c>
      <c r="J48" s="325"/>
      <c r="K48" s="325"/>
      <c r="L48" s="317">
        <v>58724.406000000003</v>
      </c>
      <c r="M48" s="318"/>
      <c r="N48" s="318"/>
      <c r="O48" s="318"/>
      <c r="P48" s="389">
        <f>L48</f>
        <v>58724.406000000003</v>
      </c>
      <c r="Q48" s="389">
        <f t="shared" ref="Q48:Q78" si="3">M48+N48</f>
        <v>0</v>
      </c>
      <c r="R48" s="389">
        <f t="shared" ref="R48:R78" si="4">O48</f>
        <v>0</v>
      </c>
      <c r="S48" s="522"/>
      <c r="T48" s="523"/>
      <c r="U48" s="524">
        <f>S48+T48-V48</f>
        <v>-64993</v>
      </c>
      <c r="V48" s="520">
        <f>I48+J48+K48</f>
        <v>64993</v>
      </c>
      <c r="W48" s="520">
        <f>(P48+Q48+R48)*1.055056</f>
        <v>61957.536896736005</v>
      </c>
      <c r="X48" s="520">
        <f>V48-W48</f>
        <v>3035.4631032639954</v>
      </c>
      <c r="Y48" s="525">
        <f>AL45+X48</f>
        <v>3035.4631032639954</v>
      </c>
    </row>
    <row r="49" spans="3:25" x14ac:dyDescent="0.2">
      <c r="C49" s="387">
        <f t="shared" ref="C49:C78" si="5">C48+1</f>
        <v>42371</v>
      </c>
      <c r="D49" s="388">
        <f t="shared" ref="D49:D78" si="6">($F$24*$H$24)/$G$24</f>
        <v>149288.64774193548</v>
      </c>
      <c r="E49" s="392">
        <f t="shared" ref="E49:E78" si="7">P49+Q49+R49</f>
        <v>70412.850000000006</v>
      </c>
      <c r="F49" s="428">
        <f t="shared" si="0"/>
        <v>0.91261170999999996</v>
      </c>
      <c r="G49" s="390">
        <f t="shared" si="1"/>
        <v>64.259600000000006</v>
      </c>
      <c r="H49" s="391">
        <f t="shared" si="2"/>
        <v>219766.66995364547</v>
      </c>
      <c r="I49" s="324">
        <v>64993</v>
      </c>
      <c r="J49" s="325"/>
      <c r="K49" s="325"/>
      <c r="L49" s="319">
        <v>70412.850000000006</v>
      </c>
      <c r="M49" s="320"/>
      <c r="N49" s="320"/>
      <c r="O49" s="320"/>
      <c r="P49" s="392">
        <f t="shared" ref="P49:P78" si="8">L49</f>
        <v>70412.850000000006</v>
      </c>
      <c r="Q49" s="392">
        <f t="shared" si="3"/>
        <v>0</v>
      </c>
      <c r="R49" s="392">
        <f t="shared" si="4"/>
        <v>0</v>
      </c>
      <c r="S49" s="522"/>
      <c r="T49" s="523"/>
      <c r="U49" s="524">
        <f t="shared" ref="U49:U78" si="9">S49+T49-V49</f>
        <v>-64993</v>
      </c>
      <c r="V49" s="520">
        <f t="shared" ref="V49:V78" si="10">I49+J49+K49</f>
        <v>64993</v>
      </c>
      <c r="W49" s="520">
        <f t="shared" ref="W49:W78" si="11">(P49+Q49+R49)*1.055056</f>
        <v>74289.499869600011</v>
      </c>
      <c r="X49" s="520">
        <f t="shared" ref="X49:X78" si="12">V49-W49</f>
        <v>-9296.4998696000112</v>
      </c>
      <c r="Y49" s="525">
        <f>Y48+X49</f>
        <v>-6261.0367663360157</v>
      </c>
    </row>
    <row r="50" spans="3:25" x14ac:dyDescent="0.2">
      <c r="C50" s="387">
        <f t="shared" si="5"/>
        <v>42372</v>
      </c>
      <c r="D50" s="388">
        <f t="shared" si="6"/>
        <v>149288.64774193548</v>
      </c>
      <c r="E50" s="392">
        <f t="shared" si="7"/>
        <v>70756.3</v>
      </c>
      <c r="F50" s="428">
        <f t="shared" si="0"/>
        <v>0.91261170999999996</v>
      </c>
      <c r="G50" s="390">
        <f t="shared" si="1"/>
        <v>64.572999999999993</v>
      </c>
      <c r="H50" s="391">
        <f t="shared" si="2"/>
        <v>220110.43335364549</v>
      </c>
      <c r="I50" s="324">
        <v>64993</v>
      </c>
      <c r="J50" s="325"/>
      <c r="K50" s="325"/>
      <c r="L50" s="317">
        <v>70756.3</v>
      </c>
      <c r="M50" s="318"/>
      <c r="N50" s="318"/>
      <c r="O50" s="318"/>
      <c r="P50" s="392">
        <f t="shared" si="8"/>
        <v>70756.3</v>
      </c>
      <c r="Q50" s="392">
        <f t="shared" si="3"/>
        <v>0</v>
      </c>
      <c r="R50" s="392">
        <f t="shared" si="4"/>
        <v>0</v>
      </c>
      <c r="S50" s="522"/>
      <c r="T50" s="523"/>
      <c r="U50" s="524">
        <f t="shared" si="9"/>
        <v>-64993</v>
      </c>
      <c r="V50" s="520">
        <f t="shared" si="10"/>
        <v>64993</v>
      </c>
      <c r="W50" s="520">
        <f t="shared" si="11"/>
        <v>74651.858852799996</v>
      </c>
      <c r="X50" s="520">
        <f t="shared" si="12"/>
        <v>-9658.8588527999964</v>
      </c>
      <c r="Y50" s="525">
        <f t="shared" ref="Y50:Y78" si="13">Y49+X50</f>
        <v>-15919.895619136012</v>
      </c>
    </row>
    <row r="51" spans="3:25" x14ac:dyDescent="0.2">
      <c r="C51" s="387">
        <f t="shared" si="5"/>
        <v>42373</v>
      </c>
      <c r="D51" s="388">
        <f t="shared" si="6"/>
        <v>149288.64774193548</v>
      </c>
      <c r="E51" s="392">
        <f t="shared" si="7"/>
        <v>68233.089000000007</v>
      </c>
      <c r="F51" s="428">
        <f t="shared" si="0"/>
        <v>0.91261170999999996</v>
      </c>
      <c r="G51" s="390">
        <f t="shared" si="1"/>
        <v>62.270299999999999</v>
      </c>
      <c r="H51" s="391">
        <f t="shared" si="2"/>
        <v>217584.91965364548</v>
      </c>
      <c r="I51" s="324">
        <v>64993</v>
      </c>
      <c r="J51" s="325"/>
      <c r="K51" s="325"/>
      <c r="L51" s="319">
        <v>68233.089000000007</v>
      </c>
      <c r="M51" s="320"/>
      <c r="N51" s="320"/>
      <c r="O51" s="320"/>
      <c r="P51" s="392">
        <f t="shared" si="8"/>
        <v>68233.089000000007</v>
      </c>
      <c r="Q51" s="392">
        <f t="shared" si="3"/>
        <v>0</v>
      </c>
      <c r="R51" s="392">
        <f t="shared" si="4"/>
        <v>0</v>
      </c>
      <c r="S51" s="522"/>
      <c r="T51" s="523"/>
      <c r="U51" s="524">
        <f t="shared" si="9"/>
        <v>-64993</v>
      </c>
      <c r="V51" s="520">
        <f t="shared" si="10"/>
        <v>64993</v>
      </c>
      <c r="W51" s="520">
        <f t="shared" si="11"/>
        <v>71989.729947984</v>
      </c>
      <c r="X51" s="520">
        <f t="shared" si="12"/>
        <v>-6996.7299479840003</v>
      </c>
      <c r="Y51" s="525">
        <f t="shared" si="13"/>
        <v>-22916.625567120012</v>
      </c>
    </row>
    <row r="52" spans="3:25" x14ac:dyDescent="0.2">
      <c r="C52" s="387">
        <f t="shared" si="5"/>
        <v>42374</v>
      </c>
      <c r="D52" s="388">
        <f t="shared" si="6"/>
        <v>149288.64774193548</v>
      </c>
      <c r="E52" s="392">
        <f t="shared" si="7"/>
        <v>71497.119999999995</v>
      </c>
      <c r="F52" s="428">
        <f t="shared" si="0"/>
        <v>0.91261170999999996</v>
      </c>
      <c r="G52" s="390">
        <f t="shared" si="1"/>
        <v>65.249099999999999</v>
      </c>
      <c r="H52" s="391">
        <f t="shared" si="2"/>
        <v>220851.92945364545</v>
      </c>
      <c r="I52" s="324">
        <v>69984</v>
      </c>
      <c r="J52" s="325"/>
      <c r="K52" s="325"/>
      <c r="L52" s="317">
        <v>71497.119999999995</v>
      </c>
      <c r="M52" s="318"/>
      <c r="N52" s="318"/>
      <c r="O52" s="318"/>
      <c r="P52" s="392">
        <f t="shared" si="8"/>
        <v>71497.119999999995</v>
      </c>
      <c r="Q52" s="392">
        <f t="shared" si="3"/>
        <v>0</v>
      </c>
      <c r="R52" s="392">
        <f t="shared" si="4"/>
        <v>0</v>
      </c>
      <c r="S52" s="522"/>
      <c r="T52" s="523"/>
      <c r="U52" s="524">
        <f t="shared" si="9"/>
        <v>-69984</v>
      </c>
      <c r="V52" s="520">
        <f t="shared" si="10"/>
        <v>69984</v>
      </c>
      <c r="W52" s="520">
        <f t="shared" si="11"/>
        <v>75433.465438719999</v>
      </c>
      <c r="X52" s="520">
        <f t="shared" si="12"/>
        <v>-5449.4654387199989</v>
      </c>
      <c r="Y52" s="525">
        <f t="shared" si="13"/>
        <v>-28366.091005840011</v>
      </c>
    </row>
    <row r="53" spans="3:25" x14ac:dyDescent="0.2">
      <c r="C53" s="387">
        <f t="shared" si="5"/>
        <v>42375</v>
      </c>
      <c r="D53" s="388">
        <f t="shared" si="6"/>
        <v>149288.64774193548</v>
      </c>
      <c r="E53" s="392">
        <f t="shared" si="7"/>
        <v>74684.679999999993</v>
      </c>
      <c r="F53" s="428">
        <f t="shared" si="0"/>
        <v>0.91261170999999996</v>
      </c>
      <c r="G53" s="390">
        <f t="shared" si="1"/>
        <v>68.158100000000005</v>
      </c>
      <c r="H53" s="391">
        <f t="shared" si="2"/>
        <v>224042.39845364547</v>
      </c>
      <c r="I53" s="324">
        <v>70000</v>
      </c>
      <c r="J53" s="325"/>
      <c r="K53" s="325"/>
      <c r="L53" s="319">
        <v>74684.679999999993</v>
      </c>
      <c r="M53" s="320"/>
      <c r="N53" s="320"/>
      <c r="O53" s="320"/>
      <c r="P53" s="392">
        <f t="shared" si="8"/>
        <v>74684.679999999993</v>
      </c>
      <c r="Q53" s="392">
        <f t="shared" si="3"/>
        <v>0</v>
      </c>
      <c r="R53" s="392">
        <f t="shared" si="4"/>
        <v>0</v>
      </c>
      <c r="S53" s="522"/>
      <c r="T53" s="523"/>
      <c r="U53" s="524">
        <f t="shared" si="9"/>
        <v>-70000</v>
      </c>
      <c r="V53" s="520">
        <f t="shared" si="10"/>
        <v>70000</v>
      </c>
      <c r="W53" s="520">
        <f t="shared" si="11"/>
        <v>78796.519742079996</v>
      </c>
      <c r="X53" s="520">
        <f t="shared" si="12"/>
        <v>-8796.5197420799959</v>
      </c>
      <c r="Y53" s="525">
        <f t="shared" si="13"/>
        <v>-37162.610747920007</v>
      </c>
    </row>
    <row r="54" spans="3:25" x14ac:dyDescent="0.2">
      <c r="C54" s="387">
        <f t="shared" si="5"/>
        <v>42376</v>
      </c>
      <c r="D54" s="388">
        <f t="shared" si="6"/>
        <v>149288.64774193548</v>
      </c>
      <c r="E54" s="392">
        <f t="shared" si="7"/>
        <v>76708.039999999994</v>
      </c>
      <c r="F54" s="428">
        <f t="shared" si="0"/>
        <v>0.91261170999999996</v>
      </c>
      <c r="G54" s="390">
        <f t="shared" si="1"/>
        <v>70.0047</v>
      </c>
      <c r="H54" s="391">
        <f t="shared" si="2"/>
        <v>226067.60505364547</v>
      </c>
      <c r="I54" s="324">
        <v>70000</v>
      </c>
      <c r="J54" s="325"/>
      <c r="K54" s="325"/>
      <c r="L54" s="317">
        <v>76708.039999999994</v>
      </c>
      <c r="M54" s="318"/>
      <c r="N54" s="318"/>
      <c r="O54" s="318"/>
      <c r="P54" s="392">
        <f t="shared" si="8"/>
        <v>76708.039999999994</v>
      </c>
      <c r="Q54" s="392">
        <f t="shared" si="3"/>
        <v>0</v>
      </c>
      <c r="R54" s="392">
        <f t="shared" si="4"/>
        <v>0</v>
      </c>
      <c r="S54" s="522"/>
      <c r="T54" s="523"/>
      <c r="U54" s="524">
        <f t="shared" si="9"/>
        <v>-70000</v>
      </c>
      <c r="V54" s="520">
        <f t="shared" si="10"/>
        <v>70000</v>
      </c>
      <c r="W54" s="520">
        <f t="shared" si="11"/>
        <v>80931.277850239989</v>
      </c>
      <c r="X54" s="520">
        <f t="shared" si="12"/>
        <v>-10931.277850239989</v>
      </c>
      <c r="Y54" s="525">
        <f t="shared" si="13"/>
        <v>-48093.888598159996</v>
      </c>
    </row>
    <row r="55" spans="3:25" x14ac:dyDescent="0.2">
      <c r="C55" s="387">
        <f t="shared" si="5"/>
        <v>42377</v>
      </c>
      <c r="D55" s="388">
        <f t="shared" si="6"/>
        <v>149288.64774193548</v>
      </c>
      <c r="E55" s="392">
        <f t="shared" si="7"/>
        <v>75908.831000000006</v>
      </c>
      <c r="F55" s="428">
        <f t="shared" si="0"/>
        <v>0.91261170999999996</v>
      </c>
      <c r="G55" s="390">
        <f t="shared" si="1"/>
        <v>69.275300000000001</v>
      </c>
      <c r="H55" s="391">
        <f t="shared" si="2"/>
        <v>225267.66665364549</v>
      </c>
      <c r="I55" s="324">
        <v>68000</v>
      </c>
      <c r="J55" s="325"/>
      <c r="K55" s="325"/>
      <c r="L55" s="319">
        <v>75908.831000000006</v>
      </c>
      <c r="M55" s="320"/>
      <c r="N55" s="320"/>
      <c r="O55" s="320"/>
      <c r="P55" s="392">
        <f t="shared" si="8"/>
        <v>75908.831000000006</v>
      </c>
      <c r="Q55" s="392">
        <f t="shared" si="3"/>
        <v>0</v>
      </c>
      <c r="R55" s="392">
        <f t="shared" si="4"/>
        <v>0</v>
      </c>
      <c r="S55" s="522"/>
      <c r="T55" s="523"/>
      <c r="U55" s="524">
        <f t="shared" si="9"/>
        <v>-68000</v>
      </c>
      <c r="V55" s="520">
        <f t="shared" si="10"/>
        <v>68000</v>
      </c>
      <c r="W55" s="520">
        <f t="shared" si="11"/>
        <v>80088.067599536007</v>
      </c>
      <c r="X55" s="520">
        <f t="shared" si="12"/>
        <v>-12088.067599536007</v>
      </c>
      <c r="Y55" s="525">
        <f t="shared" si="13"/>
        <v>-60181.956197696003</v>
      </c>
    </row>
    <row r="56" spans="3:25" x14ac:dyDescent="0.2">
      <c r="C56" s="387">
        <f t="shared" si="5"/>
        <v>42378</v>
      </c>
      <c r="D56" s="388">
        <f t="shared" si="6"/>
        <v>149288.64774193548</v>
      </c>
      <c r="E56" s="392">
        <f t="shared" si="7"/>
        <v>69581.02</v>
      </c>
      <c r="F56" s="428">
        <f t="shared" si="0"/>
        <v>0.91261170999999996</v>
      </c>
      <c r="G56" s="390">
        <f t="shared" si="1"/>
        <v>63.500500000000002</v>
      </c>
      <c r="H56" s="391">
        <f t="shared" si="2"/>
        <v>218934.08085364546</v>
      </c>
      <c r="I56" s="324">
        <v>68000</v>
      </c>
      <c r="J56" s="325"/>
      <c r="K56" s="325"/>
      <c r="L56" s="317">
        <v>69581.02</v>
      </c>
      <c r="M56" s="318"/>
      <c r="N56" s="318"/>
      <c r="O56" s="318"/>
      <c r="P56" s="392">
        <f t="shared" si="8"/>
        <v>69581.02</v>
      </c>
      <c r="Q56" s="392">
        <f t="shared" si="3"/>
        <v>0</v>
      </c>
      <c r="R56" s="392">
        <f t="shared" si="4"/>
        <v>0</v>
      </c>
      <c r="S56" s="522"/>
      <c r="T56" s="523"/>
      <c r="U56" s="524">
        <f t="shared" si="9"/>
        <v>-68000</v>
      </c>
      <c r="V56" s="520">
        <f t="shared" si="10"/>
        <v>68000</v>
      </c>
      <c r="W56" s="520">
        <f t="shared" si="11"/>
        <v>73411.872637120003</v>
      </c>
      <c r="X56" s="520">
        <f t="shared" si="12"/>
        <v>-5411.8726371200028</v>
      </c>
      <c r="Y56" s="525">
        <f t="shared" si="13"/>
        <v>-65593.828834815999</v>
      </c>
    </row>
    <row r="57" spans="3:25" x14ac:dyDescent="0.2">
      <c r="C57" s="387">
        <f t="shared" si="5"/>
        <v>42379</v>
      </c>
      <c r="D57" s="388">
        <f t="shared" si="6"/>
        <v>149288.64774193548</v>
      </c>
      <c r="E57" s="392">
        <f t="shared" si="7"/>
        <v>68289.119999999995</v>
      </c>
      <c r="F57" s="428">
        <f t="shared" si="0"/>
        <v>0.91261170999999996</v>
      </c>
      <c r="G57" s="390">
        <f t="shared" si="1"/>
        <v>62.3215</v>
      </c>
      <c r="H57" s="391">
        <f t="shared" si="2"/>
        <v>217641.00185364546</v>
      </c>
      <c r="I57" s="324">
        <v>68000</v>
      </c>
      <c r="J57" s="325"/>
      <c r="K57" s="325"/>
      <c r="L57" s="319">
        <v>68289.119999999995</v>
      </c>
      <c r="M57" s="320"/>
      <c r="N57" s="320"/>
      <c r="O57" s="320"/>
      <c r="P57" s="392">
        <f t="shared" si="8"/>
        <v>68289.119999999995</v>
      </c>
      <c r="Q57" s="392">
        <f t="shared" si="3"/>
        <v>0</v>
      </c>
      <c r="R57" s="392">
        <f t="shared" si="4"/>
        <v>0</v>
      </c>
      <c r="S57" s="522"/>
      <c r="T57" s="523"/>
      <c r="U57" s="524">
        <f t="shared" si="9"/>
        <v>-68000</v>
      </c>
      <c r="V57" s="520">
        <f t="shared" si="10"/>
        <v>68000</v>
      </c>
      <c r="W57" s="520">
        <f t="shared" si="11"/>
        <v>72048.845790719992</v>
      </c>
      <c r="X57" s="520">
        <f t="shared" si="12"/>
        <v>-4048.8457907199918</v>
      </c>
      <c r="Y57" s="525">
        <f t="shared" si="13"/>
        <v>-69642.67462553599</v>
      </c>
    </row>
    <row r="58" spans="3:25" x14ac:dyDescent="0.2">
      <c r="C58" s="387">
        <f t="shared" si="5"/>
        <v>42380</v>
      </c>
      <c r="D58" s="388">
        <f t="shared" si="6"/>
        <v>149288.64774193548</v>
      </c>
      <c r="E58" s="392">
        <f t="shared" si="7"/>
        <v>71435.823999999993</v>
      </c>
      <c r="F58" s="428">
        <f t="shared" si="0"/>
        <v>0.91261170999999996</v>
      </c>
      <c r="G58" s="390">
        <f t="shared" si="1"/>
        <v>65.193200000000004</v>
      </c>
      <c r="H58" s="391">
        <f t="shared" si="2"/>
        <v>220790.57755364547</v>
      </c>
      <c r="I58" s="324">
        <v>68000</v>
      </c>
      <c r="J58" s="325"/>
      <c r="K58" s="325"/>
      <c r="L58" s="317">
        <v>71435.823999999993</v>
      </c>
      <c r="M58" s="318"/>
      <c r="N58" s="318"/>
      <c r="O58" s="318"/>
      <c r="P58" s="392">
        <f t="shared" si="8"/>
        <v>71435.823999999993</v>
      </c>
      <c r="Q58" s="392">
        <f t="shared" si="3"/>
        <v>0</v>
      </c>
      <c r="R58" s="392">
        <f t="shared" si="4"/>
        <v>0</v>
      </c>
      <c r="S58" s="522"/>
      <c r="T58" s="523"/>
      <c r="U58" s="524">
        <f t="shared" si="9"/>
        <v>-68000</v>
      </c>
      <c r="V58" s="520">
        <f t="shared" si="10"/>
        <v>68000</v>
      </c>
      <c r="W58" s="520">
        <f t="shared" si="11"/>
        <v>75368.794726143999</v>
      </c>
      <c r="X58" s="520">
        <f t="shared" si="12"/>
        <v>-7368.7947261439986</v>
      </c>
      <c r="Y58" s="525">
        <f t="shared" si="13"/>
        <v>-77011.469351679989</v>
      </c>
    </row>
    <row r="59" spans="3:25" x14ac:dyDescent="0.2">
      <c r="C59" s="387">
        <f t="shared" si="5"/>
        <v>42381</v>
      </c>
      <c r="D59" s="388">
        <f t="shared" si="6"/>
        <v>149288.64774193548</v>
      </c>
      <c r="E59" s="392">
        <f t="shared" si="7"/>
        <v>72697.013999999996</v>
      </c>
      <c r="F59" s="428">
        <f t="shared" si="0"/>
        <v>0.91261170999999996</v>
      </c>
      <c r="G59" s="390">
        <f t="shared" si="1"/>
        <v>66.344099999999997</v>
      </c>
      <c r="H59" s="391">
        <f t="shared" si="2"/>
        <v>222052.91845364546</v>
      </c>
      <c r="I59" s="324">
        <v>70000</v>
      </c>
      <c r="J59" s="325"/>
      <c r="K59" s="325"/>
      <c r="L59" s="319">
        <v>72697.013999999996</v>
      </c>
      <c r="M59" s="320"/>
      <c r="N59" s="320"/>
      <c r="O59" s="320"/>
      <c r="P59" s="392">
        <f t="shared" si="8"/>
        <v>72697.013999999996</v>
      </c>
      <c r="Q59" s="392">
        <f t="shared" si="3"/>
        <v>0</v>
      </c>
      <c r="R59" s="392">
        <f t="shared" si="4"/>
        <v>0</v>
      </c>
      <c r="S59" s="522"/>
      <c r="T59" s="523"/>
      <c r="U59" s="524">
        <f t="shared" si="9"/>
        <v>-70000</v>
      </c>
      <c r="V59" s="520">
        <f t="shared" si="10"/>
        <v>70000</v>
      </c>
      <c r="W59" s="520">
        <f t="shared" si="11"/>
        <v>76699.420802783992</v>
      </c>
      <c r="X59" s="520">
        <f t="shared" si="12"/>
        <v>-6699.4208027839923</v>
      </c>
      <c r="Y59" s="525">
        <f t="shared" si="13"/>
        <v>-83710.890154463981</v>
      </c>
    </row>
    <row r="60" spans="3:25" x14ac:dyDescent="0.2">
      <c r="C60" s="387">
        <f t="shared" si="5"/>
        <v>42382</v>
      </c>
      <c r="D60" s="388">
        <f t="shared" si="6"/>
        <v>149288.64774193548</v>
      </c>
      <c r="E60" s="392">
        <f t="shared" si="7"/>
        <v>74445.55</v>
      </c>
      <c r="F60" s="428">
        <f t="shared" si="0"/>
        <v>0.91261170999999996</v>
      </c>
      <c r="G60" s="390">
        <f t="shared" si="1"/>
        <v>67.939899999999994</v>
      </c>
      <c r="H60" s="391">
        <f t="shared" si="2"/>
        <v>223803.05025364549</v>
      </c>
      <c r="I60" s="324">
        <v>72000</v>
      </c>
      <c r="J60" s="325"/>
      <c r="K60" s="325"/>
      <c r="L60" s="317">
        <v>74445.55</v>
      </c>
      <c r="M60" s="318"/>
      <c r="N60" s="318"/>
      <c r="O60" s="318"/>
      <c r="P60" s="392">
        <f t="shared" si="8"/>
        <v>74445.55</v>
      </c>
      <c r="Q60" s="392">
        <f t="shared" si="3"/>
        <v>0</v>
      </c>
      <c r="R60" s="392">
        <f t="shared" si="4"/>
        <v>0</v>
      </c>
      <c r="S60" s="522"/>
      <c r="T60" s="523"/>
      <c r="U60" s="524">
        <f t="shared" si="9"/>
        <v>-72000</v>
      </c>
      <c r="V60" s="520">
        <f t="shared" si="10"/>
        <v>72000</v>
      </c>
      <c r="W60" s="520">
        <f t="shared" si="11"/>
        <v>78544.224200800003</v>
      </c>
      <c r="X60" s="520">
        <f t="shared" si="12"/>
        <v>-6544.224200800003</v>
      </c>
      <c r="Y60" s="525">
        <f t="shared" si="13"/>
        <v>-90255.114355263984</v>
      </c>
    </row>
    <row r="61" spans="3:25" x14ac:dyDescent="0.2">
      <c r="C61" s="387">
        <f t="shared" si="5"/>
        <v>42383</v>
      </c>
      <c r="D61" s="388">
        <f t="shared" si="6"/>
        <v>149288.64774193548</v>
      </c>
      <c r="E61" s="392">
        <f t="shared" si="7"/>
        <v>73934.429999999993</v>
      </c>
      <c r="F61" s="428">
        <f t="shared" si="0"/>
        <v>0.91261170999999996</v>
      </c>
      <c r="G61" s="390">
        <f t="shared" si="1"/>
        <v>67.473399999999998</v>
      </c>
      <c r="H61" s="391">
        <f t="shared" si="2"/>
        <v>223291.46375364545</v>
      </c>
      <c r="I61" s="324">
        <v>70000</v>
      </c>
      <c r="J61" s="325"/>
      <c r="K61" s="325"/>
      <c r="L61" s="319">
        <v>73934.429999999993</v>
      </c>
      <c r="M61" s="320"/>
      <c r="N61" s="320"/>
      <c r="O61" s="320"/>
      <c r="P61" s="392">
        <f t="shared" si="8"/>
        <v>73934.429999999993</v>
      </c>
      <c r="Q61" s="392">
        <f t="shared" si="3"/>
        <v>0</v>
      </c>
      <c r="R61" s="392">
        <f t="shared" si="4"/>
        <v>0</v>
      </c>
      <c r="S61" s="522"/>
      <c r="T61" s="523"/>
      <c r="U61" s="524">
        <f t="shared" si="9"/>
        <v>-70000</v>
      </c>
      <c r="V61" s="520">
        <f t="shared" si="10"/>
        <v>70000</v>
      </c>
      <c r="W61" s="520">
        <f t="shared" si="11"/>
        <v>78004.963978079992</v>
      </c>
      <c r="X61" s="520">
        <f t="shared" si="12"/>
        <v>-8004.9639780799916</v>
      </c>
      <c r="Y61" s="525">
        <f t="shared" si="13"/>
        <v>-98260.078333343976</v>
      </c>
    </row>
    <row r="62" spans="3:25" x14ac:dyDescent="0.2">
      <c r="C62" s="387">
        <f t="shared" si="5"/>
        <v>42384</v>
      </c>
      <c r="D62" s="388">
        <f t="shared" si="6"/>
        <v>149288.64774193548</v>
      </c>
      <c r="E62" s="392">
        <f t="shared" si="7"/>
        <v>74160.210000000006</v>
      </c>
      <c r="F62" s="428">
        <f t="shared" si="0"/>
        <v>0.91261170999999996</v>
      </c>
      <c r="G62" s="390">
        <f t="shared" si="1"/>
        <v>67.679500000000004</v>
      </c>
      <c r="H62" s="391">
        <f t="shared" si="2"/>
        <v>223517.44985364546</v>
      </c>
      <c r="I62" s="324">
        <v>70000</v>
      </c>
      <c r="J62" s="325"/>
      <c r="K62" s="325"/>
      <c r="L62" s="317">
        <v>74160.210000000006</v>
      </c>
      <c r="M62" s="318"/>
      <c r="N62" s="318"/>
      <c r="O62" s="318"/>
      <c r="P62" s="392">
        <f t="shared" si="8"/>
        <v>74160.210000000006</v>
      </c>
      <c r="Q62" s="392">
        <f t="shared" si="3"/>
        <v>0</v>
      </c>
      <c r="R62" s="392">
        <f t="shared" si="4"/>
        <v>0</v>
      </c>
      <c r="S62" s="522"/>
      <c r="T62" s="523"/>
      <c r="U62" s="524">
        <f t="shared" si="9"/>
        <v>-70000</v>
      </c>
      <c r="V62" s="520">
        <f t="shared" si="10"/>
        <v>70000</v>
      </c>
      <c r="W62" s="520">
        <f t="shared" si="11"/>
        <v>78243.174521760011</v>
      </c>
      <c r="X62" s="520">
        <f t="shared" si="12"/>
        <v>-8243.174521760011</v>
      </c>
      <c r="Y62" s="525">
        <f t="shared" si="13"/>
        <v>-106503.25285510399</v>
      </c>
    </row>
    <row r="63" spans="3:25" x14ac:dyDescent="0.2">
      <c r="C63" s="387">
        <f t="shared" si="5"/>
        <v>42385</v>
      </c>
      <c r="D63" s="388">
        <f t="shared" si="6"/>
        <v>149288.64774193548</v>
      </c>
      <c r="E63" s="392">
        <f t="shared" si="7"/>
        <v>73607.05</v>
      </c>
      <c r="F63" s="428">
        <f t="shared" si="0"/>
        <v>0.91261170999999996</v>
      </c>
      <c r="G63" s="390">
        <f t="shared" si="1"/>
        <v>67.174700000000001</v>
      </c>
      <c r="H63" s="391">
        <f t="shared" si="2"/>
        <v>222963.78505364549</v>
      </c>
      <c r="I63" s="324">
        <v>70000</v>
      </c>
      <c r="J63" s="325"/>
      <c r="K63" s="325"/>
      <c r="L63" s="319">
        <v>73607.05</v>
      </c>
      <c r="M63" s="320"/>
      <c r="N63" s="320"/>
      <c r="O63" s="320"/>
      <c r="P63" s="392">
        <f t="shared" si="8"/>
        <v>73607.05</v>
      </c>
      <c r="Q63" s="392">
        <f t="shared" si="3"/>
        <v>0</v>
      </c>
      <c r="R63" s="392">
        <f t="shared" si="4"/>
        <v>0</v>
      </c>
      <c r="S63" s="522"/>
      <c r="T63" s="523"/>
      <c r="U63" s="524">
        <f t="shared" si="9"/>
        <v>-70000</v>
      </c>
      <c r="V63" s="520">
        <f t="shared" si="10"/>
        <v>70000</v>
      </c>
      <c r="W63" s="520">
        <f t="shared" si="11"/>
        <v>77659.559744800004</v>
      </c>
      <c r="X63" s="520">
        <f t="shared" si="12"/>
        <v>-7659.5597448000044</v>
      </c>
      <c r="Y63" s="525">
        <f t="shared" si="13"/>
        <v>-114162.81259990399</v>
      </c>
    </row>
    <row r="64" spans="3:25" x14ac:dyDescent="0.2">
      <c r="C64" s="387">
        <f t="shared" si="5"/>
        <v>42386</v>
      </c>
      <c r="D64" s="388">
        <f t="shared" si="6"/>
        <v>149288.64774193548</v>
      </c>
      <c r="E64" s="392">
        <f t="shared" si="7"/>
        <v>72570.960000000006</v>
      </c>
      <c r="F64" s="428">
        <f t="shared" si="0"/>
        <v>0.91261170999999996</v>
      </c>
      <c r="G64" s="390">
        <f t="shared" si="1"/>
        <v>66.229100000000003</v>
      </c>
      <c r="H64" s="391">
        <f t="shared" si="2"/>
        <v>221926.74945364546</v>
      </c>
      <c r="I64" s="324">
        <v>70000</v>
      </c>
      <c r="J64" s="325"/>
      <c r="K64" s="325"/>
      <c r="L64" s="317">
        <v>72570.960000000006</v>
      </c>
      <c r="M64" s="318"/>
      <c r="N64" s="318"/>
      <c r="O64" s="318"/>
      <c r="P64" s="392">
        <f t="shared" si="8"/>
        <v>72570.960000000006</v>
      </c>
      <c r="Q64" s="392">
        <f t="shared" si="3"/>
        <v>0</v>
      </c>
      <c r="R64" s="392">
        <f t="shared" si="4"/>
        <v>0</v>
      </c>
      <c r="S64" s="522"/>
      <c r="T64" s="523"/>
      <c r="U64" s="524">
        <f t="shared" si="9"/>
        <v>-70000</v>
      </c>
      <c r="V64" s="520">
        <f t="shared" si="10"/>
        <v>70000</v>
      </c>
      <c r="W64" s="520">
        <f t="shared" si="11"/>
        <v>76566.426773760002</v>
      </c>
      <c r="X64" s="520">
        <f t="shared" si="12"/>
        <v>-6566.4267737600021</v>
      </c>
      <c r="Y64" s="525">
        <f t="shared" si="13"/>
        <v>-120729.23937366399</v>
      </c>
    </row>
    <row r="65" spans="2:38" x14ac:dyDescent="0.2">
      <c r="C65" s="387">
        <f t="shared" si="5"/>
        <v>42387</v>
      </c>
      <c r="D65" s="388">
        <f t="shared" si="6"/>
        <v>149288.64774193548</v>
      </c>
      <c r="E65" s="392">
        <f t="shared" si="7"/>
        <v>71629.012000000002</v>
      </c>
      <c r="F65" s="428">
        <f t="shared" si="0"/>
        <v>0.91261170999999996</v>
      </c>
      <c r="G65" s="390">
        <f t="shared" si="1"/>
        <v>65.369500000000002</v>
      </c>
      <c r="H65" s="391">
        <f t="shared" si="2"/>
        <v>220983.94185364549</v>
      </c>
      <c r="I65" s="324">
        <v>70000</v>
      </c>
      <c r="J65" s="325"/>
      <c r="K65" s="325"/>
      <c r="L65" s="319">
        <v>71629.012000000002</v>
      </c>
      <c r="M65" s="320"/>
      <c r="N65" s="320"/>
      <c r="O65" s="320"/>
      <c r="P65" s="392">
        <f t="shared" si="8"/>
        <v>71629.012000000002</v>
      </c>
      <c r="Q65" s="392">
        <f t="shared" si="3"/>
        <v>0</v>
      </c>
      <c r="R65" s="392">
        <f t="shared" si="4"/>
        <v>0</v>
      </c>
      <c r="S65" s="522"/>
      <c r="T65" s="523"/>
      <c r="U65" s="524">
        <f t="shared" si="9"/>
        <v>-70000</v>
      </c>
      <c r="V65" s="520">
        <f t="shared" si="10"/>
        <v>70000</v>
      </c>
      <c r="W65" s="520">
        <f t="shared" si="11"/>
        <v>75572.618884672003</v>
      </c>
      <c r="X65" s="520">
        <f t="shared" si="12"/>
        <v>-5572.6188846720033</v>
      </c>
      <c r="Y65" s="525">
        <f t="shared" si="13"/>
        <v>-126301.858258336</v>
      </c>
    </row>
    <row r="66" spans="2:38" x14ac:dyDescent="0.2">
      <c r="C66" s="387">
        <f t="shared" si="5"/>
        <v>42388</v>
      </c>
      <c r="D66" s="388">
        <f t="shared" si="6"/>
        <v>149288.64774193548</v>
      </c>
      <c r="E66" s="392">
        <f t="shared" si="7"/>
        <v>71213.899999999994</v>
      </c>
      <c r="F66" s="428">
        <f t="shared" si="0"/>
        <v>0.91261170999999996</v>
      </c>
      <c r="G66" s="390">
        <f t="shared" si="1"/>
        <v>64.990600000000001</v>
      </c>
      <c r="H66" s="391">
        <f t="shared" si="2"/>
        <v>220568.45095364546</v>
      </c>
      <c r="I66" s="324">
        <v>70000</v>
      </c>
      <c r="J66" s="325"/>
      <c r="K66" s="325"/>
      <c r="L66" s="317">
        <v>71213.899999999994</v>
      </c>
      <c r="M66" s="318"/>
      <c r="N66" s="318"/>
      <c r="O66" s="318"/>
      <c r="P66" s="392">
        <f t="shared" si="8"/>
        <v>71213.899999999994</v>
      </c>
      <c r="Q66" s="392">
        <f t="shared" si="3"/>
        <v>0</v>
      </c>
      <c r="R66" s="392">
        <f t="shared" si="4"/>
        <v>0</v>
      </c>
      <c r="S66" s="522"/>
      <c r="T66" s="523"/>
      <c r="U66" s="524">
        <f t="shared" si="9"/>
        <v>-70000</v>
      </c>
      <c r="V66" s="520">
        <f t="shared" si="10"/>
        <v>70000</v>
      </c>
      <c r="W66" s="520">
        <f t="shared" si="11"/>
        <v>75134.652478399992</v>
      </c>
      <c r="X66" s="520">
        <f t="shared" si="12"/>
        <v>-5134.6524783999921</v>
      </c>
      <c r="Y66" s="525">
        <f t="shared" si="13"/>
        <v>-131436.510736736</v>
      </c>
    </row>
    <row r="67" spans="2:38" x14ac:dyDescent="0.2">
      <c r="C67" s="387">
        <f t="shared" si="5"/>
        <v>42389</v>
      </c>
      <c r="D67" s="388">
        <f t="shared" si="6"/>
        <v>149288.64774193548</v>
      </c>
      <c r="E67" s="392">
        <f t="shared" si="7"/>
        <v>69863.39</v>
      </c>
      <c r="F67" s="428">
        <f t="shared" si="0"/>
        <v>0.91261170999999996</v>
      </c>
      <c r="G67" s="390">
        <f t="shared" si="1"/>
        <v>63.758099999999999</v>
      </c>
      <c r="H67" s="391">
        <f t="shared" si="2"/>
        <v>219216.70845364546</v>
      </c>
      <c r="I67" s="324">
        <v>70000</v>
      </c>
      <c r="J67" s="325"/>
      <c r="K67" s="325"/>
      <c r="L67" s="319">
        <v>69863.39</v>
      </c>
      <c r="M67" s="320"/>
      <c r="N67" s="320"/>
      <c r="O67" s="320"/>
      <c r="P67" s="392">
        <f t="shared" si="8"/>
        <v>69863.39</v>
      </c>
      <c r="Q67" s="392">
        <f t="shared" si="3"/>
        <v>0</v>
      </c>
      <c r="R67" s="392">
        <f t="shared" si="4"/>
        <v>0</v>
      </c>
      <c r="S67" s="522"/>
      <c r="T67" s="523"/>
      <c r="U67" s="524">
        <f t="shared" si="9"/>
        <v>-70000</v>
      </c>
      <c r="V67" s="520">
        <f t="shared" si="10"/>
        <v>70000</v>
      </c>
      <c r="W67" s="520">
        <f t="shared" si="11"/>
        <v>73709.788799839996</v>
      </c>
      <c r="X67" s="520">
        <f t="shared" si="12"/>
        <v>-3709.7887998399965</v>
      </c>
      <c r="Y67" s="525">
        <f t="shared" si="13"/>
        <v>-135146.299536576</v>
      </c>
    </row>
    <row r="68" spans="2:38" x14ac:dyDescent="0.2">
      <c r="C68" s="387">
        <f t="shared" si="5"/>
        <v>42390</v>
      </c>
      <c r="D68" s="388">
        <f t="shared" si="6"/>
        <v>149288.64774193548</v>
      </c>
      <c r="E68" s="392">
        <f t="shared" si="7"/>
        <v>73998.03</v>
      </c>
      <c r="F68" s="428">
        <f t="shared" si="0"/>
        <v>0.91261170999999996</v>
      </c>
      <c r="G68" s="390">
        <f t="shared" si="1"/>
        <v>67.531499999999994</v>
      </c>
      <c r="H68" s="391">
        <f t="shared" si="2"/>
        <v>223355.12185364548</v>
      </c>
      <c r="I68" s="324">
        <v>70000</v>
      </c>
      <c r="J68" s="325"/>
      <c r="K68" s="325"/>
      <c r="L68" s="317">
        <v>73998.03</v>
      </c>
      <c r="M68" s="318"/>
      <c r="N68" s="318"/>
      <c r="O68" s="318"/>
      <c r="P68" s="392">
        <f t="shared" si="8"/>
        <v>73998.03</v>
      </c>
      <c r="Q68" s="392">
        <f t="shared" si="3"/>
        <v>0</v>
      </c>
      <c r="R68" s="392">
        <f t="shared" si="4"/>
        <v>0</v>
      </c>
      <c r="S68" s="522"/>
      <c r="T68" s="523"/>
      <c r="U68" s="524">
        <f t="shared" si="9"/>
        <v>-70000</v>
      </c>
      <c r="V68" s="520">
        <f t="shared" si="10"/>
        <v>70000</v>
      </c>
      <c r="W68" s="520">
        <f t="shared" si="11"/>
        <v>78072.065539679999</v>
      </c>
      <c r="X68" s="520">
        <f t="shared" si="12"/>
        <v>-8072.0655396799993</v>
      </c>
      <c r="Y68" s="525">
        <f t="shared" si="13"/>
        <v>-143218.36507625598</v>
      </c>
    </row>
    <row r="69" spans="2:38" x14ac:dyDescent="0.2">
      <c r="C69" s="387">
        <f t="shared" si="5"/>
        <v>42391</v>
      </c>
      <c r="D69" s="388">
        <f t="shared" si="6"/>
        <v>149288.64774193548</v>
      </c>
      <c r="E69" s="392">
        <f t="shared" si="7"/>
        <v>74220</v>
      </c>
      <c r="F69" s="428">
        <f t="shared" si="0"/>
        <v>0.91261170999999996</v>
      </c>
      <c r="G69" s="390">
        <f t="shared" si="1"/>
        <v>67.733999999999995</v>
      </c>
      <c r="H69" s="391">
        <f t="shared" si="2"/>
        <v>223577.29435364547</v>
      </c>
      <c r="I69" s="324">
        <v>60000</v>
      </c>
      <c r="J69" s="325"/>
      <c r="K69" s="325"/>
      <c r="L69" s="319">
        <v>74220</v>
      </c>
      <c r="M69" s="320"/>
      <c r="N69" s="320"/>
      <c r="O69" s="320"/>
      <c r="P69" s="392">
        <f t="shared" si="8"/>
        <v>74220</v>
      </c>
      <c r="Q69" s="392">
        <f t="shared" si="3"/>
        <v>0</v>
      </c>
      <c r="R69" s="392">
        <f t="shared" si="4"/>
        <v>0</v>
      </c>
      <c r="S69" s="522"/>
      <c r="T69" s="523"/>
      <c r="U69" s="524">
        <f t="shared" si="9"/>
        <v>-60000</v>
      </c>
      <c r="V69" s="520">
        <f t="shared" si="10"/>
        <v>60000</v>
      </c>
      <c r="W69" s="520">
        <f t="shared" si="11"/>
        <v>78306.25632</v>
      </c>
      <c r="X69" s="520">
        <f t="shared" si="12"/>
        <v>-18306.25632</v>
      </c>
      <c r="Y69" s="525">
        <f t="shared" si="13"/>
        <v>-161524.62139625597</v>
      </c>
    </row>
    <row r="70" spans="2:38" x14ac:dyDescent="0.2">
      <c r="C70" s="387">
        <f t="shared" si="5"/>
        <v>42392</v>
      </c>
      <c r="D70" s="388">
        <f t="shared" si="6"/>
        <v>149288.64774193548</v>
      </c>
      <c r="E70" s="392">
        <f t="shared" si="7"/>
        <v>72171.244000000006</v>
      </c>
      <c r="F70" s="428">
        <f t="shared" si="0"/>
        <v>0.91261170999999996</v>
      </c>
      <c r="G70" s="390">
        <f t="shared" si="1"/>
        <v>65.8643</v>
      </c>
      <c r="H70" s="391">
        <f t="shared" si="2"/>
        <v>221526.66865364547</v>
      </c>
      <c r="I70" s="324">
        <v>60000</v>
      </c>
      <c r="J70" s="325"/>
      <c r="K70" s="325"/>
      <c r="L70" s="317">
        <v>72171.244000000006</v>
      </c>
      <c r="M70" s="318"/>
      <c r="N70" s="318"/>
      <c r="O70" s="318"/>
      <c r="P70" s="392">
        <f t="shared" si="8"/>
        <v>72171.244000000006</v>
      </c>
      <c r="Q70" s="392">
        <f t="shared" si="3"/>
        <v>0</v>
      </c>
      <c r="R70" s="392">
        <f t="shared" si="4"/>
        <v>0</v>
      </c>
      <c r="S70" s="522"/>
      <c r="T70" s="523"/>
      <c r="U70" s="524">
        <f t="shared" si="9"/>
        <v>-60000</v>
      </c>
      <c r="V70" s="520">
        <f t="shared" si="10"/>
        <v>60000</v>
      </c>
      <c r="W70" s="520">
        <f t="shared" si="11"/>
        <v>76144.704009664012</v>
      </c>
      <c r="X70" s="520">
        <f t="shared" si="12"/>
        <v>-16144.704009664012</v>
      </c>
      <c r="Y70" s="525">
        <f t="shared" si="13"/>
        <v>-177669.32540591998</v>
      </c>
    </row>
    <row r="71" spans="2:38" x14ac:dyDescent="0.2">
      <c r="C71" s="387">
        <f t="shared" si="5"/>
        <v>42393</v>
      </c>
      <c r="D71" s="388">
        <f t="shared" si="6"/>
        <v>149288.64774193548</v>
      </c>
      <c r="E71" s="392">
        <f t="shared" si="7"/>
        <v>73160.55</v>
      </c>
      <c r="F71" s="428">
        <f t="shared" si="0"/>
        <v>0.91261170999999996</v>
      </c>
      <c r="G71" s="390">
        <f t="shared" si="1"/>
        <v>66.767200000000003</v>
      </c>
      <c r="H71" s="391">
        <f t="shared" si="2"/>
        <v>222516.87755364549</v>
      </c>
      <c r="I71" s="324">
        <v>60000</v>
      </c>
      <c r="J71" s="325"/>
      <c r="K71" s="325"/>
      <c r="L71" s="319">
        <v>73160.55</v>
      </c>
      <c r="M71" s="320"/>
      <c r="N71" s="320"/>
      <c r="O71" s="320"/>
      <c r="P71" s="392">
        <f t="shared" si="8"/>
        <v>73160.55</v>
      </c>
      <c r="Q71" s="392">
        <f t="shared" si="3"/>
        <v>0</v>
      </c>
      <c r="R71" s="392">
        <f t="shared" si="4"/>
        <v>0</v>
      </c>
      <c r="S71" s="522"/>
      <c r="T71" s="523"/>
      <c r="U71" s="524">
        <f t="shared" si="9"/>
        <v>-60000</v>
      </c>
      <c r="V71" s="520">
        <f t="shared" si="10"/>
        <v>60000</v>
      </c>
      <c r="W71" s="520">
        <f t="shared" si="11"/>
        <v>77188.477240799999</v>
      </c>
      <c r="X71" s="520">
        <f t="shared" si="12"/>
        <v>-17188.477240799999</v>
      </c>
      <c r="Y71" s="525">
        <f t="shared" si="13"/>
        <v>-194857.80264671997</v>
      </c>
    </row>
    <row r="72" spans="2:38" x14ac:dyDescent="0.2">
      <c r="C72" s="387">
        <f t="shared" si="5"/>
        <v>42394</v>
      </c>
      <c r="D72" s="388">
        <f t="shared" si="6"/>
        <v>149288.64774193548</v>
      </c>
      <c r="E72" s="392">
        <f t="shared" si="7"/>
        <v>74265.27</v>
      </c>
      <c r="F72" s="428">
        <f t="shared" si="0"/>
        <v>0.91261170999999996</v>
      </c>
      <c r="G72" s="390">
        <f t="shared" si="1"/>
        <v>67.775400000000005</v>
      </c>
      <c r="H72" s="391">
        <f t="shared" si="2"/>
        <v>223622.60575364548</v>
      </c>
      <c r="I72" s="324">
        <v>60000</v>
      </c>
      <c r="J72" s="325"/>
      <c r="K72" s="325"/>
      <c r="L72" s="317">
        <v>74265.27</v>
      </c>
      <c r="M72" s="318"/>
      <c r="N72" s="318"/>
      <c r="O72" s="318"/>
      <c r="P72" s="392">
        <f t="shared" si="8"/>
        <v>74265.27</v>
      </c>
      <c r="Q72" s="392">
        <f t="shared" si="3"/>
        <v>0</v>
      </c>
      <c r="R72" s="392">
        <f t="shared" si="4"/>
        <v>0</v>
      </c>
      <c r="S72" s="522"/>
      <c r="T72" s="523"/>
      <c r="U72" s="524">
        <f t="shared" si="9"/>
        <v>-60000</v>
      </c>
      <c r="V72" s="520">
        <f t="shared" si="10"/>
        <v>60000</v>
      </c>
      <c r="W72" s="520">
        <f t="shared" si="11"/>
        <v>78354.018705120005</v>
      </c>
      <c r="X72" s="520">
        <f t="shared" si="12"/>
        <v>-18354.018705120005</v>
      </c>
      <c r="Y72" s="525">
        <f t="shared" si="13"/>
        <v>-213211.82135183999</v>
      </c>
    </row>
    <row r="73" spans="2:38" x14ac:dyDescent="0.2">
      <c r="C73" s="387">
        <f t="shared" si="5"/>
        <v>42395</v>
      </c>
      <c r="D73" s="388">
        <f t="shared" si="6"/>
        <v>149288.64774193548</v>
      </c>
      <c r="E73" s="392">
        <f t="shared" si="7"/>
        <v>74629.815000000002</v>
      </c>
      <c r="F73" s="428">
        <f t="shared" si="0"/>
        <v>0.91261170999999996</v>
      </c>
      <c r="G73" s="390">
        <f t="shared" si="1"/>
        <v>68.108000000000004</v>
      </c>
      <c r="H73" s="391">
        <f t="shared" si="2"/>
        <v>223987.48335364548</v>
      </c>
      <c r="I73" s="324">
        <v>60000</v>
      </c>
      <c r="J73" s="325"/>
      <c r="K73" s="325"/>
      <c r="L73" s="319">
        <v>74629.815000000002</v>
      </c>
      <c r="M73" s="320"/>
      <c r="N73" s="320"/>
      <c r="O73" s="320"/>
      <c r="P73" s="392">
        <f t="shared" si="8"/>
        <v>74629.815000000002</v>
      </c>
      <c r="Q73" s="392">
        <f t="shared" si="3"/>
        <v>0</v>
      </c>
      <c r="R73" s="392">
        <f t="shared" si="4"/>
        <v>0</v>
      </c>
      <c r="S73" s="522"/>
      <c r="T73" s="523"/>
      <c r="U73" s="524">
        <f t="shared" si="9"/>
        <v>-60000</v>
      </c>
      <c r="V73" s="520">
        <f t="shared" si="10"/>
        <v>60000</v>
      </c>
      <c r="W73" s="520">
        <f t="shared" si="11"/>
        <v>78738.634094640001</v>
      </c>
      <c r="X73" s="520">
        <f t="shared" si="12"/>
        <v>-18738.634094640001</v>
      </c>
      <c r="Y73" s="525">
        <f t="shared" si="13"/>
        <v>-231950.45544647999</v>
      </c>
    </row>
    <row r="74" spans="2:38" x14ac:dyDescent="0.2">
      <c r="C74" s="387">
        <f t="shared" si="5"/>
        <v>42396</v>
      </c>
      <c r="D74" s="388">
        <f t="shared" si="6"/>
        <v>149288.64774193548</v>
      </c>
      <c r="E74" s="392">
        <f t="shared" si="7"/>
        <v>74639.06</v>
      </c>
      <c r="F74" s="428">
        <f t="shared" si="0"/>
        <v>0.91261170999999996</v>
      </c>
      <c r="G74" s="390">
        <f t="shared" si="1"/>
        <v>68.116500000000002</v>
      </c>
      <c r="H74" s="391">
        <f t="shared" si="2"/>
        <v>223996.73685364547</v>
      </c>
      <c r="I74" s="324">
        <v>60000</v>
      </c>
      <c r="J74" s="325"/>
      <c r="K74" s="325"/>
      <c r="L74" s="317">
        <v>74639.06</v>
      </c>
      <c r="M74" s="318"/>
      <c r="N74" s="318"/>
      <c r="O74" s="318"/>
      <c r="P74" s="392">
        <f t="shared" si="8"/>
        <v>74639.06</v>
      </c>
      <c r="Q74" s="392">
        <f t="shared" si="3"/>
        <v>0</v>
      </c>
      <c r="R74" s="392">
        <f t="shared" si="4"/>
        <v>0</v>
      </c>
      <c r="S74" s="522"/>
      <c r="T74" s="523"/>
      <c r="U74" s="524">
        <f t="shared" si="9"/>
        <v>-60000</v>
      </c>
      <c r="V74" s="520">
        <f t="shared" si="10"/>
        <v>60000</v>
      </c>
      <c r="W74" s="520">
        <f t="shared" si="11"/>
        <v>78748.388087359999</v>
      </c>
      <c r="X74" s="520">
        <f t="shared" si="12"/>
        <v>-18748.388087359999</v>
      </c>
      <c r="Y74" s="525">
        <f t="shared" si="13"/>
        <v>-250698.84353383997</v>
      </c>
    </row>
    <row r="75" spans="2:38" x14ac:dyDescent="0.2">
      <c r="C75" s="387">
        <f t="shared" si="5"/>
        <v>42397</v>
      </c>
      <c r="D75" s="388">
        <f t="shared" si="6"/>
        <v>149288.64774193548</v>
      </c>
      <c r="E75" s="392">
        <f t="shared" si="7"/>
        <v>72516.73</v>
      </c>
      <c r="F75" s="428">
        <f t="shared" si="0"/>
        <v>0.91261170999999996</v>
      </c>
      <c r="G75" s="390">
        <f t="shared" si="1"/>
        <v>66.179599999999994</v>
      </c>
      <c r="H75" s="391">
        <f t="shared" si="2"/>
        <v>221872.46995364549</v>
      </c>
      <c r="I75" s="324">
        <v>70000</v>
      </c>
      <c r="J75" s="325"/>
      <c r="K75" s="325"/>
      <c r="L75" s="319">
        <v>72516.73</v>
      </c>
      <c r="M75" s="320"/>
      <c r="N75" s="320"/>
      <c r="O75" s="320"/>
      <c r="P75" s="392">
        <f t="shared" si="8"/>
        <v>72516.73</v>
      </c>
      <c r="Q75" s="392">
        <f t="shared" si="3"/>
        <v>0</v>
      </c>
      <c r="R75" s="392">
        <f t="shared" si="4"/>
        <v>0</v>
      </c>
      <c r="S75" s="522"/>
      <c r="T75" s="523"/>
      <c r="U75" s="524">
        <f t="shared" si="9"/>
        <v>-70000</v>
      </c>
      <c r="V75" s="520">
        <f t="shared" si="10"/>
        <v>70000</v>
      </c>
      <c r="W75" s="520">
        <f t="shared" si="11"/>
        <v>76509.211086879994</v>
      </c>
      <c r="X75" s="520">
        <f t="shared" si="12"/>
        <v>-6509.2110868799937</v>
      </c>
      <c r="Y75" s="525">
        <f t="shared" si="13"/>
        <v>-257208.05462071998</v>
      </c>
    </row>
    <row r="76" spans="2:38" x14ac:dyDescent="0.2">
      <c r="C76" s="387">
        <f t="shared" si="5"/>
        <v>42398</v>
      </c>
      <c r="D76" s="388">
        <f t="shared" si="6"/>
        <v>149288.64774193548</v>
      </c>
      <c r="E76" s="392">
        <f t="shared" si="7"/>
        <v>74368.372000000003</v>
      </c>
      <c r="F76" s="428">
        <f t="shared" si="0"/>
        <v>0.91261170999999996</v>
      </c>
      <c r="G76" s="390">
        <f t="shared" si="1"/>
        <v>67.869399999999999</v>
      </c>
      <c r="H76" s="391">
        <f t="shared" si="2"/>
        <v>223725.80175364547</v>
      </c>
      <c r="I76" s="324">
        <v>68000</v>
      </c>
      <c r="J76" s="325"/>
      <c r="K76" s="325"/>
      <c r="L76" s="317">
        <v>74368.372000000003</v>
      </c>
      <c r="M76" s="318"/>
      <c r="N76" s="318"/>
      <c r="O76" s="318"/>
      <c r="P76" s="392">
        <f t="shared" si="8"/>
        <v>74368.372000000003</v>
      </c>
      <c r="Q76" s="392">
        <f t="shared" si="3"/>
        <v>0</v>
      </c>
      <c r="R76" s="392">
        <f t="shared" si="4"/>
        <v>0</v>
      </c>
      <c r="S76" s="522"/>
      <c r="T76" s="523"/>
      <c r="U76" s="524">
        <f t="shared" si="9"/>
        <v>-68000</v>
      </c>
      <c r="V76" s="520">
        <f t="shared" si="10"/>
        <v>68000</v>
      </c>
      <c r="W76" s="520">
        <f t="shared" si="11"/>
        <v>78462.797088831998</v>
      </c>
      <c r="X76" s="520">
        <f t="shared" si="12"/>
        <v>-10462.797088831998</v>
      </c>
      <c r="Y76" s="525">
        <f t="shared" si="13"/>
        <v>-267670.85170955199</v>
      </c>
    </row>
    <row r="77" spans="2:38" x14ac:dyDescent="0.2">
      <c r="C77" s="387">
        <f t="shared" si="5"/>
        <v>42399</v>
      </c>
      <c r="D77" s="388">
        <f t="shared" si="6"/>
        <v>149288.64774193548</v>
      </c>
      <c r="E77" s="392">
        <f t="shared" si="7"/>
        <v>74447.740000000005</v>
      </c>
      <c r="F77" s="428">
        <f t="shared" si="0"/>
        <v>0.91261170999999996</v>
      </c>
      <c r="G77" s="390">
        <f t="shared" si="1"/>
        <v>67.941900000000004</v>
      </c>
      <c r="H77" s="391">
        <f t="shared" si="2"/>
        <v>223805.2422536455</v>
      </c>
      <c r="I77" s="324">
        <v>68000</v>
      </c>
      <c r="J77" s="325"/>
      <c r="K77" s="325"/>
      <c r="L77" s="319">
        <v>74447.740000000005</v>
      </c>
      <c r="M77" s="320"/>
      <c r="N77" s="320"/>
      <c r="O77" s="320"/>
      <c r="P77" s="392">
        <f t="shared" si="8"/>
        <v>74447.740000000005</v>
      </c>
      <c r="Q77" s="392">
        <f t="shared" si="3"/>
        <v>0</v>
      </c>
      <c r="R77" s="392">
        <f t="shared" si="4"/>
        <v>0</v>
      </c>
      <c r="S77" s="522"/>
      <c r="T77" s="523"/>
      <c r="U77" s="524">
        <f t="shared" si="9"/>
        <v>-68000</v>
      </c>
      <c r="V77" s="520">
        <f t="shared" si="10"/>
        <v>68000</v>
      </c>
      <c r="W77" s="520">
        <f t="shared" si="11"/>
        <v>78546.534773439998</v>
      </c>
      <c r="X77" s="520">
        <f t="shared" si="12"/>
        <v>-10546.534773439998</v>
      </c>
      <c r="Y77" s="525">
        <f t="shared" si="13"/>
        <v>-278217.38648299198</v>
      </c>
    </row>
    <row r="78" spans="2:38" ht="15" thickBot="1" x14ac:dyDescent="0.25">
      <c r="C78" s="393">
        <f t="shared" si="5"/>
        <v>42400</v>
      </c>
      <c r="D78" s="394">
        <f t="shared" si="6"/>
        <v>149288.64774193548</v>
      </c>
      <c r="E78" s="395">
        <f t="shared" si="7"/>
        <v>74699.712</v>
      </c>
      <c r="F78" s="429">
        <f t="shared" si="0"/>
        <v>0.91261170999999996</v>
      </c>
      <c r="G78" s="396">
        <f t="shared" si="1"/>
        <v>68.171800000000005</v>
      </c>
      <c r="H78" s="397">
        <f t="shared" si="2"/>
        <v>224057.44415364548</v>
      </c>
      <c r="I78" s="326">
        <v>68000</v>
      </c>
      <c r="J78" s="327"/>
      <c r="K78" s="327"/>
      <c r="L78" s="321">
        <v>74699.712</v>
      </c>
      <c r="M78" s="322"/>
      <c r="N78" s="322"/>
      <c r="O78" s="322"/>
      <c r="P78" s="395">
        <f t="shared" si="8"/>
        <v>74699.712</v>
      </c>
      <c r="Q78" s="395">
        <f t="shared" si="3"/>
        <v>0</v>
      </c>
      <c r="R78" s="395">
        <f t="shared" si="4"/>
        <v>0</v>
      </c>
      <c r="S78" s="526"/>
      <c r="T78" s="527"/>
      <c r="U78" s="521">
        <f t="shared" si="9"/>
        <v>-68000</v>
      </c>
      <c r="V78" s="528">
        <f t="shared" si="10"/>
        <v>68000</v>
      </c>
      <c r="W78" s="528">
        <f t="shared" si="11"/>
        <v>78812.379343872002</v>
      </c>
      <c r="X78" s="528">
        <f t="shared" si="12"/>
        <v>-10812.379343872002</v>
      </c>
      <c r="Y78" s="529">
        <f t="shared" si="13"/>
        <v>-289029.76582686399</v>
      </c>
    </row>
    <row r="79" spans="2:38" ht="15" thickBot="1" x14ac:dyDescent="0.25">
      <c r="C79" s="398"/>
      <c r="D79" s="399">
        <f>SUM(D48:D78)</f>
        <v>4627948.0800000019</v>
      </c>
      <c r="E79" s="400">
        <f>SUM(E48:E78)</f>
        <v>2243469.3189999997</v>
      </c>
      <c r="F79" s="400"/>
      <c r="G79" s="401">
        <f>SUM(G48:G78)</f>
        <v>2047.4164000000001</v>
      </c>
      <c r="H79" s="399">
        <f>SUM(H48:H78)</f>
        <v>6873493.1063630115</v>
      </c>
      <c r="I79" s="432">
        <f>SUM(I48:I78)</f>
        <v>2077956</v>
      </c>
      <c r="J79" s="432">
        <f t="shared" ref="J79:R79" si="14">SUM(J48:J78)</f>
        <v>0</v>
      </c>
      <c r="K79" s="432">
        <f t="shared" si="14"/>
        <v>0</v>
      </c>
      <c r="L79" s="432">
        <f t="shared" si="14"/>
        <v>2243469.3189999997</v>
      </c>
      <c r="M79" s="432">
        <f t="shared" si="14"/>
        <v>0</v>
      </c>
      <c r="N79" s="432">
        <f t="shared" si="14"/>
        <v>0</v>
      </c>
      <c r="O79" s="432">
        <f t="shared" si="14"/>
        <v>0</v>
      </c>
      <c r="P79" s="432">
        <f t="shared" si="14"/>
        <v>2243469.3189999997</v>
      </c>
      <c r="Q79" s="432">
        <f t="shared" si="14"/>
        <v>0</v>
      </c>
      <c r="R79" s="432">
        <f t="shared" si="14"/>
        <v>0</v>
      </c>
      <c r="U79" s="1"/>
      <c r="V79" s="328">
        <f>SUM(V48:V78)</f>
        <v>2077956</v>
      </c>
      <c r="W79" s="328">
        <f>SUM(W48:W78)</f>
        <v>2366985.7658268642</v>
      </c>
      <c r="X79" s="328">
        <v>15500</v>
      </c>
      <c r="Y79" s="323">
        <f>SUM(L48:L78)</f>
        <v>2243469.3189999997</v>
      </c>
      <c r="AL79" s="361">
        <f>Y78</f>
        <v>-289029.76582686399</v>
      </c>
    </row>
    <row r="80" spans="2:38" ht="15" customHeight="1" x14ac:dyDescent="0.2">
      <c r="B80"/>
      <c r="C80"/>
      <c r="D80"/>
      <c r="E80"/>
      <c r="F80"/>
      <c r="G80"/>
      <c r="H80"/>
      <c r="I80"/>
      <c r="J80"/>
      <c r="K80"/>
      <c r="L80"/>
      <c r="N80" s="2"/>
    </row>
  </sheetData>
  <mergeCells count="12">
    <mergeCell ref="G7:H7"/>
    <mergeCell ref="D23:E23"/>
    <mergeCell ref="D24:E24"/>
    <mergeCell ref="C3:M4"/>
    <mergeCell ref="C5:M5"/>
    <mergeCell ref="C6:M6"/>
    <mergeCell ref="C28:F28"/>
    <mergeCell ref="C38:F38"/>
    <mergeCell ref="S46:Y46"/>
    <mergeCell ref="C9:D9"/>
    <mergeCell ref="C10:D10"/>
    <mergeCell ref="C11:D11"/>
  </mergeCells>
  <conditionalFormatting sqref="L48:O78">
    <cfRule type="cellIs" dxfId="142" priority="1" stopIfTrue="1" operator="equal">
      <formula>0</formula>
    </cfRule>
  </conditionalFormatting>
  <pageMargins left="0.7" right="0.7" top="0.75" bottom="0.75" header="0.3" footer="0.3"/>
  <pageSetup orientation="portrait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81"/>
  <sheetViews>
    <sheetView workbookViewId="0"/>
  </sheetViews>
  <sheetFormatPr baseColWidth="10" defaultColWidth="11" defaultRowHeight="14.25" x14ac:dyDescent="0.2"/>
  <cols>
    <col min="1" max="1" width="11" style="2"/>
    <col min="2" max="2" width="3.875" style="2" bestFit="1" customWidth="1"/>
    <col min="3" max="3" width="16.125" style="2" customWidth="1"/>
    <col min="4" max="4" width="12.375" style="2" bestFit="1" customWidth="1"/>
    <col min="5" max="5" width="10.875" style="2" bestFit="1" customWidth="1"/>
    <col min="6" max="6" width="17.125" style="2" bestFit="1" customWidth="1"/>
    <col min="7" max="7" width="13.125" style="2" bestFit="1" customWidth="1"/>
    <col min="8" max="8" width="12.125" style="2" bestFit="1" customWidth="1"/>
    <col min="9" max="9" width="11.125" style="2" bestFit="1" customWidth="1"/>
    <col min="10" max="10" width="11.875" style="2" bestFit="1" customWidth="1"/>
    <col min="11" max="11" width="11.625" style="2" bestFit="1" customWidth="1"/>
    <col min="12" max="12" width="12.125" style="2" customWidth="1"/>
    <col min="13" max="13" width="11.625" style="2" bestFit="1" customWidth="1"/>
    <col min="14" max="14" width="14.5" style="1" customWidth="1"/>
    <col min="15" max="15" width="10.375" style="2" customWidth="1"/>
    <col min="16" max="25" width="11" style="2"/>
    <col min="26" max="35" width="10.875" customWidth="1"/>
    <col min="36" max="16384" width="11" style="2"/>
  </cols>
  <sheetData>
    <row r="1" spans="1:25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25" x14ac:dyDescent="0.2">
      <c r="A2" s="1"/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1:25" ht="15" customHeight="1" x14ac:dyDescent="0.2">
      <c r="A3" s="1"/>
      <c r="B3" s="1"/>
      <c r="C3" s="2254" t="s">
        <v>0</v>
      </c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</row>
    <row r="4" spans="1:25" ht="15" customHeight="1" x14ac:dyDescent="0.2">
      <c r="A4" s="1"/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</row>
    <row r="5" spans="1:25" x14ac:dyDescent="0.2">
      <c r="A5" s="1"/>
      <c r="B5" s="1"/>
      <c r="C5" s="2257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</row>
    <row r="6" spans="1:25" x14ac:dyDescent="0.2">
      <c r="A6" s="1"/>
      <c r="B6" s="1"/>
      <c r="C6" s="2257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</row>
    <row r="7" spans="1:25" x14ac:dyDescent="0.2">
      <c r="A7" s="1"/>
      <c r="B7" s="1"/>
      <c r="C7" s="414"/>
      <c r="D7" s="414"/>
      <c r="E7" s="414"/>
      <c r="F7" s="414"/>
      <c r="G7" s="2271">
        <v>42401</v>
      </c>
      <c r="H7" s="2257"/>
      <c r="I7" s="414"/>
      <c r="J7" s="414"/>
      <c r="K7" s="414"/>
      <c r="L7" s="414"/>
      <c r="M7" s="414"/>
      <c r="N7" s="18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x14ac:dyDescent="0.2">
      <c r="A8" s="1"/>
      <c r="B8" s="1"/>
      <c r="C8" s="414"/>
      <c r="D8" s="414"/>
      <c r="E8" s="414"/>
      <c r="F8" s="414"/>
      <c r="G8" s="414"/>
      <c r="H8" s="414"/>
      <c r="I8" s="414"/>
      <c r="J8" s="414"/>
      <c r="K8" s="414"/>
      <c r="L8" s="414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25.5" x14ac:dyDescent="0.2">
      <c r="A9" s="1"/>
      <c r="B9" s="1"/>
      <c r="C9" s="2272" t="s">
        <v>6</v>
      </c>
      <c r="D9" s="2272"/>
      <c r="E9" s="415" t="s">
        <v>94</v>
      </c>
      <c r="F9" s="415" t="s">
        <v>126</v>
      </c>
      <c r="G9" s="410" t="s">
        <v>133</v>
      </c>
      <c r="H9" s="415" t="s">
        <v>127</v>
      </c>
      <c r="I9" s="415" t="s">
        <v>128</v>
      </c>
      <c r="J9" s="414"/>
      <c r="K9" s="414"/>
      <c r="L9" s="414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x14ac:dyDescent="0.2">
      <c r="A10" s="1"/>
      <c r="B10" s="1"/>
      <c r="C10" s="2270" t="s">
        <v>131</v>
      </c>
      <c r="D10" s="2270"/>
      <c r="E10" s="433">
        <f>IF(C15=0,D15,C15)</f>
        <v>4627948.08</v>
      </c>
      <c r="F10" s="407">
        <f>E10*0.16</f>
        <v>740471.69280000008</v>
      </c>
      <c r="G10" s="407">
        <f>E10+F10</f>
        <v>5368419.7728000004</v>
      </c>
      <c r="H10" s="1316" t="s">
        <v>161</v>
      </c>
      <c r="I10" s="667">
        <v>17.403400000000001</v>
      </c>
      <c r="J10" s="414"/>
      <c r="K10" s="414"/>
      <c r="L10" s="414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x14ac:dyDescent="0.2">
      <c r="A11" s="1"/>
      <c r="B11" s="1"/>
      <c r="C11" s="2270" t="s">
        <v>132</v>
      </c>
      <c r="D11" s="2270"/>
      <c r="E11" s="433">
        <f>IF(C16=0,D16,C16)</f>
        <v>1885.67</v>
      </c>
      <c r="F11" s="407">
        <f>E11*0.16</f>
        <v>301.7072</v>
      </c>
      <c r="G11" s="407">
        <f>E11+F11</f>
        <v>2187.3771999999999</v>
      </c>
      <c r="H11" s="1316" t="s">
        <v>161</v>
      </c>
      <c r="I11" s="667">
        <v>17.772300000000001</v>
      </c>
      <c r="J11" s="414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x14ac:dyDescent="0.2">
      <c r="A12" s="1"/>
      <c r="B12" s="1"/>
      <c r="C12" s="414"/>
      <c r="D12" s="414"/>
      <c r="E12" s="414"/>
      <c r="F12" s="414"/>
      <c r="G12" s="414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ht="15" thickBot="1" x14ac:dyDescent="0.25">
      <c r="A13" s="1"/>
      <c r="B13" s="1"/>
      <c r="C13" s="414"/>
      <c r="D13" s="414"/>
      <c r="E13" s="414"/>
      <c r="F13" s="414"/>
      <c r="G13" s="414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x14ac:dyDescent="0.2">
      <c r="A14" s="1"/>
      <c r="B14" s="1"/>
      <c r="C14" s="440" t="s">
        <v>155</v>
      </c>
      <c r="D14" s="441" t="s">
        <v>156</v>
      </c>
      <c r="E14" s="442" t="s">
        <v>112</v>
      </c>
      <c r="F14" s="414"/>
      <c r="G14" s="414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x14ac:dyDescent="0.2">
      <c r="A15" s="1"/>
      <c r="B15" s="1"/>
      <c r="C15" s="443">
        <v>4627948.08</v>
      </c>
      <c r="D15" s="444">
        <f>D80</f>
        <v>4627948.0799999991</v>
      </c>
      <c r="E15" s="445">
        <f>C15-D15</f>
        <v>0</v>
      </c>
      <c r="F15" s="414"/>
      <c r="G15" s="414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ht="15" thickBot="1" x14ac:dyDescent="0.25">
      <c r="A16" s="1"/>
      <c r="B16" s="1"/>
      <c r="C16" s="446">
        <v>1885.67</v>
      </c>
      <c r="D16" s="447">
        <f>ROUND(G80,2)</f>
        <v>1885.67</v>
      </c>
      <c r="E16" s="448">
        <f>C16-D16</f>
        <v>0</v>
      </c>
      <c r="F16" s="414"/>
      <c r="G16" s="414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x14ac:dyDescent="0.2">
      <c r="A17" s="1"/>
      <c r="B17" s="1"/>
      <c r="C17" s="414"/>
      <c r="D17" s="414"/>
      <c r="E17" s="414"/>
      <c r="F17" s="414"/>
      <c r="G17" s="414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x14ac:dyDescent="0.2">
      <c r="A18" s="1"/>
      <c r="B18" s="1"/>
      <c r="C18" s="414"/>
      <c r="D18" s="414"/>
      <c r="E18" s="414"/>
      <c r="F18" s="414"/>
      <c r="G18" s="414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x14ac:dyDescent="0.2">
      <c r="A19" s="1"/>
      <c r="B19" s="1"/>
      <c r="C19" s="414"/>
      <c r="D19" s="414"/>
      <c r="E19" s="414"/>
      <c r="F19" s="414"/>
      <c r="G19" s="414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x14ac:dyDescent="0.2">
      <c r="A20" s="1"/>
      <c r="B20" s="1"/>
      <c r="C20" s="414"/>
      <c r="D20" s="414"/>
      <c r="E20" s="414"/>
      <c r="F20" s="414"/>
      <c r="G20" s="414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x14ac:dyDescent="0.2">
      <c r="A21" s="1"/>
      <c r="B21" s="1"/>
      <c r="C21" s="414"/>
      <c r="D21" s="414"/>
      <c r="E21" s="414"/>
      <c r="F21" s="414"/>
      <c r="G21" s="414"/>
      <c r="H21" s="1"/>
      <c r="I21" s="1"/>
      <c r="J21" s="1"/>
      <c r="K21" s="1"/>
      <c r="L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ht="15" thickBot="1" x14ac:dyDescent="0.25">
      <c r="A22" s="1"/>
      <c r="B22" s="1"/>
      <c r="C22" s="419" t="s">
        <v>137</v>
      </c>
      <c r="D22" s="414" t="s">
        <v>138</v>
      </c>
      <c r="E22" s="414"/>
      <c r="F22" s="414" t="s">
        <v>139</v>
      </c>
      <c r="G22" s="414" t="s">
        <v>157</v>
      </c>
      <c r="H22" s="414" t="s">
        <v>143</v>
      </c>
      <c r="I22" s="414" t="s">
        <v>142</v>
      </c>
      <c r="J22" s="414" t="s">
        <v>141</v>
      </c>
      <c r="K22" s="414" t="s">
        <v>140</v>
      </c>
      <c r="L22" s="414" t="s">
        <v>144</v>
      </c>
      <c r="M22" s="414" t="s">
        <v>146</v>
      </c>
      <c r="N22" s="414"/>
      <c r="O22" s="414"/>
      <c r="P22" s="414"/>
      <c r="Q22" s="1"/>
      <c r="R22" s="1"/>
      <c r="S22" s="1"/>
      <c r="T22" s="1"/>
      <c r="U22" s="1"/>
      <c r="V22" s="1"/>
      <c r="W22" s="1"/>
      <c r="X22" s="1"/>
      <c r="Y22" s="1"/>
    </row>
    <row r="23" spans="1:25" ht="36.75" customHeight="1" x14ac:dyDescent="0.2">
      <c r="A23" s="1"/>
      <c r="B23" s="1"/>
      <c r="C23" s="402" t="s">
        <v>134</v>
      </c>
      <c r="D23" s="2261" t="s">
        <v>135</v>
      </c>
      <c r="E23" s="2262"/>
      <c r="F23" s="417" t="s">
        <v>136</v>
      </c>
      <c r="G23" s="461" t="s">
        <v>153</v>
      </c>
      <c r="H23" s="420" t="s">
        <v>129</v>
      </c>
      <c r="I23" s="403" t="s">
        <v>130</v>
      </c>
      <c r="J23" s="422"/>
      <c r="K23" s="422"/>
      <c r="L23" s="422"/>
      <c r="M23" s="404" t="s">
        <v>158</v>
      </c>
      <c r="N23" s="414"/>
      <c r="O23" s="414"/>
      <c r="P23" s="414"/>
      <c r="Q23" s="414"/>
      <c r="R23" s="414"/>
      <c r="S23" s="414"/>
      <c r="T23" s="414"/>
      <c r="U23" s="1"/>
      <c r="V23" s="1"/>
      <c r="W23" s="1"/>
      <c r="X23" s="1"/>
      <c r="Y23" s="1"/>
    </row>
    <row r="24" spans="1:25" x14ac:dyDescent="0.2">
      <c r="A24" s="1"/>
      <c r="B24" s="1"/>
      <c r="C24" s="405">
        <v>850</v>
      </c>
      <c r="D24" s="2263">
        <v>850</v>
      </c>
      <c r="E24" s="2264"/>
      <c r="F24" s="418">
        <v>31482640</v>
      </c>
      <c r="G24" s="462">
        <v>29</v>
      </c>
      <c r="H24" s="460">
        <f>VLOOKUP(C47,Tarifas!D4:H303,3)</f>
        <v>0.14699999999999999</v>
      </c>
      <c r="I24" s="424">
        <f>VLOOKUP(C47,Tarifas!D4:H303,5)</f>
        <v>1E-3</v>
      </c>
      <c r="J24" s="421">
        <v>182.5</v>
      </c>
      <c r="K24" s="421">
        <v>201.4</v>
      </c>
      <c r="L24" s="421"/>
      <c r="M24" s="431">
        <f>E80</f>
        <v>2080956.9680320001</v>
      </c>
      <c r="N24" s="430" t="s">
        <v>62</v>
      </c>
      <c r="O24" s="414"/>
      <c r="P24" s="414"/>
      <c r="Q24" s="414"/>
      <c r="R24" s="414"/>
      <c r="S24" s="414"/>
      <c r="T24" s="414"/>
      <c r="U24" s="1"/>
      <c r="V24" s="1"/>
      <c r="W24" s="1"/>
      <c r="X24" s="1"/>
      <c r="Y24" s="1"/>
    </row>
    <row r="25" spans="1:25" x14ac:dyDescent="0.2">
      <c r="A25" s="1"/>
      <c r="B25" s="1"/>
      <c r="C25" s="414"/>
      <c r="D25" s="414"/>
      <c r="E25" s="414"/>
      <c r="F25" s="414"/>
      <c r="G25" s="414"/>
      <c r="H25" s="414"/>
      <c r="I25" s="414"/>
      <c r="J25" s="414"/>
      <c r="K25" s="414"/>
      <c r="L25" s="414"/>
      <c r="M25" s="414"/>
      <c r="N25" s="414"/>
      <c r="O25" s="414"/>
      <c r="P25" s="414"/>
      <c r="Q25" s="414"/>
      <c r="R25" s="414"/>
      <c r="S25" s="1"/>
      <c r="T25" s="1"/>
      <c r="U25" s="1"/>
      <c r="V25" s="1"/>
      <c r="W25" s="1"/>
      <c r="X25" s="1"/>
      <c r="Y25" s="1"/>
    </row>
    <row r="26" spans="1:25" x14ac:dyDescent="0.2">
      <c r="A26" s="1"/>
      <c r="B26" s="1"/>
      <c r="C26" s="414"/>
      <c r="D26" s="414"/>
      <c r="E26" s="414"/>
      <c r="F26" s="414"/>
      <c r="G26" s="414"/>
      <c r="H26" s="414"/>
      <c r="I26" s="414"/>
      <c r="J26" s="414"/>
      <c r="K26" s="414"/>
      <c r="L26" s="414"/>
      <c r="M26" s="414"/>
      <c r="N26" s="414"/>
      <c r="O26" s="414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x14ac:dyDescent="0.2">
      <c r="A27" s="1"/>
      <c r="B27" s="1"/>
      <c r="C27" s="414"/>
      <c r="D27" s="414"/>
      <c r="E27" s="414"/>
      <c r="F27" s="414"/>
      <c r="G27" s="414"/>
      <c r="H27" s="414"/>
      <c r="I27" s="414"/>
      <c r="J27" s="414"/>
      <c r="K27" s="414"/>
      <c r="L27" s="414"/>
      <c r="M27" s="414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ht="15" thickBot="1" x14ac:dyDescent="0.25">
      <c r="A28" s="1"/>
      <c r="B28" s="1"/>
      <c r="C28" s="2265" t="s">
        <v>86</v>
      </c>
      <c r="D28" s="2265"/>
      <c r="E28" s="2265"/>
      <c r="F28" s="2265"/>
      <c r="G28" s="335"/>
      <c r="H28" s="334"/>
      <c r="I28" s="334"/>
      <c r="J28" s="334"/>
      <c r="K28" s="335"/>
      <c r="L28" s="336"/>
      <c r="M28" s="336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ht="22.5" x14ac:dyDescent="0.2">
      <c r="A29" s="1"/>
      <c r="B29" s="1"/>
      <c r="C29" s="337" t="s">
        <v>87</v>
      </c>
      <c r="D29" s="412" t="s">
        <v>88</v>
      </c>
      <c r="E29" s="412" t="s">
        <v>89</v>
      </c>
      <c r="F29" s="412" t="s">
        <v>20</v>
      </c>
      <c r="G29" s="412" t="s">
        <v>160</v>
      </c>
      <c r="H29" s="412" t="s">
        <v>90</v>
      </c>
      <c r="I29" s="412" t="s">
        <v>91</v>
      </c>
      <c r="J29" s="412" t="s">
        <v>92</v>
      </c>
      <c r="K29" s="412" t="s">
        <v>93</v>
      </c>
      <c r="L29" s="412" t="s">
        <v>94</v>
      </c>
      <c r="M29" s="413" t="s">
        <v>95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x14ac:dyDescent="0.2">
      <c r="A30" s="1"/>
      <c r="B30" s="1"/>
      <c r="C30" s="338"/>
      <c r="D30" s="339">
        <v>1</v>
      </c>
      <c r="E30" s="339" t="s">
        <v>96</v>
      </c>
      <c r="F30" s="340" t="s">
        <v>97</v>
      </c>
      <c r="G30" s="340">
        <v>2201</v>
      </c>
      <c r="H30" s="339">
        <v>20823</v>
      </c>
      <c r="I30" s="341"/>
      <c r="J30" s="339">
        <v>138.15</v>
      </c>
      <c r="K30" s="342">
        <f>I30/I$35</f>
        <v>0</v>
      </c>
      <c r="L30" s="343">
        <f>ROUND(K30*E$10,2)</f>
        <v>0</v>
      </c>
      <c r="M30" s="344">
        <f>L30*$I$10</f>
        <v>0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x14ac:dyDescent="0.2">
      <c r="A31" s="1"/>
      <c r="B31" s="1"/>
      <c r="C31" s="338"/>
      <c r="D31" s="339">
        <v>2</v>
      </c>
      <c r="E31" s="339" t="s">
        <v>98</v>
      </c>
      <c r="F31" s="340" t="s">
        <v>97</v>
      </c>
      <c r="G31" s="340">
        <v>2201</v>
      </c>
      <c r="H31" s="339">
        <v>20824</v>
      </c>
      <c r="I31" s="341"/>
      <c r="J31" s="339">
        <v>138.15</v>
      </c>
      <c r="K31" s="342">
        <f>I31/I$35</f>
        <v>0</v>
      </c>
      <c r="L31" s="343">
        <f>ROUND(K31*E$10,2)</f>
        <v>0</v>
      </c>
      <c r="M31" s="344">
        <f>L31*$I$10</f>
        <v>0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x14ac:dyDescent="0.2">
      <c r="A32" s="1"/>
      <c r="B32" s="1"/>
      <c r="C32" s="338"/>
      <c r="D32" s="339">
        <v>1</v>
      </c>
      <c r="E32" s="339" t="s">
        <v>99</v>
      </c>
      <c r="F32" s="340" t="s">
        <v>100</v>
      </c>
      <c r="G32" s="340">
        <v>2230</v>
      </c>
      <c r="H32" s="339">
        <v>22228</v>
      </c>
      <c r="I32" s="341"/>
      <c r="J32" s="339">
        <v>130.80000000000001</v>
      </c>
      <c r="K32" s="342">
        <f>I32/I$35</f>
        <v>0</v>
      </c>
      <c r="L32" s="343">
        <f>ROUND(K32*E$10,2)</f>
        <v>0</v>
      </c>
      <c r="M32" s="344">
        <f>L32*$I$10</f>
        <v>0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x14ac:dyDescent="0.2">
      <c r="A33" s="1"/>
      <c r="B33" s="1"/>
      <c r="C33" s="338">
        <v>800762390</v>
      </c>
      <c r="D33" s="339">
        <v>1</v>
      </c>
      <c r="E33" s="354" t="s">
        <v>101</v>
      </c>
      <c r="F33" s="463" t="s">
        <v>23</v>
      </c>
      <c r="G33" s="463">
        <v>2044</v>
      </c>
      <c r="H33" s="354">
        <v>591000420</v>
      </c>
      <c r="I33" s="341">
        <v>80000</v>
      </c>
      <c r="J33" s="339"/>
      <c r="K33" s="342">
        <f>I33/I$35</f>
        <v>9.4117647058823528E-2</v>
      </c>
      <c r="L33" s="343">
        <f>ROUND(K33*E$10,2)</f>
        <v>435571.58</v>
      </c>
      <c r="M33" s="344">
        <f>L33*$I$10</f>
        <v>7580426.4353720006</v>
      </c>
      <c r="N33" s="464">
        <f>L33*12</f>
        <v>5226858.96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ht="15" thickBot="1" x14ac:dyDescent="0.25">
      <c r="A34" s="1"/>
      <c r="B34" s="1"/>
      <c r="C34" s="345">
        <v>800642440</v>
      </c>
      <c r="D34" s="346">
        <v>5</v>
      </c>
      <c r="E34" s="347" t="s">
        <v>101</v>
      </c>
      <c r="F34" s="348" t="s">
        <v>159</v>
      </c>
      <c r="G34" s="348">
        <v>2277</v>
      </c>
      <c r="H34" s="347">
        <v>22770</v>
      </c>
      <c r="I34" s="349">
        <f>850000-I30-I31-I32-I33</f>
        <v>770000</v>
      </c>
      <c r="J34" s="346"/>
      <c r="K34" s="350">
        <f>I34/I$35</f>
        <v>0.90588235294117647</v>
      </c>
      <c r="L34" s="351">
        <f>ROUND(K34*E$10,2)</f>
        <v>4192376.5</v>
      </c>
      <c r="M34" s="352">
        <f>L34*$I$10</f>
        <v>72961605.180100009</v>
      </c>
      <c r="N34" s="464">
        <f>SUM(L34)*12</f>
        <v>50308518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x14ac:dyDescent="0.2">
      <c r="A35" s="1"/>
      <c r="B35" s="1"/>
      <c r="C35" s="406">
        <v>3000623</v>
      </c>
      <c r="D35" s="353" t="s">
        <v>102</v>
      </c>
      <c r="E35" s="353"/>
      <c r="F35" s="353"/>
      <c r="G35" s="353"/>
      <c r="H35" s="354"/>
      <c r="I35" s="355">
        <f>SUM(I30:I34)</f>
        <v>850000</v>
      </c>
      <c r="J35" s="353"/>
      <c r="K35" s="356">
        <f>SUM(K30:K34)</f>
        <v>1</v>
      </c>
      <c r="L35" s="357">
        <f>SUM(L30:L34)</f>
        <v>4627948.08</v>
      </c>
      <c r="M35" s="357">
        <f>SUM(M30:M34)</f>
        <v>80542031.615472004</v>
      </c>
      <c r="N35" s="472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x14ac:dyDescent="0.2">
      <c r="A36" s="1"/>
      <c r="B36" s="1"/>
      <c r="C36" s="336"/>
      <c r="D36" s="336"/>
      <c r="E36" s="336"/>
      <c r="F36" s="358"/>
      <c r="G36" s="358"/>
      <c r="H36" s="358"/>
      <c r="I36" s="336"/>
      <c r="J36" s="336"/>
      <c r="K36" s="336"/>
      <c r="L36" s="336"/>
      <c r="M36" s="359"/>
      <c r="N36" s="464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x14ac:dyDescent="0.2">
      <c r="A37" s="1"/>
      <c r="B37" s="1"/>
      <c r="C37" s="336"/>
      <c r="D37" s="336"/>
      <c r="E37" s="336"/>
      <c r="F37" s="358"/>
      <c r="G37" s="358"/>
      <c r="H37" s="358"/>
      <c r="I37" s="336"/>
      <c r="J37" s="336"/>
      <c r="K37" s="336"/>
      <c r="L37" s="336"/>
      <c r="M37" s="359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x14ac:dyDescent="0.2">
      <c r="A38" s="1"/>
      <c r="B38" s="1"/>
      <c r="C38" s="336"/>
      <c r="D38" s="336"/>
      <c r="E38" s="336"/>
      <c r="F38" s="358"/>
      <c r="G38" s="358"/>
      <c r="H38" s="358"/>
      <c r="I38" s="336"/>
      <c r="J38" s="336"/>
      <c r="K38" s="336"/>
      <c r="L38" s="336"/>
      <c r="M38" s="359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ht="15" thickBot="1" x14ac:dyDescent="0.25">
      <c r="A39" s="1"/>
      <c r="B39" s="1"/>
      <c r="C39" s="2266" t="s">
        <v>103</v>
      </c>
      <c r="D39" s="2266"/>
      <c r="E39" s="2266"/>
      <c r="F39" s="2266"/>
      <c r="G39" s="335"/>
      <c r="H39" s="334"/>
      <c r="I39" s="334"/>
      <c r="J39" s="334"/>
      <c r="K39" s="336"/>
      <c r="L39" s="336"/>
      <c r="M39" s="360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ht="22.5" x14ac:dyDescent="0.2">
      <c r="A40" s="1"/>
      <c r="B40" s="1"/>
      <c r="C40" s="337" t="s">
        <v>87</v>
      </c>
      <c r="D40" s="412" t="s">
        <v>88</v>
      </c>
      <c r="E40" s="412" t="s">
        <v>89</v>
      </c>
      <c r="F40" s="412" t="s">
        <v>20</v>
      </c>
      <c r="G40" s="412"/>
      <c r="H40" s="412" t="s">
        <v>90</v>
      </c>
      <c r="I40" s="412" t="s">
        <v>104</v>
      </c>
      <c r="J40" s="412" t="s">
        <v>93</v>
      </c>
      <c r="K40" s="412" t="s">
        <v>92</v>
      </c>
      <c r="L40" s="412" t="s">
        <v>94</v>
      </c>
      <c r="M40" s="413" t="s">
        <v>95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x14ac:dyDescent="0.2">
      <c r="A41" s="1"/>
      <c r="B41" s="1"/>
      <c r="C41" s="338"/>
      <c r="D41" s="339">
        <v>1</v>
      </c>
      <c r="E41" s="339" t="s">
        <v>96</v>
      </c>
      <c r="F41" s="340" t="s">
        <v>97</v>
      </c>
      <c r="G41" s="340"/>
      <c r="H41" s="339">
        <v>20823</v>
      </c>
      <c r="I41" s="341">
        <f>M80</f>
        <v>0</v>
      </c>
      <c r="J41" s="342">
        <f>I41/I$45</f>
        <v>0</v>
      </c>
      <c r="K41" s="339">
        <v>138.15</v>
      </c>
      <c r="L41" s="343">
        <f>ROUND(J41*$E$11,2)</f>
        <v>0</v>
      </c>
      <c r="M41" s="344">
        <f>L41*L24</f>
        <v>0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x14ac:dyDescent="0.2">
      <c r="A42" s="1"/>
      <c r="B42" s="1"/>
      <c r="C42" s="338"/>
      <c r="D42" s="339">
        <v>2</v>
      </c>
      <c r="E42" s="339" t="s">
        <v>98</v>
      </c>
      <c r="F42" s="340" t="s">
        <v>97</v>
      </c>
      <c r="G42" s="340"/>
      <c r="H42" s="339">
        <v>20824</v>
      </c>
      <c r="I42" s="341">
        <f>N80</f>
        <v>0</v>
      </c>
      <c r="J42" s="342">
        <f>I42/I$45</f>
        <v>0</v>
      </c>
      <c r="K42" s="339">
        <v>138.15</v>
      </c>
      <c r="L42" s="343">
        <f>ROUND(J42*$E$11,2)</f>
        <v>0</v>
      </c>
      <c r="M42" s="344">
        <f>L42*L25</f>
        <v>0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x14ac:dyDescent="0.2">
      <c r="A43" s="1"/>
      <c r="B43" s="1"/>
      <c r="C43" s="338"/>
      <c r="D43" s="339">
        <v>1</v>
      </c>
      <c r="E43" s="339" t="s">
        <v>99</v>
      </c>
      <c r="F43" s="340" t="s">
        <v>100</v>
      </c>
      <c r="G43" s="340"/>
      <c r="H43" s="339">
        <v>22228</v>
      </c>
      <c r="I43" s="341">
        <f>O80</f>
        <v>0</v>
      </c>
      <c r="J43" s="342">
        <f>I43/I$45</f>
        <v>0</v>
      </c>
      <c r="K43" s="339">
        <v>130.80000000000001</v>
      </c>
      <c r="L43" s="343">
        <f>ROUND(J43*$E$11,2)</f>
        <v>0</v>
      </c>
      <c r="M43" s="344">
        <f>L43*L26</f>
        <v>0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ht="15" thickBot="1" x14ac:dyDescent="0.25">
      <c r="A44" s="1"/>
      <c r="B44" s="1"/>
      <c r="C44" s="345">
        <v>800762390</v>
      </c>
      <c r="D44" s="346">
        <v>2</v>
      </c>
      <c r="E44" s="347" t="s">
        <v>101</v>
      </c>
      <c r="F44" s="348" t="s">
        <v>23</v>
      </c>
      <c r="G44" s="348"/>
      <c r="H44" s="347"/>
      <c r="I44" s="349">
        <f>L80</f>
        <v>2080956.9680320001</v>
      </c>
      <c r="J44" s="350">
        <f>I44/I$45</f>
        <v>1</v>
      </c>
      <c r="K44" s="346">
        <v>138.15</v>
      </c>
      <c r="L44" s="351">
        <f>ROUND(J44*$E$11,2)</f>
        <v>1885.67</v>
      </c>
      <c r="M44" s="352">
        <f>L44*I11</f>
        <v>33512.692941000001</v>
      </c>
      <c r="N44" s="464" t="s">
        <v>162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x14ac:dyDescent="0.2">
      <c r="A45" s="1"/>
      <c r="B45" s="1"/>
      <c r="C45" s="353"/>
      <c r="D45" s="353"/>
      <c r="E45" s="353"/>
      <c r="F45" s="353"/>
      <c r="G45" s="353"/>
      <c r="H45" s="354"/>
      <c r="I45" s="449">
        <f>SUM(I41:I44)</f>
        <v>2080956.9680320001</v>
      </c>
      <c r="J45" s="355"/>
      <c r="K45" s="353"/>
      <c r="L45" s="357">
        <f>SUM(L41:L44)</f>
        <v>1885.67</v>
      </c>
      <c r="M45" s="357">
        <f>SUM(M41:M44)</f>
        <v>33512.692941000001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customFormat="1" ht="15" thickBot="1" x14ac:dyDescent="0.25">
      <c r="A46" s="450"/>
      <c r="B46" s="450"/>
      <c r="M46" s="450"/>
      <c r="N46" s="450"/>
      <c r="O46" s="450"/>
      <c r="P46" s="450"/>
      <c r="Q46" s="450"/>
      <c r="R46" s="450"/>
      <c r="S46" s="450"/>
      <c r="T46" s="450"/>
      <c r="U46" s="450"/>
      <c r="V46" s="450"/>
      <c r="W46" s="450"/>
      <c r="X46" s="450"/>
      <c r="Y46" s="450"/>
    </row>
    <row r="47" spans="1:25" ht="15" thickBot="1" x14ac:dyDescent="0.25">
      <c r="A47" s="1"/>
      <c r="B47" s="465" t="s">
        <v>3</v>
      </c>
      <c r="C47" s="333">
        <f>SUMIF(Tarifas!E4:E303,'Febrero - 2016'!C49,Tarifas!D4:D303)</f>
        <v>31</v>
      </c>
      <c r="D47" s="425" t="s">
        <v>147</v>
      </c>
      <c r="E47" s="426" t="s">
        <v>145</v>
      </c>
      <c r="F47" s="426" t="s">
        <v>150</v>
      </c>
      <c r="G47" s="426" t="s">
        <v>148</v>
      </c>
      <c r="H47" s="382"/>
      <c r="I47" s="331" t="s">
        <v>120</v>
      </c>
      <c r="J47" s="332"/>
      <c r="K47" s="332"/>
      <c r="L47" s="364" t="s">
        <v>105</v>
      </c>
      <c r="M47" s="365"/>
      <c r="N47" s="365"/>
      <c r="O47" s="365"/>
      <c r="P47" s="365"/>
      <c r="Q47" s="365"/>
      <c r="R47" s="366"/>
      <c r="S47" s="2267" t="s">
        <v>121</v>
      </c>
      <c r="T47" s="2268"/>
      <c r="U47" s="2268"/>
      <c r="V47" s="2268"/>
      <c r="W47" s="2268"/>
      <c r="X47" s="2268"/>
      <c r="Y47" s="2269"/>
    </row>
    <row r="48" spans="1:25" ht="33.75" x14ac:dyDescent="0.2">
      <c r="A48" s="1" t="s">
        <v>29</v>
      </c>
      <c r="B48" s="1" t="s">
        <v>154</v>
      </c>
      <c r="C48" s="383" t="s">
        <v>122</v>
      </c>
      <c r="D48" s="384" t="s">
        <v>125</v>
      </c>
      <c r="E48" s="385" t="s">
        <v>149</v>
      </c>
      <c r="F48" s="385" t="s">
        <v>151</v>
      </c>
      <c r="G48" s="385" t="s">
        <v>152</v>
      </c>
      <c r="H48" s="386" t="s">
        <v>123</v>
      </c>
      <c r="I48" s="329" t="s">
        <v>109</v>
      </c>
      <c r="J48" s="330" t="s">
        <v>25</v>
      </c>
      <c r="K48" s="330" t="s">
        <v>26</v>
      </c>
      <c r="L48" s="367" t="s">
        <v>115</v>
      </c>
      <c r="M48" s="362" t="s">
        <v>106</v>
      </c>
      <c r="N48" s="362" t="s">
        <v>107</v>
      </c>
      <c r="O48" s="362" t="s">
        <v>108</v>
      </c>
      <c r="P48" s="362" t="s">
        <v>115</v>
      </c>
      <c r="Q48" s="363" t="s">
        <v>116</v>
      </c>
      <c r="R48" s="368" t="s">
        <v>117</v>
      </c>
      <c r="S48" s="369" t="s">
        <v>110</v>
      </c>
      <c r="T48" s="370" t="s">
        <v>111</v>
      </c>
      <c r="U48" s="370" t="s">
        <v>112</v>
      </c>
      <c r="V48" s="371" t="s">
        <v>118</v>
      </c>
      <c r="W48" s="371" t="s">
        <v>119</v>
      </c>
      <c r="X48" s="371" t="s">
        <v>114</v>
      </c>
      <c r="Y48" s="372" t="s">
        <v>113</v>
      </c>
    </row>
    <row r="49" spans="1:25" x14ac:dyDescent="0.2">
      <c r="A49" s="1">
        <f>MONTH(C49)</f>
        <v>2</v>
      </c>
      <c r="B49" s="1">
        <f>YEAR(C49)</f>
        <v>2016</v>
      </c>
      <c r="C49" s="387">
        <f>G7</f>
        <v>42401</v>
      </c>
      <c r="D49" s="388">
        <f>($F$24*$H$24)/$G$24</f>
        <v>159584.41655172413</v>
      </c>
      <c r="E49" s="389">
        <f>P49+Q49+R49</f>
        <v>76994.63</v>
      </c>
      <c r="F49" s="427">
        <f t="shared" ref="F49:F77" si="0">TRUNC(IFERROR(J$24/K$24,0),8)</f>
        <v>0.90615690000000004</v>
      </c>
      <c r="G49" s="390">
        <f t="shared" ref="G49:G77" si="1">ROUND(I$24*F49*E49,4)</f>
        <v>69.769199999999998</v>
      </c>
      <c r="H49" s="391">
        <f t="shared" ref="H49:H77" si="2">SUM(D49:G49)</f>
        <v>236649.72190862414</v>
      </c>
      <c r="I49" s="324">
        <v>68000</v>
      </c>
      <c r="J49" s="325"/>
      <c r="K49" s="325"/>
      <c r="L49" s="317">
        <v>76994.63</v>
      </c>
      <c r="M49" s="318"/>
      <c r="N49" s="318"/>
      <c r="O49" s="318"/>
      <c r="P49" s="389">
        <f>L49</f>
        <v>76994.63</v>
      </c>
      <c r="Q49" s="389">
        <f t="shared" ref="Q49:Q77" si="3">M49+N49</f>
        <v>0</v>
      </c>
      <c r="R49" s="389">
        <f t="shared" ref="R49:R77" si="4">O49</f>
        <v>0</v>
      </c>
      <c r="S49" s="373"/>
      <c r="T49" s="374"/>
      <c r="U49" s="524">
        <f>S49+T49-V49</f>
        <v>-68000</v>
      </c>
      <c r="V49" s="520">
        <f>I49+J49+K49</f>
        <v>68000</v>
      </c>
      <c r="W49" s="520">
        <f>(P49+Q49+R49)*1.055056</f>
        <v>81233.64634928001</v>
      </c>
      <c r="X49" s="520">
        <f>V49-W49</f>
        <v>-13233.64634928001</v>
      </c>
      <c r="Y49" s="525">
        <f>Y46+X49</f>
        <v>-13233.64634928001</v>
      </c>
    </row>
    <row r="50" spans="1:25" x14ac:dyDescent="0.2">
      <c r="A50" s="1"/>
      <c r="B50" s="1"/>
      <c r="C50" s="387">
        <f t="shared" ref="C50:C77" si="5">C49+1</f>
        <v>42402</v>
      </c>
      <c r="D50" s="388">
        <f t="shared" ref="D50:D77" si="6">($F$24*$H$24)/$G$24</f>
        <v>159584.41655172413</v>
      </c>
      <c r="E50" s="392">
        <f t="shared" ref="E50:E77" si="7">P50+Q50+R50</f>
        <v>78985.89</v>
      </c>
      <c r="F50" s="428">
        <f t="shared" si="0"/>
        <v>0.90615690000000004</v>
      </c>
      <c r="G50" s="390">
        <f t="shared" si="1"/>
        <v>71.573599999999999</v>
      </c>
      <c r="H50" s="391">
        <f t="shared" si="2"/>
        <v>238642.78630862414</v>
      </c>
      <c r="I50" s="324">
        <v>68052</v>
      </c>
      <c r="J50" s="325"/>
      <c r="K50" s="325"/>
      <c r="L50" s="319">
        <v>78985.89</v>
      </c>
      <c r="M50" s="320"/>
      <c r="N50" s="320"/>
      <c r="O50" s="320"/>
      <c r="P50" s="392">
        <f t="shared" ref="P50:P77" si="8">L50</f>
        <v>78985.89</v>
      </c>
      <c r="Q50" s="392">
        <f t="shared" si="3"/>
        <v>0</v>
      </c>
      <c r="R50" s="392">
        <f t="shared" si="4"/>
        <v>0</v>
      </c>
      <c r="S50" s="373"/>
      <c r="T50" s="374"/>
      <c r="U50" s="524">
        <f t="shared" ref="U50:U77" si="9">S50+T50-V50</f>
        <v>-68052</v>
      </c>
      <c r="V50" s="520">
        <f t="shared" ref="V50:V77" si="10">I50+J50+K50</f>
        <v>68052</v>
      </c>
      <c r="W50" s="520">
        <f t="shared" ref="W50:W77" si="11">(P50+Q50+R50)*1.055056</f>
        <v>83334.537159839994</v>
      </c>
      <c r="X50" s="520">
        <f t="shared" ref="X50:X77" si="12">V50-W50</f>
        <v>-15282.537159839994</v>
      </c>
      <c r="Y50" s="525">
        <f>Y49+X50</f>
        <v>-28516.183509120005</v>
      </c>
    </row>
    <row r="51" spans="1:25" x14ac:dyDescent="0.2">
      <c r="A51" s="1"/>
      <c r="B51" s="1"/>
      <c r="C51" s="387">
        <f t="shared" si="5"/>
        <v>42403</v>
      </c>
      <c r="D51" s="388">
        <f t="shared" si="6"/>
        <v>159584.41655172413</v>
      </c>
      <c r="E51" s="392">
        <f t="shared" si="7"/>
        <v>74586.97</v>
      </c>
      <c r="F51" s="428">
        <f t="shared" si="0"/>
        <v>0.90615690000000004</v>
      </c>
      <c r="G51" s="390">
        <f t="shared" si="1"/>
        <v>67.587500000000006</v>
      </c>
      <c r="H51" s="391">
        <f t="shared" si="2"/>
        <v>234239.88020862412</v>
      </c>
      <c r="I51" s="324">
        <v>72000</v>
      </c>
      <c r="J51" s="325"/>
      <c r="K51" s="325"/>
      <c r="L51" s="317">
        <v>74586.97</v>
      </c>
      <c r="M51" s="318"/>
      <c r="N51" s="318"/>
      <c r="O51" s="318"/>
      <c r="P51" s="392">
        <f t="shared" si="8"/>
        <v>74586.97</v>
      </c>
      <c r="Q51" s="392">
        <f t="shared" si="3"/>
        <v>0</v>
      </c>
      <c r="R51" s="392">
        <f t="shared" si="4"/>
        <v>0</v>
      </c>
      <c r="S51" s="373"/>
      <c r="T51" s="374"/>
      <c r="U51" s="524">
        <f t="shared" si="9"/>
        <v>-72000</v>
      </c>
      <c r="V51" s="520">
        <f t="shared" si="10"/>
        <v>72000</v>
      </c>
      <c r="W51" s="520">
        <f t="shared" si="11"/>
        <v>78693.430220320006</v>
      </c>
      <c r="X51" s="520">
        <f t="shared" si="12"/>
        <v>-6693.4302203200059</v>
      </c>
      <c r="Y51" s="525">
        <f t="shared" ref="Y51:Y77" si="13">Y50+X51</f>
        <v>-35209.613729440011</v>
      </c>
    </row>
    <row r="52" spans="1:25" x14ac:dyDescent="0.2">
      <c r="A52" s="1"/>
      <c r="B52" s="1"/>
      <c r="C52" s="387">
        <f t="shared" si="5"/>
        <v>42404</v>
      </c>
      <c r="D52" s="388">
        <f t="shared" si="6"/>
        <v>159584.41655172413</v>
      </c>
      <c r="E52" s="392">
        <f t="shared" si="7"/>
        <v>74499.02</v>
      </c>
      <c r="F52" s="428">
        <f t="shared" si="0"/>
        <v>0.90615690000000004</v>
      </c>
      <c r="G52" s="390">
        <f t="shared" si="1"/>
        <v>67.507800000000003</v>
      </c>
      <c r="H52" s="391">
        <f t="shared" si="2"/>
        <v>234151.85050862413</v>
      </c>
      <c r="I52" s="324">
        <v>72000</v>
      </c>
      <c r="J52" s="325"/>
      <c r="K52" s="325"/>
      <c r="L52" s="319">
        <v>74499.02</v>
      </c>
      <c r="M52" s="320"/>
      <c r="N52" s="320"/>
      <c r="O52" s="320"/>
      <c r="P52" s="392">
        <f t="shared" si="8"/>
        <v>74499.02</v>
      </c>
      <c r="Q52" s="392">
        <f t="shared" si="3"/>
        <v>0</v>
      </c>
      <c r="R52" s="392">
        <f t="shared" si="4"/>
        <v>0</v>
      </c>
      <c r="S52" s="373"/>
      <c r="T52" s="374"/>
      <c r="U52" s="524">
        <f t="shared" si="9"/>
        <v>-72000</v>
      </c>
      <c r="V52" s="520">
        <f t="shared" si="10"/>
        <v>72000</v>
      </c>
      <c r="W52" s="520">
        <f t="shared" si="11"/>
        <v>78600.638045120009</v>
      </c>
      <c r="X52" s="520">
        <f t="shared" si="12"/>
        <v>-6600.6380451200093</v>
      </c>
      <c r="Y52" s="525">
        <f t="shared" si="13"/>
        <v>-41810.25177456002</v>
      </c>
    </row>
    <row r="53" spans="1:25" x14ac:dyDescent="0.2">
      <c r="A53" s="1"/>
      <c r="B53" s="1"/>
      <c r="C53" s="387">
        <f t="shared" si="5"/>
        <v>42405</v>
      </c>
      <c r="D53" s="388">
        <f t="shared" si="6"/>
        <v>159584.41655172413</v>
      </c>
      <c r="E53" s="392">
        <f t="shared" si="7"/>
        <v>62785.55</v>
      </c>
      <c r="F53" s="428">
        <f t="shared" si="0"/>
        <v>0.90615690000000004</v>
      </c>
      <c r="G53" s="390">
        <f t="shared" si="1"/>
        <v>56.893599999999999</v>
      </c>
      <c r="H53" s="391">
        <f t="shared" si="2"/>
        <v>222427.76630862412</v>
      </c>
      <c r="I53" s="324">
        <v>73000</v>
      </c>
      <c r="J53" s="325"/>
      <c r="K53" s="325"/>
      <c r="L53" s="317">
        <v>62785.55</v>
      </c>
      <c r="M53" s="318"/>
      <c r="N53" s="318"/>
      <c r="O53" s="318"/>
      <c r="P53" s="392">
        <f t="shared" si="8"/>
        <v>62785.55</v>
      </c>
      <c r="Q53" s="392">
        <f t="shared" si="3"/>
        <v>0</v>
      </c>
      <c r="R53" s="392">
        <f t="shared" si="4"/>
        <v>0</v>
      </c>
      <c r="S53" s="373"/>
      <c r="T53" s="374"/>
      <c r="U53" s="524">
        <f t="shared" si="9"/>
        <v>-73000</v>
      </c>
      <c r="V53" s="520">
        <f t="shared" si="10"/>
        <v>73000</v>
      </c>
      <c r="W53" s="520">
        <f t="shared" si="11"/>
        <v>66242.271240800008</v>
      </c>
      <c r="X53" s="520">
        <f t="shared" si="12"/>
        <v>6757.7287591999921</v>
      </c>
      <c r="Y53" s="525">
        <f t="shared" si="13"/>
        <v>-35052.523015360028</v>
      </c>
    </row>
    <row r="54" spans="1:25" x14ac:dyDescent="0.2">
      <c r="A54" s="1"/>
      <c r="B54" s="1"/>
      <c r="C54" s="387">
        <f t="shared" si="5"/>
        <v>42406</v>
      </c>
      <c r="D54" s="388">
        <f t="shared" si="6"/>
        <v>159584.41655172413</v>
      </c>
      <c r="E54" s="392">
        <f t="shared" si="7"/>
        <v>41980</v>
      </c>
      <c r="F54" s="428">
        <f t="shared" si="0"/>
        <v>0.90615690000000004</v>
      </c>
      <c r="G54" s="390">
        <f t="shared" si="1"/>
        <v>38.040500000000002</v>
      </c>
      <c r="H54" s="391">
        <f t="shared" si="2"/>
        <v>201603.36320862413</v>
      </c>
      <c r="I54" s="324">
        <v>68000</v>
      </c>
      <c r="J54" s="325"/>
      <c r="K54" s="325"/>
      <c r="L54" s="319">
        <v>41980</v>
      </c>
      <c r="M54" s="320"/>
      <c r="N54" s="320"/>
      <c r="O54" s="320"/>
      <c r="P54" s="392">
        <f t="shared" si="8"/>
        <v>41980</v>
      </c>
      <c r="Q54" s="392">
        <f t="shared" si="3"/>
        <v>0</v>
      </c>
      <c r="R54" s="392">
        <f t="shared" si="4"/>
        <v>0</v>
      </c>
      <c r="S54" s="373"/>
      <c r="T54" s="374"/>
      <c r="U54" s="524">
        <f t="shared" si="9"/>
        <v>-68000</v>
      </c>
      <c r="V54" s="520">
        <f t="shared" si="10"/>
        <v>68000</v>
      </c>
      <c r="W54" s="520">
        <f t="shared" si="11"/>
        <v>44291.25088</v>
      </c>
      <c r="X54" s="520">
        <f t="shared" si="12"/>
        <v>23708.74912</v>
      </c>
      <c r="Y54" s="525">
        <f t="shared" si="13"/>
        <v>-11343.773895360027</v>
      </c>
    </row>
    <row r="55" spans="1:25" x14ac:dyDescent="0.2">
      <c r="A55" s="1"/>
      <c r="B55" s="1"/>
      <c r="C55" s="387">
        <f t="shared" si="5"/>
        <v>42407</v>
      </c>
      <c r="D55" s="388">
        <f t="shared" si="6"/>
        <v>159584.41655172413</v>
      </c>
      <c r="E55" s="392">
        <f t="shared" si="7"/>
        <v>61511.94</v>
      </c>
      <c r="F55" s="428">
        <f t="shared" si="0"/>
        <v>0.90615690000000004</v>
      </c>
      <c r="G55" s="390">
        <f t="shared" si="1"/>
        <v>55.7395</v>
      </c>
      <c r="H55" s="391">
        <f t="shared" si="2"/>
        <v>221153.00220862412</v>
      </c>
      <c r="I55" s="324">
        <v>68000</v>
      </c>
      <c r="J55" s="325"/>
      <c r="K55" s="325"/>
      <c r="L55" s="317">
        <v>61511.94</v>
      </c>
      <c r="M55" s="318"/>
      <c r="N55" s="318"/>
      <c r="O55" s="318"/>
      <c r="P55" s="392">
        <f t="shared" si="8"/>
        <v>61511.94</v>
      </c>
      <c r="Q55" s="392">
        <f t="shared" si="3"/>
        <v>0</v>
      </c>
      <c r="R55" s="392">
        <f t="shared" si="4"/>
        <v>0</v>
      </c>
      <c r="S55" s="373"/>
      <c r="T55" s="374"/>
      <c r="U55" s="524">
        <f t="shared" si="9"/>
        <v>-68000</v>
      </c>
      <c r="V55" s="520">
        <f t="shared" si="10"/>
        <v>68000</v>
      </c>
      <c r="W55" s="520">
        <f t="shared" si="11"/>
        <v>64898.541368639999</v>
      </c>
      <c r="X55" s="520">
        <f t="shared" si="12"/>
        <v>3101.4586313600012</v>
      </c>
      <c r="Y55" s="525">
        <f t="shared" si="13"/>
        <v>-8242.3152640000262</v>
      </c>
    </row>
    <row r="56" spans="1:25" x14ac:dyDescent="0.2">
      <c r="A56" s="1"/>
      <c r="B56" s="1"/>
      <c r="C56" s="387">
        <f t="shared" si="5"/>
        <v>42408</v>
      </c>
      <c r="D56" s="388">
        <f t="shared" si="6"/>
        <v>159584.41655172413</v>
      </c>
      <c r="E56" s="392">
        <f t="shared" si="7"/>
        <v>74421.05</v>
      </c>
      <c r="F56" s="428">
        <f t="shared" si="0"/>
        <v>0.90615690000000004</v>
      </c>
      <c r="G56" s="390">
        <f t="shared" si="1"/>
        <v>67.437100000000001</v>
      </c>
      <c r="H56" s="391">
        <f t="shared" si="2"/>
        <v>234073.80980862412</v>
      </c>
      <c r="I56" s="324">
        <v>68000</v>
      </c>
      <c r="J56" s="325"/>
      <c r="K56" s="325"/>
      <c r="L56" s="319">
        <v>74421.05</v>
      </c>
      <c r="M56" s="320"/>
      <c r="N56" s="320"/>
      <c r="O56" s="320"/>
      <c r="P56" s="392">
        <f t="shared" si="8"/>
        <v>74421.05</v>
      </c>
      <c r="Q56" s="392">
        <f t="shared" si="3"/>
        <v>0</v>
      </c>
      <c r="R56" s="392">
        <f t="shared" si="4"/>
        <v>0</v>
      </c>
      <c r="S56" s="373"/>
      <c r="T56" s="374"/>
      <c r="U56" s="524">
        <f t="shared" si="9"/>
        <v>-68000</v>
      </c>
      <c r="V56" s="520">
        <f t="shared" si="10"/>
        <v>68000</v>
      </c>
      <c r="W56" s="520">
        <f t="shared" si="11"/>
        <v>78518.375328800001</v>
      </c>
      <c r="X56" s="520">
        <f t="shared" si="12"/>
        <v>-10518.375328800001</v>
      </c>
      <c r="Y56" s="525">
        <f t="shared" si="13"/>
        <v>-18760.690592800027</v>
      </c>
    </row>
    <row r="57" spans="1:25" x14ac:dyDescent="0.2">
      <c r="A57" s="1"/>
      <c r="B57" s="1"/>
      <c r="C57" s="387">
        <f t="shared" si="5"/>
        <v>42409</v>
      </c>
      <c r="D57" s="388">
        <f t="shared" si="6"/>
        <v>159584.41655172413</v>
      </c>
      <c r="E57" s="392">
        <f t="shared" si="7"/>
        <v>74701.19</v>
      </c>
      <c r="F57" s="428">
        <f t="shared" si="0"/>
        <v>0.90615690000000004</v>
      </c>
      <c r="G57" s="390">
        <f t="shared" si="1"/>
        <v>67.691000000000003</v>
      </c>
      <c r="H57" s="391">
        <f t="shared" si="2"/>
        <v>234354.20370862412</v>
      </c>
      <c r="I57" s="324">
        <v>60000</v>
      </c>
      <c r="J57" s="325"/>
      <c r="K57" s="325"/>
      <c r="L57" s="317">
        <v>74701.19</v>
      </c>
      <c r="M57" s="318"/>
      <c r="N57" s="318"/>
      <c r="O57" s="318"/>
      <c r="P57" s="392">
        <f t="shared" si="8"/>
        <v>74701.19</v>
      </c>
      <c r="Q57" s="392">
        <f t="shared" si="3"/>
        <v>0</v>
      </c>
      <c r="R57" s="392">
        <f t="shared" si="4"/>
        <v>0</v>
      </c>
      <c r="S57" s="373"/>
      <c r="T57" s="374"/>
      <c r="U57" s="524">
        <f t="shared" si="9"/>
        <v>-60000</v>
      </c>
      <c r="V57" s="520">
        <f t="shared" si="10"/>
        <v>60000</v>
      </c>
      <c r="W57" s="520">
        <f t="shared" si="11"/>
        <v>78813.938716639997</v>
      </c>
      <c r="X57" s="520">
        <f t="shared" si="12"/>
        <v>-18813.938716639997</v>
      </c>
      <c r="Y57" s="525">
        <f t="shared" si="13"/>
        <v>-37574.629309440024</v>
      </c>
    </row>
    <row r="58" spans="1:25" x14ac:dyDescent="0.2">
      <c r="A58" s="1"/>
      <c r="B58" s="1"/>
      <c r="C58" s="387">
        <f t="shared" si="5"/>
        <v>42410</v>
      </c>
      <c r="D58" s="388">
        <f t="shared" si="6"/>
        <v>159584.41655172413</v>
      </c>
      <c r="E58" s="392">
        <f t="shared" si="7"/>
        <v>56658.42</v>
      </c>
      <c r="F58" s="428">
        <f t="shared" si="0"/>
        <v>0.90615690000000004</v>
      </c>
      <c r="G58" s="390">
        <f t="shared" si="1"/>
        <v>51.3414</v>
      </c>
      <c r="H58" s="391">
        <f t="shared" si="2"/>
        <v>216295.08410862411</v>
      </c>
      <c r="I58" s="324">
        <v>69000</v>
      </c>
      <c r="J58" s="325"/>
      <c r="K58" s="325"/>
      <c r="L58" s="319">
        <v>56658.42</v>
      </c>
      <c r="M58" s="320"/>
      <c r="N58" s="320"/>
      <c r="O58" s="320"/>
      <c r="P58" s="392">
        <f t="shared" si="8"/>
        <v>56658.42</v>
      </c>
      <c r="Q58" s="392">
        <f t="shared" si="3"/>
        <v>0</v>
      </c>
      <c r="R58" s="392">
        <f t="shared" si="4"/>
        <v>0</v>
      </c>
      <c r="S58" s="373"/>
      <c r="T58" s="374"/>
      <c r="U58" s="524">
        <f t="shared" si="9"/>
        <v>-69000</v>
      </c>
      <c r="V58" s="520">
        <f t="shared" si="10"/>
        <v>69000</v>
      </c>
      <c r="W58" s="520">
        <f t="shared" si="11"/>
        <v>59777.80597152</v>
      </c>
      <c r="X58" s="520">
        <f t="shared" si="12"/>
        <v>9222.1940284800003</v>
      </c>
      <c r="Y58" s="525">
        <f t="shared" si="13"/>
        <v>-28352.435280960024</v>
      </c>
    </row>
    <row r="59" spans="1:25" x14ac:dyDescent="0.2">
      <c r="A59" s="1"/>
      <c r="B59" s="1"/>
      <c r="C59" s="387">
        <f t="shared" si="5"/>
        <v>42411</v>
      </c>
      <c r="D59" s="388">
        <f t="shared" si="6"/>
        <v>159584.41655172413</v>
      </c>
      <c r="E59" s="392">
        <f t="shared" si="7"/>
        <v>73495.820000000007</v>
      </c>
      <c r="F59" s="428">
        <f t="shared" si="0"/>
        <v>0.90615690000000004</v>
      </c>
      <c r="G59" s="390">
        <f t="shared" si="1"/>
        <v>66.598699999999994</v>
      </c>
      <c r="H59" s="391">
        <f t="shared" si="2"/>
        <v>233147.74140862413</v>
      </c>
      <c r="I59" s="324">
        <v>69000</v>
      </c>
      <c r="J59" s="325"/>
      <c r="K59" s="325"/>
      <c r="L59" s="317">
        <v>73495.820000000007</v>
      </c>
      <c r="M59" s="318"/>
      <c r="N59" s="318"/>
      <c r="O59" s="318"/>
      <c r="P59" s="392">
        <f t="shared" si="8"/>
        <v>73495.820000000007</v>
      </c>
      <c r="Q59" s="392">
        <f t="shared" si="3"/>
        <v>0</v>
      </c>
      <c r="R59" s="392">
        <f t="shared" si="4"/>
        <v>0</v>
      </c>
      <c r="S59" s="373"/>
      <c r="T59" s="374"/>
      <c r="U59" s="524">
        <f t="shared" si="9"/>
        <v>-69000</v>
      </c>
      <c r="V59" s="520">
        <f t="shared" si="10"/>
        <v>69000</v>
      </c>
      <c r="W59" s="520">
        <f t="shared" si="11"/>
        <v>77542.205865920012</v>
      </c>
      <c r="X59" s="520">
        <f t="shared" si="12"/>
        <v>-8542.205865920012</v>
      </c>
      <c r="Y59" s="525">
        <f t="shared" si="13"/>
        <v>-36894.641146880036</v>
      </c>
    </row>
    <row r="60" spans="1:25" x14ac:dyDescent="0.2">
      <c r="A60" s="1"/>
      <c r="B60" s="1"/>
      <c r="C60" s="387">
        <f t="shared" si="5"/>
        <v>42412</v>
      </c>
      <c r="D60" s="388">
        <f t="shared" si="6"/>
        <v>159584.41655172413</v>
      </c>
      <c r="E60" s="392">
        <f t="shared" si="7"/>
        <v>74141.8</v>
      </c>
      <c r="F60" s="428">
        <f t="shared" si="0"/>
        <v>0.90615690000000004</v>
      </c>
      <c r="G60" s="390">
        <f t="shared" si="1"/>
        <v>67.184100000000001</v>
      </c>
      <c r="H60" s="391">
        <f t="shared" si="2"/>
        <v>233794.30680862413</v>
      </c>
      <c r="I60" s="324">
        <v>70000</v>
      </c>
      <c r="J60" s="325"/>
      <c r="K60" s="325"/>
      <c r="L60" s="319">
        <v>74141.8</v>
      </c>
      <c r="M60" s="320"/>
      <c r="N60" s="320"/>
      <c r="O60" s="320"/>
      <c r="P60" s="392">
        <f t="shared" si="8"/>
        <v>74141.8</v>
      </c>
      <c r="Q60" s="392">
        <f t="shared" si="3"/>
        <v>0</v>
      </c>
      <c r="R60" s="392">
        <f t="shared" si="4"/>
        <v>0</v>
      </c>
      <c r="S60" s="373"/>
      <c r="T60" s="374"/>
      <c r="U60" s="524">
        <f t="shared" si="9"/>
        <v>-70000</v>
      </c>
      <c r="V60" s="520">
        <f t="shared" si="10"/>
        <v>70000</v>
      </c>
      <c r="W60" s="520">
        <f t="shared" si="11"/>
        <v>78223.750940800004</v>
      </c>
      <c r="X60" s="520">
        <f t="shared" si="12"/>
        <v>-8223.7509408000042</v>
      </c>
      <c r="Y60" s="525">
        <f t="shared" si="13"/>
        <v>-45118.39208768004</v>
      </c>
    </row>
    <row r="61" spans="1:25" x14ac:dyDescent="0.2">
      <c r="A61" s="1"/>
      <c r="B61" s="1"/>
      <c r="C61" s="387">
        <f t="shared" si="5"/>
        <v>42413</v>
      </c>
      <c r="D61" s="388">
        <f t="shared" si="6"/>
        <v>159584.41655172413</v>
      </c>
      <c r="E61" s="392">
        <f t="shared" si="7"/>
        <v>74364.34</v>
      </c>
      <c r="F61" s="428">
        <f t="shared" si="0"/>
        <v>0.90615690000000004</v>
      </c>
      <c r="G61" s="390">
        <f t="shared" si="1"/>
        <v>67.385800000000003</v>
      </c>
      <c r="H61" s="391">
        <f t="shared" si="2"/>
        <v>234017.04850862411</v>
      </c>
      <c r="I61" s="324">
        <v>67000</v>
      </c>
      <c r="J61" s="325"/>
      <c r="K61" s="325"/>
      <c r="L61" s="317">
        <v>74364.34</v>
      </c>
      <c r="M61" s="318"/>
      <c r="N61" s="318"/>
      <c r="O61" s="318"/>
      <c r="P61" s="392">
        <f t="shared" si="8"/>
        <v>74364.34</v>
      </c>
      <c r="Q61" s="392">
        <f t="shared" si="3"/>
        <v>0</v>
      </c>
      <c r="R61" s="392">
        <f t="shared" si="4"/>
        <v>0</v>
      </c>
      <c r="S61" s="373"/>
      <c r="T61" s="374"/>
      <c r="U61" s="524">
        <f t="shared" si="9"/>
        <v>-67000</v>
      </c>
      <c r="V61" s="520">
        <f t="shared" si="10"/>
        <v>67000</v>
      </c>
      <c r="W61" s="520">
        <f t="shared" si="11"/>
        <v>78458.543103039992</v>
      </c>
      <c r="X61" s="520">
        <f t="shared" si="12"/>
        <v>-11458.543103039992</v>
      </c>
      <c r="Y61" s="525">
        <f t="shared" si="13"/>
        <v>-56576.935190720033</v>
      </c>
    </row>
    <row r="62" spans="1:25" x14ac:dyDescent="0.2">
      <c r="A62" s="1"/>
      <c r="B62" s="1"/>
      <c r="C62" s="387">
        <f t="shared" si="5"/>
        <v>42414</v>
      </c>
      <c r="D62" s="388">
        <f t="shared" si="6"/>
        <v>159584.41655172413</v>
      </c>
      <c r="E62" s="392">
        <f t="shared" si="7"/>
        <v>74664.323999999993</v>
      </c>
      <c r="F62" s="428">
        <f t="shared" si="0"/>
        <v>0.90615690000000004</v>
      </c>
      <c r="G62" s="390">
        <f t="shared" si="1"/>
        <v>67.657600000000002</v>
      </c>
      <c r="H62" s="391">
        <f t="shared" si="2"/>
        <v>234317.30430862412</v>
      </c>
      <c r="I62" s="324">
        <v>67000</v>
      </c>
      <c r="J62" s="325"/>
      <c r="K62" s="325"/>
      <c r="L62" s="319">
        <v>74664.323999999993</v>
      </c>
      <c r="M62" s="320"/>
      <c r="N62" s="320"/>
      <c r="O62" s="320"/>
      <c r="P62" s="392">
        <f t="shared" si="8"/>
        <v>74664.323999999993</v>
      </c>
      <c r="Q62" s="392">
        <f t="shared" si="3"/>
        <v>0</v>
      </c>
      <c r="R62" s="392">
        <f t="shared" si="4"/>
        <v>0</v>
      </c>
      <c r="S62" s="373"/>
      <c r="T62" s="374"/>
      <c r="U62" s="524">
        <f t="shared" si="9"/>
        <v>-67000</v>
      </c>
      <c r="V62" s="520">
        <f t="shared" si="10"/>
        <v>67000</v>
      </c>
      <c r="W62" s="520">
        <f t="shared" si="11"/>
        <v>78775.043022143989</v>
      </c>
      <c r="X62" s="520">
        <f t="shared" si="12"/>
        <v>-11775.043022143989</v>
      </c>
      <c r="Y62" s="525">
        <f t="shared" si="13"/>
        <v>-68351.978212864022</v>
      </c>
    </row>
    <row r="63" spans="1:25" x14ac:dyDescent="0.2">
      <c r="A63" s="1"/>
      <c r="B63" s="1"/>
      <c r="C63" s="387">
        <f t="shared" si="5"/>
        <v>42415</v>
      </c>
      <c r="D63" s="388">
        <f t="shared" si="6"/>
        <v>159584.41655172413</v>
      </c>
      <c r="E63" s="392">
        <f t="shared" si="7"/>
        <v>74687.342999999993</v>
      </c>
      <c r="F63" s="428">
        <f t="shared" si="0"/>
        <v>0.90615690000000004</v>
      </c>
      <c r="G63" s="390">
        <f t="shared" si="1"/>
        <v>67.6785</v>
      </c>
      <c r="H63" s="391">
        <f t="shared" si="2"/>
        <v>234340.34420862413</v>
      </c>
      <c r="I63" s="324">
        <v>67000</v>
      </c>
      <c r="J63" s="325"/>
      <c r="K63" s="325"/>
      <c r="L63" s="317">
        <v>74687.342999999993</v>
      </c>
      <c r="M63" s="318"/>
      <c r="N63" s="318"/>
      <c r="O63" s="318"/>
      <c r="P63" s="392">
        <f t="shared" si="8"/>
        <v>74687.342999999993</v>
      </c>
      <c r="Q63" s="392">
        <f t="shared" si="3"/>
        <v>0</v>
      </c>
      <c r="R63" s="392">
        <f t="shared" si="4"/>
        <v>0</v>
      </c>
      <c r="S63" s="373"/>
      <c r="T63" s="374"/>
      <c r="U63" s="524">
        <f t="shared" si="9"/>
        <v>-67000</v>
      </c>
      <c r="V63" s="520">
        <f t="shared" si="10"/>
        <v>67000</v>
      </c>
      <c r="W63" s="520">
        <f t="shared" si="11"/>
        <v>78799.329356207993</v>
      </c>
      <c r="X63" s="520">
        <f t="shared" si="12"/>
        <v>-11799.329356207993</v>
      </c>
      <c r="Y63" s="525">
        <f t="shared" si="13"/>
        <v>-80151.307569072014</v>
      </c>
    </row>
    <row r="64" spans="1:25" x14ac:dyDescent="0.2">
      <c r="A64" s="1"/>
      <c r="B64" s="1"/>
      <c r="C64" s="387">
        <f t="shared" si="5"/>
        <v>42416</v>
      </c>
      <c r="D64" s="388">
        <f t="shared" si="6"/>
        <v>159584.41655172413</v>
      </c>
      <c r="E64" s="392">
        <f t="shared" si="7"/>
        <v>74498.63</v>
      </c>
      <c r="F64" s="428">
        <f t="shared" si="0"/>
        <v>0.90615690000000004</v>
      </c>
      <c r="G64" s="390">
        <f t="shared" si="1"/>
        <v>67.507400000000004</v>
      </c>
      <c r="H64" s="391">
        <f t="shared" si="2"/>
        <v>234151.46010862413</v>
      </c>
      <c r="I64" s="324">
        <v>67000</v>
      </c>
      <c r="J64" s="325"/>
      <c r="K64" s="325"/>
      <c r="L64" s="319">
        <v>74498.63</v>
      </c>
      <c r="M64" s="320"/>
      <c r="N64" s="320"/>
      <c r="O64" s="320"/>
      <c r="P64" s="392">
        <f t="shared" si="8"/>
        <v>74498.63</v>
      </c>
      <c r="Q64" s="392">
        <f t="shared" si="3"/>
        <v>0</v>
      </c>
      <c r="R64" s="392">
        <f t="shared" si="4"/>
        <v>0</v>
      </c>
      <c r="S64" s="373"/>
      <c r="T64" s="374"/>
      <c r="U64" s="524">
        <f t="shared" si="9"/>
        <v>-67000</v>
      </c>
      <c r="V64" s="520">
        <f t="shared" si="10"/>
        <v>67000</v>
      </c>
      <c r="W64" s="520">
        <f t="shared" si="11"/>
        <v>78600.226573280001</v>
      </c>
      <c r="X64" s="520">
        <f t="shared" si="12"/>
        <v>-11600.226573280001</v>
      </c>
      <c r="Y64" s="525">
        <f t="shared" si="13"/>
        <v>-91751.534142352015</v>
      </c>
    </row>
    <row r="65" spans="1:38" x14ac:dyDescent="0.2">
      <c r="A65" s="1"/>
      <c r="B65" s="1"/>
      <c r="C65" s="387">
        <f t="shared" si="5"/>
        <v>42417</v>
      </c>
      <c r="D65" s="388">
        <f t="shared" si="6"/>
        <v>159584.41655172413</v>
      </c>
      <c r="E65" s="392">
        <f t="shared" si="7"/>
        <v>74026.856</v>
      </c>
      <c r="F65" s="428">
        <f t="shared" si="0"/>
        <v>0.90615690000000004</v>
      </c>
      <c r="G65" s="390">
        <f t="shared" si="1"/>
        <v>67.079899999999995</v>
      </c>
      <c r="H65" s="391">
        <f t="shared" si="2"/>
        <v>233679.25860862414</v>
      </c>
      <c r="I65" s="324">
        <v>65000</v>
      </c>
      <c r="J65" s="325"/>
      <c r="K65" s="325"/>
      <c r="L65" s="317">
        <v>74026.856</v>
      </c>
      <c r="M65" s="318"/>
      <c r="N65" s="318"/>
      <c r="O65" s="318"/>
      <c r="P65" s="392">
        <f t="shared" si="8"/>
        <v>74026.856</v>
      </c>
      <c r="Q65" s="392">
        <f t="shared" si="3"/>
        <v>0</v>
      </c>
      <c r="R65" s="392">
        <f t="shared" si="4"/>
        <v>0</v>
      </c>
      <c r="S65" s="373"/>
      <c r="T65" s="374"/>
      <c r="U65" s="524">
        <f t="shared" si="9"/>
        <v>-65000</v>
      </c>
      <c r="V65" s="520">
        <f t="shared" si="10"/>
        <v>65000</v>
      </c>
      <c r="W65" s="520">
        <f t="shared" si="11"/>
        <v>78102.478583935997</v>
      </c>
      <c r="X65" s="520">
        <f t="shared" si="12"/>
        <v>-13102.478583935997</v>
      </c>
      <c r="Y65" s="525">
        <f t="shared" si="13"/>
        <v>-104854.01272628801</v>
      </c>
    </row>
    <row r="66" spans="1:38" x14ac:dyDescent="0.2">
      <c r="A66" s="1"/>
      <c r="B66" s="1"/>
      <c r="C66" s="387">
        <f t="shared" si="5"/>
        <v>42418</v>
      </c>
      <c r="D66" s="388">
        <f t="shared" si="6"/>
        <v>159584.41655172413</v>
      </c>
      <c r="E66" s="392">
        <f t="shared" si="7"/>
        <v>74566.66</v>
      </c>
      <c r="F66" s="428">
        <f t="shared" si="0"/>
        <v>0.90615690000000004</v>
      </c>
      <c r="G66" s="390">
        <f t="shared" si="1"/>
        <v>67.569100000000006</v>
      </c>
      <c r="H66" s="391">
        <f t="shared" si="2"/>
        <v>234219.55180862412</v>
      </c>
      <c r="I66" s="324">
        <v>65000</v>
      </c>
      <c r="J66" s="325"/>
      <c r="K66" s="325"/>
      <c r="L66" s="319">
        <v>74566.66</v>
      </c>
      <c r="M66" s="320"/>
      <c r="N66" s="320"/>
      <c r="O66" s="320"/>
      <c r="P66" s="392">
        <f t="shared" si="8"/>
        <v>74566.66</v>
      </c>
      <c r="Q66" s="392">
        <f t="shared" si="3"/>
        <v>0</v>
      </c>
      <c r="R66" s="392">
        <f t="shared" si="4"/>
        <v>0</v>
      </c>
      <c r="S66" s="373"/>
      <c r="T66" s="374"/>
      <c r="U66" s="524">
        <f t="shared" si="9"/>
        <v>-65000</v>
      </c>
      <c r="V66" s="520">
        <f t="shared" si="10"/>
        <v>65000</v>
      </c>
      <c r="W66" s="520">
        <f t="shared" si="11"/>
        <v>78672.002032960008</v>
      </c>
      <c r="X66" s="520">
        <f t="shared" si="12"/>
        <v>-13672.002032960008</v>
      </c>
      <c r="Y66" s="525">
        <f t="shared" si="13"/>
        <v>-118526.01475924802</v>
      </c>
    </row>
    <row r="67" spans="1:38" x14ac:dyDescent="0.2">
      <c r="A67" s="1"/>
      <c r="B67" s="1"/>
      <c r="C67" s="387">
        <f t="shared" si="5"/>
        <v>42419</v>
      </c>
      <c r="D67" s="388">
        <f t="shared" si="6"/>
        <v>159584.41655172413</v>
      </c>
      <c r="E67" s="392">
        <f t="shared" si="7"/>
        <v>74706.657999999996</v>
      </c>
      <c r="F67" s="428">
        <f t="shared" si="0"/>
        <v>0.90615690000000004</v>
      </c>
      <c r="G67" s="390">
        <f t="shared" si="1"/>
        <v>67.695999999999998</v>
      </c>
      <c r="H67" s="391">
        <f t="shared" si="2"/>
        <v>234359.67670862412</v>
      </c>
      <c r="I67" s="324">
        <v>65000</v>
      </c>
      <c r="J67" s="325"/>
      <c r="K67" s="325"/>
      <c r="L67" s="317">
        <v>74706.657999999996</v>
      </c>
      <c r="M67" s="318"/>
      <c r="N67" s="318"/>
      <c r="O67" s="318"/>
      <c r="P67" s="392">
        <f t="shared" si="8"/>
        <v>74706.657999999996</v>
      </c>
      <c r="Q67" s="392">
        <f t="shared" si="3"/>
        <v>0</v>
      </c>
      <c r="R67" s="392">
        <f t="shared" si="4"/>
        <v>0</v>
      </c>
      <c r="S67" s="373"/>
      <c r="T67" s="374"/>
      <c r="U67" s="524">
        <f t="shared" si="9"/>
        <v>-65000</v>
      </c>
      <c r="V67" s="520">
        <f t="shared" si="10"/>
        <v>65000</v>
      </c>
      <c r="W67" s="520">
        <f t="shared" si="11"/>
        <v>78819.707762847989</v>
      </c>
      <c r="X67" s="520">
        <f t="shared" si="12"/>
        <v>-13819.707762847989</v>
      </c>
      <c r="Y67" s="525">
        <f t="shared" si="13"/>
        <v>-132345.72252209601</v>
      </c>
    </row>
    <row r="68" spans="1:38" x14ac:dyDescent="0.2">
      <c r="A68" s="1"/>
      <c r="B68" s="1"/>
      <c r="C68" s="387">
        <f t="shared" si="5"/>
        <v>42420</v>
      </c>
      <c r="D68" s="388">
        <f t="shared" si="6"/>
        <v>159584.41655172413</v>
      </c>
      <c r="E68" s="392">
        <f t="shared" si="7"/>
        <v>73257.05</v>
      </c>
      <c r="F68" s="428">
        <f t="shared" si="0"/>
        <v>0.90615690000000004</v>
      </c>
      <c r="G68" s="390">
        <f t="shared" si="1"/>
        <v>66.382400000000004</v>
      </c>
      <c r="H68" s="391">
        <f t="shared" si="2"/>
        <v>232908.75510862411</v>
      </c>
      <c r="I68" s="324">
        <v>65000</v>
      </c>
      <c r="J68" s="325"/>
      <c r="K68" s="325"/>
      <c r="L68" s="319">
        <v>73257.05</v>
      </c>
      <c r="M68" s="320"/>
      <c r="N68" s="320"/>
      <c r="O68" s="320"/>
      <c r="P68" s="392">
        <f t="shared" si="8"/>
        <v>73257.05</v>
      </c>
      <c r="Q68" s="392">
        <f t="shared" si="3"/>
        <v>0</v>
      </c>
      <c r="R68" s="392">
        <f t="shared" si="4"/>
        <v>0</v>
      </c>
      <c r="S68" s="373"/>
      <c r="T68" s="374"/>
      <c r="U68" s="524">
        <f t="shared" si="9"/>
        <v>-65000</v>
      </c>
      <c r="V68" s="520">
        <f t="shared" si="10"/>
        <v>65000</v>
      </c>
      <c r="W68" s="520">
        <f t="shared" si="11"/>
        <v>77290.290144800005</v>
      </c>
      <c r="X68" s="520">
        <f t="shared" si="12"/>
        <v>-12290.290144800005</v>
      </c>
      <c r="Y68" s="525">
        <f t="shared" si="13"/>
        <v>-144636.01266689601</v>
      </c>
    </row>
    <row r="69" spans="1:38" x14ac:dyDescent="0.2">
      <c r="A69" s="1"/>
      <c r="B69" s="1"/>
      <c r="C69" s="387">
        <f t="shared" si="5"/>
        <v>42421</v>
      </c>
      <c r="D69" s="388">
        <f t="shared" si="6"/>
        <v>159584.41655172413</v>
      </c>
      <c r="E69" s="392">
        <f t="shared" si="7"/>
        <v>72740.320000000007</v>
      </c>
      <c r="F69" s="428">
        <f t="shared" si="0"/>
        <v>0.90615690000000004</v>
      </c>
      <c r="G69" s="390">
        <f t="shared" si="1"/>
        <v>65.914100000000005</v>
      </c>
      <c r="H69" s="391">
        <f t="shared" si="2"/>
        <v>232391.55680862413</v>
      </c>
      <c r="I69" s="324">
        <v>65000</v>
      </c>
      <c r="J69" s="325"/>
      <c r="K69" s="325"/>
      <c r="L69" s="317">
        <v>72740.320000000007</v>
      </c>
      <c r="M69" s="318"/>
      <c r="N69" s="318"/>
      <c r="O69" s="318"/>
      <c r="P69" s="392">
        <f t="shared" si="8"/>
        <v>72740.320000000007</v>
      </c>
      <c r="Q69" s="392">
        <f t="shared" si="3"/>
        <v>0</v>
      </c>
      <c r="R69" s="392">
        <f t="shared" si="4"/>
        <v>0</v>
      </c>
      <c r="S69" s="373"/>
      <c r="T69" s="374"/>
      <c r="U69" s="524">
        <f t="shared" si="9"/>
        <v>-65000</v>
      </c>
      <c r="V69" s="520">
        <f t="shared" si="10"/>
        <v>65000</v>
      </c>
      <c r="W69" s="520">
        <f t="shared" si="11"/>
        <v>76745.111057920003</v>
      </c>
      <c r="X69" s="520">
        <f t="shared" si="12"/>
        <v>-11745.111057920003</v>
      </c>
      <c r="Y69" s="525">
        <f t="shared" si="13"/>
        <v>-156381.12372481602</v>
      </c>
    </row>
    <row r="70" spans="1:38" x14ac:dyDescent="0.2">
      <c r="A70" s="1"/>
      <c r="B70" s="1"/>
      <c r="C70" s="387">
        <f t="shared" si="5"/>
        <v>42422</v>
      </c>
      <c r="D70" s="388">
        <f t="shared" si="6"/>
        <v>159584.41655172413</v>
      </c>
      <c r="E70" s="392">
        <f t="shared" si="7"/>
        <v>74288.53</v>
      </c>
      <c r="F70" s="428">
        <f t="shared" si="0"/>
        <v>0.90615690000000004</v>
      </c>
      <c r="G70" s="390">
        <f t="shared" si="1"/>
        <v>67.317099999999996</v>
      </c>
      <c r="H70" s="391">
        <f t="shared" si="2"/>
        <v>233941.16980862411</v>
      </c>
      <c r="I70" s="324">
        <v>65000</v>
      </c>
      <c r="J70" s="325"/>
      <c r="K70" s="325"/>
      <c r="L70" s="319">
        <v>74288.53</v>
      </c>
      <c r="M70" s="320"/>
      <c r="N70" s="320"/>
      <c r="O70" s="320"/>
      <c r="P70" s="392">
        <f t="shared" si="8"/>
        <v>74288.53</v>
      </c>
      <c r="Q70" s="392">
        <f t="shared" si="3"/>
        <v>0</v>
      </c>
      <c r="R70" s="392">
        <f t="shared" si="4"/>
        <v>0</v>
      </c>
      <c r="S70" s="373"/>
      <c r="T70" s="374"/>
      <c r="U70" s="524">
        <f t="shared" si="9"/>
        <v>-65000</v>
      </c>
      <c r="V70" s="520">
        <f t="shared" si="10"/>
        <v>65000</v>
      </c>
      <c r="W70" s="520">
        <f t="shared" si="11"/>
        <v>78378.55930768</v>
      </c>
      <c r="X70" s="520">
        <f t="shared" si="12"/>
        <v>-13378.55930768</v>
      </c>
      <c r="Y70" s="525">
        <f t="shared" si="13"/>
        <v>-169759.68303249602</v>
      </c>
    </row>
    <row r="71" spans="1:38" x14ac:dyDescent="0.2">
      <c r="A71" s="1"/>
      <c r="B71" s="1"/>
      <c r="C71" s="387">
        <f t="shared" si="5"/>
        <v>42423</v>
      </c>
      <c r="D71" s="388">
        <f t="shared" si="6"/>
        <v>159584.41655172413</v>
      </c>
      <c r="E71" s="392">
        <f t="shared" si="7"/>
        <v>74256.27</v>
      </c>
      <c r="F71" s="428">
        <f t="shared" si="0"/>
        <v>0.90615690000000004</v>
      </c>
      <c r="G71" s="390">
        <f t="shared" si="1"/>
        <v>67.287800000000004</v>
      </c>
      <c r="H71" s="391">
        <f t="shared" si="2"/>
        <v>233908.88050862413</v>
      </c>
      <c r="I71" s="324">
        <v>68000</v>
      </c>
      <c r="J71" s="325"/>
      <c r="K71" s="325"/>
      <c r="L71" s="317">
        <v>74256.27</v>
      </c>
      <c r="M71" s="318"/>
      <c r="N71" s="318"/>
      <c r="O71" s="318"/>
      <c r="P71" s="392">
        <f t="shared" si="8"/>
        <v>74256.27</v>
      </c>
      <c r="Q71" s="392">
        <f t="shared" si="3"/>
        <v>0</v>
      </c>
      <c r="R71" s="392">
        <f t="shared" si="4"/>
        <v>0</v>
      </c>
      <c r="S71" s="373"/>
      <c r="T71" s="374"/>
      <c r="U71" s="524">
        <f t="shared" si="9"/>
        <v>-68000</v>
      </c>
      <c r="V71" s="520">
        <f t="shared" si="10"/>
        <v>68000</v>
      </c>
      <c r="W71" s="520">
        <f t="shared" si="11"/>
        <v>78344.523201119999</v>
      </c>
      <c r="X71" s="520">
        <f t="shared" si="12"/>
        <v>-10344.523201119999</v>
      </c>
      <c r="Y71" s="525">
        <f t="shared" si="13"/>
        <v>-180104.20623361602</v>
      </c>
    </row>
    <row r="72" spans="1:38" x14ac:dyDescent="0.2">
      <c r="A72" s="1"/>
      <c r="B72" s="1"/>
      <c r="C72" s="387">
        <f t="shared" si="5"/>
        <v>42424</v>
      </c>
      <c r="D72" s="388">
        <f t="shared" si="6"/>
        <v>159584.41655172413</v>
      </c>
      <c r="E72" s="392">
        <f t="shared" si="7"/>
        <v>73032.546875</v>
      </c>
      <c r="F72" s="428">
        <f t="shared" si="0"/>
        <v>0.90615690000000004</v>
      </c>
      <c r="G72" s="390">
        <f t="shared" si="1"/>
        <v>66.178899999999999</v>
      </c>
      <c r="H72" s="391">
        <f t="shared" si="2"/>
        <v>232684.04848362412</v>
      </c>
      <c r="I72" s="324">
        <v>68000</v>
      </c>
      <c r="J72" s="325"/>
      <c r="K72" s="325"/>
      <c r="L72" s="319">
        <v>73032.546875</v>
      </c>
      <c r="M72" s="320"/>
      <c r="N72" s="320"/>
      <c r="O72" s="320"/>
      <c r="P72" s="392">
        <f t="shared" si="8"/>
        <v>73032.546875</v>
      </c>
      <c r="Q72" s="392">
        <f t="shared" si="3"/>
        <v>0</v>
      </c>
      <c r="R72" s="392">
        <f t="shared" si="4"/>
        <v>0</v>
      </c>
      <c r="S72" s="373"/>
      <c r="T72" s="374"/>
      <c r="U72" s="524">
        <f t="shared" si="9"/>
        <v>-68000</v>
      </c>
      <c r="V72" s="520">
        <f t="shared" si="10"/>
        <v>68000</v>
      </c>
      <c r="W72" s="520">
        <f t="shared" si="11"/>
        <v>77053.426775750006</v>
      </c>
      <c r="X72" s="520">
        <f t="shared" si="12"/>
        <v>-9053.4267757500056</v>
      </c>
      <c r="Y72" s="525">
        <f t="shared" si="13"/>
        <v>-189157.63300936602</v>
      </c>
    </row>
    <row r="73" spans="1:38" x14ac:dyDescent="0.2">
      <c r="A73" s="1"/>
      <c r="B73" s="1"/>
      <c r="C73" s="387">
        <f t="shared" si="5"/>
        <v>42425</v>
      </c>
      <c r="D73" s="388">
        <f t="shared" si="6"/>
        <v>159584.41655172413</v>
      </c>
      <c r="E73" s="392">
        <f t="shared" si="7"/>
        <v>73016.757813000004</v>
      </c>
      <c r="F73" s="428">
        <f t="shared" si="0"/>
        <v>0.90615690000000004</v>
      </c>
      <c r="G73" s="390">
        <f t="shared" si="1"/>
        <v>66.164599999999993</v>
      </c>
      <c r="H73" s="391">
        <f t="shared" si="2"/>
        <v>232668.24512162412</v>
      </c>
      <c r="I73" s="324">
        <v>69727</v>
      </c>
      <c r="J73" s="325"/>
      <c r="K73" s="325"/>
      <c r="L73" s="317">
        <v>73016.757813000004</v>
      </c>
      <c r="M73" s="318"/>
      <c r="N73" s="318"/>
      <c r="O73" s="318"/>
      <c r="P73" s="392">
        <f t="shared" si="8"/>
        <v>73016.757813000004</v>
      </c>
      <c r="Q73" s="392">
        <f t="shared" si="3"/>
        <v>0</v>
      </c>
      <c r="R73" s="392">
        <f t="shared" si="4"/>
        <v>0</v>
      </c>
      <c r="S73" s="373"/>
      <c r="T73" s="374"/>
      <c r="U73" s="524">
        <f t="shared" si="9"/>
        <v>-69727</v>
      </c>
      <c r="V73" s="520">
        <f t="shared" si="10"/>
        <v>69727</v>
      </c>
      <c r="W73" s="520">
        <f t="shared" si="11"/>
        <v>77036.768431152537</v>
      </c>
      <c r="X73" s="520">
        <f t="shared" si="12"/>
        <v>-7309.7684311525372</v>
      </c>
      <c r="Y73" s="525">
        <f t="shared" si="13"/>
        <v>-196467.40144051856</v>
      </c>
    </row>
    <row r="74" spans="1:38" x14ac:dyDescent="0.2">
      <c r="A74" s="1"/>
      <c r="B74" s="1"/>
      <c r="C74" s="387">
        <f t="shared" si="5"/>
        <v>42426</v>
      </c>
      <c r="D74" s="388">
        <f t="shared" si="6"/>
        <v>159584.41655172413</v>
      </c>
      <c r="E74" s="392">
        <f t="shared" si="7"/>
        <v>73239.953125</v>
      </c>
      <c r="F74" s="428">
        <f t="shared" si="0"/>
        <v>0.90615690000000004</v>
      </c>
      <c r="G74" s="390">
        <f t="shared" si="1"/>
        <v>66.366900000000001</v>
      </c>
      <c r="H74" s="391">
        <f t="shared" si="2"/>
        <v>232891.64273362412</v>
      </c>
      <c r="I74" s="324">
        <v>70000</v>
      </c>
      <c r="J74" s="325"/>
      <c r="K74" s="325"/>
      <c r="L74" s="319">
        <v>73239.953125</v>
      </c>
      <c r="M74" s="320"/>
      <c r="N74" s="320"/>
      <c r="O74" s="320"/>
      <c r="P74" s="392">
        <f t="shared" si="8"/>
        <v>73239.953125</v>
      </c>
      <c r="Q74" s="392">
        <f t="shared" si="3"/>
        <v>0</v>
      </c>
      <c r="R74" s="392">
        <f t="shared" si="4"/>
        <v>0</v>
      </c>
      <c r="S74" s="373"/>
      <c r="T74" s="374"/>
      <c r="U74" s="524">
        <f t="shared" si="9"/>
        <v>-70000</v>
      </c>
      <c r="V74" s="520">
        <f t="shared" si="10"/>
        <v>70000</v>
      </c>
      <c r="W74" s="520">
        <f t="shared" si="11"/>
        <v>77272.251984250004</v>
      </c>
      <c r="X74" s="520">
        <f t="shared" si="12"/>
        <v>-7272.2519842500042</v>
      </c>
      <c r="Y74" s="525">
        <f t="shared" si="13"/>
        <v>-203739.65342476856</v>
      </c>
    </row>
    <row r="75" spans="1:38" x14ac:dyDescent="0.2">
      <c r="A75" s="1"/>
      <c r="B75" s="1"/>
      <c r="C75" s="387">
        <f t="shared" si="5"/>
        <v>42427</v>
      </c>
      <c r="D75" s="388">
        <f t="shared" si="6"/>
        <v>159584.41655172413</v>
      </c>
      <c r="E75" s="392">
        <f t="shared" si="7"/>
        <v>74051.887208</v>
      </c>
      <c r="F75" s="428">
        <f t="shared" si="0"/>
        <v>0.90615690000000004</v>
      </c>
      <c r="G75" s="390">
        <f t="shared" si="1"/>
        <v>67.102599999999995</v>
      </c>
      <c r="H75" s="391">
        <f t="shared" si="2"/>
        <v>233704.31251662414</v>
      </c>
      <c r="I75" s="324">
        <v>70000</v>
      </c>
      <c r="J75" s="325"/>
      <c r="K75" s="325"/>
      <c r="L75" s="317">
        <v>74051.887208</v>
      </c>
      <c r="M75" s="318"/>
      <c r="N75" s="318"/>
      <c r="O75" s="318"/>
      <c r="P75" s="392">
        <f t="shared" si="8"/>
        <v>74051.887208</v>
      </c>
      <c r="Q75" s="392">
        <f t="shared" si="3"/>
        <v>0</v>
      </c>
      <c r="R75" s="392">
        <f t="shared" si="4"/>
        <v>0</v>
      </c>
      <c r="S75" s="373"/>
      <c r="T75" s="374"/>
      <c r="U75" s="524">
        <f t="shared" si="9"/>
        <v>-70000</v>
      </c>
      <c r="V75" s="520">
        <f t="shared" si="10"/>
        <v>70000</v>
      </c>
      <c r="W75" s="520">
        <f t="shared" si="11"/>
        <v>78128.887910123653</v>
      </c>
      <c r="X75" s="520">
        <f t="shared" si="12"/>
        <v>-8128.8879101236525</v>
      </c>
      <c r="Y75" s="525">
        <f t="shared" si="13"/>
        <v>-211868.54133489222</v>
      </c>
    </row>
    <row r="76" spans="1:38" x14ac:dyDescent="0.2">
      <c r="A76" s="1"/>
      <c r="B76" s="1"/>
      <c r="C76" s="387">
        <f t="shared" si="5"/>
        <v>42428</v>
      </c>
      <c r="D76" s="388">
        <f t="shared" si="6"/>
        <v>159584.41655172413</v>
      </c>
      <c r="E76" s="392">
        <f t="shared" si="7"/>
        <v>73039.234375</v>
      </c>
      <c r="F76" s="428">
        <f t="shared" si="0"/>
        <v>0.90615690000000004</v>
      </c>
      <c r="G76" s="390">
        <f t="shared" si="1"/>
        <v>66.185000000000002</v>
      </c>
      <c r="H76" s="391">
        <f t="shared" si="2"/>
        <v>232690.74208362412</v>
      </c>
      <c r="I76" s="324">
        <v>70000</v>
      </c>
      <c r="J76" s="325"/>
      <c r="K76" s="325"/>
      <c r="L76" s="319">
        <v>73039.234375</v>
      </c>
      <c r="M76" s="320"/>
      <c r="N76" s="320"/>
      <c r="O76" s="320"/>
      <c r="P76" s="392">
        <f t="shared" si="8"/>
        <v>73039.234375</v>
      </c>
      <c r="Q76" s="392">
        <f t="shared" si="3"/>
        <v>0</v>
      </c>
      <c r="R76" s="392">
        <f t="shared" si="4"/>
        <v>0</v>
      </c>
      <c r="S76" s="373"/>
      <c r="T76" s="374"/>
      <c r="U76" s="524">
        <f t="shared" si="9"/>
        <v>-70000</v>
      </c>
      <c r="V76" s="520">
        <f t="shared" si="10"/>
        <v>70000</v>
      </c>
      <c r="W76" s="520">
        <f t="shared" si="11"/>
        <v>77060.482462750006</v>
      </c>
      <c r="X76" s="520">
        <f t="shared" si="12"/>
        <v>-7060.4824627500057</v>
      </c>
      <c r="Y76" s="525">
        <f t="shared" si="13"/>
        <v>-218929.02379764221</v>
      </c>
    </row>
    <row r="77" spans="1:38" x14ac:dyDescent="0.2">
      <c r="A77" s="1"/>
      <c r="B77" s="1"/>
      <c r="C77" s="387">
        <f t="shared" si="5"/>
        <v>42429</v>
      </c>
      <c r="D77" s="388">
        <f t="shared" si="6"/>
        <v>159584.41655172413</v>
      </c>
      <c r="E77" s="392">
        <f t="shared" si="7"/>
        <v>73757.327636000002</v>
      </c>
      <c r="F77" s="428">
        <f t="shared" si="0"/>
        <v>0.90615690000000004</v>
      </c>
      <c r="G77" s="390">
        <f t="shared" si="1"/>
        <v>66.835700000000003</v>
      </c>
      <c r="H77" s="391">
        <f t="shared" si="2"/>
        <v>233409.48604462412</v>
      </c>
      <c r="I77" s="324">
        <v>70000</v>
      </c>
      <c r="J77" s="325"/>
      <c r="K77" s="325"/>
      <c r="L77" s="317">
        <v>73757.327636000002</v>
      </c>
      <c r="M77" s="318"/>
      <c r="N77" s="318"/>
      <c r="O77" s="318"/>
      <c r="P77" s="392">
        <f t="shared" si="8"/>
        <v>73757.327636000002</v>
      </c>
      <c r="Q77" s="392">
        <f t="shared" si="3"/>
        <v>0</v>
      </c>
      <c r="R77" s="392">
        <f t="shared" si="4"/>
        <v>0</v>
      </c>
      <c r="S77" s="373"/>
      <c r="T77" s="374"/>
      <c r="U77" s="524">
        <f t="shared" si="9"/>
        <v>-70000</v>
      </c>
      <c r="V77" s="520">
        <f t="shared" si="10"/>
        <v>70000</v>
      </c>
      <c r="W77" s="520">
        <f t="shared" si="11"/>
        <v>77818.111066327619</v>
      </c>
      <c r="X77" s="520">
        <f t="shared" si="12"/>
        <v>-7818.1110663276195</v>
      </c>
      <c r="Y77" s="525">
        <f t="shared" si="13"/>
        <v>-226747.13486396981</v>
      </c>
    </row>
    <row r="78" spans="1:38" x14ac:dyDescent="0.2">
      <c r="A78" s="1"/>
      <c r="B78" s="1"/>
      <c r="C78" s="387"/>
      <c r="D78" s="388"/>
      <c r="E78" s="392"/>
      <c r="F78" s="428"/>
      <c r="G78" s="390"/>
      <c r="H78" s="391"/>
      <c r="I78" s="324"/>
      <c r="J78" s="325"/>
      <c r="K78" s="325"/>
      <c r="L78" s="319"/>
      <c r="M78" s="320"/>
      <c r="N78" s="320"/>
      <c r="O78" s="320"/>
      <c r="P78" s="392"/>
      <c r="Q78" s="392"/>
      <c r="R78" s="392"/>
      <c r="S78" s="373"/>
      <c r="T78" s="374"/>
      <c r="U78" s="524"/>
      <c r="V78" s="520"/>
      <c r="W78" s="520"/>
      <c r="X78" s="520"/>
      <c r="Y78" s="525"/>
    </row>
    <row r="79" spans="1:38" ht="15" thickBot="1" x14ac:dyDescent="0.25">
      <c r="A79" s="1"/>
      <c r="B79" s="1"/>
      <c r="C79" s="393"/>
      <c r="D79" s="394"/>
      <c r="E79" s="395"/>
      <c r="F79" s="429"/>
      <c r="G79" s="396"/>
      <c r="H79" s="397"/>
      <c r="I79" s="326"/>
      <c r="J79" s="327"/>
      <c r="K79" s="327"/>
      <c r="L79" s="321"/>
      <c r="M79" s="322"/>
      <c r="N79" s="322"/>
      <c r="O79" s="322"/>
      <c r="P79" s="395"/>
      <c r="Q79" s="395"/>
      <c r="R79" s="395"/>
      <c r="S79" s="375"/>
      <c r="T79" s="376"/>
      <c r="U79" s="521"/>
      <c r="V79" s="528"/>
      <c r="W79" s="521"/>
      <c r="X79" s="528"/>
      <c r="Y79" s="529"/>
    </row>
    <row r="80" spans="1:38" ht="15" thickBot="1" x14ac:dyDescent="0.25">
      <c r="C80" s="398"/>
      <c r="D80" s="399">
        <f>SUM(D49:D79)</f>
        <v>4627948.0799999991</v>
      </c>
      <c r="E80" s="400">
        <f>SUM(E49:E79)</f>
        <v>2080956.9680320001</v>
      </c>
      <c r="F80" s="400"/>
      <c r="G80" s="401">
        <f t="shared" ref="G80:R80" si="14">SUM(G49:G79)</f>
        <v>1885.6733999999999</v>
      </c>
      <c r="H80" s="399">
        <f t="shared" si="14"/>
        <v>6710816.9999821</v>
      </c>
      <c r="I80" s="432">
        <f t="shared" si="14"/>
        <v>1968779</v>
      </c>
      <c r="J80" s="432">
        <f t="shared" si="14"/>
        <v>0</v>
      </c>
      <c r="K80" s="432">
        <f t="shared" si="14"/>
        <v>0</v>
      </c>
      <c r="L80" s="432">
        <f t="shared" si="14"/>
        <v>2080956.9680320001</v>
      </c>
      <c r="M80" s="432">
        <f t="shared" si="14"/>
        <v>0</v>
      </c>
      <c r="N80" s="432">
        <f t="shared" si="14"/>
        <v>0</v>
      </c>
      <c r="O80" s="432">
        <f t="shared" si="14"/>
        <v>0</v>
      </c>
      <c r="P80" s="432">
        <f t="shared" si="14"/>
        <v>2080956.9680320001</v>
      </c>
      <c r="Q80" s="432">
        <f t="shared" si="14"/>
        <v>0</v>
      </c>
      <c r="R80" s="432">
        <f t="shared" si="14"/>
        <v>0</v>
      </c>
      <c r="U80" s="530"/>
      <c r="V80" s="328">
        <f>SUM(V49:V79)</f>
        <v>1968779</v>
      </c>
      <c r="W80" s="328">
        <f>SUM(W49:W79)</f>
        <v>2195526.1348639699</v>
      </c>
      <c r="X80" s="328">
        <f>SUM(X49:X77)</f>
        <v>-226747.13486396981</v>
      </c>
      <c r="Y80" s="323">
        <f>Y77</f>
        <v>-226747.13486396981</v>
      </c>
      <c r="AL80" s="361">
        <f>Y79</f>
        <v>0</v>
      </c>
    </row>
    <row r="81" spans="2:14" ht="15" customHeight="1" x14ac:dyDescent="0.2">
      <c r="B81"/>
      <c r="C81"/>
      <c r="D81"/>
      <c r="E81"/>
      <c r="F81"/>
      <c r="G81"/>
      <c r="H81"/>
      <c r="I81"/>
      <c r="J81"/>
      <c r="K81"/>
      <c r="L81"/>
      <c r="N81" s="2"/>
    </row>
  </sheetData>
  <mergeCells count="12">
    <mergeCell ref="C10:D10"/>
    <mergeCell ref="C11:D11"/>
    <mergeCell ref="C3:M4"/>
    <mergeCell ref="C5:M5"/>
    <mergeCell ref="C6:M6"/>
    <mergeCell ref="G7:H7"/>
    <mergeCell ref="C9:D9"/>
    <mergeCell ref="D23:E23"/>
    <mergeCell ref="D24:E24"/>
    <mergeCell ref="C28:F28"/>
    <mergeCell ref="C39:F39"/>
    <mergeCell ref="S47:Y47"/>
  </mergeCells>
  <conditionalFormatting sqref="L49:O79">
    <cfRule type="cellIs" dxfId="141" priority="1" stopIfTrue="1" operator="equal">
      <formula>0</formula>
    </cfRule>
  </conditionalFormatting>
  <pageMargins left="0" right="0" top="0.74803149606299213" bottom="0.74803149606299213" header="0.31496062992125984" footer="0.31496062992125984"/>
  <pageSetup scale="85" orientation="landscape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L81"/>
  <sheetViews>
    <sheetView workbookViewId="0"/>
  </sheetViews>
  <sheetFormatPr baseColWidth="10" defaultColWidth="11" defaultRowHeight="14.25" x14ac:dyDescent="0.2"/>
  <cols>
    <col min="1" max="1" width="11" style="2"/>
    <col min="2" max="2" width="3.875" style="2" bestFit="1" customWidth="1"/>
    <col min="3" max="3" width="16.125" style="2" customWidth="1"/>
    <col min="4" max="4" width="12.375" style="2" customWidth="1"/>
    <col min="5" max="5" width="13.125" style="2" bestFit="1" customWidth="1"/>
    <col min="6" max="6" width="17.125" style="2" bestFit="1" customWidth="1"/>
    <col min="7" max="7" width="13.125" style="2" customWidth="1"/>
    <col min="8" max="8" width="12.125" style="2" customWidth="1"/>
    <col min="9" max="9" width="11.125" style="2" bestFit="1" customWidth="1"/>
    <col min="10" max="10" width="11.875" style="2" bestFit="1" customWidth="1"/>
    <col min="11" max="11" width="11.625" style="2" bestFit="1" customWidth="1"/>
    <col min="12" max="12" width="12.125" style="2" customWidth="1"/>
    <col min="13" max="13" width="11.875" style="2" bestFit="1" customWidth="1"/>
    <col min="14" max="14" width="9" style="1" customWidth="1"/>
    <col min="15" max="15" width="10.375" style="2" customWidth="1"/>
    <col min="16" max="25" width="11" style="2"/>
    <col min="26" max="31" width="10.875" customWidth="1"/>
    <col min="32" max="16384" width="11" style="2"/>
  </cols>
  <sheetData>
    <row r="2" spans="2:25" x14ac:dyDescent="0.2"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2:25" ht="15" customHeight="1" x14ac:dyDescent="0.2">
      <c r="B3" s="1"/>
      <c r="C3" s="2254" t="s">
        <v>0</v>
      </c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</row>
    <row r="4" spans="2:25" ht="15" customHeight="1" x14ac:dyDescent="0.2"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</row>
    <row r="5" spans="2:25" x14ac:dyDescent="0.2">
      <c r="B5" s="1"/>
      <c r="C5" s="2257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</row>
    <row r="6" spans="2:25" x14ac:dyDescent="0.2">
      <c r="B6" s="1"/>
      <c r="C6" s="2257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</row>
    <row r="7" spans="2:25" x14ac:dyDescent="0.2">
      <c r="B7" s="1"/>
      <c r="C7" s="414"/>
      <c r="D7" s="414"/>
      <c r="E7" s="414"/>
      <c r="F7" s="414"/>
      <c r="G7" s="2271">
        <v>42430</v>
      </c>
      <c r="H7" s="2257"/>
      <c r="I7" s="414"/>
      <c r="J7" s="414"/>
      <c r="K7" s="414"/>
      <c r="L7" s="414"/>
      <c r="M7" s="414"/>
      <c r="N7" s="18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2:25" x14ac:dyDescent="0.2">
      <c r="B8" s="1"/>
      <c r="C8" s="414"/>
      <c r="D8" s="414"/>
      <c r="E8" s="414"/>
      <c r="F8" s="414"/>
      <c r="G8" s="414"/>
      <c r="H8" s="414"/>
      <c r="I8" s="414"/>
      <c r="J8" s="414"/>
      <c r="K8" s="414"/>
      <c r="L8" s="414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2:25" ht="25.5" x14ac:dyDescent="0.2">
      <c r="B9" s="1"/>
      <c r="C9" s="2272" t="s">
        <v>6</v>
      </c>
      <c r="D9" s="2272"/>
      <c r="E9" s="415" t="s">
        <v>94</v>
      </c>
      <c r="F9" s="415" t="s">
        <v>126</v>
      </c>
      <c r="G9" s="410" t="s">
        <v>133</v>
      </c>
      <c r="H9" s="415" t="s">
        <v>127</v>
      </c>
      <c r="I9" s="415" t="s">
        <v>128</v>
      </c>
      <c r="J9" s="414"/>
      <c r="K9" s="414"/>
      <c r="L9" s="414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2:25" x14ac:dyDescent="0.2">
      <c r="B10" s="1"/>
      <c r="C10" s="2273" t="s">
        <v>131</v>
      </c>
      <c r="D10" s="2273"/>
      <c r="E10" s="476">
        <f>IF(C15=0,D15,C15)</f>
        <v>4627948.08</v>
      </c>
      <c r="F10" s="473">
        <f>E10*0.16</f>
        <v>740471.69280000008</v>
      </c>
      <c r="G10" s="473">
        <f>E10+F10</f>
        <v>5368419.7728000004</v>
      </c>
      <c r="H10" s="475" t="s">
        <v>163</v>
      </c>
      <c r="I10" s="1317">
        <v>17.420200000000001</v>
      </c>
      <c r="J10" s="414"/>
      <c r="K10" s="414"/>
      <c r="L10" s="414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2:25" x14ac:dyDescent="0.2">
      <c r="B11" s="1"/>
      <c r="C11" s="2273" t="s">
        <v>132</v>
      </c>
      <c r="D11" s="2273"/>
      <c r="E11" s="476">
        <f>IF(C16=0,D16,C16)</f>
        <v>2069.34</v>
      </c>
      <c r="F11" s="473">
        <f>E11*0.16</f>
        <v>331.09440000000001</v>
      </c>
      <c r="G11" s="473">
        <f>E11+F11</f>
        <v>2400.4344000000001</v>
      </c>
      <c r="H11" s="475" t="s">
        <v>163</v>
      </c>
      <c r="I11" s="1317">
        <v>17.420200000000001</v>
      </c>
      <c r="J11" s="414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2:25" x14ac:dyDescent="0.2">
      <c r="B12" s="1"/>
      <c r="C12" s="414"/>
      <c r="D12" s="414"/>
      <c r="E12" s="414"/>
      <c r="F12" s="414"/>
      <c r="G12" s="414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2:25" ht="15" thickBot="1" x14ac:dyDescent="0.25">
      <c r="B13" s="1"/>
      <c r="C13" s="414"/>
      <c r="D13" s="414"/>
      <c r="E13" s="414"/>
      <c r="F13" s="414"/>
      <c r="G13" s="414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2:25" x14ac:dyDescent="0.2">
      <c r="B14" s="1"/>
      <c r="C14" s="440" t="s">
        <v>155</v>
      </c>
      <c r="D14" s="441" t="s">
        <v>156</v>
      </c>
      <c r="E14" s="442" t="s">
        <v>112</v>
      </c>
      <c r="F14" s="414"/>
      <c r="G14" s="414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2:25" x14ac:dyDescent="0.2">
      <c r="B15" s="1"/>
      <c r="C15" s="443">
        <v>4627948.08</v>
      </c>
      <c r="D15" s="444">
        <f>D80</f>
        <v>4627948.0800000019</v>
      </c>
      <c r="E15" s="445">
        <f>C15-D15</f>
        <v>0</v>
      </c>
      <c r="F15" s="414"/>
      <c r="G15" s="414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2:25" ht="15" thickBot="1" x14ac:dyDescent="0.25">
      <c r="B16" s="1"/>
      <c r="C16" s="446">
        <v>2069.34</v>
      </c>
      <c r="D16" s="447">
        <f>ROUND(G80,2)</f>
        <v>2069.34</v>
      </c>
      <c r="E16" s="448">
        <f>C16-D16</f>
        <v>0</v>
      </c>
      <c r="F16" s="414"/>
      <c r="G16" s="414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2:25" x14ac:dyDescent="0.2">
      <c r="B17" s="1"/>
      <c r="C17" s="414"/>
      <c r="D17" s="414"/>
      <c r="E17" s="414"/>
      <c r="F17" s="414"/>
      <c r="G17" s="414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2:25" x14ac:dyDescent="0.2">
      <c r="B18" s="1"/>
      <c r="C18" s="414"/>
      <c r="D18" s="414"/>
      <c r="E18" s="414"/>
      <c r="F18" s="414"/>
      <c r="G18" s="414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2:25" x14ac:dyDescent="0.2">
      <c r="B19" s="1"/>
      <c r="C19" s="414"/>
      <c r="D19" s="414"/>
      <c r="E19" s="414"/>
      <c r="F19" s="414"/>
      <c r="G19" s="414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2:25" x14ac:dyDescent="0.2">
      <c r="B20" s="1"/>
      <c r="C20" s="414"/>
      <c r="D20" s="414"/>
      <c r="E20" s="414"/>
      <c r="F20" s="414"/>
      <c r="G20" s="414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2:25" x14ac:dyDescent="0.2">
      <c r="B21" s="1"/>
      <c r="C21" s="414"/>
      <c r="D21" s="414"/>
      <c r="E21" s="414"/>
      <c r="F21" s="414"/>
      <c r="G21" s="414"/>
      <c r="H21" s="1"/>
      <c r="I21" s="1"/>
      <c r="J21" s="1"/>
      <c r="K21" s="1"/>
      <c r="L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2:25" ht="15" thickBot="1" x14ac:dyDescent="0.25">
      <c r="B22" s="1"/>
      <c r="C22" s="419" t="s">
        <v>137</v>
      </c>
      <c r="D22" s="414" t="s">
        <v>138</v>
      </c>
      <c r="E22" s="414"/>
      <c r="F22" s="414" t="s">
        <v>139</v>
      </c>
      <c r="G22" s="414" t="s">
        <v>164</v>
      </c>
      <c r="H22" s="414" t="s">
        <v>143</v>
      </c>
      <c r="I22" s="414" t="s">
        <v>142</v>
      </c>
      <c r="J22" s="414" t="s">
        <v>141</v>
      </c>
      <c r="K22" s="414" t="s">
        <v>140</v>
      </c>
      <c r="L22" s="414" t="s">
        <v>144</v>
      </c>
      <c r="M22" s="414" t="s">
        <v>146</v>
      </c>
      <c r="N22" s="414"/>
      <c r="O22" s="414"/>
      <c r="P22" s="414"/>
      <c r="Q22" s="1"/>
      <c r="R22" s="1"/>
      <c r="S22" s="1"/>
      <c r="T22" s="1"/>
      <c r="U22" s="1"/>
      <c r="V22" s="1"/>
      <c r="W22" s="1"/>
      <c r="X22" s="1"/>
      <c r="Y22" s="1"/>
    </row>
    <row r="23" spans="2:25" ht="36.75" customHeight="1" x14ac:dyDescent="0.2">
      <c r="B23" s="1"/>
      <c r="C23" s="402" t="s">
        <v>134</v>
      </c>
      <c r="D23" s="2261" t="s">
        <v>135</v>
      </c>
      <c r="E23" s="2262"/>
      <c r="F23" s="417" t="s">
        <v>136</v>
      </c>
      <c r="G23" s="461" t="s">
        <v>153</v>
      </c>
      <c r="H23" s="420" t="s">
        <v>129</v>
      </c>
      <c r="I23" s="403" t="s">
        <v>130</v>
      </c>
      <c r="J23" s="422"/>
      <c r="K23" s="422"/>
      <c r="L23" s="422"/>
      <c r="M23" s="404" t="s">
        <v>158</v>
      </c>
      <c r="N23" s="414"/>
      <c r="O23" s="414"/>
      <c r="P23" s="414"/>
      <c r="Q23" s="414"/>
      <c r="R23" s="414"/>
      <c r="S23" s="414"/>
      <c r="T23" s="414"/>
      <c r="U23" s="1"/>
      <c r="V23" s="1"/>
      <c r="W23" s="1"/>
      <c r="X23" s="1"/>
      <c r="Y23" s="1"/>
    </row>
    <row r="24" spans="2:25" x14ac:dyDescent="0.2">
      <c r="B24" s="1"/>
      <c r="C24" s="405">
        <v>850</v>
      </c>
      <c r="D24" s="2263">
        <v>850</v>
      </c>
      <c r="E24" s="2264"/>
      <c r="F24" s="418">
        <v>31482640</v>
      </c>
      <c r="G24" s="462">
        <v>31</v>
      </c>
      <c r="H24" s="460">
        <f>VLOOKUP(C47,Tarifas!D4:H303,3)</f>
        <v>0.14699999999999999</v>
      </c>
      <c r="I24" s="424">
        <f>VLOOKUP(C47,Tarifas!D4:H303,5)</f>
        <v>1E-3</v>
      </c>
      <c r="J24" s="421">
        <v>181.5</v>
      </c>
      <c r="K24" s="421">
        <v>201.4</v>
      </c>
      <c r="L24" s="421">
        <f>I11</f>
        <v>17.420200000000001</v>
      </c>
      <c r="M24" s="431">
        <f>E80</f>
        <v>2296226.9477340006</v>
      </c>
      <c r="N24" s="430" t="s">
        <v>62</v>
      </c>
      <c r="O24" s="414"/>
      <c r="P24" s="414"/>
      <c r="Q24" s="414"/>
      <c r="R24" s="414"/>
      <c r="S24" s="414"/>
      <c r="T24" s="414"/>
      <c r="U24" s="1"/>
      <c r="V24" s="1"/>
      <c r="W24" s="1"/>
      <c r="X24" s="1"/>
      <c r="Y24" s="1"/>
    </row>
    <row r="25" spans="2:25" x14ac:dyDescent="0.2">
      <c r="B25" s="1"/>
      <c r="C25" s="414"/>
      <c r="D25" s="414"/>
      <c r="E25" s="414"/>
      <c r="F25" s="414"/>
      <c r="G25" s="414"/>
      <c r="H25" s="414"/>
      <c r="I25" s="414"/>
      <c r="J25" s="414"/>
      <c r="K25" s="414"/>
      <c r="L25" s="414"/>
      <c r="M25" s="414"/>
      <c r="N25" s="414"/>
      <c r="O25" s="414"/>
      <c r="P25" s="414"/>
      <c r="Q25" s="414"/>
      <c r="R25" s="414"/>
      <c r="S25" s="1"/>
      <c r="T25" s="1"/>
      <c r="U25" s="1"/>
      <c r="V25" s="1"/>
      <c r="W25" s="1"/>
      <c r="X25" s="1"/>
      <c r="Y25" s="1"/>
    </row>
    <row r="26" spans="2:25" x14ac:dyDescent="0.2">
      <c r="B26" s="1"/>
      <c r="C26" s="414"/>
      <c r="D26" s="414"/>
      <c r="E26" s="414"/>
      <c r="F26" s="414"/>
      <c r="G26" s="414"/>
      <c r="H26" s="414"/>
      <c r="I26" s="414"/>
      <c r="J26" s="414"/>
      <c r="K26" s="414"/>
      <c r="L26" s="414"/>
      <c r="M26" s="414"/>
      <c r="N26" s="414"/>
      <c r="O26" s="414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2:25" x14ac:dyDescent="0.2">
      <c r="B27" s="1"/>
      <c r="C27" s="414"/>
      <c r="D27" s="414"/>
      <c r="E27" s="414"/>
      <c r="F27" s="414"/>
      <c r="G27" s="414"/>
      <c r="H27" s="414"/>
      <c r="I27" s="414"/>
      <c r="J27" s="414"/>
      <c r="K27" s="414"/>
      <c r="L27" s="414"/>
      <c r="M27" s="414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2:25" ht="15" thickBot="1" x14ac:dyDescent="0.25">
      <c r="B28" s="1"/>
      <c r="C28" s="2265" t="s">
        <v>86</v>
      </c>
      <c r="D28" s="2265"/>
      <c r="E28" s="2265"/>
      <c r="F28" s="2265"/>
      <c r="G28" s="471"/>
      <c r="H28" s="334"/>
      <c r="I28" s="334"/>
      <c r="J28" s="334"/>
      <c r="K28" s="471"/>
      <c r="L28" s="336"/>
      <c r="M28" s="336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2:25" ht="22.5" x14ac:dyDescent="0.2">
      <c r="B29" s="1"/>
      <c r="C29" s="337" t="s">
        <v>87</v>
      </c>
      <c r="D29" s="466" t="s">
        <v>88</v>
      </c>
      <c r="E29" s="466" t="s">
        <v>89</v>
      </c>
      <c r="F29" s="466" t="s">
        <v>20</v>
      </c>
      <c r="G29" s="466" t="s">
        <v>160</v>
      </c>
      <c r="H29" s="466" t="s">
        <v>90</v>
      </c>
      <c r="I29" s="466" t="s">
        <v>91</v>
      </c>
      <c r="J29" s="466" t="s">
        <v>92</v>
      </c>
      <c r="K29" s="466" t="s">
        <v>93</v>
      </c>
      <c r="L29" s="466" t="s">
        <v>94</v>
      </c>
      <c r="M29" s="467" t="s">
        <v>95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2:25" x14ac:dyDescent="0.2">
      <c r="B30" s="1"/>
      <c r="C30" s="338"/>
      <c r="D30" s="339">
        <v>1</v>
      </c>
      <c r="E30" s="339" t="s">
        <v>96</v>
      </c>
      <c r="F30" s="340" t="s">
        <v>97</v>
      </c>
      <c r="G30" s="339">
        <v>2201</v>
      </c>
      <c r="H30" s="339">
        <v>20823</v>
      </c>
      <c r="I30" s="341">
        <v>0</v>
      </c>
      <c r="J30" s="339">
        <v>138.15</v>
      </c>
      <c r="K30" s="342">
        <f>I30/I$35</f>
        <v>0</v>
      </c>
      <c r="L30" s="343">
        <f>ROUND(K30*E$10,2)</f>
        <v>0</v>
      </c>
      <c r="M30" s="344">
        <f>L30*$I$10</f>
        <v>0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2:25" x14ac:dyDescent="0.2">
      <c r="B31" s="1"/>
      <c r="C31" s="338"/>
      <c r="D31" s="339">
        <v>2</v>
      </c>
      <c r="E31" s="339" t="s">
        <v>98</v>
      </c>
      <c r="F31" s="340" t="s">
        <v>97</v>
      </c>
      <c r="G31" s="339">
        <v>2201</v>
      </c>
      <c r="H31" s="339">
        <v>20824</v>
      </c>
      <c r="I31" s="341">
        <v>0</v>
      </c>
      <c r="J31" s="339">
        <v>138.15</v>
      </c>
      <c r="K31" s="342">
        <f>I31/I$35</f>
        <v>0</v>
      </c>
      <c r="L31" s="343">
        <f>ROUND(K31*E$10,2)</f>
        <v>0</v>
      </c>
      <c r="M31" s="344">
        <f>L31*$I$10</f>
        <v>0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2:25" x14ac:dyDescent="0.2">
      <c r="B32" s="1"/>
      <c r="C32" s="338"/>
      <c r="D32" s="339">
        <v>1</v>
      </c>
      <c r="E32" s="339" t="s">
        <v>99</v>
      </c>
      <c r="F32" s="340" t="s">
        <v>100</v>
      </c>
      <c r="G32" s="339">
        <v>2230</v>
      </c>
      <c r="H32" s="339">
        <v>22228</v>
      </c>
      <c r="I32" s="341">
        <v>0</v>
      </c>
      <c r="J32" s="339">
        <v>130.80000000000001</v>
      </c>
      <c r="K32" s="342">
        <f>I32/I$35</f>
        <v>0</v>
      </c>
      <c r="L32" s="343">
        <f>ROUND(K32*E$10,2)</f>
        <v>0</v>
      </c>
      <c r="M32" s="344">
        <f>L32*$I$10</f>
        <v>0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2:25" x14ac:dyDescent="0.2">
      <c r="B33" s="1"/>
      <c r="C33" s="338">
        <v>800762390</v>
      </c>
      <c r="D33" s="339">
        <v>3</v>
      </c>
      <c r="E33" s="354" t="s">
        <v>101</v>
      </c>
      <c r="F33" s="463" t="s">
        <v>23</v>
      </c>
      <c r="G33" s="354">
        <v>2044</v>
      </c>
      <c r="H33" s="354">
        <v>591000500</v>
      </c>
      <c r="I33" s="341">
        <v>80000</v>
      </c>
      <c r="J33" s="339">
        <v>433</v>
      </c>
      <c r="K33" s="342">
        <f>I33/I$35</f>
        <v>9.4117647058823528E-2</v>
      </c>
      <c r="L33" s="343">
        <f>ROUND(K33*E$10,2)</f>
        <v>435571.58</v>
      </c>
      <c r="M33" s="344">
        <f>L33*$I$10</f>
        <v>7587744.0379160009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2:25" ht="15" thickBot="1" x14ac:dyDescent="0.25">
      <c r="B34" s="1"/>
      <c r="C34" s="345">
        <v>800642440</v>
      </c>
      <c r="D34" s="346">
        <v>5</v>
      </c>
      <c r="E34" s="347" t="s">
        <v>101</v>
      </c>
      <c r="F34" s="348" t="s">
        <v>159</v>
      </c>
      <c r="G34" s="347">
        <v>2277</v>
      </c>
      <c r="H34" s="347">
        <v>22770</v>
      </c>
      <c r="I34" s="349">
        <f>850000-I30-I31-I32-I33</f>
        <v>770000</v>
      </c>
      <c r="J34" s="346"/>
      <c r="K34" s="350">
        <f>I34/I$35</f>
        <v>0.90588235294117647</v>
      </c>
      <c r="L34" s="351">
        <f>ROUND(K34*E$10,2)</f>
        <v>4192376.5</v>
      </c>
      <c r="M34" s="352">
        <f>L34*$I$10</f>
        <v>73032037.105300009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2:25" x14ac:dyDescent="0.2">
      <c r="B35" s="1"/>
      <c r="C35" s="477">
        <v>3000623</v>
      </c>
      <c r="D35" s="353" t="s">
        <v>102</v>
      </c>
      <c r="E35" s="353"/>
      <c r="F35" s="353"/>
      <c r="G35" s="353"/>
      <c r="H35" s="354"/>
      <c r="I35" s="355">
        <f>SUM(I30:I34)</f>
        <v>850000</v>
      </c>
      <c r="J35" s="353"/>
      <c r="K35" s="356">
        <f>SUM(K30:K34)</f>
        <v>1</v>
      </c>
      <c r="L35" s="357">
        <f>SUM(L30:L34)</f>
        <v>4627948.08</v>
      </c>
      <c r="M35" s="357">
        <f>SUM(M30:M34)</f>
        <v>80619781.143216014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2:25" x14ac:dyDescent="0.2">
      <c r="B36" s="1"/>
      <c r="C36" s="336"/>
      <c r="D36" s="336"/>
      <c r="E36" s="336"/>
      <c r="F36" s="358"/>
      <c r="G36" s="358"/>
      <c r="H36" s="336"/>
      <c r="I36" s="336"/>
      <c r="J36" s="336"/>
      <c r="K36" s="336"/>
      <c r="L36" s="359"/>
      <c r="M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2:25" x14ac:dyDescent="0.2">
      <c r="B37" s="1"/>
      <c r="C37" s="336"/>
      <c r="D37" s="336"/>
      <c r="E37" s="336"/>
      <c r="F37" s="358"/>
      <c r="G37" s="358"/>
      <c r="H37" s="336"/>
      <c r="I37" s="336"/>
      <c r="J37" s="336"/>
      <c r="K37" s="336"/>
      <c r="L37" s="359"/>
      <c r="M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2:25" x14ac:dyDescent="0.2">
      <c r="B38" s="1"/>
      <c r="C38" s="336"/>
      <c r="D38" s="336"/>
      <c r="E38" s="336"/>
      <c r="F38" s="358"/>
      <c r="G38" s="358"/>
      <c r="H38" s="336"/>
      <c r="I38" s="336"/>
      <c r="J38" s="336"/>
      <c r="K38" s="336"/>
      <c r="L38" s="359"/>
      <c r="M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2:25" ht="15" thickBot="1" x14ac:dyDescent="0.25">
      <c r="B39" s="1"/>
      <c r="C39" s="2266" t="s">
        <v>103</v>
      </c>
      <c r="D39" s="2266"/>
      <c r="E39" s="2266"/>
      <c r="F39" s="2266"/>
      <c r="G39" s="471"/>
      <c r="H39" s="334"/>
      <c r="I39" s="334"/>
      <c r="J39" s="334"/>
      <c r="K39" s="336"/>
      <c r="L39" s="336"/>
      <c r="M39" s="360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2:25" ht="22.5" x14ac:dyDescent="0.2">
      <c r="B40" s="1"/>
      <c r="C40" s="337" t="s">
        <v>87</v>
      </c>
      <c r="D40" s="466" t="s">
        <v>88</v>
      </c>
      <c r="E40" s="466" t="s">
        <v>89</v>
      </c>
      <c r="F40" s="466" t="s">
        <v>20</v>
      </c>
      <c r="G40" s="466"/>
      <c r="H40" s="466" t="s">
        <v>90</v>
      </c>
      <c r="I40" s="466" t="s">
        <v>104</v>
      </c>
      <c r="J40" s="466" t="s">
        <v>93</v>
      </c>
      <c r="K40" s="466" t="s">
        <v>92</v>
      </c>
      <c r="L40" s="466" t="s">
        <v>94</v>
      </c>
      <c r="M40" s="467" t="s">
        <v>95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2:25" x14ac:dyDescent="0.2">
      <c r="B41" s="1"/>
      <c r="C41" s="338"/>
      <c r="D41" s="339">
        <v>1</v>
      </c>
      <c r="E41" s="339" t="s">
        <v>96</v>
      </c>
      <c r="F41" s="340" t="s">
        <v>97</v>
      </c>
      <c r="G41" s="340"/>
      <c r="H41" s="339">
        <v>20823</v>
      </c>
      <c r="I41" s="341">
        <f>M80</f>
        <v>0</v>
      </c>
      <c r="J41" s="342">
        <f>I41/I$45</f>
        <v>0</v>
      </c>
      <c r="K41" s="339">
        <v>138.15</v>
      </c>
      <c r="L41" s="343">
        <f>ROUND(J41*$E$11,2)</f>
        <v>0</v>
      </c>
      <c r="M41" s="344">
        <f>L41*L24</f>
        <v>0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2:25" x14ac:dyDescent="0.2">
      <c r="B42" s="1"/>
      <c r="C42" s="338"/>
      <c r="D42" s="339">
        <v>2</v>
      </c>
      <c r="E42" s="339" t="s">
        <v>98</v>
      </c>
      <c r="F42" s="340" t="s">
        <v>97</v>
      </c>
      <c r="G42" s="340"/>
      <c r="H42" s="339">
        <v>20824</v>
      </c>
      <c r="I42" s="341">
        <f>N80</f>
        <v>0</v>
      </c>
      <c r="J42" s="342">
        <f>I42/I$45</f>
        <v>0</v>
      </c>
      <c r="K42" s="339">
        <v>138.15</v>
      </c>
      <c r="L42" s="343">
        <f>ROUND(J42*$E$11,2)</f>
        <v>0</v>
      </c>
      <c r="M42" s="344">
        <f>L42*L25</f>
        <v>0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2:25" x14ac:dyDescent="0.2">
      <c r="B43" s="1"/>
      <c r="C43" s="338"/>
      <c r="D43" s="339">
        <v>1</v>
      </c>
      <c r="E43" s="339" t="s">
        <v>99</v>
      </c>
      <c r="F43" s="340" t="s">
        <v>100</v>
      </c>
      <c r="G43" s="340"/>
      <c r="H43" s="339">
        <v>22228</v>
      </c>
      <c r="I43" s="341">
        <f>O80</f>
        <v>0</v>
      </c>
      <c r="J43" s="342">
        <f>I43/I$45</f>
        <v>0</v>
      </c>
      <c r="K43" s="339">
        <v>130.80000000000001</v>
      </c>
      <c r="L43" s="343">
        <f>ROUND(J43*$E$11,2)</f>
        <v>0</v>
      </c>
      <c r="M43" s="344">
        <f>L43*L26</f>
        <v>0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2:25" ht="15" thickBot="1" x14ac:dyDescent="0.25">
      <c r="B44" s="1"/>
      <c r="C44" s="345">
        <v>800762390</v>
      </c>
      <c r="D44" s="346">
        <v>4</v>
      </c>
      <c r="E44" s="347" t="s">
        <v>101</v>
      </c>
      <c r="F44" s="348" t="s">
        <v>23</v>
      </c>
      <c r="G44" s="348"/>
      <c r="H44" s="347">
        <v>591000500</v>
      </c>
      <c r="I44" s="349">
        <f>L80</f>
        <v>2296226.9477340006</v>
      </c>
      <c r="J44" s="350">
        <f>I44/I$45</f>
        <v>1</v>
      </c>
      <c r="K44" s="346">
        <v>138.15</v>
      </c>
      <c r="L44" s="351">
        <f>ROUND(J44*$E$11,2)</f>
        <v>2069.34</v>
      </c>
      <c r="M44" s="352">
        <f>L44*I11</f>
        <v>36048.316668000007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2:25" x14ac:dyDescent="0.2">
      <c r="B45" s="1"/>
      <c r="C45" s="353"/>
      <c r="D45" s="353"/>
      <c r="E45" s="353"/>
      <c r="F45" s="353"/>
      <c r="G45" s="353"/>
      <c r="H45" s="354"/>
      <c r="I45" s="449">
        <f>SUM(I41:I44)</f>
        <v>2296226.9477340006</v>
      </c>
      <c r="J45" s="355"/>
      <c r="K45" s="353"/>
      <c r="L45" s="357">
        <f>SUM(L41:L44)</f>
        <v>2069.34</v>
      </c>
      <c r="M45" s="357">
        <f>SUM(M41:M44)</f>
        <v>36048.316668000007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2:25" customFormat="1" ht="15" thickBot="1" x14ac:dyDescent="0.25">
      <c r="M46" s="450"/>
      <c r="N46" s="450"/>
      <c r="O46" s="450"/>
      <c r="P46" s="450"/>
      <c r="Q46" s="450"/>
      <c r="R46" s="450"/>
      <c r="S46" s="450"/>
      <c r="T46" s="450"/>
      <c r="U46" s="450"/>
      <c r="V46" s="450"/>
      <c r="W46" s="450"/>
      <c r="X46" s="450"/>
      <c r="Y46" s="450"/>
    </row>
    <row r="47" spans="2:25" ht="15" thickBot="1" x14ac:dyDescent="0.25">
      <c r="B47" s="434" t="s">
        <v>3</v>
      </c>
      <c r="C47" s="333">
        <f>SUMIF(Tarifas!E4:E303,'Marzo - 2016'!C49,Tarifas!D4:D303)</f>
        <v>32</v>
      </c>
      <c r="D47" s="425" t="s">
        <v>147</v>
      </c>
      <c r="E47" s="426" t="s">
        <v>145</v>
      </c>
      <c r="F47" s="426" t="s">
        <v>150</v>
      </c>
      <c r="G47" s="426" t="s">
        <v>148</v>
      </c>
      <c r="H47" s="382"/>
      <c r="I47" s="331" t="s">
        <v>120</v>
      </c>
      <c r="J47" s="332"/>
      <c r="K47" s="332"/>
      <c r="L47" s="364" t="s">
        <v>105</v>
      </c>
      <c r="M47" s="365"/>
      <c r="N47" s="365"/>
      <c r="O47" s="365"/>
      <c r="P47" s="365"/>
      <c r="Q47" s="365"/>
      <c r="R47" s="366"/>
      <c r="S47" s="2267" t="s">
        <v>121</v>
      </c>
      <c r="T47" s="2268"/>
      <c r="U47" s="2268"/>
      <c r="V47" s="2268"/>
      <c r="W47" s="2268"/>
      <c r="X47" s="2268"/>
      <c r="Y47" s="2269"/>
    </row>
    <row r="48" spans="2:25" ht="33.75" x14ac:dyDescent="0.2">
      <c r="C48" s="383" t="s">
        <v>122</v>
      </c>
      <c r="D48" s="384" t="s">
        <v>125</v>
      </c>
      <c r="E48" s="385" t="s">
        <v>149</v>
      </c>
      <c r="F48" s="385" t="s">
        <v>151</v>
      </c>
      <c r="G48" s="385" t="s">
        <v>152</v>
      </c>
      <c r="H48" s="386" t="s">
        <v>123</v>
      </c>
      <c r="I48" s="329" t="s">
        <v>109</v>
      </c>
      <c r="J48" s="330" t="s">
        <v>25</v>
      </c>
      <c r="K48" s="330" t="s">
        <v>26</v>
      </c>
      <c r="L48" s="367" t="s">
        <v>115</v>
      </c>
      <c r="M48" s="362" t="s">
        <v>106</v>
      </c>
      <c r="N48" s="362" t="s">
        <v>107</v>
      </c>
      <c r="O48" s="362" t="s">
        <v>108</v>
      </c>
      <c r="P48" s="362" t="s">
        <v>115</v>
      </c>
      <c r="Q48" s="363" t="s">
        <v>116</v>
      </c>
      <c r="R48" s="368" t="s">
        <v>117</v>
      </c>
      <c r="S48" s="369" t="s">
        <v>110</v>
      </c>
      <c r="T48" s="370" t="s">
        <v>111</v>
      </c>
      <c r="U48" s="370" t="s">
        <v>112</v>
      </c>
      <c r="V48" s="371" t="s">
        <v>118</v>
      </c>
      <c r="W48" s="371" t="s">
        <v>119</v>
      </c>
      <c r="X48" s="371" t="s">
        <v>114</v>
      </c>
      <c r="Y48" s="372" t="s">
        <v>113</v>
      </c>
    </row>
    <row r="49" spans="3:25" x14ac:dyDescent="0.2">
      <c r="C49" s="387">
        <f>G7</f>
        <v>42430</v>
      </c>
      <c r="D49" s="388">
        <f>($F$24*$H$24)/$G$24</f>
        <v>149288.64774193548</v>
      </c>
      <c r="E49" s="389">
        <f>P49+Q49+R49</f>
        <v>74537.273438000004</v>
      </c>
      <c r="F49" s="427">
        <f t="shared" ref="F49:F79" si="0">TRUNC(IFERROR(J$24/K$24,0),8)</f>
        <v>0.90119165000000001</v>
      </c>
      <c r="G49" s="390">
        <f t="shared" ref="G49:G79" si="1">ROUND(I$24*F49*E49,4)</f>
        <v>67.172399999999996</v>
      </c>
      <c r="H49" s="391">
        <f t="shared" ref="H49:H79" si="2">SUM(D49:G49)</f>
        <v>223893.99477158548</v>
      </c>
      <c r="I49" s="324">
        <v>70000</v>
      </c>
      <c r="J49" s="325"/>
      <c r="K49" s="325"/>
      <c r="L49" s="317">
        <v>74537.273438000004</v>
      </c>
      <c r="M49" s="318"/>
      <c r="N49" s="318"/>
      <c r="O49" s="318"/>
      <c r="P49" s="389">
        <f>L49</f>
        <v>74537.273438000004</v>
      </c>
      <c r="Q49" s="389">
        <f t="shared" ref="Q49:Q79" si="3">M49+N49</f>
        <v>0</v>
      </c>
      <c r="R49" s="389">
        <f t="shared" ref="R49:R79" si="4">O49</f>
        <v>0</v>
      </c>
      <c r="S49" s="373"/>
      <c r="T49" s="374"/>
      <c r="U49" s="18">
        <f>S49+T49-V49</f>
        <v>-70000</v>
      </c>
      <c r="V49" s="377">
        <f>I49+J49+K49</f>
        <v>70000</v>
      </c>
      <c r="W49" s="18">
        <f>(P49+Q49+R49)*1.055056</f>
        <v>78640.997564402525</v>
      </c>
      <c r="X49" s="377">
        <f>V49-W49</f>
        <v>-8640.9975644025253</v>
      </c>
      <c r="Y49" s="378">
        <f>AL46+X49</f>
        <v>-8640.9975644025253</v>
      </c>
    </row>
    <row r="50" spans="3:25" x14ac:dyDescent="0.2">
      <c r="C50" s="387">
        <f t="shared" ref="C50:C79" si="5">C49+1</f>
        <v>42431</v>
      </c>
      <c r="D50" s="388">
        <f t="shared" ref="D50:D79" si="6">($F$24*$H$24)/$G$24</f>
        <v>149288.64774193548</v>
      </c>
      <c r="E50" s="392">
        <f t="shared" ref="E50:E79" si="7">P50+Q50+R50</f>
        <v>73908.223877000011</v>
      </c>
      <c r="F50" s="428">
        <f t="shared" si="0"/>
        <v>0.90119165000000001</v>
      </c>
      <c r="G50" s="390">
        <f t="shared" si="1"/>
        <v>66.605500000000006</v>
      </c>
      <c r="H50" s="391">
        <f t="shared" si="2"/>
        <v>223264.37831058548</v>
      </c>
      <c r="I50" s="324">
        <v>69000</v>
      </c>
      <c r="J50" s="325"/>
      <c r="K50" s="325"/>
      <c r="L50" s="319">
        <v>73908.223877000011</v>
      </c>
      <c r="M50" s="320"/>
      <c r="N50" s="320"/>
      <c r="O50" s="320"/>
      <c r="P50" s="392">
        <f t="shared" ref="P50:P79" si="8">L50</f>
        <v>73908.223877000011</v>
      </c>
      <c r="Q50" s="392">
        <f t="shared" si="3"/>
        <v>0</v>
      </c>
      <c r="R50" s="392">
        <f t="shared" si="4"/>
        <v>0</v>
      </c>
      <c r="S50" s="373"/>
      <c r="T50" s="374"/>
      <c r="U50" s="18">
        <f t="shared" ref="U50:U79" si="9">S50+T50-V50</f>
        <v>-69000</v>
      </c>
      <c r="V50" s="377">
        <f t="shared" ref="V50:V79" si="10">I50+J50+K50</f>
        <v>69000</v>
      </c>
      <c r="W50" s="18">
        <f t="shared" ref="W50:W79" si="11">(P50+Q50+R50)*1.055056</f>
        <v>77977.315050772129</v>
      </c>
      <c r="X50" s="377">
        <f t="shared" ref="X50:X79" si="12">V50-W50</f>
        <v>-8977.3150507721293</v>
      </c>
      <c r="Y50" s="378">
        <f>Y49+X50</f>
        <v>-17618.312615174655</v>
      </c>
    </row>
    <row r="51" spans="3:25" x14ac:dyDescent="0.2">
      <c r="C51" s="387">
        <f t="shared" si="5"/>
        <v>42432</v>
      </c>
      <c r="D51" s="388">
        <f t="shared" si="6"/>
        <v>149288.64774193548</v>
      </c>
      <c r="E51" s="392">
        <f t="shared" si="7"/>
        <v>76929.109375</v>
      </c>
      <c r="F51" s="428">
        <f t="shared" si="0"/>
        <v>0.90119165000000001</v>
      </c>
      <c r="G51" s="390">
        <f t="shared" si="1"/>
        <v>69.3279</v>
      </c>
      <c r="H51" s="391">
        <f t="shared" si="2"/>
        <v>226287.98620858547</v>
      </c>
      <c r="I51" s="324">
        <v>70000</v>
      </c>
      <c r="J51" s="325"/>
      <c r="K51" s="325"/>
      <c r="L51" s="317">
        <v>76929.109375</v>
      </c>
      <c r="M51" s="318"/>
      <c r="N51" s="318"/>
      <c r="O51" s="318"/>
      <c r="P51" s="392">
        <f t="shared" si="8"/>
        <v>76929.109375</v>
      </c>
      <c r="Q51" s="392">
        <f t="shared" si="3"/>
        <v>0</v>
      </c>
      <c r="R51" s="392">
        <f t="shared" si="4"/>
        <v>0</v>
      </c>
      <c r="S51" s="373"/>
      <c r="T51" s="374"/>
      <c r="U51" s="18">
        <f t="shared" si="9"/>
        <v>-70000</v>
      </c>
      <c r="V51" s="377">
        <f t="shared" si="10"/>
        <v>70000</v>
      </c>
      <c r="W51" s="18">
        <f t="shared" si="11"/>
        <v>81164.518420749999</v>
      </c>
      <c r="X51" s="377">
        <f t="shared" si="12"/>
        <v>-11164.518420749999</v>
      </c>
      <c r="Y51" s="378">
        <f t="shared" ref="Y51:Y79" si="13">Y50+X51</f>
        <v>-28782.831035924653</v>
      </c>
    </row>
    <row r="52" spans="3:25" x14ac:dyDescent="0.2">
      <c r="C52" s="387">
        <f t="shared" si="5"/>
        <v>42433</v>
      </c>
      <c r="D52" s="388">
        <f t="shared" si="6"/>
        <v>149288.64774193548</v>
      </c>
      <c r="E52" s="392">
        <f t="shared" si="7"/>
        <v>73695.359375</v>
      </c>
      <c r="F52" s="428">
        <f t="shared" si="0"/>
        <v>0.90119165000000001</v>
      </c>
      <c r="G52" s="390">
        <f t="shared" si="1"/>
        <v>66.413600000000002</v>
      </c>
      <c r="H52" s="391">
        <f t="shared" si="2"/>
        <v>223051.32190858547</v>
      </c>
      <c r="I52" s="324">
        <v>70000</v>
      </c>
      <c r="J52" s="325"/>
      <c r="K52" s="325"/>
      <c r="L52" s="319">
        <v>73695.359375</v>
      </c>
      <c r="M52" s="320"/>
      <c r="N52" s="320"/>
      <c r="O52" s="320"/>
      <c r="P52" s="392">
        <f t="shared" si="8"/>
        <v>73695.359375</v>
      </c>
      <c r="Q52" s="392">
        <f t="shared" si="3"/>
        <v>0</v>
      </c>
      <c r="R52" s="392">
        <f t="shared" si="4"/>
        <v>0</v>
      </c>
      <c r="S52" s="373"/>
      <c r="T52" s="374"/>
      <c r="U52" s="18">
        <f t="shared" si="9"/>
        <v>-70000</v>
      </c>
      <c r="V52" s="377">
        <f t="shared" si="10"/>
        <v>70000</v>
      </c>
      <c r="W52" s="18">
        <f t="shared" si="11"/>
        <v>77752.731080750003</v>
      </c>
      <c r="X52" s="377">
        <f t="shared" si="12"/>
        <v>-7752.7310807500035</v>
      </c>
      <c r="Y52" s="378">
        <f t="shared" si="13"/>
        <v>-36535.562116674657</v>
      </c>
    </row>
    <row r="53" spans="3:25" x14ac:dyDescent="0.2">
      <c r="C53" s="387">
        <f t="shared" si="5"/>
        <v>42434</v>
      </c>
      <c r="D53" s="388">
        <f t="shared" si="6"/>
        <v>149288.64774193548</v>
      </c>
      <c r="E53" s="392">
        <f t="shared" si="7"/>
        <v>61369.058594000002</v>
      </c>
      <c r="F53" s="428">
        <f t="shared" si="0"/>
        <v>0.90119165000000001</v>
      </c>
      <c r="G53" s="390">
        <f t="shared" si="1"/>
        <v>55.305300000000003</v>
      </c>
      <c r="H53" s="391">
        <f t="shared" si="2"/>
        <v>210713.91282758547</v>
      </c>
      <c r="I53" s="324">
        <v>69000</v>
      </c>
      <c r="J53" s="325"/>
      <c r="K53" s="325"/>
      <c r="L53" s="317">
        <v>61369.058594000002</v>
      </c>
      <c r="M53" s="318"/>
      <c r="N53" s="318"/>
      <c r="O53" s="318"/>
      <c r="P53" s="392">
        <f t="shared" si="8"/>
        <v>61369.058594000002</v>
      </c>
      <c r="Q53" s="392">
        <f t="shared" si="3"/>
        <v>0</v>
      </c>
      <c r="R53" s="392">
        <f t="shared" si="4"/>
        <v>0</v>
      </c>
      <c r="S53" s="373"/>
      <c r="T53" s="374"/>
      <c r="U53" s="18">
        <f t="shared" si="9"/>
        <v>-69000</v>
      </c>
      <c r="V53" s="377">
        <f t="shared" si="10"/>
        <v>69000</v>
      </c>
      <c r="W53" s="18">
        <f t="shared" si="11"/>
        <v>64747.793483951267</v>
      </c>
      <c r="X53" s="377">
        <f t="shared" si="12"/>
        <v>4252.2065160487327</v>
      </c>
      <c r="Y53" s="378">
        <f t="shared" si="13"/>
        <v>-32283.355600625924</v>
      </c>
    </row>
    <row r="54" spans="3:25" x14ac:dyDescent="0.2">
      <c r="C54" s="387">
        <f t="shared" si="5"/>
        <v>42435</v>
      </c>
      <c r="D54" s="388">
        <f t="shared" si="6"/>
        <v>149288.64774193548</v>
      </c>
      <c r="E54" s="392">
        <f t="shared" si="7"/>
        <v>52879.410767000008</v>
      </c>
      <c r="F54" s="428">
        <f t="shared" si="0"/>
        <v>0.90119165000000001</v>
      </c>
      <c r="G54" s="390">
        <f t="shared" si="1"/>
        <v>47.654499999999999</v>
      </c>
      <c r="H54" s="391">
        <f t="shared" si="2"/>
        <v>202216.61420058549</v>
      </c>
      <c r="I54" s="324">
        <v>69000</v>
      </c>
      <c r="J54" s="325"/>
      <c r="K54" s="325"/>
      <c r="L54" s="319">
        <v>52879.410767000008</v>
      </c>
      <c r="M54" s="320"/>
      <c r="N54" s="320"/>
      <c r="O54" s="320"/>
      <c r="P54" s="392">
        <f t="shared" si="8"/>
        <v>52879.410767000008</v>
      </c>
      <c r="Q54" s="392">
        <f t="shared" si="3"/>
        <v>0</v>
      </c>
      <c r="R54" s="392">
        <f t="shared" si="4"/>
        <v>0</v>
      </c>
      <c r="S54" s="373"/>
      <c r="T54" s="374"/>
      <c r="U54" s="18">
        <f t="shared" si="9"/>
        <v>-69000</v>
      </c>
      <c r="V54" s="377">
        <f t="shared" si="10"/>
        <v>69000</v>
      </c>
      <c r="W54" s="18">
        <f t="shared" si="11"/>
        <v>55790.739606187963</v>
      </c>
      <c r="X54" s="377">
        <f t="shared" si="12"/>
        <v>13209.260393812037</v>
      </c>
      <c r="Y54" s="378">
        <f t="shared" si="13"/>
        <v>-19074.095206813887</v>
      </c>
    </row>
    <row r="55" spans="3:25" x14ac:dyDescent="0.2">
      <c r="C55" s="387">
        <f t="shared" si="5"/>
        <v>42436</v>
      </c>
      <c r="D55" s="388">
        <f t="shared" si="6"/>
        <v>149288.64774193548</v>
      </c>
      <c r="E55" s="392">
        <f t="shared" si="7"/>
        <v>77540</v>
      </c>
      <c r="F55" s="428">
        <f t="shared" si="0"/>
        <v>0.90119165000000001</v>
      </c>
      <c r="G55" s="390">
        <f t="shared" si="1"/>
        <v>69.878399999999999</v>
      </c>
      <c r="H55" s="391">
        <f t="shared" si="2"/>
        <v>226899.42733358545</v>
      </c>
      <c r="I55" s="324">
        <v>69000</v>
      </c>
      <c r="J55" s="325"/>
      <c r="K55" s="325"/>
      <c r="L55" s="317">
        <v>77540</v>
      </c>
      <c r="M55" s="318"/>
      <c r="N55" s="318"/>
      <c r="O55" s="318"/>
      <c r="P55" s="392">
        <f t="shared" si="8"/>
        <v>77540</v>
      </c>
      <c r="Q55" s="392">
        <f t="shared" si="3"/>
        <v>0</v>
      </c>
      <c r="R55" s="392">
        <f t="shared" si="4"/>
        <v>0</v>
      </c>
      <c r="S55" s="373"/>
      <c r="T55" s="374"/>
      <c r="U55" s="18">
        <f t="shared" si="9"/>
        <v>-69000</v>
      </c>
      <c r="V55" s="377">
        <f t="shared" si="10"/>
        <v>69000</v>
      </c>
      <c r="W55" s="18">
        <f t="shared" si="11"/>
        <v>81809.042239999995</v>
      </c>
      <c r="X55" s="377">
        <f t="shared" si="12"/>
        <v>-12809.042239999995</v>
      </c>
      <c r="Y55" s="378">
        <f t="shared" si="13"/>
        <v>-31883.137446813882</v>
      </c>
    </row>
    <row r="56" spans="3:25" x14ac:dyDescent="0.2">
      <c r="C56" s="387">
        <f t="shared" si="5"/>
        <v>42437</v>
      </c>
      <c r="D56" s="388">
        <f t="shared" si="6"/>
        <v>149288.64774193548</v>
      </c>
      <c r="E56" s="392">
        <f t="shared" si="7"/>
        <v>76761.036865999995</v>
      </c>
      <c r="F56" s="428">
        <f t="shared" si="0"/>
        <v>0.90119165000000001</v>
      </c>
      <c r="G56" s="390">
        <f t="shared" si="1"/>
        <v>69.176400000000001</v>
      </c>
      <c r="H56" s="391">
        <f t="shared" si="2"/>
        <v>226119.76219958547</v>
      </c>
      <c r="I56" s="324">
        <v>71000</v>
      </c>
      <c r="J56" s="325"/>
      <c r="K56" s="325"/>
      <c r="L56" s="319">
        <v>76761.036865999995</v>
      </c>
      <c r="M56" s="320"/>
      <c r="N56" s="320"/>
      <c r="O56" s="320"/>
      <c r="P56" s="392">
        <f t="shared" si="8"/>
        <v>76761.036865999995</v>
      </c>
      <c r="Q56" s="392">
        <f t="shared" si="3"/>
        <v>0</v>
      </c>
      <c r="R56" s="392">
        <f t="shared" si="4"/>
        <v>0</v>
      </c>
      <c r="S56" s="373"/>
      <c r="T56" s="374"/>
      <c r="U56" s="18">
        <f t="shared" si="9"/>
        <v>-71000</v>
      </c>
      <c r="V56" s="377">
        <f t="shared" si="10"/>
        <v>71000</v>
      </c>
      <c r="W56" s="18">
        <f t="shared" si="11"/>
        <v>80987.192511694491</v>
      </c>
      <c r="X56" s="377">
        <f t="shared" si="12"/>
        <v>-9987.1925116944913</v>
      </c>
      <c r="Y56" s="378">
        <f t="shared" si="13"/>
        <v>-41870.329958508373</v>
      </c>
    </row>
    <row r="57" spans="3:25" x14ac:dyDescent="0.2">
      <c r="C57" s="387">
        <f t="shared" si="5"/>
        <v>42438</v>
      </c>
      <c r="D57" s="388">
        <f t="shared" si="6"/>
        <v>149288.64774193548</v>
      </c>
      <c r="E57" s="392">
        <f t="shared" si="7"/>
        <v>74596.945313000004</v>
      </c>
      <c r="F57" s="428">
        <f t="shared" si="0"/>
        <v>0.90119165000000001</v>
      </c>
      <c r="G57" s="390">
        <f t="shared" si="1"/>
        <v>67.226100000000002</v>
      </c>
      <c r="H57" s="391">
        <f t="shared" si="2"/>
        <v>223953.72034658547</v>
      </c>
      <c r="I57" s="324">
        <v>71000</v>
      </c>
      <c r="J57" s="325"/>
      <c r="K57" s="325"/>
      <c r="L57" s="317">
        <v>74596.945313000004</v>
      </c>
      <c r="M57" s="318"/>
      <c r="N57" s="318"/>
      <c r="O57" s="318"/>
      <c r="P57" s="392">
        <f t="shared" si="8"/>
        <v>74596.945313000004</v>
      </c>
      <c r="Q57" s="392">
        <f t="shared" si="3"/>
        <v>0</v>
      </c>
      <c r="R57" s="392">
        <f t="shared" si="4"/>
        <v>0</v>
      </c>
      <c r="S57" s="373"/>
      <c r="T57" s="374"/>
      <c r="U57" s="18">
        <f t="shared" si="9"/>
        <v>-71000</v>
      </c>
      <c r="V57" s="377">
        <f t="shared" si="10"/>
        <v>71000</v>
      </c>
      <c r="W57" s="18">
        <f t="shared" si="11"/>
        <v>78703.954734152532</v>
      </c>
      <c r="X57" s="377">
        <f t="shared" si="12"/>
        <v>-7703.9547341525322</v>
      </c>
      <c r="Y57" s="378">
        <f t="shared" si="13"/>
        <v>-49574.284692660905</v>
      </c>
    </row>
    <row r="58" spans="3:25" x14ac:dyDescent="0.2">
      <c r="C58" s="387">
        <f t="shared" si="5"/>
        <v>42439</v>
      </c>
      <c r="D58" s="388">
        <f t="shared" si="6"/>
        <v>149288.64774193548</v>
      </c>
      <c r="E58" s="392">
        <f t="shared" si="7"/>
        <v>73888.320313000004</v>
      </c>
      <c r="F58" s="428">
        <f t="shared" si="0"/>
        <v>0.90119165000000001</v>
      </c>
      <c r="G58" s="390">
        <f t="shared" si="1"/>
        <v>66.587500000000006</v>
      </c>
      <c r="H58" s="391">
        <f t="shared" si="2"/>
        <v>223244.45674658546</v>
      </c>
      <c r="I58" s="324">
        <v>71000</v>
      </c>
      <c r="J58" s="325"/>
      <c r="K58" s="325"/>
      <c r="L58" s="319">
        <v>73888.320313000004</v>
      </c>
      <c r="M58" s="320"/>
      <c r="N58" s="320"/>
      <c r="O58" s="320"/>
      <c r="P58" s="392">
        <f t="shared" si="8"/>
        <v>73888.320313000004</v>
      </c>
      <c r="Q58" s="392">
        <f t="shared" si="3"/>
        <v>0</v>
      </c>
      <c r="R58" s="392">
        <f t="shared" si="4"/>
        <v>0</v>
      </c>
      <c r="S58" s="373"/>
      <c r="T58" s="374"/>
      <c r="U58" s="18">
        <f t="shared" si="9"/>
        <v>-71000</v>
      </c>
      <c r="V58" s="377">
        <f t="shared" si="10"/>
        <v>71000</v>
      </c>
      <c r="W58" s="18">
        <f t="shared" si="11"/>
        <v>77956.315676152532</v>
      </c>
      <c r="X58" s="377">
        <f t="shared" si="12"/>
        <v>-6956.3156761525315</v>
      </c>
      <c r="Y58" s="378">
        <f t="shared" si="13"/>
        <v>-56530.600368813437</v>
      </c>
    </row>
    <row r="59" spans="3:25" x14ac:dyDescent="0.2">
      <c r="C59" s="387">
        <f t="shared" si="5"/>
        <v>42440</v>
      </c>
      <c r="D59" s="388">
        <f t="shared" si="6"/>
        <v>149288.64774193548</v>
      </c>
      <c r="E59" s="392">
        <f t="shared" si="7"/>
        <v>73709.273438000004</v>
      </c>
      <c r="F59" s="428">
        <f t="shared" si="0"/>
        <v>0.90119165000000001</v>
      </c>
      <c r="G59" s="390">
        <f t="shared" si="1"/>
        <v>66.426199999999994</v>
      </c>
      <c r="H59" s="391">
        <f t="shared" si="2"/>
        <v>223065.24857158546</v>
      </c>
      <c r="I59" s="324">
        <v>72000</v>
      </c>
      <c r="J59" s="325"/>
      <c r="K59" s="325"/>
      <c r="L59" s="317">
        <v>73709.273438000004</v>
      </c>
      <c r="M59" s="318"/>
      <c r="N59" s="318"/>
      <c r="O59" s="318"/>
      <c r="P59" s="392">
        <f t="shared" si="8"/>
        <v>73709.273438000004</v>
      </c>
      <c r="Q59" s="392">
        <f t="shared" si="3"/>
        <v>0</v>
      </c>
      <c r="R59" s="392">
        <f t="shared" si="4"/>
        <v>0</v>
      </c>
      <c r="S59" s="373"/>
      <c r="T59" s="374"/>
      <c r="U59" s="18">
        <f t="shared" si="9"/>
        <v>-72000</v>
      </c>
      <c r="V59" s="377">
        <f t="shared" si="10"/>
        <v>72000</v>
      </c>
      <c r="W59" s="18">
        <f t="shared" si="11"/>
        <v>77767.411196402536</v>
      </c>
      <c r="X59" s="377">
        <f t="shared" si="12"/>
        <v>-5767.411196402536</v>
      </c>
      <c r="Y59" s="378">
        <f t="shared" si="13"/>
        <v>-62298.011565215973</v>
      </c>
    </row>
    <row r="60" spans="3:25" x14ac:dyDescent="0.2">
      <c r="C60" s="387">
        <f t="shared" si="5"/>
        <v>42441</v>
      </c>
      <c r="D60" s="388">
        <f t="shared" si="6"/>
        <v>149288.64774193548</v>
      </c>
      <c r="E60" s="392">
        <f t="shared" si="7"/>
        <v>74350.320313000004</v>
      </c>
      <c r="F60" s="428">
        <f t="shared" si="0"/>
        <v>0.90119165000000001</v>
      </c>
      <c r="G60" s="390">
        <f t="shared" si="1"/>
        <v>67.003900000000002</v>
      </c>
      <c r="H60" s="391">
        <f t="shared" si="2"/>
        <v>223706.87314658548</v>
      </c>
      <c r="I60" s="324">
        <v>70000</v>
      </c>
      <c r="J60" s="325"/>
      <c r="K60" s="325"/>
      <c r="L60" s="319">
        <v>74350.320313000004</v>
      </c>
      <c r="M60" s="320"/>
      <c r="N60" s="320"/>
      <c r="O60" s="320"/>
      <c r="P60" s="392">
        <f t="shared" si="8"/>
        <v>74350.320313000004</v>
      </c>
      <c r="Q60" s="392">
        <f t="shared" si="3"/>
        <v>0</v>
      </c>
      <c r="R60" s="392">
        <f t="shared" si="4"/>
        <v>0</v>
      </c>
      <c r="S60" s="373"/>
      <c r="T60" s="374"/>
      <c r="U60" s="18">
        <f t="shared" si="9"/>
        <v>-70000</v>
      </c>
      <c r="V60" s="377">
        <f t="shared" si="10"/>
        <v>70000</v>
      </c>
      <c r="W60" s="18">
        <f t="shared" si="11"/>
        <v>78443.751548152533</v>
      </c>
      <c r="X60" s="377">
        <f t="shared" si="12"/>
        <v>-8443.7515481525334</v>
      </c>
      <c r="Y60" s="378">
        <f t="shared" si="13"/>
        <v>-70741.763113368506</v>
      </c>
    </row>
    <row r="61" spans="3:25" x14ac:dyDescent="0.2">
      <c r="C61" s="387">
        <f t="shared" si="5"/>
        <v>42442</v>
      </c>
      <c r="D61" s="388">
        <f t="shared" si="6"/>
        <v>149288.64774193548</v>
      </c>
      <c r="E61" s="392">
        <f t="shared" si="7"/>
        <v>74497.601563000004</v>
      </c>
      <c r="F61" s="428">
        <f t="shared" si="0"/>
        <v>0.90119165000000001</v>
      </c>
      <c r="G61" s="390">
        <f t="shared" si="1"/>
        <v>67.136600000000001</v>
      </c>
      <c r="H61" s="391">
        <f t="shared" si="2"/>
        <v>223854.28709658547</v>
      </c>
      <c r="I61" s="324">
        <v>70000</v>
      </c>
      <c r="J61" s="325"/>
      <c r="K61" s="325"/>
      <c r="L61" s="317">
        <v>74497.601563000004</v>
      </c>
      <c r="M61" s="318"/>
      <c r="N61" s="318"/>
      <c r="O61" s="318"/>
      <c r="P61" s="392">
        <f t="shared" si="8"/>
        <v>74497.601563000004</v>
      </c>
      <c r="Q61" s="392">
        <f t="shared" si="3"/>
        <v>0</v>
      </c>
      <c r="R61" s="392">
        <f t="shared" si="4"/>
        <v>0</v>
      </c>
      <c r="S61" s="373"/>
      <c r="T61" s="374"/>
      <c r="U61" s="18">
        <f t="shared" si="9"/>
        <v>-70000</v>
      </c>
      <c r="V61" s="377">
        <f t="shared" si="10"/>
        <v>70000</v>
      </c>
      <c r="W61" s="18">
        <f t="shared" si="11"/>
        <v>78599.141514652525</v>
      </c>
      <c r="X61" s="377">
        <f t="shared" si="12"/>
        <v>-8599.1415146525251</v>
      </c>
      <c r="Y61" s="378">
        <f t="shared" si="13"/>
        <v>-79340.904628021031</v>
      </c>
    </row>
    <row r="62" spans="3:25" x14ac:dyDescent="0.2">
      <c r="C62" s="387">
        <f t="shared" si="5"/>
        <v>42443</v>
      </c>
      <c r="D62" s="388">
        <f t="shared" si="6"/>
        <v>149288.64774193548</v>
      </c>
      <c r="E62" s="392">
        <f t="shared" si="7"/>
        <v>76556.945313000004</v>
      </c>
      <c r="F62" s="428">
        <f t="shared" si="0"/>
        <v>0.90119165000000001</v>
      </c>
      <c r="G62" s="390">
        <f t="shared" si="1"/>
        <v>68.992500000000007</v>
      </c>
      <c r="H62" s="391">
        <f t="shared" si="2"/>
        <v>225915.48674658546</v>
      </c>
      <c r="I62" s="324">
        <v>70000</v>
      </c>
      <c r="J62" s="325"/>
      <c r="K62" s="325"/>
      <c r="L62" s="319">
        <v>76556.945313000004</v>
      </c>
      <c r="M62" s="320"/>
      <c r="N62" s="320"/>
      <c r="O62" s="320"/>
      <c r="P62" s="392">
        <f t="shared" si="8"/>
        <v>76556.945313000004</v>
      </c>
      <c r="Q62" s="392">
        <f t="shared" si="3"/>
        <v>0</v>
      </c>
      <c r="R62" s="392">
        <f t="shared" si="4"/>
        <v>0</v>
      </c>
      <c r="S62" s="373"/>
      <c r="T62" s="374"/>
      <c r="U62" s="18">
        <f t="shared" si="9"/>
        <v>-70000</v>
      </c>
      <c r="V62" s="377">
        <f t="shared" si="10"/>
        <v>70000</v>
      </c>
      <c r="W62" s="18">
        <f t="shared" si="11"/>
        <v>80771.864494152527</v>
      </c>
      <c r="X62" s="377">
        <f t="shared" si="12"/>
        <v>-10771.864494152527</v>
      </c>
      <c r="Y62" s="378">
        <f t="shared" si="13"/>
        <v>-90112.769122173559</v>
      </c>
    </row>
    <row r="63" spans="3:25" x14ac:dyDescent="0.2">
      <c r="C63" s="387">
        <f t="shared" si="5"/>
        <v>42444</v>
      </c>
      <c r="D63" s="388">
        <f t="shared" si="6"/>
        <v>149288.64774193548</v>
      </c>
      <c r="E63" s="392">
        <f t="shared" si="7"/>
        <v>77378.234375</v>
      </c>
      <c r="F63" s="428">
        <f t="shared" si="0"/>
        <v>0.90119165000000001</v>
      </c>
      <c r="G63" s="390">
        <f t="shared" si="1"/>
        <v>69.732600000000005</v>
      </c>
      <c r="H63" s="391">
        <f t="shared" si="2"/>
        <v>226737.51590858545</v>
      </c>
      <c r="I63" s="324">
        <v>73000</v>
      </c>
      <c r="J63" s="325"/>
      <c r="K63" s="325"/>
      <c r="L63" s="317">
        <v>77378.234375</v>
      </c>
      <c r="M63" s="318"/>
      <c r="N63" s="318"/>
      <c r="O63" s="318"/>
      <c r="P63" s="392">
        <f t="shared" si="8"/>
        <v>77378.234375</v>
      </c>
      <c r="Q63" s="392">
        <f t="shared" si="3"/>
        <v>0</v>
      </c>
      <c r="R63" s="392">
        <f t="shared" si="4"/>
        <v>0</v>
      </c>
      <c r="S63" s="373"/>
      <c r="T63" s="374"/>
      <c r="U63" s="18">
        <f t="shared" si="9"/>
        <v>-73000</v>
      </c>
      <c r="V63" s="377">
        <f t="shared" si="10"/>
        <v>73000</v>
      </c>
      <c r="W63" s="18">
        <f t="shared" si="11"/>
        <v>81638.370446750007</v>
      </c>
      <c r="X63" s="377">
        <f t="shared" si="12"/>
        <v>-8638.3704467500065</v>
      </c>
      <c r="Y63" s="378">
        <f t="shared" si="13"/>
        <v>-98751.139568923565</v>
      </c>
    </row>
    <row r="64" spans="3:25" x14ac:dyDescent="0.2">
      <c r="C64" s="387">
        <f t="shared" si="5"/>
        <v>42445</v>
      </c>
      <c r="D64" s="388">
        <f t="shared" si="6"/>
        <v>149288.64774193548</v>
      </c>
      <c r="E64" s="392">
        <f t="shared" si="7"/>
        <v>78516.8125</v>
      </c>
      <c r="F64" s="428">
        <f t="shared" si="0"/>
        <v>0.90119165000000001</v>
      </c>
      <c r="G64" s="390">
        <f t="shared" si="1"/>
        <v>70.758700000000005</v>
      </c>
      <c r="H64" s="391">
        <f t="shared" si="2"/>
        <v>227877.12013358547</v>
      </c>
      <c r="I64" s="324">
        <v>73000</v>
      </c>
      <c r="J64" s="325"/>
      <c r="K64" s="325"/>
      <c r="L64" s="319">
        <v>78516.8125</v>
      </c>
      <c r="M64" s="320"/>
      <c r="N64" s="320"/>
      <c r="O64" s="320"/>
      <c r="P64" s="392">
        <f t="shared" si="8"/>
        <v>78516.8125</v>
      </c>
      <c r="Q64" s="392">
        <f t="shared" si="3"/>
        <v>0</v>
      </c>
      <c r="R64" s="392">
        <f t="shared" si="4"/>
        <v>0</v>
      </c>
      <c r="S64" s="373"/>
      <c r="T64" s="374"/>
      <c r="U64" s="18">
        <f t="shared" si="9"/>
        <v>-73000</v>
      </c>
      <c r="V64" s="377">
        <f t="shared" si="10"/>
        <v>73000</v>
      </c>
      <c r="W64" s="18">
        <f t="shared" si="11"/>
        <v>82839.634128999998</v>
      </c>
      <c r="X64" s="377">
        <f t="shared" si="12"/>
        <v>-9839.6341289999982</v>
      </c>
      <c r="Y64" s="378">
        <f t="shared" si="13"/>
        <v>-108590.77369792356</v>
      </c>
    </row>
    <row r="65" spans="3:38" x14ac:dyDescent="0.2">
      <c r="C65" s="387">
        <f t="shared" si="5"/>
        <v>42446</v>
      </c>
      <c r="D65" s="388">
        <f t="shared" si="6"/>
        <v>149288.64774193548</v>
      </c>
      <c r="E65" s="392">
        <f t="shared" si="7"/>
        <v>77115.914063000004</v>
      </c>
      <c r="F65" s="428">
        <f t="shared" si="0"/>
        <v>0.90119165000000001</v>
      </c>
      <c r="G65" s="390">
        <f t="shared" si="1"/>
        <v>69.496200000000002</v>
      </c>
      <c r="H65" s="391">
        <f t="shared" si="2"/>
        <v>226474.95919658546</v>
      </c>
      <c r="I65" s="324">
        <v>73000</v>
      </c>
      <c r="J65" s="325"/>
      <c r="K65" s="325"/>
      <c r="L65" s="317">
        <v>77115.914063000004</v>
      </c>
      <c r="M65" s="318"/>
      <c r="N65" s="318"/>
      <c r="O65" s="318"/>
      <c r="P65" s="392">
        <f t="shared" si="8"/>
        <v>77115.914063000004</v>
      </c>
      <c r="Q65" s="392">
        <f t="shared" si="3"/>
        <v>0</v>
      </c>
      <c r="R65" s="392">
        <f t="shared" si="4"/>
        <v>0</v>
      </c>
      <c r="S65" s="373"/>
      <c r="T65" s="374"/>
      <c r="U65" s="18">
        <f t="shared" si="9"/>
        <v>-73000</v>
      </c>
      <c r="V65" s="377">
        <f t="shared" si="10"/>
        <v>73000</v>
      </c>
      <c r="W65" s="18">
        <f t="shared" si="11"/>
        <v>81361.607827652537</v>
      </c>
      <c r="X65" s="377">
        <f t="shared" si="12"/>
        <v>-8361.6078276525368</v>
      </c>
      <c r="Y65" s="378">
        <f t="shared" si="13"/>
        <v>-116952.3815255761</v>
      </c>
    </row>
    <row r="66" spans="3:38" x14ac:dyDescent="0.2">
      <c r="C66" s="387">
        <f t="shared" si="5"/>
        <v>42447</v>
      </c>
      <c r="D66" s="388">
        <f t="shared" si="6"/>
        <v>149288.64774193548</v>
      </c>
      <c r="E66" s="392">
        <f t="shared" si="7"/>
        <v>76862.453125</v>
      </c>
      <c r="F66" s="428">
        <f t="shared" si="0"/>
        <v>0.90119165000000001</v>
      </c>
      <c r="G66" s="390">
        <f t="shared" si="1"/>
        <v>69.267799999999994</v>
      </c>
      <c r="H66" s="391">
        <f t="shared" si="2"/>
        <v>226221.26985858547</v>
      </c>
      <c r="I66" s="324">
        <v>73000</v>
      </c>
      <c r="J66" s="325"/>
      <c r="K66" s="325"/>
      <c r="L66" s="319">
        <v>76862.453125</v>
      </c>
      <c r="M66" s="320"/>
      <c r="N66" s="320"/>
      <c r="O66" s="320"/>
      <c r="P66" s="392">
        <f t="shared" si="8"/>
        <v>76862.453125</v>
      </c>
      <c r="Q66" s="392">
        <f t="shared" si="3"/>
        <v>0</v>
      </c>
      <c r="R66" s="392">
        <f t="shared" si="4"/>
        <v>0</v>
      </c>
      <c r="S66" s="373"/>
      <c r="T66" s="374"/>
      <c r="U66" s="18">
        <f t="shared" si="9"/>
        <v>-73000</v>
      </c>
      <c r="V66" s="377">
        <f t="shared" si="10"/>
        <v>73000</v>
      </c>
      <c r="W66" s="18">
        <f t="shared" si="11"/>
        <v>81094.192344249997</v>
      </c>
      <c r="X66" s="377">
        <f t="shared" si="12"/>
        <v>-8094.1923442499974</v>
      </c>
      <c r="Y66" s="378">
        <f t="shared" si="13"/>
        <v>-125046.5738698261</v>
      </c>
    </row>
    <row r="67" spans="3:38" x14ac:dyDescent="0.2">
      <c r="C67" s="387">
        <f t="shared" si="5"/>
        <v>42448</v>
      </c>
      <c r="D67" s="388">
        <f t="shared" si="6"/>
        <v>149288.64774193548</v>
      </c>
      <c r="E67" s="392">
        <f t="shared" si="7"/>
        <v>73990.445313000004</v>
      </c>
      <c r="F67" s="428">
        <f t="shared" si="0"/>
        <v>0.90119165000000001</v>
      </c>
      <c r="G67" s="390">
        <f t="shared" si="1"/>
        <v>66.679599999999994</v>
      </c>
      <c r="H67" s="391">
        <f t="shared" si="2"/>
        <v>223346.67384658547</v>
      </c>
      <c r="I67" s="324">
        <v>69000</v>
      </c>
      <c r="J67" s="325"/>
      <c r="K67" s="325"/>
      <c r="L67" s="317">
        <v>73990.445313000004</v>
      </c>
      <c r="M67" s="318"/>
      <c r="N67" s="318"/>
      <c r="O67" s="318"/>
      <c r="P67" s="392">
        <f t="shared" si="8"/>
        <v>73990.445313000004</v>
      </c>
      <c r="Q67" s="392">
        <f t="shared" si="3"/>
        <v>0</v>
      </c>
      <c r="R67" s="392">
        <f t="shared" si="4"/>
        <v>0</v>
      </c>
      <c r="S67" s="373"/>
      <c r="T67" s="374"/>
      <c r="U67" s="18">
        <f t="shared" si="9"/>
        <v>-69000</v>
      </c>
      <c r="V67" s="377">
        <f t="shared" si="10"/>
        <v>69000</v>
      </c>
      <c r="W67" s="18">
        <f t="shared" si="11"/>
        <v>78064.063270152532</v>
      </c>
      <c r="X67" s="377">
        <f t="shared" si="12"/>
        <v>-9064.0632701525319</v>
      </c>
      <c r="Y67" s="378">
        <f t="shared" si="13"/>
        <v>-134110.63713997864</v>
      </c>
    </row>
    <row r="68" spans="3:38" x14ac:dyDescent="0.2">
      <c r="C68" s="387">
        <f t="shared" si="5"/>
        <v>42449</v>
      </c>
      <c r="D68" s="388">
        <f t="shared" si="6"/>
        <v>149288.64774193548</v>
      </c>
      <c r="E68" s="392">
        <f t="shared" si="7"/>
        <v>73822.726563000004</v>
      </c>
      <c r="F68" s="428">
        <f t="shared" si="0"/>
        <v>0.90119165000000001</v>
      </c>
      <c r="G68" s="390">
        <f t="shared" si="1"/>
        <v>66.528400000000005</v>
      </c>
      <c r="H68" s="391">
        <f t="shared" si="2"/>
        <v>223178.80389658548</v>
      </c>
      <c r="I68" s="324">
        <v>69000</v>
      </c>
      <c r="J68" s="325"/>
      <c r="K68" s="325"/>
      <c r="L68" s="319">
        <v>73822.726563000004</v>
      </c>
      <c r="M68" s="320"/>
      <c r="N68" s="320"/>
      <c r="O68" s="320"/>
      <c r="P68" s="392">
        <f t="shared" si="8"/>
        <v>73822.726563000004</v>
      </c>
      <c r="Q68" s="392">
        <f t="shared" si="3"/>
        <v>0</v>
      </c>
      <c r="R68" s="392">
        <f t="shared" si="4"/>
        <v>0</v>
      </c>
      <c r="S68" s="373"/>
      <c r="T68" s="374"/>
      <c r="U68" s="18">
        <f t="shared" si="9"/>
        <v>-69000</v>
      </c>
      <c r="V68" s="377">
        <f t="shared" si="10"/>
        <v>69000</v>
      </c>
      <c r="W68" s="18">
        <f t="shared" si="11"/>
        <v>77887.110596652536</v>
      </c>
      <c r="X68" s="377">
        <f t="shared" si="12"/>
        <v>-8887.1105966525356</v>
      </c>
      <c r="Y68" s="378">
        <f t="shared" si="13"/>
        <v>-142997.74773663119</v>
      </c>
    </row>
    <row r="69" spans="3:38" x14ac:dyDescent="0.2">
      <c r="C69" s="387">
        <f t="shared" si="5"/>
        <v>42450</v>
      </c>
      <c r="D69" s="388">
        <f t="shared" si="6"/>
        <v>149288.64774193548</v>
      </c>
      <c r="E69" s="392">
        <f t="shared" si="7"/>
        <v>73915.15625</v>
      </c>
      <c r="F69" s="428">
        <f t="shared" si="0"/>
        <v>0.90119165000000001</v>
      </c>
      <c r="G69" s="390">
        <f t="shared" si="1"/>
        <v>66.611699999999999</v>
      </c>
      <c r="H69" s="391">
        <f t="shared" si="2"/>
        <v>223271.31688358547</v>
      </c>
      <c r="I69" s="324">
        <v>69000</v>
      </c>
      <c r="J69" s="325"/>
      <c r="K69" s="325"/>
      <c r="L69" s="317">
        <v>73915.15625</v>
      </c>
      <c r="M69" s="318"/>
      <c r="N69" s="318"/>
      <c r="O69" s="318"/>
      <c r="P69" s="392">
        <f t="shared" si="8"/>
        <v>73915.15625</v>
      </c>
      <c r="Q69" s="392">
        <f t="shared" si="3"/>
        <v>0</v>
      </c>
      <c r="R69" s="392">
        <f t="shared" si="4"/>
        <v>0</v>
      </c>
      <c r="S69" s="373"/>
      <c r="T69" s="374"/>
      <c r="U69" s="18">
        <f t="shared" si="9"/>
        <v>-69000</v>
      </c>
      <c r="V69" s="377">
        <f t="shared" si="10"/>
        <v>69000</v>
      </c>
      <c r="W69" s="18">
        <f t="shared" si="11"/>
        <v>77984.629092500007</v>
      </c>
      <c r="X69" s="377">
        <f t="shared" si="12"/>
        <v>-8984.6290925000067</v>
      </c>
      <c r="Y69" s="378">
        <f t="shared" si="13"/>
        <v>-151982.37682913122</v>
      </c>
    </row>
    <row r="70" spans="3:38" x14ac:dyDescent="0.2">
      <c r="C70" s="387">
        <f t="shared" si="5"/>
        <v>42451</v>
      </c>
      <c r="D70" s="388">
        <f t="shared" si="6"/>
        <v>149288.64774193548</v>
      </c>
      <c r="E70" s="392">
        <f t="shared" si="7"/>
        <v>74887.03</v>
      </c>
      <c r="F70" s="428">
        <f t="shared" si="0"/>
        <v>0.90119165000000001</v>
      </c>
      <c r="G70" s="390">
        <f t="shared" si="1"/>
        <v>67.4876</v>
      </c>
      <c r="H70" s="391">
        <f t="shared" si="2"/>
        <v>224244.06653358546</v>
      </c>
      <c r="I70" s="324">
        <v>71000</v>
      </c>
      <c r="J70" s="325"/>
      <c r="K70" s="325"/>
      <c r="L70" s="319">
        <v>74887.03</v>
      </c>
      <c r="M70" s="320"/>
      <c r="N70" s="320"/>
      <c r="O70" s="320"/>
      <c r="P70" s="392">
        <f t="shared" si="8"/>
        <v>74887.03</v>
      </c>
      <c r="Q70" s="392">
        <f t="shared" si="3"/>
        <v>0</v>
      </c>
      <c r="R70" s="392">
        <f t="shared" si="4"/>
        <v>0</v>
      </c>
      <c r="S70" s="373"/>
      <c r="T70" s="374"/>
      <c r="U70" s="18">
        <f t="shared" si="9"/>
        <v>-71000</v>
      </c>
      <c r="V70" s="377">
        <f t="shared" si="10"/>
        <v>71000</v>
      </c>
      <c r="W70" s="18">
        <f t="shared" si="11"/>
        <v>79010.010323679991</v>
      </c>
      <c r="X70" s="377">
        <f t="shared" si="12"/>
        <v>-8010.0103236799914</v>
      </c>
      <c r="Y70" s="378">
        <f t="shared" si="13"/>
        <v>-159992.38715281122</v>
      </c>
    </row>
    <row r="71" spans="3:38" x14ac:dyDescent="0.2">
      <c r="C71" s="387">
        <f t="shared" si="5"/>
        <v>42452</v>
      </c>
      <c r="D71" s="388">
        <f t="shared" si="6"/>
        <v>149288.64774193548</v>
      </c>
      <c r="E71" s="392">
        <f t="shared" si="7"/>
        <v>76320.02</v>
      </c>
      <c r="F71" s="428">
        <f t="shared" si="0"/>
        <v>0.90119165000000001</v>
      </c>
      <c r="G71" s="390">
        <f t="shared" si="1"/>
        <v>68.778999999999996</v>
      </c>
      <c r="H71" s="391">
        <f t="shared" si="2"/>
        <v>225678.34793358546</v>
      </c>
      <c r="I71" s="324">
        <v>71000</v>
      </c>
      <c r="J71" s="325"/>
      <c r="K71" s="325"/>
      <c r="L71" s="317">
        <v>76320.02</v>
      </c>
      <c r="M71" s="318"/>
      <c r="N71" s="318"/>
      <c r="O71" s="318"/>
      <c r="P71" s="392">
        <f t="shared" si="8"/>
        <v>76320.02</v>
      </c>
      <c r="Q71" s="392">
        <f t="shared" si="3"/>
        <v>0</v>
      </c>
      <c r="R71" s="392">
        <f t="shared" si="4"/>
        <v>0</v>
      </c>
      <c r="S71" s="373"/>
      <c r="T71" s="374"/>
      <c r="U71" s="18">
        <f t="shared" si="9"/>
        <v>-71000</v>
      </c>
      <c r="V71" s="377">
        <f t="shared" si="10"/>
        <v>71000</v>
      </c>
      <c r="W71" s="18">
        <f t="shared" si="11"/>
        <v>80521.895021119999</v>
      </c>
      <c r="X71" s="377">
        <f t="shared" si="12"/>
        <v>-9521.895021119999</v>
      </c>
      <c r="Y71" s="378">
        <f t="shared" si="13"/>
        <v>-169514.28217393122</v>
      </c>
    </row>
    <row r="72" spans="3:38" x14ac:dyDescent="0.2">
      <c r="C72" s="387">
        <f t="shared" si="5"/>
        <v>42453</v>
      </c>
      <c r="D72" s="388">
        <f t="shared" si="6"/>
        <v>149288.64774193548</v>
      </c>
      <c r="E72" s="392">
        <f t="shared" si="7"/>
        <v>73146.59</v>
      </c>
      <c r="F72" s="428">
        <f t="shared" si="0"/>
        <v>0.90119165000000001</v>
      </c>
      <c r="G72" s="390">
        <f t="shared" si="1"/>
        <v>65.9191</v>
      </c>
      <c r="H72" s="391">
        <f t="shared" si="2"/>
        <v>222502.05803358546</v>
      </c>
      <c r="I72" s="324">
        <v>71000</v>
      </c>
      <c r="J72" s="325"/>
      <c r="K72" s="325"/>
      <c r="L72" s="319">
        <v>73146.59</v>
      </c>
      <c r="M72" s="320"/>
      <c r="N72" s="320"/>
      <c r="O72" s="320"/>
      <c r="P72" s="392">
        <f t="shared" si="8"/>
        <v>73146.59</v>
      </c>
      <c r="Q72" s="392">
        <f t="shared" si="3"/>
        <v>0</v>
      </c>
      <c r="R72" s="392">
        <f t="shared" si="4"/>
        <v>0</v>
      </c>
      <c r="S72" s="373"/>
      <c r="T72" s="374"/>
      <c r="U72" s="18">
        <f t="shared" si="9"/>
        <v>-71000</v>
      </c>
      <c r="V72" s="377">
        <f t="shared" si="10"/>
        <v>71000</v>
      </c>
      <c r="W72" s="18">
        <f t="shared" si="11"/>
        <v>77173.748659039993</v>
      </c>
      <c r="X72" s="377">
        <f t="shared" si="12"/>
        <v>-6173.7486590399931</v>
      </c>
      <c r="Y72" s="378">
        <f t="shared" si="13"/>
        <v>-175688.03083297121</v>
      </c>
    </row>
    <row r="73" spans="3:38" x14ac:dyDescent="0.2">
      <c r="C73" s="387">
        <f t="shared" si="5"/>
        <v>42454</v>
      </c>
      <c r="D73" s="388">
        <f t="shared" si="6"/>
        <v>149288.64774193548</v>
      </c>
      <c r="E73" s="392">
        <f t="shared" si="7"/>
        <v>73407.37</v>
      </c>
      <c r="F73" s="428">
        <f t="shared" si="0"/>
        <v>0.90119165000000001</v>
      </c>
      <c r="G73" s="390">
        <f t="shared" si="1"/>
        <v>66.1541</v>
      </c>
      <c r="H73" s="391">
        <f t="shared" si="2"/>
        <v>222763.07303358548</v>
      </c>
      <c r="I73" s="324">
        <v>65000</v>
      </c>
      <c r="J73" s="325"/>
      <c r="K73" s="325"/>
      <c r="L73" s="317">
        <v>73407.37</v>
      </c>
      <c r="M73" s="318"/>
      <c r="N73" s="318"/>
      <c r="O73" s="318"/>
      <c r="P73" s="392">
        <f t="shared" si="8"/>
        <v>73407.37</v>
      </c>
      <c r="Q73" s="392">
        <f t="shared" si="3"/>
        <v>0</v>
      </c>
      <c r="R73" s="392">
        <f t="shared" si="4"/>
        <v>0</v>
      </c>
      <c r="S73" s="373"/>
      <c r="T73" s="374"/>
      <c r="U73" s="18">
        <f t="shared" si="9"/>
        <v>-65000</v>
      </c>
      <c r="V73" s="377">
        <f t="shared" si="10"/>
        <v>65000</v>
      </c>
      <c r="W73" s="18">
        <f t="shared" si="11"/>
        <v>77448.886162719995</v>
      </c>
      <c r="X73" s="377">
        <f t="shared" si="12"/>
        <v>-12448.886162719995</v>
      </c>
      <c r="Y73" s="378">
        <f t="shared" si="13"/>
        <v>-188136.91699569119</v>
      </c>
    </row>
    <row r="74" spans="3:38" x14ac:dyDescent="0.2">
      <c r="C74" s="387">
        <f t="shared" si="5"/>
        <v>42455</v>
      </c>
      <c r="D74" s="388">
        <f t="shared" si="6"/>
        <v>149288.64774193548</v>
      </c>
      <c r="E74" s="392">
        <f t="shared" si="7"/>
        <v>75424.990000000005</v>
      </c>
      <c r="F74" s="428">
        <f t="shared" si="0"/>
        <v>0.90119165000000001</v>
      </c>
      <c r="G74" s="390">
        <f t="shared" si="1"/>
        <v>67.972399999999993</v>
      </c>
      <c r="H74" s="391">
        <f t="shared" si="2"/>
        <v>224782.51133358548</v>
      </c>
      <c r="I74" s="324">
        <v>65000</v>
      </c>
      <c r="J74" s="325"/>
      <c r="K74" s="325"/>
      <c r="L74" s="319">
        <v>75424.990000000005</v>
      </c>
      <c r="M74" s="320"/>
      <c r="N74" s="320"/>
      <c r="O74" s="320"/>
      <c r="P74" s="392">
        <f t="shared" si="8"/>
        <v>75424.990000000005</v>
      </c>
      <c r="Q74" s="392">
        <f t="shared" si="3"/>
        <v>0</v>
      </c>
      <c r="R74" s="392">
        <f t="shared" si="4"/>
        <v>0</v>
      </c>
      <c r="S74" s="373"/>
      <c r="T74" s="374"/>
      <c r="U74" s="18">
        <f t="shared" si="9"/>
        <v>-65000</v>
      </c>
      <c r="V74" s="377">
        <f t="shared" si="10"/>
        <v>65000</v>
      </c>
      <c r="W74" s="18">
        <f t="shared" si="11"/>
        <v>79577.588249439999</v>
      </c>
      <c r="X74" s="377">
        <f t="shared" si="12"/>
        <v>-14577.588249439999</v>
      </c>
      <c r="Y74" s="378">
        <f t="shared" si="13"/>
        <v>-202714.50524513121</v>
      </c>
    </row>
    <row r="75" spans="3:38" x14ac:dyDescent="0.2">
      <c r="C75" s="387">
        <f t="shared" si="5"/>
        <v>42456</v>
      </c>
      <c r="D75" s="388">
        <f t="shared" si="6"/>
        <v>149288.64774193548</v>
      </c>
      <c r="E75" s="392">
        <f t="shared" si="7"/>
        <v>73686.7</v>
      </c>
      <c r="F75" s="428">
        <f t="shared" si="0"/>
        <v>0.90119165000000001</v>
      </c>
      <c r="G75" s="390">
        <f t="shared" si="1"/>
        <v>66.405799999999999</v>
      </c>
      <c r="H75" s="391">
        <f t="shared" si="2"/>
        <v>223042.65473358546</v>
      </c>
      <c r="I75" s="324">
        <v>64998</v>
      </c>
      <c r="J75" s="325"/>
      <c r="K75" s="325"/>
      <c r="L75" s="317">
        <v>73686.7</v>
      </c>
      <c r="M75" s="318"/>
      <c r="N75" s="318"/>
      <c r="O75" s="318"/>
      <c r="P75" s="392">
        <f t="shared" si="8"/>
        <v>73686.7</v>
      </c>
      <c r="Q75" s="392">
        <f t="shared" si="3"/>
        <v>0</v>
      </c>
      <c r="R75" s="392">
        <f t="shared" si="4"/>
        <v>0</v>
      </c>
      <c r="S75" s="373"/>
      <c r="T75" s="374"/>
      <c r="U75" s="18">
        <f t="shared" si="9"/>
        <v>-64998</v>
      </c>
      <c r="V75" s="377">
        <f t="shared" si="10"/>
        <v>64998</v>
      </c>
      <c r="W75" s="18">
        <f t="shared" si="11"/>
        <v>77743.594955199995</v>
      </c>
      <c r="X75" s="377">
        <f t="shared" si="12"/>
        <v>-12745.594955199995</v>
      </c>
      <c r="Y75" s="378">
        <f t="shared" si="13"/>
        <v>-215460.10020033119</v>
      </c>
    </row>
    <row r="76" spans="3:38" x14ac:dyDescent="0.2">
      <c r="C76" s="387">
        <f t="shared" si="5"/>
        <v>42457</v>
      </c>
      <c r="D76" s="388">
        <f t="shared" si="6"/>
        <v>149288.64774193548</v>
      </c>
      <c r="E76" s="392">
        <f t="shared" si="7"/>
        <v>73490.786999999997</v>
      </c>
      <c r="F76" s="428">
        <f t="shared" si="0"/>
        <v>0.90119165000000001</v>
      </c>
      <c r="G76" s="390">
        <f t="shared" si="1"/>
        <v>66.229299999999995</v>
      </c>
      <c r="H76" s="391">
        <f t="shared" si="2"/>
        <v>222846.56523358545</v>
      </c>
      <c r="I76" s="324">
        <v>65000</v>
      </c>
      <c r="J76" s="325"/>
      <c r="K76" s="325"/>
      <c r="L76" s="319">
        <v>73490.786999999997</v>
      </c>
      <c r="M76" s="320"/>
      <c r="N76" s="320"/>
      <c r="O76" s="320"/>
      <c r="P76" s="392">
        <f t="shared" si="8"/>
        <v>73490.786999999997</v>
      </c>
      <c r="Q76" s="392">
        <f t="shared" si="3"/>
        <v>0</v>
      </c>
      <c r="R76" s="392">
        <f t="shared" si="4"/>
        <v>0</v>
      </c>
      <c r="S76" s="373"/>
      <c r="T76" s="374"/>
      <c r="U76" s="18">
        <f t="shared" si="9"/>
        <v>-65000</v>
      </c>
      <c r="V76" s="377">
        <f t="shared" si="10"/>
        <v>65000</v>
      </c>
      <c r="W76" s="18">
        <f t="shared" si="11"/>
        <v>77536.895769071998</v>
      </c>
      <c r="X76" s="377">
        <f t="shared" si="12"/>
        <v>-12536.895769071998</v>
      </c>
      <c r="Y76" s="378">
        <f t="shared" si="13"/>
        <v>-227996.99596940319</v>
      </c>
    </row>
    <row r="77" spans="3:38" x14ac:dyDescent="0.2">
      <c r="C77" s="387">
        <f t="shared" si="5"/>
        <v>42458</v>
      </c>
      <c r="D77" s="388">
        <f t="shared" si="6"/>
        <v>149288.64774193548</v>
      </c>
      <c r="E77" s="392">
        <f t="shared" si="7"/>
        <v>74443.98</v>
      </c>
      <c r="F77" s="428">
        <f t="shared" si="0"/>
        <v>0.90119165000000001</v>
      </c>
      <c r="G77" s="390">
        <f t="shared" si="1"/>
        <v>67.088300000000004</v>
      </c>
      <c r="H77" s="391">
        <f t="shared" si="2"/>
        <v>223800.61723358548</v>
      </c>
      <c r="I77" s="324">
        <v>74000</v>
      </c>
      <c r="J77" s="325"/>
      <c r="K77" s="325"/>
      <c r="L77" s="317">
        <v>74443.98</v>
      </c>
      <c r="M77" s="318"/>
      <c r="N77" s="318"/>
      <c r="O77" s="318"/>
      <c r="P77" s="392">
        <f t="shared" si="8"/>
        <v>74443.98</v>
      </c>
      <c r="Q77" s="392">
        <f t="shared" si="3"/>
        <v>0</v>
      </c>
      <c r="R77" s="392">
        <f t="shared" si="4"/>
        <v>0</v>
      </c>
      <c r="S77" s="373"/>
      <c r="T77" s="374"/>
      <c r="U77" s="18">
        <f t="shared" si="9"/>
        <v>-74000</v>
      </c>
      <c r="V77" s="377">
        <f t="shared" si="10"/>
        <v>74000</v>
      </c>
      <c r="W77" s="18">
        <f t="shared" si="11"/>
        <v>78542.567762879989</v>
      </c>
      <c r="X77" s="377">
        <f t="shared" si="12"/>
        <v>-4542.5677628799895</v>
      </c>
      <c r="Y77" s="378">
        <f t="shared" si="13"/>
        <v>-232539.56373228319</v>
      </c>
    </row>
    <row r="78" spans="3:38" x14ac:dyDescent="0.2">
      <c r="C78" s="387">
        <f t="shared" si="5"/>
        <v>42459</v>
      </c>
      <c r="D78" s="388">
        <f t="shared" si="6"/>
        <v>149288.64774193548</v>
      </c>
      <c r="E78" s="392">
        <f t="shared" si="7"/>
        <v>77249.09</v>
      </c>
      <c r="F78" s="428">
        <f t="shared" si="0"/>
        <v>0.90119165000000001</v>
      </c>
      <c r="G78" s="390">
        <f t="shared" si="1"/>
        <v>69.616200000000006</v>
      </c>
      <c r="H78" s="391">
        <f t="shared" si="2"/>
        <v>226608.25513358545</v>
      </c>
      <c r="I78" s="324">
        <v>73000</v>
      </c>
      <c r="J78" s="325"/>
      <c r="K78" s="325"/>
      <c r="L78" s="319">
        <v>77249.09</v>
      </c>
      <c r="M78" s="320"/>
      <c r="N78" s="320"/>
      <c r="O78" s="320"/>
      <c r="P78" s="392">
        <f t="shared" si="8"/>
        <v>77249.09</v>
      </c>
      <c r="Q78" s="392">
        <f t="shared" si="3"/>
        <v>0</v>
      </c>
      <c r="R78" s="392">
        <f t="shared" si="4"/>
        <v>0</v>
      </c>
      <c r="S78" s="373"/>
      <c r="T78" s="374"/>
      <c r="U78" s="18">
        <f t="shared" si="9"/>
        <v>-73000</v>
      </c>
      <c r="V78" s="377">
        <f t="shared" si="10"/>
        <v>73000</v>
      </c>
      <c r="W78" s="18">
        <f t="shared" si="11"/>
        <v>81502.11589904</v>
      </c>
      <c r="X78" s="377">
        <f t="shared" si="12"/>
        <v>-8502.1158990399999</v>
      </c>
      <c r="Y78" s="378">
        <f t="shared" si="13"/>
        <v>-241041.6796313232</v>
      </c>
    </row>
    <row r="79" spans="3:38" ht="15" thickBot="1" x14ac:dyDescent="0.25">
      <c r="C79" s="393">
        <f t="shared" si="5"/>
        <v>42460</v>
      </c>
      <c r="D79" s="394">
        <f t="shared" si="6"/>
        <v>149288.64774193548</v>
      </c>
      <c r="E79" s="395">
        <f t="shared" si="7"/>
        <v>77349.77</v>
      </c>
      <c r="F79" s="429">
        <f t="shared" si="0"/>
        <v>0.90119165000000001</v>
      </c>
      <c r="G79" s="396">
        <f t="shared" si="1"/>
        <v>69.706999999999994</v>
      </c>
      <c r="H79" s="397">
        <f t="shared" si="2"/>
        <v>226709.02593358545</v>
      </c>
      <c r="I79" s="326">
        <v>73000</v>
      </c>
      <c r="J79" s="327"/>
      <c r="K79" s="327"/>
      <c r="L79" s="321">
        <v>77349.77</v>
      </c>
      <c r="M79" s="322"/>
      <c r="N79" s="322"/>
      <c r="O79" s="322"/>
      <c r="P79" s="395">
        <f t="shared" si="8"/>
        <v>77349.77</v>
      </c>
      <c r="Q79" s="395">
        <f t="shared" si="3"/>
        <v>0</v>
      </c>
      <c r="R79" s="395">
        <f t="shared" si="4"/>
        <v>0</v>
      </c>
      <c r="S79" s="375"/>
      <c r="T79" s="376"/>
      <c r="U79" s="379">
        <f t="shared" si="9"/>
        <v>-73000</v>
      </c>
      <c r="V79" s="380">
        <f t="shared" si="10"/>
        <v>73000</v>
      </c>
      <c r="W79" s="379">
        <f t="shared" si="11"/>
        <v>81608.338937120003</v>
      </c>
      <c r="X79" s="380">
        <f t="shared" si="12"/>
        <v>-8608.3389371200028</v>
      </c>
      <c r="Y79" s="381">
        <f t="shared" si="13"/>
        <v>-249650.01856844319</v>
      </c>
    </row>
    <row r="80" spans="3:38" ht="15" thickBot="1" x14ac:dyDescent="0.25">
      <c r="C80" s="398"/>
      <c r="D80" s="399">
        <f>SUM(D49:D79)</f>
        <v>4627948.0800000019</v>
      </c>
      <c r="E80" s="400">
        <f>SUM(E49:E79)</f>
        <v>2296226.9477340006</v>
      </c>
      <c r="F80" s="400"/>
      <c r="G80" s="401">
        <f>SUM(G49:G79)</f>
        <v>2069.3405999999995</v>
      </c>
      <c r="H80" s="399">
        <f>SUM(H49:H79)</f>
        <v>6926272.3052751487</v>
      </c>
      <c r="I80" s="432">
        <f>SUM(I49:I79)</f>
        <v>2172998</v>
      </c>
      <c r="J80" s="432">
        <f t="shared" ref="J80:R80" si="14">SUM(J49:J79)</f>
        <v>0</v>
      </c>
      <c r="K80" s="432">
        <f t="shared" si="14"/>
        <v>0</v>
      </c>
      <c r="L80" s="432">
        <f t="shared" si="14"/>
        <v>2296226.9477340006</v>
      </c>
      <c r="M80" s="432">
        <f t="shared" si="14"/>
        <v>0</v>
      </c>
      <c r="N80" s="432">
        <f t="shared" si="14"/>
        <v>0</v>
      </c>
      <c r="O80" s="432">
        <f t="shared" si="14"/>
        <v>0</v>
      </c>
      <c r="P80" s="432">
        <f t="shared" si="14"/>
        <v>2296226.9477340006</v>
      </c>
      <c r="Q80" s="432">
        <f t="shared" si="14"/>
        <v>0</v>
      </c>
      <c r="R80" s="432">
        <f t="shared" si="14"/>
        <v>0</v>
      </c>
      <c r="U80" s="1"/>
      <c r="V80" s="328">
        <f>SUM(V49:V79)</f>
        <v>2172998</v>
      </c>
      <c r="W80" s="328">
        <f>SUM(W49:W79)</f>
        <v>2422648.0185684436</v>
      </c>
      <c r="X80" s="328">
        <f>SUM(X49:X79)</f>
        <v>-249650.01856844319</v>
      </c>
      <c r="Y80" s="323">
        <f>Y79</f>
        <v>-249650.01856844319</v>
      </c>
      <c r="AL80" s="361">
        <f>Y79</f>
        <v>-249650.01856844319</v>
      </c>
    </row>
    <row r="81" spans="2:14" ht="15" customHeight="1" x14ac:dyDescent="0.2">
      <c r="B81"/>
      <c r="C81"/>
      <c r="D81"/>
      <c r="E81"/>
      <c r="F81"/>
      <c r="G81"/>
      <c r="H81"/>
      <c r="I81"/>
      <c r="J81"/>
      <c r="K81"/>
      <c r="L81"/>
      <c r="N81" s="2"/>
    </row>
  </sheetData>
  <mergeCells count="12">
    <mergeCell ref="C10:D10"/>
    <mergeCell ref="C11:D11"/>
    <mergeCell ref="C3:M4"/>
    <mergeCell ref="C5:M5"/>
    <mergeCell ref="C6:M6"/>
    <mergeCell ref="G7:H7"/>
    <mergeCell ref="C9:D9"/>
    <mergeCell ref="D23:E23"/>
    <mergeCell ref="D24:E24"/>
    <mergeCell ref="C28:F28"/>
    <mergeCell ref="C39:F39"/>
    <mergeCell ref="S47:Y47"/>
  </mergeCells>
  <conditionalFormatting sqref="L49:O79">
    <cfRule type="cellIs" dxfId="140" priority="1" stopIfTrue="1" operator="equal">
      <formula>0</formula>
    </cfRule>
  </conditionalFormatting>
  <printOptions horizontalCentered="1"/>
  <pageMargins left="0" right="0.31496062992125984" top="0.35433070866141736" bottom="0.35433070866141736" header="0.31496062992125984" footer="0.31496062992125984"/>
  <pageSetup scale="83" orientation="landscape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L81"/>
  <sheetViews>
    <sheetView topLeftCell="A23" workbookViewId="0"/>
  </sheetViews>
  <sheetFormatPr baseColWidth="10" defaultColWidth="11" defaultRowHeight="14.25" x14ac:dyDescent="0.2"/>
  <cols>
    <col min="1" max="1" width="11" style="2"/>
    <col min="2" max="2" width="3.875" style="2" bestFit="1" customWidth="1"/>
    <col min="3" max="3" width="16.125" style="2" customWidth="1"/>
    <col min="4" max="4" width="12.375" style="2" bestFit="1" customWidth="1"/>
    <col min="5" max="5" width="10.875" style="2" bestFit="1" customWidth="1"/>
    <col min="6" max="6" width="17.125" style="2" bestFit="1" customWidth="1"/>
    <col min="7" max="7" width="13.125" style="2" bestFit="1" customWidth="1"/>
    <col min="8" max="8" width="12.125" style="2" bestFit="1" customWidth="1"/>
    <col min="9" max="9" width="11.125" style="2" bestFit="1" customWidth="1"/>
    <col min="10" max="10" width="11.875" style="2" bestFit="1" customWidth="1"/>
    <col min="11" max="11" width="11.625" style="2" bestFit="1" customWidth="1"/>
    <col min="12" max="12" width="12.125" style="2" customWidth="1"/>
    <col min="13" max="13" width="12" style="2" bestFit="1" customWidth="1"/>
    <col min="14" max="14" width="9" style="1" customWidth="1"/>
    <col min="15" max="15" width="10.375" style="2" customWidth="1"/>
    <col min="16" max="25" width="11" style="2"/>
    <col min="26" max="31" width="10.875" customWidth="1"/>
    <col min="32" max="16384" width="11" style="2"/>
  </cols>
  <sheetData>
    <row r="2" spans="2:25" x14ac:dyDescent="0.2"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2:25" ht="15" customHeight="1" x14ac:dyDescent="0.2">
      <c r="B3" s="1"/>
      <c r="C3" s="2254" t="s">
        <v>0</v>
      </c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</row>
    <row r="4" spans="2:25" ht="15" customHeight="1" x14ac:dyDescent="0.2"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</row>
    <row r="5" spans="2:25" x14ac:dyDescent="0.2">
      <c r="B5" s="1"/>
      <c r="C5" s="2257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</row>
    <row r="6" spans="2:25" x14ac:dyDescent="0.2">
      <c r="B6" s="1"/>
      <c r="C6" s="2257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</row>
    <row r="7" spans="2:25" x14ac:dyDescent="0.2">
      <c r="B7" s="1"/>
      <c r="C7" s="468"/>
      <c r="D7" s="468"/>
      <c r="E7" s="468"/>
      <c r="F7" s="468"/>
      <c r="G7" s="2271">
        <v>42461</v>
      </c>
      <c r="H7" s="2257"/>
      <c r="I7" s="468"/>
      <c r="J7" s="468"/>
      <c r="K7" s="468"/>
      <c r="L7" s="468"/>
      <c r="M7" s="468"/>
      <c r="N7" s="18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2:25" x14ac:dyDescent="0.2">
      <c r="B8" s="1"/>
      <c r="C8" s="468"/>
      <c r="D8" s="468"/>
      <c r="E8" s="468"/>
      <c r="F8" s="468"/>
      <c r="G8" s="468"/>
      <c r="H8" s="468"/>
      <c r="I8" s="468"/>
      <c r="J8" s="468"/>
      <c r="K8" s="468"/>
      <c r="L8" s="468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2:25" ht="25.5" x14ac:dyDescent="0.2">
      <c r="B9" s="1"/>
      <c r="C9" s="2272" t="s">
        <v>6</v>
      </c>
      <c r="D9" s="2272"/>
      <c r="E9" s="470" t="s">
        <v>94</v>
      </c>
      <c r="F9" s="470" t="s">
        <v>126</v>
      </c>
      <c r="G9" s="410" t="s">
        <v>133</v>
      </c>
      <c r="H9" s="470" t="s">
        <v>127</v>
      </c>
      <c r="I9" s="470" t="s">
        <v>128</v>
      </c>
      <c r="J9" s="468"/>
      <c r="K9" s="468"/>
      <c r="L9" s="468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2:25" x14ac:dyDescent="0.2">
      <c r="B10" s="1"/>
      <c r="C10" s="2270" t="s">
        <v>131</v>
      </c>
      <c r="D10" s="2270"/>
      <c r="E10" s="433">
        <f>IF(C15=0,D15,C15)</f>
        <v>4627948.08</v>
      </c>
      <c r="F10" s="407">
        <f>E10*0.16</f>
        <v>740471.69280000008</v>
      </c>
      <c r="G10" s="407">
        <f>E10+F10</f>
        <v>5368419.7728000004</v>
      </c>
      <c r="H10" s="512" t="s">
        <v>169</v>
      </c>
      <c r="I10" s="1318">
        <v>18.546500000000002</v>
      </c>
      <c r="J10" s="468"/>
      <c r="K10" s="468"/>
      <c r="L10" s="468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2:25" x14ac:dyDescent="0.2">
      <c r="B11" s="1"/>
      <c r="C11" s="2270" t="s">
        <v>132</v>
      </c>
      <c r="D11" s="2270"/>
      <c r="E11" s="433">
        <f>IF(C16=0,D16,C16)</f>
        <v>2027.78</v>
      </c>
      <c r="F11" s="407">
        <f>E11*0.16</f>
        <v>324.44479999999999</v>
      </c>
      <c r="G11" s="407">
        <f>E11+F11</f>
        <v>2352.2248</v>
      </c>
      <c r="H11" s="512" t="s">
        <v>169</v>
      </c>
      <c r="I11" s="1318">
        <v>18.546500000000002</v>
      </c>
      <c r="J11" s="468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2:25" x14ac:dyDescent="0.2">
      <c r="B12" s="1"/>
      <c r="C12" s="468"/>
      <c r="D12" s="468"/>
      <c r="E12" s="468"/>
      <c r="F12" s="468"/>
      <c r="G12" s="468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2:25" ht="15" thickBot="1" x14ac:dyDescent="0.25">
      <c r="B13" s="1"/>
      <c r="C13" s="468"/>
      <c r="D13" s="468"/>
      <c r="E13" s="468"/>
      <c r="F13" s="468"/>
      <c r="G13" s="468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2:25" x14ac:dyDescent="0.2">
      <c r="B14" s="1"/>
      <c r="C14" s="440" t="s">
        <v>155</v>
      </c>
      <c r="D14" s="441" t="s">
        <v>156</v>
      </c>
      <c r="E14" s="442" t="s">
        <v>112</v>
      </c>
      <c r="F14" s="468"/>
      <c r="G14" s="468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2:25" x14ac:dyDescent="0.2">
      <c r="B15" s="1"/>
      <c r="C15" s="443">
        <v>4627948.08</v>
      </c>
      <c r="D15" s="444">
        <f>D80</f>
        <v>4627948.0800000029</v>
      </c>
      <c r="E15" s="445">
        <f>C15-D15</f>
        <v>0</v>
      </c>
      <c r="F15" s="468"/>
      <c r="G15" s="468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2:25" ht="15" thickBot="1" x14ac:dyDescent="0.25">
      <c r="B16" s="1"/>
      <c r="C16" s="446">
        <v>2027.78</v>
      </c>
      <c r="D16" s="447">
        <f>ROUND(G80,2)</f>
        <v>2027.78</v>
      </c>
      <c r="E16" s="448">
        <f>C16-D16</f>
        <v>0</v>
      </c>
      <c r="F16" s="468"/>
      <c r="G16" s="468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2:25" x14ac:dyDescent="0.2">
      <c r="B17" s="1"/>
      <c r="C17" s="468"/>
      <c r="D17" s="468"/>
      <c r="E17" s="468"/>
      <c r="F17" s="468"/>
      <c r="G17" s="468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2:25" x14ac:dyDescent="0.2">
      <c r="B18" s="1"/>
      <c r="C18" s="468"/>
      <c r="D18" s="468"/>
      <c r="E18" s="468"/>
      <c r="F18" s="468"/>
      <c r="G18" s="468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2:25" x14ac:dyDescent="0.2">
      <c r="B19" s="1"/>
      <c r="C19" s="468"/>
      <c r="D19" s="468"/>
      <c r="E19" s="468"/>
      <c r="F19" s="468"/>
      <c r="G19" s="468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2:25" x14ac:dyDescent="0.2">
      <c r="B20" s="1"/>
      <c r="C20" s="468"/>
      <c r="D20" s="468"/>
      <c r="E20" s="468"/>
      <c r="F20" s="468"/>
      <c r="G20" s="468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2:25" x14ac:dyDescent="0.2">
      <c r="B21" s="1"/>
      <c r="C21" s="468"/>
      <c r="D21" s="468"/>
      <c r="E21" s="468"/>
      <c r="F21" s="468"/>
      <c r="G21" s="468"/>
      <c r="H21" s="1"/>
      <c r="I21" s="1"/>
      <c r="J21" s="1"/>
      <c r="K21" s="1"/>
      <c r="L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2:25" ht="15" thickBot="1" x14ac:dyDescent="0.25">
      <c r="B22" s="1"/>
      <c r="C22" s="419" t="s">
        <v>137</v>
      </c>
      <c r="D22" s="468" t="s">
        <v>138</v>
      </c>
      <c r="E22" s="468"/>
      <c r="F22" s="468" t="s">
        <v>139</v>
      </c>
      <c r="G22" s="468" t="s">
        <v>157</v>
      </c>
      <c r="H22" s="468" t="s">
        <v>143</v>
      </c>
      <c r="I22" s="468" t="s">
        <v>142</v>
      </c>
      <c r="J22" s="468" t="s">
        <v>141</v>
      </c>
      <c r="K22" s="468" t="s">
        <v>140</v>
      </c>
      <c r="L22" s="468" t="s">
        <v>144</v>
      </c>
      <c r="M22" s="468" t="s">
        <v>146</v>
      </c>
      <c r="N22" s="468"/>
      <c r="O22" s="468"/>
      <c r="P22" s="468"/>
      <c r="Q22" s="1"/>
      <c r="R22" s="1"/>
      <c r="S22" s="1"/>
      <c r="T22" s="1"/>
      <c r="U22" s="1"/>
      <c r="V22" s="1"/>
      <c r="W22" s="1"/>
      <c r="X22" s="1"/>
      <c r="Y22" s="1"/>
    </row>
    <row r="23" spans="2:25" ht="36.75" customHeight="1" x14ac:dyDescent="0.2">
      <c r="B23" s="1"/>
      <c r="C23" s="402" t="s">
        <v>134</v>
      </c>
      <c r="D23" s="2261" t="s">
        <v>135</v>
      </c>
      <c r="E23" s="2262"/>
      <c r="F23" s="469" t="s">
        <v>136</v>
      </c>
      <c r="G23" s="461" t="s">
        <v>153</v>
      </c>
      <c r="H23" s="420" t="s">
        <v>129</v>
      </c>
      <c r="I23" s="403" t="s">
        <v>130</v>
      </c>
      <c r="J23" s="422"/>
      <c r="K23" s="422"/>
      <c r="L23" s="422"/>
      <c r="M23" s="404" t="s">
        <v>158</v>
      </c>
      <c r="N23" s="468"/>
      <c r="O23" s="468"/>
      <c r="P23" s="468"/>
      <c r="Q23" s="468"/>
      <c r="R23" s="468"/>
      <c r="S23" s="468"/>
      <c r="T23" s="468"/>
      <c r="U23" s="1"/>
      <c r="V23" s="1"/>
      <c r="W23" s="1"/>
      <c r="X23" s="1"/>
      <c r="Y23" s="1"/>
    </row>
    <row r="24" spans="2:25" x14ac:dyDescent="0.2">
      <c r="B24" s="1"/>
      <c r="C24" s="405">
        <v>850</v>
      </c>
      <c r="D24" s="2263">
        <v>850</v>
      </c>
      <c r="E24" s="2264"/>
      <c r="F24" s="418">
        <v>31482640</v>
      </c>
      <c r="G24" s="462">
        <v>30</v>
      </c>
      <c r="H24" s="460">
        <f>VLOOKUP(C47,Tarifas!D4:H303,3)</f>
        <v>0.14699999999999999</v>
      </c>
      <c r="I24" s="424">
        <f>VLOOKUP(C47,Tarifas!D4:H303,5)</f>
        <v>1E-3</v>
      </c>
      <c r="J24" s="421">
        <v>182.4</v>
      </c>
      <c r="K24" s="421">
        <v>201.4</v>
      </c>
      <c r="L24" s="421">
        <f>I11</f>
        <v>18.546500000000002</v>
      </c>
      <c r="M24" s="431">
        <f>E80</f>
        <v>2239008.1475</v>
      </c>
      <c r="N24" s="430" t="s">
        <v>62</v>
      </c>
      <c r="O24" s="468"/>
      <c r="P24" s="468"/>
      <c r="Q24" s="468"/>
      <c r="R24" s="468"/>
      <c r="S24" s="468"/>
      <c r="T24" s="468"/>
      <c r="U24" s="1"/>
      <c r="V24" s="1"/>
      <c r="W24" s="1"/>
      <c r="X24" s="1"/>
      <c r="Y24" s="1"/>
    </row>
    <row r="25" spans="2:25" x14ac:dyDescent="0.2">
      <c r="B25" s="1"/>
      <c r="C25" s="468"/>
      <c r="D25" s="468"/>
      <c r="E25" s="468"/>
      <c r="F25" s="468"/>
      <c r="G25" s="468"/>
      <c r="H25" s="468"/>
      <c r="I25" s="468"/>
      <c r="J25" s="468"/>
      <c r="K25" s="468"/>
      <c r="L25" s="468"/>
      <c r="M25" s="468"/>
      <c r="N25" s="468"/>
      <c r="O25" s="468"/>
      <c r="P25" s="468"/>
      <c r="Q25" s="468"/>
      <c r="R25" s="468"/>
      <c r="S25" s="1"/>
      <c r="T25" s="1"/>
      <c r="U25" s="1"/>
      <c r="V25" s="1"/>
      <c r="W25" s="1"/>
      <c r="X25" s="1"/>
      <c r="Y25" s="1"/>
    </row>
    <row r="26" spans="2:25" x14ac:dyDescent="0.2">
      <c r="B26" s="1"/>
      <c r="C26" s="468"/>
      <c r="D26" s="468"/>
      <c r="E26" s="468"/>
      <c r="F26" s="468"/>
      <c r="G26" s="468"/>
      <c r="H26" s="468"/>
      <c r="I26" s="468"/>
      <c r="J26" s="468"/>
      <c r="K26" s="468"/>
      <c r="L26" s="468"/>
      <c r="M26" s="468"/>
      <c r="N26" s="468"/>
      <c r="O26" s="468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2:25" x14ac:dyDescent="0.2">
      <c r="B27" s="1"/>
      <c r="C27" s="468"/>
      <c r="D27" s="468"/>
      <c r="E27" s="468"/>
      <c r="F27" s="468"/>
      <c r="G27" s="468"/>
      <c r="H27" s="468"/>
      <c r="I27" s="468"/>
      <c r="J27" s="468"/>
      <c r="K27" s="468"/>
      <c r="L27" s="468"/>
      <c r="M27" s="468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2:25" ht="15" thickBot="1" x14ac:dyDescent="0.25">
      <c r="B28" s="1"/>
      <c r="C28" s="2265" t="s">
        <v>86</v>
      </c>
      <c r="D28" s="2265"/>
      <c r="E28" s="2265"/>
      <c r="F28" s="2265"/>
      <c r="G28" s="471"/>
      <c r="H28" s="334"/>
      <c r="I28" s="334"/>
      <c r="J28" s="334"/>
      <c r="K28" s="471"/>
      <c r="L28" s="336"/>
      <c r="M28" s="336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2:25" ht="22.5" x14ac:dyDescent="0.2">
      <c r="B29" s="1"/>
      <c r="C29" s="337" t="s">
        <v>87</v>
      </c>
      <c r="D29" s="466" t="s">
        <v>88</v>
      </c>
      <c r="E29" s="466" t="s">
        <v>89</v>
      </c>
      <c r="F29" s="466" t="s">
        <v>20</v>
      </c>
      <c r="G29" s="466" t="s">
        <v>160</v>
      </c>
      <c r="H29" s="466" t="s">
        <v>90</v>
      </c>
      <c r="I29" s="466" t="s">
        <v>91</v>
      </c>
      <c r="J29" s="466" t="s">
        <v>92</v>
      </c>
      <c r="K29" s="466" t="s">
        <v>93</v>
      </c>
      <c r="L29" s="466" t="s">
        <v>94</v>
      </c>
      <c r="M29" s="467" t="s">
        <v>95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2:25" x14ac:dyDescent="0.2">
      <c r="B30" s="1"/>
      <c r="C30" s="338"/>
      <c r="D30" s="339">
        <v>1</v>
      </c>
      <c r="E30" s="339" t="s">
        <v>96</v>
      </c>
      <c r="F30" s="340" t="s">
        <v>97</v>
      </c>
      <c r="G30" s="340">
        <v>2201</v>
      </c>
      <c r="H30" s="339">
        <v>20823</v>
      </c>
      <c r="I30" s="341">
        <v>0</v>
      </c>
      <c r="J30" s="339">
        <v>138.15</v>
      </c>
      <c r="K30" s="342">
        <f>I30/I$35</f>
        <v>0</v>
      </c>
      <c r="L30" s="343">
        <f>ROUND(K30*E$10,2)</f>
        <v>0</v>
      </c>
      <c r="M30" s="344">
        <f>L30*$I$10</f>
        <v>0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2:25" x14ac:dyDescent="0.2">
      <c r="B31" s="1"/>
      <c r="C31" s="338"/>
      <c r="D31" s="339">
        <v>2</v>
      </c>
      <c r="E31" s="339" t="s">
        <v>98</v>
      </c>
      <c r="F31" s="340" t="s">
        <v>97</v>
      </c>
      <c r="G31" s="340">
        <v>2201</v>
      </c>
      <c r="H31" s="339">
        <v>20824</v>
      </c>
      <c r="I31" s="341">
        <v>0</v>
      </c>
      <c r="J31" s="339">
        <v>138.15</v>
      </c>
      <c r="K31" s="342">
        <f>I31/I$35</f>
        <v>0</v>
      </c>
      <c r="L31" s="343">
        <f>ROUND(K31*E$10,2)</f>
        <v>0</v>
      </c>
      <c r="M31" s="344">
        <f>L31*$I$10</f>
        <v>0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2:25" x14ac:dyDescent="0.2">
      <c r="B32" s="1"/>
      <c r="C32" s="338"/>
      <c r="D32" s="339">
        <v>1</v>
      </c>
      <c r="E32" s="339" t="s">
        <v>99</v>
      </c>
      <c r="F32" s="340" t="s">
        <v>100</v>
      </c>
      <c r="G32" s="340">
        <v>2230</v>
      </c>
      <c r="H32" s="339">
        <v>22228</v>
      </c>
      <c r="I32" s="341">
        <v>0</v>
      </c>
      <c r="J32" s="339">
        <v>130.80000000000001</v>
      </c>
      <c r="K32" s="342">
        <f>I32/I$35</f>
        <v>0</v>
      </c>
      <c r="L32" s="343">
        <f>ROUND(K32*E$10,2)</f>
        <v>0</v>
      </c>
      <c r="M32" s="344">
        <f>L32*$I$10</f>
        <v>0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2:25" x14ac:dyDescent="0.2">
      <c r="B33" s="1"/>
      <c r="C33" s="338">
        <v>800762390</v>
      </c>
      <c r="D33" s="339">
        <v>3</v>
      </c>
      <c r="E33" s="354" t="s">
        <v>101</v>
      </c>
      <c r="F33" s="463" t="s">
        <v>23</v>
      </c>
      <c r="G33" s="463">
        <v>2044</v>
      </c>
      <c r="H33" s="354">
        <v>591000500</v>
      </c>
      <c r="I33" s="341">
        <v>80000</v>
      </c>
      <c r="J33" s="339"/>
      <c r="K33" s="342">
        <f>I33/I$35</f>
        <v>9.4117647058823528E-2</v>
      </c>
      <c r="L33" s="343">
        <f>ROUND(K33*E$10,2)</f>
        <v>435571.58</v>
      </c>
      <c r="M33" s="344">
        <f>L33*$I$10</f>
        <v>8078328.3084700014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2:25" ht="15" thickBot="1" x14ac:dyDescent="0.25">
      <c r="B34" s="1"/>
      <c r="C34" s="345">
        <v>800642440</v>
      </c>
      <c r="D34" s="346">
        <v>5</v>
      </c>
      <c r="E34" s="347" t="s">
        <v>101</v>
      </c>
      <c r="F34" s="348" t="s">
        <v>159</v>
      </c>
      <c r="G34" s="348">
        <v>2277</v>
      </c>
      <c r="H34" s="347">
        <v>22770</v>
      </c>
      <c r="I34" s="349">
        <f>850000-I30-I31-I32-I33</f>
        <v>770000</v>
      </c>
      <c r="J34" s="346"/>
      <c r="K34" s="350">
        <f>I34/I$35</f>
        <v>0.90588235294117647</v>
      </c>
      <c r="L34" s="351">
        <f>ROUND(K34*E$10,2)</f>
        <v>4192376.5</v>
      </c>
      <c r="M34" s="352">
        <f>L34*$I$10</f>
        <v>77753910.757250011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2:25" x14ac:dyDescent="0.2">
      <c r="B35" s="1"/>
      <c r="C35" s="406">
        <v>3000623</v>
      </c>
      <c r="D35" s="353" t="s">
        <v>102</v>
      </c>
      <c r="E35" s="353"/>
      <c r="F35" s="353"/>
      <c r="G35" s="353"/>
      <c r="H35" s="354"/>
      <c r="I35" s="355">
        <f>SUM(I30:I34)</f>
        <v>850000</v>
      </c>
      <c r="J35" s="353"/>
      <c r="K35" s="356">
        <f>SUM(K30:K34)</f>
        <v>1</v>
      </c>
      <c r="L35" s="357">
        <f>SUM(L30:L34)</f>
        <v>4627948.08</v>
      </c>
      <c r="M35" s="357">
        <f>SUM(M30:M34)</f>
        <v>85832239.065720007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2:25" x14ac:dyDescent="0.2">
      <c r="B36" s="1"/>
      <c r="C36" s="336"/>
      <c r="D36" s="336"/>
      <c r="E36" s="336"/>
      <c r="F36" s="358"/>
      <c r="G36" s="358"/>
      <c r="H36" s="336"/>
      <c r="I36" s="336"/>
      <c r="J36" s="336"/>
      <c r="K36" s="336"/>
      <c r="L36" s="359"/>
      <c r="M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2:25" x14ac:dyDescent="0.2">
      <c r="B37" s="1"/>
      <c r="C37" s="336"/>
      <c r="D37" s="336"/>
      <c r="E37" s="336"/>
      <c r="F37" s="358"/>
      <c r="G37" s="358"/>
      <c r="H37" s="336"/>
      <c r="I37" s="336"/>
      <c r="J37" s="336"/>
      <c r="K37" s="336"/>
      <c r="L37" s="359"/>
      <c r="M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2:25" x14ac:dyDescent="0.2">
      <c r="B38" s="1"/>
      <c r="C38" s="336"/>
      <c r="D38" s="336"/>
      <c r="E38" s="336"/>
      <c r="F38" s="358"/>
      <c r="G38" s="358"/>
      <c r="H38" s="336"/>
      <c r="I38" s="336"/>
      <c r="J38" s="336"/>
      <c r="K38" s="336"/>
      <c r="L38" s="359"/>
      <c r="M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2:25" ht="15" thickBot="1" x14ac:dyDescent="0.25">
      <c r="B39" s="1"/>
      <c r="C39" s="2266" t="s">
        <v>103</v>
      </c>
      <c r="D39" s="2266"/>
      <c r="E39" s="2266"/>
      <c r="F39" s="2266"/>
      <c r="G39" s="471"/>
      <c r="H39" s="334"/>
      <c r="I39" s="334"/>
      <c r="J39" s="334"/>
      <c r="K39" s="336"/>
      <c r="L39" s="336"/>
      <c r="M39" s="360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2:25" ht="22.5" x14ac:dyDescent="0.2">
      <c r="B40" s="1"/>
      <c r="C40" s="337" t="s">
        <v>87</v>
      </c>
      <c r="D40" s="466" t="s">
        <v>88</v>
      </c>
      <c r="E40" s="466" t="s">
        <v>89</v>
      </c>
      <c r="F40" s="466" t="s">
        <v>20</v>
      </c>
      <c r="G40" s="466"/>
      <c r="H40" s="466" t="s">
        <v>90</v>
      </c>
      <c r="I40" s="466" t="s">
        <v>104</v>
      </c>
      <c r="J40" s="466" t="s">
        <v>93</v>
      </c>
      <c r="K40" s="466" t="s">
        <v>92</v>
      </c>
      <c r="L40" s="466" t="s">
        <v>94</v>
      </c>
      <c r="M40" s="467" t="s">
        <v>95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2:25" x14ac:dyDescent="0.2">
      <c r="B41" s="1"/>
      <c r="C41" s="338"/>
      <c r="D41" s="339">
        <v>1</v>
      </c>
      <c r="E41" s="339" t="s">
        <v>96</v>
      </c>
      <c r="F41" s="340" t="s">
        <v>97</v>
      </c>
      <c r="G41" s="340"/>
      <c r="H41" s="339">
        <v>20823</v>
      </c>
      <c r="I41" s="341">
        <f>M80</f>
        <v>0</v>
      </c>
      <c r="J41" s="342">
        <f>I41/I$45</f>
        <v>0</v>
      </c>
      <c r="K41" s="339">
        <v>138.15</v>
      </c>
      <c r="L41" s="343">
        <f>ROUND(J41*$E$11,2)</f>
        <v>0</v>
      </c>
      <c r="M41" s="344">
        <f>L41*L24</f>
        <v>0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2:25" x14ac:dyDescent="0.2">
      <c r="B42" s="1"/>
      <c r="C42" s="338"/>
      <c r="D42" s="339">
        <v>2</v>
      </c>
      <c r="E42" s="339" t="s">
        <v>98</v>
      </c>
      <c r="F42" s="340" t="s">
        <v>97</v>
      </c>
      <c r="G42" s="340"/>
      <c r="H42" s="339">
        <v>20824</v>
      </c>
      <c r="I42" s="341">
        <f>N80</f>
        <v>0</v>
      </c>
      <c r="J42" s="342">
        <f>I42/I$45</f>
        <v>0</v>
      </c>
      <c r="K42" s="339">
        <v>138.15</v>
      </c>
      <c r="L42" s="343">
        <f>ROUND(J42*$E$11,2)</f>
        <v>0</v>
      </c>
      <c r="M42" s="344">
        <f>L42*L25</f>
        <v>0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2:25" x14ac:dyDescent="0.2">
      <c r="B43" s="1"/>
      <c r="C43" s="338"/>
      <c r="D43" s="339">
        <v>1</v>
      </c>
      <c r="E43" s="339" t="s">
        <v>99</v>
      </c>
      <c r="F43" s="340" t="s">
        <v>100</v>
      </c>
      <c r="G43" s="340"/>
      <c r="H43" s="339">
        <v>22228</v>
      </c>
      <c r="I43" s="341">
        <f>O80</f>
        <v>0</v>
      </c>
      <c r="J43" s="342">
        <f>I43/I$45</f>
        <v>0</v>
      </c>
      <c r="K43" s="339">
        <v>130.80000000000001</v>
      </c>
      <c r="L43" s="343">
        <f>ROUND(J43*$E$11,2)</f>
        <v>0</v>
      </c>
      <c r="M43" s="344">
        <f>L43*L26</f>
        <v>0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2:25" ht="15" thickBot="1" x14ac:dyDescent="0.25">
      <c r="B44" s="1"/>
      <c r="C44" s="345">
        <v>800762390</v>
      </c>
      <c r="D44" s="346">
        <v>4</v>
      </c>
      <c r="E44" s="347" t="s">
        <v>101</v>
      </c>
      <c r="F44" s="348" t="s">
        <v>23</v>
      </c>
      <c r="G44" s="348"/>
      <c r="H44" s="347"/>
      <c r="I44" s="349">
        <f>L80</f>
        <v>2239008.1475</v>
      </c>
      <c r="J44" s="350">
        <f>I44/I$45</f>
        <v>1</v>
      </c>
      <c r="K44" s="346">
        <v>138.15</v>
      </c>
      <c r="L44" s="351">
        <f>ROUND(J44*$E$11,2)</f>
        <v>2027.78</v>
      </c>
      <c r="M44" s="352">
        <f>L44*I11</f>
        <v>37608.221770000004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2:25" x14ac:dyDescent="0.2">
      <c r="B45" s="1"/>
      <c r="C45" s="353"/>
      <c r="D45" s="353"/>
      <c r="E45" s="353"/>
      <c r="F45" s="353"/>
      <c r="G45" s="353"/>
      <c r="H45" s="354"/>
      <c r="I45" s="449">
        <f>SUM(I41:I44)</f>
        <v>2239008.1475</v>
      </c>
      <c r="J45" s="355"/>
      <c r="K45" s="353"/>
      <c r="L45" s="357">
        <f>SUM(L41:L44)</f>
        <v>2027.78</v>
      </c>
      <c r="M45" s="357">
        <f>SUM(M41:M44)</f>
        <v>37608.221770000004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2:25" customFormat="1" ht="15" thickBot="1" x14ac:dyDescent="0.25">
      <c r="M46" s="450"/>
      <c r="N46" s="450"/>
      <c r="O46" s="450"/>
      <c r="P46" s="450"/>
      <c r="Q46" s="450"/>
      <c r="R46" s="450"/>
      <c r="S46" s="450"/>
      <c r="T46" s="450"/>
      <c r="U46" s="450"/>
      <c r="V46" s="450"/>
      <c r="W46" s="450"/>
      <c r="X46" s="450"/>
      <c r="Y46" s="450"/>
    </row>
    <row r="47" spans="2:25" ht="15" thickBot="1" x14ac:dyDescent="0.25">
      <c r="B47" s="434" t="s">
        <v>3</v>
      </c>
      <c r="C47" s="333">
        <f>SUMIF(Tarifas!E4:E303,'Abril - 2016'!C49,Tarifas!D4:D303)</f>
        <v>33</v>
      </c>
      <c r="D47" s="425" t="s">
        <v>147</v>
      </c>
      <c r="E47" s="426" t="s">
        <v>145</v>
      </c>
      <c r="F47" s="426" t="s">
        <v>150</v>
      </c>
      <c r="G47" s="426" t="s">
        <v>148</v>
      </c>
      <c r="H47" s="382"/>
      <c r="I47" s="331" t="s">
        <v>120</v>
      </c>
      <c r="J47" s="332"/>
      <c r="K47" s="332"/>
      <c r="L47" s="364" t="s">
        <v>105</v>
      </c>
      <c r="M47" s="365"/>
      <c r="N47" s="365"/>
      <c r="O47" s="365"/>
      <c r="P47" s="365"/>
      <c r="Q47" s="365"/>
      <c r="R47" s="366"/>
      <c r="S47" s="2267" t="s">
        <v>121</v>
      </c>
      <c r="T47" s="2268"/>
      <c r="U47" s="2268"/>
      <c r="V47" s="2268"/>
      <c r="W47" s="2268"/>
      <c r="X47" s="2268"/>
      <c r="Y47" s="2269"/>
    </row>
    <row r="48" spans="2:25" ht="33.75" x14ac:dyDescent="0.2">
      <c r="C48" s="383" t="s">
        <v>122</v>
      </c>
      <c r="D48" s="384" t="s">
        <v>125</v>
      </c>
      <c r="E48" s="385" t="s">
        <v>149</v>
      </c>
      <c r="F48" s="385" t="s">
        <v>151</v>
      </c>
      <c r="G48" s="385" t="s">
        <v>152</v>
      </c>
      <c r="H48" s="386" t="s">
        <v>123</v>
      </c>
      <c r="I48" s="574" t="s">
        <v>210</v>
      </c>
      <c r="J48" s="330" t="s">
        <v>25</v>
      </c>
      <c r="K48" s="330" t="s">
        <v>26</v>
      </c>
      <c r="L48" s="367" t="s">
        <v>115</v>
      </c>
      <c r="M48" s="362" t="s">
        <v>106</v>
      </c>
      <c r="N48" s="362" t="s">
        <v>107</v>
      </c>
      <c r="O48" s="362" t="s">
        <v>108</v>
      </c>
      <c r="P48" s="362" t="s">
        <v>115</v>
      </c>
      <c r="Q48" s="363" t="s">
        <v>116</v>
      </c>
      <c r="R48" s="368" t="s">
        <v>117</v>
      </c>
      <c r="S48" s="369" t="s">
        <v>192</v>
      </c>
      <c r="T48" s="370" t="s">
        <v>111</v>
      </c>
      <c r="U48" s="370" t="s">
        <v>112</v>
      </c>
      <c r="V48" s="371" t="s">
        <v>118</v>
      </c>
      <c r="W48" s="371" t="s">
        <v>119</v>
      </c>
      <c r="X48" s="371" t="s">
        <v>114</v>
      </c>
      <c r="Y48" s="372" t="s">
        <v>113</v>
      </c>
    </row>
    <row r="49" spans="3:25" x14ac:dyDescent="0.2">
      <c r="C49" s="387">
        <f>G7</f>
        <v>42461</v>
      </c>
      <c r="D49" s="388">
        <f>($F$24*$H$24)/$G$24</f>
        <v>154264.93600000002</v>
      </c>
      <c r="E49" s="389">
        <f>P49+Q49+R49</f>
        <v>76736.89</v>
      </c>
      <c r="F49" s="427">
        <f t="shared" ref="F49:F78" si="0">TRUNC(IFERROR(J$24/K$24,0),8)</f>
        <v>0.90566036999999999</v>
      </c>
      <c r="G49" s="390">
        <f t="shared" ref="G49:G78" si="1">ROUND(I$24*F49*E49,4)</f>
        <v>69.497600000000006</v>
      </c>
      <c r="H49" s="391">
        <f t="shared" ref="H49:H78" si="2">SUM(D49:G49)</f>
        <v>231072.22926036999</v>
      </c>
      <c r="I49" s="324">
        <v>71186</v>
      </c>
      <c r="J49" s="325"/>
      <c r="K49" s="325"/>
      <c r="L49" s="317">
        <v>76736.89</v>
      </c>
      <c r="M49" s="318"/>
      <c r="N49" s="318"/>
      <c r="O49" s="318"/>
      <c r="P49" s="389">
        <f>L49</f>
        <v>76736.89</v>
      </c>
      <c r="Q49" s="389">
        <f t="shared" ref="Q49:Q78" si="3">M49+N49</f>
        <v>0</v>
      </c>
      <c r="R49" s="389">
        <f t="shared" ref="R49:R78" si="4">O49</f>
        <v>0</v>
      </c>
      <c r="S49" s="568">
        <v>71185.95</v>
      </c>
      <c r="T49" s="374"/>
      <c r="U49" s="575">
        <f>S49+T49-V49</f>
        <v>-5.0000000002910383E-2</v>
      </c>
      <c r="V49" s="520">
        <f>I49+J49+K49</f>
        <v>71186</v>
      </c>
      <c r="W49" s="520">
        <f>(P49+Q49+R49)/1.055056</f>
        <v>72732.527941644803</v>
      </c>
      <c r="X49" s="520">
        <f>V49-W49</f>
        <v>-1546.5279416448029</v>
      </c>
      <c r="Y49" s="525">
        <f>Y46+X49</f>
        <v>-1546.5279416448029</v>
      </c>
    </row>
    <row r="50" spans="3:25" x14ac:dyDescent="0.2">
      <c r="C50" s="387">
        <f t="shared" ref="C50:C78" si="5">C49+1</f>
        <v>42462</v>
      </c>
      <c r="D50" s="388">
        <f t="shared" ref="D50:D78" si="6">($F$24*$H$24)/$G$24</f>
        <v>154264.93600000002</v>
      </c>
      <c r="E50" s="392">
        <f t="shared" ref="E50:E78" si="7">P50+Q50+R50</f>
        <v>74852.990000000005</v>
      </c>
      <c r="F50" s="428">
        <f t="shared" si="0"/>
        <v>0.90566036999999999</v>
      </c>
      <c r="G50" s="390">
        <f t="shared" si="1"/>
        <v>67.791399999999996</v>
      </c>
      <c r="H50" s="391">
        <f t="shared" si="2"/>
        <v>229186.62306037001</v>
      </c>
      <c r="I50" s="324">
        <v>68261</v>
      </c>
      <c r="J50" s="325"/>
      <c r="K50" s="325"/>
      <c r="L50" s="319">
        <v>74852.990000000005</v>
      </c>
      <c r="M50" s="320"/>
      <c r="N50" s="320"/>
      <c r="O50" s="320"/>
      <c r="P50" s="392">
        <f t="shared" ref="P50:P78" si="8">L50</f>
        <v>74852.990000000005</v>
      </c>
      <c r="Q50" s="392">
        <f t="shared" si="3"/>
        <v>0</v>
      </c>
      <c r="R50" s="392">
        <f t="shared" si="4"/>
        <v>0</v>
      </c>
      <c r="S50" s="568">
        <v>68260.5</v>
      </c>
      <c r="T50" s="374"/>
      <c r="U50" s="524">
        <f t="shared" ref="U50:U78" si="9">S50+T50-V50</f>
        <v>-0.5</v>
      </c>
      <c r="V50" s="520">
        <f t="shared" ref="V50:V78" si="10">I50+J50+K50</f>
        <v>68261</v>
      </c>
      <c r="W50" s="520">
        <f t="shared" ref="W50:W78" si="11">(P50+Q50+R50)/1.055056</f>
        <v>70946.935518114682</v>
      </c>
      <c r="X50" s="520">
        <f t="shared" ref="X50:X78" si="12">V50-W50</f>
        <v>-2685.9355181146821</v>
      </c>
      <c r="Y50" s="525">
        <f>Y49+X50</f>
        <v>-4232.463459759485</v>
      </c>
    </row>
    <row r="51" spans="3:25" x14ac:dyDescent="0.2">
      <c r="C51" s="387">
        <f t="shared" si="5"/>
        <v>42463</v>
      </c>
      <c r="D51" s="388">
        <f t="shared" si="6"/>
        <v>154264.93600000002</v>
      </c>
      <c r="E51" s="392">
        <f t="shared" si="7"/>
        <v>72165.66</v>
      </c>
      <c r="F51" s="428">
        <f t="shared" si="0"/>
        <v>0.90566036999999999</v>
      </c>
      <c r="G51" s="390">
        <f t="shared" si="1"/>
        <v>65.357600000000005</v>
      </c>
      <c r="H51" s="391">
        <f t="shared" si="2"/>
        <v>226496.85926036999</v>
      </c>
      <c r="I51" s="324">
        <v>68261</v>
      </c>
      <c r="J51" s="325"/>
      <c r="K51" s="325"/>
      <c r="L51" s="317">
        <v>72165.66</v>
      </c>
      <c r="M51" s="318"/>
      <c r="N51" s="318"/>
      <c r="O51" s="318"/>
      <c r="P51" s="392">
        <f t="shared" si="8"/>
        <v>72165.66</v>
      </c>
      <c r="Q51" s="392">
        <f t="shared" si="3"/>
        <v>0</v>
      </c>
      <c r="R51" s="392">
        <f t="shared" si="4"/>
        <v>0</v>
      </c>
      <c r="S51" s="568">
        <v>68260.5</v>
      </c>
      <c r="T51" s="374"/>
      <c r="U51" s="524">
        <f t="shared" si="9"/>
        <v>-0.5</v>
      </c>
      <c r="V51" s="520">
        <f t="shared" si="10"/>
        <v>68261</v>
      </c>
      <c r="W51" s="520">
        <f t="shared" si="11"/>
        <v>68399.838491985269</v>
      </c>
      <c r="X51" s="520">
        <f t="shared" si="12"/>
        <v>-138.83849198526877</v>
      </c>
      <c r="Y51" s="525">
        <f t="shared" ref="Y51:Y78" si="13">Y50+X51</f>
        <v>-4371.3019517447538</v>
      </c>
    </row>
    <row r="52" spans="3:25" x14ac:dyDescent="0.2">
      <c r="C52" s="387">
        <f t="shared" si="5"/>
        <v>42464</v>
      </c>
      <c r="D52" s="388">
        <f t="shared" si="6"/>
        <v>154264.93600000002</v>
      </c>
      <c r="E52" s="392">
        <f t="shared" si="7"/>
        <v>71365.66</v>
      </c>
      <c r="F52" s="428">
        <f t="shared" si="0"/>
        <v>0.90566036999999999</v>
      </c>
      <c r="G52" s="390">
        <f t="shared" si="1"/>
        <v>64.633099999999999</v>
      </c>
      <c r="H52" s="391">
        <f t="shared" si="2"/>
        <v>225696.13476037001</v>
      </c>
      <c r="I52" s="324">
        <v>68261</v>
      </c>
      <c r="J52" s="325"/>
      <c r="K52" s="325"/>
      <c r="L52" s="319">
        <v>71365.66</v>
      </c>
      <c r="M52" s="320"/>
      <c r="N52" s="320"/>
      <c r="O52" s="320"/>
      <c r="P52" s="392">
        <f t="shared" si="8"/>
        <v>71365.66</v>
      </c>
      <c r="Q52" s="392">
        <f t="shared" si="3"/>
        <v>0</v>
      </c>
      <c r="R52" s="392">
        <f t="shared" si="4"/>
        <v>0</v>
      </c>
      <c r="S52" s="568">
        <v>68260.5</v>
      </c>
      <c r="T52" s="374"/>
      <c r="U52" s="524">
        <f t="shared" si="9"/>
        <v>-0.5</v>
      </c>
      <c r="V52" s="520">
        <f t="shared" si="10"/>
        <v>68261</v>
      </c>
      <c r="W52" s="520">
        <f t="shared" si="11"/>
        <v>67641.584901654511</v>
      </c>
      <c r="X52" s="520">
        <f t="shared" si="12"/>
        <v>619.41509834548924</v>
      </c>
      <c r="Y52" s="525">
        <f t="shared" si="13"/>
        <v>-3751.8868533992645</v>
      </c>
    </row>
    <row r="53" spans="3:25" x14ac:dyDescent="0.2">
      <c r="C53" s="387">
        <f t="shared" si="5"/>
        <v>42465</v>
      </c>
      <c r="D53" s="388">
        <f t="shared" si="6"/>
        <v>154264.93600000002</v>
      </c>
      <c r="E53" s="392">
        <f t="shared" si="7"/>
        <v>76333.039999999994</v>
      </c>
      <c r="F53" s="428">
        <f t="shared" si="0"/>
        <v>0.90566036999999999</v>
      </c>
      <c r="G53" s="390">
        <f t="shared" si="1"/>
        <v>69.131799999999998</v>
      </c>
      <c r="H53" s="391">
        <f t="shared" si="2"/>
        <v>230668.01346037001</v>
      </c>
      <c r="I53" s="324">
        <v>72161</v>
      </c>
      <c r="J53" s="325"/>
      <c r="K53" s="325"/>
      <c r="L53" s="317">
        <v>76333.039999999994</v>
      </c>
      <c r="M53" s="318"/>
      <c r="N53" s="318"/>
      <c r="O53" s="318"/>
      <c r="P53" s="392">
        <f t="shared" si="8"/>
        <v>76333.039999999994</v>
      </c>
      <c r="Q53" s="392">
        <f t="shared" si="3"/>
        <v>0</v>
      </c>
      <c r="R53" s="392">
        <f t="shared" si="4"/>
        <v>0</v>
      </c>
      <c r="S53" s="568">
        <v>72161.100000000006</v>
      </c>
      <c r="T53" s="374"/>
      <c r="U53" s="524">
        <f t="shared" si="9"/>
        <v>0.10000000000582077</v>
      </c>
      <c r="V53" s="520">
        <f t="shared" si="10"/>
        <v>72161</v>
      </c>
      <c r="W53" s="520">
        <f t="shared" si="11"/>
        <v>72349.75205107595</v>
      </c>
      <c r="X53" s="520">
        <f t="shared" si="12"/>
        <v>-188.75205107594957</v>
      </c>
      <c r="Y53" s="525">
        <f t="shared" si="13"/>
        <v>-3940.6389044752141</v>
      </c>
    </row>
    <row r="54" spans="3:25" x14ac:dyDescent="0.2">
      <c r="C54" s="387">
        <f t="shared" si="5"/>
        <v>42466</v>
      </c>
      <c r="D54" s="388">
        <f t="shared" si="6"/>
        <v>154264.93600000002</v>
      </c>
      <c r="E54" s="392">
        <f t="shared" si="7"/>
        <v>76487.58</v>
      </c>
      <c r="F54" s="428">
        <f t="shared" si="0"/>
        <v>0.90566036999999999</v>
      </c>
      <c r="G54" s="390">
        <f t="shared" si="1"/>
        <v>69.271799999999999</v>
      </c>
      <c r="H54" s="391">
        <f t="shared" si="2"/>
        <v>230822.69346036998</v>
      </c>
      <c r="I54" s="324">
        <v>72161</v>
      </c>
      <c r="J54" s="325"/>
      <c r="K54" s="325"/>
      <c r="L54" s="319">
        <v>76487.58</v>
      </c>
      <c r="M54" s="320"/>
      <c r="N54" s="320"/>
      <c r="O54" s="320"/>
      <c r="P54" s="392">
        <f t="shared" si="8"/>
        <v>76487.58</v>
      </c>
      <c r="Q54" s="392">
        <f t="shared" si="3"/>
        <v>0</v>
      </c>
      <c r="R54" s="392">
        <f t="shared" si="4"/>
        <v>0</v>
      </c>
      <c r="S54" s="568">
        <v>72161.100000000006</v>
      </c>
      <c r="T54" s="374"/>
      <c r="U54" s="524">
        <f t="shared" si="9"/>
        <v>0.10000000000582077</v>
      </c>
      <c r="V54" s="520">
        <f t="shared" si="10"/>
        <v>72161</v>
      </c>
      <c r="W54" s="520">
        <f t="shared" si="11"/>
        <v>72496.227688388113</v>
      </c>
      <c r="X54" s="520">
        <f t="shared" si="12"/>
        <v>-335.22768838811317</v>
      </c>
      <c r="Y54" s="525">
        <f t="shared" si="13"/>
        <v>-4275.8665928633272</v>
      </c>
    </row>
    <row r="55" spans="3:25" x14ac:dyDescent="0.2">
      <c r="C55" s="387">
        <f t="shared" si="5"/>
        <v>42467</v>
      </c>
      <c r="D55" s="388">
        <f t="shared" si="6"/>
        <v>154264.93600000002</v>
      </c>
      <c r="E55" s="392">
        <f t="shared" si="7"/>
        <v>76022.990000000005</v>
      </c>
      <c r="F55" s="428">
        <f t="shared" si="0"/>
        <v>0.90566036999999999</v>
      </c>
      <c r="G55" s="390">
        <f t="shared" si="1"/>
        <v>68.850999999999999</v>
      </c>
      <c r="H55" s="391">
        <f t="shared" si="2"/>
        <v>230357.68266037002</v>
      </c>
      <c r="I55" s="324">
        <v>72161</v>
      </c>
      <c r="J55" s="325"/>
      <c r="K55" s="325"/>
      <c r="L55" s="317">
        <v>76022.990000000005</v>
      </c>
      <c r="M55" s="318"/>
      <c r="N55" s="318"/>
      <c r="O55" s="318"/>
      <c r="P55" s="392">
        <f t="shared" si="8"/>
        <v>76022.990000000005</v>
      </c>
      <c r="Q55" s="392">
        <f t="shared" si="3"/>
        <v>0</v>
      </c>
      <c r="R55" s="392">
        <f t="shared" si="4"/>
        <v>0</v>
      </c>
      <c r="S55" s="568">
        <v>72161.100000000006</v>
      </c>
      <c r="T55" s="374"/>
      <c r="U55" s="524">
        <f t="shared" si="9"/>
        <v>0.10000000000582077</v>
      </c>
      <c r="V55" s="520">
        <f t="shared" si="10"/>
        <v>72161</v>
      </c>
      <c r="W55" s="520">
        <f t="shared" si="11"/>
        <v>72055.88139397341</v>
      </c>
      <c r="X55" s="520">
        <f t="shared" si="12"/>
        <v>105.11860602658999</v>
      </c>
      <c r="Y55" s="525">
        <f t="shared" si="13"/>
        <v>-4170.7479868367373</v>
      </c>
    </row>
    <row r="56" spans="3:25" x14ac:dyDescent="0.2">
      <c r="C56" s="387">
        <f t="shared" si="5"/>
        <v>42468</v>
      </c>
      <c r="D56" s="388">
        <f t="shared" si="6"/>
        <v>154264.93600000002</v>
      </c>
      <c r="E56" s="392">
        <f t="shared" si="7"/>
        <v>75614.97</v>
      </c>
      <c r="F56" s="428">
        <f t="shared" si="0"/>
        <v>0.90566036999999999</v>
      </c>
      <c r="G56" s="390">
        <f t="shared" si="1"/>
        <v>68.481499999999997</v>
      </c>
      <c r="H56" s="391">
        <f t="shared" si="2"/>
        <v>229949.29316037</v>
      </c>
      <c r="I56" s="324">
        <v>72161</v>
      </c>
      <c r="J56" s="325"/>
      <c r="K56" s="325"/>
      <c r="L56" s="319">
        <v>75614.97</v>
      </c>
      <c r="M56" s="320"/>
      <c r="N56" s="320"/>
      <c r="O56" s="320"/>
      <c r="P56" s="392">
        <f t="shared" si="8"/>
        <v>75614.97</v>
      </c>
      <c r="Q56" s="392">
        <f t="shared" si="3"/>
        <v>0</v>
      </c>
      <c r="R56" s="392">
        <f t="shared" si="4"/>
        <v>0</v>
      </c>
      <c r="S56" s="568">
        <v>72161.100000000006</v>
      </c>
      <c r="T56" s="374"/>
      <c r="U56" s="524">
        <f t="shared" si="9"/>
        <v>0.10000000000582077</v>
      </c>
      <c r="V56" s="520">
        <f t="shared" si="10"/>
        <v>72161</v>
      </c>
      <c r="W56" s="520">
        <f t="shared" si="11"/>
        <v>71669.153106564961</v>
      </c>
      <c r="X56" s="520">
        <f t="shared" si="12"/>
        <v>491.84689343503851</v>
      </c>
      <c r="Y56" s="525">
        <f t="shared" si="13"/>
        <v>-3678.9010934016987</v>
      </c>
    </row>
    <row r="57" spans="3:25" x14ac:dyDescent="0.2">
      <c r="C57" s="387">
        <f t="shared" si="5"/>
        <v>42469</v>
      </c>
      <c r="D57" s="388">
        <f t="shared" si="6"/>
        <v>154264.93600000002</v>
      </c>
      <c r="E57" s="392">
        <f t="shared" si="7"/>
        <v>74927.08</v>
      </c>
      <c r="F57" s="428">
        <f t="shared" si="0"/>
        <v>0.90566036999999999</v>
      </c>
      <c r="G57" s="390">
        <f t="shared" si="1"/>
        <v>67.858500000000006</v>
      </c>
      <c r="H57" s="391">
        <f t="shared" si="2"/>
        <v>229260.78016036999</v>
      </c>
      <c r="I57" s="324">
        <v>68261</v>
      </c>
      <c r="J57" s="325"/>
      <c r="K57" s="325"/>
      <c r="L57" s="317">
        <v>74927.08</v>
      </c>
      <c r="M57" s="318"/>
      <c r="N57" s="318"/>
      <c r="O57" s="318"/>
      <c r="P57" s="392">
        <f t="shared" si="8"/>
        <v>74927.08</v>
      </c>
      <c r="Q57" s="392">
        <f t="shared" si="3"/>
        <v>0</v>
      </c>
      <c r="R57" s="392">
        <f t="shared" si="4"/>
        <v>0</v>
      </c>
      <c r="S57" s="568">
        <v>68260.5</v>
      </c>
      <c r="T57" s="374"/>
      <c r="U57" s="524">
        <f t="shared" si="9"/>
        <v>-0.5</v>
      </c>
      <c r="V57" s="520">
        <f t="shared" si="10"/>
        <v>68261</v>
      </c>
      <c r="W57" s="520">
        <f t="shared" si="11"/>
        <v>71017.159278749183</v>
      </c>
      <c r="X57" s="520">
        <f t="shared" si="12"/>
        <v>-2756.1592787491827</v>
      </c>
      <c r="Y57" s="525">
        <f t="shared" si="13"/>
        <v>-6435.0603721508814</v>
      </c>
    </row>
    <row r="58" spans="3:25" x14ac:dyDescent="0.2">
      <c r="C58" s="387">
        <f t="shared" si="5"/>
        <v>42470</v>
      </c>
      <c r="D58" s="388">
        <f t="shared" si="6"/>
        <v>154264.93600000002</v>
      </c>
      <c r="E58" s="392">
        <f t="shared" si="7"/>
        <v>76261.429999999993</v>
      </c>
      <c r="F58" s="428">
        <f t="shared" si="0"/>
        <v>0.90566036999999999</v>
      </c>
      <c r="G58" s="390">
        <f t="shared" si="1"/>
        <v>69.066999999999993</v>
      </c>
      <c r="H58" s="391">
        <f t="shared" si="2"/>
        <v>230596.33866037001</v>
      </c>
      <c r="I58" s="324">
        <v>68261</v>
      </c>
      <c r="J58" s="325"/>
      <c r="K58" s="325"/>
      <c r="L58" s="319">
        <v>76261.429999999993</v>
      </c>
      <c r="M58" s="320"/>
      <c r="N58" s="320"/>
      <c r="O58" s="320"/>
      <c r="P58" s="392">
        <f t="shared" si="8"/>
        <v>76261.429999999993</v>
      </c>
      <c r="Q58" s="392">
        <f t="shared" si="3"/>
        <v>0</v>
      </c>
      <c r="R58" s="392">
        <f t="shared" si="4"/>
        <v>0</v>
      </c>
      <c r="S58" s="568">
        <v>68260.5</v>
      </c>
      <c r="T58" s="374"/>
      <c r="U58" s="524">
        <f t="shared" si="9"/>
        <v>-0.5</v>
      </c>
      <c r="V58" s="520">
        <f t="shared" si="10"/>
        <v>68261</v>
      </c>
      <c r="W58" s="520">
        <f t="shared" si="11"/>
        <v>72281.878876571471</v>
      </c>
      <c r="X58" s="520">
        <f t="shared" si="12"/>
        <v>-4020.8788765714708</v>
      </c>
      <c r="Y58" s="525">
        <f t="shared" si="13"/>
        <v>-10455.939248722352</v>
      </c>
    </row>
    <row r="59" spans="3:25" x14ac:dyDescent="0.2">
      <c r="C59" s="387">
        <f t="shared" si="5"/>
        <v>42471</v>
      </c>
      <c r="D59" s="388">
        <f t="shared" si="6"/>
        <v>154264.93600000002</v>
      </c>
      <c r="E59" s="392">
        <f t="shared" si="7"/>
        <v>76253.31</v>
      </c>
      <c r="F59" s="428">
        <f t="shared" si="0"/>
        <v>0.90566036999999999</v>
      </c>
      <c r="G59" s="390">
        <f t="shared" si="1"/>
        <v>69.059600000000003</v>
      </c>
      <c r="H59" s="391">
        <f t="shared" si="2"/>
        <v>230588.21126037001</v>
      </c>
      <c r="I59" s="324">
        <v>68261</v>
      </c>
      <c r="J59" s="325"/>
      <c r="K59" s="325"/>
      <c r="L59" s="317">
        <v>76253.31</v>
      </c>
      <c r="M59" s="318"/>
      <c r="N59" s="318"/>
      <c r="O59" s="318"/>
      <c r="P59" s="392">
        <f t="shared" si="8"/>
        <v>76253.31</v>
      </c>
      <c r="Q59" s="392">
        <f t="shared" si="3"/>
        <v>0</v>
      </c>
      <c r="R59" s="392">
        <f t="shared" si="4"/>
        <v>0</v>
      </c>
      <c r="S59" s="568">
        <v>68260.5</v>
      </c>
      <c r="T59" s="374"/>
      <c r="U59" s="524">
        <f t="shared" si="9"/>
        <v>-0.5</v>
      </c>
      <c r="V59" s="520">
        <f t="shared" si="10"/>
        <v>68261</v>
      </c>
      <c r="W59" s="520">
        <f t="shared" si="11"/>
        <v>72274.182602629618</v>
      </c>
      <c r="X59" s="520">
        <f t="shared" si="12"/>
        <v>-4013.1826026296185</v>
      </c>
      <c r="Y59" s="525">
        <f t="shared" si="13"/>
        <v>-14469.121851351971</v>
      </c>
    </row>
    <row r="60" spans="3:25" x14ac:dyDescent="0.2">
      <c r="C60" s="387">
        <f t="shared" si="5"/>
        <v>42472</v>
      </c>
      <c r="D60" s="388">
        <f t="shared" si="6"/>
        <v>154264.93600000002</v>
      </c>
      <c r="E60" s="392">
        <f t="shared" si="7"/>
        <v>76301.58</v>
      </c>
      <c r="F60" s="428">
        <f t="shared" si="0"/>
        <v>0.90566036999999999</v>
      </c>
      <c r="G60" s="390">
        <f t="shared" si="1"/>
        <v>69.103300000000004</v>
      </c>
      <c r="H60" s="391">
        <f t="shared" si="2"/>
        <v>230636.52496036998</v>
      </c>
      <c r="I60" s="324">
        <v>72161</v>
      </c>
      <c r="J60" s="325"/>
      <c r="K60" s="325"/>
      <c r="L60" s="319">
        <v>76301.58</v>
      </c>
      <c r="M60" s="320"/>
      <c r="N60" s="320"/>
      <c r="O60" s="320"/>
      <c r="P60" s="392">
        <f t="shared" si="8"/>
        <v>76301.58</v>
      </c>
      <c r="Q60" s="392">
        <f t="shared" si="3"/>
        <v>0</v>
      </c>
      <c r="R60" s="392">
        <f t="shared" si="4"/>
        <v>0</v>
      </c>
      <c r="S60" s="568">
        <v>72161.100000000006</v>
      </c>
      <c r="T60" s="374"/>
      <c r="U60" s="524">
        <f t="shared" si="9"/>
        <v>0.10000000000582077</v>
      </c>
      <c r="V60" s="520">
        <f t="shared" si="10"/>
        <v>72161</v>
      </c>
      <c r="W60" s="520">
        <f t="shared" si="11"/>
        <v>72319.933728636213</v>
      </c>
      <c r="X60" s="520">
        <f t="shared" si="12"/>
        <v>-158.93372863621335</v>
      </c>
      <c r="Y60" s="525">
        <f t="shared" si="13"/>
        <v>-14628.055579988184</v>
      </c>
    </row>
    <row r="61" spans="3:25" x14ac:dyDescent="0.2">
      <c r="C61" s="387">
        <f t="shared" si="5"/>
        <v>42473</v>
      </c>
      <c r="D61" s="388">
        <f t="shared" si="6"/>
        <v>154264.93600000002</v>
      </c>
      <c r="E61" s="392">
        <f t="shared" si="7"/>
        <v>74898.080000000002</v>
      </c>
      <c r="F61" s="428">
        <f t="shared" si="0"/>
        <v>0.90566036999999999</v>
      </c>
      <c r="G61" s="390">
        <f t="shared" si="1"/>
        <v>67.8322</v>
      </c>
      <c r="H61" s="391">
        <f t="shared" si="2"/>
        <v>229231.75386036999</v>
      </c>
      <c r="I61" s="324">
        <v>72161</v>
      </c>
      <c r="J61" s="325"/>
      <c r="K61" s="325"/>
      <c r="L61" s="317">
        <v>74898.080000000002</v>
      </c>
      <c r="M61" s="318"/>
      <c r="N61" s="318"/>
      <c r="O61" s="318"/>
      <c r="P61" s="392">
        <f t="shared" si="8"/>
        <v>74898.080000000002</v>
      </c>
      <c r="Q61" s="392">
        <f t="shared" si="3"/>
        <v>0</v>
      </c>
      <c r="R61" s="392">
        <f t="shared" si="4"/>
        <v>0</v>
      </c>
      <c r="S61" s="568">
        <v>72161.100000000006</v>
      </c>
      <c r="T61" s="374"/>
      <c r="U61" s="524">
        <f t="shared" si="9"/>
        <v>0.10000000000582077</v>
      </c>
      <c r="V61" s="520">
        <f t="shared" si="10"/>
        <v>72161</v>
      </c>
      <c r="W61" s="520">
        <f t="shared" si="11"/>
        <v>70989.672586099696</v>
      </c>
      <c r="X61" s="520">
        <f t="shared" si="12"/>
        <v>1171.3274139003042</v>
      </c>
      <c r="Y61" s="525">
        <f t="shared" si="13"/>
        <v>-13456.72816608788</v>
      </c>
    </row>
    <row r="62" spans="3:25" x14ac:dyDescent="0.2">
      <c r="C62" s="387">
        <f t="shared" si="5"/>
        <v>42474</v>
      </c>
      <c r="D62" s="388">
        <f t="shared" si="6"/>
        <v>154264.93600000002</v>
      </c>
      <c r="E62" s="392">
        <f t="shared" si="7"/>
        <v>70157.69</v>
      </c>
      <c r="F62" s="428">
        <f t="shared" si="0"/>
        <v>0.90566036999999999</v>
      </c>
      <c r="G62" s="390">
        <f t="shared" si="1"/>
        <v>63.539000000000001</v>
      </c>
      <c r="H62" s="391">
        <f t="shared" si="2"/>
        <v>224487.07066036999</v>
      </c>
      <c r="I62" s="324">
        <v>72161</v>
      </c>
      <c r="J62" s="325"/>
      <c r="K62" s="325"/>
      <c r="L62" s="319">
        <v>70157.69</v>
      </c>
      <c r="M62" s="320"/>
      <c r="N62" s="320"/>
      <c r="O62" s="320"/>
      <c r="P62" s="392">
        <f t="shared" si="8"/>
        <v>70157.69</v>
      </c>
      <c r="Q62" s="392">
        <f t="shared" si="3"/>
        <v>0</v>
      </c>
      <c r="R62" s="392">
        <f t="shared" si="4"/>
        <v>0</v>
      </c>
      <c r="S62" s="568">
        <v>72161.100000000006</v>
      </c>
      <c r="T62" s="374"/>
      <c r="U62" s="524">
        <f t="shared" si="9"/>
        <v>0.10000000000582077</v>
      </c>
      <c r="V62" s="520">
        <f t="shared" si="10"/>
        <v>72161</v>
      </c>
      <c r="W62" s="520">
        <f t="shared" si="11"/>
        <v>66496.650414764721</v>
      </c>
      <c r="X62" s="520">
        <f t="shared" si="12"/>
        <v>5664.3495852352789</v>
      </c>
      <c r="Y62" s="525">
        <f t="shared" si="13"/>
        <v>-7792.3785808526009</v>
      </c>
    </row>
    <row r="63" spans="3:25" x14ac:dyDescent="0.2">
      <c r="C63" s="387">
        <f t="shared" si="5"/>
        <v>42475</v>
      </c>
      <c r="D63" s="388">
        <f t="shared" si="6"/>
        <v>154264.93600000002</v>
      </c>
      <c r="E63" s="392">
        <f t="shared" si="7"/>
        <v>75694.899999999994</v>
      </c>
      <c r="F63" s="428">
        <f t="shared" si="0"/>
        <v>0.90566036999999999</v>
      </c>
      <c r="G63" s="390">
        <f t="shared" si="1"/>
        <v>68.553899999999999</v>
      </c>
      <c r="H63" s="391">
        <f t="shared" si="2"/>
        <v>230029.29556037</v>
      </c>
      <c r="I63" s="324">
        <v>72161</v>
      </c>
      <c r="J63" s="325"/>
      <c r="K63" s="325"/>
      <c r="L63" s="317">
        <v>75694.899999999994</v>
      </c>
      <c r="M63" s="318"/>
      <c r="N63" s="318"/>
      <c r="O63" s="318"/>
      <c r="P63" s="392">
        <f t="shared" si="8"/>
        <v>75694.899999999994</v>
      </c>
      <c r="Q63" s="392">
        <f t="shared" si="3"/>
        <v>0</v>
      </c>
      <c r="R63" s="392">
        <f t="shared" si="4"/>
        <v>0</v>
      </c>
      <c r="S63" s="568">
        <v>72161.100000000006</v>
      </c>
      <c r="T63" s="374"/>
      <c r="U63" s="524">
        <f t="shared" si="9"/>
        <v>0.10000000000582077</v>
      </c>
      <c r="V63" s="520">
        <f t="shared" si="10"/>
        <v>72161</v>
      </c>
      <c r="W63" s="520">
        <f t="shared" si="11"/>
        <v>71744.912118408873</v>
      </c>
      <c r="X63" s="520">
        <f t="shared" si="12"/>
        <v>416.08788159112737</v>
      </c>
      <c r="Y63" s="525">
        <f t="shared" si="13"/>
        <v>-7376.2906992614735</v>
      </c>
    </row>
    <row r="64" spans="3:25" x14ac:dyDescent="0.2">
      <c r="C64" s="387">
        <f t="shared" si="5"/>
        <v>42476</v>
      </c>
      <c r="D64" s="388">
        <f t="shared" si="6"/>
        <v>154264.93600000002</v>
      </c>
      <c r="E64" s="392">
        <f t="shared" si="7"/>
        <v>74189.490000000005</v>
      </c>
      <c r="F64" s="428">
        <f t="shared" si="0"/>
        <v>0.90566036999999999</v>
      </c>
      <c r="G64" s="390">
        <f t="shared" si="1"/>
        <v>67.1905</v>
      </c>
      <c r="H64" s="391">
        <f t="shared" si="2"/>
        <v>228522.52216037002</v>
      </c>
      <c r="I64" s="324">
        <v>70211</v>
      </c>
      <c r="J64" s="325"/>
      <c r="K64" s="325"/>
      <c r="L64" s="319">
        <v>74189.490000000005</v>
      </c>
      <c r="M64" s="320"/>
      <c r="N64" s="320"/>
      <c r="O64" s="320"/>
      <c r="P64" s="392">
        <f t="shared" si="8"/>
        <v>74189.490000000005</v>
      </c>
      <c r="Q64" s="392">
        <f t="shared" si="3"/>
        <v>0</v>
      </c>
      <c r="R64" s="392">
        <f t="shared" si="4"/>
        <v>0</v>
      </c>
      <c r="S64" s="568">
        <v>70210.8</v>
      </c>
      <c r="T64" s="374"/>
      <c r="U64" s="524">
        <f t="shared" si="9"/>
        <v>-0.19999999999708962</v>
      </c>
      <c r="V64" s="520">
        <f t="shared" si="10"/>
        <v>70211</v>
      </c>
      <c r="W64" s="520">
        <f t="shared" si="11"/>
        <v>70318.058946634119</v>
      </c>
      <c r="X64" s="520">
        <f t="shared" si="12"/>
        <v>-107.05894663411891</v>
      </c>
      <c r="Y64" s="525">
        <f t="shared" si="13"/>
        <v>-7483.3496458955924</v>
      </c>
    </row>
    <row r="65" spans="3:38" x14ac:dyDescent="0.2">
      <c r="C65" s="387">
        <f t="shared" si="5"/>
        <v>42477</v>
      </c>
      <c r="D65" s="388">
        <f t="shared" si="6"/>
        <v>154264.93600000002</v>
      </c>
      <c r="E65" s="392">
        <f t="shared" si="7"/>
        <v>73752.98</v>
      </c>
      <c r="F65" s="428">
        <f t="shared" si="0"/>
        <v>0.90566036999999999</v>
      </c>
      <c r="G65" s="390">
        <f t="shared" si="1"/>
        <v>66.795199999999994</v>
      </c>
      <c r="H65" s="391">
        <f t="shared" si="2"/>
        <v>228085.61686037001</v>
      </c>
      <c r="I65" s="324">
        <v>70211</v>
      </c>
      <c r="J65" s="325"/>
      <c r="K65" s="325"/>
      <c r="L65" s="317">
        <v>73752.98</v>
      </c>
      <c r="M65" s="318"/>
      <c r="N65" s="318"/>
      <c r="O65" s="318"/>
      <c r="P65" s="392">
        <f t="shared" si="8"/>
        <v>73752.98</v>
      </c>
      <c r="Q65" s="392">
        <f t="shared" si="3"/>
        <v>0</v>
      </c>
      <c r="R65" s="392">
        <f t="shared" si="4"/>
        <v>0</v>
      </c>
      <c r="S65" s="568">
        <v>70210.8</v>
      </c>
      <c r="T65" s="374"/>
      <c r="U65" s="524">
        <f t="shared" si="9"/>
        <v>-0.19999999999708962</v>
      </c>
      <c r="V65" s="520">
        <f t="shared" si="10"/>
        <v>70211</v>
      </c>
      <c r="W65" s="520">
        <f t="shared" si="11"/>
        <v>69904.32735324002</v>
      </c>
      <c r="X65" s="520">
        <f t="shared" si="12"/>
        <v>306.67264675998013</v>
      </c>
      <c r="Y65" s="525">
        <f t="shared" si="13"/>
        <v>-7176.6769991356123</v>
      </c>
    </row>
    <row r="66" spans="3:38" x14ac:dyDescent="0.2">
      <c r="C66" s="387">
        <f t="shared" si="5"/>
        <v>42478</v>
      </c>
      <c r="D66" s="388">
        <f t="shared" si="6"/>
        <v>154264.93600000002</v>
      </c>
      <c r="E66" s="392">
        <f t="shared" si="7"/>
        <v>74056.649999999994</v>
      </c>
      <c r="F66" s="428">
        <f t="shared" si="0"/>
        <v>0.90566036999999999</v>
      </c>
      <c r="G66" s="390">
        <f t="shared" si="1"/>
        <v>67.0702</v>
      </c>
      <c r="H66" s="391">
        <f t="shared" si="2"/>
        <v>228389.56186036998</v>
      </c>
      <c r="I66" s="324">
        <v>70211</v>
      </c>
      <c r="J66" s="325"/>
      <c r="K66" s="325"/>
      <c r="L66" s="319">
        <v>74056.649999999994</v>
      </c>
      <c r="M66" s="320"/>
      <c r="N66" s="320"/>
      <c r="O66" s="320"/>
      <c r="P66" s="392">
        <f t="shared" si="8"/>
        <v>74056.649999999994</v>
      </c>
      <c r="Q66" s="392">
        <f t="shared" si="3"/>
        <v>0</v>
      </c>
      <c r="R66" s="392">
        <f t="shared" si="4"/>
        <v>0</v>
      </c>
      <c r="S66" s="568">
        <v>70210.8</v>
      </c>
      <c r="T66" s="374"/>
      <c r="U66" s="524">
        <f t="shared" si="9"/>
        <v>-0.19999999999708962</v>
      </c>
      <c r="V66" s="520">
        <f t="shared" si="10"/>
        <v>70211</v>
      </c>
      <c r="W66" s="520">
        <f t="shared" si="11"/>
        <v>70192.150937959683</v>
      </c>
      <c r="X66" s="520">
        <f t="shared" si="12"/>
        <v>18.849062040317222</v>
      </c>
      <c r="Y66" s="525">
        <f t="shared" si="13"/>
        <v>-7157.8279370952951</v>
      </c>
    </row>
    <row r="67" spans="3:38" x14ac:dyDescent="0.2">
      <c r="C67" s="387">
        <f t="shared" si="5"/>
        <v>42479</v>
      </c>
      <c r="D67" s="388">
        <f t="shared" si="6"/>
        <v>154264.93600000002</v>
      </c>
      <c r="E67" s="392">
        <f t="shared" si="7"/>
        <v>71925.2</v>
      </c>
      <c r="F67" s="428">
        <f t="shared" si="0"/>
        <v>0.90566036999999999</v>
      </c>
      <c r="G67" s="390">
        <f t="shared" si="1"/>
        <v>65.139799999999994</v>
      </c>
      <c r="H67" s="391">
        <f t="shared" si="2"/>
        <v>226256.18146036999</v>
      </c>
      <c r="I67" s="324">
        <v>70211</v>
      </c>
      <c r="J67" s="325"/>
      <c r="K67" s="325"/>
      <c r="L67" s="317">
        <v>71925.2</v>
      </c>
      <c r="M67" s="318"/>
      <c r="N67" s="318"/>
      <c r="O67" s="318"/>
      <c r="P67" s="392">
        <f t="shared" si="8"/>
        <v>71925.2</v>
      </c>
      <c r="Q67" s="392">
        <f t="shared" si="3"/>
        <v>0</v>
      </c>
      <c r="R67" s="392">
        <f t="shared" si="4"/>
        <v>0</v>
      </c>
      <c r="S67" s="568">
        <v>72161.100000000006</v>
      </c>
      <c r="T67" s="374"/>
      <c r="U67" s="524">
        <f t="shared" si="9"/>
        <v>1950.1000000000058</v>
      </c>
      <c r="V67" s="520">
        <f t="shared" si="10"/>
        <v>70211</v>
      </c>
      <c r="W67" s="520">
        <f t="shared" si="11"/>
        <v>68171.926419071591</v>
      </c>
      <c r="X67" s="520">
        <f t="shared" si="12"/>
        <v>2039.0735809284088</v>
      </c>
      <c r="Y67" s="525">
        <f t="shared" si="13"/>
        <v>-5118.7543561668863</v>
      </c>
    </row>
    <row r="68" spans="3:38" x14ac:dyDescent="0.2">
      <c r="C68" s="387">
        <f t="shared" si="5"/>
        <v>42480</v>
      </c>
      <c r="D68" s="388">
        <f t="shared" si="6"/>
        <v>154264.93600000002</v>
      </c>
      <c r="E68" s="392">
        <f t="shared" si="7"/>
        <v>73658.649999999994</v>
      </c>
      <c r="F68" s="428">
        <f t="shared" si="0"/>
        <v>0.90566036999999999</v>
      </c>
      <c r="G68" s="390">
        <f t="shared" si="1"/>
        <v>66.709699999999998</v>
      </c>
      <c r="H68" s="391">
        <f t="shared" si="2"/>
        <v>227991.20136037</v>
      </c>
      <c r="I68" s="324">
        <v>72161</v>
      </c>
      <c r="J68" s="325"/>
      <c r="K68" s="325"/>
      <c r="L68" s="319">
        <v>73658.649999999994</v>
      </c>
      <c r="M68" s="320"/>
      <c r="N68" s="320"/>
      <c r="O68" s="320"/>
      <c r="P68" s="392">
        <f t="shared" si="8"/>
        <v>73658.649999999994</v>
      </c>
      <c r="Q68" s="392">
        <f t="shared" si="3"/>
        <v>0</v>
      </c>
      <c r="R68" s="392">
        <f t="shared" si="4"/>
        <v>0</v>
      </c>
      <c r="S68" s="568">
        <v>72161.100000000006</v>
      </c>
      <c r="T68" s="374"/>
      <c r="U68" s="524">
        <f t="shared" si="9"/>
        <v>0.10000000000582077</v>
      </c>
      <c r="V68" s="520">
        <f t="shared" si="10"/>
        <v>72161</v>
      </c>
      <c r="W68" s="520">
        <f t="shared" si="11"/>
        <v>69814.919776770141</v>
      </c>
      <c r="X68" s="520">
        <f t="shared" si="12"/>
        <v>2346.0802232298593</v>
      </c>
      <c r="Y68" s="525">
        <f t="shared" si="13"/>
        <v>-2772.674132937027</v>
      </c>
    </row>
    <row r="69" spans="3:38" x14ac:dyDescent="0.2">
      <c r="C69" s="387">
        <f t="shared" si="5"/>
        <v>42481</v>
      </c>
      <c r="D69" s="388">
        <f t="shared" si="6"/>
        <v>154264.93600000002</v>
      </c>
      <c r="E69" s="392">
        <f t="shared" si="7"/>
        <v>73338.320000000007</v>
      </c>
      <c r="F69" s="428">
        <f t="shared" si="0"/>
        <v>0.90566036999999999</v>
      </c>
      <c r="G69" s="390">
        <f t="shared" si="1"/>
        <v>66.419600000000003</v>
      </c>
      <c r="H69" s="391">
        <f t="shared" si="2"/>
        <v>227670.58126037</v>
      </c>
      <c r="I69" s="324">
        <v>72955</v>
      </c>
      <c r="J69" s="325"/>
      <c r="K69" s="325"/>
      <c r="L69" s="317">
        <v>73338.320000000007</v>
      </c>
      <c r="M69" s="318"/>
      <c r="N69" s="318"/>
      <c r="O69" s="318"/>
      <c r="P69" s="392">
        <f t="shared" si="8"/>
        <v>73338.320000000007</v>
      </c>
      <c r="Q69" s="392">
        <f t="shared" si="3"/>
        <v>0</v>
      </c>
      <c r="R69" s="392">
        <f t="shared" si="4"/>
        <v>0</v>
      </c>
      <c r="S69" s="568">
        <v>72954.87</v>
      </c>
      <c r="T69" s="374"/>
      <c r="U69" s="524">
        <f t="shared" si="9"/>
        <v>-0.13000000000465661</v>
      </c>
      <c r="V69" s="520">
        <f t="shared" si="10"/>
        <v>72955</v>
      </c>
      <c r="W69" s="520">
        <f t="shared" si="11"/>
        <v>69511.305561031841</v>
      </c>
      <c r="X69" s="520">
        <f t="shared" si="12"/>
        <v>3443.6944389681594</v>
      </c>
      <c r="Y69" s="525">
        <f t="shared" si="13"/>
        <v>671.02030603113235</v>
      </c>
    </row>
    <row r="70" spans="3:38" x14ac:dyDescent="0.2">
      <c r="C70" s="387">
        <f t="shared" si="5"/>
        <v>42482</v>
      </c>
      <c r="D70" s="388">
        <f t="shared" si="6"/>
        <v>154264.93600000002</v>
      </c>
      <c r="E70" s="392">
        <f t="shared" si="7"/>
        <v>73311.870999999999</v>
      </c>
      <c r="F70" s="428">
        <f t="shared" si="0"/>
        <v>0.90566036999999999</v>
      </c>
      <c r="G70" s="390">
        <f t="shared" si="1"/>
        <v>66.395700000000005</v>
      </c>
      <c r="H70" s="391">
        <f t="shared" si="2"/>
        <v>227644.10836037001</v>
      </c>
      <c r="I70" s="324">
        <v>72955</v>
      </c>
      <c r="J70" s="325"/>
      <c r="K70" s="325"/>
      <c r="L70" s="319">
        <v>73311.870999999999</v>
      </c>
      <c r="M70" s="320"/>
      <c r="N70" s="320"/>
      <c r="O70" s="320"/>
      <c r="P70" s="392">
        <f t="shared" si="8"/>
        <v>73311.870999999999</v>
      </c>
      <c r="Q70" s="392">
        <f t="shared" si="3"/>
        <v>0</v>
      </c>
      <c r="R70" s="392">
        <f t="shared" si="4"/>
        <v>0</v>
      </c>
      <c r="S70" s="568">
        <v>72954.87</v>
      </c>
      <c r="T70" s="374"/>
      <c r="U70" s="524">
        <f t="shared" si="9"/>
        <v>-0.13000000000465661</v>
      </c>
      <c r="V70" s="520">
        <f t="shared" si="10"/>
        <v>72955</v>
      </c>
      <c r="W70" s="520">
        <f t="shared" si="11"/>
        <v>69486.236749518503</v>
      </c>
      <c r="X70" s="520">
        <f t="shared" si="12"/>
        <v>3468.7632504814974</v>
      </c>
      <c r="Y70" s="525">
        <f t="shared" si="13"/>
        <v>4139.7835565126297</v>
      </c>
    </row>
    <row r="71" spans="3:38" x14ac:dyDescent="0.2">
      <c r="C71" s="387">
        <f t="shared" si="5"/>
        <v>42483</v>
      </c>
      <c r="D71" s="388">
        <f t="shared" si="6"/>
        <v>154264.93600000002</v>
      </c>
      <c r="E71" s="392">
        <f t="shared" si="7"/>
        <v>73212.142000000007</v>
      </c>
      <c r="F71" s="428">
        <f t="shared" si="0"/>
        <v>0.90566036999999999</v>
      </c>
      <c r="G71" s="390">
        <f t="shared" si="1"/>
        <v>66.305300000000003</v>
      </c>
      <c r="H71" s="391">
        <f t="shared" si="2"/>
        <v>227544.28896037003</v>
      </c>
      <c r="I71" s="324">
        <v>72955</v>
      </c>
      <c r="J71" s="325"/>
      <c r="K71" s="325"/>
      <c r="L71" s="317">
        <v>73212.142000000007</v>
      </c>
      <c r="M71" s="318"/>
      <c r="N71" s="318"/>
      <c r="O71" s="318"/>
      <c r="P71" s="392">
        <f t="shared" si="8"/>
        <v>73212.142000000007</v>
      </c>
      <c r="Q71" s="392">
        <f t="shared" si="3"/>
        <v>0</v>
      </c>
      <c r="R71" s="392">
        <f t="shared" si="4"/>
        <v>0</v>
      </c>
      <c r="S71" s="568">
        <v>72954.87</v>
      </c>
      <c r="T71" s="374"/>
      <c r="U71" s="524">
        <f t="shared" si="9"/>
        <v>-0.13000000000465661</v>
      </c>
      <c r="V71" s="520">
        <f t="shared" si="10"/>
        <v>72955</v>
      </c>
      <c r="W71" s="520">
        <f t="shared" si="11"/>
        <v>69391.7119091309</v>
      </c>
      <c r="X71" s="520">
        <f t="shared" si="12"/>
        <v>3563.2880908691004</v>
      </c>
      <c r="Y71" s="525">
        <f t="shared" si="13"/>
        <v>7703.0716473817301</v>
      </c>
    </row>
    <row r="72" spans="3:38" x14ac:dyDescent="0.2">
      <c r="C72" s="387">
        <f t="shared" si="5"/>
        <v>42484</v>
      </c>
      <c r="D72" s="388">
        <f t="shared" si="6"/>
        <v>154264.93600000002</v>
      </c>
      <c r="E72" s="392">
        <f t="shared" si="7"/>
        <v>74523.88</v>
      </c>
      <c r="F72" s="428">
        <f t="shared" si="0"/>
        <v>0.90566036999999999</v>
      </c>
      <c r="G72" s="390">
        <f t="shared" si="1"/>
        <v>67.493300000000005</v>
      </c>
      <c r="H72" s="391">
        <f t="shared" si="2"/>
        <v>228857.21496037001</v>
      </c>
      <c r="I72" s="324">
        <v>72955</v>
      </c>
      <c r="J72" s="325"/>
      <c r="K72" s="325"/>
      <c r="L72" s="319">
        <v>74523.88</v>
      </c>
      <c r="M72" s="320"/>
      <c r="N72" s="320"/>
      <c r="O72" s="320"/>
      <c r="P72" s="392">
        <f t="shared" si="8"/>
        <v>74523.88</v>
      </c>
      <c r="Q72" s="392">
        <f t="shared" si="3"/>
        <v>0</v>
      </c>
      <c r="R72" s="392">
        <f t="shared" si="4"/>
        <v>0</v>
      </c>
      <c r="S72" s="568">
        <v>72954.87</v>
      </c>
      <c r="T72" s="374"/>
      <c r="U72" s="524">
        <f t="shared" si="9"/>
        <v>-0.13000000000465661</v>
      </c>
      <c r="V72" s="520">
        <f t="shared" si="10"/>
        <v>72955</v>
      </c>
      <c r="W72" s="520">
        <f t="shared" si="11"/>
        <v>70634.999469222486</v>
      </c>
      <c r="X72" s="520">
        <f t="shared" si="12"/>
        <v>2320.0005307775136</v>
      </c>
      <c r="Y72" s="525">
        <f t="shared" si="13"/>
        <v>10023.072178159244</v>
      </c>
    </row>
    <row r="73" spans="3:38" x14ac:dyDescent="0.2">
      <c r="C73" s="387">
        <f t="shared" si="5"/>
        <v>42485</v>
      </c>
      <c r="D73" s="388">
        <f t="shared" si="6"/>
        <v>154264.93600000002</v>
      </c>
      <c r="E73" s="392">
        <f t="shared" si="7"/>
        <v>76416.95</v>
      </c>
      <c r="F73" s="428">
        <f t="shared" si="0"/>
        <v>0.90566036999999999</v>
      </c>
      <c r="G73" s="390">
        <f t="shared" si="1"/>
        <v>69.207800000000006</v>
      </c>
      <c r="H73" s="391">
        <f t="shared" si="2"/>
        <v>230751.99946036999</v>
      </c>
      <c r="I73" s="324">
        <v>72955</v>
      </c>
      <c r="J73" s="325"/>
      <c r="K73" s="325"/>
      <c r="L73" s="317">
        <v>76416.95</v>
      </c>
      <c r="M73" s="318"/>
      <c r="N73" s="318"/>
      <c r="O73" s="318"/>
      <c r="P73" s="392">
        <f t="shared" si="8"/>
        <v>76416.95</v>
      </c>
      <c r="Q73" s="392">
        <f t="shared" si="3"/>
        <v>0</v>
      </c>
      <c r="R73" s="392">
        <f t="shared" si="4"/>
        <v>0</v>
      </c>
      <c r="S73" s="568">
        <v>72954.87</v>
      </c>
      <c r="T73" s="374"/>
      <c r="U73" s="524">
        <f t="shared" si="9"/>
        <v>-0.13000000000465661</v>
      </c>
      <c r="V73" s="520">
        <f t="shared" si="10"/>
        <v>72955</v>
      </c>
      <c r="W73" s="520">
        <f t="shared" si="11"/>
        <v>72429.283374531777</v>
      </c>
      <c r="X73" s="520">
        <f t="shared" si="12"/>
        <v>525.71662546822336</v>
      </c>
      <c r="Y73" s="525">
        <f t="shared" si="13"/>
        <v>10548.788803627467</v>
      </c>
    </row>
    <row r="74" spans="3:38" x14ac:dyDescent="0.2">
      <c r="C74" s="387">
        <f t="shared" si="5"/>
        <v>42486</v>
      </c>
      <c r="D74" s="388">
        <f t="shared" si="6"/>
        <v>154264.93600000002</v>
      </c>
      <c r="E74" s="392">
        <f t="shared" si="7"/>
        <v>76484.381999999998</v>
      </c>
      <c r="F74" s="428">
        <f t="shared" si="0"/>
        <v>0.90566036999999999</v>
      </c>
      <c r="G74" s="390">
        <f t="shared" si="1"/>
        <v>69.268900000000002</v>
      </c>
      <c r="H74" s="391">
        <f t="shared" si="2"/>
        <v>230819.49256037001</v>
      </c>
      <c r="I74" s="324">
        <v>72955</v>
      </c>
      <c r="J74" s="325"/>
      <c r="K74" s="325"/>
      <c r="L74" s="319">
        <v>76484.381999999998</v>
      </c>
      <c r="M74" s="320"/>
      <c r="N74" s="320"/>
      <c r="O74" s="320"/>
      <c r="P74" s="392">
        <f t="shared" si="8"/>
        <v>76484.381999999998</v>
      </c>
      <c r="Q74" s="392">
        <f t="shared" si="3"/>
        <v>0</v>
      </c>
      <c r="R74" s="392">
        <f t="shared" si="4"/>
        <v>0</v>
      </c>
      <c r="S74" s="568">
        <v>72954.87</v>
      </c>
      <c r="T74" s="374"/>
      <c r="U74" s="524">
        <f t="shared" si="9"/>
        <v>-0.13000000000465661</v>
      </c>
      <c r="V74" s="520">
        <f t="shared" si="10"/>
        <v>72955</v>
      </c>
      <c r="W74" s="520">
        <f t="shared" si="11"/>
        <v>72493.196569660751</v>
      </c>
      <c r="X74" s="520">
        <f t="shared" si="12"/>
        <v>461.80343033924873</v>
      </c>
      <c r="Y74" s="525">
        <f t="shared" si="13"/>
        <v>11010.592233966716</v>
      </c>
    </row>
    <row r="75" spans="3:38" x14ac:dyDescent="0.2">
      <c r="C75" s="387">
        <f t="shared" si="5"/>
        <v>42487</v>
      </c>
      <c r="D75" s="388">
        <f t="shared" si="6"/>
        <v>154264.93600000002</v>
      </c>
      <c r="E75" s="392">
        <f t="shared" si="7"/>
        <v>75920.02</v>
      </c>
      <c r="F75" s="428">
        <f t="shared" si="0"/>
        <v>0.90566036999999999</v>
      </c>
      <c r="G75" s="390">
        <f t="shared" si="1"/>
        <v>68.757800000000003</v>
      </c>
      <c r="H75" s="391">
        <f t="shared" si="2"/>
        <v>230254.61946036998</v>
      </c>
      <c r="I75" s="324">
        <v>72955</v>
      </c>
      <c r="J75" s="325"/>
      <c r="K75" s="325"/>
      <c r="L75" s="317">
        <v>75920.02</v>
      </c>
      <c r="M75" s="318"/>
      <c r="N75" s="318"/>
      <c r="O75" s="318"/>
      <c r="P75" s="392">
        <f t="shared" si="8"/>
        <v>75920.02</v>
      </c>
      <c r="Q75" s="392">
        <f t="shared" si="3"/>
        <v>0</v>
      </c>
      <c r="R75" s="392">
        <f t="shared" si="4"/>
        <v>0</v>
      </c>
      <c r="S75" s="568">
        <v>72954.87</v>
      </c>
      <c r="T75" s="374"/>
      <c r="U75" s="524">
        <f t="shared" si="9"/>
        <v>-0.13000000000465661</v>
      </c>
      <c r="V75" s="520">
        <f t="shared" si="10"/>
        <v>72955</v>
      </c>
      <c r="W75" s="520">
        <f t="shared" si="11"/>
        <v>71958.284678727956</v>
      </c>
      <c r="X75" s="520">
        <f t="shared" si="12"/>
        <v>996.71532127204409</v>
      </c>
      <c r="Y75" s="525">
        <f t="shared" si="13"/>
        <v>12007.30755523876</v>
      </c>
    </row>
    <row r="76" spans="3:38" x14ac:dyDescent="0.2">
      <c r="C76" s="387">
        <f t="shared" si="5"/>
        <v>42488</v>
      </c>
      <c r="D76" s="388">
        <f t="shared" si="6"/>
        <v>154264.93600000002</v>
      </c>
      <c r="E76" s="392">
        <f t="shared" si="7"/>
        <v>75975.45</v>
      </c>
      <c r="F76" s="428">
        <f t="shared" si="0"/>
        <v>0.90566036999999999</v>
      </c>
      <c r="G76" s="390">
        <f t="shared" si="1"/>
        <v>68.808000000000007</v>
      </c>
      <c r="H76" s="391">
        <f t="shared" si="2"/>
        <v>230310.09966036998</v>
      </c>
      <c r="I76" s="324">
        <v>72955</v>
      </c>
      <c r="J76" s="325"/>
      <c r="K76" s="325"/>
      <c r="L76" s="319">
        <v>75975.45</v>
      </c>
      <c r="M76" s="320"/>
      <c r="N76" s="320"/>
      <c r="O76" s="320"/>
      <c r="P76" s="392">
        <f t="shared" si="8"/>
        <v>75975.45</v>
      </c>
      <c r="Q76" s="392">
        <f t="shared" si="3"/>
        <v>0</v>
      </c>
      <c r="R76" s="392">
        <f t="shared" si="4"/>
        <v>0</v>
      </c>
      <c r="S76" s="568">
        <v>72954.87</v>
      </c>
      <c r="T76" s="374"/>
      <c r="U76" s="524">
        <f t="shared" si="9"/>
        <v>-0.13000000000465661</v>
      </c>
      <c r="V76" s="520">
        <f t="shared" si="10"/>
        <v>72955</v>
      </c>
      <c r="W76" s="520">
        <f t="shared" si="11"/>
        <v>72010.82217436799</v>
      </c>
      <c r="X76" s="520">
        <f t="shared" si="12"/>
        <v>944.17782563201035</v>
      </c>
      <c r="Y76" s="525">
        <f t="shared" si="13"/>
        <v>12951.48538087077</v>
      </c>
    </row>
    <row r="77" spans="3:38" x14ac:dyDescent="0.2">
      <c r="C77" s="387">
        <f t="shared" si="5"/>
        <v>42489</v>
      </c>
      <c r="D77" s="388">
        <f t="shared" si="6"/>
        <v>154264.93600000002</v>
      </c>
      <c r="E77" s="392">
        <f t="shared" si="7"/>
        <v>74486.25</v>
      </c>
      <c r="F77" s="428">
        <f t="shared" si="0"/>
        <v>0.90566036999999999</v>
      </c>
      <c r="G77" s="390">
        <f t="shared" si="1"/>
        <v>67.459199999999996</v>
      </c>
      <c r="H77" s="391">
        <f t="shared" si="2"/>
        <v>228819.55086037001</v>
      </c>
      <c r="I77" s="324">
        <v>72955</v>
      </c>
      <c r="J77" s="325"/>
      <c r="K77" s="325"/>
      <c r="L77" s="317">
        <v>74486.25</v>
      </c>
      <c r="M77" s="318"/>
      <c r="N77" s="318"/>
      <c r="O77" s="318"/>
      <c r="P77" s="392">
        <f t="shared" si="8"/>
        <v>74486.25</v>
      </c>
      <c r="Q77" s="392">
        <f t="shared" si="3"/>
        <v>0</v>
      </c>
      <c r="R77" s="392">
        <f t="shared" si="4"/>
        <v>0</v>
      </c>
      <c r="S77" s="568">
        <v>72954.87</v>
      </c>
      <c r="T77" s="374"/>
      <c r="U77" s="524">
        <f t="shared" si="9"/>
        <v>-0.13000000000465661</v>
      </c>
      <c r="V77" s="520">
        <f t="shared" si="10"/>
        <v>72955</v>
      </c>
      <c r="W77" s="520">
        <f t="shared" si="11"/>
        <v>70599.333115967311</v>
      </c>
      <c r="X77" s="520">
        <f t="shared" si="12"/>
        <v>2355.6668840326893</v>
      </c>
      <c r="Y77" s="525">
        <f t="shared" si="13"/>
        <v>15307.15226490346</v>
      </c>
    </row>
    <row r="78" spans="3:38" x14ac:dyDescent="0.2">
      <c r="C78" s="387">
        <f t="shared" si="5"/>
        <v>42490</v>
      </c>
      <c r="D78" s="388">
        <f t="shared" si="6"/>
        <v>154264.93600000002</v>
      </c>
      <c r="E78" s="392">
        <f t="shared" si="7"/>
        <v>73682.0625</v>
      </c>
      <c r="F78" s="428">
        <f t="shared" si="0"/>
        <v>0.90566036999999999</v>
      </c>
      <c r="G78" s="390">
        <f t="shared" si="1"/>
        <v>66.730900000000005</v>
      </c>
      <c r="H78" s="391">
        <f t="shared" si="2"/>
        <v>228014.63506037</v>
      </c>
      <c r="I78" s="324">
        <v>72955</v>
      </c>
      <c r="J78" s="325"/>
      <c r="K78" s="325"/>
      <c r="L78" s="319">
        <v>73682.0625</v>
      </c>
      <c r="M78" s="320"/>
      <c r="N78" s="320"/>
      <c r="O78" s="320"/>
      <c r="P78" s="392">
        <f t="shared" si="8"/>
        <v>73682.0625</v>
      </c>
      <c r="Q78" s="392">
        <f t="shared" si="3"/>
        <v>0</v>
      </c>
      <c r="R78" s="392">
        <f t="shared" si="4"/>
        <v>0</v>
      </c>
      <c r="S78" s="568">
        <v>72954.87</v>
      </c>
      <c r="T78" s="374"/>
      <c r="U78" s="524">
        <f t="shared" si="9"/>
        <v>-0.13000000000465661</v>
      </c>
      <c r="V78" s="520">
        <f t="shared" si="10"/>
        <v>72955</v>
      </c>
      <c r="W78" s="520">
        <f t="shared" si="11"/>
        <v>69837.11054199966</v>
      </c>
      <c r="X78" s="520">
        <f t="shared" si="12"/>
        <v>3117.8894580003398</v>
      </c>
      <c r="Y78" s="525">
        <f t="shared" si="13"/>
        <v>18425.041722903799</v>
      </c>
    </row>
    <row r="79" spans="3:38" ht="15" thickBot="1" x14ac:dyDescent="0.25">
      <c r="C79" s="393"/>
      <c r="D79" s="394"/>
      <c r="E79" s="395"/>
      <c r="F79" s="429"/>
      <c r="G79" s="396"/>
      <c r="H79" s="397"/>
      <c r="I79" s="326"/>
      <c r="J79" s="327"/>
      <c r="K79" s="327"/>
      <c r="L79" s="321"/>
      <c r="M79" s="322"/>
      <c r="N79" s="322"/>
      <c r="O79" s="322"/>
      <c r="P79" s="395"/>
      <c r="Q79" s="395"/>
      <c r="R79" s="395"/>
      <c r="S79" s="569"/>
      <c r="T79" s="376"/>
      <c r="U79" s="379"/>
      <c r="V79" s="380"/>
      <c r="W79" s="379"/>
      <c r="X79" s="380"/>
      <c r="Y79" s="381"/>
    </row>
    <row r="80" spans="3:38" ht="15" thickBot="1" x14ac:dyDescent="0.25">
      <c r="C80" s="398"/>
      <c r="D80" s="399">
        <f>SUM(D49:D79)</f>
        <v>4627948.0800000029</v>
      </c>
      <c r="E80" s="400">
        <f>SUM(E49:E79)</f>
        <v>2239008.1475</v>
      </c>
      <c r="F80" s="400"/>
      <c r="G80" s="401">
        <f>SUM(G49:G79)</f>
        <v>2027.7811999999999</v>
      </c>
      <c r="H80" s="399">
        <f>SUM(H49:H79)</f>
        <v>6869011.1785110999</v>
      </c>
      <c r="I80" s="432">
        <f>SUM(I49:I79)</f>
        <v>2140595</v>
      </c>
      <c r="J80" s="432">
        <f t="shared" ref="J80:R80" si="14">SUM(J49:J79)</f>
        <v>0</v>
      </c>
      <c r="K80" s="432">
        <f t="shared" si="14"/>
        <v>0</v>
      </c>
      <c r="L80" s="432">
        <f t="shared" si="14"/>
        <v>2239008.1475</v>
      </c>
      <c r="M80" s="432">
        <f t="shared" si="14"/>
        <v>0</v>
      </c>
      <c r="N80" s="432">
        <f t="shared" si="14"/>
        <v>0</v>
      </c>
      <c r="O80" s="432">
        <f t="shared" si="14"/>
        <v>0</v>
      </c>
      <c r="P80" s="432">
        <f t="shared" si="14"/>
        <v>2239008.1475</v>
      </c>
      <c r="Q80" s="432">
        <f t="shared" si="14"/>
        <v>0</v>
      </c>
      <c r="R80" s="432">
        <f t="shared" si="14"/>
        <v>0</v>
      </c>
      <c r="S80" s="570">
        <f>SUM(S49:S79)</f>
        <v>2142541.0500000012</v>
      </c>
      <c r="U80" s="1"/>
      <c r="V80" s="328">
        <f>SUM(V49:V79)</f>
        <v>2140595</v>
      </c>
      <c r="W80" s="328">
        <f>SUM(W49:W79)</f>
        <v>2122169.958277096</v>
      </c>
      <c r="X80" s="328">
        <f>SUM(X49:X79)</f>
        <v>18425.041722903799</v>
      </c>
      <c r="Y80" s="323">
        <f>Y78</f>
        <v>18425.041722903799</v>
      </c>
      <c r="AL80" s="361">
        <f>Y79</f>
        <v>0</v>
      </c>
    </row>
    <row r="81" spans="2:14" ht="15" customHeight="1" x14ac:dyDescent="0.2">
      <c r="B81"/>
      <c r="C81"/>
      <c r="D81"/>
      <c r="E81"/>
      <c r="F81"/>
      <c r="G81"/>
      <c r="H81"/>
      <c r="I81"/>
      <c r="J81"/>
      <c r="K81"/>
      <c r="L81"/>
      <c r="N81" s="2"/>
    </row>
  </sheetData>
  <mergeCells count="12">
    <mergeCell ref="C10:D10"/>
    <mergeCell ref="C11:D11"/>
    <mergeCell ref="C3:M4"/>
    <mergeCell ref="C5:M5"/>
    <mergeCell ref="C6:M6"/>
    <mergeCell ref="G7:H7"/>
    <mergeCell ref="C9:D9"/>
    <mergeCell ref="D23:E23"/>
    <mergeCell ref="D24:E24"/>
    <mergeCell ref="C28:F28"/>
    <mergeCell ref="C39:F39"/>
    <mergeCell ref="S47:Y47"/>
  </mergeCells>
  <conditionalFormatting sqref="L49:O79">
    <cfRule type="cellIs" dxfId="139" priority="1" stopIfTrue="1" operator="equal">
      <formula>0</formula>
    </cfRule>
  </conditionalFormatting>
  <printOptions horizontalCentered="1"/>
  <pageMargins left="0" right="0.31496062992125984" top="0.35433070866141736" bottom="0.35433070866141736" header="0.31496062992125984" footer="0.31496062992125984"/>
  <pageSetup scale="80" orientation="landscape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L81"/>
  <sheetViews>
    <sheetView workbookViewId="0"/>
  </sheetViews>
  <sheetFormatPr baseColWidth="10" defaultColWidth="11" defaultRowHeight="14.25" x14ac:dyDescent="0.2"/>
  <cols>
    <col min="1" max="1" width="11" style="2"/>
    <col min="2" max="2" width="3.875" style="2" bestFit="1" customWidth="1"/>
    <col min="3" max="3" width="16.125" style="2" customWidth="1"/>
    <col min="4" max="4" width="12.375" style="2" bestFit="1" customWidth="1"/>
    <col min="5" max="5" width="10.875" style="2" bestFit="1" customWidth="1"/>
    <col min="6" max="6" width="17.125" style="2" bestFit="1" customWidth="1"/>
    <col min="7" max="8" width="13.125" style="2" bestFit="1" customWidth="1"/>
    <col min="9" max="9" width="11.125" style="2" bestFit="1" customWidth="1"/>
    <col min="10" max="10" width="11.875" style="2" bestFit="1" customWidth="1"/>
    <col min="11" max="11" width="11.625" style="2" bestFit="1" customWidth="1"/>
    <col min="12" max="12" width="12.125" style="2" customWidth="1"/>
    <col min="13" max="13" width="12" style="2" bestFit="1" customWidth="1"/>
    <col min="14" max="14" width="9" style="1" customWidth="1"/>
    <col min="15" max="15" width="10.375" style="2" customWidth="1"/>
    <col min="16" max="25" width="11" style="2"/>
    <col min="26" max="31" width="10.875" customWidth="1"/>
    <col min="32" max="16384" width="11" style="2"/>
  </cols>
  <sheetData>
    <row r="2" spans="2:25" x14ac:dyDescent="0.2"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2:25" ht="15" customHeight="1" x14ac:dyDescent="0.2">
      <c r="B3" s="1"/>
      <c r="C3" s="2254" t="s">
        <v>0</v>
      </c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</row>
    <row r="4" spans="2:25" ht="15" customHeight="1" x14ac:dyDescent="0.2"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</row>
    <row r="5" spans="2:25" x14ac:dyDescent="0.2">
      <c r="B5" s="1"/>
      <c r="C5" s="2257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</row>
    <row r="6" spans="2:25" x14ac:dyDescent="0.2">
      <c r="B6" s="1"/>
      <c r="C6" s="2257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</row>
    <row r="7" spans="2:25" x14ac:dyDescent="0.2">
      <c r="B7" s="1"/>
      <c r="C7" s="468"/>
      <c r="D7" s="468"/>
      <c r="E7" s="468"/>
      <c r="F7" s="468"/>
      <c r="G7" s="2271">
        <v>42491</v>
      </c>
      <c r="H7" s="2257"/>
      <c r="I7" s="468"/>
      <c r="J7" s="468"/>
      <c r="K7" s="468"/>
      <c r="L7" s="468"/>
      <c r="M7" s="468"/>
      <c r="N7" s="18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2:25" x14ac:dyDescent="0.2">
      <c r="B8" s="1"/>
      <c r="C8" s="468"/>
      <c r="D8" s="468"/>
      <c r="E8" s="468"/>
      <c r="F8" s="468"/>
      <c r="G8" s="468"/>
      <c r="H8" s="468"/>
      <c r="I8" s="468"/>
      <c r="J8" s="468"/>
      <c r="K8" s="468"/>
      <c r="L8" s="468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2:25" ht="25.5" x14ac:dyDescent="0.2">
      <c r="B9" s="1"/>
      <c r="C9" s="2272" t="s">
        <v>6</v>
      </c>
      <c r="D9" s="2272"/>
      <c r="E9" s="470" t="s">
        <v>94</v>
      </c>
      <c r="F9" s="470" t="s">
        <v>126</v>
      </c>
      <c r="G9" s="410" t="s">
        <v>133</v>
      </c>
      <c r="H9" s="470" t="s">
        <v>127</v>
      </c>
      <c r="I9" s="470" t="s">
        <v>128</v>
      </c>
      <c r="J9" s="468"/>
      <c r="K9" s="468"/>
      <c r="L9" s="468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2:25" x14ac:dyDescent="0.2">
      <c r="B10" s="1"/>
      <c r="C10" s="2270" t="s">
        <v>131</v>
      </c>
      <c r="D10" s="2270"/>
      <c r="E10" s="433">
        <f>IF(C15=0,D15,C15)</f>
        <v>4627948.08</v>
      </c>
      <c r="F10" s="407">
        <f>E10*0.16</f>
        <v>740471.69280000008</v>
      </c>
      <c r="G10" s="407">
        <f>E10+F10</f>
        <v>5368419.7728000004</v>
      </c>
      <c r="H10" s="511" t="s">
        <v>193</v>
      </c>
      <c r="I10" s="1317">
        <v>18.655899999999999</v>
      </c>
      <c r="J10" s="468"/>
      <c r="K10" s="468"/>
      <c r="L10" s="468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2:25" x14ac:dyDescent="0.2">
      <c r="B11" s="1"/>
      <c r="C11" s="2270" t="s">
        <v>132</v>
      </c>
      <c r="D11" s="2270"/>
      <c r="E11" s="433">
        <f>IF(C16=0,D16,C16)</f>
        <v>2087.0500000000002</v>
      </c>
      <c r="F11" s="407">
        <f>E11*0.16</f>
        <v>333.92800000000005</v>
      </c>
      <c r="G11" s="407">
        <f>E11+F11</f>
        <v>2420.9780000000001</v>
      </c>
      <c r="H11" s="511" t="s">
        <v>193</v>
      </c>
      <c r="I11" s="1317">
        <v>18.655899999999999</v>
      </c>
      <c r="J11" s="468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2:25" x14ac:dyDescent="0.2">
      <c r="B12" s="1"/>
      <c r="C12" s="468"/>
      <c r="D12" s="468"/>
      <c r="E12" s="468"/>
      <c r="F12" s="468"/>
      <c r="G12" s="468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2:25" ht="15" thickBot="1" x14ac:dyDescent="0.25">
      <c r="B13" s="1"/>
      <c r="C13" s="468"/>
      <c r="D13" s="468"/>
      <c r="E13" s="468"/>
      <c r="F13" s="468"/>
      <c r="G13" s="468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2:25" x14ac:dyDescent="0.2">
      <c r="B14" s="1"/>
      <c r="C14" s="440" t="s">
        <v>155</v>
      </c>
      <c r="D14" s="441" t="s">
        <v>156</v>
      </c>
      <c r="E14" s="442" t="s">
        <v>112</v>
      </c>
      <c r="F14" s="468"/>
      <c r="G14" s="468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2:25" x14ac:dyDescent="0.2">
      <c r="B15" s="1"/>
      <c r="C15" s="443">
        <v>4627948.08</v>
      </c>
      <c r="D15" s="444">
        <f>D80</f>
        <v>4627948.0800000019</v>
      </c>
      <c r="E15" s="445">
        <f>C15-D15</f>
        <v>0</v>
      </c>
      <c r="F15" s="468"/>
      <c r="G15" s="468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2:25" ht="15" thickBot="1" x14ac:dyDescent="0.25">
      <c r="B16" s="1"/>
      <c r="C16" s="446">
        <v>2087.0500000000002</v>
      </c>
      <c r="D16" s="447">
        <f>ROUND(G80,2)</f>
        <v>2087.0500000000002</v>
      </c>
      <c r="E16" s="448">
        <f>C16-D16</f>
        <v>0</v>
      </c>
      <c r="F16" s="468"/>
      <c r="G16" s="468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2:25" x14ac:dyDescent="0.2">
      <c r="B17" s="1"/>
      <c r="C17" s="468"/>
      <c r="D17" s="468"/>
      <c r="E17" s="468"/>
      <c r="F17" s="468"/>
      <c r="G17" s="468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2:25" x14ac:dyDescent="0.2">
      <c r="B18" s="1"/>
      <c r="C18" s="468"/>
      <c r="D18" s="468"/>
      <c r="E18" s="468"/>
      <c r="F18" s="468"/>
      <c r="G18" s="468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2:25" x14ac:dyDescent="0.2">
      <c r="B19" s="1"/>
      <c r="C19" s="468"/>
      <c r="D19" s="468"/>
      <c r="E19" s="468"/>
      <c r="F19" s="468"/>
      <c r="G19" s="468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2:25" x14ac:dyDescent="0.2">
      <c r="B20" s="1"/>
      <c r="C20" s="468"/>
      <c r="D20" s="468"/>
      <c r="E20" s="468"/>
      <c r="F20" s="468"/>
      <c r="G20" s="468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2:25" x14ac:dyDescent="0.2">
      <c r="B21" s="1"/>
      <c r="C21" s="468"/>
      <c r="D21" s="468"/>
      <c r="E21" s="468"/>
      <c r="F21" s="468"/>
      <c r="G21" s="468"/>
      <c r="H21" s="1"/>
      <c r="I21" s="1"/>
      <c r="J21" s="1"/>
      <c r="K21" s="1"/>
      <c r="L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2:25" ht="15" thickBot="1" x14ac:dyDescent="0.25">
      <c r="B22" s="1"/>
      <c r="C22" s="419" t="s">
        <v>137</v>
      </c>
      <c r="D22" s="468" t="s">
        <v>138</v>
      </c>
      <c r="E22" s="468"/>
      <c r="F22" s="468" t="s">
        <v>139</v>
      </c>
      <c r="G22" s="468" t="s">
        <v>191</v>
      </c>
      <c r="H22" s="468" t="s">
        <v>143</v>
      </c>
      <c r="I22" s="468" t="s">
        <v>142</v>
      </c>
      <c r="J22" s="468" t="s">
        <v>141</v>
      </c>
      <c r="K22" s="468" t="s">
        <v>140</v>
      </c>
      <c r="L22" s="468" t="s">
        <v>144</v>
      </c>
      <c r="M22" s="468" t="s">
        <v>146</v>
      </c>
      <c r="N22" s="468"/>
      <c r="O22" s="468"/>
      <c r="P22" s="468"/>
      <c r="Q22" s="1"/>
      <c r="R22" s="1"/>
      <c r="S22" s="1"/>
      <c r="T22" s="1"/>
      <c r="U22" s="1"/>
      <c r="V22" s="1"/>
      <c r="W22" s="1"/>
      <c r="X22" s="1"/>
      <c r="Y22" s="1"/>
    </row>
    <row r="23" spans="2:25" ht="36.75" customHeight="1" x14ac:dyDescent="0.2">
      <c r="B23" s="1"/>
      <c r="C23" s="402" t="s">
        <v>134</v>
      </c>
      <c r="D23" s="2261" t="s">
        <v>135</v>
      </c>
      <c r="E23" s="2262"/>
      <c r="F23" s="469" t="s">
        <v>136</v>
      </c>
      <c r="G23" s="461" t="s">
        <v>153</v>
      </c>
      <c r="H23" s="420" t="s">
        <v>129</v>
      </c>
      <c r="I23" s="403" t="s">
        <v>130</v>
      </c>
      <c r="J23" s="422"/>
      <c r="K23" s="422"/>
      <c r="L23" s="422"/>
      <c r="M23" s="404" t="s">
        <v>158</v>
      </c>
      <c r="N23" s="468"/>
      <c r="O23" s="468"/>
      <c r="P23" s="468"/>
      <c r="Q23" s="468"/>
      <c r="R23" s="468"/>
      <c r="S23" s="468"/>
      <c r="T23" s="468"/>
      <c r="U23" s="1"/>
      <c r="V23" s="1"/>
      <c r="W23" s="1"/>
      <c r="X23" s="1"/>
      <c r="Y23" s="1"/>
    </row>
    <row r="24" spans="2:25" x14ac:dyDescent="0.2">
      <c r="B24" s="1"/>
      <c r="C24" s="405">
        <v>850</v>
      </c>
      <c r="D24" s="2263">
        <v>850</v>
      </c>
      <c r="E24" s="2264"/>
      <c r="F24" s="418">
        <v>31482640</v>
      </c>
      <c r="G24" s="462">
        <v>31</v>
      </c>
      <c r="H24" s="460">
        <f>VLOOKUP(C47,Tarifas!D4:H303,3)</f>
        <v>0.14699999999999999</v>
      </c>
      <c r="I24" s="424">
        <f>VLOOKUP(C47,Tarifas!D4:H303,5)</f>
        <v>1E-3</v>
      </c>
      <c r="J24" s="421">
        <v>183.3</v>
      </c>
      <c r="K24" s="421">
        <v>201.4</v>
      </c>
      <c r="L24" s="421">
        <f>I11</f>
        <v>18.655899999999999</v>
      </c>
      <c r="M24" s="431">
        <f>E80</f>
        <v>2293137.4949579998</v>
      </c>
      <c r="N24" s="430" t="s">
        <v>62</v>
      </c>
      <c r="O24" s="468"/>
      <c r="P24" s="468"/>
      <c r="Q24" s="468"/>
      <c r="R24" s="468"/>
      <c r="S24" s="468"/>
      <c r="T24" s="468"/>
      <c r="U24" s="1"/>
      <c r="V24" s="1"/>
      <c r="W24" s="1"/>
      <c r="X24" s="1"/>
      <c r="Y24" s="1"/>
    </row>
    <row r="25" spans="2:25" x14ac:dyDescent="0.2">
      <c r="B25" s="1"/>
      <c r="C25" s="468"/>
      <c r="D25" s="468"/>
      <c r="E25" s="468"/>
      <c r="F25" s="468"/>
      <c r="G25" s="468"/>
      <c r="H25" s="468"/>
      <c r="I25" s="468"/>
      <c r="J25" s="468"/>
      <c r="K25" s="468"/>
      <c r="L25" s="468"/>
      <c r="M25" s="468"/>
      <c r="N25" s="468"/>
      <c r="O25" s="468"/>
      <c r="P25" s="468"/>
      <c r="Q25" s="468"/>
      <c r="R25" s="468"/>
      <c r="S25" s="1"/>
      <c r="T25" s="1"/>
      <c r="U25" s="1"/>
      <c r="V25" s="1"/>
      <c r="W25" s="1"/>
      <c r="X25" s="1"/>
      <c r="Y25" s="1"/>
    </row>
    <row r="26" spans="2:25" x14ac:dyDescent="0.2">
      <c r="B26" s="1"/>
      <c r="C26" s="468"/>
      <c r="D26" s="468"/>
      <c r="E26" s="468"/>
      <c r="F26" s="468"/>
      <c r="G26" s="468"/>
      <c r="H26" s="468"/>
      <c r="I26" s="468"/>
      <c r="J26" s="468"/>
      <c r="K26" s="468"/>
      <c r="L26" s="468"/>
      <c r="M26" s="468"/>
      <c r="N26" s="468"/>
      <c r="O26" s="468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2:25" x14ac:dyDescent="0.2">
      <c r="B27" s="1"/>
      <c r="C27" s="468"/>
      <c r="D27" s="468"/>
      <c r="E27" s="468"/>
      <c r="F27" s="468"/>
      <c r="G27" s="468"/>
      <c r="H27" s="468"/>
      <c r="I27" s="468"/>
      <c r="J27" s="468"/>
      <c r="K27" s="468"/>
      <c r="L27" s="468"/>
      <c r="M27" s="468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2:25" ht="15" thickBot="1" x14ac:dyDescent="0.25">
      <c r="B28" s="1"/>
      <c r="C28" s="2265" t="s">
        <v>86</v>
      </c>
      <c r="D28" s="2265"/>
      <c r="E28" s="2265"/>
      <c r="F28" s="2265"/>
      <c r="G28" s="471"/>
      <c r="H28" s="334"/>
      <c r="I28" s="334"/>
      <c r="J28" s="334"/>
      <c r="K28" s="471"/>
      <c r="L28" s="336"/>
      <c r="M28" s="336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2:25" ht="22.5" x14ac:dyDescent="0.2">
      <c r="B29" s="1"/>
      <c r="C29" s="337" t="s">
        <v>87</v>
      </c>
      <c r="D29" s="466" t="s">
        <v>88</v>
      </c>
      <c r="E29" s="466" t="s">
        <v>89</v>
      </c>
      <c r="F29" s="466" t="s">
        <v>20</v>
      </c>
      <c r="G29" s="466" t="s">
        <v>160</v>
      </c>
      <c r="H29" s="466" t="s">
        <v>90</v>
      </c>
      <c r="I29" s="466" t="s">
        <v>91</v>
      </c>
      <c r="J29" s="466" t="s">
        <v>92</v>
      </c>
      <c r="K29" s="466" t="s">
        <v>93</v>
      </c>
      <c r="L29" s="466" t="s">
        <v>94</v>
      </c>
      <c r="M29" s="467" t="s">
        <v>95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2:25" x14ac:dyDescent="0.2">
      <c r="B30" s="1"/>
      <c r="C30" s="338"/>
      <c r="D30" s="339">
        <v>0</v>
      </c>
      <c r="E30" s="339" t="s">
        <v>96</v>
      </c>
      <c r="F30" s="340" t="s">
        <v>97</v>
      </c>
      <c r="G30" s="340">
        <v>2201</v>
      </c>
      <c r="H30" s="339">
        <v>20823</v>
      </c>
      <c r="I30" s="341">
        <v>0</v>
      </c>
      <c r="J30" s="339">
        <v>138.15</v>
      </c>
      <c r="K30" s="342">
        <v>0</v>
      </c>
      <c r="L30" s="343">
        <f>ROUND(K30*E$10,2)</f>
        <v>0</v>
      </c>
      <c r="M30" s="344">
        <f>L30*$I$10</f>
        <v>0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2:25" x14ac:dyDescent="0.2">
      <c r="B31" s="1"/>
      <c r="C31" s="338"/>
      <c r="D31" s="339">
        <v>0</v>
      </c>
      <c r="E31" s="339" t="s">
        <v>98</v>
      </c>
      <c r="F31" s="340" t="s">
        <v>97</v>
      </c>
      <c r="G31" s="340">
        <v>2201</v>
      </c>
      <c r="H31" s="339">
        <v>20824</v>
      </c>
      <c r="I31" s="341">
        <v>0</v>
      </c>
      <c r="J31" s="339">
        <v>138.15</v>
      </c>
      <c r="K31" s="342">
        <v>0</v>
      </c>
      <c r="L31" s="343">
        <f>ROUND(K31*E$10,2)</f>
        <v>0</v>
      </c>
      <c r="M31" s="344">
        <f>L31*$I$10</f>
        <v>0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2:25" x14ac:dyDescent="0.2">
      <c r="B32" s="1"/>
      <c r="C32" s="338"/>
      <c r="D32" s="339">
        <v>0</v>
      </c>
      <c r="E32" s="339" t="s">
        <v>99</v>
      </c>
      <c r="F32" s="340" t="s">
        <v>100</v>
      </c>
      <c r="G32" s="340">
        <v>2230</v>
      </c>
      <c r="H32" s="339">
        <v>22228</v>
      </c>
      <c r="I32" s="341">
        <v>0</v>
      </c>
      <c r="J32" s="339">
        <v>130.80000000000001</v>
      </c>
      <c r="K32" s="342">
        <v>0</v>
      </c>
      <c r="L32" s="343">
        <f>ROUND(K32*E$10,2)</f>
        <v>0</v>
      </c>
      <c r="M32" s="344">
        <f>L32*$I$10</f>
        <v>0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2:25" x14ac:dyDescent="0.2">
      <c r="B33" s="1"/>
      <c r="C33" s="338">
        <v>800762390</v>
      </c>
      <c r="D33" s="339">
        <v>3</v>
      </c>
      <c r="E33" s="354" t="s">
        <v>101</v>
      </c>
      <c r="F33" s="463" t="s">
        <v>194</v>
      </c>
      <c r="G33" s="463">
        <v>2044</v>
      </c>
      <c r="H33" s="354">
        <v>591000420</v>
      </c>
      <c r="I33" s="341">
        <v>80000</v>
      </c>
      <c r="J33" s="339"/>
      <c r="K33" s="342">
        <v>0.09</v>
      </c>
      <c r="L33" s="343">
        <f>ROUND(K33*E$10,2)</f>
        <v>416515.33</v>
      </c>
      <c r="M33" s="344">
        <f>L33*$I$10</f>
        <v>7770468.344947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2:25" ht="15" thickBot="1" x14ac:dyDescent="0.25">
      <c r="B34" s="1"/>
      <c r="C34" s="345">
        <v>800642440</v>
      </c>
      <c r="D34" s="346">
        <v>5</v>
      </c>
      <c r="E34" s="347" t="s">
        <v>101</v>
      </c>
      <c r="F34" s="348" t="s">
        <v>159</v>
      </c>
      <c r="G34" s="348">
        <v>2277</v>
      </c>
      <c r="H34" s="347">
        <v>22770</v>
      </c>
      <c r="I34" s="349">
        <f>850000-I30-I31-I32-I33</f>
        <v>770000</v>
      </c>
      <c r="J34" s="346"/>
      <c r="K34" s="350">
        <v>0.91</v>
      </c>
      <c r="L34" s="351">
        <f>ROUND(K34*E$10,2)</f>
        <v>4211432.75</v>
      </c>
      <c r="M34" s="352">
        <f>L34*$I$10</f>
        <v>78568068.240724996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2:25" x14ac:dyDescent="0.2">
      <c r="B35" s="1"/>
      <c r="C35" s="406">
        <v>3000623</v>
      </c>
      <c r="D35" s="353" t="s">
        <v>102</v>
      </c>
      <c r="E35" s="353"/>
      <c r="F35" s="353"/>
      <c r="G35" s="353"/>
      <c r="H35" s="354"/>
      <c r="I35" s="355">
        <f>SUM(I30:I34)</f>
        <v>850000</v>
      </c>
      <c r="J35" s="353"/>
      <c r="K35" s="356">
        <f>SUM(K30:K34)</f>
        <v>1</v>
      </c>
      <c r="L35" s="357">
        <f>SUM(L30:L34)</f>
        <v>4627948.08</v>
      </c>
      <c r="M35" s="357">
        <f>SUM(M30:M34)</f>
        <v>86338536.585671991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2:25" x14ac:dyDescent="0.2">
      <c r="B36" s="1"/>
      <c r="C36" s="336"/>
      <c r="D36" s="336"/>
      <c r="E36" s="336"/>
      <c r="F36" s="358"/>
      <c r="G36" s="358"/>
      <c r="H36" s="336"/>
      <c r="I36" s="336"/>
      <c r="J36" s="336"/>
      <c r="K36" s="336"/>
      <c r="L36" s="359"/>
      <c r="M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2:25" x14ac:dyDescent="0.2">
      <c r="B37" s="1"/>
      <c r="C37" s="336"/>
      <c r="D37" s="336"/>
      <c r="E37" s="336"/>
      <c r="F37" s="358"/>
      <c r="G37" s="358"/>
      <c r="H37" s="336"/>
      <c r="I37" s="336"/>
      <c r="J37" s="336"/>
      <c r="K37" s="336"/>
      <c r="L37" s="359"/>
      <c r="M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2:25" x14ac:dyDescent="0.2">
      <c r="B38" s="1"/>
      <c r="C38" s="336"/>
      <c r="D38" s="336"/>
      <c r="E38" s="336"/>
      <c r="F38" s="358"/>
      <c r="G38" s="358"/>
      <c r="H38" s="336"/>
      <c r="I38" s="336"/>
      <c r="J38" s="336"/>
      <c r="K38" s="336"/>
      <c r="L38" s="359"/>
      <c r="M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2:25" ht="15" thickBot="1" x14ac:dyDescent="0.25">
      <c r="B39" s="1"/>
      <c r="C39" s="2266" t="s">
        <v>103</v>
      </c>
      <c r="D39" s="2266"/>
      <c r="E39" s="2266"/>
      <c r="F39" s="2266"/>
      <c r="G39" s="471"/>
      <c r="H39" s="334"/>
      <c r="I39" s="334"/>
      <c r="J39" s="334"/>
      <c r="K39" s="336"/>
      <c r="L39" s="336"/>
      <c r="M39" s="360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2:25" ht="22.5" x14ac:dyDescent="0.2">
      <c r="B40" s="1"/>
      <c r="C40" s="337" t="s">
        <v>87</v>
      </c>
      <c r="D40" s="466" t="s">
        <v>88</v>
      </c>
      <c r="E40" s="466" t="s">
        <v>89</v>
      </c>
      <c r="F40" s="466" t="s">
        <v>20</v>
      </c>
      <c r="G40" s="466"/>
      <c r="H40" s="466" t="s">
        <v>90</v>
      </c>
      <c r="I40" s="466" t="s">
        <v>104</v>
      </c>
      <c r="J40" s="466" t="s">
        <v>93</v>
      </c>
      <c r="K40" s="466" t="s">
        <v>92</v>
      </c>
      <c r="L40" s="466" t="s">
        <v>94</v>
      </c>
      <c r="M40" s="467" t="s">
        <v>95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2:25" x14ac:dyDescent="0.2">
      <c r="B41" s="1"/>
      <c r="C41" s="338"/>
      <c r="D41" s="339">
        <v>0</v>
      </c>
      <c r="E41" s="339" t="s">
        <v>96</v>
      </c>
      <c r="F41" s="340" t="s">
        <v>97</v>
      </c>
      <c r="G41" s="340"/>
      <c r="H41" s="339">
        <v>20823</v>
      </c>
      <c r="I41" s="341">
        <f>M80</f>
        <v>0</v>
      </c>
      <c r="J41" s="342">
        <f>I41/I$45</f>
        <v>0</v>
      </c>
      <c r="K41" s="339">
        <v>138.15</v>
      </c>
      <c r="L41" s="343">
        <f>ROUND(J41*$E$11,2)</f>
        <v>0</v>
      </c>
      <c r="M41" s="344">
        <f>L41*L24</f>
        <v>0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2:25" x14ac:dyDescent="0.2">
      <c r="B42" s="1"/>
      <c r="C42" s="338"/>
      <c r="D42" s="339">
        <v>0</v>
      </c>
      <c r="E42" s="339" t="s">
        <v>98</v>
      </c>
      <c r="F42" s="340" t="s">
        <v>97</v>
      </c>
      <c r="G42" s="340"/>
      <c r="H42" s="339">
        <v>20824</v>
      </c>
      <c r="I42" s="341">
        <f>N80</f>
        <v>0</v>
      </c>
      <c r="J42" s="342">
        <f>I42/I$45</f>
        <v>0</v>
      </c>
      <c r="K42" s="339">
        <v>138.15</v>
      </c>
      <c r="L42" s="343">
        <f>ROUND(J42*$E$11,2)</f>
        <v>0</v>
      </c>
      <c r="M42" s="344">
        <f>L42*L25</f>
        <v>0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2:25" x14ac:dyDescent="0.2">
      <c r="B43" s="1"/>
      <c r="C43" s="338"/>
      <c r="D43" s="339">
        <v>0</v>
      </c>
      <c r="E43" s="339" t="s">
        <v>99</v>
      </c>
      <c r="F43" s="340" t="s">
        <v>100</v>
      </c>
      <c r="G43" s="340"/>
      <c r="H43" s="339">
        <v>22228</v>
      </c>
      <c r="I43" s="341">
        <f>O80</f>
        <v>0</v>
      </c>
      <c r="J43" s="342">
        <f>I43/I$45</f>
        <v>0</v>
      </c>
      <c r="K43" s="339">
        <v>130.80000000000001</v>
      </c>
      <c r="L43" s="343">
        <f>ROUND(J43*$E$11,2)</f>
        <v>0</v>
      </c>
      <c r="M43" s="344">
        <f>L43*L26</f>
        <v>0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2:25" ht="15" thickBot="1" x14ac:dyDescent="0.25">
      <c r="B44" s="1"/>
      <c r="C44" s="345">
        <v>800762390</v>
      </c>
      <c r="D44" s="346">
        <v>4</v>
      </c>
      <c r="E44" s="347" t="s">
        <v>101</v>
      </c>
      <c r="F44" s="348" t="s">
        <v>194</v>
      </c>
      <c r="G44" s="348"/>
      <c r="H44" s="347"/>
      <c r="I44" s="349">
        <f>L80</f>
        <v>2293137.4949579998</v>
      </c>
      <c r="J44" s="350">
        <f>I44/I$45</f>
        <v>1</v>
      </c>
      <c r="K44" s="346">
        <v>138.15</v>
      </c>
      <c r="L44" s="351">
        <f>ROUND(J44*$E$11,2)</f>
        <v>2087.0500000000002</v>
      </c>
      <c r="M44" s="352">
        <f>L44*I11</f>
        <v>38935.796094999998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2:25" x14ac:dyDescent="0.2">
      <c r="B45" s="1"/>
      <c r="C45" s="353"/>
      <c r="D45" s="353"/>
      <c r="E45" s="353"/>
      <c r="F45" s="353"/>
      <c r="G45" s="353"/>
      <c r="H45" s="354"/>
      <c r="I45" s="449">
        <f>SUM(I41:I44)</f>
        <v>2293137.4949579998</v>
      </c>
      <c r="J45" s="355"/>
      <c r="K45" s="353"/>
      <c r="L45" s="357">
        <f>SUM(L41:L44)</f>
        <v>2087.0500000000002</v>
      </c>
      <c r="M45" s="357">
        <f>SUM(M41:M44)</f>
        <v>38935.796094999998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2:25" customFormat="1" ht="15" thickBot="1" x14ac:dyDescent="0.25">
      <c r="M46" s="450"/>
      <c r="N46" s="450"/>
      <c r="O46" s="450"/>
      <c r="P46" s="450"/>
      <c r="Q46" s="450"/>
      <c r="R46" s="450"/>
      <c r="S46" s="450"/>
      <c r="T46" s="450"/>
      <c r="U46" s="450"/>
      <c r="V46" s="450"/>
      <c r="W46" s="450"/>
      <c r="X46" s="450"/>
      <c r="Y46" s="573">
        <f>'Abril - 2016'!Y80</f>
        <v>18425.041722903799</v>
      </c>
    </row>
    <row r="47" spans="2:25" ht="15" thickBot="1" x14ac:dyDescent="0.25">
      <c r="B47" s="434" t="s">
        <v>3</v>
      </c>
      <c r="C47" s="333">
        <f>SUMIF(Tarifas!E4:E303,'Mayo - 2016'!C49,Tarifas!D4:D303)</f>
        <v>34</v>
      </c>
      <c r="D47" s="425" t="s">
        <v>147</v>
      </c>
      <c r="E47" s="426" t="s">
        <v>145</v>
      </c>
      <c r="F47" s="426" t="s">
        <v>150</v>
      </c>
      <c r="G47" s="426" t="s">
        <v>148</v>
      </c>
      <c r="H47" s="382"/>
      <c r="I47" s="331" t="s">
        <v>120</v>
      </c>
      <c r="J47" s="332"/>
      <c r="K47" s="332"/>
      <c r="L47" s="364" t="s">
        <v>105</v>
      </c>
      <c r="M47" s="365"/>
      <c r="N47" s="365"/>
      <c r="O47" s="365"/>
      <c r="P47" s="365"/>
      <c r="Q47" s="365"/>
      <c r="R47" s="366"/>
      <c r="S47" s="2267" t="s">
        <v>121</v>
      </c>
      <c r="T47" s="2268"/>
      <c r="U47" s="2268"/>
      <c r="V47" s="2268"/>
      <c r="W47" s="2268"/>
      <c r="X47" s="2268"/>
      <c r="Y47" s="2269"/>
    </row>
    <row r="48" spans="2:25" ht="33.75" x14ac:dyDescent="0.2">
      <c r="C48" s="383" t="s">
        <v>122</v>
      </c>
      <c r="D48" s="384" t="s">
        <v>125</v>
      </c>
      <c r="E48" s="385" t="s">
        <v>149</v>
      </c>
      <c r="F48" s="385" t="s">
        <v>151</v>
      </c>
      <c r="G48" s="385" t="s">
        <v>152</v>
      </c>
      <c r="H48" s="386" t="s">
        <v>123</v>
      </c>
      <c r="I48" s="329" t="s">
        <v>109</v>
      </c>
      <c r="J48" s="330" t="s">
        <v>25</v>
      </c>
      <c r="K48" s="330" t="s">
        <v>26</v>
      </c>
      <c r="L48" s="367" t="s">
        <v>115</v>
      </c>
      <c r="M48" s="362" t="s">
        <v>106</v>
      </c>
      <c r="N48" s="362" t="s">
        <v>107</v>
      </c>
      <c r="O48" s="362" t="s">
        <v>108</v>
      </c>
      <c r="P48" s="362" t="s">
        <v>115</v>
      </c>
      <c r="Q48" s="363" t="s">
        <v>116</v>
      </c>
      <c r="R48" s="368" t="s">
        <v>117</v>
      </c>
      <c r="S48" s="369" t="s">
        <v>192</v>
      </c>
      <c r="T48" s="370" t="s">
        <v>111</v>
      </c>
      <c r="U48" s="370" t="s">
        <v>112</v>
      </c>
      <c r="V48" s="371" t="s">
        <v>118</v>
      </c>
      <c r="W48" s="371" t="s">
        <v>119</v>
      </c>
      <c r="X48" s="371" t="s">
        <v>114</v>
      </c>
      <c r="Y48" s="372" t="s">
        <v>113</v>
      </c>
    </row>
    <row r="49" spans="3:25" x14ac:dyDescent="0.2">
      <c r="C49" s="387">
        <f>G7</f>
        <v>42491</v>
      </c>
      <c r="D49" s="388">
        <f>($F$24*$H$24)/$G$24</f>
        <v>149288.64774193548</v>
      </c>
      <c r="E49" s="389">
        <f>P49+Q49+R49</f>
        <v>72705.265382000012</v>
      </c>
      <c r="F49" s="427">
        <f t="shared" ref="F49:F79" si="0">TRUNC(IFERROR(J$24/K$24,0),8)</f>
        <v>0.91012908999999997</v>
      </c>
      <c r="G49" s="390">
        <f>ROUND(I$24*F49*E49,4)</f>
        <v>66.171199999999999</v>
      </c>
      <c r="H49" s="391">
        <f t="shared" ref="H49:H79" si="1">SUM(D49:G49)</f>
        <v>222060.99445302552</v>
      </c>
      <c r="I49" s="324">
        <v>72955</v>
      </c>
      <c r="J49" s="325"/>
      <c r="K49" s="325"/>
      <c r="L49" s="317">
        <v>72705.265382000012</v>
      </c>
      <c r="M49" s="508"/>
      <c r="N49" s="508"/>
      <c r="O49" s="508"/>
      <c r="P49" s="389">
        <f>L49</f>
        <v>72705.265382000012</v>
      </c>
      <c r="Q49" s="389">
        <f t="shared" ref="Q49:Q79" si="2">M49+N49</f>
        <v>0</v>
      </c>
      <c r="R49" s="389">
        <f t="shared" ref="R49:R79" si="3">O49</f>
        <v>0</v>
      </c>
      <c r="S49" s="317">
        <v>72954.87</v>
      </c>
      <c r="T49" s="374"/>
      <c r="U49" s="18">
        <f>S49+T49-V49</f>
        <v>-0.13000000000465661</v>
      </c>
      <c r="V49" s="377">
        <f>I49+J49+K49</f>
        <v>72955</v>
      </c>
      <c r="W49" s="18">
        <f>(P49+Q49+R49)/1.055056</f>
        <v>68911.285639814392</v>
      </c>
      <c r="X49" s="520">
        <f>V49-W49</f>
        <v>4043.7143601856078</v>
      </c>
      <c r="Y49" s="525">
        <f>Y46+X49</f>
        <v>22468.756083089407</v>
      </c>
    </row>
    <row r="50" spans="3:25" x14ac:dyDescent="0.2">
      <c r="C50" s="387">
        <f t="shared" ref="C50:C79" si="4">C49+1</f>
        <v>42492</v>
      </c>
      <c r="D50" s="388">
        <f t="shared" ref="D50:D79" si="5">($F$24*$H$24)/$G$24</f>
        <v>149288.64774193548</v>
      </c>
      <c r="E50" s="392">
        <f t="shared" ref="E50:E79" si="6">P50+Q50+R50</f>
        <v>74389.328125</v>
      </c>
      <c r="F50" s="428">
        <f t="shared" si="0"/>
        <v>0.91012908999999997</v>
      </c>
      <c r="G50" s="390">
        <f t="shared" ref="G50:G79" si="7">ROUND(I$24*F50*E50,4)</f>
        <v>67.703900000000004</v>
      </c>
      <c r="H50" s="391">
        <f t="shared" si="1"/>
        <v>223746.58989602549</v>
      </c>
      <c r="I50" s="324">
        <v>72955</v>
      </c>
      <c r="J50" s="325"/>
      <c r="K50" s="325"/>
      <c r="L50" s="319">
        <v>74389.328125</v>
      </c>
      <c r="M50" s="509"/>
      <c r="N50" s="509"/>
      <c r="O50" s="509"/>
      <c r="P50" s="392">
        <f t="shared" ref="P50:P79" si="8">L50</f>
        <v>74389.328125</v>
      </c>
      <c r="Q50" s="392">
        <f t="shared" si="2"/>
        <v>0</v>
      </c>
      <c r="R50" s="392">
        <f t="shared" si="3"/>
        <v>0</v>
      </c>
      <c r="S50" s="319">
        <v>72954.87</v>
      </c>
      <c r="T50" s="374"/>
      <c r="U50" s="18">
        <f t="shared" ref="U50:U79" si="9">S50+T50-V50</f>
        <v>-0.13000000000465661</v>
      </c>
      <c r="V50" s="377">
        <f t="shared" ref="V50:V79" si="10">I50+J50+K50</f>
        <v>72955</v>
      </c>
      <c r="W50" s="18">
        <f t="shared" ref="W50:W79" si="11">(P50+Q50+R50)/1.055056</f>
        <v>70507.468916341881</v>
      </c>
      <c r="X50" s="520">
        <f t="shared" ref="X50:X79" si="12">V50-W50</f>
        <v>2447.5310836581193</v>
      </c>
      <c r="Y50" s="525">
        <f>Y49+X50</f>
        <v>24916.287166747526</v>
      </c>
    </row>
    <row r="51" spans="3:25" x14ac:dyDescent="0.2">
      <c r="C51" s="387">
        <f t="shared" si="4"/>
        <v>42493</v>
      </c>
      <c r="D51" s="388">
        <f t="shared" si="5"/>
        <v>149288.64774193548</v>
      </c>
      <c r="E51" s="392">
        <f t="shared" si="6"/>
        <v>73427.000488999984</v>
      </c>
      <c r="F51" s="428">
        <f t="shared" si="0"/>
        <v>0.91012908999999997</v>
      </c>
      <c r="G51" s="390">
        <f t="shared" si="7"/>
        <v>66.828000000000003</v>
      </c>
      <c r="H51" s="391">
        <f t="shared" si="1"/>
        <v>222783.38636002547</v>
      </c>
      <c r="I51" s="324">
        <v>72955</v>
      </c>
      <c r="J51" s="325"/>
      <c r="K51" s="325"/>
      <c r="L51" s="317">
        <v>73427.000488999984</v>
      </c>
      <c r="M51" s="508"/>
      <c r="N51" s="508"/>
      <c r="O51" s="508"/>
      <c r="P51" s="392">
        <f t="shared" si="8"/>
        <v>73427.000488999984</v>
      </c>
      <c r="Q51" s="392">
        <f t="shared" si="2"/>
        <v>0</v>
      </c>
      <c r="R51" s="392">
        <f t="shared" si="3"/>
        <v>0</v>
      </c>
      <c r="S51" s="317">
        <v>72954.87</v>
      </c>
      <c r="T51" s="374"/>
      <c r="U51" s="18">
        <f t="shared" si="9"/>
        <v>-0.13000000000465661</v>
      </c>
      <c r="V51" s="377">
        <f t="shared" si="10"/>
        <v>72955</v>
      </c>
      <c r="W51" s="18">
        <f t="shared" si="11"/>
        <v>69595.35843500249</v>
      </c>
      <c r="X51" s="520">
        <f t="shared" si="12"/>
        <v>3359.6415649975097</v>
      </c>
      <c r="Y51" s="525">
        <f t="shared" ref="Y51:Y78" si="13">Y50+X51</f>
        <v>28275.928731745036</v>
      </c>
    </row>
    <row r="52" spans="3:25" x14ac:dyDescent="0.2">
      <c r="C52" s="387">
        <f t="shared" si="4"/>
        <v>42494</v>
      </c>
      <c r="D52" s="388">
        <f t="shared" si="5"/>
        <v>149288.64774193548</v>
      </c>
      <c r="E52" s="392">
        <f t="shared" si="6"/>
        <v>74231.078125</v>
      </c>
      <c r="F52" s="428">
        <f t="shared" si="0"/>
        <v>0.91012908999999997</v>
      </c>
      <c r="G52" s="390">
        <f t="shared" si="7"/>
        <v>67.559899999999999</v>
      </c>
      <c r="H52" s="391">
        <f t="shared" si="1"/>
        <v>223588.19589602549</v>
      </c>
      <c r="I52" s="324">
        <v>72955</v>
      </c>
      <c r="J52" s="325"/>
      <c r="K52" s="325"/>
      <c r="L52" s="319">
        <v>74231.078125</v>
      </c>
      <c r="M52" s="509"/>
      <c r="N52" s="509"/>
      <c r="O52" s="509"/>
      <c r="P52" s="392">
        <f t="shared" si="8"/>
        <v>74231.078125</v>
      </c>
      <c r="Q52" s="392">
        <f t="shared" si="2"/>
        <v>0</v>
      </c>
      <c r="R52" s="392">
        <f t="shared" si="3"/>
        <v>0</v>
      </c>
      <c r="S52" s="319">
        <v>72954.87</v>
      </c>
      <c r="T52" s="374"/>
      <c r="U52" s="18">
        <f t="shared" si="9"/>
        <v>-0.13000000000465661</v>
      </c>
      <c r="V52" s="377">
        <f t="shared" si="10"/>
        <v>72955</v>
      </c>
      <c r="W52" s="18">
        <f t="shared" si="11"/>
        <v>70357.476878004585</v>
      </c>
      <c r="X52" s="520">
        <f t="shared" si="12"/>
        <v>2597.5231219954148</v>
      </c>
      <c r="Y52" s="525">
        <f t="shared" si="13"/>
        <v>30873.451853740451</v>
      </c>
    </row>
    <row r="53" spans="3:25" x14ac:dyDescent="0.2">
      <c r="C53" s="387">
        <f t="shared" si="4"/>
        <v>42495</v>
      </c>
      <c r="D53" s="388">
        <f t="shared" si="5"/>
        <v>149288.64774193548</v>
      </c>
      <c r="E53" s="392">
        <f t="shared" si="6"/>
        <v>74057.390625</v>
      </c>
      <c r="F53" s="428">
        <f t="shared" si="0"/>
        <v>0.91012908999999997</v>
      </c>
      <c r="G53" s="390">
        <f t="shared" si="7"/>
        <v>67.401799999999994</v>
      </c>
      <c r="H53" s="391">
        <f t="shared" si="1"/>
        <v>223414.35029602548</v>
      </c>
      <c r="I53" s="324">
        <v>72955</v>
      </c>
      <c r="J53" s="325"/>
      <c r="K53" s="325"/>
      <c r="L53" s="317">
        <v>74057.390625</v>
      </c>
      <c r="M53" s="508"/>
      <c r="N53" s="508"/>
      <c r="O53" s="508"/>
      <c r="P53" s="392">
        <f t="shared" si="8"/>
        <v>74057.390625</v>
      </c>
      <c r="Q53" s="392">
        <f t="shared" si="2"/>
        <v>0</v>
      </c>
      <c r="R53" s="392">
        <f t="shared" si="3"/>
        <v>0</v>
      </c>
      <c r="S53" s="317">
        <v>72954.87</v>
      </c>
      <c r="T53" s="374"/>
      <c r="U53" s="18">
        <f t="shared" si="9"/>
        <v>-0.13000000000465661</v>
      </c>
      <c r="V53" s="377">
        <f t="shared" si="10"/>
        <v>72955</v>
      </c>
      <c r="W53" s="18">
        <f t="shared" si="11"/>
        <v>70192.852914916366</v>
      </c>
      <c r="X53" s="520">
        <f t="shared" si="12"/>
        <v>2762.147085083634</v>
      </c>
      <c r="Y53" s="525">
        <f t="shared" si="13"/>
        <v>33635.598938824085</v>
      </c>
    </row>
    <row r="54" spans="3:25" x14ac:dyDescent="0.2">
      <c r="C54" s="387">
        <f t="shared" si="4"/>
        <v>42496</v>
      </c>
      <c r="D54" s="388">
        <f t="shared" si="5"/>
        <v>149288.64774193548</v>
      </c>
      <c r="E54" s="392">
        <f t="shared" si="6"/>
        <v>74067.671875</v>
      </c>
      <c r="F54" s="428">
        <f t="shared" si="0"/>
        <v>0.91012908999999997</v>
      </c>
      <c r="G54" s="390">
        <f t="shared" si="7"/>
        <v>67.411100000000005</v>
      </c>
      <c r="H54" s="391">
        <f t="shared" si="1"/>
        <v>223424.64084602549</v>
      </c>
      <c r="I54" s="324">
        <v>72955</v>
      </c>
      <c r="J54" s="325"/>
      <c r="K54" s="325"/>
      <c r="L54" s="319">
        <v>74067.671875</v>
      </c>
      <c r="M54" s="509"/>
      <c r="N54" s="509"/>
      <c r="O54" s="509"/>
      <c r="P54" s="392">
        <f t="shared" si="8"/>
        <v>74067.671875</v>
      </c>
      <c r="Q54" s="392">
        <f t="shared" si="2"/>
        <v>0</v>
      </c>
      <c r="R54" s="392">
        <f t="shared" si="3"/>
        <v>0</v>
      </c>
      <c r="S54" s="319">
        <v>72954.87</v>
      </c>
      <c r="T54" s="374"/>
      <c r="U54" s="18">
        <f t="shared" si="9"/>
        <v>-0.13000000000465661</v>
      </c>
      <c r="V54" s="377">
        <f t="shared" si="10"/>
        <v>72955</v>
      </c>
      <c r="W54" s="18">
        <f t="shared" si="11"/>
        <v>70202.597658323357</v>
      </c>
      <c r="X54" s="520">
        <f t="shared" si="12"/>
        <v>2752.4023416766431</v>
      </c>
      <c r="Y54" s="525">
        <f t="shared" si="13"/>
        <v>36388.001280500728</v>
      </c>
    </row>
    <row r="55" spans="3:25" x14ac:dyDescent="0.2">
      <c r="C55" s="387">
        <f t="shared" si="4"/>
        <v>42497</v>
      </c>
      <c r="D55" s="388">
        <f t="shared" si="5"/>
        <v>149288.64774193548</v>
      </c>
      <c r="E55" s="392">
        <f t="shared" si="6"/>
        <v>73907.728271999993</v>
      </c>
      <c r="F55" s="428">
        <f t="shared" si="0"/>
        <v>0.91012908999999997</v>
      </c>
      <c r="G55" s="390">
        <f t="shared" si="7"/>
        <v>67.265600000000006</v>
      </c>
      <c r="H55" s="391">
        <f t="shared" si="1"/>
        <v>223264.55174302551</v>
      </c>
      <c r="I55" s="324">
        <v>72955</v>
      </c>
      <c r="J55" s="325"/>
      <c r="K55" s="325"/>
      <c r="L55" s="317">
        <v>73907.728271999993</v>
      </c>
      <c r="M55" s="508"/>
      <c r="N55" s="508"/>
      <c r="O55" s="508"/>
      <c r="P55" s="392">
        <f t="shared" si="8"/>
        <v>73907.728271999993</v>
      </c>
      <c r="Q55" s="392">
        <f t="shared" si="2"/>
        <v>0</v>
      </c>
      <c r="R55" s="392">
        <f t="shared" si="3"/>
        <v>0</v>
      </c>
      <c r="S55" s="317">
        <v>72954.87</v>
      </c>
      <c r="T55" s="374"/>
      <c r="U55" s="18">
        <f t="shared" si="9"/>
        <v>-0.13000000000465661</v>
      </c>
      <c r="V55" s="377">
        <f t="shared" si="10"/>
        <v>72955</v>
      </c>
      <c r="W55" s="18">
        <f t="shared" si="11"/>
        <v>70051.000394291856</v>
      </c>
      <c r="X55" s="520">
        <f t="shared" si="12"/>
        <v>2903.9996057081444</v>
      </c>
      <c r="Y55" s="525">
        <f t="shared" si="13"/>
        <v>39292.000886208873</v>
      </c>
    </row>
    <row r="56" spans="3:25" x14ac:dyDescent="0.2">
      <c r="C56" s="387">
        <f t="shared" si="4"/>
        <v>42498</v>
      </c>
      <c r="D56" s="388">
        <f t="shared" si="5"/>
        <v>149288.64774193548</v>
      </c>
      <c r="E56" s="392">
        <f t="shared" si="6"/>
        <v>74258.839844000016</v>
      </c>
      <c r="F56" s="428">
        <f t="shared" si="0"/>
        <v>0.91012908999999997</v>
      </c>
      <c r="G56" s="390">
        <f t="shared" si="7"/>
        <v>67.585099999999997</v>
      </c>
      <c r="H56" s="391">
        <f t="shared" si="1"/>
        <v>223615.98281502552</v>
      </c>
      <c r="I56" s="324">
        <v>72955</v>
      </c>
      <c r="J56" s="325"/>
      <c r="K56" s="325"/>
      <c r="L56" s="319">
        <v>74258.839844000016</v>
      </c>
      <c r="M56" s="509"/>
      <c r="N56" s="509"/>
      <c r="O56" s="509"/>
      <c r="P56" s="392">
        <f t="shared" si="8"/>
        <v>74258.839844000016</v>
      </c>
      <c r="Q56" s="392">
        <f t="shared" si="2"/>
        <v>0</v>
      </c>
      <c r="R56" s="392">
        <f t="shared" si="3"/>
        <v>0</v>
      </c>
      <c r="S56" s="319">
        <v>72954.87</v>
      </c>
      <c r="T56" s="374"/>
      <c r="U56" s="18">
        <f t="shared" si="9"/>
        <v>-0.13000000000465661</v>
      </c>
      <c r="V56" s="377">
        <f t="shared" si="10"/>
        <v>72955</v>
      </c>
      <c r="W56" s="18">
        <f t="shared" si="11"/>
        <v>70383.789906886479</v>
      </c>
      <c r="X56" s="520">
        <f t="shared" si="12"/>
        <v>2571.210093113521</v>
      </c>
      <c r="Y56" s="525">
        <f t="shared" si="13"/>
        <v>41863.210979322394</v>
      </c>
    </row>
    <row r="57" spans="3:25" x14ac:dyDescent="0.2">
      <c r="C57" s="387">
        <f t="shared" si="4"/>
        <v>42499</v>
      </c>
      <c r="D57" s="388">
        <f t="shared" si="5"/>
        <v>149288.64774193548</v>
      </c>
      <c r="E57" s="392">
        <f t="shared" si="6"/>
        <v>74488.847164999985</v>
      </c>
      <c r="F57" s="428">
        <f t="shared" si="0"/>
        <v>0.91012908999999997</v>
      </c>
      <c r="G57" s="390">
        <f t="shared" si="7"/>
        <v>67.794499999999999</v>
      </c>
      <c r="H57" s="391">
        <f t="shared" si="1"/>
        <v>223846.19953602547</v>
      </c>
      <c r="I57" s="324">
        <v>72955</v>
      </c>
      <c r="J57" s="325"/>
      <c r="K57" s="325"/>
      <c r="L57" s="317">
        <v>74488.847164999985</v>
      </c>
      <c r="M57" s="508"/>
      <c r="N57" s="508"/>
      <c r="O57" s="508"/>
      <c r="P57" s="392">
        <f t="shared" si="8"/>
        <v>74488.847164999985</v>
      </c>
      <c r="Q57" s="392">
        <f t="shared" si="2"/>
        <v>0</v>
      </c>
      <c r="R57" s="392">
        <f t="shared" si="3"/>
        <v>0</v>
      </c>
      <c r="S57" s="317">
        <v>72954.87</v>
      </c>
      <c r="T57" s="374"/>
      <c r="U57" s="18">
        <f t="shared" si="9"/>
        <v>-0.13000000000465661</v>
      </c>
      <c r="V57" s="377">
        <f t="shared" si="10"/>
        <v>72955</v>
      </c>
      <c r="W57" s="18">
        <f t="shared" si="11"/>
        <v>70601.794753074704</v>
      </c>
      <c r="X57" s="520">
        <f t="shared" si="12"/>
        <v>2353.2052469252958</v>
      </c>
      <c r="Y57" s="525">
        <f t="shared" si="13"/>
        <v>44216.416226247689</v>
      </c>
    </row>
    <row r="58" spans="3:25" x14ac:dyDescent="0.2">
      <c r="C58" s="387">
        <f t="shared" si="4"/>
        <v>42500</v>
      </c>
      <c r="D58" s="388">
        <f t="shared" si="5"/>
        <v>149288.64774193548</v>
      </c>
      <c r="E58" s="392">
        <f t="shared" si="6"/>
        <v>74741.299314999997</v>
      </c>
      <c r="F58" s="428">
        <f t="shared" si="0"/>
        <v>0.91012908999999997</v>
      </c>
      <c r="G58" s="390">
        <f t="shared" si="7"/>
        <v>68.024199999999993</v>
      </c>
      <c r="H58" s="391">
        <f t="shared" si="1"/>
        <v>224098.88138602549</v>
      </c>
      <c r="I58" s="324">
        <v>72955</v>
      </c>
      <c r="J58" s="325"/>
      <c r="K58" s="325"/>
      <c r="L58" s="319">
        <v>74741.299314999997</v>
      </c>
      <c r="M58" s="509"/>
      <c r="N58" s="509"/>
      <c r="O58" s="509"/>
      <c r="P58" s="392">
        <f t="shared" si="8"/>
        <v>74741.299314999997</v>
      </c>
      <c r="Q58" s="392">
        <f t="shared" si="2"/>
        <v>0</v>
      </c>
      <c r="R58" s="392">
        <f t="shared" si="3"/>
        <v>0</v>
      </c>
      <c r="S58" s="319">
        <v>72954.87</v>
      </c>
      <c r="T58" s="374"/>
      <c r="U58" s="18">
        <f t="shared" si="9"/>
        <v>-0.13000000000465661</v>
      </c>
      <c r="V58" s="377">
        <f t="shared" si="10"/>
        <v>72955</v>
      </c>
      <c r="W58" s="18">
        <f t="shared" si="11"/>
        <v>70841.073189479983</v>
      </c>
      <c r="X58" s="520">
        <f t="shared" si="12"/>
        <v>2113.9268105200172</v>
      </c>
      <c r="Y58" s="525">
        <f t="shared" si="13"/>
        <v>46330.343036767707</v>
      </c>
    </row>
    <row r="59" spans="3:25" x14ac:dyDescent="0.2">
      <c r="C59" s="387">
        <f t="shared" si="4"/>
        <v>42501</v>
      </c>
      <c r="D59" s="388">
        <f t="shared" si="5"/>
        <v>149288.64774193548</v>
      </c>
      <c r="E59" s="392">
        <f t="shared" si="6"/>
        <v>76387.489258999994</v>
      </c>
      <c r="F59" s="428">
        <f t="shared" si="0"/>
        <v>0.91012908999999997</v>
      </c>
      <c r="G59" s="390">
        <f t="shared" si="7"/>
        <v>69.522499999999994</v>
      </c>
      <c r="H59" s="391">
        <f t="shared" si="1"/>
        <v>225746.56963002548</v>
      </c>
      <c r="I59" s="324">
        <v>72955</v>
      </c>
      <c r="J59" s="325"/>
      <c r="K59" s="325"/>
      <c r="L59" s="317">
        <v>76387.489258999994</v>
      </c>
      <c r="M59" s="508"/>
      <c r="N59" s="508"/>
      <c r="O59" s="508"/>
      <c r="P59" s="392">
        <f t="shared" si="8"/>
        <v>76387.489258999994</v>
      </c>
      <c r="Q59" s="392">
        <f t="shared" si="2"/>
        <v>0</v>
      </c>
      <c r="R59" s="392">
        <f t="shared" si="3"/>
        <v>0</v>
      </c>
      <c r="S59" s="317">
        <v>72954.87</v>
      </c>
      <c r="T59" s="374"/>
      <c r="U59" s="18">
        <f t="shared" si="9"/>
        <v>-0.13000000000465661</v>
      </c>
      <c r="V59" s="377">
        <f t="shared" si="10"/>
        <v>72955</v>
      </c>
      <c r="W59" s="18">
        <f t="shared" si="11"/>
        <v>72401.359983735456</v>
      </c>
      <c r="X59" s="520">
        <f t="shared" si="12"/>
        <v>553.6400162645441</v>
      </c>
      <c r="Y59" s="525">
        <f t="shared" si="13"/>
        <v>46883.983053032251</v>
      </c>
    </row>
    <row r="60" spans="3:25" x14ac:dyDescent="0.2">
      <c r="C60" s="387">
        <f t="shared" si="4"/>
        <v>42502</v>
      </c>
      <c r="D60" s="388">
        <f t="shared" si="5"/>
        <v>149288.64774193548</v>
      </c>
      <c r="E60" s="392">
        <f t="shared" si="6"/>
        <v>75998.344482</v>
      </c>
      <c r="F60" s="428">
        <f t="shared" si="0"/>
        <v>0.91012908999999997</v>
      </c>
      <c r="G60" s="390">
        <f t="shared" si="7"/>
        <v>69.168300000000002</v>
      </c>
      <c r="H60" s="391">
        <f t="shared" si="1"/>
        <v>225357.0706530255</v>
      </c>
      <c r="I60" s="324">
        <v>72955</v>
      </c>
      <c r="J60" s="325"/>
      <c r="K60" s="325"/>
      <c r="L60" s="319">
        <v>75998.344482</v>
      </c>
      <c r="M60" s="509"/>
      <c r="N60" s="509"/>
      <c r="O60" s="509"/>
      <c r="P60" s="392">
        <f t="shared" si="8"/>
        <v>75998.344482</v>
      </c>
      <c r="Q60" s="392">
        <f t="shared" si="2"/>
        <v>0</v>
      </c>
      <c r="R60" s="392">
        <f t="shared" si="3"/>
        <v>0</v>
      </c>
      <c r="S60" s="319">
        <v>72954.87</v>
      </c>
      <c r="T60" s="374"/>
      <c r="U60" s="18">
        <f t="shared" si="9"/>
        <v>-0.13000000000465661</v>
      </c>
      <c r="V60" s="377">
        <f t="shared" si="10"/>
        <v>72955</v>
      </c>
      <c r="W60" s="18">
        <f t="shared" si="11"/>
        <v>72032.521953337069</v>
      </c>
      <c r="X60" s="520">
        <f t="shared" si="12"/>
        <v>922.47804666293086</v>
      </c>
      <c r="Y60" s="525">
        <f t="shared" si="13"/>
        <v>47806.461099695181</v>
      </c>
    </row>
    <row r="61" spans="3:25" x14ac:dyDescent="0.2">
      <c r="C61" s="387">
        <f t="shared" si="4"/>
        <v>42503</v>
      </c>
      <c r="D61" s="388">
        <f t="shared" si="5"/>
        <v>149288.64774193548</v>
      </c>
      <c r="E61" s="392">
        <f t="shared" si="6"/>
        <v>74583.55</v>
      </c>
      <c r="F61" s="428">
        <f t="shared" si="0"/>
        <v>0.91012908999999997</v>
      </c>
      <c r="G61" s="390">
        <f t="shared" si="7"/>
        <v>67.880700000000004</v>
      </c>
      <c r="H61" s="391">
        <f t="shared" si="1"/>
        <v>223940.98857102552</v>
      </c>
      <c r="I61" s="324">
        <v>72955</v>
      </c>
      <c r="J61" s="325"/>
      <c r="K61" s="325"/>
      <c r="L61" s="317">
        <v>74583.55</v>
      </c>
      <c r="M61" s="508"/>
      <c r="N61" s="508"/>
      <c r="O61" s="508"/>
      <c r="P61" s="392">
        <f t="shared" si="8"/>
        <v>74583.55</v>
      </c>
      <c r="Q61" s="392">
        <f t="shared" si="2"/>
        <v>0</v>
      </c>
      <c r="R61" s="392">
        <f t="shared" si="3"/>
        <v>0</v>
      </c>
      <c r="S61" s="317">
        <v>72954.87</v>
      </c>
      <c r="T61" s="374"/>
      <c r="U61" s="18">
        <f t="shared" si="9"/>
        <v>-0.13000000000465661</v>
      </c>
      <c r="V61" s="377">
        <f t="shared" si="10"/>
        <v>72955</v>
      </c>
      <c r="W61" s="18">
        <f t="shared" si="11"/>
        <v>70691.55570889129</v>
      </c>
      <c r="X61" s="520">
        <f t="shared" si="12"/>
        <v>2263.4442911087099</v>
      </c>
      <c r="Y61" s="525">
        <f t="shared" si="13"/>
        <v>50069.905390803891</v>
      </c>
    </row>
    <row r="62" spans="3:25" x14ac:dyDescent="0.2">
      <c r="C62" s="387">
        <f t="shared" si="4"/>
        <v>42504</v>
      </c>
      <c r="D62" s="388">
        <f t="shared" si="5"/>
        <v>149288.64774193548</v>
      </c>
      <c r="E62" s="392">
        <f t="shared" si="6"/>
        <v>69263.16</v>
      </c>
      <c r="F62" s="428">
        <f t="shared" si="0"/>
        <v>0.91012908999999997</v>
      </c>
      <c r="G62" s="390">
        <f t="shared" si="7"/>
        <v>63.038400000000003</v>
      </c>
      <c r="H62" s="391">
        <f t="shared" si="1"/>
        <v>218615.75627102549</v>
      </c>
      <c r="I62" s="324">
        <v>72955</v>
      </c>
      <c r="J62" s="325"/>
      <c r="K62" s="325"/>
      <c r="L62" s="319">
        <v>69263.16</v>
      </c>
      <c r="M62" s="509"/>
      <c r="N62" s="509"/>
      <c r="O62" s="509"/>
      <c r="P62" s="392">
        <f t="shared" si="8"/>
        <v>69263.16</v>
      </c>
      <c r="Q62" s="392">
        <f t="shared" si="2"/>
        <v>0</v>
      </c>
      <c r="R62" s="392">
        <f t="shared" si="3"/>
        <v>0</v>
      </c>
      <c r="S62" s="319">
        <v>72954.87</v>
      </c>
      <c r="T62" s="374"/>
      <c r="U62" s="18">
        <f t="shared" si="9"/>
        <v>-0.13000000000465661</v>
      </c>
      <c r="V62" s="377">
        <f t="shared" si="10"/>
        <v>72955</v>
      </c>
      <c r="W62" s="18">
        <f t="shared" si="11"/>
        <v>65648.799684566504</v>
      </c>
      <c r="X62" s="520">
        <f t="shared" si="12"/>
        <v>7306.2003154334961</v>
      </c>
      <c r="Y62" s="525">
        <f t="shared" si="13"/>
        <v>57376.105706237387</v>
      </c>
    </row>
    <row r="63" spans="3:25" x14ac:dyDescent="0.2">
      <c r="C63" s="387">
        <f t="shared" si="4"/>
        <v>42505</v>
      </c>
      <c r="D63" s="388">
        <f t="shared" si="5"/>
        <v>149288.64774193548</v>
      </c>
      <c r="E63" s="392">
        <f t="shared" si="6"/>
        <v>73522.38</v>
      </c>
      <c r="F63" s="428">
        <f t="shared" si="0"/>
        <v>0.91012908999999997</v>
      </c>
      <c r="G63" s="390">
        <f t="shared" si="7"/>
        <v>66.914900000000003</v>
      </c>
      <c r="H63" s="391">
        <f t="shared" si="1"/>
        <v>222878.8527710255</v>
      </c>
      <c r="I63" s="324">
        <v>72955</v>
      </c>
      <c r="J63" s="325"/>
      <c r="K63" s="325"/>
      <c r="L63" s="317">
        <v>73522.38</v>
      </c>
      <c r="M63" s="508"/>
      <c r="N63" s="508"/>
      <c r="O63" s="508"/>
      <c r="P63" s="392">
        <f t="shared" si="8"/>
        <v>73522.38</v>
      </c>
      <c r="Q63" s="392">
        <f t="shared" si="2"/>
        <v>0</v>
      </c>
      <c r="R63" s="392">
        <f t="shared" si="3"/>
        <v>0</v>
      </c>
      <c r="S63" s="317">
        <v>72954.87</v>
      </c>
      <c r="T63" s="374"/>
      <c r="U63" s="18">
        <f t="shared" si="9"/>
        <v>-0.13000000000465661</v>
      </c>
      <c r="V63" s="377">
        <f t="shared" si="10"/>
        <v>72955</v>
      </c>
      <c r="W63" s="18">
        <f t="shared" si="11"/>
        <v>69685.760755827185</v>
      </c>
      <c r="X63" s="520">
        <f t="shared" si="12"/>
        <v>3269.2392441728152</v>
      </c>
      <c r="Y63" s="525">
        <f t="shared" si="13"/>
        <v>60645.344950410203</v>
      </c>
    </row>
    <row r="64" spans="3:25" x14ac:dyDescent="0.2">
      <c r="C64" s="387">
        <f t="shared" si="4"/>
        <v>42506</v>
      </c>
      <c r="D64" s="388">
        <f t="shared" si="5"/>
        <v>149288.64774193548</v>
      </c>
      <c r="E64" s="392">
        <f t="shared" si="6"/>
        <v>74653.52</v>
      </c>
      <c r="F64" s="428">
        <f t="shared" si="0"/>
        <v>0.91012908999999997</v>
      </c>
      <c r="G64" s="390">
        <f t="shared" si="7"/>
        <v>67.944299999999998</v>
      </c>
      <c r="H64" s="391">
        <f t="shared" si="1"/>
        <v>224011.02217102548</v>
      </c>
      <c r="I64" s="324">
        <v>72955</v>
      </c>
      <c r="J64" s="325"/>
      <c r="K64" s="325"/>
      <c r="L64" s="319">
        <v>74653.52</v>
      </c>
      <c r="M64" s="509"/>
      <c r="N64" s="509"/>
      <c r="O64" s="509"/>
      <c r="P64" s="392">
        <f t="shared" si="8"/>
        <v>74653.52</v>
      </c>
      <c r="Q64" s="392">
        <f t="shared" si="2"/>
        <v>0</v>
      </c>
      <c r="R64" s="392">
        <f t="shared" si="3"/>
        <v>0</v>
      </c>
      <c r="S64" s="319">
        <v>72954.87</v>
      </c>
      <c r="T64" s="374"/>
      <c r="U64" s="18">
        <f t="shared" si="9"/>
        <v>-0.13000000000465661</v>
      </c>
      <c r="V64" s="377">
        <f t="shared" si="10"/>
        <v>72955</v>
      </c>
      <c r="W64" s="18">
        <f t="shared" si="11"/>
        <v>70757.874463535583</v>
      </c>
      <c r="X64" s="520">
        <f t="shared" si="12"/>
        <v>2197.1255364644167</v>
      </c>
      <c r="Y64" s="525">
        <f t="shared" si="13"/>
        <v>62842.470486874619</v>
      </c>
    </row>
    <row r="65" spans="3:38" x14ac:dyDescent="0.2">
      <c r="C65" s="387">
        <f t="shared" si="4"/>
        <v>42507</v>
      </c>
      <c r="D65" s="388">
        <f t="shared" si="5"/>
        <v>149288.64774193548</v>
      </c>
      <c r="E65" s="392">
        <f t="shared" si="6"/>
        <v>76100.851999999999</v>
      </c>
      <c r="F65" s="428">
        <f t="shared" si="0"/>
        <v>0.91012908999999997</v>
      </c>
      <c r="G65" s="390">
        <f t="shared" si="7"/>
        <v>69.261600000000001</v>
      </c>
      <c r="H65" s="391">
        <f t="shared" si="1"/>
        <v>225459.67147102547</v>
      </c>
      <c r="I65" s="324">
        <v>72955</v>
      </c>
      <c r="J65" s="325"/>
      <c r="K65" s="325"/>
      <c r="L65" s="317">
        <v>76100.851999999999</v>
      </c>
      <c r="M65" s="508"/>
      <c r="N65" s="508"/>
      <c r="O65" s="508"/>
      <c r="P65" s="392">
        <f t="shared" si="8"/>
        <v>76100.851999999999</v>
      </c>
      <c r="Q65" s="392">
        <f t="shared" si="2"/>
        <v>0</v>
      </c>
      <c r="R65" s="392">
        <f t="shared" si="3"/>
        <v>0</v>
      </c>
      <c r="S65" s="317">
        <v>72954.87</v>
      </c>
      <c r="T65" s="374"/>
      <c r="U65" s="18">
        <f t="shared" si="9"/>
        <v>-0.13000000000465661</v>
      </c>
      <c r="V65" s="377">
        <f t="shared" si="10"/>
        <v>72955</v>
      </c>
      <c r="W65" s="18">
        <f t="shared" si="11"/>
        <v>72129.680320286323</v>
      </c>
      <c r="X65" s="520">
        <f t="shared" si="12"/>
        <v>825.31967971367703</v>
      </c>
      <c r="Y65" s="525">
        <f t="shared" si="13"/>
        <v>63667.790166588296</v>
      </c>
    </row>
    <row r="66" spans="3:38" x14ac:dyDescent="0.2">
      <c r="C66" s="387">
        <f t="shared" si="4"/>
        <v>42508</v>
      </c>
      <c r="D66" s="388">
        <f t="shared" si="5"/>
        <v>149288.64774193548</v>
      </c>
      <c r="E66" s="392">
        <f t="shared" si="6"/>
        <v>76177.539999999994</v>
      </c>
      <c r="F66" s="428">
        <f t="shared" si="0"/>
        <v>0.91012908999999997</v>
      </c>
      <c r="G66" s="390">
        <f t="shared" si="7"/>
        <v>69.331400000000002</v>
      </c>
      <c r="H66" s="391">
        <f t="shared" si="1"/>
        <v>225536.4292710255</v>
      </c>
      <c r="I66" s="324">
        <v>72955</v>
      </c>
      <c r="J66" s="325"/>
      <c r="K66" s="325"/>
      <c r="L66" s="319">
        <v>76177.539999999994</v>
      </c>
      <c r="M66" s="509"/>
      <c r="N66" s="509"/>
      <c r="O66" s="509"/>
      <c r="P66" s="392">
        <f t="shared" si="8"/>
        <v>76177.539999999994</v>
      </c>
      <c r="Q66" s="392">
        <f t="shared" si="2"/>
        <v>0</v>
      </c>
      <c r="R66" s="392">
        <f t="shared" si="3"/>
        <v>0</v>
      </c>
      <c r="S66" s="319">
        <v>72954.87</v>
      </c>
      <c r="T66" s="374"/>
      <c r="U66" s="18">
        <f t="shared" si="9"/>
        <v>-0.13000000000465661</v>
      </c>
      <c r="V66" s="377">
        <f t="shared" si="10"/>
        <v>72955</v>
      </c>
      <c r="W66" s="18">
        <f t="shared" si="11"/>
        <v>72202.366509455416</v>
      </c>
      <c r="X66" s="520">
        <f t="shared" si="12"/>
        <v>752.63349054458376</v>
      </c>
      <c r="Y66" s="525">
        <f t="shared" si="13"/>
        <v>64420.42365713288</v>
      </c>
    </row>
    <row r="67" spans="3:38" x14ac:dyDescent="0.2">
      <c r="C67" s="387">
        <f t="shared" si="4"/>
        <v>42509</v>
      </c>
      <c r="D67" s="388">
        <f t="shared" si="5"/>
        <v>149288.64774193548</v>
      </c>
      <c r="E67" s="392">
        <f t="shared" si="6"/>
        <v>73410.69</v>
      </c>
      <c r="F67" s="428">
        <f t="shared" si="0"/>
        <v>0.91012908999999997</v>
      </c>
      <c r="G67" s="390">
        <f t="shared" si="7"/>
        <v>66.813199999999995</v>
      </c>
      <c r="H67" s="391">
        <f t="shared" si="1"/>
        <v>222767.0610710255</v>
      </c>
      <c r="I67" s="324">
        <v>72955</v>
      </c>
      <c r="J67" s="325"/>
      <c r="K67" s="325"/>
      <c r="L67" s="317">
        <v>73410.69</v>
      </c>
      <c r="M67" s="508"/>
      <c r="N67" s="508"/>
      <c r="O67" s="508"/>
      <c r="P67" s="392">
        <f t="shared" si="8"/>
        <v>73410.69</v>
      </c>
      <c r="Q67" s="392">
        <f t="shared" si="2"/>
        <v>0</v>
      </c>
      <c r="R67" s="392">
        <f t="shared" si="3"/>
        <v>0</v>
      </c>
      <c r="S67" s="317">
        <v>72954.87</v>
      </c>
      <c r="T67" s="374"/>
      <c r="U67" s="18">
        <f t="shared" si="9"/>
        <v>-0.13000000000465661</v>
      </c>
      <c r="V67" s="377">
        <f t="shared" si="10"/>
        <v>72955</v>
      </c>
      <c r="W67" s="18">
        <f t="shared" si="11"/>
        <v>69579.899076447124</v>
      </c>
      <c r="X67" s="520">
        <f t="shared" si="12"/>
        <v>3375.1009235528763</v>
      </c>
      <c r="Y67" s="525">
        <f t="shared" si="13"/>
        <v>67795.524580685757</v>
      </c>
    </row>
    <row r="68" spans="3:38" x14ac:dyDescent="0.2">
      <c r="C68" s="387">
        <f t="shared" si="4"/>
        <v>42510</v>
      </c>
      <c r="D68" s="388">
        <f t="shared" si="5"/>
        <v>149288.64774193548</v>
      </c>
      <c r="E68" s="392">
        <f t="shared" si="6"/>
        <v>72313.740000000005</v>
      </c>
      <c r="F68" s="428">
        <f t="shared" si="0"/>
        <v>0.91012908999999997</v>
      </c>
      <c r="G68" s="390">
        <f t="shared" si="7"/>
        <v>65.814800000000005</v>
      </c>
      <c r="H68" s="391">
        <f t="shared" si="1"/>
        <v>221669.1126710255</v>
      </c>
      <c r="I68" s="324">
        <v>72955</v>
      </c>
      <c r="J68" s="325"/>
      <c r="K68" s="325"/>
      <c r="L68" s="319">
        <v>72313.740000000005</v>
      </c>
      <c r="M68" s="509"/>
      <c r="N68" s="509"/>
      <c r="O68" s="509"/>
      <c r="P68" s="392">
        <f t="shared" si="8"/>
        <v>72313.740000000005</v>
      </c>
      <c r="Q68" s="392">
        <f t="shared" si="2"/>
        <v>0</v>
      </c>
      <c r="R68" s="392">
        <f t="shared" si="3"/>
        <v>0</v>
      </c>
      <c r="S68" s="319">
        <v>72954.87</v>
      </c>
      <c r="T68" s="374"/>
      <c r="U68" s="18">
        <f t="shared" si="9"/>
        <v>-0.13000000000465661</v>
      </c>
      <c r="V68" s="377">
        <f t="shared" si="10"/>
        <v>72955</v>
      </c>
      <c r="W68" s="18">
        <f t="shared" si="11"/>
        <v>68540.19123155548</v>
      </c>
      <c r="X68" s="520">
        <f t="shared" si="12"/>
        <v>4414.80876844452</v>
      </c>
      <c r="Y68" s="525">
        <f t="shared" si="13"/>
        <v>72210.333349130276</v>
      </c>
    </row>
    <row r="69" spans="3:38" x14ac:dyDescent="0.2">
      <c r="C69" s="387">
        <f t="shared" si="4"/>
        <v>42511</v>
      </c>
      <c r="D69" s="388">
        <f t="shared" si="5"/>
        <v>149288.64774193548</v>
      </c>
      <c r="E69" s="392">
        <f t="shared" si="6"/>
        <v>75721.38</v>
      </c>
      <c r="F69" s="428">
        <f t="shared" si="0"/>
        <v>0.91012908999999997</v>
      </c>
      <c r="G69" s="390">
        <f t="shared" si="7"/>
        <v>68.916200000000003</v>
      </c>
      <c r="H69" s="391">
        <f t="shared" si="1"/>
        <v>225079.8540710255</v>
      </c>
      <c r="I69" s="324">
        <v>72955</v>
      </c>
      <c r="J69" s="325"/>
      <c r="K69" s="325"/>
      <c r="L69" s="317">
        <v>75721.38</v>
      </c>
      <c r="M69" s="508"/>
      <c r="N69" s="508"/>
      <c r="O69" s="508"/>
      <c r="P69" s="392">
        <f t="shared" si="8"/>
        <v>75721.38</v>
      </c>
      <c r="Q69" s="392">
        <f t="shared" si="2"/>
        <v>0</v>
      </c>
      <c r="R69" s="392">
        <f t="shared" si="3"/>
        <v>0</v>
      </c>
      <c r="S69" s="317">
        <v>72954.87</v>
      </c>
      <c r="T69" s="374"/>
      <c r="U69" s="18">
        <f t="shared" si="9"/>
        <v>-0.13000000000465661</v>
      </c>
      <c r="V69" s="377">
        <f t="shared" si="10"/>
        <v>72955</v>
      </c>
      <c r="W69" s="18">
        <f t="shared" si="11"/>
        <v>71770.010312248836</v>
      </c>
      <c r="X69" s="520">
        <f t="shared" si="12"/>
        <v>1184.9896877511637</v>
      </c>
      <c r="Y69" s="525">
        <f t="shared" si="13"/>
        <v>73395.32303688144</v>
      </c>
    </row>
    <row r="70" spans="3:38" x14ac:dyDescent="0.2">
      <c r="C70" s="387">
        <f t="shared" si="4"/>
        <v>42512</v>
      </c>
      <c r="D70" s="388">
        <f t="shared" si="5"/>
        <v>149288.64774193548</v>
      </c>
      <c r="E70" s="392">
        <f t="shared" si="6"/>
        <v>71936.3</v>
      </c>
      <c r="F70" s="428">
        <f t="shared" si="0"/>
        <v>0.91012908999999997</v>
      </c>
      <c r="G70" s="390">
        <f t="shared" si="7"/>
        <v>65.471299999999999</v>
      </c>
      <c r="H70" s="391">
        <f t="shared" si="1"/>
        <v>221291.32917102551</v>
      </c>
      <c r="I70" s="324">
        <v>72955</v>
      </c>
      <c r="J70" s="325"/>
      <c r="K70" s="325"/>
      <c r="L70" s="319">
        <v>71936.3</v>
      </c>
      <c r="M70" s="509"/>
      <c r="N70" s="509"/>
      <c r="O70" s="509"/>
      <c r="P70" s="392">
        <f t="shared" si="8"/>
        <v>71936.3</v>
      </c>
      <c r="Q70" s="392">
        <f t="shared" si="2"/>
        <v>0</v>
      </c>
      <c r="R70" s="392">
        <f t="shared" si="3"/>
        <v>0</v>
      </c>
      <c r="S70" s="319">
        <v>72954.87</v>
      </c>
      <c r="T70" s="374"/>
      <c r="U70" s="18">
        <f t="shared" si="9"/>
        <v>-0.13000000000465661</v>
      </c>
      <c r="V70" s="377">
        <f t="shared" si="10"/>
        <v>72955</v>
      </c>
      <c r="W70" s="18">
        <f t="shared" si="11"/>
        <v>68182.44718763743</v>
      </c>
      <c r="X70" s="520">
        <f t="shared" si="12"/>
        <v>4772.55281236257</v>
      </c>
      <c r="Y70" s="525">
        <f t="shared" si="13"/>
        <v>78167.87584924401</v>
      </c>
    </row>
    <row r="71" spans="3:38" x14ac:dyDescent="0.2">
      <c r="C71" s="387">
        <f t="shared" si="4"/>
        <v>42513</v>
      </c>
      <c r="D71" s="388">
        <f t="shared" si="5"/>
        <v>149288.64774193548</v>
      </c>
      <c r="E71" s="392">
        <f t="shared" si="6"/>
        <v>76275.55</v>
      </c>
      <c r="F71" s="428">
        <f t="shared" si="0"/>
        <v>0.91012908999999997</v>
      </c>
      <c r="G71" s="390">
        <f t="shared" si="7"/>
        <v>69.420599999999993</v>
      </c>
      <c r="H71" s="391">
        <f t="shared" si="1"/>
        <v>225634.52847102552</v>
      </c>
      <c r="I71" s="324">
        <v>72955</v>
      </c>
      <c r="J71" s="325"/>
      <c r="K71" s="325"/>
      <c r="L71" s="317">
        <v>76275.55</v>
      </c>
      <c r="M71" s="508"/>
      <c r="N71" s="508"/>
      <c r="O71" s="508"/>
      <c r="P71" s="392">
        <f t="shared" si="8"/>
        <v>76275.55</v>
      </c>
      <c r="Q71" s="392">
        <f t="shared" si="2"/>
        <v>0</v>
      </c>
      <c r="R71" s="392">
        <f t="shared" si="3"/>
        <v>0</v>
      </c>
      <c r="S71" s="317">
        <v>72954.87</v>
      </c>
      <c r="T71" s="374"/>
      <c r="U71" s="18">
        <f t="shared" si="9"/>
        <v>-0.13000000000465661</v>
      </c>
      <c r="V71" s="377">
        <f t="shared" si="10"/>
        <v>72955</v>
      </c>
      <c r="W71" s="18">
        <f t="shared" si="11"/>
        <v>72295.262052440827</v>
      </c>
      <c r="X71" s="520">
        <f t="shared" si="12"/>
        <v>659.73794755917334</v>
      </c>
      <c r="Y71" s="525">
        <f t="shared" si="13"/>
        <v>78827.613796803184</v>
      </c>
    </row>
    <row r="72" spans="3:38" x14ac:dyDescent="0.2">
      <c r="C72" s="387">
        <f t="shared" si="4"/>
        <v>42514</v>
      </c>
      <c r="D72" s="388">
        <f t="shared" si="5"/>
        <v>149288.64774193548</v>
      </c>
      <c r="E72" s="392">
        <f t="shared" si="6"/>
        <v>76274.460000000006</v>
      </c>
      <c r="F72" s="428">
        <f t="shared" si="0"/>
        <v>0.91012908999999997</v>
      </c>
      <c r="G72" s="390">
        <f>ROUND(I$24*F72*E72,4)</f>
        <v>69.419600000000003</v>
      </c>
      <c r="H72" s="391">
        <f t="shared" si="1"/>
        <v>225633.43747102548</v>
      </c>
      <c r="I72" s="324">
        <v>72955</v>
      </c>
      <c r="J72" s="325"/>
      <c r="K72" s="325"/>
      <c r="L72" s="319">
        <v>76274.460000000006</v>
      </c>
      <c r="M72" s="509"/>
      <c r="N72" s="509"/>
      <c r="O72" s="509"/>
      <c r="P72" s="392">
        <f t="shared" si="8"/>
        <v>76274.460000000006</v>
      </c>
      <c r="Q72" s="392">
        <f t="shared" si="2"/>
        <v>0</v>
      </c>
      <c r="R72" s="392">
        <f t="shared" si="3"/>
        <v>0</v>
      </c>
      <c r="S72" s="319">
        <v>72954.87</v>
      </c>
      <c r="T72" s="374"/>
      <c r="U72" s="18">
        <f t="shared" si="9"/>
        <v>-0.13000000000465661</v>
      </c>
      <c r="V72" s="377">
        <f t="shared" si="10"/>
        <v>72955</v>
      </c>
      <c r="W72" s="18">
        <f t="shared" si="11"/>
        <v>72294.228931923994</v>
      </c>
      <c r="X72" s="520">
        <f t="shared" si="12"/>
        <v>660.77106807600649</v>
      </c>
      <c r="Y72" s="525">
        <f t="shared" si="13"/>
        <v>79488.38486487919</v>
      </c>
    </row>
    <row r="73" spans="3:38" x14ac:dyDescent="0.2">
      <c r="C73" s="387">
        <f t="shared" si="4"/>
        <v>42515</v>
      </c>
      <c r="D73" s="388">
        <f t="shared" si="5"/>
        <v>149288.64774193548</v>
      </c>
      <c r="E73" s="392">
        <f t="shared" si="6"/>
        <v>76345.25</v>
      </c>
      <c r="F73" s="428">
        <f t="shared" si="0"/>
        <v>0.91012908999999997</v>
      </c>
      <c r="G73" s="390">
        <f t="shared" si="7"/>
        <v>69.483999999999995</v>
      </c>
      <c r="H73" s="391">
        <f t="shared" si="1"/>
        <v>225704.29187102549</v>
      </c>
      <c r="I73" s="324">
        <v>72955</v>
      </c>
      <c r="J73" s="325"/>
      <c r="K73" s="325"/>
      <c r="L73" s="317">
        <v>76345.25</v>
      </c>
      <c r="M73" s="508"/>
      <c r="N73" s="508"/>
      <c r="O73" s="508"/>
      <c r="P73" s="392">
        <f t="shared" si="8"/>
        <v>76345.25</v>
      </c>
      <c r="Q73" s="392">
        <f t="shared" si="2"/>
        <v>0</v>
      </c>
      <c r="R73" s="392">
        <f t="shared" si="3"/>
        <v>0</v>
      </c>
      <c r="S73" s="317">
        <v>72954.87</v>
      </c>
      <c r="T73" s="374"/>
      <c r="U73" s="18">
        <f t="shared" si="9"/>
        <v>-0.13000000000465661</v>
      </c>
      <c r="V73" s="377">
        <f t="shared" si="10"/>
        <v>72955</v>
      </c>
      <c r="W73" s="18">
        <f t="shared" si="11"/>
        <v>72361.32489649838</v>
      </c>
      <c r="X73" s="520">
        <f t="shared" si="12"/>
        <v>593.67510350162047</v>
      </c>
      <c r="Y73" s="525">
        <f t="shared" si="13"/>
        <v>80082.05996838081</v>
      </c>
    </row>
    <row r="74" spans="3:38" x14ac:dyDescent="0.2">
      <c r="C74" s="387">
        <f t="shared" si="4"/>
        <v>42516</v>
      </c>
      <c r="D74" s="388">
        <f t="shared" si="5"/>
        <v>149288.64774193548</v>
      </c>
      <c r="E74" s="392">
        <f t="shared" si="6"/>
        <v>73697.279999999999</v>
      </c>
      <c r="F74" s="428">
        <f t="shared" si="0"/>
        <v>0.91012908999999997</v>
      </c>
      <c r="G74" s="390">
        <f t="shared" si="7"/>
        <v>67.073999999999998</v>
      </c>
      <c r="H74" s="391">
        <f t="shared" si="1"/>
        <v>223053.91187102548</v>
      </c>
      <c r="I74" s="324">
        <v>72955</v>
      </c>
      <c r="J74" s="325"/>
      <c r="K74" s="325"/>
      <c r="L74" s="319">
        <v>73697.279999999999</v>
      </c>
      <c r="M74" s="509"/>
      <c r="N74" s="509"/>
      <c r="O74" s="509"/>
      <c r="P74" s="392">
        <f t="shared" si="8"/>
        <v>73697.279999999999</v>
      </c>
      <c r="Q74" s="392">
        <f t="shared" si="2"/>
        <v>0</v>
      </c>
      <c r="R74" s="392">
        <f t="shared" si="3"/>
        <v>0</v>
      </c>
      <c r="S74" s="319">
        <v>72954.87</v>
      </c>
      <c r="T74" s="374"/>
      <c r="U74" s="18">
        <f t="shared" si="9"/>
        <v>-0.13000000000465661</v>
      </c>
      <c r="V74" s="377">
        <f t="shared" si="10"/>
        <v>72955</v>
      </c>
      <c r="W74" s="18">
        <f t="shared" si="11"/>
        <v>69851.533947013231</v>
      </c>
      <c r="X74" s="520">
        <f t="shared" si="12"/>
        <v>3103.4660529867688</v>
      </c>
      <c r="Y74" s="525">
        <f t="shared" si="13"/>
        <v>83185.526021367579</v>
      </c>
    </row>
    <row r="75" spans="3:38" x14ac:dyDescent="0.2">
      <c r="C75" s="387">
        <f t="shared" si="4"/>
        <v>42517</v>
      </c>
      <c r="D75" s="388">
        <f t="shared" si="5"/>
        <v>149288.64774193548</v>
      </c>
      <c r="E75" s="392">
        <f t="shared" si="6"/>
        <v>72098.89</v>
      </c>
      <c r="F75" s="428">
        <f t="shared" si="0"/>
        <v>0.91012908999999997</v>
      </c>
      <c r="G75" s="390">
        <f t="shared" si="7"/>
        <v>65.619299999999996</v>
      </c>
      <c r="H75" s="391">
        <f t="shared" si="1"/>
        <v>221454.06717102547</v>
      </c>
      <c r="I75" s="324">
        <v>72955</v>
      </c>
      <c r="J75" s="325"/>
      <c r="K75" s="325"/>
      <c r="L75" s="317">
        <v>72098.89</v>
      </c>
      <c r="M75" s="508"/>
      <c r="N75" s="508"/>
      <c r="O75" s="508"/>
      <c r="P75" s="392">
        <f t="shared" si="8"/>
        <v>72098.89</v>
      </c>
      <c r="Q75" s="392">
        <f t="shared" si="2"/>
        <v>0</v>
      </c>
      <c r="R75" s="392">
        <f t="shared" si="3"/>
        <v>0</v>
      </c>
      <c r="S75" s="317">
        <v>72954.87</v>
      </c>
      <c r="T75" s="374"/>
      <c r="U75" s="18">
        <f t="shared" si="9"/>
        <v>-0.13000000000465661</v>
      </c>
      <c r="V75" s="377">
        <f t="shared" si="10"/>
        <v>72955</v>
      </c>
      <c r="W75" s="18">
        <f t="shared" si="11"/>
        <v>68336.552751702286</v>
      </c>
      <c r="X75" s="520">
        <f t="shared" si="12"/>
        <v>4618.4472482977144</v>
      </c>
      <c r="Y75" s="525">
        <f t="shared" si="13"/>
        <v>87803.973269665294</v>
      </c>
    </row>
    <row r="76" spans="3:38" x14ac:dyDescent="0.2">
      <c r="C76" s="387">
        <f t="shared" si="4"/>
        <v>42518</v>
      </c>
      <c r="D76" s="388">
        <f t="shared" si="5"/>
        <v>149288.64774193548</v>
      </c>
      <c r="E76" s="392">
        <f t="shared" si="6"/>
        <v>72197.75</v>
      </c>
      <c r="F76" s="428">
        <f t="shared" si="0"/>
        <v>0.91012908999999997</v>
      </c>
      <c r="G76" s="390">
        <f t="shared" si="7"/>
        <v>65.709299999999999</v>
      </c>
      <c r="H76" s="391">
        <f t="shared" si="1"/>
        <v>221553.01717102548</v>
      </c>
      <c r="I76" s="324">
        <v>72955</v>
      </c>
      <c r="J76" s="325"/>
      <c r="K76" s="325"/>
      <c r="L76" s="319">
        <v>72197.75</v>
      </c>
      <c r="M76" s="509"/>
      <c r="N76" s="509"/>
      <c r="O76" s="509"/>
      <c r="P76" s="392">
        <f t="shared" si="8"/>
        <v>72197.75</v>
      </c>
      <c r="Q76" s="392">
        <f t="shared" si="2"/>
        <v>0</v>
      </c>
      <c r="R76" s="392">
        <f t="shared" si="3"/>
        <v>0</v>
      </c>
      <c r="S76" s="319">
        <v>72954.87</v>
      </c>
      <c r="T76" s="374"/>
      <c r="U76" s="18">
        <f t="shared" si="9"/>
        <v>-0.13000000000465661</v>
      </c>
      <c r="V76" s="377">
        <f t="shared" si="10"/>
        <v>72955</v>
      </c>
      <c r="W76" s="18">
        <f t="shared" si="11"/>
        <v>68430.253939127404</v>
      </c>
      <c r="X76" s="520">
        <f t="shared" si="12"/>
        <v>4524.746060872596</v>
      </c>
      <c r="Y76" s="525">
        <f t="shared" si="13"/>
        <v>92328.71933053789</v>
      </c>
    </row>
    <row r="77" spans="3:38" x14ac:dyDescent="0.2">
      <c r="C77" s="387">
        <f t="shared" si="4"/>
        <v>42519</v>
      </c>
      <c r="D77" s="388">
        <f t="shared" si="5"/>
        <v>149288.64774193548</v>
      </c>
      <c r="E77" s="392">
        <f t="shared" si="6"/>
        <v>72079.86</v>
      </c>
      <c r="F77" s="428">
        <f t="shared" si="0"/>
        <v>0.91012908999999997</v>
      </c>
      <c r="G77" s="390">
        <f t="shared" si="7"/>
        <v>65.602000000000004</v>
      </c>
      <c r="H77" s="391">
        <f t="shared" si="1"/>
        <v>221435.01987102552</v>
      </c>
      <c r="I77" s="324">
        <v>72955</v>
      </c>
      <c r="J77" s="325"/>
      <c r="K77" s="325"/>
      <c r="L77" s="317">
        <v>72079.86</v>
      </c>
      <c r="M77" s="508"/>
      <c r="N77" s="508"/>
      <c r="O77" s="508"/>
      <c r="P77" s="392">
        <f t="shared" si="8"/>
        <v>72079.86</v>
      </c>
      <c r="Q77" s="392">
        <f t="shared" si="2"/>
        <v>0</v>
      </c>
      <c r="R77" s="392">
        <f t="shared" si="3"/>
        <v>0</v>
      </c>
      <c r="S77" s="317">
        <v>72954.87</v>
      </c>
      <c r="T77" s="374"/>
      <c r="U77" s="18">
        <f t="shared" si="9"/>
        <v>-0.13000000000465661</v>
      </c>
      <c r="V77" s="377">
        <f t="shared" si="10"/>
        <v>72955</v>
      </c>
      <c r="W77" s="18">
        <f t="shared" si="11"/>
        <v>68318.515794422288</v>
      </c>
      <c r="X77" s="520">
        <f t="shared" si="12"/>
        <v>4636.4842055777117</v>
      </c>
      <c r="Y77" s="525">
        <f t="shared" si="13"/>
        <v>96965.203536115601</v>
      </c>
    </row>
    <row r="78" spans="3:38" x14ac:dyDescent="0.2">
      <c r="C78" s="387">
        <f t="shared" si="4"/>
        <v>42520</v>
      </c>
      <c r="D78" s="388">
        <f t="shared" si="5"/>
        <v>149288.64774193548</v>
      </c>
      <c r="E78" s="392">
        <f t="shared" si="6"/>
        <v>72011.039999999994</v>
      </c>
      <c r="F78" s="428">
        <f t="shared" si="0"/>
        <v>0.91012908999999997</v>
      </c>
      <c r="G78" s="390">
        <f t="shared" si="7"/>
        <v>65.539299999999997</v>
      </c>
      <c r="H78" s="391">
        <f t="shared" si="1"/>
        <v>221366.1371710255</v>
      </c>
      <c r="I78" s="324">
        <v>72955</v>
      </c>
      <c r="J78" s="325"/>
      <c r="K78" s="325"/>
      <c r="L78" s="319">
        <v>72011.039999999994</v>
      </c>
      <c r="M78" s="509"/>
      <c r="N78" s="509"/>
      <c r="O78" s="509"/>
      <c r="P78" s="392">
        <f t="shared" si="8"/>
        <v>72011.039999999994</v>
      </c>
      <c r="Q78" s="392">
        <f t="shared" si="2"/>
        <v>0</v>
      </c>
      <c r="R78" s="392">
        <f t="shared" si="3"/>
        <v>0</v>
      </c>
      <c r="S78" s="319">
        <v>72954.87</v>
      </c>
      <c r="T78" s="374"/>
      <c r="U78" s="18">
        <f t="shared" si="9"/>
        <v>-0.13000000000465661</v>
      </c>
      <c r="V78" s="377">
        <f t="shared" si="10"/>
        <v>72955</v>
      </c>
      <c r="W78" s="18">
        <f t="shared" si="11"/>
        <v>68253.287029314073</v>
      </c>
      <c r="X78" s="520">
        <f t="shared" si="12"/>
        <v>4701.7129706859268</v>
      </c>
      <c r="Y78" s="525">
        <f t="shared" si="13"/>
        <v>101666.91650680153</v>
      </c>
    </row>
    <row r="79" spans="3:38" ht="15" thickBot="1" x14ac:dyDescent="0.25">
      <c r="C79" s="393">
        <f t="shared" si="4"/>
        <v>42521</v>
      </c>
      <c r="D79" s="394">
        <f t="shared" si="5"/>
        <v>149288.64774193548</v>
      </c>
      <c r="E79" s="395">
        <f t="shared" si="6"/>
        <v>71814.02</v>
      </c>
      <c r="F79" s="429">
        <f t="shared" si="0"/>
        <v>0.91012908999999997</v>
      </c>
      <c r="G79" s="396">
        <f t="shared" si="7"/>
        <v>65.36</v>
      </c>
      <c r="H79" s="397">
        <f t="shared" si="1"/>
        <v>221168.93787102547</v>
      </c>
      <c r="I79" s="326">
        <v>72955</v>
      </c>
      <c r="J79" s="327"/>
      <c r="K79" s="327"/>
      <c r="L79" s="321">
        <v>71814.02</v>
      </c>
      <c r="M79" s="510"/>
      <c r="N79" s="510"/>
      <c r="O79" s="510"/>
      <c r="P79" s="395">
        <f t="shared" si="8"/>
        <v>71814.02</v>
      </c>
      <c r="Q79" s="395">
        <f t="shared" si="2"/>
        <v>0</v>
      </c>
      <c r="R79" s="395">
        <f t="shared" si="3"/>
        <v>0</v>
      </c>
      <c r="S79" s="321">
        <v>72954.87</v>
      </c>
      <c r="T79" s="376"/>
      <c r="U79" s="379">
        <f t="shared" si="9"/>
        <v>-0.13000000000465661</v>
      </c>
      <c r="V79" s="380">
        <f t="shared" si="10"/>
        <v>72955</v>
      </c>
      <c r="W79" s="379">
        <f t="shared" si="11"/>
        <v>68066.548126355381</v>
      </c>
      <c r="X79" s="528">
        <f t="shared" si="12"/>
        <v>4888.4518736446189</v>
      </c>
      <c r="Y79" s="529">
        <f>Y78+X79</f>
        <v>106555.36838044615</v>
      </c>
    </row>
    <row r="80" spans="3:38" ht="15" thickBot="1" x14ac:dyDescent="0.25">
      <c r="C80" s="398"/>
      <c r="D80" s="399">
        <f>SUM(D49:D79)</f>
        <v>4627948.0800000019</v>
      </c>
      <c r="E80" s="400">
        <f>SUM(E49:E79)</f>
        <v>2293137.4949579998</v>
      </c>
      <c r="F80" s="400"/>
      <c r="G80" s="401">
        <f>SUM(G49:G79)</f>
        <v>2087.0510000000004</v>
      </c>
      <c r="H80" s="399">
        <f>SUM(H49:H79)</f>
        <v>6923200.8399597891</v>
      </c>
      <c r="I80" s="571">
        <f>SUM(I49:I79)</f>
        <v>2261605</v>
      </c>
      <c r="J80" s="572">
        <f t="shared" ref="J80:R80" si="14">SUM(J49:J79)</f>
        <v>0</v>
      </c>
      <c r="K80" s="572">
        <f t="shared" si="14"/>
        <v>0</v>
      </c>
      <c r="L80" s="572">
        <f t="shared" si="14"/>
        <v>2293137.4949579998</v>
      </c>
      <c r="M80" s="572">
        <f t="shared" si="14"/>
        <v>0</v>
      </c>
      <c r="N80" s="572">
        <f t="shared" si="14"/>
        <v>0</v>
      </c>
      <c r="O80" s="572">
        <f t="shared" si="14"/>
        <v>0</v>
      </c>
      <c r="P80" s="572">
        <f t="shared" si="14"/>
        <v>2293137.4949579998</v>
      </c>
      <c r="Q80" s="571">
        <f t="shared" si="14"/>
        <v>0</v>
      </c>
      <c r="R80" s="571">
        <f t="shared" si="14"/>
        <v>0</v>
      </c>
      <c r="S80" s="472">
        <f>SUM(S49:S79)</f>
        <v>2261600.9700000016</v>
      </c>
      <c r="T80" s="1"/>
      <c r="U80" s="1"/>
      <c r="V80" s="328">
        <f>SUM(V49:V79)</f>
        <v>2261605</v>
      </c>
      <c r="W80" s="328">
        <f>SUM(W49:W79)</f>
        <v>2173474.673342458</v>
      </c>
      <c r="X80" s="328">
        <f>SUM(X49:X79)</f>
        <v>88130.326657542348</v>
      </c>
      <c r="Y80" s="323">
        <f>Y79</f>
        <v>106555.36838044615</v>
      </c>
      <c r="AL80" s="361">
        <f>Y79</f>
        <v>106555.36838044615</v>
      </c>
    </row>
    <row r="81" spans="2:14" ht="15" customHeight="1" x14ac:dyDescent="0.2">
      <c r="B81"/>
      <c r="C81"/>
      <c r="D81"/>
      <c r="E81"/>
      <c r="F81"/>
      <c r="G81"/>
      <c r="H81"/>
      <c r="I81"/>
      <c r="J81"/>
      <c r="K81"/>
      <c r="L81"/>
      <c r="N81" s="2"/>
    </row>
  </sheetData>
  <mergeCells count="12">
    <mergeCell ref="C10:D10"/>
    <mergeCell ref="C11:D11"/>
    <mergeCell ref="C3:M4"/>
    <mergeCell ref="C5:M5"/>
    <mergeCell ref="C6:M6"/>
    <mergeCell ref="G7:H7"/>
    <mergeCell ref="C9:D9"/>
    <mergeCell ref="D23:E23"/>
    <mergeCell ref="D24:E24"/>
    <mergeCell ref="C28:F28"/>
    <mergeCell ref="C39:F39"/>
    <mergeCell ref="S47:Y47"/>
  </mergeCells>
  <conditionalFormatting sqref="L49:O79">
    <cfRule type="cellIs" dxfId="138" priority="2" stopIfTrue="1" operator="equal">
      <formula>0</formula>
    </cfRule>
  </conditionalFormatting>
  <conditionalFormatting sqref="S49:S79">
    <cfRule type="cellIs" dxfId="137" priority="1" stopIfTrue="1" operator="equal">
      <formula>0</formula>
    </cfRule>
  </conditionalFormatting>
  <printOptions horizontalCentered="1" verticalCentered="1"/>
  <pageMargins left="0" right="0.70866141732283472" top="0.74803149606299213" bottom="0.74803149606299213" header="0.31496062992125984" footer="0.31496062992125984"/>
  <pageSetup scale="80" orientation="landscape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25" x14ac:dyDescent="0.2"/>
  <sheetData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L81"/>
  <sheetViews>
    <sheetView workbookViewId="0"/>
  </sheetViews>
  <sheetFormatPr baseColWidth="10" defaultColWidth="11" defaultRowHeight="14.25" x14ac:dyDescent="0.2"/>
  <cols>
    <col min="1" max="1" width="11" style="2"/>
    <col min="2" max="2" width="3.875" style="2" bestFit="1" customWidth="1"/>
    <col min="3" max="3" width="16.125" style="2" customWidth="1"/>
    <col min="4" max="4" width="12.375" style="2" bestFit="1" customWidth="1"/>
    <col min="5" max="5" width="10.875" style="2" bestFit="1" customWidth="1"/>
    <col min="6" max="6" width="17.125" style="2" bestFit="1" customWidth="1"/>
    <col min="7" max="7" width="13.125" style="2" bestFit="1" customWidth="1"/>
    <col min="8" max="8" width="12.125" style="2" bestFit="1" customWidth="1"/>
    <col min="9" max="9" width="11.125" style="2" bestFit="1" customWidth="1"/>
    <col min="10" max="10" width="11.875" style="2" bestFit="1" customWidth="1"/>
    <col min="11" max="11" width="11.625" style="2" bestFit="1" customWidth="1"/>
    <col min="12" max="12" width="12.125" style="2" customWidth="1"/>
    <col min="13" max="13" width="11.875" style="2" bestFit="1" customWidth="1"/>
    <col min="14" max="14" width="9" style="1" customWidth="1"/>
    <col min="15" max="15" width="10.375" style="2" customWidth="1"/>
    <col min="16" max="25" width="11" style="2"/>
    <col min="26" max="31" width="10.875" customWidth="1"/>
    <col min="32" max="16384" width="11" style="2"/>
  </cols>
  <sheetData>
    <row r="2" spans="2:25" x14ac:dyDescent="0.2"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2:25" ht="15" customHeight="1" x14ac:dyDescent="0.2">
      <c r="B3" s="1"/>
      <c r="C3" s="2254" t="s">
        <v>0</v>
      </c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</row>
    <row r="4" spans="2:25" ht="15" customHeight="1" x14ac:dyDescent="0.2"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</row>
    <row r="5" spans="2:25" x14ac:dyDescent="0.2">
      <c r="B5" s="1"/>
      <c r="C5" s="2257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</row>
    <row r="6" spans="2:25" x14ac:dyDescent="0.2">
      <c r="B6" s="1"/>
      <c r="C6" s="2257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</row>
    <row r="7" spans="2:25" x14ac:dyDescent="0.2">
      <c r="B7" s="1"/>
      <c r="C7" s="468"/>
      <c r="D7" s="468"/>
      <c r="E7" s="468"/>
      <c r="F7" s="468"/>
      <c r="G7" s="2271">
        <v>42522</v>
      </c>
      <c r="H7" s="2257"/>
      <c r="I7" s="468"/>
      <c r="J7" s="468"/>
      <c r="K7" s="468"/>
      <c r="L7" s="468"/>
      <c r="M7" s="468"/>
      <c r="N7" s="18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2:25" x14ac:dyDescent="0.2">
      <c r="B8" s="1"/>
      <c r="C8" s="468"/>
      <c r="D8" s="468"/>
      <c r="E8" s="468"/>
      <c r="F8" s="468"/>
      <c r="G8" s="468"/>
      <c r="H8" s="468"/>
      <c r="I8" s="468"/>
      <c r="J8" s="468"/>
      <c r="K8" s="468"/>
      <c r="L8" s="468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2:25" ht="25.5" x14ac:dyDescent="0.2">
      <c r="B9" s="1"/>
      <c r="C9" s="2272" t="s">
        <v>6</v>
      </c>
      <c r="D9" s="2272"/>
      <c r="E9" s="470" t="s">
        <v>94</v>
      </c>
      <c r="F9" s="470" t="s">
        <v>126</v>
      </c>
      <c r="G9" s="410" t="s">
        <v>133</v>
      </c>
      <c r="H9" s="470" t="s">
        <v>127</v>
      </c>
      <c r="I9" s="470" t="s">
        <v>128</v>
      </c>
      <c r="J9" s="468"/>
      <c r="K9" s="468"/>
      <c r="L9" s="468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2:25" x14ac:dyDescent="0.2">
      <c r="B10" s="1"/>
      <c r="C10" s="2270" t="s">
        <v>131</v>
      </c>
      <c r="D10" s="2270"/>
      <c r="E10" s="433">
        <f>IF(C15=0,D15,C15)</f>
        <v>4627948.08</v>
      </c>
      <c r="F10" s="407">
        <f>E10*0.16</f>
        <v>740471.69280000008</v>
      </c>
      <c r="G10" s="407">
        <f>E10+F10</f>
        <v>5368419.7728000004</v>
      </c>
      <c r="H10" s="511" t="s">
        <v>195</v>
      </c>
      <c r="I10" s="411">
        <v>19</v>
      </c>
      <c r="J10" s="468"/>
      <c r="K10" s="468"/>
      <c r="L10" s="468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2:25" x14ac:dyDescent="0.2">
      <c r="B11" s="1"/>
      <c r="C11" s="2270" t="s">
        <v>132</v>
      </c>
      <c r="D11" s="2270"/>
      <c r="E11" s="433">
        <f>IF(C16=0,D16,C16)</f>
        <v>2037.73</v>
      </c>
      <c r="F11" s="407">
        <f>E11*0.16</f>
        <v>326.03680000000003</v>
      </c>
      <c r="G11" s="407">
        <f>E11+F11</f>
        <v>2363.7667999999999</v>
      </c>
      <c r="H11" s="511" t="s">
        <v>195</v>
      </c>
      <c r="I11" s="411">
        <v>19</v>
      </c>
      <c r="J11" s="468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2:25" x14ac:dyDescent="0.2">
      <c r="B12" s="1"/>
      <c r="C12" s="468"/>
      <c r="D12" s="468"/>
      <c r="E12" s="468"/>
      <c r="F12" s="468"/>
      <c r="G12" s="468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2:25" ht="15" thickBot="1" x14ac:dyDescent="0.25">
      <c r="B13" s="1"/>
      <c r="C13" s="468"/>
      <c r="D13" s="468"/>
      <c r="E13" s="468"/>
      <c r="F13" s="468"/>
      <c r="G13" s="468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2:25" x14ac:dyDescent="0.2">
      <c r="B14" s="1"/>
      <c r="C14" s="440" t="s">
        <v>155</v>
      </c>
      <c r="D14" s="441" t="s">
        <v>156</v>
      </c>
      <c r="E14" s="442" t="s">
        <v>112</v>
      </c>
      <c r="F14" s="468"/>
      <c r="G14" s="468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2:25" x14ac:dyDescent="0.2">
      <c r="B15" s="1"/>
      <c r="C15" s="443">
        <v>4627948.08</v>
      </c>
      <c r="D15" s="444">
        <f>D80</f>
        <v>4627948.0800000029</v>
      </c>
      <c r="E15" s="445">
        <f>C15-D15</f>
        <v>0</v>
      </c>
      <c r="F15" s="468"/>
      <c r="G15" s="468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2:25" ht="15" thickBot="1" x14ac:dyDescent="0.25">
      <c r="B16" s="1"/>
      <c r="C16" s="446">
        <v>2037.73</v>
      </c>
      <c r="D16" s="447">
        <f>ROUND(G80,2)</f>
        <v>2037.73</v>
      </c>
      <c r="E16" s="448">
        <f>C16-D16</f>
        <v>0</v>
      </c>
      <c r="F16" s="468"/>
      <c r="G16" s="468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2:25" x14ac:dyDescent="0.2">
      <c r="B17" s="1"/>
      <c r="C17" s="468"/>
      <c r="D17" s="468"/>
      <c r="E17" s="468"/>
      <c r="F17" s="468"/>
      <c r="G17" s="468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2:25" x14ac:dyDescent="0.2">
      <c r="B18" s="1"/>
      <c r="C18" s="468"/>
      <c r="D18" s="468"/>
      <c r="E18" s="468"/>
      <c r="F18" s="468"/>
      <c r="G18" s="468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2:25" x14ac:dyDescent="0.2">
      <c r="B19" s="1"/>
      <c r="C19" s="468"/>
      <c r="D19" s="468"/>
      <c r="E19" s="468"/>
      <c r="F19" s="468"/>
      <c r="G19" s="468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2:25" x14ac:dyDescent="0.2">
      <c r="B20" s="1"/>
      <c r="C20" s="468"/>
      <c r="D20" s="468"/>
      <c r="E20" s="468"/>
      <c r="F20" s="468"/>
      <c r="G20" s="468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2:25" x14ac:dyDescent="0.2">
      <c r="B21" s="1"/>
      <c r="C21" s="468"/>
      <c r="D21" s="468"/>
      <c r="E21" s="468"/>
      <c r="F21" s="468"/>
      <c r="G21" s="468"/>
      <c r="H21" s="1"/>
      <c r="I21" s="1"/>
      <c r="J21" s="1"/>
      <c r="K21" s="1"/>
      <c r="L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2:25" ht="15" thickBot="1" x14ac:dyDescent="0.25">
      <c r="B22" s="1"/>
      <c r="C22" s="419" t="s">
        <v>137</v>
      </c>
      <c r="D22" s="468" t="s">
        <v>138</v>
      </c>
      <c r="E22" s="468"/>
      <c r="F22" s="468" t="s">
        <v>139</v>
      </c>
      <c r="G22" s="468" t="s">
        <v>157</v>
      </c>
      <c r="H22" s="468" t="s">
        <v>143</v>
      </c>
      <c r="I22" s="468" t="s">
        <v>142</v>
      </c>
      <c r="J22" s="468" t="s">
        <v>141</v>
      </c>
      <c r="K22" s="468" t="s">
        <v>140</v>
      </c>
      <c r="L22" s="468" t="s">
        <v>144</v>
      </c>
      <c r="M22" s="468" t="s">
        <v>146</v>
      </c>
      <c r="N22" s="468"/>
      <c r="O22" s="468"/>
      <c r="P22" s="468"/>
      <c r="Q22" s="1"/>
      <c r="R22" s="1"/>
      <c r="S22" s="1"/>
      <c r="T22" s="1"/>
      <c r="U22" s="1"/>
      <c r="V22" s="1"/>
      <c r="W22" s="1"/>
      <c r="X22" s="1"/>
      <c r="Y22" s="1"/>
    </row>
    <row r="23" spans="2:25" ht="36.75" customHeight="1" x14ac:dyDescent="0.2">
      <c r="B23" s="1"/>
      <c r="C23" s="402" t="s">
        <v>134</v>
      </c>
      <c r="D23" s="2261" t="s">
        <v>135</v>
      </c>
      <c r="E23" s="2262"/>
      <c r="F23" s="469" t="s">
        <v>136</v>
      </c>
      <c r="G23" s="461" t="s">
        <v>153</v>
      </c>
      <c r="H23" s="420" t="s">
        <v>129</v>
      </c>
      <c r="I23" s="403" t="s">
        <v>130</v>
      </c>
      <c r="J23" s="422"/>
      <c r="K23" s="422"/>
      <c r="L23" s="422"/>
      <c r="M23" s="404" t="s">
        <v>158</v>
      </c>
      <c r="N23" s="468"/>
      <c r="O23" s="468"/>
      <c r="P23" s="468"/>
      <c r="Q23" s="468"/>
      <c r="R23" s="468"/>
      <c r="S23" s="468"/>
      <c r="T23" s="468"/>
      <c r="U23" s="1"/>
      <c r="V23" s="1"/>
      <c r="W23" s="1"/>
      <c r="X23" s="1"/>
      <c r="Y23" s="1"/>
    </row>
    <row r="24" spans="2:25" x14ac:dyDescent="0.2">
      <c r="B24" s="1"/>
      <c r="C24" s="405">
        <v>850</v>
      </c>
      <c r="D24" s="2263">
        <v>850</v>
      </c>
      <c r="E24" s="2264"/>
      <c r="F24" s="418">
        <v>31482640</v>
      </c>
      <c r="G24" s="462">
        <v>30</v>
      </c>
      <c r="H24" s="460">
        <f>VLOOKUP(C47,Tarifas!D4:H303,3)</f>
        <v>0.14699999999999999</v>
      </c>
      <c r="I24" s="424">
        <f>VLOOKUP(C47,Tarifas!D4:H303,5)</f>
        <v>1E-3</v>
      </c>
      <c r="J24" s="421">
        <v>185</v>
      </c>
      <c r="K24" s="421">
        <v>201.4</v>
      </c>
      <c r="L24" s="421">
        <f>I11</f>
        <v>19</v>
      </c>
      <c r="M24" s="431">
        <f>E80</f>
        <v>2218375.9019999998</v>
      </c>
      <c r="N24" s="430" t="s">
        <v>62</v>
      </c>
      <c r="O24" s="468"/>
      <c r="P24" s="468"/>
      <c r="Q24" s="468"/>
      <c r="R24" s="468"/>
      <c r="S24" s="468"/>
      <c r="T24" s="468"/>
      <c r="U24" s="1"/>
      <c r="V24" s="1"/>
      <c r="W24" s="1"/>
      <c r="X24" s="1"/>
      <c r="Y24" s="1"/>
    </row>
    <row r="25" spans="2:25" x14ac:dyDescent="0.2">
      <c r="B25" s="1"/>
      <c r="C25" s="468"/>
      <c r="D25" s="468"/>
      <c r="E25" s="468"/>
      <c r="F25" s="468"/>
      <c r="G25" s="468"/>
      <c r="H25" s="468"/>
      <c r="I25" s="468"/>
      <c r="J25" s="468"/>
      <c r="K25" s="468"/>
      <c r="L25" s="468"/>
      <c r="M25" s="468"/>
      <c r="N25" s="468"/>
      <c r="O25" s="468"/>
      <c r="P25" s="468"/>
      <c r="Q25" s="468"/>
      <c r="R25" s="468"/>
      <c r="S25" s="1"/>
      <c r="T25" s="1"/>
      <c r="U25" s="1"/>
      <c r="V25" s="1"/>
      <c r="W25" s="1"/>
      <c r="X25" s="1"/>
      <c r="Y25" s="1"/>
    </row>
    <row r="26" spans="2:25" x14ac:dyDescent="0.2">
      <c r="B26" s="1"/>
      <c r="C26" s="468"/>
      <c r="D26" s="468"/>
      <c r="E26" s="468"/>
      <c r="F26" s="468"/>
      <c r="G26" s="468"/>
      <c r="H26" s="468"/>
      <c r="I26" s="468"/>
      <c r="J26" s="468"/>
      <c r="K26" s="468"/>
      <c r="L26" s="468"/>
      <c r="M26" s="468"/>
      <c r="N26" s="468"/>
      <c r="O26" s="468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2:25" x14ac:dyDescent="0.2">
      <c r="B27" s="1"/>
      <c r="C27" s="468"/>
      <c r="D27" s="468"/>
      <c r="E27" s="468"/>
      <c r="F27" s="468"/>
      <c r="G27" s="468"/>
      <c r="H27" s="468"/>
      <c r="I27" s="468"/>
      <c r="J27" s="468"/>
      <c r="K27" s="468"/>
      <c r="L27" s="468"/>
      <c r="M27" s="468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2:25" ht="15" thickBot="1" x14ac:dyDescent="0.25">
      <c r="B28" s="1"/>
      <c r="C28" s="2265" t="s">
        <v>86</v>
      </c>
      <c r="D28" s="2265"/>
      <c r="E28" s="2265"/>
      <c r="F28" s="2265"/>
      <c r="G28" s="471"/>
      <c r="H28" s="334"/>
      <c r="I28" s="334"/>
      <c r="J28" s="334"/>
      <c r="K28" s="471"/>
      <c r="L28" s="336"/>
      <c r="M28" s="336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2:25" ht="22.5" x14ac:dyDescent="0.2">
      <c r="B29" s="1"/>
      <c r="C29" s="337" t="s">
        <v>87</v>
      </c>
      <c r="D29" s="466" t="s">
        <v>88</v>
      </c>
      <c r="E29" s="466" t="s">
        <v>89</v>
      </c>
      <c r="F29" s="466" t="s">
        <v>20</v>
      </c>
      <c r="G29" s="466" t="s">
        <v>160</v>
      </c>
      <c r="H29" s="466" t="s">
        <v>90</v>
      </c>
      <c r="I29" s="466" t="s">
        <v>91</v>
      </c>
      <c r="J29" s="466" t="s">
        <v>92</v>
      </c>
      <c r="K29" s="466" t="s">
        <v>93</v>
      </c>
      <c r="L29" s="466" t="s">
        <v>94</v>
      </c>
      <c r="M29" s="467" t="s">
        <v>95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2:25" x14ac:dyDescent="0.2">
      <c r="B30" s="1"/>
      <c r="C30" s="338"/>
      <c r="D30" s="339">
        <v>0</v>
      </c>
      <c r="E30" s="339" t="s">
        <v>96</v>
      </c>
      <c r="F30" s="340" t="s">
        <v>97</v>
      </c>
      <c r="G30" s="340">
        <v>2201</v>
      </c>
      <c r="H30" s="339">
        <v>20823</v>
      </c>
      <c r="I30" s="341">
        <v>0</v>
      </c>
      <c r="J30" s="339">
        <v>138.15</v>
      </c>
      <c r="K30" s="342">
        <v>0</v>
      </c>
      <c r="L30" s="343">
        <f>ROUND(K30*E$10,2)</f>
        <v>0</v>
      </c>
      <c r="M30" s="344">
        <f>L30*$I$10</f>
        <v>0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2:25" x14ac:dyDescent="0.2">
      <c r="B31" s="1"/>
      <c r="C31" s="338"/>
      <c r="D31" s="339">
        <v>0</v>
      </c>
      <c r="E31" s="339" t="s">
        <v>98</v>
      </c>
      <c r="F31" s="340" t="s">
        <v>97</v>
      </c>
      <c r="G31" s="340">
        <v>2201</v>
      </c>
      <c r="H31" s="339">
        <v>20824</v>
      </c>
      <c r="I31" s="341">
        <v>0</v>
      </c>
      <c r="J31" s="339">
        <v>138.15</v>
      </c>
      <c r="K31" s="342">
        <v>0</v>
      </c>
      <c r="L31" s="343">
        <f>ROUND(K31*E$10,2)</f>
        <v>0</v>
      </c>
      <c r="M31" s="344">
        <f>L31*$I$10</f>
        <v>0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2:25" x14ac:dyDescent="0.2">
      <c r="B32" s="1"/>
      <c r="C32" s="338"/>
      <c r="D32" s="339">
        <v>0</v>
      </c>
      <c r="E32" s="339" t="s">
        <v>99</v>
      </c>
      <c r="F32" s="340" t="s">
        <v>100</v>
      </c>
      <c r="G32" s="340">
        <v>2230</v>
      </c>
      <c r="H32" s="339">
        <v>22228</v>
      </c>
      <c r="I32" s="341">
        <v>0</v>
      </c>
      <c r="J32" s="339">
        <v>130.80000000000001</v>
      </c>
      <c r="K32" s="342">
        <v>0</v>
      </c>
      <c r="L32" s="343">
        <f>ROUND(K32*E$10,2)</f>
        <v>0</v>
      </c>
      <c r="M32" s="344">
        <f>L32*$I$10</f>
        <v>0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2:25" x14ac:dyDescent="0.2">
      <c r="B33" s="1"/>
      <c r="C33" s="338">
        <v>800762390</v>
      </c>
      <c r="D33" s="339">
        <v>3</v>
      </c>
      <c r="E33" s="354" t="s">
        <v>101</v>
      </c>
      <c r="F33" s="463" t="s">
        <v>194</v>
      </c>
      <c r="G33" s="463">
        <v>2044</v>
      </c>
      <c r="H33" s="354">
        <v>591000420</v>
      </c>
      <c r="I33" s="341">
        <v>80000</v>
      </c>
      <c r="J33" s="339"/>
      <c r="K33" s="342">
        <v>0.09</v>
      </c>
      <c r="L33" s="343">
        <f>ROUND(K33*E$10,2)</f>
        <v>416515.33</v>
      </c>
      <c r="M33" s="344">
        <f>L33*$I$10</f>
        <v>7913791.2700000005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2:25" ht="15" thickBot="1" x14ac:dyDescent="0.25">
      <c r="B34" s="1"/>
      <c r="C34" s="345">
        <v>800642440</v>
      </c>
      <c r="D34" s="346">
        <v>5</v>
      </c>
      <c r="E34" s="347" t="s">
        <v>101</v>
      </c>
      <c r="F34" s="348" t="s">
        <v>159</v>
      </c>
      <c r="G34" s="348">
        <v>2277</v>
      </c>
      <c r="H34" s="347">
        <v>22770</v>
      </c>
      <c r="I34" s="349">
        <f>850000-I30-I31-I32-I33</f>
        <v>770000</v>
      </c>
      <c r="J34" s="346"/>
      <c r="K34" s="350">
        <v>0.91</v>
      </c>
      <c r="L34" s="351">
        <f>ROUND(K34*E$10,2)</f>
        <v>4211432.75</v>
      </c>
      <c r="M34" s="352">
        <f>L34*$I$10</f>
        <v>80017222.25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2:25" x14ac:dyDescent="0.2">
      <c r="B35" s="1"/>
      <c r="C35" s="406">
        <v>3000623</v>
      </c>
      <c r="D35" s="353" t="s">
        <v>102</v>
      </c>
      <c r="E35" s="353"/>
      <c r="F35" s="353"/>
      <c r="G35" s="353"/>
      <c r="H35" s="354"/>
      <c r="I35" s="355">
        <f>SUM(I30:I34)</f>
        <v>850000</v>
      </c>
      <c r="J35" s="353"/>
      <c r="K35" s="356">
        <f>SUM(K30:K34)</f>
        <v>1</v>
      </c>
      <c r="L35" s="357">
        <f>SUM(L30:L34)</f>
        <v>4627948.08</v>
      </c>
      <c r="M35" s="357">
        <f>SUM(M30:M34)</f>
        <v>87931013.519999996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2:25" x14ac:dyDescent="0.2">
      <c r="B36" s="1"/>
      <c r="C36" s="336"/>
      <c r="D36" s="336"/>
      <c r="E36" s="336"/>
      <c r="F36" s="358"/>
      <c r="G36" s="358"/>
      <c r="H36" s="336"/>
      <c r="I36" s="336"/>
      <c r="J36" s="336"/>
      <c r="K36" s="336"/>
      <c r="L36" s="359"/>
      <c r="M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2:25" x14ac:dyDescent="0.2">
      <c r="B37" s="1"/>
      <c r="C37" s="336"/>
      <c r="D37" s="336"/>
      <c r="E37" s="336"/>
      <c r="F37" s="358"/>
      <c r="G37" s="358"/>
      <c r="H37" s="336"/>
      <c r="I37" s="336"/>
      <c r="J37" s="336"/>
      <c r="K37" s="336"/>
      <c r="L37" s="359"/>
      <c r="M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2:25" x14ac:dyDescent="0.2">
      <c r="B38" s="1"/>
      <c r="C38" s="336"/>
      <c r="D38" s="336"/>
      <c r="E38" s="336"/>
      <c r="F38" s="358"/>
      <c r="G38" s="358"/>
      <c r="H38" s="336"/>
      <c r="I38" s="336"/>
      <c r="J38" s="336"/>
      <c r="K38" s="336"/>
      <c r="L38" s="359"/>
      <c r="M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2:25" ht="15" thickBot="1" x14ac:dyDescent="0.25">
      <c r="B39" s="1"/>
      <c r="C39" s="2266" t="s">
        <v>103</v>
      </c>
      <c r="D39" s="2266"/>
      <c r="E39" s="2266"/>
      <c r="F39" s="2266"/>
      <c r="G39" s="471"/>
      <c r="H39" s="334"/>
      <c r="I39" s="334"/>
      <c r="J39" s="334"/>
      <c r="K39" s="336"/>
      <c r="L39" s="336"/>
      <c r="M39" s="360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2:25" ht="22.5" x14ac:dyDescent="0.2">
      <c r="B40" s="1"/>
      <c r="C40" s="337" t="s">
        <v>87</v>
      </c>
      <c r="D40" s="466" t="s">
        <v>88</v>
      </c>
      <c r="E40" s="466" t="s">
        <v>89</v>
      </c>
      <c r="F40" s="466" t="s">
        <v>20</v>
      </c>
      <c r="G40" s="466"/>
      <c r="H40" s="466" t="s">
        <v>90</v>
      </c>
      <c r="I40" s="466" t="s">
        <v>104</v>
      </c>
      <c r="J40" s="466" t="s">
        <v>93</v>
      </c>
      <c r="K40" s="466" t="s">
        <v>92</v>
      </c>
      <c r="L40" s="466" t="s">
        <v>94</v>
      </c>
      <c r="M40" s="467" t="s">
        <v>95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2:25" x14ac:dyDescent="0.2">
      <c r="B41" s="1"/>
      <c r="C41" s="338"/>
      <c r="D41" s="339">
        <v>0</v>
      </c>
      <c r="E41" s="339" t="s">
        <v>96</v>
      </c>
      <c r="F41" s="340" t="s">
        <v>97</v>
      </c>
      <c r="G41" s="340"/>
      <c r="H41" s="339">
        <v>20823</v>
      </c>
      <c r="I41" s="341">
        <f>M80</f>
        <v>0</v>
      </c>
      <c r="J41" s="342">
        <f>I41/I$45</f>
        <v>0</v>
      </c>
      <c r="K41" s="339">
        <v>138.15</v>
      </c>
      <c r="L41" s="343">
        <f>ROUND(J41*$E$11,2)</f>
        <v>0</v>
      </c>
      <c r="M41" s="344">
        <f>L41*L24</f>
        <v>0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2:25" x14ac:dyDescent="0.2">
      <c r="B42" s="1"/>
      <c r="C42" s="338"/>
      <c r="D42" s="339">
        <v>0</v>
      </c>
      <c r="E42" s="339" t="s">
        <v>98</v>
      </c>
      <c r="F42" s="340" t="s">
        <v>97</v>
      </c>
      <c r="G42" s="340"/>
      <c r="H42" s="339">
        <v>20824</v>
      </c>
      <c r="I42" s="341">
        <f>N80</f>
        <v>0</v>
      </c>
      <c r="J42" s="342">
        <f>I42/I$45</f>
        <v>0</v>
      </c>
      <c r="K42" s="339">
        <v>138.15</v>
      </c>
      <c r="L42" s="343">
        <f>ROUND(J42*$E$11,2)</f>
        <v>0</v>
      </c>
      <c r="M42" s="344">
        <f>L42*L25</f>
        <v>0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2:25" x14ac:dyDescent="0.2">
      <c r="B43" s="1"/>
      <c r="C43" s="338"/>
      <c r="D43" s="339">
        <v>0</v>
      </c>
      <c r="E43" s="339" t="s">
        <v>99</v>
      </c>
      <c r="F43" s="340" t="s">
        <v>100</v>
      </c>
      <c r="G43" s="340"/>
      <c r="H43" s="339">
        <v>22228</v>
      </c>
      <c r="I43" s="341">
        <f>O80</f>
        <v>0</v>
      </c>
      <c r="J43" s="342">
        <f>I43/I$45</f>
        <v>0</v>
      </c>
      <c r="K43" s="339">
        <v>130.80000000000001</v>
      </c>
      <c r="L43" s="343">
        <f>ROUND(J43*$E$11,2)</f>
        <v>0</v>
      </c>
      <c r="M43" s="344">
        <f>L43*L26</f>
        <v>0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2:25" ht="15" thickBot="1" x14ac:dyDescent="0.25">
      <c r="B44" s="1"/>
      <c r="C44" s="345">
        <v>800762390</v>
      </c>
      <c r="D44" s="346">
        <v>4</v>
      </c>
      <c r="E44" s="347" t="s">
        <v>101</v>
      </c>
      <c r="F44" s="348" t="s">
        <v>23</v>
      </c>
      <c r="G44" s="348"/>
      <c r="H44" s="347"/>
      <c r="I44" s="349">
        <f>L80</f>
        <v>2218375.9019999998</v>
      </c>
      <c r="J44" s="350">
        <f>I44/I$45</f>
        <v>1</v>
      </c>
      <c r="K44" s="346">
        <v>138.15</v>
      </c>
      <c r="L44" s="351">
        <f>ROUND(J44*$E$11,2)</f>
        <v>2037.73</v>
      </c>
      <c r="M44" s="352">
        <f>L44*I11</f>
        <v>38716.870000000003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2:25" x14ac:dyDescent="0.2">
      <c r="B45" s="1"/>
      <c r="C45" s="353"/>
      <c r="D45" s="353"/>
      <c r="E45" s="353"/>
      <c r="F45" s="353"/>
      <c r="G45" s="353"/>
      <c r="H45" s="354"/>
      <c r="I45" s="449">
        <f>SUM(I41:I44)</f>
        <v>2218375.9019999998</v>
      </c>
      <c r="J45" s="355"/>
      <c r="K45" s="353"/>
      <c r="L45" s="357">
        <f>SUM(L41:L44)</f>
        <v>2037.73</v>
      </c>
      <c r="M45" s="357">
        <f>SUM(M41:M44)</f>
        <v>38716.870000000003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2:25" customFormat="1" ht="15" thickBot="1" x14ac:dyDescent="0.25">
      <c r="M46" s="450"/>
      <c r="N46" s="450"/>
      <c r="O46" s="450"/>
      <c r="P46" s="450"/>
      <c r="Q46" s="450"/>
      <c r="R46" s="450"/>
      <c r="S46" s="450"/>
      <c r="T46" s="450"/>
      <c r="U46" s="450"/>
      <c r="V46" s="450"/>
      <c r="W46" s="450"/>
      <c r="X46" s="450"/>
      <c r="Y46" s="573">
        <f>'Mayo - 2016'!Y80</f>
        <v>106555.36838044615</v>
      </c>
    </row>
    <row r="47" spans="2:25" ht="15" thickBot="1" x14ac:dyDescent="0.25">
      <c r="B47" s="434" t="s">
        <v>3</v>
      </c>
      <c r="C47" s="333">
        <f>SUMIF(Tarifas!E4:E303,'Junio - 2016'!C49,Tarifas!D4:D303)</f>
        <v>35</v>
      </c>
      <c r="D47" s="425" t="s">
        <v>147</v>
      </c>
      <c r="E47" s="426" t="s">
        <v>145</v>
      </c>
      <c r="F47" s="426" t="s">
        <v>150</v>
      </c>
      <c r="G47" s="426" t="s">
        <v>148</v>
      </c>
      <c r="H47" s="382"/>
      <c r="I47" s="331" t="s">
        <v>120</v>
      </c>
      <c r="J47" s="332"/>
      <c r="K47" s="332"/>
      <c r="L47" s="364" t="s">
        <v>105</v>
      </c>
      <c r="M47" s="365"/>
      <c r="N47" s="365"/>
      <c r="O47" s="365"/>
      <c r="P47" s="365"/>
      <c r="Q47" s="365"/>
      <c r="R47" s="366"/>
      <c r="S47" s="2267" t="s">
        <v>121</v>
      </c>
      <c r="T47" s="2268"/>
      <c r="U47" s="2268"/>
      <c r="V47" s="2268"/>
      <c r="W47" s="2268"/>
      <c r="X47" s="2268"/>
      <c r="Y47" s="2269"/>
    </row>
    <row r="48" spans="2:25" ht="33.75" x14ac:dyDescent="0.2">
      <c r="C48" s="383" t="s">
        <v>122</v>
      </c>
      <c r="D48" s="384" t="s">
        <v>125</v>
      </c>
      <c r="E48" s="385" t="s">
        <v>149</v>
      </c>
      <c r="F48" s="385" t="s">
        <v>151</v>
      </c>
      <c r="G48" s="385" t="s">
        <v>152</v>
      </c>
      <c r="H48" s="386" t="s">
        <v>123</v>
      </c>
      <c r="I48" s="329" t="s">
        <v>109</v>
      </c>
      <c r="J48" s="330" t="s">
        <v>25</v>
      </c>
      <c r="K48" s="330" t="s">
        <v>26</v>
      </c>
      <c r="L48" s="367" t="s">
        <v>115</v>
      </c>
      <c r="M48" s="362" t="s">
        <v>106</v>
      </c>
      <c r="N48" s="362" t="s">
        <v>107</v>
      </c>
      <c r="O48" s="362" t="s">
        <v>108</v>
      </c>
      <c r="P48" s="362" t="s">
        <v>115</v>
      </c>
      <c r="Q48" s="363" t="s">
        <v>116</v>
      </c>
      <c r="R48" s="368" t="s">
        <v>117</v>
      </c>
      <c r="S48" s="369" t="s">
        <v>192</v>
      </c>
      <c r="T48" s="370" t="s">
        <v>111</v>
      </c>
      <c r="U48" s="370" t="s">
        <v>112</v>
      </c>
      <c r="V48" s="371" t="s">
        <v>118</v>
      </c>
      <c r="W48" s="371" t="s">
        <v>119</v>
      </c>
      <c r="X48" s="371" t="s">
        <v>114</v>
      </c>
      <c r="Y48" s="372" t="s">
        <v>113</v>
      </c>
    </row>
    <row r="49" spans="3:25" x14ac:dyDescent="0.2">
      <c r="C49" s="387">
        <f>G7</f>
        <v>42522</v>
      </c>
      <c r="D49" s="388">
        <f>($F$24*$H$24)/$G$24</f>
        <v>154264.93600000002</v>
      </c>
      <c r="E49" s="389">
        <f>P49+Q49+R49</f>
        <v>71718.47</v>
      </c>
      <c r="F49" s="427">
        <f t="shared" ref="F49:F78" si="0">TRUNC(IFERROR(J$24/K$24,0),8)</f>
        <v>0.91857</v>
      </c>
      <c r="G49" s="390">
        <f t="shared" ref="G49:G78" si="1">ROUND(I$24*F49*E49,4)</f>
        <v>65.878399999999999</v>
      </c>
      <c r="H49" s="391">
        <f t="shared" ref="H49:H78" si="2">SUM(D49:G49)</f>
        <v>226050.20297000001</v>
      </c>
      <c r="I49" s="324">
        <v>72955</v>
      </c>
      <c r="J49" s="325"/>
      <c r="K49" s="325"/>
      <c r="L49" s="317">
        <v>71718.47</v>
      </c>
      <c r="M49" s="318"/>
      <c r="N49" s="318"/>
      <c r="O49" s="318"/>
      <c r="P49" s="389">
        <f>L49</f>
        <v>71718.47</v>
      </c>
      <c r="Q49" s="389">
        <f t="shared" ref="Q49:Q78" si="3">M49+N49</f>
        <v>0</v>
      </c>
      <c r="R49" s="389">
        <f t="shared" ref="R49:R78" si="4">O49</f>
        <v>0</v>
      </c>
      <c r="S49" s="317">
        <v>72954.87</v>
      </c>
      <c r="T49" s="374"/>
      <c r="U49" s="18">
        <f>S49+T49-V49</f>
        <v>-0.13000000000465661</v>
      </c>
      <c r="V49" s="377">
        <f>I49+J49+K49</f>
        <v>72955</v>
      </c>
      <c r="W49" s="18">
        <f>(P49+Q49+R49)/1.055056</f>
        <v>67975.984213160249</v>
      </c>
      <c r="X49" s="520">
        <f>V49-W49</f>
        <v>4979.0157868397509</v>
      </c>
      <c r="Y49" s="525">
        <f>Y46+X49</f>
        <v>111534.3841672859</v>
      </c>
    </row>
    <row r="50" spans="3:25" x14ac:dyDescent="0.2">
      <c r="C50" s="387">
        <f t="shared" ref="C50:C78" si="5">C49+1</f>
        <v>42523</v>
      </c>
      <c r="D50" s="388">
        <f t="shared" ref="D50:D78" si="6">($F$24*$H$24)/$G$24</f>
        <v>154264.93600000002</v>
      </c>
      <c r="E50" s="392">
        <f t="shared" ref="E50:E78" si="7">P50+Q50+R50</f>
        <v>74578.45</v>
      </c>
      <c r="F50" s="428">
        <f t="shared" si="0"/>
        <v>0.91857</v>
      </c>
      <c r="G50" s="390">
        <f t="shared" si="1"/>
        <v>68.505499999999998</v>
      </c>
      <c r="H50" s="391">
        <f t="shared" si="2"/>
        <v>228912.81007000001</v>
      </c>
      <c r="I50" s="324">
        <v>72955</v>
      </c>
      <c r="J50" s="325"/>
      <c r="K50" s="325"/>
      <c r="L50" s="319">
        <v>74578.45</v>
      </c>
      <c r="M50" s="320"/>
      <c r="N50" s="320"/>
      <c r="O50" s="320"/>
      <c r="P50" s="392">
        <f t="shared" ref="P50:P78" si="8">L50</f>
        <v>74578.45</v>
      </c>
      <c r="Q50" s="392">
        <f t="shared" si="3"/>
        <v>0</v>
      </c>
      <c r="R50" s="392">
        <f t="shared" si="4"/>
        <v>0</v>
      </c>
      <c r="S50" s="319">
        <v>72954.87</v>
      </c>
      <c r="T50" s="374"/>
      <c r="U50" s="18">
        <f t="shared" ref="U50:U78" si="9">S50+T50-V50</f>
        <v>-0.13000000000465661</v>
      </c>
      <c r="V50" s="377">
        <f t="shared" ref="V50:V78" si="10">I50+J50+K50</f>
        <v>72955</v>
      </c>
      <c r="W50" s="18">
        <f t="shared" ref="W50:W78" si="11">(P50+Q50+R50)/1.055056</f>
        <v>70686.721842252926</v>
      </c>
      <c r="X50" s="520">
        <f t="shared" ref="X50:X78" si="12">V50-W50</f>
        <v>2268.2781577470741</v>
      </c>
      <c r="Y50" s="525">
        <f>Y49+X50</f>
        <v>113802.66232503297</v>
      </c>
    </row>
    <row r="51" spans="3:25" x14ac:dyDescent="0.2">
      <c r="C51" s="387">
        <f t="shared" si="5"/>
        <v>42524</v>
      </c>
      <c r="D51" s="388">
        <f t="shared" si="6"/>
        <v>154264.93600000002</v>
      </c>
      <c r="E51" s="392">
        <f t="shared" si="7"/>
        <v>71394.45</v>
      </c>
      <c r="F51" s="428">
        <f t="shared" si="0"/>
        <v>0.91857</v>
      </c>
      <c r="G51" s="390">
        <f t="shared" si="1"/>
        <v>65.580799999999996</v>
      </c>
      <c r="H51" s="391">
        <f t="shared" si="2"/>
        <v>225725.88537</v>
      </c>
      <c r="I51" s="324">
        <v>72955</v>
      </c>
      <c r="J51" s="325"/>
      <c r="K51" s="325"/>
      <c r="L51" s="317">
        <v>71394.45</v>
      </c>
      <c r="M51" s="318"/>
      <c r="N51" s="318"/>
      <c r="O51" s="318"/>
      <c r="P51" s="392">
        <f t="shared" si="8"/>
        <v>71394.45</v>
      </c>
      <c r="Q51" s="392">
        <f t="shared" si="3"/>
        <v>0</v>
      </c>
      <c r="R51" s="392">
        <f t="shared" si="4"/>
        <v>0</v>
      </c>
      <c r="S51" s="317">
        <v>72954.87</v>
      </c>
      <c r="T51" s="374"/>
      <c r="U51" s="18">
        <f t="shared" si="9"/>
        <v>-0.13000000000465661</v>
      </c>
      <c r="V51" s="377">
        <f t="shared" si="10"/>
        <v>72955</v>
      </c>
      <c r="W51" s="18">
        <f t="shared" si="11"/>
        <v>67668.872552736531</v>
      </c>
      <c r="X51" s="520">
        <f t="shared" si="12"/>
        <v>5286.1274472634686</v>
      </c>
      <c r="Y51" s="525">
        <f t="shared" ref="Y51:Y78" si="13">Y50+X51</f>
        <v>119088.78977229644</v>
      </c>
    </row>
    <row r="52" spans="3:25" x14ac:dyDescent="0.2">
      <c r="C52" s="387">
        <f t="shared" si="5"/>
        <v>42525</v>
      </c>
      <c r="D52" s="388">
        <f t="shared" si="6"/>
        <v>154264.93600000002</v>
      </c>
      <c r="E52" s="392">
        <f t="shared" si="7"/>
        <v>71682.98</v>
      </c>
      <c r="F52" s="428">
        <f t="shared" si="0"/>
        <v>0.91857</v>
      </c>
      <c r="G52" s="390">
        <f t="shared" si="1"/>
        <v>65.845799999999997</v>
      </c>
      <c r="H52" s="391">
        <f t="shared" si="2"/>
        <v>226014.68037000005</v>
      </c>
      <c r="I52" s="324">
        <v>72955</v>
      </c>
      <c r="J52" s="325"/>
      <c r="K52" s="325"/>
      <c r="L52" s="319">
        <v>71682.98</v>
      </c>
      <c r="M52" s="320"/>
      <c r="N52" s="320"/>
      <c r="O52" s="320"/>
      <c r="P52" s="392">
        <f t="shared" si="8"/>
        <v>71682.98</v>
      </c>
      <c r="Q52" s="392">
        <f t="shared" si="3"/>
        <v>0</v>
      </c>
      <c r="R52" s="392">
        <f t="shared" si="4"/>
        <v>0</v>
      </c>
      <c r="S52" s="319">
        <v>72954.87</v>
      </c>
      <c r="T52" s="374"/>
      <c r="U52" s="18">
        <f t="shared" si="9"/>
        <v>-0.13000000000465661</v>
      </c>
      <c r="V52" s="377">
        <f t="shared" si="10"/>
        <v>72955</v>
      </c>
      <c r="W52" s="18">
        <f t="shared" si="11"/>
        <v>67942.346188259195</v>
      </c>
      <c r="X52" s="520">
        <f t="shared" si="12"/>
        <v>5012.6538117408054</v>
      </c>
      <c r="Y52" s="525">
        <f t="shared" si="13"/>
        <v>124101.44358403725</v>
      </c>
    </row>
    <row r="53" spans="3:25" x14ac:dyDescent="0.2">
      <c r="C53" s="387">
        <f t="shared" si="5"/>
        <v>42526</v>
      </c>
      <c r="D53" s="388">
        <f t="shared" si="6"/>
        <v>154264.93600000002</v>
      </c>
      <c r="E53" s="392">
        <f t="shared" si="7"/>
        <v>71861.98</v>
      </c>
      <c r="F53" s="428">
        <f t="shared" si="0"/>
        <v>0.91857</v>
      </c>
      <c r="G53" s="390">
        <f t="shared" si="1"/>
        <v>66.010300000000001</v>
      </c>
      <c r="H53" s="391">
        <f t="shared" si="2"/>
        <v>226193.84487000003</v>
      </c>
      <c r="I53" s="324">
        <v>72955</v>
      </c>
      <c r="J53" s="325"/>
      <c r="K53" s="325"/>
      <c r="L53" s="317">
        <v>71861.98</v>
      </c>
      <c r="M53" s="318"/>
      <c r="N53" s="318"/>
      <c r="O53" s="318"/>
      <c r="P53" s="392">
        <f t="shared" si="8"/>
        <v>71861.98</v>
      </c>
      <c r="Q53" s="392">
        <f t="shared" si="3"/>
        <v>0</v>
      </c>
      <c r="R53" s="392">
        <f t="shared" si="4"/>
        <v>0</v>
      </c>
      <c r="S53" s="317">
        <v>72954.87</v>
      </c>
      <c r="T53" s="374"/>
      <c r="U53" s="18">
        <f t="shared" si="9"/>
        <v>-0.13000000000465661</v>
      </c>
      <c r="V53" s="377">
        <f t="shared" si="10"/>
        <v>72955</v>
      </c>
      <c r="W53" s="18">
        <f t="shared" si="11"/>
        <v>68112.005429095705</v>
      </c>
      <c r="X53" s="520">
        <f t="shared" si="12"/>
        <v>4842.994570904295</v>
      </c>
      <c r="Y53" s="525">
        <f t="shared" si="13"/>
        <v>128944.43815494154</v>
      </c>
    </row>
    <row r="54" spans="3:25" x14ac:dyDescent="0.2">
      <c r="C54" s="387">
        <f t="shared" si="5"/>
        <v>42527</v>
      </c>
      <c r="D54" s="388">
        <f t="shared" si="6"/>
        <v>154264.93600000002</v>
      </c>
      <c r="E54" s="392">
        <f t="shared" si="7"/>
        <v>72707.69</v>
      </c>
      <c r="F54" s="428">
        <f t="shared" si="0"/>
        <v>0.91857</v>
      </c>
      <c r="G54" s="390">
        <f t="shared" si="1"/>
        <v>66.787099999999995</v>
      </c>
      <c r="H54" s="391">
        <f t="shared" si="2"/>
        <v>227040.33167000001</v>
      </c>
      <c r="I54" s="324">
        <v>72955</v>
      </c>
      <c r="J54" s="325"/>
      <c r="K54" s="325"/>
      <c r="L54" s="319">
        <v>72707.69</v>
      </c>
      <c r="M54" s="320"/>
      <c r="N54" s="320"/>
      <c r="O54" s="320"/>
      <c r="P54" s="392">
        <f t="shared" si="8"/>
        <v>72707.69</v>
      </c>
      <c r="Q54" s="392">
        <f t="shared" si="3"/>
        <v>0</v>
      </c>
      <c r="R54" s="392">
        <f t="shared" si="4"/>
        <v>0</v>
      </c>
      <c r="S54" s="319">
        <v>72954.87</v>
      </c>
      <c r="T54" s="374"/>
      <c r="U54" s="18">
        <f t="shared" si="9"/>
        <v>-0.13000000000465661</v>
      </c>
      <c r="V54" s="377">
        <f t="shared" si="10"/>
        <v>72955</v>
      </c>
      <c r="W54" s="18">
        <f t="shared" si="11"/>
        <v>68913.58373394399</v>
      </c>
      <c r="X54" s="520">
        <f t="shared" si="12"/>
        <v>4041.4162660560105</v>
      </c>
      <c r="Y54" s="525">
        <f t="shared" si="13"/>
        <v>132985.85442099755</v>
      </c>
    </row>
    <row r="55" spans="3:25" x14ac:dyDescent="0.2">
      <c r="C55" s="387">
        <f t="shared" si="5"/>
        <v>42528</v>
      </c>
      <c r="D55" s="388">
        <f t="shared" si="6"/>
        <v>154264.93600000002</v>
      </c>
      <c r="E55" s="392">
        <f t="shared" si="7"/>
        <v>74240.62</v>
      </c>
      <c r="F55" s="428">
        <f t="shared" si="0"/>
        <v>0.91857</v>
      </c>
      <c r="G55" s="390">
        <f t="shared" si="1"/>
        <v>68.1952</v>
      </c>
      <c r="H55" s="391">
        <f t="shared" si="2"/>
        <v>228574.66977000001</v>
      </c>
      <c r="I55" s="324">
        <v>72955</v>
      </c>
      <c r="J55" s="325"/>
      <c r="K55" s="325"/>
      <c r="L55" s="317">
        <v>74240.62</v>
      </c>
      <c r="M55" s="318"/>
      <c r="N55" s="318"/>
      <c r="O55" s="318"/>
      <c r="P55" s="392">
        <f t="shared" si="8"/>
        <v>74240.62</v>
      </c>
      <c r="Q55" s="392">
        <f t="shared" si="3"/>
        <v>0</v>
      </c>
      <c r="R55" s="392">
        <f t="shared" si="4"/>
        <v>0</v>
      </c>
      <c r="S55" s="317">
        <v>72954.87</v>
      </c>
      <c r="T55" s="374"/>
      <c r="U55" s="18">
        <f t="shared" si="9"/>
        <v>-0.13000000000465661</v>
      </c>
      <c r="V55" s="377">
        <f t="shared" si="10"/>
        <v>72955</v>
      </c>
      <c r="W55" s="18">
        <f t="shared" si="11"/>
        <v>70366.520829226123</v>
      </c>
      <c r="X55" s="520">
        <f t="shared" si="12"/>
        <v>2588.4791707738768</v>
      </c>
      <c r="Y55" s="525">
        <f t="shared" si="13"/>
        <v>135574.33359177143</v>
      </c>
    </row>
    <row r="56" spans="3:25" x14ac:dyDescent="0.2">
      <c r="C56" s="387">
        <f t="shared" si="5"/>
        <v>42529</v>
      </c>
      <c r="D56" s="388">
        <f t="shared" si="6"/>
        <v>154264.93600000002</v>
      </c>
      <c r="E56" s="392">
        <f t="shared" si="7"/>
        <v>74626.63</v>
      </c>
      <c r="F56" s="428">
        <f t="shared" si="0"/>
        <v>0.91857</v>
      </c>
      <c r="G56" s="390">
        <f t="shared" si="1"/>
        <v>68.549800000000005</v>
      </c>
      <c r="H56" s="391">
        <f t="shared" si="2"/>
        <v>228961.03437000004</v>
      </c>
      <c r="I56" s="324">
        <v>71000</v>
      </c>
      <c r="J56" s="325"/>
      <c r="K56" s="325"/>
      <c r="L56" s="319">
        <v>74626.63</v>
      </c>
      <c r="M56" s="320"/>
      <c r="N56" s="320"/>
      <c r="O56" s="320"/>
      <c r="P56" s="392">
        <f t="shared" si="8"/>
        <v>74626.63</v>
      </c>
      <c r="Q56" s="392">
        <f t="shared" si="3"/>
        <v>0</v>
      </c>
      <c r="R56" s="392">
        <f t="shared" si="4"/>
        <v>0</v>
      </c>
      <c r="S56" s="319">
        <v>70999.7</v>
      </c>
      <c r="T56" s="374"/>
      <c r="U56" s="18">
        <f t="shared" si="9"/>
        <v>-0.30000000000291038</v>
      </c>
      <c r="V56" s="377">
        <f t="shared" si="10"/>
        <v>71000</v>
      </c>
      <c r="W56" s="18">
        <f t="shared" si="11"/>
        <v>70732.387664730602</v>
      </c>
      <c r="X56" s="520">
        <f t="shared" si="12"/>
        <v>267.61233526939759</v>
      </c>
      <c r="Y56" s="525">
        <f t="shared" si="13"/>
        <v>135841.94592704083</v>
      </c>
    </row>
    <row r="57" spans="3:25" x14ac:dyDescent="0.2">
      <c r="C57" s="387">
        <f t="shared" si="5"/>
        <v>42530</v>
      </c>
      <c r="D57" s="388">
        <f t="shared" si="6"/>
        <v>154264.93600000002</v>
      </c>
      <c r="E57" s="392">
        <f t="shared" si="7"/>
        <v>69775.55</v>
      </c>
      <c r="F57" s="428">
        <f t="shared" si="0"/>
        <v>0.91857</v>
      </c>
      <c r="G57" s="390">
        <f t="shared" si="1"/>
        <v>64.093699999999998</v>
      </c>
      <c r="H57" s="391">
        <f t="shared" si="2"/>
        <v>224105.49827000004</v>
      </c>
      <c r="I57" s="324">
        <v>69000</v>
      </c>
      <c r="J57" s="325"/>
      <c r="K57" s="325"/>
      <c r="L57" s="317">
        <v>69775.55</v>
      </c>
      <c r="M57" s="318"/>
      <c r="N57" s="318"/>
      <c r="O57" s="318"/>
      <c r="P57" s="392">
        <f t="shared" si="8"/>
        <v>69775.55</v>
      </c>
      <c r="Q57" s="392">
        <f t="shared" si="3"/>
        <v>0</v>
      </c>
      <c r="R57" s="392">
        <f t="shared" si="4"/>
        <v>0</v>
      </c>
      <c r="S57" s="317">
        <v>68999.66</v>
      </c>
      <c r="T57" s="374"/>
      <c r="U57" s="18">
        <f t="shared" si="9"/>
        <v>-0.33999999999650754</v>
      </c>
      <c r="V57" s="377">
        <f t="shared" si="10"/>
        <v>69000</v>
      </c>
      <c r="W57" s="18">
        <f t="shared" si="11"/>
        <v>66134.451631003481</v>
      </c>
      <c r="X57" s="520">
        <f t="shared" si="12"/>
        <v>2865.5483689965185</v>
      </c>
      <c r="Y57" s="525">
        <f t="shared" si="13"/>
        <v>138707.49429603736</v>
      </c>
    </row>
    <row r="58" spans="3:25" x14ac:dyDescent="0.2">
      <c r="C58" s="387">
        <f t="shared" si="5"/>
        <v>42531</v>
      </c>
      <c r="D58" s="388">
        <f t="shared" si="6"/>
        <v>154264.93600000002</v>
      </c>
      <c r="E58" s="392">
        <f t="shared" si="7"/>
        <v>74755.66</v>
      </c>
      <c r="F58" s="428">
        <f t="shared" si="0"/>
        <v>0.91857</v>
      </c>
      <c r="G58" s="390">
        <f t="shared" si="1"/>
        <v>68.668300000000002</v>
      </c>
      <c r="H58" s="391">
        <f t="shared" si="2"/>
        <v>229090.18287000002</v>
      </c>
      <c r="I58" s="324">
        <v>69000</v>
      </c>
      <c r="J58" s="325"/>
      <c r="K58" s="325"/>
      <c r="L58" s="319">
        <v>74755.66</v>
      </c>
      <c r="M58" s="320"/>
      <c r="N58" s="320"/>
      <c r="O58" s="320"/>
      <c r="P58" s="392">
        <f t="shared" si="8"/>
        <v>74755.66</v>
      </c>
      <c r="Q58" s="392">
        <f t="shared" si="3"/>
        <v>0</v>
      </c>
      <c r="R58" s="392">
        <f t="shared" si="4"/>
        <v>0</v>
      </c>
      <c r="S58" s="319">
        <v>68999.66</v>
      </c>
      <c r="T58" s="374"/>
      <c r="U58" s="18">
        <f t="shared" si="9"/>
        <v>-0.33999999999650754</v>
      </c>
      <c r="V58" s="377">
        <f t="shared" si="10"/>
        <v>69000</v>
      </c>
      <c r="W58" s="18">
        <f t="shared" si="11"/>
        <v>70854.684490681073</v>
      </c>
      <c r="X58" s="520">
        <f t="shared" si="12"/>
        <v>-1854.6844906810729</v>
      </c>
      <c r="Y58" s="525">
        <f t="shared" si="13"/>
        <v>136852.80980535629</v>
      </c>
    </row>
    <row r="59" spans="3:25" x14ac:dyDescent="0.2">
      <c r="C59" s="387">
        <f t="shared" si="5"/>
        <v>42532</v>
      </c>
      <c r="D59" s="388">
        <f t="shared" si="6"/>
        <v>154264.93600000002</v>
      </c>
      <c r="E59" s="392">
        <f t="shared" si="7"/>
        <v>73956.210000000006</v>
      </c>
      <c r="F59" s="428">
        <f t="shared" si="0"/>
        <v>0.91857</v>
      </c>
      <c r="G59" s="390">
        <f t="shared" si="1"/>
        <v>67.933999999999997</v>
      </c>
      <c r="H59" s="391">
        <f t="shared" si="2"/>
        <v>228289.99857000003</v>
      </c>
      <c r="I59" s="324">
        <v>69000</v>
      </c>
      <c r="J59" s="325"/>
      <c r="K59" s="325"/>
      <c r="L59" s="317">
        <v>73956.210000000006</v>
      </c>
      <c r="M59" s="318"/>
      <c r="N59" s="318"/>
      <c r="O59" s="318"/>
      <c r="P59" s="392">
        <f t="shared" si="8"/>
        <v>73956.210000000006</v>
      </c>
      <c r="Q59" s="392">
        <f t="shared" si="3"/>
        <v>0</v>
      </c>
      <c r="R59" s="392">
        <f t="shared" si="4"/>
        <v>0</v>
      </c>
      <c r="S59" s="317">
        <v>68999.66</v>
      </c>
      <c r="T59" s="374"/>
      <c r="U59" s="18">
        <f t="shared" si="9"/>
        <v>-0.33999999999650754</v>
      </c>
      <c r="V59" s="377">
        <f t="shared" si="10"/>
        <v>69000</v>
      </c>
      <c r="W59" s="18">
        <f t="shared" si="11"/>
        <v>70096.952199693667</v>
      </c>
      <c r="X59" s="520">
        <f t="shared" si="12"/>
        <v>-1096.9521996936674</v>
      </c>
      <c r="Y59" s="525">
        <f t="shared" si="13"/>
        <v>135755.8576056626</v>
      </c>
    </row>
    <row r="60" spans="3:25" x14ac:dyDescent="0.2">
      <c r="C60" s="387">
        <f t="shared" si="5"/>
        <v>42533</v>
      </c>
      <c r="D60" s="388">
        <f t="shared" si="6"/>
        <v>154264.93600000002</v>
      </c>
      <c r="E60" s="392">
        <f t="shared" si="7"/>
        <v>71889.56</v>
      </c>
      <c r="F60" s="428">
        <f t="shared" si="0"/>
        <v>0.91857</v>
      </c>
      <c r="G60" s="390">
        <f t="shared" si="1"/>
        <v>66.035600000000002</v>
      </c>
      <c r="H60" s="391">
        <f t="shared" si="2"/>
        <v>226221.45017000003</v>
      </c>
      <c r="I60" s="324">
        <v>69000</v>
      </c>
      <c r="J60" s="325"/>
      <c r="K60" s="325"/>
      <c r="L60" s="319">
        <v>71889.56</v>
      </c>
      <c r="M60" s="320"/>
      <c r="N60" s="320"/>
      <c r="O60" s="320"/>
      <c r="P60" s="392">
        <f t="shared" si="8"/>
        <v>71889.56</v>
      </c>
      <c r="Q60" s="392">
        <f t="shared" si="3"/>
        <v>0</v>
      </c>
      <c r="R60" s="392">
        <f t="shared" si="4"/>
        <v>0</v>
      </c>
      <c r="S60" s="319">
        <v>68999.66</v>
      </c>
      <c r="T60" s="374"/>
      <c r="U60" s="18">
        <f t="shared" si="9"/>
        <v>-0.33999999999650754</v>
      </c>
      <c r="V60" s="377">
        <f t="shared" si="10"/>
        <v>69000</v>
      </c>
      <c r="W60" s="18">
        <f t="shared" si="11"/>
        <v>68138.146221622359</v>
      </c>
      <c r="X60" s="520">
        <f t="shared" si="12"/>
        <v>861.85377837764099</v>
      </c>
      <c r="Y60" s="525">
        <f t="shared" si="13"/>
        <v>136617.71138404025</v>
      </c>
    </row>
    <row r="61" spans="3:25" x14ac:dyDescent="0.2">
      <c r="C61" s="387">
        <f t="shared" si="5"/>
        <v>42534</v>
      </c>
      <c r="D61" s="388">
        <f t="shared" si="6"/>
        <v>154264.93600000002</v>
      </c>
      <c r="E61" s="392">
        <f t="shared" si="7"/>
        <v>74180.2</v>
      </c>
      <c r="F61" s="428">
        <f t="shared" si="0"/>
        <v>0.91857</v>
      </c>
      <c r="G61" s="390">
        <f t="shared" si="1"/>
        <v>68.139700000000005</v>
      </c>
      <c r="H61" s="391">
        <f t="shared" si="2"/>
        <v>228514.19427000001</v>
      </c>
      <c r="I61" s="324">
        <v>69000</v>
      </c>
      <c r="J61" s="325"/>
      <c r="K61" s="325"/>
      <c r="L61" s="317">
        <v>74180.2</v>
      </c>
      <c r="M61" s="318"/>
      <c r="N61" s="318"/>
      <c r="O61" s="318"/>
      <c r="P61" s="392">
        <f t="shared" si="8"/>
        <v>74180.2</v>
      </c>
      <c r="Q61" s="392">
        <f t="shared" si="3"/>
        <v>0</v>
      </c>
      <c r="R61" s="392">
        <f t="shared" si="4"/>
        <v>0</v>
      </c>
      <c r="S61" s="317">
        <v>68999.66</v>
      </c>
      <c r="T61" s="374"/>
      <c r="U61" s="18">
        <f t="shared" si="9"/>
        <v>-0.33999999999650754</v>
      </c>
      <c r="V61" s="377">
        <f t="shared" si="10"/>
        <v>69000</v>
      </c>
      <c r="W61" s="18">
        <f t="shared" si="11"/>
        <v>70309.253726816387</v>
      </c>
      <c r="X61" s="520">
        <f t="shared" si="12"/>
        <v>-1309.2537268163869</v>
      </c>
      <c r="Y61" s="525">
        <f t="shared" si="13"/>
        <v>135308.45765722386</v>
      </c>
    </row>
    <row r="62" spans="3:25" x14ac:dyDescent="0.2">
      <c r="C62" s="387">
        <f t="shared" si="5"/>
        <v>42535</v>
      </c>
      <c r="D62" s="388">
        <f t="shared" si="6"/>
        <v>154264.93600000002</v>
      </c>
      <c r="E62" s="392">
        <f t="shared" si="7"/>
        <v>74288.2</v>
      </c>
      <c r="F62" s="428">
        <f t="shared" si="0"/>
        <v>0.91857</v>
      </c>
      <c r="G62" s="390">
        <f t="shared" si="1"/>
        <v>68.238900000000001</v>
      </c>
      <c r="H62" s="391">
        <f t="shared" si="2"/>
        <v>228622.29347</v>
      </c>
      <c r="I62" s="324">
        <v>72000</v>
      </c>
      <c r="J62" s="325"/>
      <c r="K62" s="325"/>
      <c r="L62" s="319">
        <v>74288.2</v>
      </c>
      <c r="M62" s="320"/>
      <c r="N62" s="320"/>
      <c r="O62" s="320"/>
      <c r="P62" s="392">
        <f t="shared" si="8"/>
        <v>74288.2</v>
      </c>
      <c r="Q62" s="392">
        <f t="shared" si="3"/>
        <v>0</v>
      </c>
      <c r="R62" s="392">
        <f t="shared" si="4"/>
        <v>0</v>
      </c>
      <c r="S62" s="319">
        <v>72000.2</v>
      </c>
      <c r="T62" s="374"/>
      <c r="U62" s="18">
        <f t="shared" si="9"/>
        <v>0.19999999999708962</v>
      </c>
      <c r="V62" s="377">
        <f t="shared" si="10"/>
        <v>72000</v>
      </c>
      <c r="W62" s="18">
        <f t="shared" si="11"/>
        <v>70411.617961511045</v>
      </c>
      <c r="X62" s="520">
        <f t="shared" si="12"/>
        <v>1588.382038488955</v>
      </c>
      <c r="Y62" s="525">
        <f t="shared" si="13"/>
        <v>136896.83969571281</v>
      </c>
    </row>
    <row r="63" spans="3:25" x14ac:dyDescent="0.2">
      <c r="C63" s="387">
        <f t="shared" si="5"/>
        <v>42536</v>
      </c>
      <c r="D63" s="388">
        <f t="shared" si="6"/>
        <v>154264.93600000002</v>
      </c>
      <c r="E63" s="392">
        <f t="shared" si="7"/>
        <v>75122.399999999994</v>
      </c>
      <c r="F63" s="428">
        <f t="shared" si="0"/>
        <v>0.91857</v>
      </c>
      <c r="G63" s="390">
        <f t="shared" si="1"/>
        <v>69.005200000000002</v>
      </c>
      <c r="H63" s="391">
        <f t="shared" si="2"/>
        <v>229457.25977000003</v>
      </c>
      <c r="I63" s="324">
        <v>72000</v>
      </c>
      <c r="J63" s="325"/>
      <c r="K63" s="325"/>
      <c r="L63" s="317">
        <v>75122.399999999994</v>
      </c>
      <c r="M63" s="318"/>
      <c r="N63" s="318"/>
      <c r="O63" s="318"/>
      <c r="P63" s="392">
        <f t="shared" si="8"/>
        <v>75122.399999999994</v>
      </c>
      <c r="Q63" s="392">
        <f t="shared" si="3"/>
        <v>0</v>
      </c>
      <c r="R63" s="392">
        <f t="shared" si="4"/>
        <v>0</v>
      </c>
      <c r="S63" s="317">
        <v>72000.2</v>
      </c>
      <c r="T63" s="374"/>
      <c r="U63" s="18">
        <f t="shared" si="9"/>
        <v>0.19999999999708962</v>
      </c>
      <c r="V63" s="377">
        <f t="shared" si="10"/>
        <v>72000</v>
      </c>
      <c r="W63" s="18">
        <f t="shared" si="11"/>
        <v>71202.28689282843</v>
      </c>
      <c r="X63" s="520">
        <f t="shared" si="12"/>
        <v>797.7131071715703</v>
      </c>
      <c r="Y63" s="525">
        <f t="shared" si="13"/>
        <v>137694.55280288437</v>
      </c>
    </row>
    <row r="64" spans="3:25" x14ac:dyDescent="0.2">
      <c r="C64" s="387">
        <f t="shared" si="5"/>
        <v>42537</v>
      </c>
      <c r="D64" s="388">
        <f t="shared" si="6"/>
        <v>154264.93600000002</v>
      </c>
      <c r="E64" s="392">
        <f t="shared" si="7"/>
        <v>75541.399999999994</v>
      </c>
      <c r="F64" s="428">
        <f t="shared" si="0"/>
        <v>0.91857</v>
      </c>
      <c r="G64" s="390">
        <f t="shared" si="1"/>
        <v>69.390100000000004</v>
      </c>
      <c r="H64" s="391">
        <f t="shared" si="2"/>
        <v>229876.64467000001</v>
      </c>
      <c r="I64" s="324">
        <v>72000</v>
      </c>
      <c r="J64" s="325"/>
      <c r="K64" s="325"/>
      <c r="L64" s="319">
        <v>75541.399999999994</v>
      </c>
      <c r="M64" s="320"/>
      <c r="N64" s="320"/>
      <c r="O64" s="320"/>
      <c r="P64" s="392">
        <f t="shared" si="8"/>
        <v>75541.399999999994</v>
      </c>
      <c r="Q64" s="392">
        <f t="shared" si="3"/>
        <v>0</v>
      </c>
      <c r="R64" s="392">
        <f t="shared" si="4"/>
        <v>0</v>
      </c>
      <c r="S64" s="319">
        <v>72000.2</v>
      </c>
      <c r="T64" s="374"/>
      <c r="U64" s="18">
        <f t="shared" si="9"/>
        <v>0.19999999999708962</v>
      </c>
      <c r="V64" s="377">
        <f t="shared" si="10"/>
        <v>72000</v>
      </c>
      <c r="W64" s="18">
        <f t="shared" si="11"/>
        <v>71599.422210764169</v>
      </c>
      <c r="X64" s="520">
        <f t="shared" si="12"/>
        <v>400.57778923583101</v>
      </c>
      <c r="Y64" s="525">
        <f t="shared" si="13"/>
        <v>138095.1305921202</v>
      </c>
    </row>
    <row r="65" spans="3:38" x14ac:dyDescent="0.2">
      <c r="C65" s="387">
        <f t="shared" si="5"/>
        <v>42538</v>
      </c>
      <c r="D65" s="388">
        <f t="shared" si="6"/>
        <v>154264.93600000002</v>
      </c>
      <c r="E65" s="392">
        <f t="shared" si="7"/>
        <v>75075.53</v>
      </c>
      <c r="F65" s="428">
        <f t="shared" si="0"/>
        <v>0.91857</v>
      </c>
      <c r="G65" s="390">
        <f t="shared" si="1"/>
        <v>68.962100000000007</v>
      </c>
      <c r="H65" s="391">
        <f t="shared" si="2"/>
        <v>229410.34667000003</v>
      </c>
      <c r="I65" s="324">
        <v>71000</v>
      </c>
      <c r="J65" s="325"/>
      <c r="K65" s="325"/>
      <c r="L65" s="317">
        <v>75075.53</v>
      </c>
      <c r="M65" s="318"/>
      <c r="N65" s="318"/>
      <c r="O65" s="318"/>
      <c r="P65" s="392">
        <f t="shared" si="8"/>
        <v>75075.53</v>
      </c>
      <c r="Q65" s="392">
        <f t="shared" si="3"/>
        <v>0</v>
      </c>
      <c r="R65" s="392">
        <f t="shared" si="4"/>
        <v>0</v>
      </c>
      <c r="S65" s="317">
        <v>70999.7</v>
      </c>
      <c r="T65" s="374"/>
      <c r="U65" s="18">
        <f t="shared" si="9"/>
        <v>-0.30000000000291038</v>
      </c>
      <c r="V65" s="377">
        <f t="shared" si="10"/>
        <v>71000</v>
      </c>
      <c r="W65" s="18">
        <f t="shared" si="11"/>
        <v>71157.862710604939</v>
      </c>
      <c r="X65" s="520">
        <f t="shared" si="12"/>
        <v>-157.86271060493891</v>
      </c>
      <c r="Y65" s="525">
        <f t="shared" si="13"/>
        <v>137937.26788151526</v>
      </c>
    </row>
    <row r="66" spans="3:38" x14ac:dyDescent="0.2">
      <c r="C66" s="387">
        <f t="shared" si="5"/>
        <v>42539</v>
      </c>
      <c r="D66" s="388">
        <f t="shared" si="6"/>
        <v>154264.93600000002</v>
      </c>
      <c r="E66" s="392">
        <f t="shared" si="7"/>
        <v>74795.39</v>
      </c>
      <c r="F66" s="428">
        <f t="shared" si="0"/>
        <v>0.91857</v>
      </c>
      <c r="G66" s="390">
        <f t="shared" si="1"/>
        <v>68.704800000000006</v>
      </c>
      <c r="H66" s="391">
        <f t="shared" si="2"/>
        <v>229129.94937000002</v>
      </c>
      <c r="I66" s="324">
        <v>70000</v>
      </c>
      <c r="J66" s="325"/>
      <c r="K66" s="325"/>
      <c r="L66" s="319">
        <v>74795.39</v>
      </c>
      <c r="M66" s="320"/>
      <c r="N66" s="320"/>
      <c r="O66" s="320"/>
      <c r="P66" s="392">
        <f t="shared" si="8"/>
        <v>74795.39</v>
      </c>
      <c r="Q66" s="392">
        <f t="shared" si="3"/>
        <v>0</v>
      </c>
      <c r="R66" s="392">
        <f t="shared" si="4"/>
        <v>0</v>
      </c>
      <c r="S66" s="319">
        <v>70000.17</v>
      </c>
      <c r="T66" s="374"/>
      <c r="U66" s="18">
        <f t="shared" si="9"/>
        <v>0.16999999999825377</v>
      </c>
      <c r="V66" s="377">
        <f t="shared" si="10"/>
        <v>70000</v>
      </c>
      <c r="W66" s="18">
        <f t="shared" si="11"/>
        <v>70892.341259610868</v>
      </c>
      <c r="X66" s="520">
        <f t="shared" si="12"/>
        <v>-892.34125961086829</v>
      </c>
      <c r="Y66" s="525">
        <f t="shared" si="13"/>
        <v>137044.92662190439</v>
      </c>
    </row>
    <row r="67" spans="3:38" x14ac:dyDescent="0.2">
      <c r="C67" s="387">
        <f t="shared" si="5"/>
        <v>42540</v>
      </c>
      <c r="D67" s="388">
        <f t="shared" si="6"/>
        <v>154264.93600000002</v>
      </c>
      <c r="E67" s="392">
        <f t="shared" si="7"/>
        <v>72558.741999999998</v>
      </c>
      <c r="F67" s="428">
        <f t="shared" si="0"/>
        <v>0.91857</v>
      </c>
      <c r="G67" s="390">
        <f t="shared" si="1"/>
        <v>66.650300000000001</v>
      </c>
      <c r="H67" s="391">
        <f t="shared" si="2"/>
        <v>226891.24687000003</v>
      </c>
      <c r="I67" s="324">
        <v>70000</v>
      </c>
      <c r="J67" s="325"/>
      <c r="K67" s="325"/>
      <c r="L67" s="317">
        <v>72558.741999999998</v>
      </c>
      <c r="M67" s="318"/>
      <c r="N67" s="318"/>
      <c r="O67" s="318"/>
      <c r="P67" s="392">
        <f t="shared" si="8"/>
        <v>72558.741999999998</v>
      </c>
      <c r="Q67" s="392">
        <f t="shared" si="3"/>
        <v>0</v>
      </c>
      <c r="R67" s="392">
        <f t="shared" si="4"/>
        <v>0</v>
      </c>
      <c r="S67" s="317">
        <v>70000.17</v>
      </c>
      <c r="T67" s="374"/>
      <c r="U67" s="18">
        <f t="shared" si="9"/>
        <v>0.16999999999825377</v>
      </c>
      <c r="V67" s="377">
        <f t="shared" si="10"/>
        <v>70000</v>
      </c>
      <c r="W67" s="18">
        <f t="shared" si="11"/>
        <v>68772.408289228246</v>
      </c>
      <c r="X67" s="520">
        <f t="shared" si="12"/>
        <v>1227.5917107717542</v>
      </c>
      <c r="Y67" s="525">
        <f t="shared" si="13"/>
        <v>138272.51833267615</v>
      </c>
    </row>
    <row r="68" spans="3:38" x14ac:dyDescent="0.2">
      <c r="C68" s="387">
        <f t="shared" si="5"/>
        <v>42541</v>
      </c>
      <c r="D68" s="388">
        <f t="shared" si="6"/>
        <v>154264.93600000002</v>
      </c>
      <c r="E68" s="392">
        <f t="shared" si="7"/>
        <v>75969.31</v>
      </c>
      <c r="F68" s="428">
        <f t="shared" si="0"/>
        <v>0.91857</v>
      </c>
      <c r="G68" s="390">
        <f t="shared" si="1"/>
        <v>69.783100000000005</v>
      </c>
      <c r="H68" s="391">
        <f t="shared" si="2"/>
        <v>230304.94767000002</v>
      </c>
      <c r="I68" s="324">
        <v>70000</v>
      </c>
      <c r="J68" s="325"/>
      <c r="K68" s="325"/>
      <c r="L68" s="319">
        <v>75969.31</v>
      </c>
      <c r="M68" s="320"/>
      <c r="N68" s="320"/>
      <c r="O68" s="320"/>
      <c r="P68" s="392">
        <f t="shared" si="8"/>
        <v>75969.31</v>
      </c>
      <c r="Q68" s="392">
        <f t="shared" si="3"/>
        <v>0</v>
      </c>
      <c r="R68" s="392">
        <f t="shared" si="4"/>
        <v>0</v>
      </c>
      <c r="S68" s="319">
        <v>70000.17</v>
      </c>
      <c r="T68" s="374"/>
      <c r="U68" s="18">
        <f t="shared" si="9"/>
        <v>0.16999999999825377</v>
      </c>
      <c r="V68" s="377">
        <f t="shared" si="10"/>
        <v>70000</v>
      </c>
      <c r="W68" s="18">
        <f t="shared" si="11"/>
        <v>72005.002578062209</v>
      </c>
      <c r="X68" s="520">
        <f t="shared" si="12"/>
        <v>-2005.0025780622091</v>
      </c>
      <c r="Y68" s="525">
        <f t="shared" si="13"/>
        <v>136267.51575461394</v>
      </c>
    </row>
    <row r="69" spans="3:38" x14ac:dyDescent="0.2">
      <c r="C69" s="387">
        <f t="shared" si="5"/>
        <v>42542</v>
      </c>
      <c r="D69" s="388">
        <f t="shared" si="6"/>
        <v>154264.93600000002</v>
      </c>
      <c r="E69" s="392">
        <f t="shared" si="7"/>
        <v>75211.41</v>
      </c>
      <c r="F69" s="428">
        <f t="shared" si="0"/>
        <v>0.91857</v>
      </c>
      <c r="G69" s="390">
        <f t="shared" si="1"/>
        <v>69.0869</v>
      </c>
      <c r="H69" s="391">
        <f t="shared" si="2"/>
        <v>229546.35147000002</v>
      </c>
      <c r="I69" s="324">
        <v>72000</v>
      </c>
      <c r="J69" s="325"/>
      <c r="K69" s="325"/>
      <c r="L69" s="317">
        <v>75211.41</v>
      </c>
      <c r="M69" s="318"/>
      <c r="N69" s="318"/>
      <c r="O69" s="318"/>
      <c r="P69" s="392">
        <f t="shared" si="8"/>
        <v>75211.41</v>
      </c>
      <c r="Q69" s="392">
        <f t="shared" si="3"/>
        <v>0</v>
      </c>
      <c r="R69" s="392">
        <f t="shared" si="4"/>
        <v>0</v>
      </c>
      <c r="S69" s="317">
        <v>72000.2</v>
      </c>
      <c r="T69" s="374"/>
      <c r="U69" s="18">
        <f t="shared" si="9"/>
        <v>0.19999999999708962</v>
      </c>
      <c r="V69" s="377">
        <f t="shared" si="10"/>
        <v>72000</v>
      </c>
      <c r="W69" s="18">
        <f t="shared" si="11"/>
        <v>71286.652082922621</v>
      </c>
      <c r="X69" s="520">
        <f t="shared" si="12"/>
        <v>713.34791707737895</v>
      </c>
      <c r="Y69" s="525">
        <f t="shared" si="13"/>
        <v>136980.86367169133</v>
      </c>
    </row>
    <row r="70" spans="3:38" x14ac:dyDescent="0.2">
      <c r="C70" s="387">
        <f t="shared" si="5"/>
        <v>42543</v>
      </c>
      <c r="D70" s="388">
        <f t="shared" si="6"/>
        <v>154264.93600000002</v>
      </c>
      <c r="E70" s="392">
        <f t="shared" si="7"/>
        <v>75444.22</v>
      </c>
      <c r="F70" s="428">
        <f t="shared" si="0"/>
        <v>0.91857</v>
      </c>
      <c r="G70" s="390">
        <f t="shared" si="1"/>
        <v>69.300799999999995</v>
      </c>
      <c r="H70" s="391">
        <f t="shared" si="2"/>
        <v>229779.37537000002</v>
      </c>
      <c r="I70" s="324">
        <v>72000</v>
      </c>
      <c r="J70" s="325"/>
      <c r="K70" s="325"/>
      <c r="L70" s="319">
        <v>75444.22</v>
      </c>
      <c r="M70" s="320"/>
      <c r="N70" s="320"/>
      <c r="O70" s="320"/>
      <c r="P70" s="392">
        <f t="shared" si="8"/>
        <v>75444.22</v>
      </c>
      <c r="Q70" s="392">
        <f t="shared" si="3"/>
        <v>0</v>
      </c>
      <c r="R70" s="392">
        <f t="shared" si="4"/>
        <v>0</v>
      </c>
      <c r="S70" s="319">
        <v>72000.2</v>
      </c>
      <c r="T70" s="374"/>
      <c r="U70" s="18">
        <f t="shared" si="9"/>
        <v>0.19999999999708962</v>
      </c>
      <c r="V70" s="377">
        <f t="shared" si="10"/>
        <v>72000</v>
      </c>
      <c r="W70" s="18">
        <f t="shared" si="11"/>
        <v>71507.313355878738</v>
      </c>
      <c r="X70" s="520">
        <f t="shared" si="12"/>
        <v>492.68664412126236</v>
      </c>
      <c r="Y70" s="525">
        <f t="shared" si="13"/>
        <v>137473.55031581258</v>
      </c>
    </row>
    <row r="71" spans="3:38" x14ac:dyDescent="0.2">
      <c r="C71" s="387">
        <f t="shared" si="5"/>
        <v>42544</v>
      </c>
      <c r="D71" s="388">
        <f t="shared" si="6"/>
        <v>154264.93600000002</v>
      </c>
      <c r="E71" s="392">
        <f t="shared" si="7"/>
        <v>76714.899999999994</v>
      </c>
      <c r="F71" s="428">
        <f t="shared" si="0"/>
        <v>0.91857</v>
      </c>
      <c r="G71" s="390">
        <f t="shared" si="1"/>
        <v>70.468000000000004</v>
      </c>
      <c r="H71" s="391">
        <f t="shared" si="2"/>
        <v>231051.22257000001</v>
      </c>
      <c r="I71" s="324">
        <v>72000</v>
      </c>
      <c r="J71" s="325"/>
      <c r="K71" s="325"/>
      <c r="L71" s="317">
        <v>76714.899999999994</v>
      </c>
      <c r="M71" s="318"/>
      <c r="N71" s="318"/>
      <c r="O71" s="318"/>
      <c r="P71" s="392">
        <f t="shared" si="8"/>
        <v>76714.899999999994</v>
      </c>
      <c r="Q71" s="392">
        <f t="shared" si="3"/>
        <v>0</v>
      </c>
      <c r="R71" s="392">
        <f t="shared" si="4"/>
        <v>0</v>
      </c>
      <c r="S71" s="317">
        <v>72000.2</v>
      </c>
      <c r="T71" s="374"/>
      <c r="U71" s="18">
        <f t="shared" si="9"/>
        <v>0.19999999999708962</v>
      </c>
      <c r="V71" s="377">
        <f t="shared" si="10"/>
        <v>72000</v>
      </c>
      <c r="W71" s="18">
        <f t="shared" si="11"/>
        <v>72711.685446080577</v>
      </c>
      <c r="X71" s="520">
        <f t="shared" si="12"/>
        <v>-711.68544608057709</v>
      </c>
      <c r="Y71" s="525">
        <f t="shared" si="13"/>
        <v>136761.864869732</v>
      </c>
    </row>
    <row r="72" spans="3:38" x14ac:dyDescent="0.2">
      <c r="C72" s="387">
        <f t="shared" si="5"/>
        <v>42545</v>
      </c>
      <c r="D72" s="388">
        <f t="shared" si="6"/>
        <v>154264.93600000002</v>
      </c>
      <c r="E72" s="392">
        <f t="shared" si="7"/>
        <v>75639.320000000007</v>
      </c>
      <c r="F72" s="428">
        <f t="shared" si="0"/>
        <v>0.91857</v>
      </c>
      <c r="G72" s="390">
        <f t="shared" si="1"/>
        <v>69.48</v>
      </c>
      <c r="H72" s="391">
        <f t="shared" si="2"/>
        <v>229974.65457000004</v>
      </c>
      <c r="I72" s="324">
        <v>72000</v>
      </c>
      <c r="J72" s="325"/>
      <c r="K72" s="325"/>
      <c r="L72" s="319">
        <v>75639.320000000007</v>
      </c>
      <c r="M72" s="320"/>
      <c r="N72" s="320"/>
      <c r="O72" s="320"/>
      <c r="P72" s="392">
        <f t="shared" si="8"/>
        <v>75639.320000000007</v>
      </c>
      <c r="Q72" s="392">
        <f t="shared" si="3"/>
        <v>0</v>
      </c>
      <c r="R72" s="392">
        <f t="shared" si="4"/>
        <v>0</v>
      </c>
      <c r="S72" s="319">
        <v>72000.2</v>
      </c>
      <c r="T72" s="374"/>
      <c r="U72" s="18">
        <f t="shared" si="9"/>
        <v>0.19999999999708962</v>
      </c>
      <c r="V72" s="377">
        <f t="shared" si="10"/>
        <v>72000</v>
      </c>
      <c r="W72" s="18">
        <f t="shared" si="11"/>
        <v>71692.232450220661</v>
      </c>
      <c r="X72" s="520">
        <f t="shared" si="12"/>
        <v>307.76754977933888</v>
      </c>
      <c r="Y72" s="525">
        <f t="shared" si="13"/>
        <v>137069.63241951133</v>
      </c>
    </row>
    <row r="73" spans="3:38" x14ac:dyDescent="0.2">
      <c r="C73" s="387">
        <f t="shared" si="5"/>
        <v>42546</v>
      </c>
      <c r="D73" s="388">
        <f t="shared" si="6"/>
        <v>154264.93600000002</v>
      </c>
      <c r="E73" s="392">
        <f t="shared" si="7"/>
        <v>74920.39</v>
      </c>
      <c r="F73" s="428">
        <f t="shared" si="0"/>
        <v>0.91857</v>
      </c>
      <c r="G73" s="390">
        <f t="shared" si="1"/>
        <v>68.819599999999994</v>
      </c>
      <c r="H73" s="391">
        <f t="shared" si="2"/>
        <v>229255.06417</v>
      </c>
      <c r="I73" s="324">
        <v>74001</v>
      </c>
      <c r="J73" s="325"/>
      <c r="K73" s="325"/>
      <c r="L73" s="317">
        <v>74920.39</v>
      </c>
      <c r="M73" s="318"/>
      <c r="N73" s="318"/>
      <c r="O73" s="318"/>
      <c r="P73" s="392">
        <f t="shared" si="8"/>
        <v>74920.39</v>
      </c>
      <c r="Q73" s="392">
        <f t="shared" si="3"/>
        <v>0</v>
      </c>
      <c r="R73" s="392">
        <f t="shared" si="4"/>
        <v>0</v>
      </c>
      <c r="S73" s="317">
        <v>74000.23</v>
      </c>
      <c r="T73" s="374"/>
      <c r="U73" s="18">
        <f t="shared" si="9"/>
        <v>-0.77000000000407454</v>
      </c>
      <c r="V73" s="377">
        <f t="shared" si="10"/>
        <v>74001</v>
      </c>
      <c r="W73" s="18">
        <f t="shared" si="11"/>
        <v>71010.81838310005</v>
      </c>
      <c r="X73" s="520">
        <f t="shared" si="12"/>
        <v>2990.1816168999503</v>
      </c>
      <c r="Y73" s="525">
        <f t="shared" si="13"/>
        <v>140059.81403641129</v>
      </c>
    </row>
    <row r="74" spans="3:38" x14ac:dyDescent="0.2">
      <c r="C74" s="387">
        <f t="shared" si="5"/>
        <v>42547</v>
      </c>
      <c r="D74" s="388">
        <f t="shared" si="6"/>
        <v>154264.93600000002</v>
      </c>
      <c r="E74" s="392">
        <f t="shared" si="7"/>
        <v>74257.850000000006</v>
      </c>
      <c r="F74" s="428">
        <f t="shared" si="0"/>
        <v>0.91857</v>
      </c>
      <c r="G74" s="390">
        <f t="shared" si="1"/>
        <v>68.210999999999999</v>
      </c>
      <c r="H74" s="391">
        <f t="shared" si="2"/>
        <v>228591.91557000004</v>
      </c>
      <c r="I74" s="324">
        <v>74001</v>
      </c>
      <c r="J74" s="325"/>
      <c r="K74" s="325"/>
      <c r="L74" s="319">
        <v>74257.850000000006</v>
      </c>
      <c r="M74" s="320"/>
      <c r="N74" s="320"/>
      <c r="O74" s="320"/>
      <c r="P74" s="392">
        <f t="shared" si="8"/>
        <v>74257.850000000006</v>
      </c>
      <c r="Q74" s="392">
        <f t="shared" si="3"/>
        <v>0</v>
      </c>
      <c r="R74" s="392">
        <f t="shared" si="4"/>
        <v>0</v>
      </c>
      <c r="S74" s="319">
        <v>74000.23</v>
      </c>
      <c r="T74" s="374"/>
      <c r="U74" s="18">
        <f t="shared" si="9"/>
        <v>-0.77000000000407454</v>
      </c>
      <c r="V74" s="377">
        <f t="shared" si="10"/>
        <v>74001</v>
      </c>
      <c r="W74" s="18">
        <f t="shared" si="11"/>
        <v>70382.851715927885</v>
      </c>
      <c r="X74" s="520">
        <f t="shared" si="12"/>
        <v>3618.1482840721146</v>
      </c>
      <c r="Y74" s="525">
        <f t="shared" si="13"/>
        <v>143677.96232048341</v>
      </c>
    </row>
    <row r="75" spans="3:38" x14ac:dyDescent="0.2">
      <c r="C75" s="387">
        <f t="shared" si="5"/>
        <v>42548</v>
      </c>
      <c r="D75" s="388">
        <f t="shared" si="6"/>
        <v>154264.93600000002</v>
      </c>
      <c r="E75" s="392">
        <f t="shared" si="7"/>
        <v>74256.350000000006</v>
      </c>
      <c r="F75" s="428">
        <f t="shared" si="0"/>
        <v>0.91857</v>
      </c>
      <c r="G75" s="390">
        <f t="shared" si="1"/>
        <v>68.209699999999998</v>
      </c>
      <c r="H75" s="391">
        <f t="shared" si="2"/>
        <v>228590.41427000004</v>
      </c>
      <c r="I75" s="324">
        <v>74001</v>
      </c>
      <c r="J75" s="325"/>
      <c r="K75" s="325"/>
      <c r="L75" s="317">
        <v>74256.350000000006</v>
      </c>
      <c r="M75" s="318"/>
      <c r="N75" s="318"/>
      <c r="O75" s="318"/>
      <c r="P75" s="392">
        <f t="shared" si="8"/>
        <v>74256.350000000006</v>
      </c>
      <c r="Q75" s="392">
        <f t="shared" si="3"/>
        <v>0</v>
      </c>
      <c r="R75" s="392">
        <f t="shared" si="4"/>
        <v>0</v>
      </c>
      <c r="S75" s="317">
        <v>74000.23</v>
      </c>
      <c r="T75" s="374"/>
      <c r="U75" s="18">
        <f t="shared" si="9"/>
        <v>-0.77000000000407454</v>
      </c>
      <c r="V75" s="377">
        <f t="shared" si="10"/>
        <v>74001</v>
      </c>
      <c r="W75" s="18">
        <f t="shared" si="11"/>
        <v>70381.429990446006</v>
      </c>
      <c r="X75" s="520">
        <f t="shared" si="12"/>
        <v>3619.5700095539942</v>
      </c>
      <c r="Y75" s="525">
        <f t="shared" si="13"/>
        <v>147297.53233003739</v>
      </c>
    </row>
    <row r="76" spans="3:38" x14ac:dyDescent="0.2">
      <c r="C76" s="387">
        <f t="shared" si="5"/>
        <v>42549</v>
      </c>
      <c r="D76" s="388">
        <f t="shared" si="6"/>
        <v>154264.93600000002</v>
      </c>
      <c r="E76" s="392">
        <f t="shared" si="7"/>
        <v>73711.520000000004</v>
      </c>
      <c r="F76" s="428">
        <f t="shared" si="0"/>
        <v>0.91857</v>
      </c>
      <c r="G76" s="390">
        <f t="shared" si="1"/>
        <v>67.709199999999996</v>
      </c>
      <c r="H76" s="391">
        <f t="shared" si="2"/>
        <v>228045.08377000003</v>
      </c>
      <c r="I76" s="324">
        <v>74001</v>
      </c>
      <c r="J76" s="325"/>
      <c r="K76" s="325"/>
      <c r="L76" s="319">
        <v>73711.520000000004</v>
      </c>
      <c r="M76" s="320"/>
      <c r="N76" s="320"/>
      <c r="O76" s="320"/>
      <c r="P76" s="392">
        <f t="shared" si="8"/>
        <v>73711.520000000004</v>
      </c>
      <c r="Q76" s="392">
        <f t="shared" si="3"/>
        <v>0</v>
      </c>
      <c r="R76" s="392">
        <f t="shared" si="4"/>
        <v>0</v>
      </c>
      <c r="S76" s="319">
        <v>74000.23</v>
      </c>
      <c r="T76" s="374"/>
      <c r="U76" s="18">
        <f t="shared" si="9"/>
        <v>-0.77000000000407454</v>
      </c>
      <c r="V76" s="377">
        <f t="shared" si="10"/>
        <v>74001</v>
      </c>
      <c r="W76" s="18">
        <f t="shared" si="11"/>
        <v>69865.030860921135</v>
      </c>
      <c r="X76" s="520">
        <f t="shared" si="12"/>
        <v>4135.9691390788648</v>
      </c>
      <c r="Y76" s="525">
        <f t="shared" si="13"/>
        <v>151433.50146911625</v>
      </c>
    </row>
    <row r="77" spans="3:38" x14ac:dyDescent="0.2">
      <c r="C77" s="387">
        <f t="shared" si="5"/>
        <v>42550</v>
      </c>
      <c r="D77" s="388">
        <f t="shared" si="6"/>
        <v>154264.93600000002</v>
      </c>
      <c r="E77" s="392">
        <f t="shared" si="7"/>
        <v>73115.56</v>
      </c>
      <c r="F77" s="428">
        <f t="shared" si="0"/>
        <v>0.91857</v>
      </c>
      <c r="G77" s="390">
        <f t="shared" si="1"/>
        <v>67.161799999999999</v>
      </c>
      <c r="H77" s="391">
        <f t="shared" si="2"/>
        <v>227448.57637000002</v>
      </c>
      <c r="I77" s="324">
        <v>74001</v>
      </c>
      <c r="J77" s="325"/>
      <c r="K77" s="325"/>
      <c r="L77" s="317">
        <v>73115.56</v>
      </c>
      <c r="M77" s="318"/>
      <c r="N77" s="318"/>
      <c r="O77" s="318"/>
      <c r="P77" s="392">
        <f t="shared" si="8"/>
        <v>73115.56</v>
      </c>
      <c r="Q77" s="392">
        <f t="shared" si="3"/>
        <v>0</v>
      </c>
      <c r="R77" s="392">
        <f t="shared" si="4"/>
        <v>0</v>
      </c>
      <c r="S77" s="317">
        <v>74000.23</v>
      </c>
      <c r="T77" s="374"/>
      <c r="U77" s="18">
        <f t="shared" si="9"/>
        <v>-0.77000000000407454</v>
      </c>
      <c r="V77" s="377">
        <f t="shared" si="10"/>
        <v>74001</v>
      </c>
      <c r="W77" s="18">
        <f t="shared" si="11"/>
        <v>69300.169848804231</v>
      </c>
      <c r="X77" s="520">
        <f t="shared" si="12"/>
        <v>4700.8301511957688</v>
      </c>
      <c r="Y77" s="525">
        <f t="shared" si="13"/>
        <v>156134.331620312</v>
      </c>
    </row>
    <row r="78" spans="3:38" x14ac:dyDescent="0.2">
      <c r="C78" s="387">
        <f t="shared" si="5"/>
        <v>42551</v>
      </c>
      <c r="D78" s="388">
        <f t="shared" si="6"/>
        <v>154264.93600000002</v>
      </c>
      <c r="E78" s="392">
        <f t="shared" si="7"/>
        <v>74384.960000000006</v>
      </c>
      <c r="F78" s="428">
        <f t="shared" si="0"/>
        <v>0.91857</v>
      </c>
      <c r="G78" s="390">
        <f t="shared" si="1"/>
        <v>68.327799999999996</v>
      </c>
      <c r="H78" s="391">
        <f t="shared" si="2"/>
        <v>228719.14237000002</v>
      </c>
      <c r="I78" s="324">
        <v>74001</v>
      </c>
      <c r="J78" s="325"/>
      <c r="K78" s="325"/>
      <c r="L78" s="319">
        <v>74384.960000000006</v>
      </c>
      <c r="M78" s="320"/>
      <c r="N78" s="320"/>
      <c r="O78" s="320"/>
      <c r="P78" s="392">
        <f t="shared" si="8"/>
        <v>74384.960000000006</v>
      </c>
      <c r="Q78" s="392">
        <f t="shared" si="3"/>
        <v>0</v>
      </c>
      <c r="R78" s="392">
        <f t="shared" si="4"/>
        <v>0</v>
      </c>
      <c r="S78" s="319">
        <v>74000.23</v>
      </c>
      <c r="T78" s="374"/>
      <c r="U78" s="18">
        <f t="shared" si="9"/>
        <v>-0.77000000000407454</v>
      </c>
      <c r="V78" s="377">
        <f t="shared" si="10"/>
        <v>74001</v>
      </c>
      <c r="W78" s="18">
        <f t="shared" si="11"/>
        <v>70503.328733261558</v>
      </c>
      <c r="X78" s="520">
        <f t="shared" si="12"/>
        <v>3497.6712667384418</v>
      </c>
      <c r="Y78" s="525">
        <f t="shared" si="13"/>
        <v>159632.00288705045</v>
      </c>
    </row>
    <row r="79" spans="3:38" ht="15" thickBot="1" x14ac:dyDescent="0.25">
      <c r="C79" s="393"/>
      <c r="D79" s="394"/>
      <c r="E79" s="395"/>
      <c r="F79" s="429"/>
      <c r="G79" s="396"/>
      <c r="H79" s="397"/>
      <c r="I79" s="326"/>
      <c r="J79" s="327"/>
      <c r="K79" s="327"/>
      <c r="L79" s="321"/>
      <c r="M79" s="322"/>
      <c r="N79" s="322"/>
      <c r="O79" s="322"/>
      <c r="P79" s="395"/>
      <c r="Q79" s="395"/>
      <c r="R79" s="395"/>
      <c r="S79" s="321">
        <v>0</v>
      </c>
      <c r="T79" s="376"/>
      <c r="U79" s="379"/>
      <c r="V79" s="380"/>
      <c r="W79" s="379"/>
      <c r="X79" s="528"/>
      <c r="Y79" s="529"/>
    </row>
    <row r="80" spans="3:38" ht="15" thickBot="1" x14ac:dyDescent="0.25">
      <c r="C80" s="398"/>
      <c r="D80" s="399">
        <f>SUM(D49:D79)</f>
        <v>4627948.0800000029</v>
      </c>
      <c r="E80" s="400">
        <f>SUM(E49:E79)</f>
        <v>2218375.9019999998</v>
      </c>
      <c r="F80" s="400"/>
      <c r="G80" s="401">
        <f>SUM(G49:G79)</f>
        <v>2037.7335000000007</v>
      </c>
      <c r="H80" s="399">
        <f>SUM(H49:H79)</f>
        <v>6848389.2726000007</v>
      </c>
      <c r="I80" s="432">
        <f>SUM(I49:I79)</f>
        <v>2155691</v>
      </c>
      <c r="J80" s="432">
        <f t="shared" ref="J80:R80" si="14">SUM(J49:J79)</f>
        <v>0</v>
      </c>
      <c r="K80" s="432">
        <f t="shared" si="14"/>
        <v>0</v>
      </c>
      <c r="L80" s="432">
        <f t="shared" si="14"/>
        <v>2218375.9019999998</v>
      </c>
      <c r="M80" s="432">
        <f t="shared" si="14"/>
        <v>0</v>
      </c>
      <c r="N80" s="432">
        <f t="shared" si="14"/>
        <v>0</v>
      </c>
      <c r="O80" s="432">
        <f t="shared" si="14"/>
        <v>0</v>
      </c>
      <c r="P80" s="432">
        <f t="shared" si="14"/>
        <v>2218375.9019999998</v>
      </c>
      <c r="Q80" s="432">
        <f t="shared" si="14"/>
        <v>0</v>
      </c>
      <c r="R80" s="432">
        <f t="shared" si="14"/>
        <v>0</v>
      </c>
      <c r="S80" s="570">
        <f>SUM(S49:S79)</f>
        <v>2155685.0799999996</v>
      </c>
      <c r="U80" s="1"/>
      <c r="V80" s="328">
        <f>SUM(V49:V79)</f>
        <v>2155691</v>
      </c>
      <c r="W80" s="328">
        <f>SUM(W49:W79)</f>
        <v>2102614.3654933954</v>
      </c>
      <c r="X80" s="328">
        <f>SUM(X49:X79)</f>
        <v>53076.634506604343</v>
      </c>
      <c r="Y80" s="323">
        <f>Y78</f>
        <v>159632.00288705045</v>
      </c>
      <c r="AL80" s="361">
        <f>Y79</f>
        <v>0</v>
      </c>
    </row>
    <row r="81" spans="2:14" ht="15" customHeight="1" x14ac:dyDescent="0.2">
      <c r="B81"/>
      <c r="C81"/>
      <c r="D81"/>
      <c r="E81"/>
      <c r="F81"/>
      <c r="G81"/>
      <c r="H81"/>
      <c r="I81"/>
      <c r="J81"/>
      <c r="K81"/>
      <c r="L81"/>
      <c r="N81" s="2"/>
    </row>
  </sheetData>
  <mergeCells count="12">
    <mergeCell ref="C10:D10"/>
    <mergeCell ref="C11:D11"/>
    <mergeCell ref="C3:M4"/>
    <mergeCell ref="C5:M5"/>
    <mergeCell ref="C6:M6"/>
    <mergeCell ref="G7:H7"/>
    <mergeCell ref="C9:D9"/>
    <mergeCell ref="D23:E23"/>
    <mergeCell ref="D24:E24"/>
    <mergeCell ref="C28:F28"/>
    <mergeCell ref="C39:F39"/>
    <mergeCell ref="S47:Y47"/>
  </mergeCells>
  <conditionalFormatting sqref="L49:O79">
    <cfRule type="cellIs" dxfId="136" priority="2" stopIfTrue="1" operator="equal">
      <formula>0</formula>
    </cfRule>
  </conditionalFormatting>
  <conditionalFormatting sqref="S49:S79">
    <cfRule type="cellIs" dxfId="135" priority="1" stopIfTrue="1" operator="equal">
      <formula>0</formula>
    </cfRule>
  </conditionalFormatting>
  <printOptions horizontalCentered="1" verticalCentered="1"/>
  <pageMargins left="0" right="0" top="0" bottom="0" header="0.31496062992125984" footer="0.31496062992125984"/>
  <pageSetup scale="80" orientation="landscape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L81"/>
  <sheetViews>
    <sheetView workbookViewId="0"/>
  </sheetViews>
  <sheetFormatPr baseColWidth="10" defaultColWidth="11" defaultRowHeight="14.25" x14ac:dyDescent="0.2"/>
  <cols>
    <col min="1" max="1" width="11" style="2"/>
    <col min="2" max="2" width="3.875" style="2" bestFit="1" customWidth="1"/>
    <col min="3" max="3" width="16.125" style="2" customWidth="1"/>
    <col min="4" max="4" width="12.375" style="2" bestFit="1" customWidth="1"/>
    <col min="5" max="5" width="10.875" style="2" bestFit="1" customWidth="1"/>
    <col min="6" max="6" width="17.125" style="2" bestFit="1" customWidth="1"/>
    <col min="7" max="7" width="13.125" style="2" bestFit="1" customWidth="1"/>
    <col min="8" max="8" width="12.125" style="2" bestFit="1" customWidth="1"/>
    <col min="9" max="9" width="11.125" style="2" bestFit="1" customWidth="1"/>
    <col min="10" max="10" width="11.875" style="2" bestFit="1" customWidth="1"/>
    <col min="11" max="11" width="11.625" style="2" bestFit="1" customWidth="1"/>
    <col min="12" max="12" width="12.125" style="2" customWidth="1"/>
    <col min="13" max="13" width="12" style="2" bestFit="1" customWidth="1"/>
    <col min="14" max="14" width="9" style="1" customWidth="1"/>
    <col min="15" max="15" width="10.375" style="2" customWidth="1"/>
    <col min="16" max="25" width="11" style="2"/>
    <col min="26" max="32" width="10.875" customWidth="1"/>
    <col min="33" max="16384" width="11" style="2"/>
  </cols>
  <sheetData>
    <row r="2" spans="2:25" x14ac:dyDescent="0.2"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2:25" ht="15" customHeight="1" x14ac:dyDescent="0.2">
      <c r="B3" s="1"/>
      <c r="C3" s="2254" t="s">
        <v>0</v>
      </c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</row>
    <row r="4" spans="2:25" ht="15" customHeight="1" x14ac:dyDescent="0.2"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</row>
    <row r="5" spans="2:25" x14ac:dyDescent="0.2">
      <c r="B5" s="1"/>
      <c r="C5" s="2257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</row>
    <row r="6" spans="2:25" x14ac:dyDescent="0.2">
      <c r="B6" s="1"/>
      <c r="C6" s="2257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</row>
    <row r="7" spans="2:25" x14ac:dyDescent="0.2">
      <c r="B7" s="1"/>
      <c r="C7" s="468"/>
      <c r="D7" s="468"/>
      <c r="E7" s="468"/>
      <c r="F7" s="468"/>
      <c r="G7" s="2271">
        <v>42552</v>
      </c>
      <c r="H7" s="2257"/>
      <c r="I7" s="468"/>
      <c r="J7" s="468"/>
      <c r="K7" s="468"/>
      <c r="L7" s="468"/>
      <c r="M7" s="468"/>
      <c r="N7" s="18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2:25" x14ac:dyDescent="0.2">
      <c r="B8" s="1"/>
      <c r="C8" s="468"/>
      <c r="D8" s="468"/>
      <c r="E8" s="468"/>
      <c r="F8" s="468"/>
      <c r="G8" s="468"/>
      <c r="H8" s="468"/>
      <c r="I8" s="468"/>
      <c r="J8" s="468"/>
      <c r="K8" s="468"/>
      <c r="L8" s="468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2:25" ht="25.5" x14ac:dyDescent="0.2">
      <c r="B9" s="1"/>
      <c r="C9" s="2272" t="s">
        <v>6</v>
      </c>
      <c r="D9" s="2272"/>
      <c r="E9" s="470" t="s">
        <v>94</v>
      </c>
      <c r="F9" s="470" t="s">
        <v>126</v>
      </c>
      <c r="G9" s="410" t="s">
        <v>133</v>
      </c>
      <c r="H9" s="470" t="s">
        <v>127</v>
      </c>
      <c r="I9" s="470" t="s">
        <v>128</v>
      </c>
      <c r="J9" s="468"/>
      <c r="K9" s="468"/>
      <c r="L9" s="468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2:25" x14ac:dyDescent="0.2">
      <c r="B10" s="1"/>
      <c r="C10" s="2270" t="s">
        <v>131</v>
      </c>
      <c r="D10" s="2270"/>
      <c r="E10" s="433">
        <f>IF(C15=0,D15,C15)</f>
        <v>4627948.08</v>
      </c>
      <c r="F10" s="407">
        <f>E10*0.16</f>
        <v>740471.69280000008</v>
      </c>
      <c r="G10" s="407">
        <f>E10+F10</f>
        <v>5368419.7728000004</v>
      </c>
      <c r="H10" s="511" t="s">
        <v>197</v>
      </c>
      <c r="I10" s="474">
        <v>19</v>
      </c>
      <c r="J10" s="468"/>
      <c r="K10" s="468"/>
      <c r="L10" s="468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2:25" x14ac:dyDescent="0.2">
      <c r="B11" s="1"/>
      <c r="C11" s="2270" t="s">
        <v>132</v>
      </c>
      <c r="D11" s="2270"/>
      <c r="E11" s="433">
        <f>IF(C16=0,D16,C16)</f>
        <v>2164.0300000000002</v>
      </c>
      <c r="F11" s="407">
        <f>E11*0.16</f>
        <v>346.24480000000005</v>
      </c>
      <c r="G11" s="407">
        <f>E11+F11</f>
        <v>2510.2748000000001</v>
      </c>
      <c r="H11" s="511" t="s">
        <v>197</v>
      </c>
      <c r="I11" s="474">
        <v>19</v>
      </c>
      <c r="J11" s="468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2:25" x14ac:dyDescent="0.2">
      <c r="B12" s="1"/>
      <c r="C12" s="468"/>
      <c r="D12" s="468"/>
      <c r="E12" s="468"/>
      <c r="F12" s="468"/>
      <c r="G12" s="468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2:25" ht="15" thickBot="1" x14ac:dyDescent="0.25">
      <c r="B13" s="1"/>
      <c r="C13" s="468"/>
      <c r="D13" s="468"/>
      <c r="E13" s="468"/>
      <c r="F13" s="468"/>
      <c r="G13" s="468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2:25" x14ac:dyDescent="0.2">
      <c r="B14" s="1"/>
      <c r="C14" s="440" t="s">
        <v>155</v>
      </c>
      <c r="D14" s="441" t="s">
        <v>156</v>
      </c>
      <c r="E14" s="442" t="s">
        <v>112</v>
      </c>
      <c r="F14" s="468"/>
      <c r="G14" s="468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2:25" x14ac:dyDescent="0.2">
      <c r="B15" s="1"/>
      <c r="C15" s="443">
        <v>4627948.08</v>
      </c>
      <c r="D15" s="444">
        <f>D80</f>
        <v>4627948.0800000019</v>
      </c>
      <c r="E15" s="445">
        <f>C15-D15</f>
        <v>0</v>
      </c>
      <c r="F15" s="468"/>
      <c r="G15" s="468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2:25" ht="15" thickBot="1" x14ac:dyDescent="0.25">
      <c r="B16" s="1"/>
      <c r="C16" s="446">
        <v>2164.0300000000002</v>
      </c>
      <c r="D16" s="447">
        <f>ROUND(G80,2)</f>
        <v>2164.0300000000002</v>
      </c>
      <c r="E16" s="448">
        <f>C16-D16</f>
        <v>0</v>
      </c>
      <c r="F16" s="468"/>
      <c r="G16" s="468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2:25" x14ac:dyDescent="0.2">
      <c r="B17" s="1"/>
      <c r="C17" s="468"/>
      <c r="D17" s="468"/>
      <c r="E17" s="468"/>
      <c r="F17" s="468"/>
      <c r="G17" s="468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2:25" x14ac:dyDescent="0.2">
      <c r="B18" s="1"/>
      <c r="C18" s="468"/>
      <c r="D18" s="468"/>
      <c r="E18" s="468"/>
      <c r="F18" s="468"/>
      <c r="G18" s="468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2:25" x14ac:dyDescent="0.2">
      <c r="B19" s="1"/>
      <c r="C19" s="468"/>
      <c r="D19" s="468"/>
      <c r="E19" s="468"/>
      <c r="F19" s="468"/>
      <c r="G19" s="468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2:25" x14ac:dyDescent="0.2">
      <c r="B20" s="1"/>
      <c r="C20" s="468"/>
      <c r="D20" s="468"/>
      <c r="E20" s="468"/>
      <c r="F20" s="468"/>
      <c r="G20" s="468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2:25" x14ac:dyDescent="0.2">
      <c r="B21" s="1"/>
      <c r="C21" s="468"/>
      <c r="D21" s="468"/>
      <c r="E21" s="468"/>
      <c r="F21" s="468"/>
      <c r="G21" s="468"/>
      <c r="H21" s="1"/>
      <c r="I21" s="1"/>
      <c r="J21" s="1"/>
      <c r="K21" s="1"/>
      <c r="L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2:25" ht="15" thickBot="1" x14ac:dyDescent="0.25">
      <c r="B22" s="1"/>
      <c r="C22" s="419" t="s">
        <v>137</v>
      </c>
      <c r="D22" s="468" t="s">
        <v>138</v>
      </c>
      <c r="E22" s="468"/>
      <c r="F22" s="468" t="s">
        <v>139</v>
      </c>
      <c r="G22" s="468" t="s">
        <v>157</v>
      </c>
      <c r="H22" s="468" t="s">
        <v>143</v>
      </c>
      <c r="I22" s="468" t="s">
        <v>142</v>
      </c>
      <c r="J22" s="468" t="s">
        <v>141</v>
      </c>
      <c r="K22" s="468" t="s">
        <v>140</v>
      </c>
      <c r="L22" s="468" t="s">
        <v>144</v>
      </c>
      <c r="M22" s="468" t="s">
        <v>146</v>
      </c>
      <c r="N22" s="468"/>
      <c r="O22" s="468"/>
      <c r="P22" s="468"/>
      <c r="Q22" s="1"/>
      <c r="R22" s="1"/>
      <c r="S22" s="1"/>
      <c r="T22" s="1"/>
      <c r="U22" s="1"/>
      <c r="V22" s="1"/>
      <c r="W22" s="1"/>
      <c r="X22" s="1"/>
      <c r="Y22" s="1"/>
    </row>
    <row r="23" spans="2:25" ht="36.75" customHeight="1" x14ac:dyDescent="0.2">
      <c r="B23" s="1"/>
      <c r="C23" s="402" t="s">
        <v>134</v>
      </c>
      <c r="D23" s="2261" t="s">
        <v>135</v>
      </c>
      <c r="E23" s="2262"/>
      <c r="F23" s="469" t="s">
        <v>136</v>
      </c>
      <c r="G23" s="461" t="s">
        <v>153</v>
      </c>
      <c r="H23" s="420" t="s">
        <v>129</v>
      </c>
      <c r="I23" s="403" t="s">
        <v>130</v>
      </c>
      <c r="J23" s="422"/>
      <c r="K23" s="422"/>
      <c r="L23" s="422"/>
      <c r="M23" s="404" t="s">
        <v>158</v>
      </c>
      <c r="N23" s="468"/>
      <c r="O23" s="468"/>
      <c r="P23" s="468"/>
      <c r="Q23" s="468"/>
      <c r="R23" s="468"/>
      <c r="S23" s="468"/>
      <c r="T23" s="468"/>
      <c r="U23" s="1"/>
      <c r="V23" s="1"/>
      <c r="W23" s="1"/>
      <c r="X23" s="1"/>
      <c r="Y23" s="1"/>
    </row>
    <row r="24" spans="2:25" x14ac:dyDescent="0.2">
      <c r="B24" s="1"/>
      <c r="C24" s="405">
        <v>850</v>
      </c>
      <c r="D24" s="2263">
        <v>850</v>
      </c>
      <c r="E24" s="2264"/>
      <c r="F24" s="418">
        <v>31482640</v>
      </c>
      <c r="G24" s="462">
        <v>31</v>
      </c>
      <c r="H24" s="460">
        <f>VLOOKUP(C47,Tarifas!D4:H303,3)</f>
        <v>0.14699999999999999</v>
      </c>
      <c r="I24" s="424">
        <f>VLOOKUP(C47,Tarifas!D4:H303,5)</f>
        <v>1E-3</v>
      </c>
      <c r="J24" s="534">
        <v>187.4</v>
      </c>
      <c r="K24" s="421">
        <v>201.4</v>
      </c>
      <c r="L24" s="421">
        <f>I11</f>
        <v>19</v>
      </c>
      <c r="M24" s="431">
        <f>E80</f>
        <v>2325701.5270000007</v>
      </c>
      <c r="N24" s="430" t="s">
        <v>62</v>
      </c>
      <c r="O24" s="468"/>
      <c r="P24" s="468"/>
      <c r="Q24" s="468"/>
      <c r="R24" s="468"/>
      <c r="S24" s="468"/>
      <c r="T24" s="468"/>
      <c r="U24" s="1"/>
      <c r="V24" s="1"/>
      <c r="W24" s="1"/>
      <c r="X24" s="1"/>
      <c r="Y24" s="1"/>
    </row>
    <row r="25" spans="2:25" x14ac:dyDescent="0.2">
      <c r="B25" s="1"/>
      <c r="C25" s="468"/>
      <c r="D25" s="468"/>
      <c r="E25" s="468"/>
      <c r="F25" s="468"/>
      <c r="G25" s="468"/>
      <c r="H25" s="468"/>
      <c r="I25" s="468"/>
      <c r="J25" s="468"/>
      <c r="K25" s="468"/>
      <c r="L25" s="468"/>
      <c r="M25" s="468"/>
      <c r="N25" s="468"/>
      <c r="O25" s="468"/>
      <c r="P25" s="468"/>
      <c r="Q25" s="468"/>
      <c r="R25" s="468"/>
      <c r="S25" s="1"/>
      <c r="T25" s="1"/>
      <c r="U25" s="1"/>
      <c r="V25" s="1"/>
      <c r="W25" s="1"/>
      <c r="X25" s="1"/>
      <c r="Y25" s="1"/>
    </row>
    <row r="26" spans="2:25" x14ac:dyDescent="0.2">
      <c r="B26" s="1"/>
      <c r="C26" s="468"/>
      <c r="D26" s="468"/>
      <c r="E26" s="468"/>
      <c r="F26" s="468"/>
      <c r="G26" s="468"/>
      <c r="H26" s="468"/>
      <c r="I26" s="468"/>
      <c r="J26" s="468"/>
      <c r="K26" s="468"/>
      <c r="L26" s="468"/>
      <c r="M26" s="468"/>
      <c r="N26" s="468"/>
      <c r="O26" s="468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2:25" x14ac:dyDescent="0.2">
      <c r="B27" s="1"/>
      <c r="C27" s="468"/>
      <c r="D27" s="468"/>
      <c r="E27" s="468"/>
      <c r="F27" s="468"/>
      <c r="G27" s="468"/>
      <c r="H27" s="468"/>
      <c r="I27" s="468"/>
      <c r="J27" s="468"/>
      <c r="K27" s="468"/>
      <c r="L27" s="468"/>
      <c r="M27" s="468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2:25" ht="15" thickBot="1" x14ac:dyDescent="0.25">
      <c r="B28" s="1"/>
      <c r="C28" s="2265" t="s">
        <v>86</v>
      </c>
      <c r="D28" s="2265"/>
      <c r="E28" s="2265"/>
      <c r="F28" s="2265"/>
      <c r="G28" s="471"/>
      <c r="H28" s="334"/>
      <c r="I28" s="334"/>
      <c r="J28" s="334"/>
      <c r="K28" s="471"/>
      <c r="L28" s="336"/>
      <c r="M28" s="336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2:25" ht="22.5" x14ac:dyDescent="0.2">
      <c r="B29" s="1"/>
      <c r="C29" s="337" t="s">
        <v>87</v>
      </c>
      <c r="D29" s="466" t="s">
        <v>88</v>
      </c>
      <c r="E29" s="466" t="s">
        <v>89</v>
      </c>
      <c r="F29" s="466" t="s">
        <v>20</v>
      </c>
      <c r="G29" s="466" t="s">
        <v>160</v>
      </c>
      <c r="H29" s="466" t="s">
        <v>90</v>
      </c>
      <c r="I29" s="466" t="s">
        <v>91</v>
      </c>
      <c r="J29" s="466" t="s">
        <v>92</v>
      </c>
      <c r="K29" s="466" t="s">
        <v>93</v>
      </c>
      <c r="L29" s="466" t="s">
        <v>94</v>
      </c>
      <c r="M29" s="467" t="s">
        <v>95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2:25" x14ac:dyDescent="0.2">
      <c r="B30" s="1"/>
      <c r="C30" s="338"/>
      <c r="D30" s="339">
        <v>0</v>
      </c>
      <c r="E30" s="339" t="s">
        <v>96</v>
      </c>
      <c r="F30" s="340" t="s">
        <v>97</v>
      </c>
      <c r="G30" s="340">
        <v>2201</v>
      </c>
      <c r="H30" s="339">
        <v>20823</v>
      </c>
      <c r="I30" s="341">
        <v>0</v>
      </c>
      <c r="J30" s="339">
        <v>138.15</v>
      </c>
      <c r="K30" s="342">
        <v>0</v>
      </c>
      <c r="L30" s="343">
        <f>ROUND(K30*E$10,2)</f>
        <v>0</v>
      </c>
      <c r="M30" s="344">
        <f>L30*$I$10</f>
        <v>0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2:25" x14ac:dyDescent="0.2">
      <c r="B31" s="1"/>
      <c r="C31" s="338"/>
      <c r="D31" s="339">
        <v>0</v>
      </c>
      <c r="E31" s="339" t="s">
        <v>98</v>
      </c>
      <c r="F31" s="340" t="s">
        <v>97</v>
      </c>
      <c r="G31" s="340">
        <v>2201</v>
      </c>
      <c r="H31" s="339">
        <v>20824</v>
      </c>
      <c r="I31" s="341">
        <v>0</v>
      </c>
      <c r="J31" s="339">
        <v>138.15</v>
      </c>
      <c r="K31" s="342">
        <v>0</v>
      </c>
      <c r="L31" s="343">
        <f>ROUND(K31*E$10,2)</f>
        <v>0</v>
      </c>
      <c r="M31" s="344">
        <f>L31*$I$10</f>
        <v>0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2:25" x14ac:dyDescent="0.2">
      <c r="B32" s="1"/>
      <c r="C32" s="338"/>
      <c r="D32" s="339">
        <v>0</v>
      </c>
      <c r="E32" s="339" t="s">
        <v>99</v>
      </c>
      <c r="F32" s="340" t="s">
        <v>100</v>
      </c>
      <c r="G32" s="340">
        <v>2230</v>
      </c>
      <c r="H32" s="339">
        <v>22228</v>
      </c>
      <c r="I32" s="341">
        <v>0</v>
      </c>
      <c r="J32" s="339">
        <v>130.80000000000001</v>
      </c>
      <c r="K32" s="342">
        <v>0</v>
      </c>
      <c r="L32" s="343">
        <f>ROUND(K32*E$10,2)</f>
        <v>0</v>
      </c>
      <c r="M32" s="344">
        <f>L32*$I$10</f>
        <v>0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2:25" x14ac:dyDescent="0.2">
      <c r="B33" s="1"/>
      <c r="C33" s="338">
        <v>800762390</v>
      </c>
      <c r="D33" s="339">
        <v>3</v>
      </c>
      <c r="E33" s="354" t="s">
        <v>101</v>
      </c>
      <c r="F33" s="463" t="s">
        <v>194</v>
      </c>
      <c r="G33" s="463">
        <v>2044</v>
      </c>
      <c r="H33" s="354">
        <v>591000420</v>
      </c>
      <c r="I33" s="341">
        <v>80000</v>
      </c>
      <c r="J33" s="339"/>
      <c r="K33" s="342">
        <v>0.09</v>
      </c>
      <c r="L33" s="343">
        <f>ROUND(K33*E$10,2)</f>
        <v>416515.33</v>
      </c>
      <c r="M33" s="344">
        <f>L33*$I$10</f>
        <v>7913791.2700000005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2:25" ht="15" thickBot="1" x14ac:dyDescent="0.25">
      <c r="B34" s="1"/>
      <c r="C34" s="345">
        <v>800642440</v>
      </c>
      <c r="D34" s="346">
        <v>5</v>
      </c>
      <c r="E34" s="347" t="s">
        <v>101</v>
      </c>
      <c r="F34" s="348" t="s">
        <v>159</v>
      </c>
      <c r="G34" s="348">
        <v>2277</v>
      </c>
      <c r="H34" s="347">
        <v>22770</v>
      </c>
      <c r="I34" s="349">
        <f>850000-I30-I31-I32-I33</f>
        <v>770000</v>
      </c>
      <c r="J34" s="346"/>
      <c r="K34" s="350">
        <v>0.91</v>
      </c>
      <c r="L34" s="351">
        <f>ROUND(K34*E$10,2)</f>
        <v>4211432.75</v>
      </c>
      <c r="M34" s="352">
        <f>L34*$I$10</f>
        <v>80017222.25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2:25" x14ac:dyDescent="0.2">
      <c r="B35" s="1"/>
      <c r="C35" s="406">
        <v>3000623</v>
      </c>
      <c r="D35" s="353" t="s">
        <v>102</v>
      </c>
      <c r="E35" s="353"/>
      <c r="F35" s="353"/>
      <c r="G35" s="353"/>
      <c r="H35" s="354"/>
      <c r="I35" s="355">
        <f>SUM(I30:I34)</f>
        <v>850000</v>
      </c>
      <c r="J35" s="353"/>
      <c r="K35" s="356">
        <f>SUM(K30:K34)</f>
        <v>1</v>
      </c>
      <c r="L35" s="357">
        <f>SUM(L30:L34)</f>
        <v>4627948.08</v>
      </c>
      <c r="M35" s="357">
        <f>SUM(M30:M34)</f>
        <v>87931013.519999996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2:25" x14ac:dyDescent="0.2">
      <c r="B36" s="1"/>
      <c r="C36" s="336"/>
      <c r="D36" s="336"/>
      <c r="E36" s="336"/>
      <c r="F36" s="358"/>
      <c r="G36" s="358"/>
      <c r="H36" s="336"/>
      <c r="I36" s="336"/>
      <c r="J36" s="336"/>
      <c r="K36" s="336"/>
      <c r="L36" s="359"/>
      <c r="M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2:25" x14ac:dyDescent="0.2">
      <c r="B37" s="1"/>
      <c r="C37" s="336"/>
      <c r="D37" s="336"/>
      <c r="E37" s="336"/>
      <c r="F37" s="358"/>
      <c r="G37" s="358"/>
      <c r="H37" s="336"/>
      <c r="I37" s="336"/>
      <c r="J37" s="336"/>
      <c r="K37" s="336"/>
      <c r="L37" s="359"/>
      <c r="M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2:25" x14ac:dyDescent="0.2">
      <c r="B38" s="1"/>
      <c r="C38" s="336"/>
      <c r="D38" s="336"/>
      <c r="E38" s="336"/>
      <c r="F38" s="358"/>
      <c r="G38" s="358"/>
      <c r="H38" s="336"/>
      <c r="I38" s="336"/>
      <c r="J38" s="336"/>
      <c r="K38" s="336"/>
      <c r="L38" s="359"/>
      <c r="M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2:25" ht="15" thickBot="1" x14ac:dyDescent="0.25">
      <c r="B39" s="1"/>
      <c r="C39" s="2266" t="s">
        <v>103</v>
      </c>
      <c r="D39" s="2266"/>
      <c r="E39" s="2266"/>
      <c r="F39" s="2266"/>
      <c r="G39" s="471"/>
      <c r="H39" s="334"/>
      <c r="I39" s="334"/>
      <c r="J39" s="334"/>
      <c r="K39" s="336"/>
      <c r="L39" s="336"/>
      <c r="M39" s="360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2:25" ht="22.5" x14ac:dyDescent="0.2">
      <c r="B40" s="1"/>
      <c r="C40" s="337" t="s">
        <v>87</v>
      </c>
      <c r="D40" s="466" t="s">
        <v>88</v>
      </c>
      <c r="E40" s="466" t="s">
        <v>89</v>
      </c>
      <c r="F40" s="466" t="s">
        <v>20</v>
      </c>
      <c r="G40" s="466"/>
      <c r="H40" s="466" t="s">
        <v>90</v>
      </c>
      <c r="I40" s="466" t="s">
        <v>104</v>
      </c>
      <c r="J40" s="466" t="s">
        <v>93</v>
      </c>
      <c r="K40" s="466" t="s">
        <v>92</v>
      </c>
      <c r="L40" s="466" t="s">
        <v>94</v>
      </c>
      <c r="M40" s="467" t="s">
        <v>95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2:25" x14ac:dyDescent="0.2">
      <c r="B41" s="1"/>
      <c r="C41" s="338"/>
      <c r="D41" s="339">
        <v>0</v>
      </c>
      <c r="E41" s="339" t="s">
        <v>96</v>
      </c>
      <c r="F41" s="340" t="s">
        <v>97</v>
      </c>
      <c r="G41" s="340"/>
      <c r="H41" s="339">
        <v>20823</v>
      </c>
      <c r="I41" s="341">
        <f>M80</f>
        <v>0</v>
      </c>
      <c r="J41" s="342">
        <f>I41/I$45</f>
        <v>0</v>
      </c>
      <c r="K41" s="339">
        <v>138.15</v>
      </c>
      <c r="L41" s="343">
        <f>ROUND(J41*$E$11,2)</f>
        <v>0</v>
      </c>
      <c r="M41" s="344">
        <f>L41*L24</f>
        <v>0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2:25" x14ac:dyDescent="0.2">
      <c r="B42" s="1"/>
      <c r="C42" s="338"/>
      <c r="D42" s="339">
        <v>0</v>
      </c>
      <c r="E42" s="339" t="s">
        <v>98</v>
      </c>
      <c r="F42" s="340" t="s">
        <v>97</v>
      </c>
      <c r="G42" s="340"/>
      <c r="H42" s="339">
        <v>20824</v>
      </c>
      <c r="I42" s="341">
        <f>N80</f>
        <v>0</v>
      </c>
      <c r="J42" s="342">
        <f>I42/I$45</f>
        <v>0</v>
      </c>
      <c r="K42" s="339">
        <v>138.15</v>
      </c>
      <c r="L42" s="343">
        <f>ROUND(J42*$E$11,2)</f>
        <v>0</v>
      </c>
      <c r="M42" s="344">
        <f>L42*L25</f>
        <v>0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2:25" x14ac:dyDescent="0.2">
      <c r="B43" s="1"/>
      <c r="C43" s="338"/>
      <c r="D43" s="339">
        <v>0</v>
      </c>
      <c r="E43" s="339" t="s">
        <v>99</v>
      </c>
      <c r="F43" s="340" t="s">
        <v>100</v>
      </c>
      <c r="G43" s="340"/>
      <c r="H43" s="339">
        <v>22228</v>
      </c>
      <c r="I43" s="341">
        <f>O80</f>
        <v>0</v>
      </c>
      <c r="J43" s="342">
        <f>I43/I$45</f>
        <v>0</v>
      </c>
      <c r="K43" s="339">
        <v>130.80000000000001</v>
      </c>
      <c r="L43" s="343">
        <f>ROUND(J43*$E$11,2)</f>
        <v>0</v>
      </c>
      <c r="M43" s="344">
        <f>L43*L26</f>
        <v>0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2:25" ht="15" thickBot="1" x14ac:dyDescent="0.25">
      <c r="B44" s="1"/>
      <c r="C44" s="345">
        <v>800762390</v>
      </c>
      <c r="D44" s="346">
        <v>4</v>
      </c>
      <c r="E44" s="347" t="s">
        <v>101</v>
      </c>
      <c r="F44" s="348" t="s">
        <v>23</v>
      </c>
      <c r="G44" s="348"/>
      <c r="H44" s="347"/>
      <c r="I44" s="349">
        <f>L80</f>
        <v>2325701.5270000007</v>
      </c>
      <c r="J44" s="350">
        <f>I44/I$45</f>
        <v>1</v>
      </c>
      <c r="K44" s="346">
        <v>138.15</v>
      </c>
      <c r="L44" s="351">
        <f>ROUND(J44*$E$11,2)</f>
        <v>2164.0300000000002</v>
      </c>
      <c r="M44" s="352">
        <f>L44*I11</f>
        <v>41116.570000000007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2:25" x14ac:dyDescent="0.2">
      <c r="B45" s="1"/>
      <c r="C45" s="353"/>
      <c r="D45" s="353"/>
      <c r="E45" s="353"/>
      <c r="F45" s="353"/>
      <c r="G45" s="353"/>
      <c r="H45" s="354"/>
      <c r="I45" s="449">
        <f>SUM(I41:I44)</f>
        <v>2325701.5270000007</v>
      </c>
      <c r="J45" s="355"/>
      <c r="K45" s="353"/>
      <c r="L45" s="357">
        <f>SUM(L41:L44)</f>
        <v>2164.0300000000002</v>
      </c>
      <c r="M45" s="357">
        <f>SUM(M41:M44)</f>
        <v>41116.570000000007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2:25" customFormat="1" ht="15" thickBot="1" x14ac:dyDescent="0.25">
      <c r="M46" s="450"/>
      <c r="N46" s="450"/>
      <c r="O46" s="450"/>
      <c r="P46" s="450"/>
      <c r="Q46" s="450"/>
      <c r="R46" s="450"/>
      <c r="S46" s="450"/>
      <c r="T46" s="450"/>
      <c r="U46" s="450"/>
      <c r="V46" s="450"/>
      <c r="W46" s="450"/>
      <c r="X46" s="450"/>
      <c r="Y46" s="573">
        <f>'Junio - 2016'!Y80</f>
        <v>159632.00288705045</v>
      </c>
    </row>
    <row r="47" spans="2:25" ht="15" thickBot="1" x14ac:dyDescent="0.25">
      <c r="B47" s="434" t="s">
        <v>3</v>
      </c>
      <c r="C47" s="333">
        <f>SUMIF(Tarifas!E4:E303,'Julio - 2016'!C49,Tarifas!D4:D303)</f>
        <v>36</v>
      </c>
      <c r="D47" s="425" t="s">
        <v>147</v>
      </c>
      <c r="E47" s="426" t="s">
        <v>145</v>
      </c>
      <c r="F47" s="426" t="s">
        <v>150</v>
      </c>
      <c r="G47" s="426" t="s">
        <v>148</v>
      </c>
      <c r="H47" s="382"/>
      <c r="I47" s="331" t="s">
        <v>120</v>
      </c>
      <c r="J47" s="332"/>
      <c r="K47" s="332"/>
      <c r="L47" s="364" t="s">
        <v>105</v>
      </c>
      <c r="M47" s="365"/>
      <c r="N47" s="365"/>
      <c r="O47" s="365"/>
      <c r="P47" s="365"/>
      <c r="Q47" s="365"/>
      <c r="R47" s="366"/>
      <c r="S47" s="2267" t="s">
        <v>121</v>
      </c>
      <c r="T47" s="2268"/>
      <c r="U47" s="2268"/>
      <c r="V47" s="2268"/>
      <c r="W47" s="2268"/>
      <c r="X47" s="2268"/>
      <c r="Y47" s="2269"/>
    </row>
    <row r="48" spans="2:25" ht="33.75" x14ac:dyDescent="0.2">
      <c r="C48" s="383" t="s">
        <v>122</v>
      </c>
      <c r="D48" s="384" t="s">
        <v>125</v>
      </c>
      <c r="E48" s="385" t="s">
        <v>149</v>
      </c>
      <c r="F48" s="385" t="s">
        <v>151</v>
      </c>
      <c r="G48" s="385" t="s">
        <v>152</v>
      </c>
      <c r="H48" s="386" t="s">
        <v>123</v>
      </c>
      <c r="I48" s="329" t="s">
        <v>109</v>
      </c>
      <c r="J48" s="330" t="s">
        <v>25</v>
      </c>
      <c r="K48" s="330" t="s">
        <v>26</v>
      </c>
      <c r="L48" s="367" t="s">
        <v>115</v>
      </c>
      <c r="M48" s="362" t="s">
        <v>106</v>
      </c>
      <c r="N48" s="362" t="s">
        <v>107</v>
      </c>
      <c r="O48" s="362" t="s">
        <v>108</v>
      </c>
      <c r="P48" s="362" t="s">
        <v>115</v>
      </c>
      <c r="Q48" s="363" t="s">
        <v>116</v>
      </c>
      <c r="R48" s="368" t="s">
        <v>117</v>
      </c>
      <c r="S48" s="369" t="s">
        <v>192</v>
      </c>
      <c r="T48" s="370" t="s">
        <v>111</v>
      </c>
      <c r="U48" s="370" t="s">
        <v>112</v>
      </c>
      <c r="V48" s="371" t="s">
        <v>118</v>
      </c>
      <c r="W48" s="371" t="s">
        <v>119</v>
      </c>
      <c r="X48" s="371" t="s">
        <v>114</v>
      </c>
      <c r="Y48" s="372" t="s">
        <v>113</v>
      </c>
    </row>
    <row r="49" spans="3:25" x14ac:dyDescent="0.2">
      <c r="C49" s="387">
        <f>G7</f>
        <v>42552</v>
      </c>
      <c r="D49" s="388">
        <f>($F$24*$H$24)/$G$24</f>
        <v>149288.64774193548</v>
      </c>
      <c r="E49" s="389">
        <f>P49+Q49+R49</f>
        <v>73855.45</v>
      </c>
      <c r="F49" s="427">
        <f t="shared" ref="F49:F79" si="0">TRUNC(IFERROR(J$24/K$24,0),8)</f>
        <v>0.93048659</v>
      </c>
      <c r="G49" s="390">
        <f t="shared" ref="G49:G79" si="1">ROUND(I$24*F49*E49,4)</f>
        <v>68.721500000000006</v>
      </c>
      <c r="H49" s="391">
        <f t="shared" ref="H49:H79" si="2">SUM(D49:G49)</f>
        <v>223213.74972852546</v>
      </c>
      <c r="I49" s="324">
        <v>78000</v>
      </c>
      <c r="J49" s="325"/>
      <c r="K49" s="325"/>
      <c r="L49" s="317">
        <v>73855.45</v>
      </c>
      <c r="M49" s="318"/>
      <c r="N49" s="318"/>
      <c r="O49" s="318"/>
      <c r="P49" s="389">
        <f>L49</f>
        <v>73855.45</v>
      </c>
      <c r="Q49" s="389">
        <f t="shared" ref="Q49:Q79" si="3">M49+N49</f>
        <v>0</v>
      </c>
      <c r="R49" s="389">
        <f t="shared" ref="R49:R79" si="4">O49</f>
        <v>0</v>
      </c>
      <c r="S49" s="317">
        <v>78000.299999999988</v>
      </c>
      <c r="T49" s="374"/>
      <c r="U49" s="524">
        <f>S49+T49-V49</f>
        <v>0.29999999998835847</v>
      </c>
      <c r="V49" s="520">
        <f>I49+J49+K49</f>
        <v>78000</v>
      </c>
      <c r="W49" s="524">
        <f>(P49+Q49+R49)/1.055056</f>
        <v>70001.450159991509</v>
      </c>
      <c r="X49" s="520">
        <f>V49-W49</f>
        <v>7998.5498400084907</v>
      </c>
      <c r="Y49" s="525">
        <f>Y46+X49</f>
        <v>167630.55272705894</v>
      </c>
    </row>
    <row r="50" spans="3:25" x14ac:dyDescent="0.2">
      <c r="C50" s="387">
        <f t="shared" ref="C50:C79" si="5">C49+1</f>
        <v>42553</v>
      </c>
      <c r="D50" s="388">
        <f t="shared" ref="D50:D79" si="6">($F$24*$H$24)/$G$24</f>
        <v>149288.64774193548</v>
      </c>
      <c r="E50" s="392">
        <f t="shared" ref="E50:E79" si="7">P50+Q50+R50</f>
        <v>73214.03</v>
      </c>
      <c r="F50" s="428">
        <f t="shared" si="0"/>
        <v>0.93048659</v>
      </c>
      <c r="G50" s="390">
        <f t="shared" si="1"/>
        <v>68.124700000000004</v>
      </c>
      <c r="H50" s="391">
        <f t="shared" si="2"/>
        <v>222571.73292852545</v>
      </c>
      <c r="I50" s="324">
        <v>77000</v>
      </c>
      <c r="J50" s="325"/>
      <c r="K50" s="325"/>
      <c r="L50" s="319">
        <v>73214.03</v>
      </c>
      <c r="M50" s="320"/>
      <c r="N50" s="320"/>
      <c r="O50" s="320"/>
      <c r="P50" s="392">
        <f t="shared" ref="P50:P79" si="8">L50</f>
        <v>73214.03</v>
      </c>
      <c r="Q50" s="392">
        <f t="shared" si="3"/>
        <v>0</v>
      </c>
      <c r="R50" s="392">
        <f t="shared" si="4"/>
        <v>0</v>
      </c>
      <c r="S50" s="319">
        <v>76999.790000000008</v>
      </c>
      <c r="T50" s="374"/>
      <c r="U50" s="524">
        <f t="shared" ref="U50:U79" si="9">S50+T50-V50</f>
        <v>-0.20999999999185093</v>
      </c>
      <c r="V50" s="520">
        <f t="shared" ref="V50:V79" si="10">I50+J50+K50</f>
        <v>77000</v>
      </c>
      <c r="W50" s="524">
        <f t="shared" ref="W50:W79" si="11">(P50+Q50+R50)/1.055056</f>
        <v>69393.501387604076</v>
      </c>
      <c r="X50" s="520">
        <f t="shared" ref="X50:X79" si="12">V50-W50</f>
        <v>7606.4986123959243</v>
      </c>
      <c r="Y50" s="525">
        <f>Y49+X50</f>
        <v>175237.05133945486</v>
      </c>
    </row>
    <row r="51" spans="3:25" x14ac:dyDescent="0.2">
      <c r="C51" s="387">
        <f t="shared" si="5"/>
        <v>42554</v>
      </c>
      <c r="D51" s="388">
        <f t="shared" si="6"/>
        <v>149288.64774193548</v>
      </c>
      <c r="E51" s="392">
        <f t="shared" si="7"/>
        <v>71496.73</v>
      </c>
      <c r="F51" s="428">
        <f t="shared" si="0"/>
        <v>0.93048659</v>
      </c>
      <c r="G51" s="390">
        <f t="shared" si="1"/>
        <v>66.526700000000005</v>
      </c>
      <c r="H51" s="391">
        <f t="shared" si="2"/>
        <v>220852.83492852547</v>
      </c>
      <c r="I51" s="324">
        <v>77000</v>
      </c>
      <c r="J51" s="325"/>
      <c r="K51" s="325"/>
      <c r="L51" s="317">
        <v>71496.73</v>
      </c>
      <c r="M51" s="318"/>
      <c r="N51" s="318"/>
      <c r="O51" s="318"/>
      <c r="P51" s="392">
        <f t="shared" si="8"/>
        <v>71496.73</v>
      </c>
      <c r="Q51" s="392">
        <f t="shared" si="3"/>
        <v>0</v>
      </c>
      <c r="R51" s="392">
        <f t="shared" si="4"/>
        <v>0</v>
      </c>
      <c r="S51" s="317">
        <v>76999.790000000008</v>
      </c>
      <c r="T51" s="374"/>
      <c r="U51" s="524">
        <f t="shared" si="9"/>
        <v>-0.20999999999185093</v>
      </c>
      <c r="V51" s="520">
        <f t="shared" si="10"/>
        <v>77000</v>
      </c>
      <c r="W51" s="524">
        <f t="shared" si="11"/>
        <v>67765.815274260327</v>
      </c>
      <c r="X51" s="520">
        <f t="shared" si="12"/>
        <v>9234.184725739673</v>
      </c>
      <c r="Y51" s="525">
        <f t="shared" ref="Y51:Y79" si="13">Y50+X51</f>
        <v>184471.23606519453</v>
      </c>
    </row>
    <row r="52" spans="3:25" x14ac:dyDescent="0.2">
      <c r="C52" s="387">
        <f t="shared" si="5"/>
        <v>42555</v>
      </c>
      <c r="D52" s="388">
        <f t="shared" si="6"/>
        <v>149288.64774193548</v>
      </c>
      <c r="E52" s="392">
        <f t="shared" si="7"/>
        <v>75754.584000000003</v>
      </c>
      <c r="F52" s="428">
        <f t="shared" si="0"/>
        <v>0.93048659</v>
      </c>
      <c r="G52" s="390">
        <f t="shared" si="1"/>
        <v>70.488600000000005</v>
      </c>
      <c r="H52" s="391">
        <f t="shared" si="2"/>
        <v>225114.65082852548</v>
      </c>
      <c r="I52" s="324">
        <v>77000</v>
      </c>
      <c r="J52" s="325"/>
      <c r="K52" s="325"/>
      <c r="L52" s="319">
        <v>75754.584000000003</v>
      </c>
      <c r="M52" s="320"/>
      <c r="N52" s="320"/>
      <c r="O52" s="320"/>
      <c r="P52" s="392">
        <f t="shared" si="8"/>
        <v>75754.584000000003</v>
      </c>
      <c r="Q52" s="392">
        <f t="shared" si="3"/>
        <v>0</v>
      </c>
      <c r="R52" s="392">
        <f t="shared" si="4"/>
        <v>0</v>
      </c>
      <c r="S52" s="319">
        <v>76999.790000000008</v>
      </c>
      <c r="T52" s="374"/>
      <c r="U52" s="524">
        <f t="shared" si="9"/>
        <v>-0.20999999999185093</v>
      </c>
      <c r="V52" s="520">
        <f t="shared" si="10"/>
        <v>77000</v>
      </c>
      <c r="W52" s="524">
        <f t="shared" si="11"/>
        <v>71801.481627515503</v>
      </c>
      <c r="X52" s="520">
        <f t="shared" si="12"/>
        <v>5198.5183724844974</v>
      </c>
      <c r="Y52" s="525">
        <f t="shared" si="13"/>
        <v>189669.75443767902</v>
      </c>
    </row>
    <row r="53" spans="3:25" x14ac:dyDescent="0.2">
      <c r="C53" s="387">
        <f t="shared" si="5"/>
        <v>42556</v>
      </c>
      <c r="D53" s="388">
        <f t="shared" si="6"/>
        <v>149288.64774193548</v>
      </c>
      <c r="E53" s="392">
        <f t="shared" si="7"/>
        <v>75415.320000000007</v>
      </c>
      <c r="F53" s="428">
        <f t="shared" si="0"/>
        <v>0.93048659</v>
      </c>
      <c r="G53" s="390">
        <f t="shared" si="1"/>
        <v>70.172899999999998</v>
      </c>
      <c r="H53" s="391">
        <f t="shared" si="2"/>
        <v>224775.07112852548</v>
      </c>
      <c r="I53" s="324">
        <v>77000</v>
      </c>
      <c r="J53" s="325"/>
      <c r="K53" s="325"/>
      <c r="L53" s="317">
        <v>75415.320000000007</v>
      </c>
      <c r="M53" s="318"/>
      <c r="N53" s="318"/>
      <c r="O53" s="318"/>
      <c r="P53" s="392">
        <f t="shared" si="8"/>
        <v>75415.320000000007</v>
      </c>
      <c r="Q53" s="392">
        <f t="shared" si="3"/>
        <v>0</v>
      </c>
      <c r="R53" s="392">
        <f t="shared" si="4"/>
        <v>0</v>
      </c>
      <c r="S53" s="317">
        <v>76999.790000000008</v>
      </c>
      <c r="T53" s="374"/>
      <c r="U53" s="524">
        <f t="shared" si="9"/>
        <v>-0.20999999999185093</v>
      </c>
      <c r="V53" s="520">
        <f t="shared" si="10"/>
        <v>77000</v>
      </c>
      <c r="W53" s="524">
        <f t="shared" si="11"/>
        <v>71479.921444928055</v>
      </c>
      <c r="X53" s="520">
        <f t="shared" si="12"/>
        <v>5520.0785550719447</v>
      </c>
      <c r="Y53" s="525">
        <f t="shared" si="13"/>
        <v>195189.83299275098</v>
      </c>
    </row>
    <row r="54" spans="3:25" x14ac:dyDescent="0.2">
      <c r="C54" s="387">
        <f t="shared" si="5"/>
        <v>42557</v>
      </c>
      <c r="D54" s="388">
        <f t="shared" si="6"/>
        <v>149288.64774193548</v>
      </c>
      <c r="E54" s="392">
        <f t="shared" si="7"/>
        <v>74795.95</v>
      </c>
      <c r="F54" s="428">
        <f t="shared" si="0"/>
        <v>0.93048659</v>
      </c>
      <c r="G54" s="390">
        <f t="shared" si="1"/>
        <v>69.596599999999995</v>
      </c>
      <c r="H54" s="391">
        <f t="shared" si="2"/>
        <v>224155.12482852544</v>
      </c>
      <c r="I54" s="324">
        <v>97515</v>
      </c>
      <c r="J54" s="325"/>
      <c r="K54" s="325"/>
      <c r="L54" s="319">
        <v>74795.95</v>
      </c>
      <c r="M54" s="320"/>
      <c r="N54" s="320"/>
      <c r="O54" s="320"/>
      <c r="P54" s="392">
        <f t="shared" si="8"/>
        <v>74795.95</v>
      </c>
      <c r="Q54" s="392">
        <f t="shared" si="3"/>
        <v>0</v>
      </c>
      <c r="R54" s="392">
        <f t="shared" si="4"/>
        <v>0</v>
      </c>
      <c r="S54" s="319">
        <v>97515</v>
      </c>
      <c r="T54" s="374"/>
      <c r="U54" s="524">
        <f t="shared" si="9"/>
        <v>0</v>
      </c>
      <c r="V54" s="520">
        <f t="shared" si="10"/>
        <v>97515</v>
      </c>
      <c r="W54" s="524">
        <f t="shared" si="11"/>
        <v>70892.872037124092</v>
      </c>
      <c r="X54" s="520">
        <f t="shared" si="12"/>
        <v>26622.127962875908</v>
      </c>
      <c r="Y54" s="525">
        <f t="shared" si="13"/>
        <v>221811.96095562688</v>
      </c>
    </row>
    <row r="55" spans="3:25" x14ac:dyDescent="0.2">
      <c r="C55" s="387">
        <f t="shared" si="5"/>
        <v>42558</v>
      </c>
      <c r="D55" s="388">
        <f t="shared" si="6"/>
        <v>149288.64774193548</v>
      </c>
      <c r="E55" s="392">
        <f t="shared" si="7"/>
        <v>74115.373000000007</v>
      </c>
      <c r="F55" s="428">
        <f t="shared" si="0"/>
        <v>0.93048659</v>
      </c>
      <c r="G55" s="390">
        <f t="shared" si="1"/>
        <v>68.963399999999993</v>
      </c>
      <c r="H55" s="391">
        <f t="shared" si="2"/>
        <v>223473.91462852547</v>
      </c>
      <c r="I55" s="324">
        <v>78000</v>
      </c>
      <c r="J55" s="325"/>
      <c r="K55" s="325"/>
      <c r="L55" s="317">
        <v>74115.373000000007</v>
      </c>
      <c r="M55" s="318"/>
      <c r="N55" s="318"/>
      <c r="O55" s="318"/>
      <c r="P55" s="392">
        <f t="shared" si="8"/>
        <v>74115.373000000007</v>
      </c>
      <c r="Q55" s="392">
        <f t="shared" si="3"/>
        <v>0</v>
      </c>
      <c r="R55" s="392">
        <f t="shared" si="4"/>
        <v>0</v>
      </c>
      <c r="S55" s="317">
        <v>78000.299999999988</v>
      </c>
      <c r="T55" s="374"/>
      <c r="U55" s="524">
        <f t="shared" si="9"/>
        <v>0.29999999998835847</v>
      </c>
      <c r="V55" s="520">
        <f t="shared" si="10"/>
        <v>78000</v>
      </c>
      <c r="W55" s="524">
        <f t="shared" si="11"/>
        <v>70247.809594940933</v>
      </c>
      <c r="X55" s="520">
        <f t="shared" si="12"/>
        <v>7752.1904050590674</v>
      </c>
      <c r="Y55" s="525">
        <f t="shared" si="13"/>
        <v>229564.15136068594</v>
      </c>
    </row>
    <row r="56" spans="3:25" x14ac:dyDescent="0.2">
      <c r="C56" s="387">
        <f t="shared" si="5"/>
        <v>42559</v>
      </c>
      <c r="D56" s="388">
        <f t="shared" si="6"/>
        <v>149288.64774193548</v>
      </c>
      <c r="E56" s="392">
        <f t="shared" si="7"/>
        <v>73213.42</v>
      </c>
      <c r="F56" s="428">
        <f t="shared" si="0"/>
        <v>0.93048659</v>
      </c>
      <c r="G56" s="390">
        <f t="shared" si="1"/>
        <v>68.124099999999999</v>
      </c>
      <c r="H56" s="391">
        <f t="shared" si="2"/>
        <v>222571.12232852547</v>
      </c>
      <c r="I56" s="324">
        <v>78000</v>
      </c>
      <c r="J56" s="325"/>
      <c r="K56" s="325"/>
      <c r="L56" s="319">
        <v>73213.42</v>
      </c>
      <c r="M56" s="320"/>
      <c r="N56" s="320"/>
      <c r="O56" s="320"/>
      <c r="P56" s="392">
        <f t="shared" si="8"/>
        <v>73213.42</v>
      </c>
      <c r="Q56" s="392">
        <f t="shared" si="3"/>
        <v>0</v>
      </c>
      <c r="R56" s="392">
        <f t="shared" si="4"/>
        <v>0</v>
      </c>
      <c r="S56" s="319">
        <v>78000.299999999988</v>
      </c>
      <c r="T56" s="374"/>
      <c r="U56" s="524">
        <f t="shared" si="9"/>
        <v>0.29999999998835847</v>
      </c>
      <c r="V56" s="520">
        <f t="shared" si="10"/>
        <v>78000</v>
      </c>
      <c r="W56" s="524">
        <f t="shared" si="11"/>
        <v>69392.923219241435</v>
      </c>
      <c r="X56" s="520">
        <f t="shared" si="12"/>
        <v>8607.0767807585653</v>
      </c>
      <c r="Y56" s="525">
        <f t="shared" si="13"/>
        <v>238171.2281414445</v>
      </c>
    </row>
    <row r="57" spans="3:25" x14ac:dyDescent="0.2">
      <c r="C57" s="387">
        <f t="shared" si="5"/>
        <v>42560</v>
      </c>
      <c r="D57" s="388">
        <f t="shared" si="6"/>
        <v>149288.64774193548</v>
      </c>
      <c r="E57" s="392">
        <f t="shared" si="7"/>
        <v>74491.960000000006</v>
      </c>
      <c r="F57" s="428">
        <f t="shared" si="0"/>
        <v>0.93048659</v>
      </c>
      <c r="G57" s="390">
        <f t="shared" si="1"/>
        <v>69.313800000000001</v>
      </c>
      <c r="H57" s="391">
        <f t="shared" si="2"/>
        <v>223850.85202852546</v>
      </c>
      <c r="I57" s="324">
        <v>77000</v>
      </c>
      <c r="J57" s="325"/>
      <c r="K57" s="325"/>
      <c r="L57" s="317">
        <v>74491.960000000006</v>
      </c>
      <c r="M57" s="318"/>
      <c r="N57" s="318"/>
      <c r="O57" s="318"/>
      <c r="P57" s="392">
        <f t="shared" si="8"/>
        <v>74491.960000000006</v>
      </c>
      <c r="Q57" s="392">
        <f t="shared" si="3"/>
        <v>0</v>
      </c>
      <c r="R57" s="392">
        <f t="shared" si="4"/>
        <v>0</v>
      </c>
      <c r="S57" s="317">
        <v>76999.790000000008</v>
      </c>
      <c r="T57" s="374"/>
      <c r="U57" s="524">
        <f t="shared" si="9"/>
        <v>-0.20999999999185093</v>
      </c>
      <c r="V57" s="520">
        <f t="shared" si="10"/>
        <v>77000</v>
      </c>
      <c r="W57" s="524">
        <f t="shared" si="11"/>
        <v>70604.745150968301</v>
      </c>
      <c r="X57" s="520">
        <f t="shared" si="12"/>
        <v>6395.2548490316985</v>
      </c>
      <c r="Y57" s="525">
        <f t="shared" si="13"/>
        <v>244566.48299047619</v>
      </c>
    </row>
    <row r="58" spans="3:25" x14ac:dyDescent="0.2">
      <c r="C58" s="387">
        <f t="shared" si="5"/>
        <v>42561</v>
      </c>
      <c r="D58" s="388">
        <f t="shared" si="6"/>
        <v>149288.64774193548</v>
      </c>
      <c r="E58" s="392">
        <f t="shared" si="7"/>
        <v>74124.567999999999</v>
      </c>
      <c r="F58" s="428">
        <f t="shared" si="0"/>
        <v>0.93048659</v>
      </c>
      <c r="G58" s="390">
        <f t="shared" si="1"/>
        <v>68.971900000000005</v>
      </c>
      <c r="H58" s="391">
        <f t="shared" si="2"/>
        <v>223483.11812852547</v>
      </c>
      <c r="I58" s="324">
        <v>77000</v>
      </c>
      <c r="J58" s="325"/>
      <c r="K58" s="325"/>
      <c r="L58" s="319">
        <v>74124.567999999999</v>
      </c>
      <c r="M58" s="320"/>
      <c r="N58" s="320"/>
      <c r="O58" s="320"/>
      <c r="P58" s="392">
        <f t="shared" si="8"/>
        <v>74124.567999999999</v>
      </c>
      <c r="Q58" s="392">
        <f t="shared" si="3"/>
        <v>0</v>
      </c>
      <c r="R58" s="392">
        <f t="shared" si="4"/>
        <v>0</v>
      </c>
      <c r="S58" s="319">
        <v>76999.790000000008</v>
      </c>
      <c r="T58" s="374"/>
      <c r="U58" s="524">
        <f t="shared" si="9"/>
        <v>-0.20999999999185093</v>
      </c>
      <c r="V58" s="520">
        <f t="shared" si="10"/>
        <v>77000</v>
      </c>
      <c r="W58" s="524">
        <f t="shared" si="11"/>
        <v>70256.524772144796</v>
      </c>
      <c r="X58" s="520">
        <f t="shared" si="12"/>
        <v>6743.4752278552041</v>
      </c>
      <c r="Y58" s="525">
        <f t="shared" si="13"/>
        <v>251309.95821833139</v>
      </c>
    </row>
    <row r="59" spans="3:25" x14ac:dyDescent="0.2">
      <c r="C59" s="387">
        <f t="shared" si="5"/>
        <v>42562</v>
      </c>
      <c r="D59" s="388">
        <f t="shared" si="6"/>
        <v>149288.64774193548</v>
      </c>
      <c r="E59" s="392">
        <f t="shared" si="7"/>
        <v>74902.073000000004</v>
      </c>
      <c r="F59" s="428">
        <f t="shared" si="0"/>
        <v>0.93048659</v>
      </c>
      <c r="G59" s="390">
        <f t="shared" si="1"/>
        <v>69.695400000000006</v>
      </c>
      <c r="H59" s="391">
        <f t="shared" si="2"/>
        <v>224261.34662852547</v>
      </c>
      <c r="I59" s="324">
        <v>77000</v>
      </c>
      <c r="J59" s="325"/>
      <c r="K59" s="325"/>
      <c r="L59" s="317">
        <v>74902.073000000004</v>
      </c>
      <c r="M59" s="318"/>
      <c r="N59" s="318"/>
      <c r="O59" s="318"/>
      <c r="P59" s="392">
        <f t="shared" si="8"/>
        <v>74902.073000000004</v>
      </c>
      <c r="Q59" s="392">
        <f t="shared" si="3"/>
        <v>0</v>
      </c>
      <c r="R59" s="392">
        <f t="shared" si="4"/>
        <v>0</v>
      </c>
      <c r="S59" s="317">
        <v>76999.790000000008</v>
      </c>
      <c r="T59" s="374"/>
      <c r="U59" s="524">
        <f t="shared" si="9"/>
        <v>-0.20999999999185093</v>
      </c>
      <c r="V59" s="520">
        <f t="shared" si="10"/>
        <v>77000</v>
      </c>
      <c r="W59" s="524">
        <f t="shared" si="11"/>
        <v>70993.457219332442</v>
      </c>
      <c r="X59" s="520">
        <f t="shared" si="12"/>
        <v>6006.542780667558</v>
      </c>
      <c r="Y59" s="525">
        <f t="shared" si="13"/>
        <v>257316.50099899893</v>
      </c>
    </row>
    <row r="60" spans="3:25" x14ac:dyDescent="0.2">
      <c r="C60" s="387">
        <f t="shared" si="5"/>
        <v>42563</v>
      </c>
      <c r="D60" s="388">
        <f t="shared" si="6"/>
        <v>149288.64774193548</v>
      </c>
      <c r="E60" s="392">
        <f t="shared" si="7"/>
        <v>74989.7</v>
      </c>
      <c r="F60" s="428">
        <f t="shared" si="0"/>
        <v>0.93048659</v>
      </c>
      <c r="G60" s="390">
        <f t="shared" si="1"/>
        <v>69.776899999999998</v>
      </c>
      <c r="H60" s="391">
        <f t="shared" si="2"/>
        <v>224349.05512852545</v>
      </c>
      <c r="I60" s="324">
        <v>77000</v>
      </c>
      <c r="J60" s="325"/>
      <c r="K60" s="325"/>
      <c r="L60" s="319">
        <v>74989.7</v>
      </c>
      <c r="M60" s="320"/>
      <c r="N60" s="320"/>
      <c r="O60" s="320"/>
      <c r="P60" s="392">
        <f t="shared" si="8"/>
        <v>74989.7</v>
      </c>
      <c r="Q60" s="392">
        <f t="shared" si="3"/>
        <v>0</v>
      </c>
      <c r="R60" s="392">
        <f t="shared" si="4"/>
        <v>0</v>
      </c>
      <c r="S60" s="319">
        <v>76999.790000000008</v>
      </c>
      <c r="T60" s="374"/>
      <c r="U60" s="524">
        <f t="shared" si="9"/>
        <v>-0.20999999999185093</v>
      </c>
      <c r="V60" s="520">
        <f t="shared" si="10"/>
        <v>77000</v>
      </c>
      <c r="W60" s="524">
        <f t="shared" si="11"/>
        <v>71076.511578532329</v>
      </c>
      <c r="X60" s="520">
        <f t="shared" si="12"/>
        <v>5923.4884214676713</v>
      </c>
      <c r="Y60" s="525">
        <f t="shared" si="13"/>
        <v>263239.98942046659</v>
      </c>
    </row>
    <row r="61" spans="3:25" x14ac:dyDescent="0.2">
      <c r="C61" s="387">
        <f t="shared" si="5"/>
        <v>42564</v>
      </c>
      <c r="D61" s="388">
        <f t="shared" si="6"/>
        <v>149288.64774193548</v>
      </c>
      <c r="E61" s="392">
        <f t="shared" si="7"/>
        <v>75418.698000000004</v>
      </c>
      <c r="F61" s="428">
        <f t="shared" si="0"/>
        <v>0.93048659</v>
      </c>
      <c r="G61" s="390">
        <f t="shared" si="1"/>
        <v>70.176100000000005</v>
      </c>
      <c r="H61" s="391">
        <f t="shared" si="2"/>
        <v>224778.45232852548</v>
      </c>
      <c r="I61" s="324">
        <v>77000</v>
      </c>
      <c r="J61" s="325"/>
      <c r="K61" s="325"/>
      <c r="L61" s="317">
        <v>75418.698000000004</v>
      </c>
      <c r="M61" s="318"/>
      <c r="N61" s="318"/>
      <c r="O61" s="318"/>
      <c r="P61" s="392">
        <f t="shared" si="8"/>
        <v>75418.698000000004</v>
      </c>
      <c r="Q61" s="392">
        <f t="shared" si="3"/>
        <v>0</v>
      </c>
      <c r="R61" s="392">
        <f t="shared" si="4"/>
        <v>0</v>
      </c>
      <c r="S61" s="317">
        <v>76999.790000000008</v>
      </c>
      <c r="T61" s="374"/>
      <c r="U61" s="524">
        <f t="shared" si="9"/>
        <v>-0.20999999999185093</v>
      </c>
      <c r="V61" s="520">
        <f t="shared" si="10"/>
        <v>77000</v>
      </c>
      <c r="W61" s="524">
        <f t="shared" si="11"/>
        <v>71483.123170713225</v>
      </c>
      <c r="X61" s="520">
        <f t="shared" si="12"/>
        <v>5516.8768292867753</v>
      </c>
      <c r="Y61" s="525">
        <f t="shared" si="13"/>
        <v>268756.8662497534</v>
      </c>
    </row>
    <row r="62" spans="3:25" x14ac:dyDescent="0.2">
      <c r="C62" s="387">
        <f t="shared" si="5"/>
        <v>42565</v>
      </c>
      <c r="D62" s="388">
        <f t="shared" si="6"/>
        <v>149288.64774193548</v>
      </c>
      <c r="E62" s="392">
        <f t="shared" si="7"/>
        <v>75576.62</v>
      </c>
      <c r="F62" s="428">
        <f t="shared" si="0"/>
        <v>0.93048659</v>
      </c>
      <c r="G62" s="390">
        <f t="shared" si="1"/>
        <v>70.322999999999993</v>
      </c>
      <c r="H62" s="391">
        <f t="shared" si="2"/>
        <v>224936.52122852547</v>
      </c>
      <c r="I62" s="324">
        <v>75000</v>
      </c>
      <c r="J62" s="325"/>
      <c r="K62" s="325"/>
      <c r="L62" s="319">
        <v>75576.62</v>
      </c>
      <c r="M62" s="320"/>
      <c r="N62" s="320"/>
      <c r="O62" s="320"/>
      <c r="P62" s="392">
        <f t="shared" si="8"/>
        <v>75576.62</v>
      </c>
      <c r="Q62" s="392">
        <f t="shared" si="3"/>
        <v>0</v>
      </c>
      <c r="R62" s="392">
        <f t="shared" si="4"/>
        <v>0</v>
      </c>
      <c r="S62" s="319">
        <v>74999.759999999995</v>
      </c>
      <c r="T62" s="374"/>
      <c r="U62" s="524">
        <f t="shared" si="9"/>
        <v>-0.24000000000523869</v>
      </c>
      <c r="V62" s="520">
        <f t="shared" si="10"/>
        <v>75000</v>
      </c>
      <c r="W62" s="524">
        <f t="shared" si="11"/>
        <v>71632.804325078469</v>
      </c>
      <c r="X62" s="520">
        <f t="shared" si="12"/>
        <v>3367.1956749215315</v>
      </c>
      <c r="Y62" s="525">
        <f t="shared" si="13"/>
        <v>272124.0619246749</v>
      </c>
    </row>
    <row r="63" spans="3:25" x14ac:dyDescent="0.2">
      <c r="C63" s="387">
        <f t="shared" si="5"/>
        <v>42566</v>
      </c>
      <c r="D63" s="388">
        <f t="shared" si="6"/>
        <v>149288.64774193548</v>
      </c>
      <c r="E63" s="392">
        <f t="shared" si="7"/>
        <v>74701.27</v>
      </c>
      <c r="F63" s="428">
        <f t="shared" si="0"/>
        <v>0.93048659</v>
      </c>
      <c r="G63" s="390">
        <f t="shared" si="1"/>
        <v>69.508499999999998</v>
      </c>
      <c r="H63" s="391">
        <f t="shared" si="2"/>
        <v>224060.35672852545</v>
      </c>
      <c r="I63" s="324">
        <v>75000</v>
      </c>
      <c r="J63" s="325"/>
      <c r="K63" s="325"/>
      <c r="L63" s="317">
        <v>74701.27</v>
      </c>
      <c r="M63" s="318"/>
      <c r="N63" s="318"/>
      <c r="O63" s="318"/>
      <c r="P63" s="392">
        <f t="shared" si="8"/>
        <v>74701.27</v>
      </c>
      <c r="Q63" s="392">
        <f t="shared" si="3"/>
        <v>0</v>
      </c>
      <c r="R63" s="392">
        <f t="shared" si="4"/>
        <v>0</v>
      </c>
      <c r="S63" s="317">
        <v>74999.759999999995</v>
      </c>
      <c r="T63" s="374"/>
      <c r="U63" s="524">
        <f t="shared" si="9"/>
        <v>-0.24000000000523869</v>
      </c>
      <c r="V63" s="520">
        <f t="shared" si="10"/>
        <v>75000</v>
      </c>
      <c r="W63" s="524">
        <f t="shared" si="11"/>
        <v>70803.132724708455</v>
      </c>
      <c r="X63" s="520">
        <f t="shared" si="12"/>
        <v>4196.8672752915445</v>
      </c>
      <c r="Y63" s="525">
        <f t="shared" si="13"/>
        <v>276320.92919996643</v>
      </c>
    </row>
    <row r="64" spans="3:25" x14ac:dyDescent="0.2">
      <c r="C64" s="387">
        <f t="shared" si="5"/>
        <v>42567</v>
      </c>
      <c r="D64" s="388">
        <f t="shared" si="6"/>
        <v>149288.64774193548</v>
      </c>
      <c r="E64" s="392">
        <f t="shared" si="7"/>
        <v>73251.789999999994</v>
      </c>
      <c r="F64" s="428">
        <f t="shared" si="0"/>
        <v>0.93048659</v>
      </c>
      <c r="G64" s="390">
        <f t="shared" si="1"/>
        <v>68.159800000000004</v>
      </c>
      <c r="H64" s="391">
        <f t="shared" si="2"/>
        <v>222609.52802852547</v>
      </c>
      <c r="I64" s="324">
        <v>77000</v>
      </c>
      <c r="J64" s="325"/>
      <c r="K64" s="325"/>
      <c r="L64" s="319">
        <v>73251.789999999994</v>
      </c>
      <c r="M64" s="320"/>
      <c r="N64" s="320"/>
      <c r="O64" s="320"/>
      <c r="P64" s="392">
        <f t="shared" si="8"/>
        <v>73251.789999999994</v>
      </c>
      <c r="Q64" s="392">
        <f t="shared" si="3"/>
        <v>0</v>
      </c>
      <c r="R64" s="392">
        <f t="shared" si="4"/>
        <v>0</v>
      </c>
      <c r="S64" s="319">
        <v>76999.790000000008</v>
      </c>
      <c r="T64" s="374"/>
      <c r="U64" s="524">
        <f t="shared" si="9"/>
        <v>-0.20999999999185093</v>
      </c>
      <c r="V64" s="520">
        <f t="shared" si="10"/>
        <v>77000</v>
      </c>
      <c r="W64" s="524">
        <f t="shared" si="11"/>
        <v>69429.290957067671</v>
      </c>
      <c r="X64" s="520">
        <f t="shared" si="12"/>
        <v>7570.7090429323289</v>
      </c>
      <c r="Y64" s="525">
        <f t="shared" si="13"/>
        <v>283891.63824289874</v>
      </c>
    </row>
    <row r="65" spans="3:38" x14ac:dyDescent="0.2">
      <c r="C65" s="387">
        <f t="shared" si="5"/>
        <v>42568</v>
      </c>
      <c r="D65" s="388">
        <f t="shared" si="6"/>
        <v>149288.64774193548</v>
      </c>
      <c r="E65" s="392">
        <f t="shared" si="7"/>
        <v>75579.16</v>
      </c>
      <c r="F65" s="428">
        <f t="shared" si="0"/>
        <v>0.93048659</v>
      </c>
      <c r="G65" s="390">
        <f t="shared" si="1"/>
        <v>70.325400000000002</v>
      </c>
      <c r="H65" s="391">
        <f t="shared" si="2"/>
        <v>224939.06362852547</v>
      </c>
      <c r="I65" s="324">
        <v>77000</v>
      </c>
      <c r="J65" s="325"/>
      <c r="K65" s="325"/>
      <c r="L65" s="317">
        <v>75579.16</v>
      </c>
      <c r="M65" s="318"/>
      <c r="N65" s="318"/>
      <c r="O65" s="318"/>
      <c r="P65" s="392">
        <f t="shared" si="8"/>
        <v>75579.16</v>
      </c>
      <c r="Q65" s="392">
        <f t="shared" si="3"/>
        <v>0</v>
      </c>
      <c r="R65" s="392">
        <f t="shared" si="4"/>
        <v>0</v>
      </c>
      <c r="S65" s="317">
        <v>76999.790000000008</v>
      </c>
      <c r="T65" s="374"/>
      <c r="U65" s="524">
        <f t="shared" si="9"/>
        <v>-0.20999999999185093</v>
      </c>
      <c r="V65" s="520">
        <f t="shared" si="10"/>
        <v>77000</v>
      </c>
      <c r="W65" s="524">
        <f t="shared" si="11"/>
        <v>71635.211780227779</v>
      </c>
      <c r="X65" s="520">
        <f t="shared" si="12"/>
        <v>5364.7882197722211</v>
      </c>
      <c r="Y65" s="525">
        <f t="shared" si="13"/>
        <v>289256.42646267096</v>
      </c>
    </row>
    <row r="66" spans="3:38" x14ac:dyDescent="0.2">
      <c r="C66" s="387">
        <f t="shared" si="5"/>
        <v>42569</v>
      </c>
      <c r="D66" s="388">
        <f t="shared" si="6"/>
        <v>149288.64774193548</v>
      </c>
      <c r="E66" s="392">
        <f t="shared" si="7"/>
        <v>76587.941000000006</v>
      </c>
      <c r="F66" s="428">
        <f t="shared" si="0"/>
        <v>0.93048659</v>
      </c>
      <c r="G66" s="390">
        <f t="shared" si="1"/>
        <v>71.264099999999999</v>
      </c>
      <c r="H66" s="391">
        <f t="shared" si="2"/>
        <v>225948.78332852549</v>
      </c>
      <c r="I66" s="324">
        <v>77000</v>
      </c>
      <c r="J66" s="325"/>
      <c r="K66" s="325"/>
      <c r="L66" s="319">
        <v>76587.941000000006</v>
      </c>
      <c r="M66" s="320"/>
      <c r="N66" s="320"/>
      <c r="O66" s="320"/>
      <c r="P66" s="392">
        <f t="shared" si="8"/>
        <v>76587.941000000006</v>
      </c>
      <c r="Q66" s="392">
        <f t="shared" si="3"/>
        <v>0</v>
      </c>
      <c r="R66" s="392">
        <f t="shared" si="4"/>
        <v>0</v>
      </c>
      <c r="S66" s="319">
        <v>76999.790000000008</v>
      </c>
      <c r="T66" s="374"/>
      <c r="U66" s="524">
        <f t="shared" si="9"/>
        <v>-0.20999999999185093</v>
      </c>
      <c r="V66" s="520">
        <f t="shared" si="10"/>
        <v>77000</v>
      </c>
      <c r="W66" s="524">
        <f t="shared" si="11"/>
        <v>72591.351549112092</v>
      </c>
      <c r="X66" s="520">
        <f t="shared" si="12"/>
        <v>4408.6484508879075</v>
      </c>
      <c r="Y66" s="525">
        <f t="shared" si="13"/>
        <v>293665.0749135589</v>
      </c>
    </row>
    <row r="67" spans="3:38" x14ac:dyDescent="0.2">
      <c r="C67" s="387">
        <f t="shared" si="5"/>
        <v>42570</v>
      </c>
      <c r="D67" s="388">
        <f t="shared" si="6"/>
        <v>149288.64774193548</v>
      </c>
      <c r="E67" s="392">
        <f t="shared" si="7"/>
        <v>76647.285000000003</v>
      </c>
      <c r="F67" s="428">
        <f t="shared" si="0"/>
        <v>0.93048659</v>
      </c>
      <c r="G67" s="390">
        <f t="shared" si="1"/>
        <v>71.319299999999998</v>
      </c>
      <c r="H67" s="391">
        <f t="shared" si="2"/>
        <v>226008.18252852547</v>
      </c>
      <c r="I67" s="324">
        <v>75000</v>
      </c>
      <c r="J67" s="325"/>
      <c r="K67" s="325"/>
      <c r="L67" s="317">
        <v>76647.285000000003</v>
      </c>
      <c r="M67" s="318"/>
      <c r="N67" s="318"/>
      <c r="O67" s="318"/>
      <c r="P67" s="392">
        <f t="shared" si="8"/>
        <v>76647.285000000003</v>
      </c>
      <c r="Q67" s="392">
        <f t="shared" si="3"/>
        <v>0</v>
      </c>
      <c r="R67" s="392">
        <f t="shared" si="4"/>
        <v>0</v>
      </c>
      <c r="S67" s="317">
        <v>74999.759999999995</v>
      </c>
      <c r="T67" s="374"/>
      <c r="U67" s="524">
        <f t="shared" si="9"/>
        <v>-0.24000000000523869</v>
      </c>
      <c r="V67" s="520">
        <f t="shared" si="10"/>
        <v>75000</v>
      </c>
      <c r="W67" s="524">
        <f t="shared" si="11"/>
        <v>72647.598800442822</v>
      </c>
      <c r="X67" s="520">
        <f t="shared" si="12"/>
        <v>2352.4011995571782</v>
      </c>
      <c r="Y67" s="525">
        <f t="shared" si="13"/>
        <v>296017.47611311608</v>
      </c>
    </row>
    <row r="68" spans="3:38" x14ac:dyDescent="0.2">
      <c r="C68" s="387">
        <f t="shared" si="5"/>
        <v>42571</v>
      </c>
      <c r="D68" s="388">
        <f t="shared" si="6"/>
        <v>149288.64774193548</v>
      </c>
      <c r="E68" s="392">
        <f t="shared" si="7"/>
        <v>76593.06</v>
      </c>
      <c r="F68" s="428">
        <f t="shared" si="0"/>
        <v>0.93048659</v>
      </c>
      <c r="G68" s="390">
        <f t="shared" si="1"/>
        <v>71.268799999999999</v>
      </c>
      <c r="H68" s="391">
        <f t="shared" si="2"/>
        <v>225953.90702852546</v>
      </c>
      <c r="I68" s="324">
        <v>75000</v>
      </c>
      <c r="J68" s="325"/>
      <c r="K68" s="325"/>
      <c r="L68" s="319">
        <v>76593.06</v>
      </c>
      <c r="M68" s="320"/>
      <c r="N68" s="320"/>
      <c r="O68" s="320"/>
      <c r="P68" s="392">
        <f t="shared" si="8"/>
        <v>76593.06</v>
      </c>
      <c r="Q68" s="392">
        <f t="shared" si="3"/>
        <v>0</v>
      </c>
      <c r="R68" s="392">
        <f t="shared" si="4"/>
        <v>0</v>
      </c>
      <c r="S68" s="319">
        <v>74999.759999999995</v>
      </c>
      <c r="T68" s="374"/>
      <c r="U68" s="524">
        <f t="shared" si="9"/>
        <v>-0.24000000000523869</v>
      </c>
      <c r="V68" s="520">
        <f t="shared" si="10"/>
        <v>75000</v>
      </c>
      <c r="W68" s="524">
        <f t="shared" si="11"/>
        <v>72596.203424273219</v>
      </c>
      <c r="X68" s="520">
        <f t="shared" si="12"/>
        <v>2403.7965757267812</v>
      </c>
      <c r="Y68" s="525">
        <f t="shared" si="13"/>
        <v>298421.27268884284</v>
      </c>
    </row>
    <row r="69" spans="3:38" x14ac:dyDescent="0.2">
      <c r="C69" s="387">
        <f t="shared" si="5"/>
        <v>42572</v>
      </c>
      <c r="D69" s="388">
        <f t="shared" si="6"/>
        <v>149288.64774193548</v>
      </c>
      <c r="E69" s="392">
        <f t="shared" si="7"/>
        <v>76624.28</v>
      </c>
      <c r="F69" s="428">
        <f t="shared" si="0"/>
        <v>0.93048659</v>
      </c>
      <c r="G69" s="390">
        <f t="shared" si="1"/>
        <v>71.297899999999998</v>
      </c>
      <c r="H69" s="391">
        <f t="shared" si="2"/>
        <v>225985.15612852547</v>
      </c>
      <c r="I69" s="324">
        <v>77000</v>
      </c>
      <c r="J69" s="325"/>
      <c r="K69" s="325"/>
      <c r="L69" s="317">
        <v>76624.28</v>
      </c>
      <c r="M69" s="318"/>
      <c r="N69" s="318"/>
      <c r="O69" s="318"/>
      <c r="P69" s="392">
        <f t="shared" si="8"/>
        <v>76624.28</v>
      </c>
      <c r="Q69" s="392">
        <f t="shared" si="3"/>
        <v>0</v>
      </c>
      <c r="R69" s="392">
        <f t="shared" si="4"/>
        <v>0</v>
      </c>
      <c r="S69" s="317">
        <v>76999.790000000008</v>
      </c>
      <c r="T69" s="374"/>
      <c r="U69" s="524">
        <f t="shared" si="9"/>
        <v>-0.20999999999185093</v>
      </c>
      <c r="V69" s="520">
        <f t="shared" si="10"/>
        <v>77000</v>
      </c>
      <c r="W69" s="524">
        <f t="shared" si="11"/>
        <v>72625.794270635874</v>
      </c>
      <c r="X69" s="520">
        <f t="shared" si="12"/>
        <v>4374.2057293641265</v>
      </c>
      <c r="Y69" s="525">
        <f t="shared" si="13"/>
        <v>302795.47841820697</v>
      </c>
    </row>
    <row r="70" spans="3:38" x14ac:dyDescent="0.2">
      <c r="C70" s="387">
        <f t="shared" si="5"/>
        <v>42573</v>
      </c>
      <c r="D70" s="388">
        <f t="shared" si="6"/>
        <v>149288.64774193548</v>
      </c>
      <c r="E70" s="392">
        <f t="shared" si="7"/>
        <v>76384.72</v>
      </c>
      <c r="F70" s="428">
        <f t="shared" si="0"/>
        <v>0.93048659</v>
      </c>
      <c r="G70" s="390">
        <f t="shared" si="1"/>
        <v>71.075000000000003</v>
      </c>
      <c r="H70" s="391">
        <f t="shared" si="2"/>
        <v>225745.37322852548</v>
      </c>
      <c r="I70" s="324">
        <v>77000</v>
      </c>
      <c r="J70" s="325"/>
      <c r="K70" s="325"/>
      <c r="L70" s="319">
        <v>76384.72</v>
      </c>
      <c r="M70" s="320"/>
      <c r="N70" s="320"/>
      <c r="O70" s="320"/>
      <c r="P70" s="392">
        <f t="shared" si="8"/>
        <v>76384.72</v>
      </c>
      <c r="Q70" s="392">
        <f t="shared" si="3"/>
        <v>0</v>
      </c>
      <c r="R70" s="392">
        <f t="shared" si="4"/>
        <v>0</v>
      </c>
      <c r="S70" s="319">
        <v>76999.790000000008</v>
      </c>
      <c r="T70" s="374"/>
      <c r="U70" s="524">
        <f t="shared" si="9"/>
        <v>-0.20999999999185093</v>
      </c>
      <c r="V70" s="520">
        <f t="shared" si="10"/>
        <v>77000</v>
      </c>
      <c r="W70" s="524">
        <f t="shared" si="11"/>
        <v>72398.735233011335</v>
      </c>
      <c r="X70" s="520">
        <f t="shared" si="12"/>
        <v>4601.2647669886646</v>
      </c>
      <c r="Y70" s="525">
        <f t="shared" si="13"/>
        <v>307396.74318519561</v>
      </c>
    </row>
    <row r="71" spans="3:38" x14ac:dyDescent="0.2">
      <c r="C71" s="387">
        <f t="shared" si="5"/>
        <v>42574</v>
      </c>
      <c r="D71" s="388">
        <f t="shared" si="6"/>
        <v>149288.64774193548</v>
      </c>
      <c r="E71" s="392">
        <f t="shared" si="7"/>
        <v>74511.360000000001</v>
      </c>
      <c r="F71" s="428">
        <f t="shared" si="0"/>
        <v>0.93048659</v>
      </c>
      <c r="G71" s="390">
        <f t="shared" si="1"/>
        <v>69.331800000000001</v>
      </c>
      <c r="H71" s="391">
        <f t="shared" si="2"/>
        <v>223870.2700285255</v>
      </c>
      <c r="I71" s="324">
        <v>63000</v>
      </c>
      <c r="J71" s="325"/>
      <c r="K71" s="325"/>
      <c r="L71" s="317">
        <v>74511.360000000001</v>
      </c>
      <c r="M71" s="318"/>
      <c r="N71" s="318"/>
      <c r="O71" s="318"/>
      <c r="P71" s="392">
        <f t="shared" si="8"/>
        <v>74511.360000000001</v>
      </c>
      <c r="Q71" s="392">
        <f t="shared" si="3"/>
        <v>0</v>
      </c>
      <c r="R71" s="392">
        <f t="shared" si="4"/>
        <v>0</v>
      </c>
      <c r="S71" s="317">
        <v>62999.56</v>
      </c>
      <c r="T71" s="374"/>
      <c r="U71" s="524">
        <f t="shared" si="9"/>
        <v>-0.44000000000232831</v>
      </c>
      <c r="V71" s="520">
        <f t="shared" si="10"/>
        <v>63000</v>
      </c>
      <c r="W71" s="524">
        <f t="shared" si="11"/>
        <v>70623.132800533815</v>
      </c>
      <c r="X71" s="520">
        <f t="shared" si="12"/>
        <v>-7623.1328005338146</v>
      </c>
      <c r="Y71" s="525">
        <f t="shared" si="13"/>
        <v>299773.61038466182</v>
      </c>
    </row>
    <row r="72" spans="3:38" x14ac:dyDescent="0.2">
      <c r="C72" s="387">
        <f t="shared" si="5"/>
        <v>42575</v>
      </c>
      <c r="D72" s="388">
        <f t="shared" si="6"/>
        <v>149288.64774193548</v>
      </c>
      <c r="E72" s="392">
        <f t="shared" si="7"/>
        <v>74069.875</v>
      </c>
      <c r="F72" s="428">
        <f t="shared" si="0"/>
        <v>0.93048659</v>
      </c>
      <c r="G72" s="390">
        <f t="shared" si="1"/>
        <v>68.921000000000006</v>
      </c>
      <c r="H72" s="391">
        <f t="shared" si="2"/>
        <v>223428.37422852547</v>
      </c>
      <c r="I72" s="324">
        <v>63000</v>
      </c>
      <c r="J72" s="325"/>
      <c r="K72" s="325"/>
      <c r="L72" s="319">
        <v>74069.875</v>
      </c>
      <c r="M72" s="320"/>
      <c r="N72" s="320"/>
      <c r="O72" s="320"/>
      <c r="P72" s="392">
        <f t="shared" si="8"/>
        <v>74069.875</v>
      </c>
      <c r="Q72" s="392">
        <f t="shared" si="3"/>
        <v>0</v>
      </c>
      <c r="R72" s="392">
        <f t="shared" si="4"/>
        <v>0</v>
      </c>
      <c r="S72" s="319">
        <v>62999.56</v>
      </c>
      <c r="T72" s="374"/>
      <c r="U72" s="524">
        <f t="shared" si="9"/>
        <v>-0.44000000000232831</v>
      </c>
      <c r="V72" s="520">
        <f t="shared" si="10"/>
        <v>63000</v>
      </c>
      <c r="W72" s="524">
        <f t="shared" si="11"/>
        <v>70204.68581762485</v>
      </c>
      <c r="X72" s="520">
        <f t="shared" si="12"/>
        <v>-7204.6858176248497</v>
      </c>
      <c r="Y72" s="525">
        <f t="shared" si="13"/>
        <v>292568.92456703697</v>
      </c>
    </row>
    <row r="73" spans="3:38" x14ac:dyDescent="0.2">
      <c r="C73" s="387">
        <f t="shared" si="5"/>
        <v>42576</v>
      </c>
      <c r="D73" s="388">
        <f t="shared" si="6"/>
        <v>149288.64774193548</v>
      </c>
      <c r="E73" s="392">
        <f t="shared" si="7"/>
        <v>76328.59</v>
      </c>
      <c r="F73" s="428">
        <f t="shared" si="0"/>
        <v>0.93048659</v>
      </c>
      <c r="G73" s="390">
        <f t="shared" si="1"/>
        <v>71.0227</v>
      </c>
      <c r="H73" s="391">
        <f t="shared" si="2"/>
        <v>225689.19092852547</v>
      </c>
      <c r="I73" s="324">
        <v>63000</v>
      </c>
      <c r="J73" s="325"/>
      <c r="K73" s="325"/>
      <c r="L73" s="317">
        <v>76328.59</v>
      </c>
      <c r="M73" s="318"/>
      <c r="N73" s="318"/>
      <c r="O73" s="318"/>
      <c r="P73" s="392">
        <f t="shared" si="8"/>
        <v>76328.59</v>
      </c>
      <c r="Q73" s="392">
        <f t="shared" si="3"/>
        <v>0</v>
      </c>
      <c r="R73" s="392">
        <f t="shared" si="4"/>
        <v>0</v>
      </c>
      <c r="S73" s="317">
        <v>62999.56</v>
      </c>
      <c r="T73" s="374"/>
      <c r="U73" s="524">
        <f t="shared" si="9"/>
        <v>-0.44000000000232831</v>
      </c>
      <c r="V73" s="520">
        <f t="shared" si="10"/>
        <v>63000</v>
      </c>
      <c r="W73" s="524">
        <f t="shared" si="11"/>
        <v>72345.534265479742</v>
      </c>
      <c r="X73" s="520">
        <f t="shared" si="12"/>
        <v>-9345.5342654797423</v>
      </c>
      <c r="Y73" s="525">
        <f t="shared" si="13"/>
        <v>283223.39030155726</v>
      </c>
    </row>
    <row r="74" spans="3:38" x14ac:dyDescent="0.2">
      <c r="C74" s="387">
        <f t="shared" si="5"/>
        <v>42577</v>
      </c>
      <c r="D74" s="388">
        <f t="shared" si="6"/>
        <v>149288.64774193548</v>
      </c>
      <c r="E74" s="392">
        <f t="shared" si="7"/>
        <v>76265.320000000007</v>
      </c>
      <c r="F74" s="428">
        <f t="shared" si="0"/>
        <v>0.93048659</v>
      </c>
      <c r="G74" s="390">
        <f t="shared" si="1"/>
        <v>70.963899999999995</v>
      </c>
      <c r="H74" s="391">
        <f t="shared" si="2"/>
        <v>225625.86212852548</v>
      </c>
      <c r="I74" s="324">
        <v>67000</v>
      </c>
      <c r="J74" s="325"/>
      <c r="K74" s="325"/>
      <c r="L74" s="319">
        <v>76265.320000000007</v>
      </c>
      <c r="M74" s="320"/>
      <c r="N74" s="320"/>
      <c r="O74" s="320"/>
      <c r="P74" s="392">
        <f t="shared" si="8"/>
        <v>76265.320000000007</v>
      </c>
      <c r="Q74" s="392">
        <f t="shared" si="3"/>
        <v>0</v>
      </c>
      <c r="R74" s="392">
        <f t="shared" si="4"/>
        <v>0</v>
      </c>
      <c r="S74" s="319">
        <v>66999.63</v>
      </c>
      <c r="T74" s="374"/>
      <c r="U74" s="524">
        <f t="shared" si="9"/>
        <v>-0.36999999999534339</v>
      </c>
      <c r="V74" s="520">
        <f t="shared" si="10"/>
        <v>67000</v>
      </c>
      <c r="W74" s="524">
        <f t="shared" si="11"/>
        <v>72285.565884654468</v>
      </c>
      <c r="X74" s="520">
        <f t="shared" si="12"/>
        <v>-5285.5658846544684</v>
      </c>
      <c r="Y74" s="525">
        <f t="shared" si="13"/>
        <v>277937.82441690279</v>
      </c>
    </row>
    <row r="75" spans="3:38" x14ac:dyDescent="0.2">
      <c r="C75" s="387">
        <f t="shared" si="5"/>
        <v>42578</v>
      </c>
      <c r="D75" s="388">
        <f t="shared" si="6"/>
        <v>149288.64774193548</v>
      </c>
      <c r="E75" s="392">
        <f t="shared" si="7"/>
        <v>76112.13</v>
      </c>
      <c r="F75" s="428">
        <f t="shared" si="0"/>
        <v>0.93048659</v>
      </c>
      <c r="G75" s="390">
        <f t="shared" si="1"/>
        <v>70.821299999999994</v>
      </c>
      <c r="H75" s="391">
        <f t="shared" si="2"/>
        <v>225472.52952852548</v>
      </c>
      <c r="I75" s="324">
        <v>63000</v>
      </c>
      <c r="J75" s="325"/>
      <c r="K75" s="325"/>
      <c r="L75" s="317">
        <v>76112.13</v>
      </c>
      <c r="M75" s="318"/>
      <c r="N75" s="318"/>
      <c r="O75" s="318"/>
      <c r="P75" s="392">
        <f t="shared" si="8"/>
        <v>76112.13</v>
      </c>
      <c r="Q75" s="392">
        <f t="shared" si="3"/>
        <v>0</v>
      </c>
      <c r="R75" s="392">
        <f t="shared" si="4"/>
        <v>0</v>
      </c>
      <c r="S75" s="317">
        <v>62999.56</v>
      </c>
      <c r="T75" s="374"/>
      <c r="U75" s="524">
        <f t="shared" si="9"/>
        <v>-0.44000000000232831</v>
      </c>
      <c r="V75" s="520">
        <f t="shared" si="10"/>
        <v>63000</v>
      </c>
      <c r="W75" s="524">
        <f t="shared" si="11"/>
        <v>72140.369800276007</v>
      </c>
      <c r="X75" s="520">
        <f t="shared" si="12"/>
        <v>-9140.3698002760066</v>
      </c>
      <c r="Y75" s="525">
        <f t="shared" si="13"/>
        <v>268797.45461662678</v>
      </c>
    </row>
    <row r="76" spans="3:38" x14ac:dyDescent="0.2">
      <c r="C76" s="387">
        <f t="shared" si="5"/>
        <v>42579</v>
      </c>
      <c r="D76" s="388">
        <f t="shared" si="6"/>
        <v>149288.64774193548</v>
      </c>
      <c r="E76" s="392">
        <f t="shared" si="7"/>
        <v>76175.97</v>
      </c>
      <c r="F76" s="428">
        <f t="shared" si="0"/>
        <v>0.93048659</v>
      </c>
      <c r="G76" s="390">
        <f t="shared" si="1"/>
        <v>70.880700000000004</v>
      </c>
      <c r="H76" s="391">
        <f t="shared" si="2"/>
        <v>225536.42892852548</v>
      </c>
      <c r="I76" s="324">
        <v>63000</v>
      </c>
      <c r="J76" s="325"/>
      <c r="K76" s="325"/>
      <c r="L76" s="319">
        <v>76175.97</v>
      </c>
      <c r="M76" s="320"/>
      <c r="N76" s="320"/>
      <c r="O76" s="320"/>
      <c r="P76" s="392">
        <f t="shared" si="8"/>
        <v>76175.97</v>
      </c>
      <c r="Q76" s="392">
        <f t="shared" si="3"/>
        <v>0</v>
      </c>
      <c r="R76" s="392">
        <f t="shared" si="4"/>
        <v>0</v>
      </c>
      <c r="S76" s="319">
        <v>62999.56</v>
      </c>
      <c r="T76" s="374"/>
      <c r="U76" s="524">
        <f t="shared" si="9"/>
        <v>-0.44000000000232831</v>
      </c>
      <c r="V76" s="520">
        <f t="shared" si="10"/>
        <v>63000</v>
      </c>
      <c r="W76" s="524">
        <f t="shared" si="11"/>
        <v>72200.878436784405</v>
      </c>
      <c r="X76" s="520">
        <f t="shared" si="12"/>
        <v>-9200.8784367844055</v>
      </c>
      <c r="Y76" s="525">
        <f t="shared" si="13"/>
        <v>259596.57617984238</v>
      </c>
    </row>
    <row r="77" spans="3:38" x14ac:dyDescent="0.2">
      <c r="C77" s="387">
        <f t="shared" si="5"/>
        <v>42580</v>
      </c>
      <c r="D77" s="388">
        <f t="shared" si="6"/>
        <v>149288.64774193548</v>
      </c>
      <c r="E77" s="392">
        <f t="shared" si="7"/>
        <v>76056.95</v>
      </c>
      <c r="F77" s="428">
        <f t="shared" si="0"/>
        <v>0.93048659</v>
      </c>
      <c r="G77" s="390">
        <f t="shared" si="1"/>
        <v>70.77</v>
      </c>
      <c r="H77" s="391">
        <f t="shared" si="2"/>
        <v>225417.29822852544</v>
      </c>
      <c r="I77" s="324">
        <v>63663</v>
      </c>
      <c r="J77" s="325"/>
      <c r="K77" s="325"/>
      <c r="L77" s="317">
        <v>76056.95</v>
      </c>
      <c r="M77" s="318"/>
      <c r="N77" s="318"/>
      <c r="O77" s="318"/>
      <c r="P77" s="392">
        <f t="shared" si="8"/>
        <v>76056.95</v>
      </c>
      <c r="Q77" s="392">
        <f t="shared" si="3"/>
        <v>0</v>
      </c>
      <c r="R77" s="392">
        <f t="shared" si="4"/>
        <v>0</v>
      </c>
      <c r="S77" s="317">
        <v>63662.66</v>
      </c>
      <c r="T77" s="374"/>
      <c r="U77" s="524">
        <f t="shared" si="9"/>
        <v>-0.33999999999650754</v>
      </c>
      <c r="V77" s="520">
        <f t="shared" si="10"/>
        <v>63663</v>
      </c>
      <c r="W77" s="524">
        <f t="shared" si="11"/>
        <v>72088.069258882941</v>
      </c>
      <c r="X77" s="520">
        <f t="shared" si="12"/>
        <v>-8425.0692588829406</v>
      </c>
      <c r="Y77" s="525">
        <f t="shared" si="13"/>
        <v>251171.50692095945</v>
      </c>
    </row>
    <row r="78" spans="3:38" x14ac:dyDescent="0.2">
      <c r="C78" s="387">
        <f t="shared" si="5"/>
        <v>42581</v>
      </c>
      <c r="D78" s="388">
        <f t="shared" si="6"/>
        <v>149288.64774193548</v>
      </c>
      <c r="E78" s="392">
        <f t="shared" si="7"/>
        <v>75149.08</v>
      </c>
      <c r="F78" s="428">
        <f t="shared" si="0"/>
        <v>0.93048659</v>
      </c>
      <c r="G78" s="390">
        <f t="shared" si="1"/>
        <v>69.925200000000004</v>
      </c>
      <c r="H78" s="391">
        <f t="shared" si="2"/>
        <v>224508.58342852545</v>
      </c>
      <c r="I78" s="324">
        <v>63663</v>
      </c>
      <c r="J78" s="325"/>
      <c r="K78" s="325"/>
      <c r="L78" s="319">
        <v>75149.08</v>
      </c>
      <c r="M78" s="320"/>
      <c r="N78" s="320"/>
      <c r="O78" s="320"/>
      <c r="P78" s="392">
        <f t="shared" si="8"/>
        <v>75149.08</v>
      </c>
      <c r="Q78" s="392">
        <f t="shared" si="3"/>
        <v>0</v>
      </c>
      <c r="R78" s="392">
        <f t="shared" si="4"/>
        <v>0</v>
      </c>
      <c r="S78" s="319">
        <v>63662.66</v>
      </c>
      <c r="T78" s="374"/>
      <c r="U78" s="524">
        <f t="shared" si="9"/>
        <v>-0.33999999999650754</v>
      </c>
      <c r="V78" s="520">
        <f t="shared" si="10"/>
        <v>63663</v>
      </c>
      <c r="W78" s="524">
        <f t="shared" si="11"/>
        <v>71227.574650065973</v>
      </c>
      <c r="X78" s="520">
        <f t="shared" si="12"/>
        <v>-7564.5746500659734</v>
      </c>
      <c r="Y78" s="525">
        <f t="shared" si="13"/>
        <v>243606.93227089348</v>
      </c>
    </row>
    <row r="79" spans="3:38" ht="15" thickBot="1" x14ac:dyDescent="0.25">
      <c r="C79" s="393">
        <f t="shared" si="5"/>
        <v>42582</v>
      </c>
      <c r="D79" s="394">
        <f t="shared" si="6"/>
        <v>149288.64774193548</v>
      </c>
      <c r="E79" s="395">
        <f t="shared" si="7"/>
        <v>73298.27</v>
      </c>
      <c r="F79" s="429">
        <f t="shared" si="0"/>
        <v>0.93048659</v>
      </c>
      <c r="G79" s="396">
        <f t="shared" si="1"/>
        <v>68.203100000000006</v>
      </c>
      <c r="H79" s="397">
        <f t="shared" si="2"/>
        <v>222656.05132852547</v>
      </c>
      <c r="I79" s="326">
        <v>63663</v>
      </c>
      <c r="J79" s="327"/>
      <c r="K79" s="327"/>
      <c r="L79" s="321">
        <v>73298.27</v>
      </c>
      <c r="M79" s="322"/>
      <c r="N79" s="322"/>
      <c r="O79" s="322"/>
      <c r="P79" s="395">
        <f t="shared" si="8"/>
        <v>73298.27</v>
      </c>
      <c r="Q79" s="395">
        <f t="shared" si="3"/>
        <v>0</v>
      </c>
      <c r="R79" s="395">
        <f t="shared" si="4"/>
        <v>0</v>
      </c>
      <c r="S79" s="321">
        <v>63662.66</v>
      </c>
      <c r="T79" s="376"/>
      <c r="U79" s="521">
        <f t="shared" si="9"/>
        <v>-0.33999999999650754</v>
      </c>
      <c r="V79" s="528">
        <f t="shared" si="10"/>
        <v>63663</v>
      </c>
      <c r="W79" s="521">
        <f t="shared" si="11"/>
        <v>69473.345490665903</v>
      </c>
      <c r="X79" s="528">
        <f t="shared" si="12"/>
        <v>-5810.3454906659026</v>
      </c>
      <c r="Y79" s="529">
        <f t="shared" si="13"/>
        <v>237796.58678022758</v>
      </c>
    </row>
    <row r="80" spans="3:38" ht="15" thickBot="1" x14ac:dyDescent="0.25">
      <c r="C80" s="398"/>
      <c r="D80" s="399">
        <f>SUM(D49:D79)</f>
        <v>4627948.0800000019</v>
      </c>
      <c r="E80" s="400">
        <f>SUM(E49:E79)</f>
        <v>2325701.5270000007</v>
      </c>
      <c r="F80" s="400"/>
      <c r="G80" s="401">
        <f>SUM(G49:G79)</f>
        <v>2164.0340999999999</v>
      </c>
      <c r="H80" s="399">
        <f>SUM(H49:H79)</f>
        <v>6955842.4861842887</v>
      </c>
      <c r="I80" s="432">
        <f>SUM(I49:I79)</f>
        <v>2282504</v>
      </c>
      <c r="J80" s="432">
        <f t="shared" ref="J80:R80" si="14">SUM(J49:J79)</f>
        <v>0</v>
      </c>
      <c r="K80" s="432">
        <f t="shared" si="14"/>
        <v>0</v>
      </c>
      <c r="L80" s="432">
        <f t="shared" si="14"/>
        <v>2325701.5270000007</v>
      </c>
      <c r="M80" s="432">
        <f t="shared" si="14"/>
        <v>0</v>
      </c>
      <c r="N80" s="432">
        <f t="shared" si="14"/>
        <v>0</v>
      </c>
      <c r="O80" s="432">
        <f t="shared" si="14"/>
        <v>0</v>
      </c>
      <c r="P80" s="432">
        <f t="shared" si="14"/>
        <v>2325701.5270000007</v>
      </c>
      <c r="Q80" s="432">
        <f t="shared" si="14"/>
        <v>0</v>
      </c>
      <c r="R80" s="432">
        <f t="shared" si="14"/>
        <v>0</v>
      </c>
      <c r="S80" s="570">
        <f>SUM(S49:S79)</f>
        <v>2282497.4100000011</v>
      </c>
      <c r="U80" s="1"/>
      <c r="V80" s="328">
        <f>SUM(V49:V79)</f>
        <v>2282504</v>
      </c>
      <c r="W80" s="328">
        <f>SUM(W49:W79)</f>
        <v>2204339.4161068229</v>
      </c>
      <c r="X80" s="328">
        <f>SUM(X49:X79)</f>
        <v>78164.583893177143</v>
      </c>
      <c r="Y80" s="323">
        <f>Y79</f>
        <v>237796.58678022758</v>
      </c>
      <c r="AL80" s="361">
        <f>Y79</f>
        <v>237796.58678022758</v>
      </c>
    </row>
    <row r="81" spans="2:14" ht="15" customHeight="1" x14ac:dyDescent="0.2">
      <c r="B81"/>
      <c r="C81"/>
      <c r="D81"/>
      <c r="E81"/>
      <c r="F81"/>
      <c r="G81"/>
      <c r="H81"/>
      <c r="I81"/>
      <c r="J81"/>
      <c r="K81"/>
      <c r="L81"/>
      <c r="N81" s="2"/>
    </row>
  </sheetData>
  <mergeCells count="12">
    <mergeCell ref="C10:D10"/>
    <mergeCell ref="C11:D11"/>
    <mergeCell ref="C3:M4"/>
    <mergeCell ref="C5:M5"/>
    <mergeCell ref="C6:M6"/>
    <mergeCell ref="G7:H7"/>
    <mergeCell ref="C9:D9"/>
    <mergeCell ref="D23:E23"/>
    <mergeCell ref="D24:E24"/>
    <mergeCell ref="C28:F28"/>
    <mergeCell ref="C39:F39"/>
    <mergeCell ref="S47:Y47"/>
  </mergeCells>
  <conditionalFormatting sqref="L49:O79">
    <cfRule type="cellIs" dxfId="134" priority="2" stopIfTrue="1" operator="equal">
      <formula>0</formula>
    </cfRule>
  </conditionalFormatting>
  <conditionalFormatting sqref="S49:S79">
    <cfRule type="cellIs" dxfId="133" priority="1" stopIfTrue="1" operator="equal">
      <formula>0</formula>
    </cfRule>
  </conditionalFormatting>
  <printOptions horizontalCentered="1" verticalCentered="1"/>
  <pageMargins left="0" right="0.70866141732283472" top="0" bottom="0" header="0.31496062992125984" footer="0.31496062992125984"/>
  <pageSetup scale="80" orientation="landscape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L81"/>
  <sheetViews>
    <sheetView workbookViewId="0"/>
  </sheetViews>
  <sheetFormatPr baseColWidth="10" defaultColWidth="11" defaultRowHeight="14.25" x14ac:dyDescent="0.2"/>
  <cols>
    <col min="1" max="1" width="11" style="2"/>
    <col min="2" max="2" width="3.875" style="2" bestFit="1" customWidth="1"/>
    <col min="3" max="3" width="16.125" style="2" customWidth="1"/>
    <col min="4" max="4" width="12.375" style="2" bestFit="1" customWidth="1"/>
    <col min="5" max="5" width="10.875" style="2" bestFit="1" customWidth="1"/>
    <col min="6" max="6" width="17.125" style="2" bestFit="1" customWidth="1"/>
    <col min="7" max="7" width="13.125" style="2" bestFit="1" customWidth="1"/>
    <col min="8" max="8" width="12.125" style="2" bestFit="1" customWidth="1"/>
    <col min="9" max="9" width="11.125" style="2" bestFit="1" customWidth="1"/>
    <col min="10" max="10" width="11.875" style="2" bestFit="1" customWidth="1"/>
    <col min="11" max="11" width="11.625" style="2" bestFit="1" customWidth="1"/>
    <col min="12" max="12" width="12.125" style="2" customWidth="1"/>
    <col min="13" max="13" width="12" style="2" bestFit="1" customWidth="1"/>
    <col min="14" max="14" width="9" style="1" customWidth="1"/>
    <col min="15" max="15" width="10.375" style="2" customWidth="1"/>
    <col min="16" max="25" width="11" style="2"/>
    <col min="26" max="32" width="10.875" customWidth="1"/>
    <col min="33" max="16384" width="11" style="2"/>
  </cols>
  <sheetData>
    <row r="2" spans="2:25" x14ac:dyDescent="0.2"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2:25" ht="15" customHeight="1" x14ac:dyDescent="0.2">
      <c r="B3" s="1"/>
      <c r="C3" s="2254" t="s">
        <v>0</v>
      </c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</row>
    <row r="4" spans="2:25" ht="15" customHeight="1" x14ac:dyDescent="0.2"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</row>
    <row r="5" spans="2:25" x14ac:dyDescent="0.2">
      <c r="B5" s="1"/>
      <c r="C5" s="2257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</row>
    <row r="6" spans="2:25" x14ac:dyDescent="0.2">
      <c r="B6" s="1"/>
      <c r="C6" s="2257" t="s">
        <v>199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</row>
    <row r="7" spans="2:25" x14ac:dyDescent="0.2">
      <c r="B7" s="1"/>
      <c r="C7" s="468"/>
      <c r="D7" s="468"/>
      <c r="E7" s="468"/>
      <c r="F7" s="468"/>
      <c r="G7" s="2271">
        <v>42583</v>
      </c>
      <c r="H7" s="2257"/>
      <c r="I7" s="468"/>
      <c r="J7" s="468"/>
      <c r="K7" s="468"/>
      <c r="L7" s="468"/>
      <c r="M7" s="468"/>
      <c r="N7" s="18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2:25" x14ac:dyDescent="0.2">
      <c r="B8" s="1"/>
      <c r="C8" s="468"/>
      <c r="D8" s="468"/>
      <c r="E8" s="468"/>
      <c r="F8" s="468"/>
      <c r="G8" s="468"/>
      <c r="H8" s="468"/>
      <c r="I8" s="468"/>
      <c r="J8" s="468"/>
      <c r="K8" s="468"/>
      <c r="L8" s="468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2:25" ht="25.5" x14ac:dyDescent="0.2">
      <c r="B9" s="1"/>
      <c r="C9" s="2272" t="s">
        <v>6</v>
      </c>
      <c r="D9" s="2272"/>
      <c r="E9" s="470" t="s">
        <v>94</v>
      </c>
      <c r="F9" s="470" t="s">
        <v>126</v>
      </c>
      <c r="G9" s="410" t="s">
        <v>133</v>
      </c>
      <c r="H9" s="470" t="s">
        <v>127</v>
      </c>
      <c r="I9" s="470" t="s">
        <v>128</v>
      </c>
      <c r="J9" s="468"/>
      <c r="K9" s="468"/>
      <c r="L9" s="468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2:25" x14ac:dyDescent="0.2">
      <c r="B10" s="1"/>
      <c r="C10" s="2270" t="s">
        <v>131</v>
      </c>
      <c r="D10" s="2270"/>
      <c r="E10" s="433">
        <f>IF(C15=0,D15,C15)</f>
        <v>4627948.08</v>
      </c>
      <c r="F10" s="407">
        <f>E10*0.16</f>
        <v>740471.69280000008</v>
      </c>
      <c r="G10" s="407">
        <f>E10+F10</f>
        <v>5368419.7728000004</v>
      </c>
      <c r="H10" s="511" t="s">
        <v>198</v>
      </c>
      <c r="I10" s="411">
        <v>19</v>
      </c>
      <c r="J10" s="468"/>
      <c r="K10" s="468"/>
      <c r="L10" s="468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2:25" x14ac:dyDescent="0.2">
      <c r="B11" s="1"/>
      <c r="C11" s="2270" t="s">
        <v>132</v>
      </c>
      <c r="D11" s="2270"/>
      <c r="E11" s="433">
        <f>IF(C16=0,D16,C16)</f>
        <v>2143.17</v>
      </c>
      <c r="F11" s="407">
        <f>E11*0.16</f>
        <v>342.90720000000005</v>
      </c>
      <c r="G11" s="407">
        <f>E11+F11</f>
        <v>2486.0772000000002</v>
      </c>
      <c r="H11" s="511" t="s">
        <v>198</v>
      </c>
      <c r="I11" s="411">
        <v>19</v>
      </c>
      <c r="J11" s="468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2:25" x14ac:dyDescent="0.2">
      <c r="B12" s="1"/>
      <c r="C12" s="468"/>
      <c r="D12" s="468"/>
      <c r="E12" s="468"/>
      <c r="F12" s="468"/>
      <c r="G12" s="468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2:25" ht="15" thickBot="1" x14ac:dyDescent="0.25">
      <c r="B13" s="1"/>
      <c r="C13" s="468"/>
      <c r="D13" s="468"/>
      <c r="E13" s="468"/>
      <c r="F13" s="468"/>
      <c r="G13" s="468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2:25" x14ac:dyDescent="0.2">
      <c r="B14" s="1"/>
      <c r="C14" s="440" t="s">
        <v>155</v>
      </c>
      <c r="D14" s="441" t="s">
        <v>156</v>
      </c>
      <c r="E14" s="442" t="s">
        <v>112</v>
      </c>
      <c r="F14" s="468"/>
      <c r="G14" s="468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2:25" x14ac:dyDescent="0.2">
      <c r="B15" s="1"/>
      <c r="C15" s="443">
        <v>4627948.08</v>
      </c>
      <c r="D15" s="444">
        <f>D80</f>
        <v>4627948.0800000019</v>
      </c>
      <c r="E15" s="445">
        <f>C15-D15</f>
        <v>0</v>
      </c>
      <c r="F15" s="468"/>
      <c r="G15" s="468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2:25" ht="15" thickBot="1" x14ac:dyDescent="0.25">
      <c r="B16" s="1"/>
      <c r="C16" s="446">
        <v>2143.17</v>
      </c>
      <c r="D16" s="447">
        <f>ROUND(G80,2)</f>
        <v>2143.17</v>
      </c>
      <c r="E16" s="448">
        <f>C16-D16</f>
        <v>0</v>
      </c>
      <c r="F16" s="468"/>
      <c r="G16" s="468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2:25" x14ac:dyDescent="0.2">
      <c r="B17" s="1"/>
      <c r="C17" s="468"/>
      <c r="D17" s="468"/>
      <c r="E17" s="468"/>
      <c r="F17" s="468"/>
      <c r="G17" s="468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2:25" x14ac:dyDescent="0.2">
      <c r="B18" s="1"/>
      <c r="C18" s="468"/>
      <c r="D18" s="468"/>
      <c r="E18" s="468"/>
      <c r="F18" s="468"/>
      <c r="G18" s="468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2:25" x14ac:dyDescent="0.2">
      <c r="B19" s="1"/>
      <c r="C19" s="468"/>
      <c r="D19" s="468"/>
      <c r="E19" s="468"/>
      <c r="F19" s="468"/>
      <c r="G19" s="468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2:25" x14ac:dyDescent="0.2">
      <c r="B20" s="1"/>
      <c r="C20" s="468"/>
      <c r="D20" s="468"/>
      <c r="E20" s="468"/>
      <c r="F20" s="468"/>
      <c r="G20" s="468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2:25" x14ac:dyDescent="0.2">
      <c r="B21" s="1"/>
      <c r="C21" s="468"/>
      <c r="D21" s="468"/>
      <c r="E21" s="468"/>
      <c r="F21" s="468"/>
      <c r="G21" s="468"/>
      <c r="H21" s="1"/>
      <c r="I21" s="1"/>
      <c r="J21" s="1"/>
      <c r="K21" s="1"/>
      <c r="L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2:25" ht="15" thickBot="1" x14ac:dyDescent="0.25">
      <c r="B22" s="1"/>
      <c r="C22" s="419" t="s">
        <v>137</v>
      </c>
      <c r="D22" s="468" t="s">
        <v>138</v>
      </c>
      <c r="E22" s="468"/>
      <c r="F22" s="468" t="s">
        <v>139</v>
      </c>
      <c r="G22" s="468" t="s">
        <v>157</v>
      </c>
      <c r="H22" s="468" t="s">
        <v>143</v>
      </c>
      <c r="I22" s="468" t="s">
        <v>142</v>
      </c>
      <c r="J22" s="468" t="s">
        <v>141</v>
      </c>
      <c r="K22" s="468" t="s">
        <v>140</v>
      </c>
      <c r="L22" s="468" t="s">
        <v>144</v>
      </c>
      <c r="M22" s="468" t="s">
        <v>146</v>
      </c>
      <c r="N22" s="468"/>
      <c r="O22" s="468"/>
      <c r="P22" s="468"/>
      <c r="Q22" s="1"/>
      <c r="R22" s="1"/>
      <c r="S22" s="1"/>
      <c r="T22" s="1"/>
      <c r="U22" s="1"/>
      <c r="V22" s="1"/>
      <c r="W22" s="1"/>
      <c r="X22" s="1"/>
      <c r="Y22" s="1"/>
    </row>
    <row r="23" spans="2:25" ht="36.75" customHeight="1" x14ac:dyDescent="0.2">
      <c r="B23" s="1"/>
      <c r="C23" s="402" t="s">
        <v>134</v>
      </c>
      <c r="D23" s="2261" t="s">
        <v>135</v>
      </c>
      <c r="E23" s="2262"/>
      <c r="F23" s="469" t="s">
        <v>136</v>
      </c>
      <c r="G23" s="461" t="s">
        <v>153</v>
      </c>
      <c r="H23" s="420" t="s">
        <v>129</v>
      </c>
      <c r="I23" s="403" t="s">
        <v>130</v>
      </c>
      <c r="J23" s="422"/>
      <c r="K23" s="422"/>
      <c r="L23" s="422"/>
      <c r="M23" s="404" t="s">
        <v>158</v>
      </c>
      <c r="N23" s="468"/>
      <c r="O23" s="468"/>
      <c r="P23" s="468"/>
      <c r="Q23" s="468"/>
      <c r="R23" s="468"/>
      <c r="S23" s="468"/>
      <c r="T23" s="468"/>
      <c r="U23" s="1"/>
      <c r="V23" s="1"/>
      <c r="W23" s="1"/>
      <c r="X23" s="1"/>
      <c r="Y23" s="1"/>
    </row>
    <row r="24" spans="2:25" x14ac:dyDescent="0.2">
      <c r="B24" s="1"/>
      <c r="C24" s="405">
        <v>850</v>
      </c>
      <c r="D24" s="2263">
        <v>850</v>
      </c>
      <c r="E24" s="2264"/>
      <c r="F24" s="418">
        <v>31482640</v>
      </c>
      <c r="G24" s="462">
        <v>31</v>
      </c>
      <c r="H24" s="460">
        <f>VLOOKUP(C47,Tarifas!D4:H303,3)</f>
        <v>0.14699999999999999</v>
      </c>
      <c r="I24" s="424">
        <f>VLOOKUP(C47,Tarifas!D4:H303,5)</f>
        <v>1E-3</v>
      </c>
      <c r="J24" s="421">
        <v>187.3</v>
      </c>
      <c r="K24" s="421">
        <v>201.4</v>
      </c>
      <c r="L24" s="421">
        <f>I11</f>
        <v>19</v>
      </c>
      <c r="M24" s="431">
        <f>E80</f>
        <v>2304509.3274999992</v>
      </c>
      <c r="N24" s="430" t="s">
        <v>62</v>
      </c>
      <c r="O24" s="468"/>
      <c r="P24" s="468"/>
      <c r="Q24" s="468"/>
      <c r="R24" s="468"/>
      <c r="S24" s="468"/>
      <c r="T24" s="468"/>
      <c r="U24" s="1"/>
      <c r="V24" s="1"/>
      <c r="W24" s="1"/>
      <c r="X24" s="1"/>
      <c r="Y24" s="1"/>
    </row>
    <row r="25" spans="2:25" x14ac:dyDescent="0.2">
      <c r="B25" s="1"/>
      <c r="C25" s="468"/>
      <c r="D25" s="468"/>
      <c r="E25" s="468"/>
      <c r="F25" s="468"/>
      <c r="G25" s="468"/>
      <c r="H25" s="468"/>
      <c r="I25" s="468"/>
      <c r="J25" s="468"/>
      <c r="K25" s="468"/>
      <c r="L25" s="468"/>
      <c r="M25" s="468"/>
      <c r="N25" s="468"/>
      <c r="O25" s="468"/>
      <c r="P25" s="468"/>
      <c r="Q25" s="468"/>
      <c r="R25" s="468"/>
      <c r="S25" s="1"/>
      <c r="T25" s="1"/>
      <c r="U25" s="1"/>
      <c r="V25" s="1"/>
      <c r="W25" s="1"/>
      <c r="X25" s="1"/>
      <c r="Y25" s="1"/>
    </row>
    <row r="26" spans="2:25" x14ac:dyDescent="0.2">
      <c r="B26" s="1"/>
      <c r="C26" s="468"/>
      <c r="D26" s="468"/>
      <c r="E26" s="468"/>
      <c r="F26" s="468"/>
      <c r="G26" s="468"/>
      <c r="H26" s="468"/>
      <c r="I26" s="468"/>
      <c r="J26" s="468"/>
      <c r="K26" s="468"/>
      <c r="L26" s="468"/>
      <c r="M26" s="468"/>
      <c r="N26" s="468"/>
      <c r="O26" s="468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2:25" x14ac:dyDescent="0.2">
      <c r="B27" s="1"/>
      <c r="C27" s="468"/>
      <c r="D27" s="468"/>
      <c r="E27" s="468"/>
      <c r="F27" s="468"/>
      <c r="G27" s="468"/>
      <c r="H27" s="468"/>
      <c r="I27" s="468"/>
      <c r="J27" s="468"/>
      <c r="K27" s="468"/>
      <c r="L27" s="468"/>
      <c r="M27" s="468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2:25" ht="15" thickBot="1" x14ac:dyDescent="0.25">
      <c r="B28" s="1"/>
      <c r="C28" s="2265" t="s">
        <v>86</v>
      </c>
      <c r="D28" s="2265"/>
      <c r="E28" s="2265"/>
      <c r="F28" s="2265"/>
      <c r="G28" s="471"/>
      <c r="H28" s="334"/>
      <c r="I28" s="334"/>
      <c r="J28" s="334"/>
      <c r="K28" s="471"/>
      <c r="L28" s="336"/>
      <c r="M28" s="336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2:25" ht="22.5" x14ac:dyDescent="0.2">
      <c r="B29" s="1"/>
      <c r="C29" s="337" t="s">
        <v>87</v>
      </c>
      <c r="D29" s="466" t="s">
        <v>88</v>
      </c>
      <c r="E29" s="466" t="s">
        <v>89</v>
      </c>
      <c r="F29" s="466" t="s">
        <v>20</v>
      </c>
      <c r="G29" s="466" t="s">
        <v>160</v>
      </c>
      <c r="H29" s="466" t="s">
        <v>90</v>
      </c>
      <c r="I29" s="466" t="s">
        <v>91</v>
      </c>
      <c r="J29" s="466" t="s">
        <v>92</v>
      </c>
      <c r="K29" s="466" t="s">
        <v>93</v>
      </c>
      <c r="L29" s="466" t="s">
        <v>94</v>
      </c>
      <c r="M29" s="467" t="s">
        <v>95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2:25" x14ac:dyDescent="0.2">
      <c r="B30" s="1"/>
      <c r="C30" s="338"/>
      <c r="D30" s="339">
        <v>0</v>
      </c>
      <c r="E30" s="339" t="s">
        <v>96</v>
      </c>
      <c r="F30" s="340" t="s">
        <v>97</v>
      </c>
      <c r="G30" s="340">
        <v>2201</v>
      </c>
      <c r="H30" s="339">
        <v>20823</v>
      </c>
      <c r="I30" s="341">
        <v>0</v>
      </c>
      <c r="J30" s="339">
        <v>138.15</v>
      </c>
      <c r="K30" s="342">
        <v>0</v>
      </c>
      <c r="L30" s="343">
        <f>ROUND(K30*E$10,2)</f>
        <v>0</v>
      </c>
      <c r="M30" s="344">
        <f>L30*$I$10</f>
        <v>0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2:25" x14ac:dyDescent="0.2">
      <c r="B31" s="1"/>
      <c r="C31" s="338"/>
      <c r="D31" s="339">
        <v>0</v>
      </c>
      <c r="E31" s="339" t="s">
        <v>98</v>
      </c>
      <c r="F31" s="340" t="s">
        <v>97</v>
      </c>
      <c r="G31" s="340">
        <v>2201</v>
      </c>
      <c r="H31" s="339">
        <v>20824</v>
      </c>
      <c r="I31" s="341">
        <v>0</v>
      </c>
      <c r="J31" s="339">
        <v>138.15</v>
      </c>
      <c r="K31" s="342">
        <v>0</v>
      </c>
      <c r="L31" s="343">
        <f>ROUND(K31*E$10,2)</f>
        <v>0</v>
      </c>
      <c r="M31" s="344">
        <f>L31*$I$10</f>
        <v>0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2:25" x14ac:dyDescent="0.2">
      <c r="B32" s="1"/>
      <c r="C32" s="338"/>
      <c r="D32" s="339">
        <v>0</v>
      </c>
      <c r="E32" s="339" t="s">
        <v>99</v>
      </c>
      <c r="F32" s="340" t="s">
        <v>100</v>
      </c>
      <c r="G32" s="340">
        <v>2230</v>
      </c>
      <c r="H32" s="339">
        <v>22228</v>
      </c>
      <c r="I32" s="341">
        <v>0</v>
      </c>
      <c r="J32" s="339">
        <v>130.80000000000001</v>
      </c>
      <c r="K32" s="342">
        <v>0</v>
      </c>
      <c r="L32" s="343">
        <f>ROUND(K32*E$10,2)</f>
        <v>0</v>
      </c>
      <c r="M32" s="344">
        <f>L32*$I$10</f>
        <v>0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2:25" x14ac:dyDescent="0.2">
      <c r="B33" s="1"/>
      <c r="C33" s="338">
        <v>800762390</v>
      </c>
      <c r="D33" s="339">
        <v>3</v>
      </c>
      <c r="E33" s="354" t="s">
        <v>101</v>
      </c>
      <c r="F33" s="463" t="s">
        <v>194</v>
      </c>
      <c r="G33" s="463">
        <v>2044</v>
      </c>
      <c r="H33" s="354">
        <v>591000420</v>
      </c>
      <c r="I33" s="341">
        <v>80000</v>
      </c>
      <c r="J33" s="339"/>
      <c r="K33" s="342">
        <v>0.09</v>
      </c>
      <c r="L33" s="343">
        <f>ROUND(K33*E$10,2)</f>
        <v>416515.33</v>
      </c>
      <c r="M33" s="344">
        <f>L33*$I$10</f>
        <v>7913791.2700000005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2:25" ht="15" thickBot="1" x14ac:dyDescent="0.25">
      <c r="B34" s="1"/>
      <c r="C34" s="345">
        <v>800642440</v>
      </c>
      <c r="D34" s="346">
        <v>5</v>
      </c>
      <c r="E34" s="347" t="s">
        <v>101</v>
      </c>
      <c r="F34" s="348" t="s">
        <v>159</v>
      </c>
      <c r="G34" s="348">
        <v>2277</v>
      </c>
      <c r="H34" s="347">
        <v>22770</v>
      </c>
      <c r="I34" s="349">
        <f>850000-I30-I31-I32-I33</f>
        <v>770000</v>
      </c>
      <c r="J34" s="346"/>
      <c r="K34" s="350">
        <v>0.91</v>
      </c>
      <c r="L34" s="351">
        <f>ROUND(K34*E$10,2)</f>
        <v>4211432.75</v>
      </c>
      <c r="M34" s="352">
        <f>L34*$I$10</f>
        <v>80017222.25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2:25" x14ac:dyDescent="0.2">
      <c r="B35" s="1"/>
      <c r="C35" s="406">
        <v>3000623</v>
      </c>
      <c r="D35" s="353" t="s">
        <v>102</v>
      </c>
      <c r="E35" s="353"/>
      <c r="F35" s="353"/>
      <c r="G35" s="353"/>
      <c r="H35" s="354"/>
      <c r="I35" s="355">
        <f>SUM(I30:I34)</f>
        <v>850000</v>
      </c>
      <c r="J35" s="353"/>
      <c r="K35" s="356">
        <f>SUM(K30:K34)</f>
        <v>1</v>
      </c>
      <c r="L35" s="357">
        <f>SUM(L30:L34)</f>
        <v>4627948.08</v>
      </c>
      <c r="M35" s="357">
        <f>SUM(M30:M34)</f>
        <v>87931013.519999996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2:25" x14ac:dyDescent="0.2">
      <c r="B36" s="1"/>
      <c r="C36" s="336"/>
      <c r="D36" s="336"/>
      <c r="E36" s="336"/>
      <c r="F36" s="358"/>
      <c r="G36" s="358"/>
      <c r="H36" s="336"/>
      <c r="I36" s="336"/>
      <c r="J36" s="336"/>
      <c r="K36" s="336"/>
      <c r="L36" s="359"/>
      <c r="M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2:25" x14ac:dyDescent="0.2">
      <c r="B37" s="1"/>
      <c r="C37" s="336"/>
      <c r="D37" s="336"/>
      <c r="E37" s="336"/>
      <c r="F37" s="358"/>
      <c r="G37" s="358"/>
      <c r="H37" s="336"/>
      <c r="I37" s="336"/>
      <c r="J37" s="336"/>
      <c r="K37" s="336"/>
      <c r="L37" s="359"/>
      <c r="M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2:25" x14ac:dyDescent="0.2">
      <c r="B38" s="1"/>
      <c r="C38" s="336"/>
      <c r="D38" s="336"/>
      <c r="E38" s="336"/>
      <c r="F38" s="358"/>
      <c r="G38" s="358"/>
      <c r="H38" s="336"/>
      <c r="I38" s="336"/>
      <c r="J38" s="336"/>
      <c r="K38" s="336"/>
      <c r="L38" s="359"/>
      <c r="M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2:25" ht="15" thickBot="1" x14ac:dyDescent="0.25">
      <c r="B39" s="1"/>
      <c r="C39" s="2266" t="s">
        <v>103</v>
      </c>
      <c r="D39" s="2266"/>
      <c r="E39" s="2266"/>
      <c r="F39" s="2266"/>
      <c r="G39" s="471"/>
      <c r="H39" s="334"/>
      <c r="I39" s="334"/>
      <c r="J39" s="334"/>
      <c r="K39" s="336"/>
      <c r="L39" s="336"/>
      <c r="M39" s="360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2:25" ht="22.5" x14ac:dyDescent="0.2">
      <c r="B40" s="1"/>
      <c r="C40" s="337" t="s">
        <v>87</v>
      </c>
      <c r="D40" s="466" t="s">
        <v>88</v>
      </c>
      <c r="E40" s="466" t="s">
        <v>89</v>
      </c>
      <c r="F40" s="466" t="s">
        <v>20</v>
      </c>
      <c r="G40" s="466"/>
      <c r="H40" s="466" t="s">
        <v>90</v>
      </c>
      <c r="I40" s="466" t="s">
        <v>104</v>
      </c>
      <c r="J40" s="466" t="s">
        <v>93</v>
      </c>
      <c r="K40" s="466" t="s">
        <v>92</v>
      </c>
      <c r="L40" s="466" t="s">
        <v>94</v>
      </c>
      <c r="M40" s="467" t="s">
        <v>95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2:25" x14ac:dyDescent="0.2">
      <c r="B41" s="1"/>
      <c r="C41" s="338"/>
      <c r="D41" s="339">
        <v>0</v>
      </c>
      <c r="E41" s="339" t="s">
        <v>96</v>
      </c>
      <c r="F41" s="340" t="s">
        <v>97</v>
      </c>
      <c r="G41" s="340"/>
      <c r="H41" s="339">
        <v>20823</v>
      </c>
      <c r="I41" s="341">
        <f>M80</f>
        <v>0</v>
      </c>
      <c r="J41" s="342">
        <f>I41/I$45</f>
        <v>0</v>
      </c>
      <c r="K41" s="339">
        <v>138.15</v>
      </c>
      <c r="L41" s="343">
        <f>ROUND(J41*$E$11,2)</f>
        <v>0</v>
      </c>
      <c r="M41" s="344">
        <f>L41*L24</f>
        <v>0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2:25" x14ac:dyDescent="0.2">
      <c r="B42" s="1"/>
      <c r="C42" s="338"/>
      <c r="D42" s="339">
        <v>0</v>
      </c>
      <c r="E42" s="339" t="s">
        <v>98</v>
      </c>
      <c r="F42" s="340" t="s">
        <v>97</v>
      </c>
      <c r="G42" s="340"/>
      <c r="H42" s="339">
        <v>20824</v>
      </c>
      <c r="I42" s="341">
        <f>N80</f>
        <v>0</v>
      </c>
      <c r="J42" s="342">
        <f>I42/I$45</f>
        <v>0</v>
      </c>
      <c r="K42" s="339">
        <v>138.15</v>
      </c>
      <c r="L42" s="343">
        <f>ROUND(J42*$E$11,2)</f>
        <v>0</v>
      </c>
      <c r="M42" s="344">
        <f>L42*L25</f>
        <v>0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2:25" x14ac:dyDescent="0.2">
      <c r="B43" s="1"/>
      <c r="C43" s="338"/>
      <c r="D43" s="339">
        <v>0</v>
      </c>
      <c r="E43" s="339" t="s">
        <v>99</v>
      </c>
      <c r="F43" s="340" t="s">
        <v>100</v>
      </c>
      <c r="G43" s="340"/>
      <c r="H43" s="339">
        <v>22228</v>
      </c>
      <c r="I43" s="341">
        <f>O80</f>
        <v>0</v>
      </c>
      <c r="J43" s="342">
        <f>I43/I$45</f>
        <v>0</v>
      </c>
      <c r="K43" s="339">
        <v>130.80000000000001</v>
      </c>
      <c r="L43" s="343">
        <f>ROUND(J43*$E$11,2)</f>
        <v>0</v>
      </c>
      <c r="M43" s="344">
        <f>L43*L26</f>
        <v>0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2:25" ht="15" thickBot="1" x14ac:dyDescent="0.25">
      <c r="B44" s="1"/>
      <c r="C44" s="345">
        <v>800762390</v>
      </c>
      <c r="D44" s="346">
        <v>4</v>
      </c>
      <c r="E44" s="347" t="s">
        <v>101</v>
      </c>
      <c r="F44" s="348" t="s">
        <v>23</v>
      </c>
      <c r="G44" s="348"/>
      <c r="H44" s="347"/>
      <c r="I44" s="349">
        <f>L80</f>
        <v>2304509.3274999992</v>
      </c>
      <c r="J44" s="350">
        <f>I44/I$45</f>
        <v>1</v>
      </c>
      <c r="K44" s="346">
        <v>138.15</v>
      </c>
      <c r="L44" s="351">
        <f>ROUND(J44*$E$11,2)</f>
        <v>2143.17</v>
      </c>
      <c r="M44" s="352">
        <f>L44*I11</f>
        <v>40720.230000000003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2:25" x14ac:dyDescent="0.2">
      <c r="B45" s="1"/>
      <c r="C45" s="353"/>
      <c r="D45" s="353"/>
      <c r="E45" s="353"/>
      <c r="F45" s="353"/>
      <c r="G45" s="353"/>
      <c r="H45" s="354"/>
      <c r="I45" s="449">
        <f>SUM(I41:I44)</f>
        <v>2304509.3274999992</v>
      </c>
      <c r="J45" s="355"/>
      <c r="K45" s="353"/>
      <c r="L45" s="357">
        <f>SUM(L41:L44)</f>
        <v>2143.17</v>
      </c>
      <c r="M45" s="357">
        <f>SUM(M41:M44)</f>
        <v>40720.230000000003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2:25" customFormat="1" ht="15" thickBot="1" x14ac:dyDescent="0.25">
      <c r="M46" s="450"/>
      <c r="N46" s="450"/>
      <c r="O46" s="450"/>
      <c r="P46" s="450"/>
      <c r="Q46" s="450"/>
      <c r="R46" s="450"/>
      <c r="S46" s="450"/>
      <c r="T46" s="450"/>
      <c r="U46" s="450"/>
      <c r="V46" s="450"/>
      <c r="W46" s="450"/>
      <c r="X46" s="450"/>
      <c r="Y46" s="573">
        <f>'Julio - 2016'!Y80</f>
        <v>237796.58678022758</v>
      </c>
    </row>
    <row r="47" spans="2:25" ht="15" thickBot="1" x14ac:dyDescent="0.25">
      <c r="B47" s="434" t="s">
        <v>3</v>
      </c>
      <c r="C47" s="333">
        <f>SUMIF(Tarifas!E4:E303,'Agosto - 2016'!C49,Tarifas!D4:D303)</f>
        <v>37</v>
      </c>
      <c r="D47" s="425" t="s">
        <v>147</v>
      </c>
      <c r="E47" s="426" t="s">
        <v>145</v>
      </c>
      <c r="F47" s="426" t="s">
        <v>150</v>
      </c>
      <c r="G47" s="426" t="s">
        <v>148</v>
      </c>
      <c r="H47" s="382"/>
      <c r="I47" s="331" t="s">
        <v>120</v>
      </c>
      <c r="J47" s="332"/>
      <c r="K47" s="332"/>
      <c r="L47" s="364" t="s">
        <v>105</v>
      </c>
      <c r="M47" s="365"/>
      <c r="N47" s="365"/>
      <c r="O47" s="365"/>
      <c r="P47" s="365"/>
      <c r="Q47" s="365"/>
      <c r="R47" s="366"/>
      <c r="S47" s="2267" t="s">
        <v>121</v>
      </c>
      <c r="T47" s="2268"/>
      <c r="U47" s="2268"/>
      <c r="V47" s="2268"/>
      <c r="W47" s="2268"/>
      <c r="X47" s="2268"/>
      <c r="Y47" s="2269"/>
    </row>
    <row r="48" spans="2:25" ht="33.75" x14ac:dyDescent="0.2">
      <c r="C48" s="383" t="s">
        <v>122</v>
      </c>
      <c r="D48" s="384" t="s">
        <v>125</v>
      </c>
      <c r="E48" s="385" t="s">
        <v>149</v>
      </c>
      <c r="F48" s="385" t="s">
        <v>151</v>
      </c>
      <c r="G48" s="385" t="s">
        <v>152</v>
      </c>
      <c r="H48" s="386" t="s">
        <v>123</v>
      </c>
      <c r="I48" s="329" t="s">
        <v>109</v>
      </c>
      <c r="J48" s="330" t="s">
        <v>25</v>
      </c>
      <c r="K48" s="330" t="s">
        <v>26</v>
      </c>
      <c r="L48" s="367" t="s">
        <v>115</v>
      </c>
      <c r="M48" s="362" t="s">
        <v>106</v>
      </c>
      <c r="N48" s="362" t="s">
        <v>107</v>
      </c>
      <c r="O48" s="362" t="s">
        <v>108</v>
      </c>
      <c r="P48" s="362" t="s">
        <v>115</v>
      </c>
      <c r="Q48" s="363" t="s">
        <v>116</v>
      </c>
      <c r="R48" s="368" t="s">
        <v>117</v>
      </c>
      <c r="S48" s="369" t="s">
        <v>192</v>
      </c>
      <c r="T48" s="370" t="s">
        <v>111</v>
      </c>
      <c r="U48" s="370" t="s">
        <v>112</v>
      </c>
      <c r="V48" s="371" t="s">
        <v>118</v>
      </c>
      <c r="W48" s="371" t="s">
        <v>119</v>
      </c>
      <c r="X48" s="371" t="s">
        <v>114</v>
      </c>
      <c r="Y48" s="372" t="s">
        <v>113</v>
      </c>
    </row>
    <row r="49" spans="3:25" x14ac:dyDescent="0.2">
      <c r="C49" s="387">
        <f>G7</f>
        <v>42583</v>
      </c>
      <c r="D49" s="388">
        <f>($F$24*$H$24)/$G$24</f>
        <v>149288.64774193548</v>
      </c>
      <c r="E49" s="389">
        <f>P49+Q49+R49</f>
        <v>76140.94</v>
      </c>
      <c r="F49" s="427">
        <f t="shared" ref="F49:F79" si="0">TRUNC(IFERROR(J$24/K$24,0),8)</f>
        <v>0.92999005999999995</v>
      </c>
      <c r="G49" s="390">
        <f t="shared" ref="G49:G79" si="1">ROUND(I$24*F49*E49,4)</f>
        <v>70.810299999999998</v>
      </c>
      <c r="H49" s="391">
        <f t="shared" ref="H49:H79" si="2">SUM(D49:G49)</f>
        <v>225501.32803199548</v>
      </c>
      <c r="I49" s="324">
        <v>63000</v>
      </c>
      <c r="J49" s="325"/>
      <c r="K49" s="325"/>
      <c r="L49" s="317">
        <v>76140.94</v>
      </c>
      <c r="M49" s="318"/>
      <c r="N49" s="318"/>
      <c r="O49" s="318"/>
      <c r="P49" s="389">
        <f>L49</f>
        <v>76140.94</v>
      </c>
      <c r="Q49" s="389">
        <f t="shared" ref="Q49:Q79" si="3">M49+N49</f>
        <v>0</v>
      </c>
      <c r="R49" s="389">
        <f t="shared" ref="R49:R79" si="4">O49</f>
        <v>0</v>
      </c>
      <c r="S49" s="317">
        <v>62999.56</v>
      </c>
      <c r="T49" s="374"/>
      <c r="U49" s="524">
        <f>S49+T49-V49</f>
        <v>-0.44000000000232831</v>
      </c>
      <c r="V49" s="520">
        <f>I49+J49+K49</f>
        <v>63000</v>
      </c>
      <c r="W49" s="524">
        <f>(P49+Q49+R49)/1.055056</f>
        <v>72167.6764076978</v>
      </c>
      <c r="X49" s="520">
        <f>V49-W49</f>
        <v>-9167.6764076977997</v>
      </c>
      <c r="Y49" s="525">
        <f>Y46+X49</f>
        <v>228628.91037252976</v>
      </c>
    </row>
    <row r="50" spans="3:25" x14ac:dyDescent="0.2">
      <c r="C50" s="387">
        <f t="shared" ref="C50:C79" si="5">C49+1</f>
        <v>42584</v>
      </c>
      <c r="D50" s="388">
        <f t="shared" ref="D50:D79" si="6">($F$24*$H$24)/$G$24</f>
        <v>149288.64774193548</v>
      </c>
      <c r="E50" s="392">
        <f t="shared" ref="E50:E79" si="7">P50+Q50+R50</f>
        <v>76227.17</v>
      </c>
      <c r="F50" s="428">
        <f t="shared" si="0"/>
        <v>0.92999005999999995</v>
      </c>
      <c r="G50" s="390">
        <f t="shared" si="1"/>
        <v>70.890500000000003</v>
      </c>
      <c r="H50" s="391">
        <f t="shared" si="2"/>
        <v>225587.63823199549</v>
      </c>
      <c r="I50" s="324">
        <v>63000</v>
      </c>
      <c r="J50" s="325"/>
      <c r="K50" s="325"/>
      <c r="L50" s="319">
        <v>76227.17</v>
      </c>
      <c r="M50" s="320"/>
      <c r="N50" s="320"/>
      <c r="O50" s="320"/>
      <c r="P50" s="392">
        <f t="shared" ref="P50:P79" si="8">L50</f>
        <v>76227.17</v>
      </c>
      <c r="Q50" s="392">
        <f t="shared" si="3"/>
        <v>0</v>
      </c>
      <c r="R50" s="392">
        <f t="shared" si="4"/>
        <v>0</v>
      </c>
      <c r="S50" s="319">
        <v>62999.56</v>
      </c>
      <c r="T50" s="374"/>
      <c r="U50" s="524">
        <f t="shared" ref="U50:U79" si="9">S50+T50-V50</f>
        <v>-0.44000000000232831</v>
      </c>
      <c r="V50" s="520">
        <f t="shared" ref="V50:V79" si="10">I50+J50+K50</f>
        <v>63000</v>
      </c>
      <c r="W50" s="524">
        <f t="shared" ref="W50:W79" si="11">(P50+Q50+R50)/1.055056</f>
        <v>72249.40666656557</v>
      </c>
      <c r="X50" s="520">
        <f t="shared" ref="X50:X79" si="12">V50-W50</f>
        <v>-9249.40666656557</v>
      </c>
      <c r="Y50" s="525">
        <f>Y49+X50</f>
        <v>219379.50370596419</v>
      </c>
    </row>
    <row r="51" spans="3:25" x14ac:dyDescent="0.2">
      <c r="C51" s="387">
        <f t="shared" si="5"/>
        <v>42585</v>
      </c>
      <c r="D51" s="388">
        <f t="shared" si="6"/>
        <v>149288.64774193548</v>
      </c>
      <c r="E51" s="392">
        <f t="shared" si="7"/>
        <v>76267.73</v>
      </c>
      <c r="F51" s="428">
        <f t="shared" si="0"/>
        <v>0.92999005999999995</v>
      </c>
      <c r="G51" s="390">
        <f t="shared" si="1"/>
        <v>70.928200000000004</v>
      </c>
      <c r="H51" s="391">
        <f t="shared" si="2"/>
        <v>225628.23593199547</v>
      </c>
      <c r="I51" s="324">
        <v>63000</v>
      </c>
      <c r="J51" s="325"/>
      <c r="K51" s="325"/>
      <c r="L51" s="317">
        <v>76267.73</v>
      </c>
      <c r="M51" s="318"/>
      <c r="N51" s="318"/>
      <c r="O51" s="318"/>
      <c r="P51" s="392">
        <f t="shared" si="8"/>
        <v>76267.73</v>
      </c>
      <c r="Q51" s="392">
        <f t="shared" si="3"/>
        <v>0</v>
      </c>
      <c r="R51" s="392">
        <f t="shared" si="4"/>
        <v>0</v>
      </c>
      <c r="S51" s="317">
        <v>62999.56</v>
      </c>
      <c r="T51" s="374"/>
      <c r="U51" s="524">
        <f t="shared" si="9"/>
        <v>-0.44000000000232831</v>
      </c>
      <c r="V51" s="520">
        <f t="shared" si="10"/>
        <v>63000</v>
      </c>
      <c r="W51" s="524">
        <f t="shared" si="11"/>
        <v>72287.85012359533</v>
      </c>
      <c r="X51" s="520">
        <f t="shared" si="12"/>
        <v>-9287.8501235953299</v>
      </c>
      <c r="Y51" s="525">
        <f t="shared" ref="Y51:Y79" si="13">Y50+X51</f>
        <v>210091.65358236886</v>
      </c>
    </row>
    <row r="52" spans="3:25" x14ac:dyDescent="0.2">
      <c r="C52" s="387">
        <f t="shared" si="5"/>
        <v>42586</v>
      </c>
      <c r="D52" s="388">
        <f t="shared" si="6"/>
        <v>149288.64774193548</v>
      </c>
      <c r="E52" s="392">
        <f t="shared" si="7"/>
        <v>76017.69</v>
      </c>
      <c r="F52" s="428">
        <f t="shared" si="0"/>
        <v>0.92999005999999995</v>
      </c>
      <c r="G52" s="390">
        <f t="shared" si="1"/>
        <v>70.695700000000002</v>
      </c>
      <c r="H52" s="391">
        <f t="shared" si="2"/>
        <v>225377.96343199548</v>
      </c>
      <c r="I52" s="324">
        <v>63000</v>
      </c>
      <c r="J52" s="325"/>
      <c r="K52" s="325"/>
      <c r="L52" s="319">
        <v>76017.69</v>
      </c>
      <c r="M52" s="320"/>
      <c r="N52" s="320"/>
      <c r="O52" s="320"/>
      <c r="P52" s="392">
        <f t="shared" si="8"/>
        <v>76017.69</v>
      </c>
      <c r="Q52" s="392">
        <f t="shared" si="3"/>
        <v>0</v>
      </c>
      <c r="R52" s="392">
        <f t="shared" si="4"/>
        <v>0</v>
      </c>
      <c r="S52" s="319">
        <v>62999.56</v>
      </c>
      <c r="T52" s="374"/>
      <c r="U52" s="524">
        <f t="shared" si="9"/>
        <v>-0.44000000000232831</v>
      </c>
      <c r="V52" s="520">
        <f t="shared" si="10"/>
        <v>63000</v>
      </c>
      <c r="W52" s="524">
        <f t="shared" si="11"/>
        <v>72050.857963937466</v>
      </c>
      <c r="X52" s="520">
        <f t="shared" si="12"/>
        <v>-9050.8579639374657</v>
      </c>
      <c r="Y52" s="525">
        <f t="shared" si="13"/>
        <v>201040.79561843141</v>
      </c>
    </row>
    <row r="53" spans="3:25" x14ac:dyDescent="0.2">
      <c r="C53" s="387">
        <f t="shared" si="5"/>
        <v>42587</v>
      </c>
      <c r="D53" s="388">
        <f t="shared" si="6"/>
        <v>149288.64774193548</v>
      </c>
      <c r="E53" s="392">
        <f t="shared" si="7"/>
        <v>76446.850000000006</v>
      </c>
      <c r="F53" s="428">
        <f t="shared" si="0"/>
        <v>0.92999005999999995</v>
      </c>
      <c r="G53" s="390">
        <f t="shared" si="1"/>
        <v>71.094800000000006</v>
      </c>
      <c r="H53" s="391">
        <f t="shared" si="2"/>
        <v>225807.52253199546</v>
      </c>
      <c r="I53" s="324">
        <v>63000</v>
      </c>
      <c r="J53" s="325"/>
      <c r="K53" s="325"/>
      <c r="L53" s="317">
        <v>76446.850000000006</v>
      </c>
      <c r="M53" s="318"/>
      <c r="N53" s="318"/>
      <c r="O53" s="318"/>
      <c r="P53" s="392">
        <f t="shared" si="8"/>
        <v>76446.850000000006</v>
      </c>
      <c r="Q53" s="392">
        <f t="shared" si="3"/>
        <v>0</v>
      </c>
      <c r="R53" s="392">
        <f t="shared" si="4"/>
        <v>0</v>
      </c>
      <c r="S53" s="317">
        <v>62999.56</v>
      </c>
      <c r="T53" s="374"/>
      <c r="U53" s="524">
        <f t="shared" si="9"/>
        <v>-0.44000000000232831</v>
      </c>
      <c r="V53" s="520">
        <f t="shared" si="10"/>
        <v>63000</v>
      </c>
      <c r="W53" s="524">
        <f t="shared" si="11"/>
        <v>72457.623102470403</v>
      </c>
      <c r="X53" s="520">
        <f t="shared" si="12"/>
        <v>-9457.623102470403</v>
      </c>
      <c r="Y53" s="525">
        <f t="shared" si="13"/>
        <v>191583.17251596099</v>
      </c>
    </row>
    <row r="54" spans="3:25" x14ac:dyDescent="0.2">
      <c r="C54" s="387">
        <f t="shared" si="5"/>
        <v>42588</v>
      </c>
      <c r="D54" s="388">
        <f t="shared" si="6"/>
        <v>149288.64774193548</v>
      </c>
      <c r="E54" s="392">
        <f t="shared" si="7"/>
        <v>76558.259999999995</v>
      </c>
      <c r="F54" s="428">
        <f t="shared" si="0"/>
        <v>0.92999005999999995</v>
      </c>
      <c r="G54" s="390">
        <f t="shared" si="1"/>
        <v>71.198400000000007</v>
      </c>
      <c r="H54" s="391">
        <f t="shared" si="2"/>
        <v>225919.03613199544</v>
      </c>
      <c r="I54" s="324">
        <v>63000</v>
      </c>
      <c r="J54" s="325"/>
      <c r="K54" s="325"/>
      <c r="L54" s="319">
        <v>76558.259999999995</v>
      </c>
      <c r="M54" s="320"/>
      <c r="N54" s="320"/>
      <c r="O54" s="320"/>
      <c r="P54" s="392">
        <f t="shared" si="8"/>
        <v>76558.259999999995</v>
      </c>
      <c r="Q54" s="392">
        <f t="shared" si="3"/>
        <v>0</v>
      </c>
      <c r="R54" s="392">
        <f t="shared" si="4"/>
        <v>0</v>
      </c>
      <c r="S54" s="319">
        <v>62999.56</v>
      </c>
      <c r="T54" s="374"/>
      <c r="U54" s="524">
        <f t="shared" si="9"/>
        <v>-0.44000000000232831</v>
      </c>
      <c r="V54" s="520">
        <f t="shared" si="10"/>
        <v>63000</v>
      </c>
      <c r="W54" s="524">
        <f t="shared" si="11"/>
        <v>72563.219393093823</v>
      </c>
      <c r="X54" s="520">
        <f t="shared" si="12"/>
        <v>-9563.2193930938229</v>
      </c>
      <c r="Y54" s="525">
        <f t="shared" si="13"/>
        <v>182019.95312286715</v>
      </c>
    </row>
    <row r="55" spans="3:25" x14ac:dyDescent="0.2">
      <c r="C55" s="387">
        <f t="shared" si="5"/>
        <v>42589</v>
      </c>
      <c r="D55" s="388">
        <f t="shared" si="6"/>
        <v>149288.64774193548</v>
      </c>
      <c r="E55" s="392">
        <f t="shared" si="7"/>
        <v>76334.84</v>
      </c>
      <c r="F55" s="428">
        <f t="shared" si="0"/>
        <v>0.92999005999999995</v>
      </c>
      <c r="G55" s="390">
        <f t="shared" si="1"/>
        <v>70.990600000000001</v>
      </c>
      <c r="H55" s="391">
        <f t="shared" si="2"/>
        <v>225695.40833199545</v>
      </c>
      <c r="I55" s="324">
        <v>63000</v>
      </c>
      <c r="J55" s="325"/>
      <c r="K55" s="325"/>
      <c r="L55" s="317">
        <v>76334.84</v>
      </c>
      <c r="M55" s="318"/>
      <c r="N55" s="318"/>
      <c r="O55" s="318"/>
      <c r="P55" s="392">
        <f t="shared" si="8"/>
        <v>76334.84</v>
      </c>
      <c r="Q55" s="392">
        <f t="shared" si="3"/>
        <v>0</v>
      </c>
      <c r="R55" s="392">
        <f t="shared" si="4"/>
        <v>0</v>
      </c>
      <c r="S55" s="317">
        <v>62999.56</v>
      </c>
      <c r="T55" s="374"/>
      <c r="U55" s="524">
        <f t="shared" si="9"/>
        <v>-0.44000000000232831</v>
      </c>
      <c r="V55" s="520">
        <f t="shared" si="10"/>
        <v>63000</v>
      </c>
      <c r="W55" s="524">
        <f t="shared" si="11"/>
        <v>72351.458121654199</v>
      </c>
      <c r="X55" s="520">
        <f t="shared" si="12"/>
        <v>-9351.4581216541992</v>
      </c>
      <c r="Y55" s="525">
        <f t="shared" si="13"/>
        <v>172668.49500121296</v>
      </c>
    </row>
    <row r="56" spans="3:25" x14ac:dyDescent="0.2">
      <c r="C56" s="387">
        <f t="shared" si="5"/>
        <v>42590</v>
      </c>
      <c r="D56" s="388">
        <f t="shared" si="6"/>
        <v>149288.64774193548</v>
      </c>
      <c r="E56" s="392">
        <f t="shared" si="7"/>
        <v>76401.116999999998</v>
      </c>
      <c r="F56" s="428">
        <f t="shared" si="0"/>
        <v>0.92999005999999995</v>
      </c>
      <c r="G56" s="390">
        <f t="shared" si="1"/>
        <v>71.052300000000002</v>
      </c>
      <c r="H56" s="391">
        <f t="shared" si="2"/>
        <v>225761.74703199547</v>
      </c>
      <c r="I56" s="324">
        <v>63000</v>
      </c>
      <c r="J56" s="325"/>
      <c r="K56" s="325"/>
      <c r="L56" s="319">
        <v>76401.116999999998</v>
      </c>
      <c r="M56" s="320"/>
      <c r="N56" s="320"/>
      <c r="O56" s="320"/>
      <c r="P56" s="392">
        <f t="shared" si="8"/>
        <v>76401.116999999998</v>
      </c>
      <c r="Q56" s="392">
        <f t="shared" si="3"/>
        <v>0</v>
      </c>
      <c r="R56" s="392">
        <f t="shared" si="4"/>
        <v>0</v>
      </c>
      <c r="S56" s="319">
        <v>62999.56</v>
      </c>
      <c r="T56" s="374"/>
      <c r="U56" s="524">
        <f t="shared" si="9"/>
        <v>-0.44000000000232831</v>
      </c>
      <c r="V56" s="520">
        <f t="shared" si="10"/>
        <v>63000</v>
      </c>
      <c r="W56" s="524">
        <f t="shared" si="11"/>
        <v>72414.276588162145</v>
      </c>
      <c r="X56" s="520">
        <f t="shared" si="12"/>
        <v>-9414.2765881621453</v>
      </c>
      <c r="Y56" s="525">
        <f t="shared" si="13"/>
        <v>163254.21841305081</v>
      </c>
    </row>
    <row r="57" spans="3:25" x14ac:dyDescent="0.2">
      <c r="C57" s="387">
        <f t="shared" si="5"/>
        <v>42591</v>
      </c>
      <c r="D57" s="388">
        <f t="shared" si="6"/>
        <v>149288.64774193548</v>
      </c>
      <c r="E57" s="392">
        <f t="shared" si="7"/>
        <v>76198.73</v>
      </c>
      <c r="F57" s="428">
        <f t="shared" si="0"/>
        <v>0.92999005999999995</v>
      </c>
      <c r="G57" s="390">
        <f t="shared" si="1"/>
        <v>70.864099999999993</v>
      </c>
      <c r="H57" s="391">
        <f t="shared" si="2"/>
        <v>225559.17183199548</v>
      </c>
      <c r="I57" s="324">
        <v>63000</v>
      </c>
      <c r="J57" s="325"/>
      <c r="K57" s="325"/>
      <c r="L57" s="317">
        <v>76198.73</v>
      </c>
      <c r="M57" s="318"/>
      <c r="N57" s="318"/>
      <c r="O57" s="318"/>
      <c r="P57" s="392">
        <f t="shared" si="8"/>
        <v>76198.73</v>
      </c>
      <c r="Q57" s="392">
        <f t="shared" si="3"/>
        <v>0</v>
      </c>
      <c r="R57" s="392">
        <f t="shared" si="4"/>
        <v>0</v>
      </c>
      <c r="S57" s="317">
        <v>62999.56</v>
      </c>
      <c r="T57" s="374"/>
      <c r="U57" s="524">
        <f t="shared" si="9"/>
        <v>-0.44000000000232831</v>
      </c>
      <c r="V57" s="520">
        <f t="shared" si="10"/>
        <v>63000</v>
      </c>
      <c r="W57" s="524">
        <f t="shared" si="11"/>
        <v>72222.450751429307</v>
      </c>
      <c r="X57" s="520">
        <f t="shared" si="12"/>
        <v>-9222.4507514293073</v>
      </c>
      <c r="Y57" s="525">
        <f t="shared" si="13"/>
        <v>154031.7676616215</v>
      </c>
    </row>
    <row r="58" spans="3:25" x14ac:dyDescent="0.2">
      <c r="C58" s="387">
        <f t="shared" si="5"/>
        <v>42592</v>
      </c>
      <c r="D58" s="388">
        <f t="shared" si="6"/>
        <v>149288.64774193548</v>
      </c>
      <c r="E58" s="392">
        <f t="shared" si="7"/>
        <v>75552.460000000006</v>
      </c>
      <c r="F58" s="428">
        <f t="shared" si="0"/>
        <v>0.92999005999999995</v>
      </c>
      <c r="G58" s="390">
        <f t="shared" si="1"/>
        <v>70.263000000000005</v>
      </c>
      <c r="H58" s="391">
        <f t="shared" si="2"/>
        <v>224912.30073199546</v>
      </c>
      <c r="I58" s="324">
        <v>63000</v>
      </c>
      <c r="J58" s="325"/>
      <c r="K58" s="325"/>
      <c r="L58" s="319">
        <v>75552.460000000006</v>
      </c>
      <c r="M58" s="320"/>
      <c r="N58" s="320"/>
      <c r="O58" s="320"/>
      <c r="P58" s="392">
        <f t="shared" si="8"/>
        <v>75552.460000000006</v>
      </c>
      <c r="Q58" s="392">
        <f t="shared" si="3"/>
        <v>0</v>
      </c>
      <c r="R58" s="392">
        <f t="shared" si="4"/>
        <v>0</v>
      </c>
      <c r="S58" s="319">
        <v>62999.56</v>
      </c>
      <c r="T58" s="374"/>
      <c r="U58" s="524">
        <f t="shared" si="9"/>
        <v>-0.44000000000232831</v>
      </c>
      <c r="V58" s="520">
        <f t="shared" si="10"/>
        <v>63000</v>
      </c>
      <c r="W58" s="524">
        <f t="shared" si="11"/>
        <v>71609.905066650492</v>
      </c>
      <c r="X58" s="520">
        <f t="shared" si="12"/>
        <v>-8609.9050666504918</v>
      </c>
      <c r="Y58" s="525">
        <f t="shared" si="13"/>
        <v>145421.86259497103</v>
      </c>
    </row>
    <row r="59" spans="3:25" x14ac:dyDescent="0.2">
      <c r="C59" s="387">
        <f t="shared" si="5"/>
        <v>42593</v>
      </c>
      <c r="D59" s="388">
        <f t="shared" si="6"/>
        <v>149288.64774193548</v>
      </c>
      <c r="E59" s="392">
        <f t="shared" si="7"/>
        <v>76015.63</v>
      </c>
      <c r="F59" s="428">
        <f t="shared" si="0"/>
        <v>0.92999005999999995</v>
      </c>
      <c r="G59" s="390">
        <f t="shared" si="1"/>
        <v>70.693799999999996</v>
      </c>
      <c r="H59" s="391">
        <f t="shared" si="2"/>
        <v>225375.90153199548</v>
      </c>
      <c r="I59" s="324">
        <v>63000</v>
      </c>
      <c r="J59" s="325"/>
      <c r="K59" s="325"/>
      <c r="L59" s="317">
        <v>76015.63</v>
      </c>
      <c r="M59" s="318"/>
      <c r="N59" s="318"/>
      <c r="O59" s="318"/>
      <c r="P59" s="392">
        <f t="shared" si="8"/>
        <v>76015.63</v>
      </c>
      <c r="Q59" s="392">
        <f t="shared" si="3"/>
        <v>0</v>
      </c>
      <c r="R59" s="392">
        <f t="shared" si="4"/>
        <v>0</v>
      </c>
      <c r="S59" s="317">
        <v>62999.56</v>
      </c>
      <c r="T59" s="374"/>
      <c r="U59" s="524">
        <f t="shared" si="9"/>
        <v>-0.44000000000232831</v>
      </c>
      <c r="V59" s="520">
        <f t="shared" si="10"/>
        <v>63000</v>
      </c>
      <c r="W59" s="524">
        <f t="shared" si="11"/>
        <v>72048.905460942362</v>
      </c>
      <c r="X59" s="520">
        <f t="shared" si="12"/>
        <v>-9048.905460942362</v>
      </c>
      <c r="Y59" s="525">
        <f t="shared" si="13"/>
        <v>136372.95713402866</v>
      </c>
    </row>
    <row r="60" spans="3:25" x14ac:dyDescent="0.2">
      <c r="C60" s="387">
        <f t="shared" si="5"/>
        <v>42594</v>
      </c>
      <c r="D60" s="388">
        <f t="shared" si="6"/>
        <v>149288.64774193548</v>
      </c>
      <c r="E60" s="392">
        <f t="shared" si="7"/>
        <v>75990.53</v>
      </c>
      <c r="F60" s="428">
        <f t="shared" si="0"/>
        <v>0.92999005999999995</v>
      </c>
      <c r="G60" s="390">
        <f t="shared" si="1"/>
        <v>70.670400000000001</v>
      </c>
      <c r="H60" s="391">
        <f t="shared" si="2"/>
        <v>225350.77813199547</v>
      </c>
      <c r="I60" s="324">
        <v>63000</v>
      </c>
      <c r="J60" s="325"/>
      <c r="K60" s="325"/>
      <c r="L60" s="319">
        <v>75990.53</v>
      </c>
      <c r="M60" s="320"/>
      <c r="N60" s="320"/>
      <c r="O60" s="320"/>
      <c r="P60" s="392">
        <f t="shared" si="8"/>
        <v>75990.53</v>
      </c>
      <c r="Q60" s="392">
        <f t="shared" si="3"/>
        <v>0</v>
      </c>
      <c r="R60" s="392">
        <f t="shared" si="4"/>
        <v>0</v>
      </c>
      <c r="S60" s="319">
        <v>62999.56</v>
      </c>
      <c r="T60" s="374"/>
      <c r="U60" s="524">
        <f t="shared" si="9"/>
        <v>-0.44000000000232831</v>
      </c>
      <c r="V60" s="520">
        <f t="shared" si="10"/>
        <v>63000</v>
      </c>
      <c r="W60" s="524">
        <f t="shared" si="11"/>
        <v>72025.11525454573</v>
      </c>
      <c r="X60" s="520">
        <f t="shared" si="12"/>
        <v>-9025.1152545457298</v>
      </c>
      <c r="Y60" s="525">
        <f t="shared" si="13"/>
        <v>127347.84187948293</v>
      </c>
    </row>
    <row r="61" spans="3:25" x14ac:dyDescent="0.2">
      <c r="C61" s="387">
        <f t="shared" si="5"/>
        <v>42595</v>
      </c>
      <c r="D61" s="388">
        <f t="shared" si="6"/>
        <v>149288.64774193548</v>
      </c>
      <c r="E61" s="392">
        <f t="shared" si="7"/>
        <v>73535.066000000006</v>
      </c>
      <c r="F61" s="428">
        <f t="shared" si="0"/>
        <v>0.92999005999999995</v>
      </c>
      <c r="G61" s="390">
        <f t="shared" si="1"/>
        <v>68.386899999999997</v>
      </c>
      <c r="H61" s="391">
        <f t="shared" si="2"/>
        <v>222893.0306319955</v>
      </c>
      <c r="I61" s="324">
        <v>70000</v>
      </c>
      <c r="J61" s="325"/>
      <c r="K61" s="325"/>
      <c r="L61" s="317">
        <v>73535.066000000006</v>
      </c>
      <c r="M61" s="318"/>
      <c r="N61" s="318"/>
      <c r="O61" s="318"/>
      <c r="P61" s="392">
        <f t="shared" si="8"/>
        <v>73535.066000000006</v>
      </c>
      <c r="Q61" s="392">
        <f t="shared" si="3"/>
        <v>0</v>
      </c>
      <c r="R61" s="392">
        <f t="shared" si="4"/>
        <v>0</v>
      </c>
      <c r="S61" s="317">
        <v>70000.17</v>
      </c>
      <c r="T61" s="374"/>
      <c r="U61" s="524">
        <f t="shared" si="9"/>
        <v>0.16999999999825377</v>
      </c>
      <c r="V61" s="520">
        <f t="shared" si="10"/>
        <v>70000</v>
      </c>
      <c r="W61" s="524">
        <f t="shared" si="11"/>
        <v>69697.784762135852</v>
      </c>
      <c r="X61" s="520">
        <f t="shared" si="12"/>
        <v>302.21523786414764</v>
      </c>
      <c r="Y61" s="525">
        <f t="shared" si="13"/>
        <v>127650.05711734708</v>
      </c>
    </row>
    <row r="62" spans="3:25" x14ac:dyDescent="0.2">
      <c r="C62" s="387">
        <f t="shared" si="5"/>
        <v>42596</v>
      </c>
      <c r="D62" s="388">
        <f t="shared" si="6"/>
        <v>149288.64774193548</v>
      </c>
      <c r="E62" s="392">
        <f t="shared" si="7"/>
        <v>73377.850000000006</v>
      </c>
      <c r="F62" s="428">
        <f t="shared" si="0"/>
        <v>0.92999005999999995</v>
      </c>
      <c r="G62" s="390">
        <f t="shared" si="1"/>
        <v>68.240700000000004</v>
      </c>
      <c r="H62" s="391">
        <f t="shared" si="2"/>
        <v>222735.66843199547</v>
      </c>
      <c r="I62" s="324">
        <v>70000</v>
      </c>
      <c r="J62" s="325"/>
      <c r="K62" s="325"/>
      <c r="L62" s="319">
        <v>73377.850000000006</v>
      </c>
      <c r="M62" s="320"/>
      <c r="N62" s="320"/>
      <c r="O62" s="320"/>
      <c r="P62" s="392">
        <f t="shared" si="8"/>
        <v>73377.850000000006</v>
      </c>
      <c r="Q62" s="392">
        <f t="shared" si="3"/>
        <v>0</v>
      </c>
      <c r="R62" s="392">
        <f t="shared" si="4"/>
        <v>0</v>
      </c>
      <c r="S62" s="319">
        <v>70000.17</v>
      </c>
      <c r="T62" s="374"/>
      <c r="U62" s="524">
        <f t="shared" si="9"/>
        <v>0.16999999999825377</v>
      </c>
      <c r="V62" s="520">
        <f t="shared" si="10"/>
        <v>70000</v>
      </c>
      <c r="W62" s="524">
        <f t="shared" si="11"/>
        <v>69548.772766564056</v>
      </c>
      <c r="X62" s="520">
        <f t="shared" si="12"/>
        <v>451.22723343594407</v>
      </c>
      <c r="Y62" s="525">
        <f t="shared" si="13"/>
        <v>128101.28435078303</v>
      </c>
    </row>
    <row r="63" spans="3:25" x14ac:dyDescent="0.2">
      <c r="C63" s="387">
        <f t="shared" si="5"/>
        <v>42597</v>
      </c>
      <c r="D63" s="388">
        <f t="shared" si="6"/>
        <v>149288.64774193548</v>
      </c>
      <c r="E63" s="392">
        <f t="shared" si="7"/>
        <v>75944.460000000006</v>
      </c>
      <c r="F63" s="428">
        <f t="shared" si="0"/>
        <v>0.92999005999999995</v>
      </c>
      <c r="G63" s="390">
        <f t="shared" si="1"/>
        <v>70.627600000000001</v>
      </c>
      <c r="H63" s="391">
        <f t="shared" si="2"/>
        <v>225304.66533199546</v>
      </c>
      <c r="I63" s="324">
        <v>70000</v>
      </c>
      <c r="J63" s="325"/>
      <c r="K63" s="325"/>
      <c r="L63" s="317">
        <v>75944.460000000006</v>
      </c>
      <c r="M63" s="318"/>
      <c r="N63" s="318"/>
      <c r="O63" s="318"/>
      <c r="P63" s="392">
        <f t="shared" si="8"/>
        <v>75944.460000000006</v>
      </c>
      <c r="Q63" s="392">
        <f t="shared" si="3"/>
        <v>0</v>
      </c>
      <c r="R63" s="392">
        <f t="shared" si="4"/>
        <v>0</v>
      </c>
      <c r="S63" s="317">
        <v>70000.17</v>
      </c>
      <c r="T63" s="374"/>
      <c r="U63" s="524">
        <f t="shared" si="9"/>
        <v>0.16999999999825377</v>
      </c>
      <c r="V63" s="520">
        <f t="shared" si="10"/>
        <v>70000</v>
      </c>
      <c r="W63" s="524">
        <f t="shared" si="11"/>
        <v>71981.449325912559</v>
      </c>
      <c r="X63" s="520">
        <f t="shared" si="12"/>
        <v>-1981.4493259125593</v>
      </c>
      <c r="Y63" s="525">
        <f t="shared" si="13"/>
        <v>126119.83502487047</v>
      </c>
    </row>
    <row r="64" spans="3:25" x14ac:dyDescent="0.2">
      <c r="C64" s="387">
        <f t="shared" si="5"/>
        <v>42598</v>
      </c>
      <c r="D64" s="388">
        <f t="shared" si="6"/>
        <v>149288.64774193548</v>
      </c>
      <c r="E64" s="392">
        <f t="shared" si="7"/>
        <v>75182.63</v>
      </c>
      <c r="F64" s="428">
        <f t="shared" si="0"/>
        <v>0.92999005999999995</v>
      </c>
      <c r="G64" s="390">
        <f t="shared" si="1"/>
        <v>69.9191</v>
      </c>
      <c r="H64" s="391">
        <f t="shared" si="2"/>
        <v>224542.12683199547</v>
      </c>
      <c r="I64" s="324">
        <v>70000</v>
      </c>
      <c r="J64" s="325"/>
      <c r="K64" s="325"/>
      <c r="L64" s="319">
        <v>75182.63</v>
      </c>
      <c r="M64" s="320"/>
      <c r="N64" s="320"/>
      <c r="O64" s="320"/>
      <c r="P64" s="392">
        <f t="shared" si="8"/>
        <v>75182.63</v>
      </c>
      <c r="Q64" s="392">
        <f t="shared" si="3"/>
        <v>0</v>
      </c>
      <c r="R64" s="392">
        <f t="shared" si="4"/>
        <v>0</v>
      </c>
      <c r="S64" s="319">
        <v>70000.17</v>
      </c>
      <c r="T64" s="374"/>
      <c r="U64" s="524">
        <f t="shared" si="9"/>
        <v>0.16999999999825377</v>
      </c>
      <c r="V64" s="520">
        <f t="shared" si="10"/>
        <v>70000</v>
      </c>
      <c r="W64" s="524">
        <f t="shared" si="11"/>
        <v>71259.373910010472</v>
      </c>
      <c r="X64" s="520">
        <f t="shared" si="12"/>
        <v>-1259.3739100104722</v>
      </c>
      <c r="Y64" s="525">
        <f t="shared" si="13"/>
        <v>124860.46111485999</v>
      </c>
    </row>
    <row r="65" spans="3:38" x14ac:dyDescent="0.2">
      <c r="C65" s="387">
        <f t="shared" si="5"/>
        <v>42599</v>
      </c>
      <c r="D65" s="388">
        <f t="shared" si="6"/>
        <v>149288.64774193548</v>
      </c>
      <c r="E65" s="392">
        <f t="shared" si="7"/>
        <v>74663.649999999994</v>
      </c>
      <c r="F65" s="428">
        <f t="shared" si="0"/>
        <v>0.92999005999999995</v>
      </c>
      <c r="G65" s="390">
        <f t="shared" si="1"/>
        <v>69.436499999999995</v>
      </c>
      <c r="H65" s="391">
        <f t="shared" si="2"/>
        <v>224022.66423199547</v>
      </c>
      <c r="I65" s="324">
        <v>70000</v>
      </c>
      <c r="J65" s="325"/>
      <c r="K65" s="325"/>
      <c r="L65" s="317">
        <v>74663.649999999994</v>
      </c>
      <c r="M65" s="318"/>
      <c r="N65" s="318"/>
      <c r="O65" s="318"/>
      <c r="P65" s="392">
        <f t="shared" si="8"/>
        <v>74663.649999999994</v>
      </c>
      <c r="Q65" s="392">
        <f t="shared" si="3"/>
        <v>0</v>
      </c>
      <c r="R65" s="392">
        <f t="shared" si="4"/>
        <v>0</v>
      </c>
      <c r="S65" s="317">
        <v>70000.17</v>
      </c>
      <c r="T65" s="374"/>
      <c r="U65" s="524">
        <f t="shared" si="9"/>
        <v>0.16999999999825377</v>
      </c>
      <c r="V65" s="520">
        <f t="shared" si="10"/>
        <v>70000</v>
      </c>
      <c r="W65" s="524">
        <f t="shared" si="11"/>
        <v>70767.475849623137</v>
      </c>
      <c r="X65" s="520">
        <f t="shared" si="12"/>
        <v>-767.47584962313704</v>
      </c>
      <c r="Y65" s="525">
        <f t="shared" si="13"/>
        <v>124092.98526523686</v>
      </c>
    </row>
    <row r="66" spans="3:38" x14ac:dyDescent="0.2">
      <c r="C66" s="387">
        <f t="shared" si="5"/>
        <v>42600</v>
      </c>
      <c r="D66" s="388">
        <f t="shared" si="6"/>
        <v>149288.64774193548</v>
      </c>
      <c r="E66" s="392">
        <f t="shared" si="7"/>
        <v>74260.639999999999</v>
      </c>
      <c r="F66" s="428">
        <f t="shared" si="0"/>
        <v>0.92999005999999995</v>
      </c>
      <c r="G66" s="390">
        <f t="shared" si="1"/>
        <v>69.061700000000002</v>
      </c>
      <c r="H66" s="391">
        <f t="shared" si="2"/>
        <v>223619.27943199544</v>
      </c>
      <c r="I66" s="324">
        <v>70000</v>
      </c>
      <c r="J66" s="325"/>
      <c r="K66" s="325"/>
      <c r="L66" s="319">
        <v>74260.639999999999</v>
      </c>
      <c r="M66" s="320"/>
      <c r="N66" s="320"/>
      <c r="O66" s="320"/>
      <c r="P66" s="392">
        <f t="shared" si="8"/>
        <v>74260.639999999999</v>
      </c>
      <c r="Q66" s="392">
        <f t="shared" si="3"/>
        <v>0</v>
      </c>
      <c r="R66" s="392">
        <f t="shared" si="4"/>
        <v>0</v>
      </c>
      <c r="S66" s="319">
        <v>70000.17</v>
      </c>
      <c r="T66" s="374"/>
      <c r="U66" s="524">
        <f t="shared" si="9"/>
        <v>0.16999999999825377</v>
      </c>
      <c r="V66" s="520">
        <f t="shared" si="10"/>
        <v>70000</v>
      </c>
      <c r="W66" s="524">
        <f t="shared" si="11"/>
        <v>70385.496125324149</v>
      </c>
      <c r="X66" s="520">
        <f t="shared" si="12"/>
        <v>-385.49612532414903</v>
      </c>
      <c r="Y66" s="525">
        <f t="shared" si="13"/>
        <v>123707.48913991271</v>
      </c>
    </row>
    <row r="67" spans="3:38" x14ac:dyDescent="0.2">
      <c r="C67" s="387">
        <f t="shared" si="5"/>
        <v>42601</v>
      </c>
      <c r="D67" s="388">
        <f t="shared" si="6"/>
        <v>149288.64774193548</v>
      </c>
      <c r="E67" s="392">
        <f t="shared" si="7"/>
        <v>72910.55</v>
      </c>
      <c r="F67" s="428">
        <f t="shared" si="0"/>
        <v>0.92999005999999995</v>
      </c>
      <c r="G67" s="390">
        <f t="shared" si="1"/>
        <v>67.806100000000001</v>
      </c>
      <c r="H67" s="391">
        <f t="shared" si="2"/>
        <v>222267.93383199547</v>
      </c>
      <c r="I67" s="324">
        <v>70000</v>
      </c>
      <c r="J67" s="325"/>
      <c r="K67" s="325"/>
      <c r="L67" s="317">
        <v>72910.55</v>
      </c>
      <c r="M67" s="318"/>
      <c r="N67" s="318"/>
      <c r="O67" s="318"/>
      <c r="P67" s="392">
        <f t="shared" si="8"/>
        <v>72910.55</v>
      </c>
      <c r="Q67" s="392">
        <f t="shared" si="3"/>
        <v>0</v>
      </c>
      <c r="R67" s="392">
        <f t="shared" si="4"/>
        <v>0</v>
      </c>
      <c r="S67" s="317">
        <v>70000.17</v>
      </c>
      <c r="T67" s="374"/>
      <c r="U67" s="524">
        <f t="shared" si="9"/>
        <v>0.16999999999825377</v>
      </c>
      <c r="V67" s="520">
        <f t="shared" si="10"/>
        <v>70000</v>
      </c>
      <c r="W67" s="524">
        <f t="shared" si="11"/>
        <v>69105.857888112107</v>
      </c>
      <c r="X67" s="520">
        <f t="shared" si="12"/>
        <v>894.14211188789341</v>
      </c>
      <c r="Y67" s="525">
        <f t="shared" si="13"/>
        <v>124601.6312518006</v>
      </c>
    </row>
    <row r="68" spans="3:38" x14ac:dyDescent="0.2">
      <c r="C68" s="387">
        <f t="shared" si="5"/>
        <v>42602</v>
      </c>
      <c r="D68" s="388">
        <f t="shared" si="6"/>
        <v>149288.64774193548</v>
      </c>
      <c r="E68" s="392">
        <f t="shared" si="7"/>
        <v>72613.64</v>
      </c>
      <c r="F68" s="428">
        <f t="shared" si="0"/>
        <v>0.92999005999999995</v>
      </c>
      <c r="G68" s="390">
        <f t="shared" si="1"/>
        <v>67.53</v>
      </c>
      <c r="H68" s="391">
        <f t="shared" si="2"/>
        <v>221970.74773199545</v>
      </c>
      <c r="I68" s="324">
        <v>70000</v>
      </c>
      <c r="J68" s="325"/>
      <c r="K68" s="325"/>
      <c r="L68" s="319">
        <v>72613.64</v>
      </c>
      <c r="M68" s="320"/>
      <c r="N68" s="320"/>
      <c r="O68" s="320"/>
      <c r="P68" s="392">
        <f t="shared" si="8"/>
        <v>72613.64</v>
      </c>
      <c r="Q68" s="392">
        <f t="shared" si="3"/>
        <v>0</v>
      </c>
      <c r="R68" s="392">
        <f t="shared" si="4"/>
        <v>0</v>
      </c>
      <c r="S68" s="319">
        <v>70000.17</v>
      </c>
      <c r="T68" s="374"/>
      <c r="U68" s="524">
        <f t="shared" si="9"/>
        <v>0.16999999999825377</v>
      </c>
      <c r="V68" s="520">
        <f t="shared" si="10"/>
        <v>70000</v>
      </c>
      <c r="W68" s="524">
        <f t="shared" si="11"/>
        <v>68824.441546230722</v>
      </c>
      <c r="X68" s="520">
        <f t="shared" si="12"/>
        <v>1175.5584537692775</v>
      </c>
      <c r="Y68" s="525">
        <f t="shared" si="13"/>
        <v>125777.18970556988</v>
      </c>
    </row>
    <row r="69" spans="3:38" x14ac:dyDescent="0.2">
      <c r="C69" s="387">
        <f t="shared" si="5"/>
        <v>42603</v>
      </c>
      <c r="D69" s="388">
        <f t="shared" si="6"/>
        <v>149288.64774193548</v>
      </c>
      <c r="E69" s="392">
        <f t="shared" si="7"/>
        <v>68273.850000000006</v>
      </c>
      <c r="F69" s="428">
        <f t="shared" si="0"/>
        <v>0.92999005999999995</v>
      </c>
      <c r="G69" s="390">
        <f t="shared" si="1"/>
        <v>63.494</v>
      </c>
      <c r="H69" s="391">
        <f t="shared" si="2"/>
        <v>217626.92173199548</v>
      </c>
      <c r="I69" s="324">
        <v>70000</v>
      </c>
      <c r="J69" s="325"/>
      <c r="K69" s="325"/>
      <c r="L69" s="317">
        <v>68273.850000000006</v>
      </c>
      <c r="M69" s="318"/>
      <c r="N69" s="318"/>
      <c r="O69" s="318"/>
      <c r="P69" s="392">
        <f t="shared" si="8"/>
        <v>68273.850000000006</v>
      </c>
      <c r="Q69" s="392">
        <f t="shared" si="3"/>
        <v>0</v>
      </c>
      <c r="R69" s="392">
        <f t="shared" si="4"/>
        <v>0</v>
      </c>
      <c r="S69" s="317">
        <v>70000.17</v>
      </c>
      <c r="T69" s="374"/>
      <c r="U69" s="524">
        <f t="shared" si="9"/>
        <v>0.16999999999825377</v>
      </c>
      <c r="V69" s="520">
        <f t="shared" si="10"/>
        <v>70000</v>
      </c>
      <c r="W69" s="524">
        <f t="shared" si="11"/>
        <v>64711.114860253867</v>
      </c>
      <c r="X69" s="520">
        <f t="shared" si="12"/>
        <v>5288.8851397461331</v>
      </c>
      <c r="Y69" s="525">
        <f t="shared" si="13"/>
        <v>131066.074845316</v>
      </c>
    </row>
    <row r="70" spans="3:38" x14ac:dyDescent="0.2">
      <c r="C70" s="387">
        <f t="shared" si="5"/>
        <v>42604</v>
      </c>
      <c r="D70" s="388">
        <f t="shared" si="6"/>
        <v>149288.64774193548</v>
      </c>
      <c r="E70" s="392">
        <f t="shared" si="7"/>
        <v>72579.5</v>
      </c>
      <c r="F70" s="428">
        <f t="shared" si="0"/>
        <v>0.92999005999999995</v>
      </c>
      <c r="G70" s="390">
        <f t="shared" si="1"/>
        <v>67.498199999999997</v>
      </c>
      <c r="H70" s="391">
        <f t="shared" si="2"/>
        <v>221936.57593199547</v>
      </c>
      <c r="I70" s="324">
        <v>70000</v>
      </c>
      <c r="J70" s="325"/>
      <c r="K70" s="325"/>
      <c r="L70" s="319">
        <v>72579.5</v>
      </c>
      <c r="M70" s="320"/>
      <c r="N70" s="320"/>
      <c r="O70" s="320"/>
      <c r="P70" s="392">
        <f t="shared" si="8"/>
        <v>72579.5</v>
      </c>
      <c r="Q70" s="392">
        <f t="shared" si="3"/>
        <v>0</v>
      </c>
      <c r="R70" s="392">
        <f t="shared" si="4"/>
        <v>0</v>
      </c>
      <c r="S70" s="319">
        <v>70000.17</v>
      </c>
      <c r="T70" s="374"/>
      <c r="U70" s="524">
        <f t="shared" si="9"/>
        <v>0.16999999999825377</v>
      </c>
      <c r="V70" s="520">
        <f t="shared" si="10"/>
        <v>70000</v>
      </c>
      <c r="W70" s="524">
        <f t="shared" si="11"/>
        <v>68792.083074263355</v>
      </c>
      <c r="X70" s="520">
        <f t="shared" si="12"/>
        <v>1207.9169257366448</v>
      </c>
      <c r="Y70" s="525">
        <f t="shared" si="13"/>
        <v>132273.99177105265</v>
      </c>
    </row>
    <row r="71" spans="3:38" x14ac:dyDescent="0.2">
      <c r="C71" s="387">
        <f t="shared" si="5"/>
        <v>42605</v>
      </c>
      <c r="D71" s="388">
        <f t="shared" si="6"/>
        <v>149288.64774193548</v>
      </c>
      <c r="E71" s="392">
        <f t="shared" si="7"/>
        <v>72821.625</v>
      </c>
      <c r="F71" s="428">
        <f t="shared" si="0"/>
        <v>0.92999005999999995</v>
      </c>
      <c r="G71" s="390">
        <f t="shared" si="1"/>
        <v>67.723399999999998</v>
      </c>
      <c r="H71" s="391">
        <f t="shared" si="2"/>
        <v>222178.92613199545</v>
      </c>
      <c r="I71" s="324">
        <v>70000</v>
      </c>
      <c r="J71" s="325"/>
      <c r="K71" s="325"/>
      <c r="L71" s="317">
        <v>72821.625</v>
      </c>
      <c r="M71" s="318"/>
      <c r="N71" s="318"/>
      <c r="O71" s="318"/>
      <c r="P71" s="392">
        <f t="shared" si="8"/>
        <v>72821.625</v>
      </c>
      <c r="Q71" s="392">
        <f t="shared" si="3"/>
        <v>0</v>
      </c>
      <c r="R71" s="392">
        <f t="shared" si="4"/>
        <v>0</v>
      </c>
      <c r="S71" s="317">
        <v>70000.17</v>
      </c>
      <c r="T71" s="374"/>
      <c r="U71" s="524">
        <f t="shared" si="9"/>
        <v>0.16999999999825377</v>
      </c>
      <c r="V71" s="520">
        <f t="shared" si="10"/>
        <v>70000</v>
      </c>
      <c r="W71" s="524">
        <f t="shared" si="11"/>
        <v>69021.573262461898</v>
      </c>
      <c r="X71" s="520">
        <f t="shared" si="12"/>
        <v>978.42673753810232</v>
      </c>
      <c r="Y71" s="525">
        <f t="shared" si="13"/>
        <v>133252.41850859075</v>
      </c>
    </row>
    <row r="72" spans="3:38" x14ac:dyDescent="0.2">
      <c r="C72" s="387">
        <f t="shared" si="5"/>
        <v>42606</v>
      </c>
      <c r="D72" s="388">
        <f t="shared" si="6"/>
        <v>149288.64774193548</v>
      </c>
      <c r="E72" s="392">
        <f t="shared" si="7"/>
        <v>73139.577999999994</v>
      </c>
      <c r="F72" s="428">
        <f t="shared" si="0"/>
        <v>0.92999005999999995</v>
      </c>
      <c r="G72" s="390">
        <f t="shared" si="1"/>
        <v>68.019099999999995</v>
      </c>
      <c r="H72" s="391">
        <f t="shared" si="2"/>
        <v>222497.17483199548</v>
      </c>
      <c r="I72" s="324">
        <v>70000</v>
      </c>
      <c r="J72" s="325"/>
      <c r="K72" s="325"/>
      <c r="L72" s="319">
        <v>73139.577999999994</v>
      </c>
      <c r="M72" s="320"/>
      <c r="N72" s="320"/>
      <c r="O72" s="320"/>
      <c r="P72" s="392">
        <f t="shared" si="8"/>
        <v>73139.577999999994</v>
      </c>
      <c r="Q72" s="392">
        <f t="shared" si="3"/>
        <v>0</v>
      </c>
      <c r="R72" s="392">
        <f t="shared" si="4"/>
        <v>0</v>
      </c>
      <c r="S72" s="319">
        <v>70000.17</v>
      </c>
      <c r="T72" s="374"/>
      <c r="U72" s="524">
        <f t="shared" si="9"/>
        <v>0.16999999999825377</v>
      </c>
      <c r="V72" s="520">
        <f t="shared" si="10"/>
        <v>70000</v>
      </c>
      <c r="W72" s="524">
        <f t="shared" si="11"/>
        <v>69322.934517219939</v>
      </c>
      <c r="X72" s="520">
        <f t="shared" si="12"/>
        <v>677.06548278006085</v>
      </c>
      <c r="Y72" s="525">
        <f t="shared" si="13"/>
        <v>133929.48399137083</v>
      </c>
    </row>
    <row r="73" spans="3:38" x14ac:dyDescent="0.2">
      <c r="C73" s="387">
        <f t="shared" si="5"/>
        <v>42607</v>
      </c>
      <c r="D73" s="388">
        <f t="shared" si="6"/>
        <v>149288.64774193548</v>
      </c>
      <c r="E73" s="392">
        <f t="shared" si="7"/>
        <v>72836.6875</v>
      </c>
      <c r="F73" s="428">
        <f t="shared" si="0"/>
        <v>0.92999005999999995</v>
      </c>
      <c r="G73" s="390">
        <f t="shared" si="1"/>
        <v>67.737399999999994</v>
      </c>
      <c r="H73" s="391">
        <f t="shared" si="2"/>
        <v>222194.00263199548</v>
      </c>
      <c r="I73" s="324">
        <v>70000</v>
      </c>
      <c r="J73" s="325"/>
      <c r="K73" s="325"/>
      <c r="L73" s="317">
        <v>72836.6875</v>
      </c>
      <c r="M73" s="318"/>
      <c r="N73" s="318"/>
      <c r="O73" s="318"/>
      <c r="P73" s="392">
        <f t="shared" si="8"/>
        <v>72836.6875</v>
      </c>
      <c r="Q73" s="392">
        <f t="shared" si="3"/>
        <v>0</v>
      </c>
      <c r="R73" s="392">
        <f t="shared" si="4"/>
        <v>0</v>
      </c>
      <c r="S73" s="317">
        <v>70000.17</v>
      </c>
      <c r="T73" s="374"/>
      <c r="U73" s="524">
        <f t="shared" si="9"/>
        <v>0.16999999999825377</v>
      </c>
      <c r="V73" s="520">
        <f t="shared" si="10"/>
        <v>70000</v>
      </c>
      <c r="W73" s="524">
        <f t="shared" si="11"/>
        <v>69035.849755842341</v>
      </c>
      <c r="X73" s="520">
        <f t="shared" si="12"/>
        <v>964.15024415765947</v>
      </c>
      <c r="Y73" s="525">
        <f t="shared" si="13"/>
        <v>134893.63423552847</v>
      </c>
    </row>
    <row r="74" spans="3:38" x14ac:dyDescent="0.2">
      <c r="C74" s="387">
        <f t="shared" si="5"/>
        <v>42608</v>
      </c>
      <c r="D74" s="388">
        <f t="shared" si="6"/>
        <v>149288.64774193548</v>
      </c>
      <c r="E74" s="392">
        <f t="shared" si="7"/>
        <v>75979.224000000002</v>
      </c>
      <c r="F74" s="428">
        <f t="shared" si="0"/>
        <v>0.92999005999999995</v>
      </c>
      <c r="G74" s="390">
        <f t="shared" si="1"/>
        <v>70.659899999999993</v>
      </c>
      <c r="H74" s="391">
        <f t="shared" si="2"/>
        <v>225339.46163199548</v>
      </c>
      <c r="I74" s="324">
        <v>70000</v>
      </c>
      <c r="J74" s="325"/>
      <c r="K74" s="325"/>
      <c r="L74" s="319">
        <v>75979.224000000002</v>
      </c>
      <c r="M74" s="320"/>
      <c r="N74" s="320"/>
      <c r="O74" s="320"/>
      <c r="P74" s="392">
        <f t="shared" si="8"/>
        <v>75979.224000000002</v>
      </c>
      <c r="Q74" s="392">
        <f t="shared" si="3"/>
        <v>0</v>
      </c>
      <c r="R74" s="392">
        <f t="shared" si="4"/>
        <v>0</v>
      </c>
      <c r="S74" s="319">
        <v>70000.17</v>
      </c>
      <c r="T74" s="374"/>
      <c r="U74" s="524">
        <f t="shared" si="9"/>
        <v>0.16999999999825377</v>
      </c>
      <c r="V74" s="520">
        <f t="shared" si="10"/>
        <v>70000</v>
      </c>
      <c r="W74" s="524">
        <f t="shared" si="11"/>
        <v>72014.399235680379</v>
      </c>
      <c r="X74" s="520">
        <f t="shared" si="12"/>
        <v>-2014.3992356803792</v>
      </c>
      <c r="Y74" s="525">
        <f t="shared" si="13"/>
        <v>132879.23499984809</v>
      </c>
    </row>
    <row r="75" spans="3:38" x14ac:dyDescent="0.2">
      <c r="C75" s="387">
        <f t="shared" si="5"/>
        <v>42609</v>
      </c>
      <c r="D75" s="388">
        <f t="shared" si="6"/>
        <v>149288.64774193548</v>
      </c>
      <c r="E75" s="392">
        <f t="shared" si="7"/>
        <v>74702.91</v>
      </c>
      <c r="F75" s="428">
        <f t="shared" si="0"/>
        <v>0.92999005999999995</v>
      </c>
      <c r="G75" s="390">
        <f t="shared" si="1"/>
        <v>69.472999999999999</v>
      </c>
      <c r="H75" s="391">
        <f t="shared" si="2"/>
        <v>224061.96073199547</v>
      </c>
      <c r="I75" s="324">
        <v>70000</v>
      </c>
      <c r="J75" s="325"/>
      <c r="K75" s="325"/>
      <c r="L75" s="317">
        <v>74702.91</v>
      </c>
      <c r="M75" s="318"/>
      <c r="N75" s="318"/>
      <c r="O75" s="318"/>
      <c r="P75" s="392">
        <f t="shared" si="8"/>
        <v>74702.91</v>
      </c>
      <c r="Q75" s="392">
        <f t="shared" si="3"/>
        <v>0</v>
      </c>
      <c r="R75" s="392">
        <f t="shared" si="4"/>
        <v>0</v>
      </c>
      <c r="S75" s="317">
        <v>70000.17</v>
      </c>
      <c r="T75" s="374"/>
      <c r="U75" s="524">
        <f t="shared" si="9"/>
        <v>0.16999999999825377</v>
      </c>
      <c r="V75" s="520">
        <f t="shared" si="10"/>
        <v>70000</v>
      </c>
      <c r="W75" s="524">
        <f t="shared" si="11"/>
        <v>70804.687144568627</v>
      </c>
      <c r="X75" s="520">
        <f t="shared" si="12"/>
        <v>-804.68714456862654</v>
      </c>
      <c r="Y75" s="525">
        <f t="shared" si="13"/>
        <v>132074.54785527947</v>
      </c>
    </row>
    <row r="76" spans="3:38" x14ac:dyDescent="0.2">
      <c r="C76" s="387">
        <f t="shared" si="5"/>
        <v>42610</v>
      </c>
      <c r="D76" s="388">
        <f t="shared" si="6"/>
        <v>149288.64774193548</v>
      </c>
      <c r="E76" s="392">
        <f t="shared" si="7"/>
        <v>71832.62</v>
      </c>
      <c r="F76" s="428">
        <f t="shared" si="0"/>
        <v>0.92999005999999995</v>
      </c>
      <c r="G76" s="390">
        <f t="shared" si="1"/>
        <v>66.803600000000003</v>
      </c>
      <c r="H76" s="391">
        <f t="shared" si="2"/>
        <v>221189.00133199547</v>
      </c>
      <c r="I76" s="324">
        <v>70000</v>
      </c>
      <c r="J76" s="325"/>
      <c r="K76" s="325"/>
      <c r="L76" s="319">
        <v>71832.62</v>
      </c>
      <c r="M76" s="320"/>
      <c r="N76" s="320"/>
      <c r="O76" s="320"/>
      <c r="P76" s="392">
        <f t="shared" si="8"/>
        <v>71832.62</v>
      </c>
      <c r="Q76" s="392">
        <f t="shared" si="3"/>
        <v>0</v>
      </c>
      <c r="R76" s="392">
        <f t="shared" si="4"/>
        <v>0</v>
      </c>
      <c r="S76" s="319">
        <v>70000.17</v>
      </c>
      <c r="T76" s="374"/>
      <c r="U76" s="524">
        <f t="shared" si="9"/>
        <v>0.16999999999825377</v>
      </c>
      <c r="V76" s="520">
        <f t="shared" si="10"/>
        <v>70000</v>
      </c>
      <c r="W76" s="524">
        <f t="shared" si="11"/>
        <v>68084.177522330559</v>
      </c>
      <c r="X76" s="520">
        <f t="shared" si="12"/>
        <v>1915.8224776694406</v>
      </c>
      <c r="Y76" s="525">
        <f t="shared" si="13"/>
        <v>133990.37033294892</v>
      </c>
    </row>
    <row r="77" spans="3:38" x14ac:dyDescent="0.2">
      <c r="C77" s="387">
        <f t="shared" si="5"/>
        <v>42611</v>
      </c>
      <c r="D77" s="388">
        <f t="shared" si="6"/>
        <v>149288.64774193548</v>
      </c>
      <c r="E77" s="392">
        <f t="shared" si="7"/>
        <v>72120.960000000006</v>
      </c>
      <c r="F77" s="428">
        <f t="shared" si="0"/>
        <v>0.92999005999999995</v>
      </c>
      <c r="G77" s="390">
        <f t="shared" si="1"/>
        <v>67.071799999999996</v>
      </c>
      <c r="H77" s="391">
        <f t="shared" si="2"/>
        <v>221477.60953199546</v>
      </c>
      <c r="I77" s="324">
        <v>70000</v>
      </c>
      <c r="J77" s="325"/>
      <c r="K77" s="325"/>
      <c r="L77" s="317">
        <v>72120.960000000006</v>
      </c>
      <c r="M77" s="318"/>
      <c r="N77" s="318"/>
      <c r="O77" s="318"/>
      <c r="P77" s="392">
        <f t="shared" si="8"/>
        <v>72120.960000000006</v>
      </c>
      <c r="Q77" s="392">
        <f t="shared" si="3"/>
        <v>0</v>
      </c>
      <c r="R77" s="392">
        <f t="shared" si="4"/>
        <v>0</v>
      </c>
      <c r="S77" s="317">
        <v>70000.17</v>
      </c>
      <c r="T77" s="374"/>
      <c r="U77" s="524">
        <f t="shared" si="9"/>
        <v>0.16999999999825377</v>
      </c>
      <c r="V77" s="520">
        <f t="shared" si="10"/>
        <v>70000</v>
      </c>
      <c r="W77" s="524">
        <f t="shared" si="11"/>
        <v>68357.471072625529</v>
      </c>
      <c r="X77" s="520">
        <f t="shared" si="12"/>
        <v>1642.5289273744711</v>
      </c>
      <c r="Y77" s="525">
        <f t="shared" si="13"/>
        <v>135632.89926032338</v>
      </c>
    </row>
    <row r="78" spans="3:38" x14ac:dyDescent="0.2">
      <c r="C78" s="387">
        <f t="shared" si="5"/>
        <v>42612</v>
      </c>
      <c r="D78" s="388">
        <f t="shared" si="6"/>
        <v>149288.64774193548</v>
      </c>
      <c r="E78" s="392">
        <f t="shared" si="7"/>
        <v>71943.28</v>
      </c>
      <c r="F78" s="428">
        <f t="shared" si="0"/>
        <v>0.92999005999999995</v>
      </c>
      <c r="G78" s="390">
        <f t="shared" si="1"/>
        <v>66.906499999999994</v>
      </c>
      <c r="H78" s="391">
        <f t="shared" si="2"/>
        <v>221299.76423199548</v>
      </c>
      <c r="I78" s="324">
        <v>70000</v>
      </c>
      <c r="J78" s="325"/>
      <c r="K78" s="325"/>
      <c r="L78" s="319">
        <v>71943.28</v>
      </c>
      <c r="M78" s="320"/>
      <c r="N78" s="320"/>
      <c r="O78" s="320"/>
      <c r="P78" s="392">
        <f t="shared" si="8"/>
        <v>71943.28</v>
      </c>
      <c r="Q78" s="392">
        <f t="shared" si="3"/>
        <v>0</v>
      </c>
      <c r="R78" s="392">
        <f t="shared" si="4"/>
        <v>0</v>
      </c>
      <c r="S78" s="319">
        <v>70000.17</v>
      </c>
      <c r="T78" s="374"/>
      <c r="U78" s="524">
        <f t="shared" si="9"/>
        <v>0.16999999999825377</v>
      </c>
      <c r="V78" s="520">
        <f t="shared" si="10"/>
        <v>70000</v>
      </c>
      <c r="W78" s="524">
        <f t="shared" si="11"/>
        <v>68189.062950213061</v>
      </c>
      <c r="X78" s="520">
        <f t="shared" si="12"/>
        <v>1810.9370497869386</v>
      </c>
      <c r="Y78" s="525">
        <f t="shared" si="13"/>
        <v>137443.83631011032</v>
      </c>
    </row>
    <row r="79" spans="3:38" ht="15" thickBot="1" x14ac:dyDescent="0.25">
      <c r="C79" s="393">
        <f t="shared" si="5"/>
        <v>42613</v>
      </c>
      <c r="D79" s="394">
        <f t="shared" si="6"/>
        <v>149288.64774193548</v>
      </c>
      <c r="E79" s="395">
        <f t="shared" si="7"/>
        <v>71638.66</v>
      </c>
      <c r="F79" s="429">
        <f t="shared" si="0"/>
        <v>0.92999005999999995</v>
      </c>
      <c r="G79" s="396">
        <f t="shared" si="1"/>
        <v>66.623199999999997</v>
      </c>
      <c r="H79" s="397">
        <f t="shared" si="2"/>
        <v>220994.86093199547</v>
      </c>
      <c r="I79" s="326">
        <v>70000</v>
      </c>
      <c r="J79" s="327"/>
      <c r="K79" s="327"/>
      <c r="L79" s="321">
        <v>71638.66</v>
      </c>
      <c r="M79" s="322"/>
      <c r="N79" s="322"/>
      <c r="O79" s="322"/>
      <c r="P79" s="395">
        <f t="shared" si="8"/>
        <v>71638.66</v>
      </c>
      <c r="Q79" s="395">
        <f t="shared" si="3"/>
        <v>0</v>
      </c>
      <c r="R79" s="395">
        <f t="shared" si="4"/>
        <v>0</v>
      </c>
      <c r="S79" s="321">
        <v>70000.17</v>
      </c>
      <c r="T79" s="376"/>
      <c r="U79" s="521">
        <f t="shared" si="9"/>
        <v>0.16999999999825377</v>
      </c>
      <c r="V79" s="528">
        <f t="shared" si="10"/>
        <v>70000</v>
      </c>
      <c r="W79" s="521">
        <f t="shared" si="11"/>
        <v>67900.338939354886</v>
      </c>
      <c r="X79" s="528">
        <f t="shared" si="12"/>
        <v>2099.661060645114</v>
      </c>
      <c r="Y79" s="529">
        <f t="shared" si="13"/>
        <v>139543.49737075542</v>
      </c>
    </row>
    <row r="80" spans="3:38" ht="15" thickBot="1" x14ac:dyDescent="0.25">
      <c r="C80" s="398"/>
      <c r="D80" s="399">
        <f>SUM(D49:D79)</f>
        <v>4627948.0800000019</v>
      </c>
      <c r="E80" s="400">
        <f>SUM(E49:E79)</f>
        <v>2304509.3274999992</v>
      </c>
      <c r="F80" s="400"/>
      <c r="G80" s="401">
        <f>SUM(G49:G79)</f>
        <v>2143.1707999999999</v>
      </c>
      <c r="H80" s="399">
        <f>SUM(H49:H79)</f>
        <v>6934629.4079918601</v>
      </c>
      <c r="I80" s="432">
        <f>SUM(I49:I79)</f>
        <v>2086000</v>
      </c>
      <c r="J80" s="432">
        <f t="shared" ref="J80:R80" si="14">SUM(J49:J79)</f>
        <v>0</v>
      </c>
      <c r="K80" s="432">
        <f t="shared" si="14"/>
        <v>0</v>
      </c>
      <c r="L80" s="432">
        <f t="shared" si="14"/>
        <v>2304509.3274999992</v>
      </c>
      <c r="M80" s="432">
        <f t="shared" si="14"/>
        <v>0</v>
      </c>
      <c r="N80" s="432">
        <f t="shared" si="14"/>
        <v>0</v>
      </c>
      <c r="O80" s="432">
        <f t="shared" si="14"/>
        <v>0</v>
      </c>
      <c r="P80" s="432">
        <f t="shared" si="14"/>
        <v>2304509.3274999992</v>
      </c>
      <c r="Q80" s="432">
        <f t="shared" si="14"/>
        <v>0</v>
      </c>
      <c r="R80" s="432">
        <f t="shared" si="14"/>
        <v>0</v>
      </c>
      <c r="U80" s="1"/>
      <c r="V80" s="328">
        <f>SUM(V49:V79)</f>
        <v>2086000</v>
      </c>
      <c r="W80" s="328">
        <f>SUM(W49:W79)</f>
        <v>2184253.089409472</v>
      </c>
      <c r="X80" s="328">
        <f>SUM(X49:X79)</f>
        <v>-98253.089409472115</v>
      </c>
      <c r="Y80" s="323">
        <f>Y79</f>
        <v>139543.49737075542</v>
      </c>
      <c r="AL80" s="361">
        <f>Y79</f>
        <v>139543.49737075542</v>
      </c>
    </row>
    <row r="81" spans="2:14" ht="15" customHeight="1" x14ac:dyDescent="0.2">
      <c r="B81"/>
      <c r="C81"/>
      <c r="D81"/>
      <c r="E81"/>
      <c r="F81"/>
      <c r="G81"/>
      <c r="H81"/>
      <c r="I81"/>
      <c r="J81"/>
      <c r="K81"/>
      <c r="L81"/>
      <c r="N81" s="2"/>
    </row>
  </sheetData>
  <mergeCells count="12">
    <mergeCell ref="C10:D10"/>
    <mergeCell ref="C11:D11"/>
    <mergeCell ref="C3:M4"/>
    <mergeCell ref="C5:M5"/>
    <mergeCell ref="C6:M6"/>
    <mergeCell ref="G7:H7"/>
    <mergeCell ref="C9:D9"/>
    <mergeCell ref="D23:E23"/>
    <mergeCell ref="D24:E24"/>
    <mergeCell ref="C28:F28"/>
    <mergeCell ref="C39:F39"/>
    <mergeCell ref="S47:Y47"/>
  </mergeCells>
  <conditionalFormatting sqref="L49:O79">
    <cfRule type="cellIs" dxfId="132" priority="2" stopIfTrue="1" operator="equal">
      <formula>0</formula>
    </cfRule>
  </conditionalFormatting>
  <conditionalFormatting sqref="S49:S79">
    <cfRule type="cellIs" dxfId="131" priority="1" stopIfTrue="1" operator="equal">
      <formula>0</formula>
    </cfRule>
  </conditionalFormatting>
  <printOptions horizontalCentered="1" verticalCentered="1"/>
  <pageMargins left="0" right="0" top="0" bottom="0" header="0.31496062992125984" footer="0.31496062992125984"/>
  <pageSetup scale="80" orientation="landscape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1:AL81"/>
  <sheetViews>
    <sheetView workbookViewId="0"/>
  </sheetViews>
  <sheetFormatPr baseColWidth="10" defaultColWidth="11" defaultRowHeight="14.25" x14ac:dyDescent="0.2"/>
  <cols>
    <col min="1" max="1" width="3.125" style="2" customWidth="1"/>
    <col min="2" max="2" width="3.875" style="2" bestFit="1" customWidth="1"/>
    <col min="3" max="3" width="16.125" style="2" customWidth="1"/>
    <col min="4" max="4" width="12.375" style="2" customWidth="1"/>
    <col min="5" max="5" width="10.875" style="2" customWidth="1"/>
    <col min="6" max="6" width="17.125" style="2" customWidth="1"/>
    <col min="7" max="7" width="13.125" style="2" customWidth="1"/>
    <col min="8" max="8" width="12.125" style="2" customWidth="1"/>
    <col min="9" max="9" width="11.125" style="2" customWidth="1"/>
    <col min="10" max="10" width="11.875" style="2" customWidth="1"/>
    <col min="11" max="11" width="11.625" style="2" customWidth="1"/>
    <col min="12" max="12" width="12.125" style="2" customWidth="1"/>
    <col min="13" max="13" width="12" style="2" customWidth="1"/>
    <col min="14" max="14" width="9" style="1" customWidth="1"/>
    <col min="15" max="15" width="10.375" style="2" customWidth="1"/>
    <col min="16" max="21" width="11" style="2" customWidth="1"/>
    <col min="22" max="25" width="11" style="2"/>
    <col min="26" max="31" width="10.875" customWidth="1"/>
    <col min="32" max="16384" width="11" style="2"/>
  </cols>
  <sheetData>
    <row r="1" spans="2:25" ht="6.75" customHeight="1" x14ac:dyDescent="0.2"/>
    <row r="2" spans="2:25" ht="8.25" customHeight="1" x14ac:dyDescent="0.2"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2:25" ht="8.25" customHeight="1" x14ac:dyDescent="0.2">
      <c r="B3" s="1"/>
      <c r="C3" s="2254" t="s">
        <v>0</v>
      </c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</row>
    <row r="4" spans="2:25" ht="15" customHeight="1" x14ac:dyDescent="0.2"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</row>
    <row r="5" spans="2:25" x14ac:dyDescent="0.2">
      <c r="B5" s="1"/>
      <c r="C5" s="2257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</row>
    <row r="6" spans="2:25" x14ac:dyDescent="0.2">
      <c r="B6" s="1"/>
      <c r="C6" s="2257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</row>
    <row r="7" spans="2:25" x14ac:dyDescent="0.2">
      <c r="B7" s="1"/>
      <c r="C7" s="468"/>
      <c r="D7" s="468"/>
      <c r="E7" s="468"/>
      <c r="F7" s="468"/>
      <c r="G7" s="2271">
        <v>42614</v>
      </c>
      <c r="H7" s="2257"/>
      <c r="I7" s="468"/>
      <c r="J7" s="468"/>
      <c r="K7" s="468"/>
      <c r="L7" s="468"/>
      <c r="M7" s="468"/>
      <c r="N7" s="18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2:25" x14ac:dyDescent="0.2">
      <c r="B8" s="1"/>
      <c r="C8" s="468"/>
      <c r="D8" s="468"/>
      <c r="E8" s="468"/>
      <c r="F8" s="468"/>
      <c r="G8" s="468"/>
      <c r="H8" s="468"/>
      <c r="I8" s="468"/>
      <c r="J8" s="468"/>
      <c r="K8" s="468"/>
      <c r="L8" s="468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2:25" ht="25.5" x14ac:dyDescent="0.2">
      <c r="B9" s="1"/>
      <c r="C9" s="2272" t="s">
        <v>6</v>
      </c>
      <c r="D9" s="2272"/>
      <c r="E9" s="470" t="s">
        <v>94</v>
      </c>
      <c r="F9" s="470" t="s">
        <v>126</v>
      </c>
      <c r="G9" s="410" t="s">
        <v>133</v>
      </c>
      <c r="H9" s="470" t="s">
        <v>127</v>
      </c>
      <c r="I9" s="470" t="s">
        <v>128</v>
      </c>
      <c r="J9" s="468"/>
      <c r="K9" s="468"/>
      <c r="L9" s="468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2:25" x14ac:dyDescent="0.2">
      <c r="B10" s="1"/>
      <c r="C10" s="2270" t="s">
        <v>131</v>
      </c>
      <c r="D10" s="2270"/>
      <c r="E10" s="433">
        <v>4627948.08</v>
      </c>
      <c r="F10" s="407">
        <f>E10*0.16</f>
        <v>740471.69280000008</v>
      </c>
      <c r="G10" s="407">
        <f>E10+F10</f>
        <v>5368419.7728000004</v>
      </c>
      <c r="H10" s="535" t="s">
        <v>200</v>
      </c>
      <c r="I10" s="1319">
        <v>18.648099999999999</v>
      </c>
      <c r="J10" s="468"/>
      <c r="K10" s="468"/>
      <c r="L10" s="468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2:25" x14ac:dyDescent="0.2">
      <c r="B11" s="1"/>
      <c r="C11" s="2270" t="s">
        <v>132</v>
      </c>
      <c r="D11" s="2270"/>
      <c r="E11" s="433">
        <v>2003.19</v>
      </c>
      <c r="F11" s="407">
        <f>E11*0.16</f>
        <v>320.5104</v>
      </c>
      <c r="G11" s="407">
        <f>E11+F11</f>
        <v>2323.7004000000002</v>
      </c>
      <c r="H11" s="535" t="s">
        <v>200</v>
      </c>
      <c r="I11" s="1319">
        <v>18.648099999999999</v>
      </c>
      <c r="J11" s="468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2:25" x14ac:dyDescent="0.2">
      <c r="B12" s="1"/>
      <c r="C12" s="468"/>
      <c r="D12" s="468"/>
      <c r="E12" s="468"/>
      <c r="F12" s="468"/>
      <c r="G12" s="468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2:25" ht="15" thickBot="1" x14ac:dyDescent="0.25">
      <c r="B13" s="1"/>
      <c r="C13" s="468"/>
      <c r="D13" s="468"/>
      <c r="E13" s="468"/>
      <c r="F13" s="468"/>
      <c r="G13" s="468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2:25" x14ac:dyDescent="0.2">
      <c r="B14" s="1"/>
      <c r="C14" s="440" t="s">
        <v>155</v>
      </c>
      <c r="D14" s="441" t="s">
        <v>156</v>
      </c>
      <c r="E14" s="442" t="s">
        <v>112</v>
      </c>
      <c r="F14" s="468"/>
      <c r="G14" s="468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2:25" x14ac:dyDescent="0.2">
      <c r="B15" s="1"/>
      <c r="C15" s="443">
        <v>4627948.08</v>
      </c>
      <c r="D15" s="444">
        <f>D80</f>
        <v>4627948.0800000029</v>
      </c>
      <c r="E15" s="445">
        <f>C15-D15</f>
        <v>0</v>
      </c>
      <c r="F15" s="468"/>
      <c r="G15" s="468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2:25" ht="15" thickBot="1" x14ac:dyDescent="0.25">
      <c r="B16" s="1"/>
      <c r="C16" s="446">
        <v>2003.19</v>
      </c>
      <c r="D16" s="447">
        <f>ROUND(G80,2)</f>
        <v>2003.19</v>
      </c>
      <c r="E16" s="448">
        <f>C16-D16</f>
        <v>0</v>
      </c>
      <c r="F16" s="468"/>
      <c r="G16" s="468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2:25" x14ac:dyDescent="0.2">
      <c r="B17" s="1"/>
      <c r="C17" s="468"/>
      <c r="D17" s="468"/>
      <c r="E17" s="468"/>
      <c r="F17" s="468"/>
      <c r="G17" s="468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2:25" x14ac:dyDescent="0.2">
      <c r="B18" s="1"/>
      <c r="C18" s="468"/>
      <c r="D18" s="468"/>
      <c r="E18" s="468"/>
      <c r="F18" s="468"/>
      <c r="G18" s="468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2:25" x14ac:dyDescent="0.2">
      <c r="B19" s="1"/>
      <c r="C19" s="468"/>
      <c r="D19" s="468"/>
      <c r="E19" s="468"/>
      <c r="F19" s="468"/>
      <c r="G19" s="468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2:25" x14ac:dyDescent="0.2">
      <c r="B20" s="1"/>
      <c r="C20" s="468"/>
      <c r="D20" s="468"/>
      <c r="E20" s="468"/>
      <c r="F20" s="468"/>
      <c r="G20" s="468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2:25" x14ac:dyDescent="0.2">
      <c r="B21" s="1"/>
      <c r="C21" s="468"/>
      <c r="D21" s="468"/>
      <c r="E21" s="468"/>
      <c r="F21" s="468"/>
      <c r="G21" s="468"/>
      <c r="H21" s="1"/>
      <c r="I21" s="1"/>
      <c r="J21" s="1"/>
      <c r="K21" s="1"/>
      <c r="L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2:25" ht="15" thickBot="1" x14ac:dyDescent="0.25">
      <c r="B22" s="1"/>
      <c r="C22" s="419" t="s">
        <v>137</v>
      </c>
      <c r="D22" s="468" t="s">
        <v>138</v>
      </c>
      <c r="E22" s="468"/>
      <c r="F22" s="468" t="s">
        <v>139</v>
      </c>
      <c r="G22" s="468" t="s">
        <v>157</v>
      </c>
      <c r="H22" s="468" t="s">
        <v>143</v>
      </c>
      <c r="I22" s="468" t="s">
        <v>142</v>
      </c>
      <c r="J22" s="468" t="s">
        <v>141</v>
      </c>
      <c r="K22" s="468" t="s">
        <v>140</v>
      </c>
      <c r="L22" s="468" t="s">
        <v>144</v>
      </c>
      <c r="M22" s="468" t="s">
        <v>146</v>
      </c>
      <c r="N22" s="468"/>
      <c r="O22" s="468"/>
      <c r="P22" s="468"/>
      <c r="Q22" s="1"/>
      <c r="R22" s="1"/>
      <c r="S22" s="1"/>
      <c r="T22" s="1"/>
      <c r="U22" s="1"/>
      <c r="V22" s="1"/>
      <c r="W22" s="1"/>
      <c r="X22" s="1"/>
      <c r="Y22" s="1"/>
    </row>
    <row r="23" spans="2:25" ht="36.75" customHeight="1" x14ac:dyDescent="0.2">
      <c r="B23" s="1"/>
      <c r="C23" s="402" t="s">
        <v>134</v>
      </c>
      <c r="D23" s="2261" t="s">
        <v>135</v>
      </c>
      <c r="E23" s="2262"/>
      <c r="F23" s="469" t="s">
        <v>136</v>
      </c>
      <c r="G23" s="461" t="s">
        <v>153</v>
      </c>
      <c r="H23" s="420" t="s">
        <v>129</v>
      </c>
      <c r="I23" s="403" t="s">
        <v>130</v>
      </c>
      <c r="J23" s="422"/>
      <c r="K23" s="422"/>
      <c r="L23" s="422"/>
      <c r="M23" s="404" t="s">
        <v>158</v>
      </c>
      <c r="N23" s="468"/>
      <c r="O23" s="468"/>
      <c r="P23" s="468"/>
      <c r="Q23" s="468"/>
      <c r="R23" s="468"/>
      <c r="S23" s="468"/>
      <c r="T23" s="468"/>
      <c r="U23" s="1"/>
      <c r="V23" s="1"/>
      <c r="W23" s="1"/>
      <c r="X23" s="1"/>
      <c r="Y23" s="1"/>
    </row>
    <row r="24" spans="2:25" x14ac:dyDescent="0.2">
      <c r="B24" s="1"/>
      <c r="C24" s="405">
        <v>850</v>
      </c>
      <c r="D24" s="2263">
        <v>850</v>
      </c>
      <c r="E24" s="2264"/>
      <c r="F24" s="418">
        <v>31482640</v>
      </c>
      <c r="G24" s="462">
        <v>30</v>
      </c>
      <c r="H24" s="460">
        <f>VLOOKUP(C47,Tarifas!D4:H303,3)</f>
        <v>0.14699999999999999</v>
      </c>
      <c r="I24" s="424">
        <f>VLOOKUP(C47,Tarifas!D4:H303,5)</f>
        <v>1E-3</v>
      </c>
      <c r="J24" s="421">
        <v>186.2</v>
      </c>
      <c r="K24" s="421">
        <v>201.4</v>
      </c>
      <c r="L24" s="421">
        <f>I11</f>
        <v>18.648099999999999</v>
      </c>
      <c r="M24" s="431">
        <f>E80</f>
        <v>2166720.2196919997</v>
      </c>
      <c r="N24" s="430" t="s">
        <v>62</v>
      </c>
      <c r="O24" s="468"/>
      <c r="P24" s="468"/>
      <c r="Q24" s="468"/>
      <c r="R24" s="468"/>
      <c r="S24" s="468"/>
      <c r="T24" s="468"/>
      <c r="U24" s="1"/>
      <c r="V24" s="1"/>
      <c r="W24" s="1"/>
      <c r="X24" s="1"/>
      <c r="Y24" s="1"/>
    </row>
    <row r="25" spans="2:25" x14ac:dyDescent="0.2">
      <c r="B25" s="1"/>
      <c r="C25" s="468"/>
      <c r="D25" s="468"/>
      <c r="E25" s="468"/>
      <c r="F25" s="468"/>
      <c r="G25" s="468"/>
      <c r="H25" s="468"/>
      <c r="I25" s="468"/>
      <c r="J25" s="468"/>
      <c r="K25" s="468"/>
      <c r="L25" s="468"/>
      <c r="M25" s="468"/>
      <c r="N25" s="468"/>
      <c r="O25" s="468"/>
      <c r="P25" s="468"/>
      <c r="Q25" s="468"/>
      <c r="R25" s="468"/>
      <c r="S25" s="1"/>
      <c r="T25" s="1"/>
      <c r="U25" s="1"/>
      <c r="V25" s="1"/>
      <c r="W25" s="1"/>
      <c r="X25" s="1"/>
      <c r="Y25" s="1"/>
    </row>
    <row r="26" spans="2:25" x14ac:dyDescent="0.2">
      <c r="B26" s="1"/>
      <c r="C26" s="468"/>
      <c r="D26" s="468"/>
      <c r="E26" s="468"/>
      <c r="F26" s="468"/>
      <c r="G26" s="468"/>
      <c r="H26" s="468"/>
      <c r="I26" s="468"/>
      <c r="J26" s="468"/>
      <c r="K26" s="468"/>
      <c r="L26" s="468"/>
      <c r="M26" s="468"/>
      <c r="N26" s="468"/>
      <c r="O26" s="468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2:25" x14ac:dyDescent="0.2">
      <c r="B27" s="1"/>
      <c r="C27" s="468"/>
      <c r="D27" s="468"/>
      <c r="E27" s="468"/>
      <c r="F27" s="468"/>
      <c r="G27" s="468"/>
      <c r="H27" s="468"/>
      <c r="I27" s="468"/>
      <c r="J27" s="468"/>
      <c r="K27" s="468"/>
      <c r="L27" s="468"/>
      <c r="M27" s="468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2:25" ht="15" thickBot="1" x14ac:dyDescent="0.25">
      <c r="B28" s="1"/>
      <c r="C28" s="2265" t="s">
        <v>86</v>
      </c>
      <c r="D28" s="2265"/>
      <c r="E28" s="2265"/>
      <c r="F28" s="2265"/>
      <c r="G28" s="471"/>
      <c r="H28" s="334"/>
      <c r="I28" s="334"/>
      <c r="J28" s="334"/>
      <c r="K28" s="471"/>
      <c r="L28" s="336"/>
      <c r="M28" s="336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2:25" ht="22.5" x14ac:dyDescent="0.2">
      <c r="B29" s="1"/>
      <c r="C29" s="337" t="s">
        <v>87</v>
      </c>
      <c r="D29" s="466" t="s">
        <v>88</v>
      </c>
      <c r="E29" s="466" t="s">
        <v>89</v>
      </c>
      <c r="F29" s="466" t="s">
        <v>20</v>
      </c>
      <c r="G29" s="466" t="s">
        <v>160</v>
      </c>
      <c r="H29" s="466" t="s">
        <v>90</v>
      </c>
      <c r="I29" s="466" t="s">
        <v>91</v>
      </c>
      <c r="J29" s="466" t="s">
        <v>92</v>
      </c>
      <c r="K29" s="466" t="s">
        <v>93</v>
      </c>
      <c r="L29" s="466" t="s">
        <v>94</v>
      </c>
      <c r="M29" s="467" t="s">
        <v>95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2:25" x14ac:dyDescent="0.2">
      <c r="B30" s="1"/>
      <c r="C30" s="338"/>
      <c r="D30" s="339">
        <v>0</v>
      </c>
      <c r="E30" s="339" t="s">
        <v>96</v>
      </c>
      <c r="F30" s="340" t="s">
        <v>97</v>
      </c>
      <c r="G30" s="340">
        <v>2201</v>
      </c>
      <c r="H30" s="339">
        <v>20823</v>
      </c>
      <c r="I30" s="341">
        <v>0</v>
      </c>
      <c r="J30" s="339">
        <v>138.15</v>
      </c>
      <c r="K30" s="342">
        <v>0</v>
      </c>
      <c r="L30" s="343">
        <f>ROUND(K30*E$10,2)</f>
        <v>0</v>
      </c>
      <c r="M30" s="344">
        <f>L30*$I$10</f>
        <v>0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2:25" x14ac:dyDescent="0.2">
      <c r="B31" s="1"/>
      <c r="C31" s="338"/>
      <c r="D31" s="339">
        <v>0</v>
      </c>
      <c r="E31" s="339" t="s">
        <v>98</v>
      </c>
      <c r="F31" s="340" t="s">
        <v>97</v>
      </c>
      <c r="G31" s="340">
        <v>2201</v>
      </c>
      <c r="H31" s="339">
        <v>20824</v>
      </c>
      <c r="I31" s="341">
        <v>0</v>
      </c>
      <c r="J31" s="339">
        <v>138.15</v>
      </c>
      <c r="K31" s="342">
        <v>0</v>
      </c>
      <c r="L31" s="343">
        <f>ROUND(K31*E$10,2)</f>
        <v>0</v>
      </c>
      <c r="M31" s="344">
        <f>L31*$I$10</f>
        <v>0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2:25" x14ac:dyDescent="0.2">
      <c r="B32" s="1"/>
      <c r="C32" s="338"/>
      <c r="D32" s="339">
        <v>0</v>
      </c>
      <c r="E32" s="339" t="s">
        <v>99</v>
      </c>
      <c r="F32" s="340" t="s">
        <v>100</v>
      </c>
      <c r="G32" s="340">
        <v>2230</v>
      </c>
      <c r="H32" s="339">
        <v>22228</v>
      </c>
      <c r="I32" s="341">
        <v>0</v>
      </c>
      <c r="J32" s="339">
        <v>130.80000000000001</v>
      </c>
      <c r="K32" s="342">
        <v>0</v>
      </c>
      <c r="L32" s="343">
        <f>ROUND(K32*E$10,2)</f>
        <v>0</v>
      </c>
      <c r="M32" s="344">
        <f>L32*$I$10</f>
        <v>0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2:25" x14ac:dyDescent="0.2">
      <c r="B33" s="1"/>
      <c r="C33" s="338">
        <v>800762390</v>
      </c>
      <c r="D33" s="339">
        <v>3</v>
      </c>
      <c r="E33" s="354" t="s">
        <v>101</v>
      </c>
      <c r="F33" s="463" t="s">
        <v>194</v>
      </c>
      <c r="G33" s="463">
        <v>2044</v>
      </c>
      <c r="H33" s="354">
        <v>591000420</v>
      </c>
      <c r="I33" s="341">
        <v>80000</v>
      </c>
      <c r="J33" s="339"/>
      <c r="K33" s="342">
        <v>0.09</v>
      </c>
      <c r="L33" s="343">
        <f>ROUND(K33*E$10,2)</f>
        <v>416515.33</v>
      </c>
      <c r="M33" s="344">
        <f>L33*$I$10</f>
        <v>7767219.5253729997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2:25" ht="15" thickBot="1" x14ac:dyDescent="0.25">
      <c r="B34" s="1"/>
      <c r="C34" s="345">
        <v>800642440</v>
      </c>
      <c r="D34" s="346">
        <v>5</v>
      </c>
      <c r="E34" s="347" t="s">
        <v>101</v>
      </c>
      <c r="F34" s="348" t="s">
        <v>159</v>
      </c>
      <c r="G34" s="348">
        <v>2277</v>
      </c>
      <c r="H34" s="347">
        <v>22770</v>
      </c>
      <c r="I34" s="349">
        <f>850000-I30-I31-I32-I33</f>
        <v>770000</v>
      </c>
      <c r="J34" s="346"/>
      <c r="K34" s="350">
        <v>0.91</v>
      </c>
      <c r="L34" s="351">
        <f>ROUND(K34*E$10,2)</f>
        <v>4211432.75</v>
      </c>
      <c r="M34" s="352">
        <f>L34*$I$10</f>
        <v>78535219.065274999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2:25" x14ac:dyDescent="0.2">
      <c r="B35" s="1"/>
      <c r="C35" s="406">
        <v>3000623</v>
      </c>
      <c r="D35" s="353" t="s">
        <v>102</v>
      </c>
      <c r="E35" s="353"/>
      <c r="F35" s="353"/>
      <c r="G35" s="353"/>
      <c r="H35" s="354"/>
      <c r="I35" s="355">
        <f>SUM(I30:I34)</f>
        <v>850000</v>
      </c>
      <c r="J35" s="353"/>
      <c r="K35" s="356">
        <f>SUM(K30:K34)</f>
        <v>1</v>
      </c>
      <c r="L35" s="357">
        <f>SUM(L30:L34)</f>
        <v>4627948.08</v>
      </c>
      <c r="M35" s="357">
        <f>SUM(M30:M34)</f>
        <v>86302438.590647995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2:25" x14ac:dyDescent="0.2">
      <c r="B36" s="1"/>
      <c r="C36" s="336"/>
      <c r="D36" s="336"/>
      <c r="E36" s="336"/>
      <c r="F36" s="358"/>
      <c r="G36" s="358"/>
      <c r="H36" s="336"/>
      <c r="I36" s="336"/>
      <c r="J36" s="336"/>
      <c r="K36" s="336"/>
      <c r="L36" s="359"/>
      <c r="M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2:25" x14ac:dyDescent="0.2">
      <c r="B37" s="1"/>
      <c r="C37" s="336"/>
      <c r="D37" s="336"/>
      <c r="E37" s="336"/>
      <c r="F37" s="358"/>
      <c r="G37" s="358"/>
      <c r="H37" s="336"/>
      <c r="I37" s="336"/>
      <c r="J37" s="336"/>
      <c r="K37" s="336"/>
      <c r="L37" s="359"/>
      <c r="M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2:25" x14ac:dyDescent="0.2">
      <c r="B38" s="1"/>
      <c r="C38" s="336"/>
      <c r="D38" s="336"/>
      <c r="E38" s="336"/>
      <c r="F38" s="358"/>
      <c r="G38" s="358"/>
      <c r="H38" s="336"/>
      <c r="I38" s="336"/>
      <c r="J38" s="336"/>
      <c r="K38" s="336"/>
      <c r="L38" s="359"/>
      <c r="M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2:25" ht="15" thickBot="1" x14ac:dyDescent="0.25">
      <c r="B39" s="1"/>
      <c r="C39" s="2266" t="s">
        <v>103</v>
      </c>
      <c r="D39" s="2266"/>
      <c r="E39" s="2266"/>
      <c r="F39" s="2266"/>
      <c r="G39" s="471"/>
      <c r="H39" s="334"/>
      <c r="I39" s="334"/>
      <c r="J39" s="334"/>
      <c r="K39" s="336"/>
      <c r="L39" s="336"/>
      <c r="M39" s="360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2:25" ht="22.5" x14ac:dyDescent="0.2">
      <c r="B40" s="1"/>
      <c r="C40" s="337" t="s">
        <v>87</v>
      </c>
      <c r="D40" s="466" t="s">
        <v>88</v>
      </c>
      <c r="E40" s="466" t="s">
        <v>89</v>
      </c>
      <c r="F40" s="466" t="s">
        <v>20</v>
      </c>
      <c r="G40" s="466"/>
      <c r="H40" s="466" t="s">
        <v>90</v>
      </c>
      <c r="I40" s="466" t="s">
        <v>104</v>
      </c>
      <c r="J40" s="466" t="s">
        <v>93</v>
      </c>
      <c r="K40" s="466" t="s">
        <v>92</v>
      </c>
      <c r="L40" s="466" t="s">
        <v>94</v>
      </c>
      <c r="M40" s="467" t="s">
        <v>95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2:25" x14ac:dyDescent="0.2">
      <c r="B41" s="1"/>
      <c r="C41" s="338"/>
      <c r="D41" s="339">
        <v>0</v>
      </c>
      <c r="E41" s="339" t="s">
        <v>96</v>
      </c>
      <c r="F41" s="340" t="s">
        <v>97</v>
      </c>
      <c r="G41" s="340"/>
      <c r="H41" s="339">
        <v>20823</v>
      </c>
      <c r="I41" s="341">
        <f>M80</f>
        <v>0</v>
      </c>
      <c r="J41" s="342">
        <f>I41/I$45</f>
        <v>0</v>
      </c>
      <c r="K41" s="339">
        <v>138.15</v>
      </c>
      <c r="L41" s="343">
        <f>ROUND(J41*$E$11,2)</f>
        <v>0</v>
      </c>
      <c r="M41" s="344">
        <f>L41*L24</f>
        <v>0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2:25" x14ac:dyDescent="0.2">
      <c r="B42" s="1"/>
      <c r="C42" s="338"/>
      <c r="D42" s="339">
        <v>0</v>
      </c>
      <c r="E42" s="339" t="s">
        <v>98</v>
      </c>
      <c r="F42" s="340" t="s">
        <v>97</v>
      </c>
      <c r="G42" s="340"/>
      <c r="H42" s="339">
        <v>20824</v>
      </c>
      <c r="I42" s="341">
        <f>N80</f>
        <v>0</v>
      </c>
      <c r="J42" s="342">
        <f>I42/I$45</f>
        <v>0</v>
      </c>
      <c r="K42" s="339">
        <v>138.15</v>
      </c>
      <c r="L42" s="343">
        <f>ROUND(J42*$E$11,2)</f>
        <v>0</v>
      </c>
      <c r="M42" s="344">
        <f>L42*L25</f>
        <v>0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2:25" x14ac:dyDescent="0.2">
      <c r="B43" s="1"/>
      <c r="C43" s="338"/>
      <c r="D43" s="339">
        <v>0</v>
      </c>
      <c r="E43" s="339" t="s">
        <v>99</v>
      </c>
      <c r="F43" s="340" t="s">
        <v>100</v>
      </c>
      <c r="G43" s="340"/>
      <c r="H43" s="339">
        <v>22228</v>
      </c>
      <c r="I43" s="341">
        <f>O80</f>
        <v>0</v>
      </c>
      <c r="J43" s="342">
        <f>I43/I$45</f>
        <v>0</v>
      </c>
      <c r="K43" s="339">
        <v>130.80000000000001</v>
      </c>
      <c r="L43" s="343">
        <f>ROUND(J43*$E$11,2)</f>
        <v>0</v>
      </c>
      <c r="M43" s="344">
        <f>L43*L26</f>
        <v>0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2:25" ht="15" thickBot="1" x14ac:dyDescent="0.25">
      <c r="B44" s="1"/>
      <c r="C44" s="345">
        <v>800762390</v>
      </c>
      <c r="D44" s="346">
        <v>4</v>
      </c>
      <c r="E44" s="347" t="s">
        <v>101</v>
      </c>
      <c r="F44" s="348" t="s">
        <v>23</v>
      </c>
      <c r="G44" s="348"/>
      <c r="H44" s="347"/>
      <c r="I44" s="349">
        <f>L80</f>
        <v>2166720.2196919997</v>
      </c>
      <c r="J44" s="350">
        <f>I44/I$45</f>
        <v>1</v>
      </c>
      <c r="K44" s="346">
        <v>138.15</v>
      </c>
      <c r="L44" s="351">
        <f>ROUND(J44*$E$11,2)</f>
        <v>2003.19</v>
      </c>
      <c r="M44" s="352">
        <f>L44*I11</f>
        <v>37355.687439000001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2:25" x14ac:dyDescent="0.2">
      <c r="B45" s="1"/>
      <c r="C45" s="353"/>
      <c r="D45" s="353"/>
      <c r="E45" s="353"/>
      <c r="F45" s="353"/>
      <c r="G45" s="353"/>
      <c r="H45" s="354"/>
      <c r="I45" s="449">
        <f>SUM(I41:I44)</f>
        <v>2166720.2196919997</v>
      </c>
      <c r="J45" s="355"/>
      <c r="K45" s="353"/>
      <c r="L45" s="357">
        <f>SUM(L41:L44)</f>
        <v>2003.19</v>
      </c>
      <c r="M45" s="357">
        <f>SUM(M41:M44)</f>
        <v>37355.687439000001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2:25" customFormat="1" ht="15" thickBot="1" x14ac:dyDescent="0.25">
      <c r="M46" s="450"/>
      <c r="N46" s="450"/>
      <c r="O46" s="450"/>
      <c r="P46" s="450"/>
      <c r="Q46" s="450"/>
      <c r="R46" s="450"/>
      <c r="S46" s="450"/>
      <c r="T46" s="450"/>
      <c r="U46" s="450"/>
      <c r="V46" s="450"/>
      <c r="W46" s="450"/>
      <c r="X46" s="450"/>
      <c r="Y46" s="573">
        <f>'Agosto - 2016'!Y80</f>
        <v>139543.49737075542</v>
      </c>
    </row>
    <row r="47" spans="2:25" ht="15" thickBot="1" x14ac:dyDescent="0.25">
      <c r="B47" s="434" t="s">
        <v>3</v>
      </c>
      <c r="C47" s="333">
        <f>SUMIF(Tarifas!E4:E303,'Septiembre - 2016'!C49,Tarifas!D4:D303)</f>
        <v>38</v>
      </c>
      <c r="D47" s="425" t="s">
        <v>147</v>
      </c>
      <c r="E47" s="426" t="s">
        <v>145</v>
      </c>
      <c r="F47" s="426" t="s">
        <v>150</v>
      </c>
      <c r="G47" s="426" t="s">
        <v>148</v>
      </c>
      <c r="H47" s="382"/>
      <c r="I47" s="331" t="s">
        <v>120</v>
      </c>
      <c r="J47" s="332"/>
      <c r="K47" s="332"/>
      <c r="L47" s="364" t="s">
        <v>105</v>
      </c>
      <c r="M47" s="365"/>
      <c r="N47" s="365"/>
      <c r="O47" s="365"/>
      <c r="P47" s="365"/>
      <c r="Q47" s="365"/>
      <c r="R47" s="366"/>
      <c r="S47" s="2267" t="s">
        <v>121</v>
      </c>
      <c r="T47" s="2268"/>
      <c r="U47" s="2268"/>
      <c r="V47" s="2268"/>
      <c r="W47" s="2268"/>
      <c r="X47" s="2268"/>
      <c r="Y47" s="2269"/>
    </row>
    <row r="48" spans="2:25" ht="33.75" x14ac:dyDescent="0.2">
      <c r="C48" s="383" t="s">
        <v>122</v>
      </c>
      <c r="D48" s="384" t="s">
        <v>125</v>
      </c>
      <c r="E48" s="385" t="s">
        <v>149</v>
      </c>
      <c r="F48" s="385" t="s">
        <v>151</v>
      </c>
      <c r="G48" s="385" t="s">
        <v>152</v>
      </c>
      <c r="H48" s="386" t="s">
        <v>123</v>
      </c>
      <c r="I48" s="329" t="s">
        <v>109</v>
      </c>
      <c r="J48" s="330" t="s">
        <v>25</v>
      </c>
      <c r="K48" s="330" t="s">
        <v>26</v>
      </c>
      <c r="L48" s="367" t="s">
        <v>115</v>
      </c>
      <c r="M48" s="362" t="s">
        <v>106</v>
      </c>
      <c r="N48" s="362" t="s">
        <v>107</v>
      </c>
      <c r="O48" s="362" t="s">
        <v>108</v>
      </c>
      <c r="P48" s="362" t="s">
        <v>115</v>
      </c>
      <c r="Q48" s="363" t="s">
        <v>116</v>
      </c>
      <c r="R48" s="368" t="s">
        <v>117</v>
      </c>
      <c r="S48" s="369" t="s">
        <v>192</v>
      </c>
      <c r="T48" s="370" t="s">
        <v>111</v>
      </c>
      <c r="U48" s="370" t="s">
        <v>112</v>
      </c>
      <c r="V48" s="371" t="s">
        <v>118</v>
      </c>
      <c r="W48" s="371" t="s">
        <v>119</v>
      </c>
      <c r="X48" s="371" t="s">
        <v>114</v>
      </c>
      <c r="Y48" s="372" t="s">
        <v>113</v>
      </c>
    </row>
    <row r="49" spans="3:25" x14ac:dyDescent="0.2">
      <c r="C49" s="387">
        <f>G7</f>
        <v>42614</v>
      </c>
      <c r="D49" s="388">
        <f>($F$24*$H$24)/$G$24</f>
        <v>154264.93600000002</v>
      </c>
      <c r="E49" s="389">
        <f>P49+Q49+R49</f>
        <v>71695.27</v>
      </c>
      <c r="F49" s="427">
        <f t="shared" ref="F49:F78" si="0">TRUNC(IFERROR(J$24/K$24,0),8)</f>
        <v>0.92452829999999997</v>
      </c>
      <c r="G49" s="390">
        <f t="shared" ref="G49:G78" si="1">ROUND(I$24*F49*E49,4)</f>
        <v>66.284300000000002</v>
      </c>
      <c r="H49" s="391">
        <f t="shared" ref="H49:H78" si="2">SUM(D49:G49)</f>
        <v>226027.41482830001</v>
      </c>
      <c r="I49" s="324">
        <v>70000</v>
      </c>
      <c r="J49" s="325"/>
      <c r="K49" s="325"/>
      <c r="L49" s="317">
        <v>71695.27</v>
      </c>
      <c r="M49" s="318"/>
      <c r="N49" s="318"/>
      <c r="O49" s="318"/>
      <c r="P49" s="389">
        <f>L49</f>
        <v>71695.27</v>
      </c>
      <c r="Q49" s="389">
        <f t="shared" ref="Q49:Q78" si="3">M49+N49</f>
        <v>0</v>
      </c>
      <c r="R49" s="389">
        <f t="shared" ref="R49:R78" si="4">O49</f>
        <v>0</v>
      </c>
      <c r="S49" s="522">
        <v>71784</v>
      </c>
      <c r="T49" s="374"/>
      <c r="U49" s="524">
        <f>S49+T49-V49</f>
        <v>1784</v>
      </c>
      <c r="V49" s="520">
        <f>I49+J49+K49</f>
        <v>70000</v>
      </c>
      <c r="W49" s="520">
        <f>(P49+Q49+R49)/1.055056</f>
        <v>67953.994859040657</v>
      </c>
      <c r="X49" s="520">
        <f>V49-W49</f>
        <v>2046.0051409593434</v>
      </c>
      <c r="Y49" s="525">
        <f>Y46+X49</f>
        <v>141589.50251171476</v>
      </c>
    </row>
    <row r="50" spans="3:25" x14ac:dyDescent="0.2">
      <c r="C50" s="387">
        <f t="shared" ref="C50:C78" si="5">C49+1</f>
        <v>42615</v>
      </c>
      <c r="D50" s="388">
        <f t="shared" ref="D50:D78" si="6">($F$24*$H$24)/$G$24</f>
        <v>154264.93600000002</v>
      </c>
      <c r="E50" s="392">
        <f t="shared" ref="E50:E78" si="7">P50+Q50+R50</f>
        <v>72033</v>
      </c>
      <c r="F50" s="428">
        <f t="shared" si="0"/>
        <v>0.92452829999999997</v>
      </c>
      <c r="G50" s="390">
        <f t="shared" si="1"/>
        <v>66.596500000000006</v>
      </c>
      <c r="H50" s="391">
        <f t="shared" si="2"/>
        <v>226365.45702830004</v>
      </c>
      <c r="I50" s="324">
        <v>70000</v>
      </c>
      <c r="J50" s="325"/>
      <c r="K50" s="325"/>
      <c r="L50" s="319">
        <v>72033</v>
      </c>
      <c r="M50" s="320"/>
      <c r="N50" s="320"/>
      <c r="O50" s="320"/>
      <c r="P50" s="392">
        <f t="shared" ref="P50:P78" si="8">L50</f>
        <v>72033</v>
      </c>
      <c r="Q50" s="392">
        <f t="shared" si="3"/>
        <v>0</v>
      </c>
      <c r="R50" s="392">
        <f t="shared" si="4"/>
        <v>0</v>
      </c>
      <c r="S50" s="522">
        <v>71784</v>
      </c>
      <c r="T50" s="374"/>
      <c r="U50" s="524">
        <f t="shared" ref="U50:U78" si="9">S50+T50-V50</f>
        <v>1784</v>
      </c>
      <c r="V50" s="520">
        <f t="shared" ref="V50:V78" si="10">I50+J50+K50</f>
        <v>70000</v>
      </c>
      <c r="W50" s="520">
        <f t="shared" ref="W50:W78" si="11">(P50+Q50+R50)/1.055056</f>
        <v>68274.101090368669</v>
      </c>
      <c r="X50" s="520">
        <f t="shared" ref="X50:X78" si="12">V50-W50</f>
        <v>1725.8989096313308</v>
      </c>
      <c r="Y50" s="525">
        <f>Y49+X50</f>
        <v>143315.40142134609</v>
      </c>
    </row>
    <row r="51" spans="3:25" x14ac:dyDescent="0.2">
      <c r="C51" s="387">
        <f t="shared" si="5"/>
        <v>42616</v>
      </c>
      <c r="D51" s="388">
        <f t="shared" si="6"/>
        <v>154264.93600000002</v>
      </c>
      <c r="E51" s="392">
        <f t="shared" si="7"/>
        <v>72061.801999999996</v>
      </c>
      <c r="F51" s="428">
        <f t="shared" si="0"/>
        <v>0.92452829999999997</v>
      </c>
      <c r="G51" s="390">
        <f t="shared" si="1"/>
        <v>66.623199999999997</v>
      </c>
      <c r="H51" s="391">
        <f t="shared" si="2"/>
        <v>226394.28572830002</v>
      </c>
      <c r="I51" s="324">
        <v>72000</v>
      </c>
      <c r="J51" s="325"/>
      <c r="K51" s="325"/>
      <c r="L51" s="317">
        <v>72061.801999999996</v>
      </c>
      <c r="M51" s="318"/>
      <c r="N51" s="318"/>
      <c r="O51" s="318"/>
      <c r="P51" s="392">
        <f t="shared" si="8"/>
        <v>72061.801999999996</v>
      </c>
      <c r="Q51" s="392">
        <f t="shared" si="3"/>
        <v>0</v>
      </c>
      <c r="R51" s="392">
        <f t="shared" si="4"/>
        <v>0</v>
      </c>
      <c r="S51" s="522">
        <v>73835</v>
      </c>
      <c r="T51" s="374"/>
      <c r="U51" s="524">
        <f t="shared" si="9"/>
        <v>1835</v>
      </c>
      <c r="V51" s="520">
        <f t="shared" si="10"/>
        <v>72000</v>
      </c>
      <c r="W51" s="520">
        <f t="shared" si="11"/>
        <v>68301.400115254539</v>
      </c>
      <c r="X51" s="520">
        <f t="shared" si="12"/>
        <v>3698.5998847454612</v>
      </c>
      <c r="Y51" s="525">
        <f t="shared" ref="Y51:Y78" si="13">Y50+X51</f>
        <v>147014.00130609155</v>
      </c>
    </row>
    <row r="52" spans="3:25" x14ac:dyDescent="0.2">
      <c r="C52" s="387">
        <f t="shared" si="5"/>
        <v>42617</v>
      </c>
      <c r="D52" s="388">
        <f t="shared" si="6"/>
        <v>154264.93600000002</v>
      </c>
      <c r="E52" s="392">
        <f t="shared" si="7"/>
        <v>74006.600000000006</v>
      </c>
      <c r="F52" s="428">
        <f t="shared" si="0"/>
        <v>0.92452829999999997</v>
      </c>
      <c r="G52" s="390">
        <f t="shared" si="1"/>
        <v>68.421199999999999</v>
      </c>
      <c r="H52" s="391">
        <f t="shared" si="2"/>
        <v>228340.88172830004</v>
      </c>
      <c r="I52" s="324">
        <v>72000</v>
      </c>
      <c r="J52" s="325"/>
      <c r="K52" s="325"/>
      <c r="L52" s="319">
        <v>74006.600000000006</v>
      </c>
      <c r="M52" s="320"/>
      <c r="N52" s="320"/>
      <c r="O52" s="320"/>
      <c r="P52" s="392">
        <f t="shared" si="8"/>
        <v>74006.600000000006</v>
      </c>
      <c r="Q52" s="392">
        <f t="shared" si="3"/>
        <v>0</v>
      </c>
      <c r="R52" s="392">
        <f t="shared" si="4"/>
        <v>0</v>
      </c>
      <c r="S52" s="522">
        <v>73835</v>
      </c>
      <c r="T52" s="374"/>
      <c r="U52" s="524">
        <f t="shared" si="9"/>
        <v>1835</v>
      </c>
      <c r="V52" s="520">
        <f t="shared" si="10"/>
        <v>72000</v>
      </c>
      <c r="W52" s="520">
        <f t="shared" si="11"/>
        <v>70144.712697714625</v>
      </c>
      <c r="X52" s="520">
        <f t="shared" si="12"/>
        <v>1855.2873022853746</v>
      </c>
      <c r="Y52" s="525">
        <f t="shared" si="13"/>
        <v>148869.28860837693</v>
      </c>
    </row>
    <row r="53" spans="3:25" x14ac:dyDescent="0.2">
      <c r="C53" s="387">
        <f t="shared" si="5"/>
        <v>42618</v>
      </c>
      <c r="D53" s="388">
        <f t="shared" si="6"/>
        <v>154264.93600000002</v>
      </c>
      <c r="E53" s="392">
        <f t="shared" si="7"/>
        <v>74381.13</v>
      </c>
      <c r="F53" s="428">
        <f t="shared" si="0"/>
        <v>0.92452829999999997</v>
      </c>
      <c r="G53" s="390">
        <f t="shared" si="1"/>
        <v>68.767499999999998</v>
      </c>
      <c r="H53" s="391">
        <f t="shared" si="2"/>
        <v>228715.75802830001</v>
      </c>
      <c r="I53" s="324">
        <v>72000</v>
      </c>
      <c r="J53" s="325"/>
      <c r="K53" s="325"/>
      <c r="L53" s="317">
        <v>74381.13</v>
      </c>
      <c r="M53" s="318"/>
      <c r="N53" s="318"/>
      <c r="O53" s="318"/>
      <c r="P53" s="392">
        <f t="shared" si="8"/>
        <v>74381.13</v>
      </c>
      <c r="Q53" s="392">
        <f t="shared" si="3"/>
        <v>0</v>
      </c>
      <c r="R53" s="392">
        <f t="shared" si="4"/>
        <v>0</v>
      </c>
      <c r="S53" s="522">
        <v>73835</v>
      </c>
      <c r="T53" s="374"/>
      <c r="U53" s="524">
        <f t="shared" si="9"/>
        <v>1835</v>
      </c>
      <c r="V53" s="520">
        <f t="shared" si="10"/>
        <v>72000</v>
      </c>
      <c r="W53" s="520">
        <f t="shared" si="11"/>
        <v>70499.698594197849</v>
      </c>
      <c r="X53" s="520">
        <f t="shared" si="12"/>
        <v>1500.3014058021508</v>
      </c>
      <c r="Y53" s="525">
        <f t="shared" si="13"/>
        <v>150369.59001417906</v>
      </c>
    </row>
    <row r="54" spans="3:25" x14ac:dyDescent="0.2">
      <c r="C54" s="387">
        <f t="shared" si="5"/>
        <v>42619</v>
      </c>
      <c r="D54" s="388">
        <f t="shared" si="6"/>
        <v>154264.93600000002</v>
      </c>
      <c r="E54" s="392">
        <f t="shared" si="7"/>
        <v>71830.22</v>
      </c>
      <c r="F54" s="428">
        <f t="shared" si="0"/>
        <v>0.92452829999999997</v>
      </c>
      <c r="G54" s="390">
        <f t="shared" si="1"/>
        <v>66.409099999999995</v>
      </c>
      <c r="H54" s="391">
        <f t="shared" si="2"/>
        <v>226162.48962830001</v>
      </c>
      <c r="I54" s="324">
        <v>72000</v>
      </c>
      <c r="J54" s="325"/>
      <c r="K54" s="325"/>
      <c r="L54" s="319">
        <v>71830.22</v>
      </c>
      <c r="M54" s="320"/>
      <c r="N54" s="320"/>
      <c r="O54" s="320"/>
      <c r="P54" s="392">
        <f t="shared" si="8"/>
        <v>71830.22</v>
      </c>
      <c r="Q54" s="392">
        <f t="shared" si="3"/>
        <v>0</v>
      </c>
      <c r="R54" s="392">
        <f t="shared" si="4"/>
        <v>0</v>
      </c>
      <c r="S54" s="522">
        <v>73835</v>
      </c>
      <c r="T54" s="374"/>
      <c r="U54" s="524">
        <f t="shared" si="9"/>
        <v>1835</v>
      </c>
      <c r="V54" s="520">
        <f t="shared" si="10"/>
        <v>72000</v>
      </c>
      <c r="W54" s="520">
        <f t="shared" si="11"/>
        <v>68081.902761559584</v>
      </c>
      <c r="X54" s="520">
        <f t="shared" si="12"/>
        <v>3918.0972384404158</v>
      </c>
      <c r="Y54" s="525">
        <f t="shared" si="13"/>
        <v>154287.68725261948</v>
      </c>
    </row>
    <row r="55" spans="3:25" x14ac:dyDescent="0.2">
      <c r="C55" s="387">
        <f t="shared" si="5"/>
        <v>42620</v>
      </c>
      <c r="D55" s="388">
        <f t="shared" si="6"/>
        <v>154264.93600000002</v>
      </c>
      <c r="E55" s="392">
        <f t="shared" si="7"/>
        <v>71818.09</v>
      </c>
      <c r="F55" s="428">
        <f t="shared" si="0"/>
        <v>0.92452829999999997</v>
      </c>
      <c r="G55" s="390">
        <f t="shared" si="1"/>
        <v>66.397900000000007</v>
      </c>
      <c r="H55" s="391">
        <f t="shared" si="2"/>
        <v>226150.34842830003</v>
      </c>
      <c r="I55" s="324">
        <v>72000</v>
      </c>
      <c r="J55" s="325"/>
      <c r="K55" s="325"/>
      <c r="L55" s="317">
        <v>71818.09</v>
      </c>
      <c r="M55" s="318"/>
      <c r="N55" s="318"/>
      <c r="O55" s="318"/>
      <c r="P55" s="392">
        <f t="shared" si="8"/>
        <v>71818.09</v>
      </c>
      <c r="Q55" s="392">
        <f t="shared" si="3"/>
        <v>0</v>
      </c>
      <c r="R55" s="392">
        <f t="shared" si="4"/>
        <v>0</v>
      </c>
      <c r="S55" s="522">
        <v>73835</v>
      </c>
      <c r="T55" s="374"/>
      <c r="U55" s="524">
        <f t="shared" si="9"/>
        <v>1835</v>
      </c>
      <c r="V55" s="520">
        <f t="shared" si="10"/>
        <v>72000</v>
      </c>
      <c r="W55" s="520">
        <f t="shared" si="11"/>
        <v>68070.405741496186</v>
      </c>
      <c r="X55" s="520">
        <f t="shared" si="12"/>
        <v>3929.5942585038138</v>
      </c>
      <c r="Y55" s="525">
        <f t="shared" si="13"/>
        <v>158217.28151112329</v>
      </c>
    </row>
    <row r="56" spans="3:25" x14ac:dyDescent="0.2">
      <c r="C56" s="387">
        <f t="shared" si="5"/>
        <v>42621</v>
      </c>
      <c r="D56" s="388">
        <f t="shared" si="6"/>
        <v>154264.93600000002</v>
      </c>
      <c r="E56" s="392">
        <f t="shared" si="7"/>
        <v>71933.34</v>
      </c>
      <c r="F56" s="428">
        <f t="shared" si="0"/>
        <v>0.92452829999999997</v>
      </c>
      <c r="G56" s="390">
        <f t="shared" si="1"/>
        <v>66.504400000000004</v>
      </c>
      <c r="H56" s="391">
        <f t="shared" si="2"/>
        <v>226265.70492830002</v>
      </c>
      <c r="I56" s="324">
        <v>72000</v>
      </c>
      <c r="J56" s="325"/>
      <c r="K56" s="325"/>
      <c r="L56" s="319">
        <v>71933.34</v>
      </c>
      <c r="M56" s="320"/>
      <c r="N56" s="320"/>
      <c r="O56" s="320"/>
      <c r="P56" s="392">
        <f t="shared" si="8"/>
        <v>71933.34</v>
      </c>
      <c r="Q56" s="392">
        <f t="shared" si="3"/>
        <v>0</v>
      </c>
      <c r="R56" s="392">
        <f t="shared" si="4"/>
        <v>0</v>
      </c>
      <c r="S56" s="522">
        <v>73835</v>
      </c>
      <c r="T56" s="374"/>
      <c r="U56" s="524">
        <f t="shared" si="9"/>
        <v>1835</v>
      </c>
      <c r="V56" s="520">
        <f t="shared" si="10"/>
        <v>72000</v>
      </c>
      <c r="W56" s="520">
        <f t="shared" si="11"/>
        <v>68179.641649353202</v>
      </c>
      <c r="X56" s="520">
        <f t="shared" si="12"/>
        <v>3820.3583506467985</v>
      </c>
      <c r="Y56" s="525">
        <f t="shared" si="13"/>
        <v>162037.63986177009</v>
      </c>
    </row>
    <row r="57" spans="3:25" x14ac:dyDescent="0.2">
      <c r="C57" s="387">
        <f t="shared" si="5"/>
        <v>42622</v>
      </c>
      <c r="D57" s="388">
        <f t="shared" si="6"/>
        <v>154264.93600000002</v>
      </c>
      <c r="E57" s="392">
        <f t="shared" si="7"/>
        <v>73453.05</v>
      </c>
      <c r="F57" s="428">
        <f t="shared" si="0"/>
        <v>0.92452829999999997</v>
      </c>
      <c r="G57" s="390">
        <f t="shared" si="1"/>
        <v>67.909400000000005</v>
      </c>
      <c r="H57" s="391">
        <f t="shared" si="2"/>
        <v>227786.81992830004</v>
      </c>
      <c r="I57" s="324">
        <v>72000</v>
      </c>
      <c r="J57" s="325"/>
      <c r="K57" s="325"/>
      <c r="L57" s="317">
        <v>73453.05</v>
      </c>
      <c r="M57" s="318"/>
      <c r="N57" s="318"/>
      <c r="O57" s="318"/>
      <c r="P57" s="392">
        <f t="shared" si="8"/>
        <v>73453.05</v>
      </c>
      <c r="Q57" s="392">
        <f t="shared" si="3"/>
        <v>0</v>
      </c>
      <c r="R57" s="392">
        <f t="shared" si="4"/>
        <v>0</v>
      </c>
      <c r="S57" s="522">
        <v>73835</v>
      </c>
      <c r="T57" s="374"/>
      <c r="U57" s="524">
        <f t="shared" si="9"/>
        <v>1835</v>
      </c>
      <c r="V57" s="520">
        <f t="shared" si="10"/>
        <v>72000</v>
      </c>
      <c r="W57" s="520">
        <f t="shared" si="11"/>
        <v>69620.048604055148</v>
      </c>
      <c r="X57" s="520">
        <f t="shared" si="12"/>
        <v>2379.9513959448523</v>
      </c>
      <c r="Y57" s="525">
        <f t="shared" si="13"/>
        <v>164417.59125771496</v>
      </c>
    </row>
    <row r="58" spans="3:25" x14ac:dyDescent="0.2">
      <c r="C58" s="387">
        <f t="shared" si="5"/>
        <v>42623</v>
      </c>
      <c r="D58" s="388">
        <f t="shared" si="6"/>
        <v>154264.93600000002</v>
      </c>
      <c r="E58" s="392">
        <f t="shared" si="7"/>
        <v>71064.45</v>
      </c>
      <c r="F58" s="428">
        <f t="shared" si="0"/>
        <v>0.92452829999999997</v>
      </c>
      <c r="G58" s="390">
        <f t="shared" si="1"/>
        <v>65.701099999999997</v>
      </c>
      <c r="H58" s="391">
        <f t="shared" si="2"/>
        <v>225396.01162830001</v>
      </c>
      <c r="I58" s="324">
        <v>72000</v>
      </c>
      <c r="J58" s="325"/>
      <c r="K58" s="325"/>
      <c r="L58" s="319">
        <v>71064.45</v>
      </c>
      <c r="M58" s="320"/>
      <c r="N58" s="320"/>
      <c r="O58" s="320"/>
      <c r="P58" s="392">
        <f t="shared" si="8"/>
        <v>71064.45</v>
      </c>
      <c r="Q58" s="392">
        <f t="shared" si="3"/>
        <v>0</v>
      </c>
      <c r="R58" s="392">
        <f t="shared" si="4"/>
        <v>0</v>
      </c>
      <c r="S58" s="522">
        <v>73835</v>
      </c>
      <c r="T58" s="374"/>
      <c r="U58" s="524">
        <f t="shared" si="9"/>
        <v>1835</v>
      </c>
      <c r="V58" s="520">
        <f t="shared" si="10"/>
        <v>72000</v>
      </c>
      <c r="W58" s="520">
        <f t="shared" si="11"/>
        <v>67356.092946725097</v>
      </c>
      <c r="X58" s="520">
        <f t="shared" si="12"/>
        <v>4643.9070532749029</v>
      </c>
      <c r="Y58" s="525">
        <f t="shared" si="13"/>
        <v>169061.49831098987</v>
      </c>
    </row>
    <row r="59" spans="3:25" x14ac:dyDescent="0.2">
      <c r="C59" s="387">
        <f t="shared" si="5"/>
        <v>42624</v>
      </c>
      <c r="D59" s="388">
        <f t="shared" si="6"/>
        <v>154264.93600000002</v>
      </c>
      <c r="E59" s="392">
        <f t="shared" si="7"/>
        <v>72316.58</v>
      </c>
      <c r="F59" s="428">
        <f t="shared" si="0"/>
        <v>0.92452829999999997</v>
      </c>
      <c r="G59" s="390">
        <f t="shared" si="1"/>
        <v>66.858699999999999</v>
      </c>
      <c r="H59" s="391">
        <f t="shared" si="2"/>
        <v>226649.29922830002</v>
      </c>
      <c r="I59" s="324">
        <v>72000</v>
      </c>
      <c r="J59" s="325"/>
      <c r="K59" s="325"/>
      <c r="L59" s="317">
        <v>72316.58</v>
      </c>
      <c r="M59" s="318"/>
      <c r="N59" s="318"/>
      <c r="O59" s="318"/>
      <c r="P59" s="392">
        <f t="shared" si="8"/>
        <v>72316.58</v>
      </c>
      <c r="Q59" s="392">
        <f t="shared" si="3"/>
        <v>0</v>
      </c>
      <c r="R59" s="392">
        <f t="shared" si="4"/>
        <v>0</v>
      </c>
      <c r="S59" s="522">
        <v>73835</v>
      </c>
      <c r="T59" s="374"/>
      <c r="U59" s="524">
        <f t="shared" si="9"/>
        <v>1835</v>
      </c>
      <c r="V59" s="520">
        <f t="shared" si="10"/>
        <v>72000</v>
      </c>
      <c r="W59" s="520">
        <f t="shared" si="11"/>
        <v>68542.883031801161</v>
      </c>
      <c r="X59" s="520">
        <f t="shared" si="12"/>
        <v>3457.1169681988395</v>
      </c>
      <c r="Y59" s="525">
        <f t="shared" si="13"/>
        <v>172518.61527918873</v>
      </c>
    </row>
    <row r="60" spans="3:25" x14ac:dyDescent="0.2">
      <c r="C60" s="387">
        <f t="shared" si="5"/>
        <v>42625</v>
      </c>
      <c r="D60" s="388">
        <f t="shared" si="6"/>
        <v>154264.93600000002</v>
      </c>
      <c r="E60" s="392">
        <f t="shared" si="7"/>
        <v>74237.33</v>
      </c>
      <c r="F60" s="428">
        <f t="shared" si="0"/>
        <v>0.92452829999999997</v>
      </c>
      <c r="G60" s="390">
        <f t="shared" si="1"/>
        <v>68.634500000000003</v>
      </c>
      <c r="H60" s="391">
        <f t="shared" si="2"/>
        <v>228571.82502829999</v>
      </c>
      <c r="I60" s="324">
        <v>72000</v>
      </c>
      <c r="J60" s="325"/>
      <c r="K60" s="325"/>
      <c r="L60" s="319">
        <v>74237.33</v>
      </c>
      <c r="M60" s="320"/>
      <c r="N60" s="320"/>
      <c r="O60" s="320"/>
      <c r="P60" s="392">
        <f t="shared" si="8"/>
        <v>74237.33</v>
      </c>
      <c r="Q60" s="392">
        <f t="shared" si="3"/>
        <v>0</v>
      </c>
      <c r="R60" s="392">
        <f t="shared" si="4"/>
        <v>0</v>
      </c>
      <c r="S60" s="522">
        <v>73835</v>
      </c>
      <c r="T60" s="374"/>
      <c r="U60" s="524">
        <f t="shared" si="9"/>
        <v>1835</v>
      </c>
      <c r="V60" s="520">
        <f t="shared" si="10"/>
        <v>72000</v>
      </c>
      <c r="W60" s="520">
        <f t="shared" si="11"/>
        <v>70363.402511335895</v>
      </c>
      <c r="X60" s="520">
        <f t="shared" si="12"/>
        <v>1636.5974886641052</v>
      </c>
      <c r="Y60" s="525">
        <f t="shared" si="13"/>
        <v>174155.21276785282</v>
      </c>
    </row>
    <row r="61" spans="3:25" x14ac:dyDescent="0.2">
      <c r="C61" s="387">
        <f t="shared" si="5"/>
        <v>42626</v>
      </c>
      <c r="D61" s="388">
        <f t="shared" si="6"/>
        <v>154264.93600000002</v>
      </c>
      <c r="E61" s="392">
        <f t="shared" si="7"/>
        <v>74082.69</v>
      </c>
      <c r="F61" s="428">
        <f t="shared" si="0"/>
        <v>0.92452829999999997</v>
      </c>
      <c r="G61" s="390">
        <f t="shared" si="1"/>
        <v>68.491500000000002</v>
      </c>
      <c r="H61" s="391">
        <f t="shared" si="2"/>
        <v>228417.04202830003</v>
      </c>
      <c r="I61" s="324">
        <v>75000</v>
      </c>
      <c r="J61" s="325"/>
      <c r="K61" s="325"/>
      <c r="L61" s="317">
        <v>74082.69</v>
      </c>
      <c r="M61" s="318"/>
      <c r="N61" s="318"/>
      <c r="O61" s="318"/>
      <c r="P61" s="392">
        <f t="shared" si="8"/>
        <v>74082.69</v>
      </c>
      <c r="Q61" s="392">
        <f t="shared" si="3"/>
        <v>0</v>
      </c>
      <c r="R61" s="392">
        <f t="shared" si="4"/>
        <v>0</v>
      </c>
      <c r="S61" s="522">
        <v>76911</v>
      </c>
      <c r="T61" s="374"/>
      <c r="U61" s="524">
        <f t="shared" si="9"/>
        <v>1911</v>
      </c>
      <c r="V61" s="520">
        <f t="shared" si="10"/>
        <v>75000</v>
      </c>
      <c r="W61" s="520">
        <f t="shared" si="11"/>
        <v>70216.832092324956</v>
      </c>
      <c r="X61" s="520">
        <f t="shared" si="12"/>
        <v>4783.1679076750443</v>
      </c>
      <c r="Y61" s="525">
        <f t="shared" si="13"/>
        <v>178938.38067552785</v>
      </c>
    </row>
    <row r="62" spans="3:25" x14ac:dyDescent="0.2">
      <c r="C62" s="387">
        <f t="shared" si="5"/>
        <v>42627</v>
      </c>
      <c r="D62" s="388">
        <f t="shared" si="6"/>
        <v>154264.93600000002</v>
      </c>
      <c r="E62" s="392">
        <f t="shared" si="7"/>
        <v>74135.41</v>
      </c>
      <c r="F62" s="428">
        <f t="shared" si="0"/>
        <v>0.92452829999999997</v>
      </c>
      <c r="G62" s="390">
        <f t="shared" si="1"/>
        <v>68.540300000000002</v>
      </c>
      <c r="H62" s="391">
        <f t="shared" si="2"/>
        <v>228469.81082830002</v>
      </c>
      <c r="I62" s="324">
        <v>74999</v>
      </c>
      <c r="J62" s="325"/>
      <c r="K62" s="325"/>
      <c r="L62" s="319">
        <v>74135.41</v>
      </c>
      <c r="M62" s="320"/>
      <c r="N62" s="320"/>
      <c r="O62" s="320"/>
      <c r="P62" s="392">
        <f t="shared" si="8"/>
        <v>74135.41</v>
      </c>
      <c r="Q62" s="392">
        <f t="shared" si="3"/>
        <v>0</v>
      </c>
      <c r="R62" s="392">
        <f t="shared" si="4"/>
        <v>0</v>
      </c>
      <c r="S62" s="522">
        <v>76911</v>
      </c>
      <c r="T62" s="374"/>
      <c r="U62" s="524">
        <f t="shared" si="9"/>
        <v>1912</v>
      </c>
      <c r="V62" s="520">
        <f t="shared" si="10"/>
        <v>74999</v>
      </c>
      <c r="W62" s="520">
        <f t="shared" si="11"/>
        <v>70266.801003927758</v>
      </c>
      <c r="X62" s="520">
        <f t="shared" si="12"/>
        <v>4732.1989960722422</v>
      </c>
      <c r="Y62" s="525">
        <f t="shared" si="13"/>
        <v>183670.57967160008</v>
      </c>
    </row>
    <row r="63" spans="3:25" x14ac:dyDescent="0.2">
      <c r="C63" s="387">
        <f t="shared" si="5"/>
        <v>42628</v>
      </c>
      <c r="D63" s="388">
        <f t="shared" si="6"/>
        <v>154264.93600000002</v>
      </c>
      <c r="E63" s="392">
        <f t="shared" si="7"/>
        <v>72686.45</v>
      </c>
      <c r="F63" s="428">
        <f t="shared" si="0"/>
        <v>0.92452829999999997</v>
      </c>
      <c r="G63" s="390">
        <f t="shared" si="1"/>
        <v>67.200699999999998</v>
      </c>
      <c r="H63" s="391">
        <f t="shared" si="2"/>
        <v>227019.51122829999</v>
      </c>
      <c r="I63" s="324">
        <v>74999</v>
      </c>
      <c r="J63" s="325"/>
      <c r="K63" s="325"/>
      <c r="L63" s="317">
        <v>72686.45</v>
      </c>
      <c r="M63" s="318"/>
      <c r="N63" s="318"/>
      <c r="O63" s="318"/>
      <c r="P63" s="392">
        <f t="shared" si="8"/>
        <v>72686.45</v>
      </c>
      <c r="Q63" s="392">
        <f t="shared" si="3"/>
        <v>0</v>
      </c>
      <c r="R63" s="392">
        <f t="shared" si="4"/>
        <v>0</v>
      </c>
      <c r="S63" s="522">
        <v>76911</v>
      </c>
      <c r="T63" s="374"/>
      <c r="U63" s="524">
        <f t="shared" si="9"/>
        <v>1912</v>
      </c>
      <c r="V63" s="520">
        <f t="shared" si="10"/>
        <v>74999</v>
      </c>
      <c r="W63" s="520">
        <f t="shared" si="11"/>
        <v>68893.452101120696</v>
      </c>
      <c r="X63" s="520">
        <f t="shared" si="12"/>
        <v>6105.5478988793038</v>
      </c>
      <c r="Y63" s="525">
        <f t="shared" si="13"/>
        <v>189776.12757047938</v>
      </c>
    </row>
    <row r="64" spans="3:25" x14ac:dyDescent="0.2">
      <c r="C64" s="387">
        <f t="shared" si="5"/>
        <v>42629</v>
      </c>
      <c r="D64" s="388">
        <f t="shared" si="6"/>
        <v>154264.93600000002</v>
      </c>
      <c r="E64" s="392">
        <f t="shared" si="7"/>
        <v>73212.133000000002</v>
      </c>
      <c r="F64" s="428">
        <f t="shared" si="0"/>
        <v>0.92452829999999997</v>
      </c>
      <c r="G64" s="390">
        <f t="shared" si="1"/>
        <v>67.686700000000002</v>
      </c>
      <c r="H64" s="391">
        <f t="shared" si="2"/>
        <v>227545.68022830001</v>
      </c>
      <c r="I64" s="324">
        <v>72000</v>
      </c>
      <c r="J64" s="325"/>
      <c r="K64" s="325"/>
      <c r="L64" s="319">
        <v>73212.133000000002</v>
      </c>
      <c r="M64" s="320"/>
      <c r="N64" s="320"/>
      <c r="O64" s="320"/>
      <c r="P64" s="392">
        <f t="shared" si="8"/>
        <v>73212.133000000002</v>
      </c>
      <c r="Q64" s="392">
        <f t="shared" si="3"/>
        <v>0</v>
      </c>
      <c r="R64" s="392">
        <f t="shared" si="4"/>
        <v>0</v>
      </c>
      <c r="S64" s="522">
        <v>73835</v>
      </c>
      <c r="T64" s="374"/>
      <c r="U64" s="524">
        <f t="shared" si="9"/>
        <v>1835</v>
      </c>
      <c r="V64" s="520">
        <f t="shared" si="10"/>
        <v>72000</v>
      </c>
      <c r="W64" s="520">
        <f t="shared" si="11"/>
        <v>69391.703378777995</v>
      </c>
      <c r="X64" s="520">
        <f t="shared" si="12"/>
        <v>2608.2966212220053</v>
      </c>
      <c r="Y64" s="525">
        <f t="shared" si="13"/>
        <v>192384.4241917014</v>
      </c>
    </row>
    <row r="65" spans="3:38" x14ac:dyDescent="0.2">
      <c r="C65" s="387">
        <f t="shared" si="5"/>
        <v>42630</v>
      </c>
      <c r="D65" s="388">
        <f t="shared" si="6"/>
        <v>154264.93600000002</v>
      </c>
      <c r="E65" s="392">
        <f t="shared" si="7"/>
        <v>72271.600000000006</v>
      </c>
      <c r="F65" s="428">
        <f t="shared" si="0"/>
        <v>0.92452829999999997</v>
      </c>
      <c r="G65" s="390">
        <f t="shared" si="1"/>
        <v>66.817099999999996</v>
      </c>
      <c r="H65" s="391">
        <f t="shared" si="2"/>
        <v>226604.27762830001</v>
      </c>
      <c r="I65" s="324">
        <v>72000</v>
      </c>
      <c r="J65" s="325"/>
      <c r="K65" s="325"/>
      <c r="L65" s="317">
        <v>72271.600000000006</v>
      </c>
      <c r="M65" s="318"/>
      <c r="N65" s="318"/>
      <c r="O65" s="318"/>
      <c r="P65" s="392">
        <f t="shared" si="8"/>
        <v>72271.600000000006</v>
      </c>
      <c r="Q65" s="392">
        <f t="shared" si="3"/>
        <v>0</v>
      </c>
      <c r="R65" s="392">
        <f t="shared" si="4"/>
        <v>0</v>
      </c>
      <c r="S65" s="522">
        <v>73835</v>
      </c>
      <c r="T65" s="374"/>
      <c r="U65" s="524">
        <f t="shared" si="9"/>
        <v>1835</v>
      </c>
      <c r="V65" s="520">
        <f t="shared" si="10"/>
        <v>72000</v>
      </c>
      <c r="W65" s="520">
        <f t="shared" si="11"/>
        <v>68500.250223684809</v>
      </c>
      <c r="X65" s="520">
        <f t="shared" si="12"/>
        <v>3499.7497763151914</v>
      </c>
      <c r="Y65" s="525">
        <f t="shared" si="13"/>
        <v>195884.17396801658</v>
      </c>
    </row>
    <row r="66" spans="3:38" x14ac:dyDescent="0.2">
      <c r="C66" s="387">
        <f t="shared" si="5"/>
        <v>42631</v>
      </c>
      <c r="D66" s="388">
        <f t="shared" si="6"/>
        <v>154264.93600000002</v>
      </c>
      <c r="E66" s="392">
        <f t="shared" si="7"/>
        <v>71407.69</v>
      </c>
      <c r="F66" s="428">
        <f t="shared" si="0"/>
        <v>0.92452829999999997</v>
      </c>
      <c r="G66" s="390">
        <f t="shared" si="1"/>
        <v>66.0184</v>
      </c>
      <c r="H66" s="391">
        <f t="shared" si="2"/>
        <v>225739.56892830002</v>
      </c>
      <c r="I66" s="324">
        <v>72000</v>
      </c>
      <c r="J66" s="325"/>
      <c r="K66" s="325"/>
      <c r="L66" s="319">
        <v>71407.69</v>
      </c>
      <c r="M66" s="320"/>
      <c r="N66" s="320"/>
      <c r="O66" s="320"/>
      <c r="P66" s="392">
        <f t="shared" si="8"/>
        <v>71407.69</v>
      </c>
      <c r="Q66" s="392">
        <f t="shared" si="3"/>
        <v>0</v>
      </c>
      <c r="R66" s="392">
        <f t="shared" si="4"/>
        <v>0</v>
      </c>
      <c r="S66" s="522">
        <v>73835</v>
      </c>
      <c r="T66" s="374"/>
      <c r="U66" s="524">
        <f t="shared" si="9"/>
        <v>1835</v>
      </c>
      <c r="V66" s="520">
        <f t="shared" si="10"/>
        <v>72000</v>
      </c>
      <c r="W66" s="520">
        <f t="shared" si="11"/>
        <v>67681.42164965652</v>
      </c>
      <c r="X66" s="520">
        <f t="shared" si="12"/>
        <v>4318.5783503434795</v>
      </c>
      <c r="Y66" s="525">
        <f t="shared" si="13"/>
        <v>200202.75231836006</v>
      </c>
    </row>
    <row r="67" spans="3:38" x14ac:dyDescent="0.2">
      <c r="C67" s="387">
        <f t="shared" si="5"/>
        <v>42632</v>
      </c>
      <c r="D67" s="388">
        <f t="shared" si="6"/>
        <v>154264.93600000002</v>
      </c>
      <c r="E67" s="392">
        <f t="shared" si="7"/>
        <v>73493.679999999993</v>
      </c>
      <c r="F67" s="428">
        <f t="shared" si="0"/>
        <v>0.92452829999999997</v>
      </c>
      <c r="G67" s="390">
        <f t="shared" si="1"/>
        <v>67.947000000000003</v>
      </c>
      <c r="H67" s="391">
        <f t="shared" si="2"/>
        <v>227827.4875283</v>
      </c>
      <c r="I67" s="324">
        <v>72000</v>
      </c>
      <c r="J67" s="325"/>
      <c r="K67" s="325"/>
      <c r="L67" s="317">
        <v>73493.679999999993</v>
      </c>
      <c r="M67" s="318"/>
      <c r="N67" s="318"/>
      <c r="O67" s="318"/>
      <c r="P67" s="392">
        <f t="shared" si="8"/>
        <v>73493.679999999993</v>
      </c>
      <c r="Q67" s="392">
        <f t="shared" si="3"/>
        <v>0</v>
      </c>
      <c r="R67" s="392">
        <f t="shared" si="4"/>
        <v>0</v>
      </c>
      <c r="S67" s="522">
        <v>73835</v>
      </c>
      <c r="T67" s="374"/>
      <c r="U67" s="524">
        <f t="shared" si="9"/>
        <v>1835</v>
      </c>
      <c r="V67" s="520">
        <f t="shared" si="10"/>
        <v>72000</v>
      </c>
      <c r="W67" s="520">
        <f t="shared" si="11"/>
        <v>69658.558408274053</v>
      </c>
      <c r="X67" s="520">
        <f t="shared" si="12"/>
        <v>2341.4415917259466</v>
      </c>
      <c r="Y67" s="525">
        <f t="shared" si="13"/>
        <v>202544.193910086</v>
      </c>
    </row>
    <row r="68" spans="3:38" x14ac:dyDescent="0.2">
      <c r="C68" s="387">
        <f t="shared" si="5"/>
        <v>42633</v>
      </c>
      <c r="D68" s="388">
        <f t="shared" si="6"/>
        <v>154264.93600000002</v>
      </c>
      <c r="E68" s="392">
        <f t="shared" si="7"/>
        <v>74212.747000000003</v>
      </c>
      <c r="F68" s="428">
        <f t="shared" si="0"/>
        <v>0.92452829999999997</v>
      </c>
      <c r="G68" s="390">
        <f t="shared" si="1"/>
        <v>68.611800000000002</v>
      </c>
      <c r="H68" s="391">
        <f t="shared" si="2"/>
        <v>228547.21932830004</v>
      </c>
      <c r="I68" s="324">
        <v>72000</v>
      </c>
      <c r="J68" s="325"/>
      <c r="K68" s="325"/>
      <c r="L68" s="319">
        <v>74212.747000000003</v>
      </c>
      <c r="M68" s="320"/>
      <c r="N68" s="320"/>
      <c r="O68" s="320"/>
      <c r="P68" s="392">
        <f t="shared" si="8"/>
        <v>74212.747000000003</v>
      </c>
      <c r="Q68" s="392">
        <f t="shared" si="3"/>
        <v>0</v>
      </c>
      <c r="R68" s="392">
        <f t="shared" si="4"/>
        <v>0</v>
      </c>
      <c r="S68" s="522">
        <v>73835</v>
      </c>
      <c r="T68" s="374"/>
      <c r="U68" s="524">
        <f t="shared" si="9"/>
        <v>1835</v>
      </c>
      <c r="V68" s="520">
        <f t="shared" si="10"/>
        <v>72000</v>
      </c>
      <c r="W68" s="520">
        <f t="shared" si="11"/>
        <v>70340.102326322012</v>
      </c>
      <c r="X68" s="520">
        <f t="shared" si="12"/>
        <v>1659.8976736779878</v>
      </c>
      <c r="Y68" s="525">
        <f t="shared" si="13"/>
        <v>204204.09158376401</v>
      </c>
    </row>
    <row r="69" spans="3:38" x14ac:dyDescent="0.2">
      <c r="C69" s="387">
        <f t="shared" si="5"/>
        <v>42634</v>
      </c>
      <c r="D69" s="388">
        <f t="shared" si="6"/>
        <v>154264.93600000002</v>
      </c>
      <c r="E69" s="392">
        <f t="shared" si="7"/>
        <v>74064.27</v>
      </c>
      <c r="F69" s="428">
        <f t="shared" si="0"/>
        <v>0.92452829999999997</v>
      </c>
      <c r="G69" s="390">
        <f t="shared" si="1"/>
        <v>68.474500000000006</v>
      </c>
      <c r="H69" s="391">
        <f t="shared" si="2"/>
        <v>228398.60502830002</v>
      </c>
      <c r="I69" s="324">
        <v>71000</v>
      </c>
      <c r="J69" s="325"/>
      <c r="K69" s="325"/>
      <c r="L69" s="317">
        <v>74064.27</v>
      </c>
      <c r="M69" s="318"/>
      <c r="N69" s="318"/>
      <c r="O69" s="318"/>
      <c r="P69" s="392">
        <f t="shared" si="8"/>
        <v>74064.27</v>
      </c>
      <c r="Q69" s="392">
        <f t="shared" si="3"/>
        <v>0</v>
      </c>
      <c r="R69" s="392">
        <f t="shared" si="4"/>
        <v>0</v>
      </c>
      <c r="S69" s="522">
        <v>72809</v>
      </c>
      <c r="T69" s="374"/>
      <c r="U69" s="524">
        <f t="shared" si="9"/>
        <v>1809</v>
      </c>
      <c r="V69" s="520">
        <f t="shared" si="10"/>
        <v>71000</v>
      </c>
      <c r="W69" s="520">
        <f t="shared" si="11"/>
        <v>70199.373303407599</v>
      </c>
      <c r="X69" s="520">
        <f t="shared" si="12"/>
        <v>800.62669659240055</v>
      </c>
      <c r="Y69" s="525">
        <f t="shared" si="13"/>
        <v>205004.71828035641</v>
      </c>
    </row>
    <row r="70" spans="3:38" x14ac:dyDescent="0.2">
      <c r="C70" s="387">
        <f t="shared" si="5"/>
        <v>42635</v>
      </c>
      <c r="D70" s="388">
        <f t="shared" si="6"/>
        <v>154264.93600000002</v>
      </c>
      <c r="E70" s="392">
        <f t="shared" si="7"/>
        <v>74428.63</v>
      </c>
      <c r="F70" s="428">
        <f t="shared" si="0"/>
        <v>0.92452829999999997</v>
      </c>
      <c r="G70" s="390">
        <f t="shared" si="1"/>
        <v>68.811400000000006</v>
      </c>
      <c r="H70" s="391">
        <f t="shared" si="2"/>
        <v>228763.30192830003</v>
      </c>
      <c r="I70" s="324">
        <v>71000</v>
      </c>
      <c r="J70" s="325"/>
      <c r="K70" s="325"/>
      <c r="L70" s="319">
        <v>74428.63</v>
      </c>
      <c r="M70" s="320"/>
      <c r="N70" s="320"/>
      <c r="O70" s="320"/>
      <c r="P70" s="392">
        <f t="shared" si="8"/>
        <v>74428.63</v>
      </c>
      <c r="Q70" s="392">
        <f t="shared" si="3"/>
        <v>0</v>
      </c>
      <c r="R70" s="392">
        <f t="shared" si="4"/>
        <v>0</v>
      </c>
      <c r="S70" s="522">
        <v>72809</v>
      </c>
      <c r="T70" s="374"/>
      <c r="U70" s="524">
        <f t="shared" si="9"/>
        <v>1809</v>
      </c>
      <c r="V70" s="520">
        <f t="shared" si="10"/>
        <v>71000</v>
      </c>
      <c r="W70" s="520">
        <f t="shared" si="11"/>
        <v>70544.719901123739</v>
      </c>
      <c r="X70" s="520">
        <f t="shared" si="12"/>
        <v>455.28009887626104</v>
      </c>
      <c r="Y70" s="525">
        <f t="shared" si="13"/>
        <v>205459.99837923265</v>
      </c>
    </row>
    <row r="71" spans="3:38" x14ac:dyDescent="0.2">
      <c r="C71" s="387">
        <f t="shared" si="5"/>
        <v>42636</v>
      </c>
      <c r="D71" s="388">
        <f t="shared" si="6"/>
        <v>154264.93600000002</v>
      </c>
      <c r="E71" s="392">
        <f t="shared" si="7"/>
        <v>73442.8</v>
      </c>
      <c r="F71" s="428">
        <f t="shared" si="0"/>
        <v>0.92452829999999997</v>
      </c>
      <c r="G71" s="390">
        <f t="shared" si="1"/>
        <v>67.899900000000002</v>
      </c>
      <c r="H71" s="391">
        <f t="shared" si="2"/>
        <v>227776.56042830003</v>
      </c>
      <c r="I71" s="324">
        <v>71000</v>
      </c>
      <c r="J71" s="325"/>
      <c r="K71" s="325"/>
      <c r="L71" s="317">
        <v>73442.8</v>
      </c>
      <c r="M71" s="318"/>
      <c r="N71" s="318"/>
      <c r="O71" s="318"/>
      <c r="P71" s="392">
        <f t="shared" si="8"/>
        <v>73442.8</v>
      </c>
      <c r="Q71" s="392">
        <f t="shared" si="3"/>
        <v>0</v>
      </c>
      <c r="R71" s="392">
        <f t="shared" si="4"/>
        <v>0</v>
      </c>
      <c r="S71" s="522">
        <v>72809</v>
      </c>
      <c r="T71" s="374"/>
      <c r="U71" s="524">
        <f t="shared" si="9"/>
        <v>1809</v>
      </c>
      <c r="V71" s="520">
        <f t="shared" si="10"/>
        <v>71000</v>
      </c>
      <c r="W71" s="520">
        <f t="shared" si="11"/>
        <v>69610.333479929031</v>
      </c>
      <c r="X71" s="520">
        <f t="shared" si="12"/>
        <v>1389.6665200709685</v>
      </c>
      <c r="Y71" s="525">
        <f t="shared" si="13"/>
        <v>206849.66489930364</v>
      </c>
    </row>
    <row r="72" spans="3:38" x14ac:dyDescent="0.2">
      <c r="C72" s="387">
        <f t="shared" si="5"/>
        <v>42637</v>
      </c>
      <c r="D72" s="388">
        <f t="shared" si="6"/>
        <v>154264.93600000002</v>
      </c>
      <c r="E72" s="392">
        <f t="shared" si="7"/>
        <v>74429.22</v>
      </c>
      <c r="F72" s="428">
        <f t="shared" si="0"/>
        <v>0.92452829999999997</v>
      </c>
      <c r="G72" s="390">
        <f t="shared" si="1"/>
        <v>68.811899999999994</v>
      </c>
      <c r="H72" s="391">
        <f t="shared" si="2"/>
        <v>228763.89242830002</v>
      </c>
      <c r="I72" s="324">
        <v>71000</v>
      </c>
      <c r="J72" s="325"/>
      <c r="K72" s="325"/>
      <c r="L72" s="319">
        <v>74429.22</v>
      </c>
      <c r="M72" s="320"/>
      <c r="N72" s="320"/>
      <c r="O72" s="320"/>
      <c r="P72" s="392">
        <f t="shared" si="8"/>
        <v>74429.22</v>
      </c>
      <c r="Q72" s="392">
        <f t="shared" si="3"/>
        <v>0</v>
      </c>
      <c r="R72" s="392">
        <f t="shared" si="4"/>
        <v>0</v>
      </c>
      <c r="S72" s="522">
        <v>72809</v>
      </c>
      <c r="T72" s="374"/>
      <c r="U72" s="524">
        <f t="shared" si="9"/>
        <v>1809</v>
      </c>
      <c r="V72" s="520">
        <f t="shared" si="10"/>
        <v>71000</v>
      </c>
      <c r="W72" s="520">
        <f t="shared" si="11"/>
        <v>70545.279113146607</v>
      </c>
      <c r="X72" s="520">
        <f t="shared" si="12"/>
        <v>454.72088685339259</v>
      </c>
      <c r="Y72" s="525">
        <f t="shared" si="13"/>
        <v>207304.38578615704</v>
      </c>
    </row>
    <row r="73" spans="3:38" x14ac:dyDescent="0.2">
      <c r="C73" s="387">
        <f t="shared" si="5"/>
        <v>42638</v>
      </c>
      <c r="D73" s="388">
        <f t="shared" si="6"/>
        <v>154264.93600000002</v>
      </c>
      <c r="E73" s="392">
        <f t="shared" si="7"/>
        <v>69745.64</v>
      </c>
      <c r="F73" s="428">
        <f t="shared" si="0"/>
        <v>0.92452829999999997</v>
      </c>
      <c r="G73" s="390">
        <f t="shared" si="1"/>
        <v>64.481800000000007</v>
      </c>
      <c r="H73" s="391">
        <f t="shared" si="2"/>
        <v>224075.98232830002</v>
      </c>
      <c r="I73" s="324">
        <v>71000</v>
      </c>
      <c r="J73" s="325"/>
      <c r="K73" s="325"/>
      <c r="L73" s="317">
        <v>69745.64</v>
      </c>
      <c r="M73" s="318"/>
      <c r="N73" s="318"/>
      <c r="O73" s="318"/>
      <c r="P73" s="392">
        <f t="shared" si="8"/>
        <v>69745.64</v>
      </c>
      <c r="Q73" s="392">
        <f t="shared" si="3"/>
        <v>0</v>
      </c>
      <c r="R73" s="392">
        <f t="shared" si="4"/>
        <v>0</v>
      </c>
      <c r="S73" s="522">
        <v>72809</v>
      </c>
      <c r="T73" s="374"/>
      <c r="U73" s="524">
        <f t="shared" si="9"/>
        <v>1809</v>
      </c>
      <c r="V73" s="520">
        <f t="shared" si="10"/>
        <v>71000</v>
      </c>
      <c r="W73" s="520">
        <f t="shared" si="11"/>
        <v>66106.102424894983</v>
      </c>
      <c r="X73" s="520">
        <f t="shared" si="12"/>
        <v>4893.8975751050166</v>
      </c>
      <c r="Y73" s="525">
        <f t="shared" si="13"/>
        <v>212198.28336126206</v>
      </c>
    </row>
    <row r="74" spans="3:38" x14ac:dyDescent="0.2">
      <c r="C74" s="387">
        <f t="shared" si="5"/>
        <v>42639</v>
      </c>
      <c r="D74" s="388">
        <f t="shared" si="6"/>
        <v>154264.93600000002</v>
      </c>
      <c r="E74" s="392">
        <f t="shared" si="7"/>
        <v>63321.89</v>
      </c>
      <c r="F74" s="428">
        <f t="shared" si="0"/>
        <v>0.92452829999999997</v>
      </c>
      <c r="G74" s="390">
        <f t="shared" si="1"/>
        <v>58.542900000000003</v>
      </c>
      <c r="H74" s="391">
        <f t="shared" si="2"/>
        <v>217646.29342830001</v>
      </c>
      <c r="I74" s="324">
        <v>71000</v>
      </c>
      <c r="J74" s="325"/>
      <c r="K74" s="325"/>
      <c r="L74" s="319">
        <v>63321.89</v>
      </c>
      <c r="M74" s="320"/>
      <c r="N74" s="320"/>
      <c r="O74" s="320"/>
      <c r="P74" s="392">
        <f t="shared" si="8"/>
        <v>63321.89</v>
      </c>
      <c r="Q74" s="392">
        <f t="shared" si="3"/>
        <v>0</v>
      </c>
      <c r="R74" s="392">
        <f t="shared" si="4"/>
        <v>0</v>
      </c>
      <c r="S74" s="522">
        <v>72809</v>
      </c>
      <c r="T74" s="374"/>
      <c r="U74" s="524">
        <f t="shared" si="9"/>
        <v>1809</v>
      </c>
      <c r="V74" s="520">
        <f t="shared" si="10"/>
        <v>71000</v>
      </c>
      <c r="W74" s="520">
        <f t="shared" si="11"/>
        <v>60017.563048786033</v>
      </c>
      <c r="X74" s="520">
        <f t="shared" si="12"/>
        <v>10982.436951213967</v>
      </c>
      <c r="Y74" s="525">
        <f t="shared" si="13"/>
        <v>223180.72031247604</v>
      </c>
    </row>
    <row r="75" spans="3:38" x14ac:dyDescent="0.2">
      <c r="C75" s="387">
        <f t="shared" si="5"/>
        <v>42640</v>
      </c>
      <c r="D75" s="388">
        <f t="shared" si="6"/>
        <v>154264.93600000002</v>
      </c>
      <c r="E75" s="392">
        <f t="shared" si="7"/>
        <v>62728.062379000003</v>
      </c>
      <c r="F75" s="428">
        <f t="shared" si="0"/>
        <v>0.92452829999999997</v>
      </c>
      <c r="G75" s="390">
        <f t="shared" si="1"/>
        <v>57.993899999999996</v>
      </c>
      <c r="H75" s="391">
        <f t="shared" si="2"/>
        <v>217051.91680730003</v>
      </c>
      <c r="I75" s="324">
        <v>71000</v>
      </c>
      <c r="J75" s="325"/>
      <c r="K75" s="325"/>
      <c r="L75" s="317">
        <v>62728.062379000003</v>
      </c>
      <c r="M75" s="318"/>
      <c r="N75" s="318"/>
      <c r="O75" s="318"/>
      <c r="P75" s="392">
        <f t="shared" si="8"/>
        <v>62728.062379000003</v>
      </c>
      <c r="Q75" s="392">
        <f t="shared" si="3"/>
        <v>0</v>
      </c>
      <c r="R75" s="392">
        <f t="shared" si="4"/>
        <v>0</v>
      </c>
      <c r="S75" s="522">
        <v>72809</v>
      </c>
      <c r="T75" s="374"/>
      <c r="U75" s="524">
        <f t="shared" si="9"/>
        <v>1809</v>
      </c>
      <c r="V75" s="520">
        <f t="shared" si="10"/>
        <v>71000</v>
      </c>
      <c r="W75" s="520">
        <f t="shared" si="11"/>
        <v>59454.723141710019</v>
      </c>
      <c r="X75" s="520">
        <f t="shared" si="12"/>
        <v>11545.276858289981</v>
      </c>
      <c r="Y75" s="525">
        <f t="shared" si="13"/>
        <v>234725.99717076603</v>
      </c>
    </row>
    <row r="76" spans="3:38" x14ac:dyDescent="0.2">
      <c r="C76" s="387">
        <f t="shared" si="5"/>
        <v>42641</v>
      </c>
      <c r="D76" s="388">
        <f t="shared" si="6"/>
        <v>154264.93600000002</v>
      </c>
      <c r="E76" s="392">
        <f t="shared" si="7"/>
        <v>74199.742188000004</v>
      </c>
      <c r="F76" s="428">
        <f t="shared" si="0"/>
        <v>0.92452829999999997</v>
      </c>
      <c r="G76" s="390">
        <f t="shared" si="1"/>
        <v>68.599800000000002</v>
      </c>
      <c r="H76" s="391">
        <f t="shared" si="2"/>
        <v>228534.20251630002</v>
      </c>
      <c r="I76" s="324">
        <v>71000</v>
      </c>
      <c r="J76" s="325"/>
      <c r="K76" s="325"/>
      <c r="L76" s="319">
        <v>74199.742188000004</v>
      </c>
      <c r="M76" s="320"/>
      <c r="N76" s="320"/>
      <c r="O76" s="320"/>
      <c r="P76" s="392">
        <f t="shared" si="8"/>
        <v>74199.742188000004</v>
      </c>
      <c r="Q76" s="392">
        <f t="shared" si="3"/>
        <v>0</v>
      </c>
      <c r="R76" s="392">
        <f t="shared" si="4"/>
        <v>0</v>
      </c>
      <c r="S76" s="522">
        <v>72809</v>
      </c>
      <c r="T76" s="374"/>
      <c r="U76" s="524">
        <f t="shared" si="9"/>
        <v>1809</v>
      </c>
      <c r="V76" s="520">
        <f t="shared" si="10"/>
        <v>71000</v>
      </c>
      <c r="W76" s="520">
        <f t="shared" si="11"/>
        <v>70327.776144583797</v>
      </c>
      <c r="X76" s="520">
        <f t="shared" si="12"/>
        <v>672.22385541620315</v>
      </c>
      <c r="Y76" s="525">
        <f t="shared" si="13"/>
        <v>235398.22102618223</v>
      </c>
    </row>
    <row r="77" spans="3:38" x14ac:dyDescent="0.2">
      <c r="C77" s="387">
        <f t="shared" si="5"/>
        <v>42642</v>
      </c>
      <c r="D77" s="388">
        <f t="shared" si="6"/>
        <v>154264.93600000002</v>
      </c>
      <c r="E77" s="392">
        <f t="shared" si="7"/>
        <v>71571.46875</v>
      </c>
      <c r="F77" s="428">
        <f t="shared" si="0"/>
        <v>0.92452829999999997</v>
      </c>
      <c r="G77" s="390">
        <f t="shared" si="1"/>
        <v>66.169799999999995</v>
      </c>
      <c r="H77" s="391">
        <f t="shared" si="2"/>
        <v>225903.49907830002</v>
      </c>
      <c r="I77" s="324">
        <v>69000</v>
      </c>
      <c r="J77" s="325"/>
      <c r="K77" s="325"/>
      <c r="L77" s="317">
        <v>71571.46875</v>
      </c>
      <c r="M77" s="318"/>
      <c r="N77" s="318"/>
      <c r="O77" s="318"/>
      <c r="P77" s="392">
        <f t="shared" si="8"/>
        <v>71571.46875</v>
      </c>
      <c r="Q77" s="392">
        <f t="shared" si="3"/>
        <v>0</v>
      </c>
      <c r="R77" s="392">
        <f t="shared" si="4"/>
        <v>0</v>
      </c>
      <c r="S77" s="522">
        <v>70758</v>
      </c>
      <c r="T77" s="374"/>
      <c r="U77" s="524">
        <f t="shared" si="9"/>
        <v>1758</v>
      </c>
      <c r="V77" s="520">
        <f t="shared" si="10"/>
        <v>69000</v>
      </c>
      <c r="W77" s="520">
        <f t="shared" si="11"/>
        <v>67836.65393116574</v>
      </c>
      <c r="X77" s="520">
        <f t="shared" si="12"/>
        <v>1163.3460688342602</v>
      </c>
      <c r="Y77" s="525">
        <f t="shared" si="13"/>
        <v>236561.56709501648</v>
      </c>
    </row>
    <row r="78" spans="3:38" x14ac:dyDescent="0.2">
      <c r="C78" s="387">
        <f t="shared" si="5"/>
        <v>42643</v>
      </c>
      <c r="D78" s="388">
        <f t="shared" si="6"/>
        <v>154264.93600000002</v>
      </c>
      <c r="E78" s="392">
        <f t="shared" si="7"/>
        <v>72455.234375</v>
      </c>
      <c r="F78" s="428">
        <f t="shared" si="0"/>
        <v>0.92452829999999997</v>
      </c>
      <c r="G78" s="390">
        <f t="shared" si="1"/>
        <v>66.986900000000006</v>
      </c>
      <c r="H78" s="391">
        <f t="shared" si="2"/>
        <v>226788.08180330001</v>
      </c>
      <c r="I78" s="324">
        <v>69000</v>
      </c>
      <c r="J78" s="325"/>
      <c r="K78" s="325"/>
      <c r="L78" s="319">
        <v>72455.234375</v>
      </c>
      <c r="M78" s="320"/>
      <c r="N78" s="320"/>
      <c r="O78" s="320"/>
      <c r="P78" s="392">
        <f t="shared" si="8"/>
        <v>72455.234375</v>
      </c>
      <c r="Q78" s="392">
        <f t="shared" si="3"/>
        <v>0</v>
      </c>
      <c r="R78" s="392">
        <f t="shared" si="4"/>
        <v>0</v>
      </c>
      <c r="S78" s="522">
        <v>70758</v>
      </c>
      <c r="T78" s="374"/>
      <c r="U78" s="524">
        <f t="shared" si="9"/>
        <v>1758</v>
      </c>
      <c r="V78" s="520">
        <f t="shared" si="10"/>
        <v>69000</v>
      </c>
      <c r="W78" s="520">
        <f t="shared" si="11"/>
        <v>68674.302003874676</v>
      </c>
      <c r="X78" s="520">
        <f t="shared" si="12"/>
        <v>325.6979961253237</v>
      </c>
      <c r="Y78" s="525">
        <f t="shared" si="13"/>
        <v>236887.2650911418</v>
      </c>
    </row>
    <row r="79" spans="3:38" ht="15" thickBot="1" x14ac:dyDescent="0.25">
      <c r="C79" s="393"/>
      <c r="D79" s="394"/>
      <c r="E79" s="395"/>
      <c r="F79" s="429"/>
      <c r="G79" s="396"/>
      <c r="H79" s="397"/>
      <c r="I79" s="326"/>
      <c r="J79" s="327"/>
      <c r="K79" s="327"/>
      <c r="L79" s="321"/>
      <c r="M79" s="322"/>
      <c r="N79" s="322"/>
      <c r="O79" s="322"/>
      <c r="P79" s="395"/>
      <c r="Q79" s="395"/>
      <c r="R79" s="395"/>
      <c r="S79" s="526">
        <v>0</v>
      </c>
      <c r="T79" s="376"/>
      <c r="U79" s="521"/>
      <c r="V79" s="528"/>
      <c r="W79" s="521"/>
      <c r="X79" s="528"/>
      <c r="Y79" s="529"/>
    </row>
    <row r="80" spans="3:38" ht="15" thickBot="1" x14ac:dyDescent="0.25">
      <c r="C80" s="398"/>
      <c r="D80" s="399">
        <f>SUM(D49:D79)</f>
        <v>4627948.0800000029</v>
      </c>
      <c r="E80" s="400">
        <f>SUM(E49:E79)</f>
        <v>2166720.2196919997</v>
      </c>
      <c r="F80" s="400"/>
      <c r="G80" s="401">
        <f>SUM(G49:G79)</f>
        <v>2003.1940999999995</v>
      </c>
      <c r="H80" s="399">
        <f>SUM(H49:H79)</f>
        <v>6796699.2296410017</v>
      </c>
      <c r="I80" s="432">
        <f>SUM(I49:I79)</f>
        <v>2150998</v>
      </c>
      <c r="J80" s="432">
        <f t="shared" ref="J80:R80" si="14">SUM(J49:J79)</f>
        <v>0</v>
      </c>
      <c r="K80" s="432">
        <f t="shared" si="14"/>
        <v>0</v>
      </c>
      <c r="L80" s="432">
        <f t="shared" si="14"/>
        <v>2166720.2196919997</v>
      </c>
      <c r="M80" s="432">
        <f t="shared" si="14"/>
        <v>0</v>
      </c>
      <c r="N80" s="432">
        <f t="shared" si="14"/>
        <v>0</v>
      </c>
      <c r="O80" s="432">
        <f t="shared" si="14"/>
        <v>0</v>
      </c>
      <c r="P80" s="432">
        <f t="shared" si="14"/>
        <v>2166720.2196919997</v>
      </c>
      <c r="Q80" s="432">
        <f t="shared" si="14"/>
        <v>0</v>
      </c>
      <c r="R80" s="432">
        <f t="shared" si="14"/>
        <v>0</v>
      </c>
      <c r="U80" s="530"/>
      <c r="V80" s="328">
        <f>SUM(V49:V79)</f>
        <v>2150998</v>
      </c>
      <c r="W80" s="328">
        <f>SUM(W49:W79)</f>
        <v>2053654.2322796138</v>
      </c>
      <c r="X80" s="328">
        <f>SUM(X49:X79)</f>
        <v>97343.767720386371</v>
      </c>
      <c r="Y80" s="323">
        <f>Y78</f>
        <v>236887.2650911418</v>
      </c>
      <c r="AL80" s="361">
        <f>Y79</f>
        <v>0</v>
      </c>
    </row>
    <row r="81" spans="2:14" ht="15" customHeight="1" x14ac:dyDescent="0.2">
      <c r="B81"/>
      <c r="C81"/>
      <c r="D81"/>
      <c r="E81"/>
      <c r="F81"/>
      <c r="G81"/>
      <c r="H81"/>
      <c r="I81"/>
      <c r="J81"/>
      <c r="K81"/>
      <c r="L81"/>
      <c r="N81" s="2"/>
    </row>
  </sheetData>
  <mergeCells count="12">
    <mergeCell ref="C10:D10"/>
    <mergeCell ref="C11:D11"/>
    <mergeCell ref="C3:M4"/>
    <mergeCell ref="C5:M5"/>
    <mergeCell ref="C6:M6"/>
    <mergeCell ref="G7:H7"/>
    <mergeCell ref="C9:D9"/>
    <mergeCell ref="D23:E23"/>
    <mergeCell ref="D24:E24"/>
    <mergeCell ref="C28:F28"/>
    <mergeCell ref="C39:F39"/>
    <mergeCell ref="S47:Y47"/>
  </mergeCells>
  <conditionalFormatting sqref="L49:O79">
    <cfRule type="cellIs" dxfId="130" priority="1" stopIfTrue="1" operator="equal">
      <formula>0</formula>
    </cfRule>
  </conditionalFormatting>
  <printOptions horizontalCentered="1"/>
  <pageMargins left="0" right="0" top="0.74803149606299213" bottom="0.74803149606299213" header="0.31496062992125984" footer="0.31496062992125984"/>
  <pageSetup scale="86" fitToHeight="0" orientation="landscape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L81"/>
  <sheetViews>
    <sheetView workbookViewId="0"/>
  </sheetViews>
  <sheetFormatPr baseColWidth="10" defaultColWidth="11" defaultRowHeight="14.25" x14ac:dyDescent="0.2"/>
  <cols>
    <col min="1" max="1" width="11" style="2"/>
    <col min="2" max="2" width="3.875" style="2" bestFit="1" customWidth="1"/>
    <col min="3" max="3" width="16.125" style="2" customWidth="1"/>
    <col min="4" max="5" width="12.375" style="2" bestFit="1" customWidth="1"/>
    <col min="6" max="6" width="17.125" style="2" bestFit="1" customWidth="1"/>
    <col min="7" max="7" width="13.125" style="2" bestFit="1" customWidth="1"/>
    <col min="8" max="8" width="12.125" style="2" bestFit="1" customWidth="1"/>
    <col min="9" max="9" width="11.125" style="2" bestFit="1" customWidth="1"/>
    <col min="10" max="10" width="11.875" style="2" bestFit="1" customWidth="1"/>
    <col min="11" max="11" width="11.625" style="2" bestFit="1" customWidth="1"/>
    <col min="12" max="12" width="12.125" style="2" customWidth="1"/>
    <col min="13" max="13" width="12" style="2" bestFit="1" customWidth="1"/>
    <col min="14" max="14" width="9" style="1" customWidth="1"/>
    <col min="15" max="15" width="10.375" style="2" customWidth="1"/>
    <col min="16" max="25" width="11" style="2"/>
    <col min="26" max="32" width="10.875" customWidth="1"/>
    <col min="33" max="16384" width="11" style="2"/>
  </cols>
  <sheetData>
    <row r="2" spans="2:25" x14ac:dyDescent="0.2"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2:25" ht="15" customHeight="1" x14ac:dyDescent="0.2">
      <c r="B3" s="1"/>
      <c r="C3" s="2254" t="s">
        <v>0</v>
      </c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</row>
    <row r="4" spans="2:25" ht="15" customHeight="1" x14ac:dyDescent="0.2"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</row>
    <row r="5" spans="2:25" x14ac:dyDescent="0.2">
      <c r="B5" s="1"/>
      <c r="C5" s="2257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</row>
    <row r="6" spans="2:25" x14ac:dyDescent="0.2">
      <c r="B6" s="1"/>
      <c r="C6" s="2257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</row>
    <row r="7" spans="2:25" x14ac:dyDescent="0.2">
      <c r="B7" s="1"/>
      <c r="C7" s="468"/>
      <c r="D7" s="468"/>
      <c r="E7" s="468"/>
      <c r="F7" s="468"/>
      <c r="G7" s="2271">
        <v>42644</v>
      </c>
      <c r="H7" s="2257"/>
      <c r="I7" s="468"/>
      <c r="J7" s="468"/>
      <c r="K7" s="468"/>
      <c r="L7" s="468"/>
      <c r="M7" s="468"/>
      <c r="N7" s="18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2:25" x14ac:dyDescent="0.2">
      <c r="B8" s="1"/>
      <c r="C8" s="468"/>
      <c r="D8" s="468"/>
      <c r="E8" s="468"/>
      <c r="F8" s="468"/>
      <c r="G8" s="468"/>
      <c r="H8" s="468"/>
      <c r="I8" s="468"/>
      <c r="J8" s="468"/>
      <c r="K8" s="468"/>
      <c r="L8" s="468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2:25" ht="25.5" x14ac:dyDescent="0.2">
      <c r="B9" s="1"/>
      <c r="C9" s="2272" t="s">
        <v>6</v>
      </c>
      <c r="D9" s="2272"/>
      <c r="E9" s="470" t="s">
        <v>94</v>
      </c>
      <c r="F9" s="470" t="s">
        <v>126</v>
      </c>
      <c r="G9" s="410" t="s">
        <v>133</v>
      </c>
      <c r="H9" s="470" t="s">
        <v>127</v>
      </c>
      <c r="I9" s="470" t="s">
        <v>128</v>
      </c>
      <c r="J9" s="468"/>
      <c r="K9" s="468"/>
      <c r="L9" s="468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2:25" x14ac:dyDescent="0.2">
      <c r="B10" s="1"/>
      <c r="C10" s="2270" t="s">
        <v>131</v>
      </c>
      <c r="D10" s="2270"/>
      <c r="E10" s="433">
        <f>IF(C15=0,D15,C15)</f>
        <v>4627948.08</v>
      </c>
      <c r="F10" s="407">
        <f>E10*0.16</f>
        <v>740471.69280000008</v>
      </c>
      <c r="G10" s="407">
        <f>E10+F10</f>
        <v>5368419.7728000004</v>
      </c>
      <c r="H10" s="511" t="s">
        <v>201</v>
      </c>
      <c r="I10" s="1319">
        <v>20.614899999999999</v>
      </c>
      <c r="J10" s="468"/>
      <c r="K10" s="468"/>
      <c r="L10" s="468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2:25" x14ac:dyDescent="0.2">
      <c r="B11" s="1"/>
      <c r="C11" s="2270" t="s">
        <v>132</v>
      </c>
      <c r="D11" s="2270"/>
      <c r="E11" s="433">
        <f>IF(C16=0,D16,C16)</f>
        <v>2010.73</v>
      </c>
      <c r="F11" s="407">
        <f>E11*0.16</f>
        <v>321.71680000000003</v>
      </c>
      <c r="G11" s="407">
        <f>E11+F11</f>
        <v>2332.4468000000002</v>
      </c>
      <c r="H11" s="511" t="s">
        <v>201</v>
      </c>
      <c r="I11" s="1319">
        <v>20.614899999999999</v>
      </c>
      <c r="J11" s="468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2:25" x14ac:dyDescent="0.2">
      <c r="B12" s="1"/>
      <c r="C12" s="468"/>
      <c r="D12" s="468"/>
      <c r="E12" s="468"/>
      <c r="F12" s="468"/>
      <c r="G12" s="468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2:25" ht="15" thickBot="1" x14ac:dyDescent="0.25">
      <c r="B13" s="1"/>
      <c r="C13" s="468"/>
      <c r="D13" s="468"/>
      <c r="E13" s="468"/>
      <c r="F13" s="468"/>
      <c r="G13" s="468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2:25" x14ac:dyDescent="0.2">
      <c r="B14" s="1"/>
      <c r="C14" s="440" t="s">
        <v>155</v>
      </c>
      <c r="D14" s="441" t="s">
        <v>156</v>
      </c>
      <c r="E14" s="442" t="s">
        <v>112</v>
      </c>
      <c r="F14" s="468"/>
      <c r="G14" s="468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2:25" x14ac:dyDescent="0.2">
      <c r="B15" s="1"/>
      <c r="C15" s="443">
        <v>4627948.08</v>
      </c>
      <c r="D15" s="444">
        <f>D80</f>
        <v>4627948.0800000019</v>
      </c>
      <c r="E15" s="445">
        <f>C15-D15</f>
        <v>0</v>
      </c>
      <c r="F15" s="468"/>
      <c r="G15" s="468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2:25" ht="15" thickBot="1" x14ac:dyDescent="0.25">
      <c r="B16" s="1"/>
      <c r="C16" s="446">
        <v>2010.73</v>
      </c>
      <c r="D16" s="447">
        <f>ROUND(G80,2)</f>
        <v>2010.73</v>
      </c>
      <c r="E16" s="448">
        <f>C16-D16</f>
        <v>0</v>
      </c>
      <c r="F16" s="468"/>
      <c r="G16" s="468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2:25" x14ac:dyDescent="0.2">
      <c r="B17" s="1"/>
      <c r="C17" s="468"/>
      <c r="D17" s="468"/>
      <c r="E17" s="468"/>
      <c r="F17" s="468"/>
      <c r="G17" s="468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2:25" x14ac:dyDescent="0.2">
      <c r="B18" s="1"/>
      <c r="C18" s="468"/>
      <c r="D18" s="468"/>
      <c r="E18" s="468"/>
      <c r="F18" s="468"/>
      <c r="G18" s="468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2:25" x14ac:dyDescent="0.2">
      <c r="B19" s="1"/>
      <c r="C19" s="468"/>
      <c r="D19" s="468"/>
      <c r="E19" s="468"/>
      <c r="F19" s="468"/>
      <c r="G19" s="468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2:25" x14ac:dyDescent="0.2">
      <c r="B20" s="1"/>
      <c r="C20" s="468"/>
      <c r="D20" s="468"/>
      <c r="E20" s="468"/>
      <c r="F20" s="468"/>
      <c r="G20" s="468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2:25" x14ac:dyDescent="0.2">
      <c r="B21" s="1"/>
      <c r="C21" s="468"/>
      <c r="D21" s="468"/>
      <c r="E21" s="468"/>
      <c r="F21" s="468"/>
      <c r="G21" s="468"/>
      <c r="H21" s="1"/>
      <c r="I21" s="1"/>
      <c r="J21" s="1"/>
      <c r="K21" s="1"/>
      <c r="L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2:25" ht="15" thickBot="1" x14ac:dyDescent="0.25">
      <c r="B22" s="1"/>
      <c r="C22" s="419" t="s">
        <v>137</v>
      </c>
      <c r="D22" s="468" t="s">
        <v>138</v>
      </c>
      <c r="E22" s="468"/>
      <c r="F22" s="468" t="s">
        <v>139</v>
      </c>
      <c r="G22" s="468" t="s">
        <v>157</v>
      </c>
      <c r="H22" s="468" t="s">
        <v>143</v>
      </c>
      <c r="I22" s="468" t="s">
        <v>142</v>
      </c>
      <c r="J22" s="468" t="s">
        <v>141</v>
      </c>
      <c r="K22" s="468" t="s">
        <v>140</v>
      </c>
      <c r="L22" s="468" t="s">
        <v>144</v>
      </c>
      <c r="M22" s="468" t="s">
        <v>146</v>
      </c>
      <c r="N22" s="468"/>
      <c r="O22" s="468"/>
      <c r="P22" s="468"/>
      <c r="Q22" s="1"/>
      <c r="R22" s="1"/>
      <c r="S22" s="1"/>
      <c r="T22" s="1"/>
      <c r="U22" s="1"/>
      <c r="V22" s="1"/>
      <c r="W22" s="1"/>
      <c r="X22" s="1"/>
      <c r="Y22" s="1"/>
    </row>
    <row r="23" spans="2:25" ht="36.75" customHeight="1" x14ac:dyDescent="0.2">
      <c r="B23" s="1"/>
      <c r="C23" s="402" t="s">
        <v>134</v>
      </c>
      <c r="D23" s="2261" t="s">
        <v>135</v>
      </c>
      <c r="E23" s="2262"/>
      <c r="F23" s="469" t="s">
        <v>136</v>
      </c>
      <c r="G23" s="461" t="s">
        <v>153</v>
      </c>
      <c r="H23" s="420" t="s">
        <v>129</v>
      </c>
      <c r="I23" s="403" t="s">
        <v>130</v>
      </c>
      <c r="J23" s="422"/>
      <c r="K23" s="422"/>
      <c r="L23" s="422"/>
      <c r="M23" s="404" t="s">
        <v>158</v>
      </c>
      <c r="N23" s="468"/>
      <c r="O23" s="468"/>
      <c r="P23" s="468"/>
      <c r="Q23" s="468"/>
      <c r="R23" s="468"/>
      <c r="S23" s="468"/>
      <c r="T23" s="468"/>
      <c r="U23" s="1"/>
      <c r="V23" s="1"/>
      <c r="W23" s="1"/>
      <c r="X23" s="1"/>
      <c r="Y23" s="1"/>
    </row>
    <row r="24" spans="2:25" x14ac:dyDescent="0.2">
      <c r="B24" s="1"/>
      <c r="C24" s="405">
        <v>850</v>
      </c>
      <c r="D24" s="2263">
        <v>850</v>
      </c>
      <c r="E24" s="2264"/>
      <c r="F24" s="418">
        <v>31482640</v>
      </c>
      <c r="G24" s="462">
        <v>31</v>
      </c>
      <c r="H24" s="460">
        <f>VLOOKUP(C47,Tarifas!D4:H303,3)</f>
        <v>0.14699999999999999</v>
      </c>
      <c r="I24" s="424">
        <f>VLOOKUP(C47,Tarifas!D4:H303,5)</f>
        <v>1E-3</v>
      </c>
      <c r="J24" s="421">
        <v>187</v>
      </c>
      <c r="K24" s="421">
        <v>201.4</v>
      </c>
      <c r="L24" s="421">
        <f>I11</f>
        <v>20.614899999999999</v>
      </c>
      <c r="M24" s="431">
        <f>E80</f>
        <v>2165570.6469709999</v>
      </c>
      <c r="N24" s="536" t="s">
        <v>62</v>
      </c>
      <c r="O24" s="468"/>
      <c r="P24" s="468"/>
      <c r="Q24" s="468"/>
      <c r="R24" s="468"/>
      <c r="S24" s="468"/>
      <c r="T24" s="468"/>
      <c r="U24" s="1"/>
      <c r="V24" s="1"/>
      <c r="W24" s="1"/>
      <c r="X24" s="1"/>
      <c r="Y24" s="1"/>
    </row>
    <row r="25" spans="2:25" x14ac:dyDescent="0.2">
      <c r="B25" s="1"/>
      <c r="C25" s="468"/>
      <c r="D25" s="468"/>
      <c r="E25" s="468"/>
      <c r="F25" s="468"/>
      <c r="G25" s="468"/>
      <c r="H25" s="468"/>
      <c r="I25" s="468"/>
      <c r="J25" s="468"/>
      <c r="K25" s="468"/>
      <c r="L25" s="468"/>
      <c r="M25" s="468"/>
      <c r="N25" s="468"/>
      <c r="O25" s="468"/>
      <c r="P25" s="468"/>
      <c r="Q25" s="468"/>
      <c r="R25" s="468"/>
      <c r="S25" s="1"/>
      <c r="T25" s="1"/>
      <c r="U25" s="1"/>
      <c r="V25" s="1"/>
      <c r="W25" s="1"/>
      <c r="X25" s="1"/>
      <c r="Y25" s="1"/>
    </row>
    <row r="26" spans="2:25" x14ac:dyDescent="0.2">
      <c r="B26" s="1"/>
      <c r="C26" s="468"/>
      <c r="D26" s="468"/>
      <c r="E26" s="468"/>
      <c r="F26" s="468"/>
      <c r="G26" s="468"/>
      <c r="H26" s="468"/>
      <c r="I26" s="468"/>
      <c r="J26" s="468"/>
      <c r="K26" s="468"/>
      <c r="L26" s="468"/>
      <c r="M26" s="468"/>
      <c r="N26" s="468"/>
      <c r="O26" s="468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2:25" x14ac:dyDescent="0.2">
      <c r="B27" s="1"/>
      <c r="C27" s="468"/>
      <c r="D27" s="468"/>
      <c r="E27" s="468"/>
      <c r="F27" s="468"/>
      <c r="G27" s="468"/>
      <c r="H27" s="468"/>
      <c r="I27" s="468"/>
      <c r="J27" s="468"/>
      <c r="K27" s="468"/>
      <c r="L27" s="468"/>
      <c r="M27" s="468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2:25" ht="15" thickBot="1" x14ac:dyDescent="0.25">
      <c r="B28" s="1"/>
      <c r="C28" s="2265" t="s">
        <v>86</v>
      </c>
      <c r="D28" s="2265"/>
      <c r="E28" s="2265"/>
      <c r="F28" s="2265"/>
      <c r="G28" s="471"/>
      <c r="H28" s="334"/>
      <c r="I28" s="334"/>
      <c r="J28" s="334"/>
      <c r="K28" s="471"/>
      <c r="L28" s="336"/>
      <c r="M28" s="336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2:25" ht="22.5" x14ac:dyDescent="0.2">
      <c r="B29" s="1"/>
      <c r="C29" s="337" t="s">
        <v>87</v>
      </c>
      <c r="D29" s="466" t="s">
        <v>88</v>
      </c>
      <c r="E29" s="466" t="s">
        <v>89</v>
      </c>
      <c r="F29" s="466" t="s">
        <v>20</v>
      </c>
      <c r="G29" s="466" t="s">
        <v>160</v>
      </c>
      <c r="H29" s="466" t="s">
        <v>90</v>
      </c>
      <c r="I29" s="466" t="s">
        <v>91</v>
      </c>
      <c r="J29" s="466" t="s">
        <v>92</v>
      </c>
      <c r="K29" s="466" t="s">
        <v>93</v>
      </c>
      <c r="L29" s="466" t="s">
        <v>94</v>
      </c>
      <c r="M29" s="467" t="s">
        <v>95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2:25" x14ac:dyDescent="0.2">
      <c r="B30" s="1"/>
      <c r="C30" s="338"/>
      <c r="D30" s="339">
        <v>0</v>
      </c>
      <c r="E30" s="339" t="s">
        <v>96</v>
      </c>
      <c r="F30" s="340" t="s">
        <v>97</v>
      </c>
      <c r="G30" s="340">
        <v>2201</v>
      </c>
      <c r="H30" s="339">
        <v>20823</v>
      </c>
      <c r="I30" s="341">
        <v>0</v>
      </c>
      <c r="J30" s="339">
        <v>138.15</v>
      </c>
      <c r="K30" s="342">
        <v>0</v>
      </c>
      <c r="L30" s="343">
        <f>ROUND(K30*E$10,2)</f>
        <v>0</v>
      </c>
      <c r="M30" s="344">
        <f>L30*$I$10</f>
        <v>0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2:25" x14ac:dyDescent="0.2">
      <c r="B31" s="1"/>
      <c r="C31" s="338"/>
      <c r="D31" s="339">
        <v>0</v>
      </c>
      <c r="E31" s="339" t="s">
        <v>98</v>
      </c>
      <c r="F31" s="340" t="s">
        <v>97</v>
      </c>
      <c r="G31" s="340">
        <v>2201</v>
      </c>
      <c r="H31" s="339">
        <v>20824</v>
      </c>
      <c r="I31" s="341">
        <v>0</v>
      </c>
      <c r="J31" s="339">
        <v>138.15</v>
      </c>
      <c r="K31" s="342">
        <v>0</v>
      </c>
      <c r="L31" s="343">
        <f>ROUND(K31*E$10,2)</f>
        <v>0</v>
      </c>
      <c r="M31" s="344">
        <f>L31*$I$10</f>
        <v>0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2:25" x14ac:dyDescent="0.2">
      <c r="B32" s="1"/>
      <c r="C32" s="338"/>
      <c r="D32" s="339">
        <v>0</v>
      </c>
      <c r="E32" s="339" t="s">
        <v>99</v>
      </c>
      <c r="F32" s="340" t="s">
        <v>100</v>
      </c>
      <c r="G32" s="340">
        <v>2230</v>
      </c>
      <c r="H32" s="339">
        <v>22228</v>
      </c>
      <c r="I32" s="341">
        <v>0</v>
      </c>
      <c r="J32" s="339">
        <v>130.80000000000001</v>
      </c>
      <c r="K32" s="342">
        <v>0</v>
      </c>
      <c r="L32" s="343">
        <f>ROUND(K32*E$10,2)</f>
        <v>0</v>
      </c>
      <c r="M32" s="344">
        <f>L32*$I$10</f>
        <v>0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2:25" x14ac:dyDescent="0.2">
      <c r="B33" s="1"/>
      <c r="C33" s="338">
        <v>800762390</v>
      </c>
      <c r="D33" s="339">
        <v>3</v>
      </c>
      <c r="E33" s="354" t="s">
        <v>101</v>
      </c>
      <c r="F33" s="463" t="s">
        <v>194</v>
      </c>
      <c r="G33" s="463">
        <v>2044</v>
      </c>
      <c r="H33" s="354">
        <v>591000420</v>
      </c>
      <c r="I33" s="341">
        <v>80000</v>
      </c>
      <c r="J33" s="339"/>
      <c r="K33" s="342">
        <v>0.09</v>
      </c>
      <c r="L33" s="343">
        <f>ROUND(K33*E$10,2)</f>
        <v>416515.33</v>
      </c>
      <c r="M33" s="344">
        <f>L33*$I$10</f>
        <v>8586421.8764169998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2:25" ht="15" thickBot="1" x14ac:dyDescent="0.25">
      <c r="B34" s="1"/>
      <c r="C34" s="345">
        <v>800642440</v>
      </c>
      <c r="D34" s="346">
        <v>5</v>
      </c>
      <c r="E34" s="347" t="s">
        <v>101</v>
      </c>
      <c r="F34" s="348" t="s">
        <v>159</v>
      </c>
      <c r="G34" s="348">
        <v>2277</v>
      </c>
      <c r="H34" s="347">
        <v>22770</v>
      </c>
      <c r="I34" s="349">
        <f>850000-I30-I31-I32-I33</f>
        <v>770000</v>
      </c>
      <c r="J34" s="346"/>
      <c r="K34" s="350">
        <v>0.91</v>
      </c>
      <c r="L34" s="351">
        <f>ROUND(K34*E$10,2)</f>
        <v>4211432.75</v>
      </c>
      <c r="M34" s="352">
        <f>L34*$I$10</f>
        <v>86818264.997974992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2:25" x14ac:dyDescent="0.2">
      <c r="B35" s="1"/>
      <c r="C35" s="406">
        <v>3000623</v>
      </c>
      <c r="D35" s="353" t="s">
        <v>102</v>
      </c>
      <c r="E35" s="353"/>
      <c r="F35" s="353"/>
      <c r="G35" s="353"/>
      <c r="H35" s="354"/>
      <c r="I35" s="355">
        <f>SUM(I30:I34)</f>
        <v>850000</v>
      </c>
      <c r="J35" s="353"/>
      <c r="K35" s="356">
        <f>SUM(K30:K34)</f>
        <v>1</v>
      </c>
      <c r="L35" s="357">
        <f>SUM(L30:L34)</f>
        <v>4627948.08</v>
      </c>
      <c r="M35" s="357">
        <f>SUM(M30:M34)</f>
        <v>95404686.874391988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2:25" x14ac:dyDescent="0.2">
      <c r="B36" s="1"/>
      <c r="C36" s="336"/>
      <c r="D36" s="336"/>
      <c r="E36" s="336"/>
      <c r="F36" s="358"/>
      <c r="G36" s="358"/>
      <c r="H36" s="336"/>
      <c r="I36" s="336"/>
      <c r="J36" s="336"/>
      <c r="K36" s="336"/>
      <c r="L36" s="359"/>
      <c r="M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2:25" x14ac:dyDescent="0.2">
      <c r="B37" s="1"/>
      <c r="C37" s="336"/>
      <c r="D37" s="336"/>
      <c r="E37" s="336"/>
      <c r="F37" s="358"/>
      <c r="G37" s="358"/>
      <c r="H37" s="336"/>
      <c r="I37" s="336"/>
      <c r="J37" s="336"/>
      <c r="K37" s="336"/>
      <c r="L37" s="359"/>
      <c r="M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2:25" x14ac:dyDescent="0.2">
      <c r="B38" s="1"/>
      <c r="C38" s="336"/>
      <c r="D38" s="336"/>
      <c r="E38" s="336"/>
      <c r="F38" s="358"/>
      <c r="G38" s="358"/>
      <c r="H38" s="336"/>
      <c r="I38" s="336"/>
      <c r="J38" s="336"/>
      <c r="K38" s="336"/>
      <c r="L38" s="359"/>
      <c r="M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2:25" ht="15" thickBot="1" x14ac:dyDescent="0.25">
      <c r="B39" s="1"/>
      <c r="C39" s="2266" t="s">
        <v>103</v>
      </c>
      <c r="D39" s="2266"/>
      <c r="E39" s="2266"/>
      <c r="F39" s="2266"/>
      <c r="G39" s="471"/>
      <c r="H39" s="334"/>
      <c r="I39" s="334"/>
      <c r="J39" s="334"/>
      <c r="K39" s="336"/>
      <c r="L39" s="336"/>
      <c r="M39" s="360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2:25" ht="22.5" x14ac:dyDescent="0.2">
      <c r="B40" s="1"/>
      <c r="C40" s="337" t="s">
        <v>87</v>
      </c>
      <c r="D40" s="466" t="s">
        <v>88</v>
      </c>
      <c r="E40" s="466" t="s">
        <v>89</v>
      </c>
      <c r="F40" s="466" t="s">
        <v>20</v>
      </c>
      <c r="G40" s="466"/>
      <c r="H40" s="466" t="s">
        <v>90</v>
      </c>
      <c r="I40" s="466" t="s">
        <v>104</v>
      </c>
      <c r="J40" s="466" t="s">
        <v>93</v>
      </c>
      <c r="K40" s="466" t="s">
        <v>92</v>
      </c>
      <c r="L40" s="466" t="s">
        <v>94</v>
      </c>
      <c r="M40" s="467" t="s">
        <v>95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2:25" x14ac:dyDescent="0.2">
      <c r="B41" s="1"/>
      <c r="C41" s="338"/>
      <c r="D41" s="339">
        <v>0</v>
      </c>
      <c r="E41" s="339" t="s">
        <v>96</v>
      </c>
      <c r="F41" s="340" t="s">
        <v>97</v>
      </c>
      <c r="G41" s="340"/>
      <c r="H41" s="339">
        <v>20823</v>
      </c>
      <c r="I41" s="341">
        <f>M80</f>
        <v>0</v>
      </c>
      <c r="J41" s="342">
        <f>I41/I$45</f>
        <v>0</v>
      </c>
      <c r="K41" s="339">
        <v>138.15</v>
      </c>
      <c r="L41" s="343">
        <f>ROUND(J41*$E$11,2)</f>
        <v>0</v>
      </c>
      <c r="M41" s="344">
        <f>L41*L24</f>
        <v>0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2:25" x14ac:dyDescent="0.2">
      <c r="B42" s="1"/>
      <c r="C42" s="338"/>
      <c r="D42" s="339">
        <v>0</v>
      </c>
      <c r="E42" s="339" t="s">
        <v>98</v>
      </c>
      <c r="F42" s="340" t="s">
        <v>97</v>
      </c>
      <c r="G42" s="340"/>
      <c r="H42" s="339">
        <v>20824</v>
      </c>
      <c r="I42" s="341">
        <f>N80</f>
        <v>0</v>
      </c>
      <c r="J42" s="342">
        <f>I42/I$45</f>
        <v>0</v>
      </c>
      <c r="K42" s="339">
        <v>138.15</v>
      </c>
      <c r="L42" s="343">
        <f>ROUND(J42*$E$11,2)</f>
        <v>0</v>
      </c>
      <c r="M42" s="344">
        <f>L42*L25</f>
        <v>0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2:25" x14ac:dyDescent="0.2">
      <c r="B43" s="1"/>
      <c r="C43" s="338"/>
      <c r="D43" s="339">
        <v>0</v>
      </c>
      <c r="E43" s="339" t="s">
        <v>99</v>
      </c>
      <c r="F43" s="340" t="s">
        <v>100</v>
      </c>
      <c r="G43" s="340"/>
      <c r="H43" s="339">
        <v>22228</v>
      </c>
      <c r="I43" s="341">
        <f>O80</f>
        <v>0</v>
      </c>
      <c r="J43" s="342">
        <f>I43/I$45</f>
        <v>0</v>
      </c>
      <c r="K43" s="339">
        <v>130.80000000000001</v>
      </c>
      <c r="L43" s="343">
        <f>ROUND(J43*$E$11,2)</f>
        <v>0</v>
      </c>
      <c r="M43" s="344">
        <f>L43*L26</f>
        <v>0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2:25" ht="15" thickBot="1" x14ac:dyDescent="0.25">
      <c r="B44" s="1"/>
      <c r="C44" s="345">
        <v>800762390</v>
      </c>
      <c r="D44" s="346">
        <v>4</v>
      </c>
      <c r="E44" s="347" t="s">
        <v>101</v>
      </c>
      <c r="F44" s="348" t="s">
        <v>23</v>
      </c>
      <c r="G44" s="348"/>
      <c r="H44" s="347"/>
      <c r="I44" s="349">
        <f>L80</f>
        <v>2165570.6469709999</v>
      </c>
      <c r="J44" s="350">
        <f>I44/I$45</f>
        <v>1</v>
      </c>
      <c r="K44" s="346">
        <v>138.15</v>
      </c>
      <c r="L44" s="351">
        <f>ROUND(J44*$E$11,2)</f>
        <v>2010.73</v>
      </c>
      <c r="M44" s="352">
        <f>L44*I11</f>
        <v>41450.997876999994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2:25" x14ac:dyDescent="0.2">
      <c r="B45" s="1"/>
      <c r="C45" s="353"/>
      <c r="D45" s="353"/>
      <c r="E45" s="353"/>
      <c r="F45" s="353"/>
      <c r="G45" s="353"/>
      <c r="H45" s="354"/>
      <c r="I45" s="449">
        <f>SUM(I41:I44)</f>
        <v>2165570.6469709999</v>
      </c>
      <c r="J45" s="355"/>
      <c r="K45" s="353"/>
      <c r="L45" s="357">
        <f>SUM(L41:L44)</f>
        <v>2010.73</v>
      </c>
      <c r="M45" s="357">
        <f>SUM(M41:M44)</f>
        <v>41450.997876999994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2:25" customFormat="1" ht="15" thickBot="1" x14ac:dyDescent="0.25">
      <c r="M46" s="450"/>
      <c r="N46" s="450"/>
      <c r="O46" s="450"/>
      <c r="P46" s="450"/>
      <c r="Q46" s="450"/>
      <c r="R46" s="450"/>
      <c r="S46" s="450"/>
      <c r="T46" s="450"/>
      <c r="U46" s="450"/>
      <c r="V46" s="450"/>
      <c r="W46" s="450"/>
      <c r="X46" s="450"/>
      <c r="Y46" s="573">
        <f>'Septiembre - 2016'!Y80</f>
        <v>236887.2650911418</v>
      </c>
    </row>
    <row r="47" spans="2:25" ht="15" thickBot="1" x14ac:dyDescent="0.25">
      <c r="B47" s="434" t="s">
        <v>3</v>
      </c>
      <c r="C47" s="333">
        <f>SUMIF(Tarifas!E4:E303,'Octubre - 2016'!C49,Tarifas!D4:D303)</f>
        <v>39</v>
      </c>
      <c r="D47" s="425" t="s">
        <v>147</v>
      </c>
      <c r="E47" s="426" t="s">
        <v>145</v>
      </c>
      <c r="F47" s="426" t="s">
        <v>150</v>
      </c>
      <c r="G47" s="426" t="s">
        <v>148</v>
      </c>
      <c r="H47" s="382"/>
      <c r="I47" s="331" t="s">
        <v>120</v>
      </c>
      <c r="J47" s="332"/>
      <c r="K47" s="332"/>
      <c r="L47" s="364" t="s">
        <v>105</v>
      </c>
      <c r="M47" s="365"/>
      <c r="N47" s="365"/>
      <c r="O47" s="365"/>
      <c r="P47" s="365"/>
      <c r="Q47" s="365"/>
      <c r="R47" s="366"/>
      <c r="S47" s="2267" t="s">
        <v>121</v>
      </c>
      <c r="T47" s="2268"/>
      <c r="U47" s="2268"/>
      <c r="V47" s="2268"/>
      <c r="W47" s="2268"/>
      <c r="X47" s="2268"/>
      <c r="Y47" s="2269"/>
    </row>
    <row r="48" spans="2:25" ht="33.75" x14ac:dyDescent="0.2">
      <c r="C48" s="383" t="s">
        <v>122</v>
      </c>
      <c r="D48" s="384" t="s">
        <v>125</v>
      </c>
      <c r="E48" s="385" t="s">
        <v>149</v>
      </c>
      <c r="F48" s="385" t="s">
        <v>151</v>
      </c>
      <c r="G48" s="385" t="s">
        <v>152</v>
      </c>
      <c r="H48" s="386" t="s">
        <v>123</v>
      </c>
      <c r="I48" s="329" t="s">
        <v>109</v>
      </c>
      <c r="J48" s="330" t="s">
        <v>25</v>
      </c>
      <c r="K48" s="330" t="s">
        <v>26</v>
      </c>
      <c r="L48" s="367" t="s">
        <v>115</v>
      </c>
      <c r="M48" s="362" t="s">
        <v>106</v>
      </c>
      <c r="N48" s="362" t="s">
        <v>107</v>
      </c>
      <c r="O48" s="362" t="s">
        <v>108</v>
      </c>
      <c r="P48" s="362" t="s">
        <v>115</v>
      </c>
      <c r="Q48" s="363" t="s">
        <v>116</v>
      </c>
      <c r="R48" s="368" t="s">
        <v>117</v>
      </c>
      <c r="S48" s="369" t="s">
        <v>192</v>
      </c>
      <c r="T48" s="370" t="s">
        <v>111</v>
      </c>
      <c r="U48" s="370" t="s">
        <v>112</v>
      </c>
      <c r="V48" s="371" t="s">
        <v>118</v>
      </c>
      <c r="W48" s="371" t="s">
        <v>119</v>
      </c>
      <c r="X48" s="371" t="s">
        <v>114</v>
      </c>
      <c r="Y48" s="372" t="s">
        <v>113</v>
      </c>
    </row>
    <row r="49" spans="3:25" x14ac:dyDescent="0.2">
      <c r="C49" s="387">
        <f>G7</f>
        <v>42644</v>
      </c>
      <c r="D49" s="388">
        <f>($F$24*$H$24)/$G$24</f>
        <v>149288.64774193548</v>
      </c>
      <c r="E49" s="389">
        <f>P49+Q49+R49</f>
        <v>67480.94</v>
      </c>
      <c r="F49" s="427">
        <f t="shared" ref="F49:F79" si="0">TRUNC(IFERROR(J$24/K$24,0),8)</f>
        <v>0.92850049000000001</v>
      </c>
      <c r="G49" s="390">
        <f t="shared" ref="G49:G79" si="1">ROUND(I$24*F49*E49,4)</f>
        <v>62.656100000000002</v>
      </c>
      <c r="H49" s="391">
        <f t="shared" ref="H49:H79" si="2">SUM(D49:G49)</f>
        <v>216833.17234242547</v>
      </c>
      <c r="I49" s="324">
        <v>70000</v>
      </c>
      <c r="J49" s="325"/>
      <c r="K49" s="325"/>
      <c r="L49" s="317">
        <v>67480.94</v>
      </c>
      <c r="M49" s="318"/>
      <c r="N49" s="318"/>
      <c r="O49" s="318"/>
      <c r="P49" s="389">
        <f>L49</f>
        <v>67480.94</v>
      </c>
      <c r="Q49" s="389">
        <f t="shared" ref="Q49:Q79" si="3">M49+N49</f>
        <v>0</v>
      </c>
      <c r="R49" s="389">
        <f t="shared" ref="R49:R79" si="4">O49</f>
        <v>0</v>
      </c>
      <c r="S49" s="317">
        <v>70000.17</v>
      </c>
      <c r="T49" s="374"/>
      <c r="U49" s="524">
        <f>S49+T49-V49</f>
        <v>0.16999999999825377</v>
      </c>
      <c r="V49" s="520">
        <f>I49+J49+K49</f>
        <v>70000</v>
      </c>
      <c r="W49" s="524">
        <f>(P49+Q49+R49)/1.055056</f>
        <v>63959.581292367424</v>
      </c>
      <c r="X49" s="520">
        <f>V49-W49</f>
        <v>6040.4187076325761</v>
      </c>
      <c r="Y49" s="525">
        <f>Y46+X49</f>
        <v>242927.68379877438</v>
      </c>
    </row>
    <row r="50" spans="3:25" x14ac:dyDescent="0.2">
      <c r="C50" s="387">
        <f t="shared" ref="C50:C79" si="5">C49+1</f>
        <v>42645</v>
      </c>
      <c r="D50" s="388">
        <f t="shared" ref="D50:D79" si="6">($F$24*$H$24)/$G$24</f>
        <v>149288.64774193548</v>
      </c>
      <c r="E50" s="392">
        <f t="shared" ref="E50:E79" si="7">P50+Q50+R50</f>
        <v>65993.98</v>
      </c>
      <c r="F50" s="428">
        <f t="shared" si="0"/>
        <v>0.92850049000000001</v>
      </c>
      <c r="G50" s="390">
        <f t="shared" si="1"/>
        <v>61.275399999999998</v>
      </c>
      <c r="H50" s="391">
        <f t="shared" si="2"/>
        <v>215344.8316424255</v>
      </c>
      <c r="I50" s="324">
        <v>70000</v>
      </c>
      <c r="J50" s="325"/>
      <c r="K50" s="325"/>
      <c r="L50" s="319">
        <v>65993.98</v>
      </c>
      <c r="M50" s="320"/>
      <c r="N50" s="320"/>
      <c r="O50" s="320"/>
      <c r="P50" s="392">
        <f t="shared" ref="P50:P79" si="8">L50</f>
        <v>65993.98</v>
      </c>
      <c r="Q50" s="392">
        <f t="shared" si="3"/>
        <v>0</v>
      </c>
      <c r="R50" s="392">
        <f t="shared" si="4"/>
        <v>0</v>
      </c>
      <c r="S50" s="319">
        <v>70000.17</v>
      </c>
      <c r="T50" s="374"/>
      <c r="U50" s="524">
        <f t="shared" ref="U50:U79" si="9">S50+T50-V50</f>
        <v>0.16999999999825377</v>
      </c>
      <c r="V50" s="520">
        <f t="shared" ref="V50:V79" si="10">I50+J50+K50</f>
        <v>70000</v>
      </c>
      <c r="W50" s="524">
        <f t="shared" ref="W50:W79" si="11">(P50+Q50+R50)/1.055056</f>
        <v>62550.215344019649</v>
      </c>
      <c r="X50" s="520">
        <f t="shared" ref="X50:X79" si="12">V50-W50</f>
        <v>7449.7846559803511</v>
      </c>
      <c r="Y50" s="525">
        <f>Y49+X50</f>
        <v>250377.46845475474</v>
      </c>
    </row>
    <row r="51" spans="3:25" x14ac:dyDescent="0.2">
      <c r="C51" s="387">
        <f t="shared" si="5"/>
        <v>42646</v>
      </c>
      <c r="D51" s="388">
        <f t="shared" si="6"/>
        <v>149288.64774193548</v>
      </c>
      <c r="E51" s="392">
        <f t="shared" si="7"/>
        <v>73589.820000000007</v>
      </c>
      <c r="F51" s="428">
        <f t="shared" si="0"/>
        <v>0.92850049000000001</v>
      </c>
      <c r="G51" s="390">
        <f t="shared" si="1"/>
        <v>68.328199999999995</v>
      </c>
      <c r="H51" s="391">
        <f t="shared" si="2"/>
        <v>222947.72444242547</v>
      </c>
      <c r="I51" s="324">
        <v>70000</v>
      </c>
      <c r="J51" s="325"/>
      <c r="K51" s="325"/>
      <c r="L51" s="317">
        <v>73589.820000000007</v>
      </c>
      <c r="M51" s="318"/>
      <c r="N51" s="318"/>
      <c r="O51" s="318"/>
      <c r="P51" s="392">
        <f t="shared" si="8"/>
        <v>73589.820000000007</v>
      </c>
      <c r="Q51" s="392">
        <f t="shared" si="3"/>
        <v>0</v>
      </c>
      <c r="R51" s="392">
        <f t="shared" si="4"/>
        <v>0</v>
      </c>
      <c r="S51" s="317">
        <v>70000.17</v>
      </c>
      <c r="T51" s="374"/>
      <c r="U51" s="524">
        <f t="shared" si="9"/>
        <v>0.16999999999825377</v>
      </c>
      <c r="V51" s="520">
        <f t="shared" si="10"/>
        <v>70000</v>
      </c>
      <c r="W51" s="524">
        <f t="shared" si="11"/>
        <v>69749.681533492068</v>
      </c>
      <c r="X51" s="520">
        <f t="shared" si="12"/>
        <v>250.31846650793159</v>
      </c>
      <c r="Y51" s="525">
        <f t="shared" ref="Y51:Y78" si="13">Y50+X51</f>
        <v>250627.78692126268</v>
      </c>
    </row>
    <row r="52" spans="3:25" x14ac:dyDescent="0.2">
      <c r="C52" s="387">
        <f t="shared" si="5"/>
        <v>42647</v>
      </c>
      <c r="D52" s="388">
        <f t="shared" si="6"/>
        <v>149288.64774193548</v>
      </c>
      <c r="E52" s="392">
        <f t="shared" si="7"/>
        <v>71464.41</v>
      </c>
      <c r="F52" s="428">
        <f t="shared" si="0"/>
        <v>0.92850049000000001</v>
      </c>
      <c r="G52" s="390">
        <f t="shared" si="1"/>
        <v>66.354699999999994</v>
      </c>
      <c r="H52" s="391">
        <f t="shared" si="2"/>
        <v>220820.34094242548</v>
      </c>
      <c r="I52" s="324">
        <v>71000</v>
      </c>
      <c r="J52" s="325"/>
      <c r="K52" s="325"/>
      <c r="L52" s="319">
        <v>71464.41</v>
      </c>
      <c r="M52" s="320"/>
      <c r="N52" s="320"/>
      <c r="O52" s="320"/>
      <c r="P52" s="392">
        <f t="shared" si="8"/>
        <v>71464.41</v>
      </c>
      <c r="Q52" s="392">
        <f t="shared" si="3"/>
        <v>0</v>
      </c>
      <c r="R52" s="392">
        <f t="shared" si="4"/>
        <v>0</v>
      </c>
      <c r="S52" s="319">
        <v>70999.7</v>
      </c>
      <c r="T52" s="374"/>
      <c r="U52" s="524">
        <f t="shared" si="9"/>
        <v>-0.30000000000291038</v>
      </c>
      <c r="V52" s="520">
        <f t="shared" si="10"/>
        <v>71000</v>
      </c>
      <c r="W52" s="524">
        <f t="shared" si="11"/>
        <v>67735.181829210967</v>
      </c>
      <c r="X52" s="520">
        <f t="shared" si="12"/>
        <v>3264.8181707890326</v>
      </c>
      <c r="Y52" s="525">
        <f t="shared" si="13"/>
        <v>253892.60509205173</v>
      </c>
    </row>
    <row r="53" spans="3:25" x14ac:dyDescent="0.2">
      <c r="C53" s="387">
        <f t="shared" si="5"/>
        <v>42648</v>
      </c>
      <c r="D53" s="388">
        <f t="shared" si="6"/>
        <v>149288.64774193548</v>
      </c>
      <c r="E53" s="392">
        <f t="shared" si="7"/>
        <v>74866.62</v>
      </c>
      <c r="F53" s="428">
        <f t="shared" si="0"/>
        <v>0.92850049000000001</v>
      </c>
      <c r="G53" s="390">
        <f t="shared" si="1"/>
        <v>69.5137</v>
      </c>
      <c r="H53" s="391">
        <f t="shared" si="2"/>
        <v>224225.70994242548</v>
      </c>
      <c r="I53" s="324">
        <v>60000</v>
      </c>
      <c r="J53" s="325"/>
      <c r="K53" s="325"/>
      <c r="L53" s="317">
        <v>74866.62</v>
      </c>
      <c r="M53" s="318"/>
      <c r="N53" s="318"/>
      <c r="O53" s="318"/>
      <c r="P53" s="392">
        <f t="shared" si="8"/>
        <v>74866.62</v>
      </c>
      <c r="Q53" s="392">
        <f t="shared" si="3"/>
        <v>0</v>
      </c>
      <c r="R53" s="392">
        <f t="shared" si="4"/>
        <v>0</v>
      </c>
      <c r="S53" s="317">
        <v>70000.17</v>
      </c>
      <c r="T53" s="374"/>
      <c r="U53" s="524">
        <f t="shared" si="9"/>
        <v>10000.169999999998</v>
      </c>
      <c r="V53" s="520">
        <f t="shared" si="10"/>
        <v>60000</v>
      </c>
      <c r="W53" s="524">
        <f t="shared" si="11"/>
        <v>70959.85426365993</v>
      </c>
      <c r="X53" s="520">
        <f t="shared" si="12"/>
        <v>-10959.85426365993</v>
      </c>
      <c r="Y53" s="525">
        <f t="shared" si="13"/>
        <v>242932.75082839181</v>
      </c>
    </row>
    <row r="54" spans="3:25" x14ac:dyDescent="0.2">
      <c r="C54" s="387">
        <f t="shared" si="5"/>
        <v>42649</v>
      </c>
      <c r="D54" s="388">
        <f t="shared" si="6"/>
        <v>149288.64774193548</v>
      </c>
      <c r="E54" s="392">
        <f t="shared" si="7"/>
        <v>73512.34</v>
      </c>
      <c r="F54" s="428">
        <f t="shared" si="0"/>
        <v>0.92850049000000001</v>
      </c>
      <c r="G54" s="390">
        <f t="shared" si="1"/>
        <v>68.256200000000007</v>
      </c>
      <c r="H54" s="391">
        <f t="shared" si="2"/>
        <v>222870.17244242548</v>
      </c>
      <c r="I54" s="324">
        <v>60000</v>
      </c>
      <c r="J54" s="325"/>
      <c r="K54" s="325"/>
      <c r="L54" s="319">
        <v>73512.34</v>
      </c>
      <c r="M54" s="320"/>
      <c r="N54" s="320"/>
      <c r="O54" s="320"/>
      <c r="P54" s="392">
        <f t="shared" si="8"/>
        <v>73512.34</v>
      </c>
      <c r="Q54" s="392">
        <f t="shared" si="3"/>
        <v>0</v>
      </c>
      <c r="R54" s="392">
        <f t="shared" si="4"/>
        <v>0</v>
      </c>
      <c r="S54" s="319">
        <v>60000</v>
      </c>
      <c r="T54" s="374"/>
      <c r="U54" s="524">
        <f t="shared" si="9"/>
        <v>0</v>
      </c>
      <c r="V54" s="520">
        <f t="shared" si="10"/>
        <v>60000</v>
      </c>
      <c r="W54" s="524">
        <f t="shared" si="11"/>
        <v>69676.24467326852</v>
      </c>
      <c r="X54" s="520">
        <f t="shared" si="12"/>
        <v>-9676.2446732685203</v>
      </c>
      <c r="Y54" s="525">
        <f t="shared" si="13"/>
        <v>233256.50615512329</v>
      </c>
    </row>
    <row r="55" spans="3:25" x14ac:dyDescent="0.2">
      <c r="C55" s="387">
        <f t="shared" si="5"/>
        <v>42650</v>
      </c>
      <c r="D55" s="388">
        <f t="shared" si="6"/>
        <v>149288.64774193548</v>
      </c>
      <c r="E55" s="392">
        <f t="shared" si="7"/>
        <v>71520.224000000002</v>
      </c>
      <c r="F55" s="428">
        <f t="shared" si="0"/>
        <v>0.92850049000000001</v>
      </c>
      <c r="G55" s="390">
        <f t="shared" si="1"/>
        <v>66.406599999999997</v>
      </c>
      <c r="H55" s="391">
        <f t="shared" si="2"/>
        <v>220876.20684242548</v>
      </c>
      <c r="I55" s="324">
        <v>60000</v>
      </c>
      <c r="J55" s="325"/>
      <c r="K55" s="325"/>
      <c r="L55" s="317">
        <v>71520.224000000002</v>
      </c>
      <c r="M55" s="318"/>
      <c r="N55" s="318"/>
      <c r="O55" s="318"/>
      <c r="P55" s="392">
        <f t="shared" si="8"/>
        <v>71520.224000000002</v>
      </c>
      <c r="Q55" s="392">
        <f t="shared" si="3"/>
        <v>0</v>
      </c>
      <c r="R55" s="392">
        <f t="shared" si="4"/>
        <v>0</v>
      </c>
      <c r="S55" s="317">
        <v>60000</v>
      </c>
      <c r="T55" s="374"/>
      <c r="U55" s="524">
        <f t="shared" si="9"/>
        <v>0</v>
      </c>
      <c r="V55" s="520">
        <f t="shared" si="10"/>
        <v>60000</v>
      </c>
      <c r="W55" s="524">
        <f t="shared" si="11"/>
        <v>67788.083286574358</v>
      </c>
      <c r="X55" s="520">
        <f t="shared" si="12"/>
        <v>-7788.0832865743578</v>
      </c>
      <c r="Y55" s="525">
        <f t="shared" si="13"/>
        <v>225468.42286854895</v>
      </c>
    </row>
    <row r="56" spans="3:25" x14ac:dyDescent="0.2">
      <c r="C56" s="387">
        <f t="shared" si="5"/>
        <v>42651</v>
      </c>
      <c r="D56" s="388">
        <f t="shared" si="6"/>
        <v>149288.64774193548</v>
      </c>
      <c r="E56" s="392">
        <f t="shared" si="7"/>
        <v>60872.73</v>
      </c>
      <c r="F56" s="428">
        <f t="shared" si="0"/>
        <v>0.92850049000000001</v>
      </c>
      <c r="G56" s="390">
        <f t="shared" si="1"/>
        <v>56.520400000000002</v>
      </c>
      <c r="H56" s="391">
        <f t="shared" si="2"/>
        <v>210218.8266424255</v>
      </c>
      <c r="I56" s="324">
        <v>70000</v>
      </c>
      <c r="J56" s="325"/>
      <c r="K56" s="325"/>
      <c r="L56" s="319">
        <v>60872.73</v>
      </c>
      <c r="M56" s="320"/>
      <c r="N56" s="320"/>
      <c r="O56" s="320"/>
      <c r="P56" s="392">
        <f t="shared" si="8"/>
        <v>60872.73</v>
      </c>
      <c r="Q56" s="392">
        <f t="shared" si="3"/>
        <v>0</v>
      </c>
      <c r="R56" s="392">
        <f t="shared" si="4"/>
        <v>0</v>
      </c>
      <c r="S56" s="319">
        <v>70000.17</v>
      </c>
      <c r="T56" s="374"/>
      <c r="U56" s="524">
        <f t="shared" si="9"/>
        <v>0.16999999999825377</v>
      </c>
      <c r="V56" s="520">
        <f t="shared" si="10"/>
        <v>70000</v>
      </c>
      <c r="W56" s="524">
        <f t="shared" si="11"/>
        <v>57696.207594667962</v>
      </c>
      <c r="X56" s="520">
        <f t="shared" si="12"/>
        <v>12303.792405332038</v>
      </c>
      <c r="Y56" s="525">
        <f t="shared" si="13"/>
        <v>237772.21527388098</v>
      </c>
    </row>
    <row r="57" spans="3:25" x14ac:dyDescent="0.2">
      <c r="C57" s="387">
        <f t="shared" si="5"/>
        <v>42652</v>
      </c>
      <c r="D57" s="388">
        <f t="shared" si="6"/>
        <v>149288.64774193548</v>
      </c>
      <c r="E57" s="392">
        <f t="shared" si="7"/>
        <v>64219.39</v>
      </c>
      <c r="F57" s="428">
        <f t="shared" si="0"/>
        <v>0.92850049000000001</v>
      </c>
      <c r="G57" s="390">
        <f t="shared" si="1"/>
        <v>59.627699999999997</v>
      </c>
      <c r="H57" s="391">
        <f t="shared" si="2"/>
        <v>213568.59394242548</v>
      </c>
      <c r="I57" s="324">
        <v>70000</v>
      </c>
      <c r="J57" s="325"/>
      <c r="K57" s="325"/>
      <c r="L57" s="317">
        <v>64219.39</v>
      </c>
      <c r="M57" s="318"/>
      <c r="N57" s="318"/>
      <c r="O57" s="318"/>
      <c r="P57" s="392">
        <f t="shared" si="8"/>
        <v>64219.39</v>
      </c>
      <c r="Q57" s="392">
        <f t="shared" si="3"/>
        <v>0</v>
      </c>
      <c r="R57" s="392">
        <f t="shared" si="4"/>
        <v>0</v>
      </c>
      <c r="S57" s="317">
        <v>70000.17</v>
      </c>
      <c r="T57" s="374"/>
      <c r="U57" s="524">
        <f t="shared" si="9"/>
        <v>0.16999999999825377</v>
      </c>
      <c r="V57" s="520">
        <f t="shared" si="10"/>
        <v>70000</v>
      </c>
      <c r="W57" s="524">
        <f t="shared" si="11"/>
        <v>60868.228795438343</v>
      </c>
      <c r="X57" s="520">
        <f t="shared" si="12"/>
        <v>9131.7712045616572</v>
      </c>
      <c r="Y57" s="525">
        <f t="shared" si="13"/>
        <v>246903.98647844265</v>
      </c>
    </row>
    <row r="58" spans="3:25" x14ac:dyDescent="0.2">
      <c r="C58" s="387">
        <f t="shared" si="5"/>
        <v>42653</v>
      </c>
      <c r="D58" s="388">
        <f t="shared" si="6"/>
        <v>149288.64774193548</v>
      </c>
      <c r="E58" s="392">
        <f t="shared" si="7"/>
        <v>71576.436000000002</v>
      </c>
      <c r="F58" s="428">
        <f t="shared" si="0"/>
        <v>0.92850049000000001</v>
      </c>
      <c r="G58" s="390">
        <f t="shared" si="1"/>
        <v>66.458799999999997</v>
      </c>
      <c r="H58" s="391">
        <f t="shared" si="2"/>
        <v>220932.47104242549</v>
      </c>
      <c r="I58" s="324">
        <v>70000</v>
      </c>
      <c r="J58" s="325"/>
      <c r="K58" s="325"/>
      <c r="L58" s="319">
        <v>71576.436000000002</v>
      </c>
      <c r="M58" s="320"/>
      <c r="N58" s="320"/>
      <c r="O58" s="320"/>
      <c r="P58" s="392">
        <f t="shared" si="8"/>
        <v>71576.436000000002</v>
      </c>
      <c r="Q58" s="392">
        <f t="shared" si="3"/>
        <v>0</v>
      </c>
      <c r="R58" s="392">
        <f t="shared" si="4"/>
        <v>0</v>
      </c>
      <c r="S58" s="319">
        <v>70000.17</v>
      </c>
      <c r="T58" s="374"/>
      <c r="U58" s="524">
        <f t="shared" si="9"/>
        <v>0.16999999999825377</v>
      </c>
      <c r="V58" s="520">
        <f t="shared" si="10"/>
        <v>70000</v>
      </c>
      <c r="W58" s="524">
        <f t="shared" si="11"/>
        <v>67841.36197509896</v>
      </c>
      <c r="X58" s="520">
        <f t="shared" si="12"/>
        <v>2158.6380249010399</v>
      </c>
      <c r="Y58" s="525">
        <f t="shared" si="13"/>
        <v>249062.62450334369</v>
      </c>
    </row>
    <row r="59" spans="3:25" x14ac:dyDescent="0.2">
      <c r="C59" s="387">
        <f t="shared" si="5"/>
        <v>42654</v>
      </c>
      <c r="D59" s="388">
        <f t="shared" si="6"/>
        <v>149288.64774193548</v>
      </c>
      <c r="E59" s="392">
        <f t="shared" si="7"/>
        <v>71654.070000000007</v>
      </c>
      <c r="F59" s="428">
        <f t="shared" si="0"/>
        <v>0.92850049000000001</v>
      </c>
      <c r="G59" s="390">
        <f t="shared" si="1"/>
        <v>66.530799999999999</v>
      </c>
      <c r="H59" s="391">
        <f t="shared" si="2"/>
        <v>221010.17704242549</v>
      </c>
      <c r="I59" s="324">
        <v>60000</v>
      </c>
      <c r="J59" s="325"/>
      <c r="K59" s="325"/>
      <c r="L59" s="317">
        <v>71654.070000000007</v>
      </c>
      <c r="M59" s="318"/>
      <c r="N59" s="318"/>
      <c r="O59" s="318"/>
      <c r="P59" s="392">
        <f t="shared" si="8"/>
        <v>71654.070000000007</v>
      </c>
      <c r="Q59" s="392">
        <f t="shared" si="3"/>
        <v>0</v>
      </c>
      <c r="R59" s="392">
        <f t="shared" si="4"/>
        <v>0</v>
      </c>
      <c r="S59" s="317">
        <v>60000</v>
      </c>
      <c r="T59" s="374"/>
      <c r="U59" s="524">
        <f t="shared" si="9"/>
        <v>0</v>
      </c>
      <c r="V59" s="520">
        <f t="shared" si="10"/>
        <v>60000</v>
      </c>
      <c r="W59" s="524">
        <f t="shared" si="11"/>
        <v>67914.944799138626</v>
      </c>
      <c r="X59" s="520">
        <f t="shared" si="12"/>
        <v>-7914.944799138626</v>
      </c>
      <c r="Y59" s="525">
        <f t="shared" si="13"/>
        <v>241147.67970420507</v>
      </c>
    </row>
    <row r="60" spans="3:25" x14ac:dyDescent="0.2">
      <c r="C60" s="387">
        <f t="shared" si="5"/>
        <v>42655</v>
      </c>
      <c r="D60" s="388">
        <f t="shared" si="6"/>
        <v>149288.64774193548</v>
      </c>
      <c r="E60" s="392">
        <f t="shared" si="7"/>
        <v>74584.84</v>
      </c>
      <c r="F60" s="428">
        <f t="shared" si="0"/>
        <v>0.92850049000000001</v>
      </c>
      <c r="G60" s="390">
        <f t="shared" si="1"/>
        <v>69.252099999999999</v>
      </c>
      <c r="H60" s="391">
        <f t="shared" si="2"/>
        <v>223943.66834242549</v>
      </c>
      <c r="I60" s="324">
        <v>60000</v>
      </c>
      <c r="J60" s="325"/>
      <c r="K60" s="325"/>
      <c r="L60" s="319">
        <v>74584.84</v>
      </c>
      <c r="M60" s="320"/>
      <c r="N60" s="320"/>
      <c r="O60" s="320"/>
      <c r="P60" s="392">
        <f t="shared" si="8"/>
        <v>74584.84</v>
      </c>
      <c r="Q60" s="392">
        <f t="shared" si="3"/>
        <v>0</v>
      </c>
      <c r="R60" s="392">
        <f t="shared" si="4"/>
        <v>0</v>
      </c>
      <c r="S60" s="319">
        <v>60000</v>
      </c>
      <c r="T60" s="374"/>
      <c r="U60" s="524">
        <f t="shared" si="9"/>
        <v>0</v>
      </c>
      <c r="V60" s="520">
        <f t="shared" si="10"/>
        <v>60000</v>
      </c>
      <c r="W60" s="524">
        <f t="shared" si="11"/>
        <v>70692.778392805689</v>
      </c>
      <c r="X60" s="520">
        <f t="shared" si="12"/>
        <v>-10692.778392805689</v>
      </c>
      <c r="Y60" s="525">
        <f t="shared" si="13"/>
        <v>230454.90131139939</v>
      </c>
    </row>
    <row r="61" spans="3:25" x14ac:dyDescent="0.2">
      <c r="C61" s="387">
        <f t="shared" si="5"/>
        <v>42656</v>
      </c>
      <c r="D61" s="388">
        <f t="shared" si="6"/>
        <v>149288.64774193548</v>
      </c>
      <c r="E61" s="392">
        <f t="shared" si="7"/>
        <v>74380.483999999997</v>
      </c>
      <c r="F61" s="428">
        <f t="shared" si="0"/>
        <v>0.92850049000000001</v>
      </c>
      <c r="G61" s="390">
        <f t="shared" si="1"/>
        <v>69.062299999999993</v>
      </c>
      <c r="H61" s="391">
        <f t="shared" si="2"/>
        <v>223739.12254242547</v>
      </c>
      <c r="I61" s="324">
        <v>64999</v>
      </c>
      <c r="J61" s="325"/>
      <c r="K61" s="325"/>
      <c r="L61" s="317">
        <v>74380.483999999997</v>
      </c>
      <c r="M61" s="318"/>
      <c r="N61" s="318"/>
      <c r="O61" s="318"/>
      <c r="P61" s="392">
        <f t="shared" si="8"/>
        <v>74380.483999999997</v>
      </c>
      <c r="Q61" s="392">
        <f t="shared" si="3"/>
        <v>0</v>
      </c>
      <c r="R61" s="392">
        <f t="shared" si="4"/>
        <v>0</v>
      </c>
      <c r="S61" s="317">
        <v>64999.600000000006</v>
      </c>
      <c r="T61" s="374"/>
      <c r="U61" s="524">
        <f t="shared" si="9"/>
        <v>0.60000000000582077</v>
      </c>
      <c r="V61" s="520">
        <f t="shared" si="10"/>
        <v>64999</v>
      </c>
      <c r="W61" s="524">
        <f t="shared" si="11"/>
        <v>70499.086304423647</v>
      </c>
      <c r="X61" s="520">
        <f t="shared" si="12"/>
        <v>-5500.0863044236467</v>
      </c>
      <c r="Y61" s="525">
        <f t="shared" si="13"/>
        <v>224954.81500697572</v>
      </c>
    </row>
    <row r="62" spans="3:25" x14ac:dyDescent="0.2">
      <c r="C62" s="387">
        <f t="shared" si="5"/>
        <v>42657</v>
      </c>
      <c r="D62" s="388">
        <f t="shared" si="6"/>
        <v>149288.64774193548</v>
      </c>
      <c r="E62" s="392">
        <f t="shared" si="7"/>
        <v>74043.88</v>
      </c>
      <c r="F62" s="428">
        <f t="shared" si="0"/>
        <v>0.92850049000000001</v>
      </c>
      <c r="G62" s="390">
        <f t="shared" si="1"/>
        <v>68.749799999999993</v>
      </c>
      <c r="H62" s="391">
        <f t="shared" si="2"/>
        <v>223402.20604242547</v>
      </c>
      <c r="I62" s="324">
        <v>64999</v>
      </c>
      <c r="J62" s="325"/>
      <c r="K62" s="325"/>
      <c r="L62" s="319">
        <v>74043.88</v>
      </c>
      <c r="M62" s="320"/>
      <c r="N62" s="320"/>
      <c r="O62" s="320"/>
      <c r="P62" s="392">
        <f t="shared" si="8"/>
        <v>74043.88</v>
      </c>
      <c r="Q62" s="392">
        <f t="shared" si="3"/>
        <v>0</v>
      </c>
      <c r="R62" s="392">
        <f t="shared" si="4"/>
        <v>0</v>
      </c>
      <c r="S62" s="319">
        <v>64999.600000000006</v>
      </c>
      <c r="T62" s="374"/>
      <c r="U62" s="524">
        <f t="shared" si="9"/>
        <v>0.60000000000582077</v>
      </c>
      <c r="V62" s="520">
        <f t="shared" si="10"/>
        <v>64999</v>
      </c>
      <c r="W62" s="524">
        <f t="shared" si="11"/>
        <v>70180.047315024043</v>
      </c>
      <c r="X62" s="520">
        <f t="shared" si="12"/>
        <v>-5181.0473150240432</v>
      </c>
      <c r="Y62" s="525">
        <f t="shared" si="13"/>
        <v>219773.76769195168</v>
      </c>
    </row>
    <row r="63" spans="3:25" x14ac:dyDescent="0.2">
      <c r="C63" s="387">
        <f t="shared" si="5"/>
        <v>42658</v>
      </c>
      <c r="D63" s="388">
        <f t="shared" si="6"/>
        <v>149288.64774193548</v>
      </c>
      <c r="E63" s="392">
        <f t="shared" si="7"/>
        <v>68926.83</v>
      </c>
      <c r="F63" s="428">
        <f t="shared" si="0"/>
        <v>0.92850049000000001</v>
      </c>
      <c r="G63" s="390">
        <f t="shared" si="1"/>
        <v>63.998600000000003</v>
      </c>
      <c r="H63" s="391">
        <f t="shared" si="2"/>
        <v>218280.40484242546</v>
      </c>
      <c r="I63" s="324">
        <v>69000</v>
      </c>
      <c r="J63" s="325"/>
      <c r="K63" s="325"/>
      <c r="L63" s="317">
        <v>68926.83</v>
      </c>
      <c r="M63" s="318"/>
      <c r="N63" s="318"/>
      <c r="O63" s="318"/>
      <c r="P63" s="392">
        <f t="shared" si="8"/>
        <v>68926.83</v>
      </c>
      <c r="Q63" s="392">
        <f t="shared" si="3"/>
        <v>0</v>
      </c>
      <c r="R63" s="392">
        <f t="shared" si="4"/>
        <v>0</v>
      </c>
      <c r="S63" s="317">
        <v>68999.66</v>
      </c>
      <c r="T63" s="374"/>
      <c r="U63" s="524">
        <f t="shared" si="9"/>
        <v>-0.33999999999650754</v>
      </c>
      <c r="V63" s="520">
        <f t="shared" si="10"/>
        <v>69000</v>
      </c>
      <c r="W63" s="524">
        <f t="shared" si="11"/>
        <v>65330.020397021581</v>
      </c>
      <c r="X63" s="520">
        <f t="shared" si="12"/>
        <v>3669.9796029784193</v>
      </c>
      <c r="Y63" s="525">
        <f t="shared" si="13"/>
        <v>223443.7472949301</v>
      </c>
    </row>
    <row r="64" spans="3:25" x14ac:dyDescent="0.2">
      <c r="C64" s="387">
        <f t="shared" si="5"/>
        <v>42659</v>
      </c>
      <c r="D64" s="388">
        <f t="shared" si="6"/>
        <v>149288.64774193548</v>
      </c>
      <c r="E64" s="392">
        <f t="shared" si="7"/>
        <v>66591.05</v>
      </c>
      <c r="F64" s="428">
        <f t="shared" si="0"/>
        <v>0.92850049000000001</v>
      </c>
      <c r="G64" s="390">
        <f t="shared" si="1"/>
        <v>61.829799999999999</v>
      </c>
      <c r="H64" s="391">
        <f t="shared" si="2"/>
        <v>215942.4560424255</v>
      </c>
      <c r="I64" s="324">
        <v>69000</v>
      </c>
      <c r="J64" s="325"/>
      <c r="K64" s="325"/>
      <c r="L64" s="319">
        <v>66591.05</v>
      </c>
      <c r="M64" s="320"/>
      <c r="N64" s="320"/>
      <c r="O64" s="320"/>
      <c r="P64" s="392">
        <f t="shared" si="8"/>
        <v>66591.05</v>
      </c>
      <c r="Q64" s="392">
        <f t="shared" si="3"/>
        <v>0</v>
      </c>
      <c r="R64" s="392">
        <f t="shared" si="4"/>
        <v>0</v>
      </c>
      <c r="S64" s="319">
        <v>68999.66</v>
      </c>
      <c r="T64" s="374"/>
      <c r="U64" s="524">
        <f t="shared" si="9"/>
        <v>-0.33999999999650754</v>
      </c>
      <c r="V64" s="520">
        <f t="shared" si="10"/>
        <v>69000</v>
      </c>
      <c r="W64" s="524">
        <f t="shared" si="11"/>
        <v>63116.128432993137</v>
      </c>
      <c r="X64" s="520">
        <f t="shared" si="12"/>
        <v>5883.8715670068632</v>
      </c>
      <c r="Y64" s="525">
        <f t="shared" si="13"/>
        <v>229327.61886193696</v>
      </c>
    </row>
    <row r="65" spans="3:38" x14ac:dyDescent="0.2">
      <c r="C65" s="387">
        <f t="shared" si="5"/>
        <v>42660</v>
      </c>
      <c r="D65" s="388">
        <f t="shared" si="6"/>
        <v>149288.64774193548</v>
      </c>
      <c r="E65" s="392">
        <f t="shared" si="7"/>
        <v>67685.06</v>
      </c>
      <c r="F65" s="428">
        <f t="shared" si="0"/>
        <v>0.92850049000000001</v>
      </c>
      <c r="G65" s="390">
        <f t="shared" si="1"/>
        <v>62.845599999999997</v>
      </c>
      <c r="H65" s="391">
        <f t="shared" si="2"/>
        <v>217037.48184242548</v>
      </c>
      <c r="I65" s="324">
        <v>69000</v>
      </c>
      <c r="J65" s="325"/>
      <c r="K65" s="325"/>
      <c r="L65" s="317">
        <v>67685.06</v>
      </c>
      <c r="M65" s="318"/>
      <c r="N65" s="318"/>
      <c r="O65" s="318"/>
      <c r="P65" s="392">
        <f t="shared" si="8"/>
        <v>67685.06</v>
      </c>
      <c r="Q65" s="392">
        <f t="shared" si="3"/>
        <v>0</v>
      </c>
      <c r="R65" s="392">
        <f t="shared" si="4"/>
        <v>0</v>
      </c>
      <c r="S65" s="317">
        <v>68999.66</v>
      </c>
      <c r="T65" s="374"/>
      <c r="U65" s="524">
        <f t="shared" si="9"/>
        <v>-0.33999999999650754</v>
      </c>
      <c r="V65" s="520">
        <f t="shared" si="10"/>
        <v>69000</v>
      </c>
      <c r="W65" s="524">
        <f t="shared" si="11"/>
        <v>64153.04969594031</v>
      </c>
      <c r="X65" s="520">
        <f t="shared" si="12"/>
        <v>4846.9503040596901</v>
      </c>
      <c r="Y65" s="525">
        <f t="shared" si="13"/>
        <v>234174.56916599665</v>
      </c>
    </row>
    <row r="66" spans="3:38" x14ac:dyDescent="0.2">
      <c r="C66" s="387">
        <f t="shared" si="5"/>
        <v>42661</v>
      </c>
      <c r="D66" s="388">
        <f t="shared" si="6"/>
        <v>149288.64774193548</v>
      </c>
      <c r="E66" s="392">
        <f t="shared" si="7"/>
        <v>74058.19</v>
      </c>
      <c r="F66" s="428">
        <f t="shared" si="0"/>
        <v>0.92850049000000001</v>
      </c>
      <c r="G66" s="390">
        <f t="shared" si="1"/>
        <v>68.763099999999994</v>
      </c>
      <c r="H66" s="391">
        <f t="shared" si="2"/>
        <v>223416.52934242549</v>
      </c>
      <c r="I66" s="324">
        <v>70000</v>
      </c>
      <c r="J66" s="325"/>
      <c r="K66" s="325"/>
      <c r="L66" s="319">
        <v>74058.19</v>
      </c>
      <c r="M66" s="320"/>
      <c r="N66" s="320"/>
      <c r="O66" s="320"/>
      <c r="P66" s="392">
        <f t="shared" si="8"/>
        <v>74058.19</v>
      </c>
      <c r="Q66" s="392">
        <f t="shared" si="3"/>
        <v>0</v>
      </c>
      <c r="R66" s="392">
        <f t="shared" si="4"/>
        <v>0</v>
      </c>
      <c r="S66" s="319">
        <v>70000.17</v>
      </c>
      <c r="T66" s="374"/>
      <c r="U66" s="524">
        <f t="shared" si="9"/>
        <v>0.16999999999825377</v>
      </c>
      <c r="V66" s="520">
        <f t="shared" si="10"/>
        <v>70000</v>
      </c>
      <c r="W66" s="524">
        <f t="shared" si="11"/>
        <v>70193.610576121078</v>
      </c>
      <c r="X66" s="520">
        <f t="shared" si="12"/>
        <v>-193.61057612107834</v>
      </c>
      <c r="Y66" s="525">
        <f t="shared" si="13"/>
        <v>233980.95858987558</v>
      </c>
    </row>
    <row r="67" spans="3:38" x14ac:dyDescent="0.2">
      <c r="C67" s="387">
        <f t="shared" si="5"/>
        <v>42662</v>
      </c>
      <c r="D67" s="388">
        <f t="shared" si="6"/>
        <v>149288.64774193548</v>
      </c>
      <c r="E67" s="392">
        <f t="shared" si="7"/>
        <v>71529.75</v>
      </c>
      <c r="F67" s="428">
        <f t="shared" si="0"/>
        <v>0.92850049000000001</v>
      </c>
      <c r="G67" s="390">
        <f t="shared" si="1"/>
        <v>66.415400000000005</v>
      </c>
      <c r="H67" s="391">
        <f t="shared" si="2"/>
        <v>220885.74164242548</v>
      </c>
      <c r="I67" s="324">
        <v>64999</v>
      </c>
      <c r="J67" s="325"/>
      <c r="K67" s="325"/>
      <c r="L67" s="317">
        <v>71529.75</v>
      </c>
      <c r="M67" s="318"/>
      <c r="N67" s="318"/>
      <c r="O67" s="318"/>
      <c r="P67" s="392">
        <f t="shared" si="8"/>
        <v>71529.75</v>
      </c>
      <c r="Q67" s="392">
        <f t="shared" si="3"/>
        <v>0</v>
      </c>
      <c r="R67" s="392">
        <f t="shared" si="4"/>
        <v>0</v>
      </c>
      <c r="S67" s="317">
        <v>64999.600000000006</v>
      </c>
      <c r="T67" s="374"/>
      <c r="U67" s="524">
        <f t="shared" si="9"/>
        <v>0.60000000000582077</v>
      </c>
      <c r="V67" s="520">
        <f t="shared" si="10"/>
        <v>64999</v>
      </c>
      <c r="W67" s="524">
        <f t="shared" si="11"/>
        <v>67797.112191201231</v>
      </c>
      <c r="X67" s="520">
        <f t="shared" si="12"/>
        <v>-2798.1121912012313</v>
      </c>
      <c r="Y67" s="525">
        <f t="shared" si="13"/>
        <v>231182.84639867436</v>
      </c>
    </row>
    <row r="68" spans="3:38" x14ac:dyDescent="0.2">
      <c r="C68" s="387">
        <f t="shared" si="5"/>
        <v>42663</v>
      </c>
      <c r="D68" s="388">
        <f t="shared" si="6"/>
        <v>149288.64774193548</v>
      </c>
      <c r="E68" s="392">
        <f t="shared" si="7"/>
        <v>68971.3</v>
      </c>
      <c r="F68" s="428">
        <f t="shared" si="0"/>
        <v>0.92850049000000001</v>
      </c>
      <c r="G68" s="390">
        <f t="shared" si="1"/>
        <v>64.039900000000003</v>
      </c>
      <c r="H68" s="391">
        <f t="shared" si="2"/>
        <v>218324.9161424255</v>
      </c>
      <c r="I68" s="324">
        <v>60000</v>
      </c>
      <c r="J68" s="325"/>
      <c r="K68" s="325"/>
      <c r="L68" s="319">
        <v>68971.3</v>
      </c>
      <c r="M68" s="320"/>
      <c r="N68" s="320"/>
      <c r="O68" s="320"/>
      <c r="P68" s="392">
        <f t="shared" si="8"/>
        <v>68971.3</v>
      </c>
      <c r="Q68" s="392">
        <f t="shared" si="3"/>
        <v>0</v>
      </c>
      <c r="R68" s="392">
        <f t="shared" si="4"/>
        <v>0</v>
      </c>
      <c r="S68" s="319">
        <v>60000</v>
      </c>
      <c r="T68" s="374"/>
      <c r="U68" s="524">
        <f t="shared" si="9"/>
        <v>0</v>
      </c>
      <c r="V68" s="520">
        <f t="shared" si="10"/>
        <v>60000</v>
      </c>
      <c r="W68" s="524">
        <f t="shared" si="11"/>
        <v>65372.169818474096</v>
      </c>
      <c r="X68" s="520">
        <f t="shared" si="12"/>
        <v>-5372.1698184740962</v>
      </c>
      <c r="Y68" s="525">
        <f t="shared" si="13"/>
        <v>225810.67658020026</v>
      </c>
    </row>
    <row r="69" spans="3:38" x14ac:dyDescent="0.2">
      <c r="C69" s="387">
        <f t="shared" si="5"/>
        <v>42664</v>
      </c>
      <c r="D69" s="388">
        <f t="shared" si="6"/>
        <v>149288.64774193548</v>
      </c>
      <c r="E69" s="392">
        <f t="shared" si="7"/>
        <v>68105.41</v>
      </c>
      <c r="F69" s="428">
        <f t="shared" si="0"/>
        <v>0.92850049000000001</v>
      </c>
      <c r="G69" s="390">
        <f t="shared" si="1"/>
        <v>63.235900000000001</v>
      </c>
      <c r="H69" s="391">
        <f t="shared" si="2"/>
        <v>217458.22214242548</v>
      </c>
      <c r="I69" s="324">
        <v>55000</v>
      </c>
      <c r="J69" s="325"/>
      <c r="K69" s="325"/>
      <c r="L69" s="317">
        <v>68105.41</v>
      </c>
      <c r="M69" s="318"/>
      <c r="N69" s="318"/>
      <c r="O69" s="318"/>
      <c r="P69" s="392">
        <f t="shared" si="8"/>
        <v>68105.41</v>
      </c>
      <c r="Q69" s="392">
        <f t="shared" si="3"/>
        <v>0</v>
      </c>
      <c r="R69" s="392">
        <f t="shared" si="4"/>
        <v>0</v>
      </c>
      <c r="S69" s="317">
        <v>55000.41</v>
      </c>
      <c r="T69" s="374"/>
      <c r="U69" s="524">
        <f t="shared" si="9"/>
        <v>0.41000000000349246</v>
      </c>
      <c r="V69" s="520">
        <f t="shared" si="10"/>
        <v>55000</v>
      </c>
      <c r="W69" s="524">
        <f t="shared" si="11"/>
        <v>64551.464566809729</v>
      </c>
      <c r="X69" s="520">
        <f t="shared" si="12"/>
        <v>-9551.4645668097291</v>
      </c>
      <c r="Y69" s="525">
        <f t="shared" si="13"/>
        <v>216259.21201339053</v>
      </c>
    </row>
    <row r="70" spans="3:38" x14ac:dyDescent="0.2">
      <c r="C70" s="387">
        <f t="shared" si="5"/>
        <v>42665</v>
      </c>
      <c r="D70" s="388">
        <f t="shared" si="6"/>
        <v>149288.64774193548</v>
      </c>
      <c r="E70" s="392">
        <f t="shared" si="7"/>
        <v>69427.146999999997</v>
      </c>
      <c r="F70" s="428">
        <f t="shared" si="0"/>
        <v>0.92850049000000001</v>
      </c>
      <c r="G70" s="390">
        <f t="shared" si="1"/>
        <v>64.463099999999997</v>
      </c>
      <c r="H70" s="391">
        <f t="shared" si="2"/>
        <v>218781.18634242547</v>
      </c>
      <c r="I70" s="324">
        <v>62000</v>
      </c>
      <c r="J70" s="325"/>
      <c r="K70" s="325"/>
      <c r="L70" s="319">
        <v>69427.146999999997</v>
      </c>
      <c r="M70" s="320"/>
      <c r="N70" s="320"/>
      <c r="O70" s="320"/>
      <c r="P70" s="392">
        <f t="shared" si="8"/>
        <v>69427.146999999997</v>
      </c>
      <c r="Q70" s="392">
        <f t="shared" si="3"/>
        <v>0</v>
      </c>
      <c r="R70" s="392">
        <f t="shared" si="4"/>
        <v>0</v>
      </c>
      <c r="S70" s="319">
        <v>62000.039999999994</v>
      </c>
      <c r="T70" s="374"/>
      <c r="U70" s="524">
        <f t="shared" si="9"/>
        <v>3.9999999993597157E-2</v>
      </c>
      <c r="V70" s="520">
        <f t="shared" si="10"/>
        <v>62000</v>
      </c>
      <c r="W70" s="524">
        <f t="shared" si="11"/>
        <v>65804.229348963461</v>
      </c>
      <c r="X70" s="520">
        <f t="shared" si="12"/>
        <v>-3804.2293489634612</v>
      </c>
      <c r="Y70" s="525">
        <f t="shared" si="13"/>
        <v>212454.98266442708</v>
      </c>
    </row>
    <row r="71" spans="3:38" x14ac:dyDescent="0.2">
      <c r="C71" s="387">
        <f t="shared" si="5"/>
        <v>42666</v>
      </c>
      <c r="D71" s="388">
        <f t="shared" si="6"/>
        <v>149288.64774193548</v>
      </c>
      <c r="E71" s="392">
        <f t="shared" si="7"/>
        <v>66829.67</v>
      </c>
      <c r="F71" s="428">
        <f t="shared" si="0"/>
        <v>0.92850049000000001</v>
      </c>
      <c r="G71" s="390">
        <f t="shared" si="1"/>
        <v>62.051400000000001</v>
      </c>
      <c r="H71" s="391">
        <f t="shared" si="2"/>
        <v>216181.29764242549</v>
      </c>
      <c r="I71" s="324">
        <v>62000</v>
      </c>
      <c r="J71" s="325"/>
      <c r="K71" s="325"/>
      <c r="L71" s="317">
        <v>66829.67</v>
      </c>
      <c r="M71" s="318"/>
      <c r="N71" s="318"/>
      <c r="O71" s="318"/>
      <c r="P71" s="392">
        <f t="shared" si="8"/>
        <v>66829.67</v>
      </c>
      <c r="Q71" s="392">
        <f t="shared" si="3"/>
        <v>0</v>
      </c>
      <c r="R71" s="392">
        <f t="shared" si="4"/>
        <v>0</v>
      </c>
      <c r="S71" s="317">
        <v>62000.039999999994</v>
      </c>
      <c r="T71" s="374"/>
      <c r="U71" s="524">
        <f t="shared" si="9"/>
        <v>3.9999999993597157E-2</v>
      </c>
      <c r="V71" s="520">
        <f t="shared" si="10"/>
        <v>62000</v>
      </c>
      <c r="W71" s="524">
        <f t="shared" si="11"/>
        <v>63342.296522649034</v>
      </c>
      <c r="X71" s="520">
        <f t="shared" si="12"/>
        <v>-1342.2965226490342</v>
      </c>
      <c r="Y71" s="525">
        <f t="shared" si="13"/>
        <v>211112.68614177805</v>
      </c>
    </row>
    <row r="72" spans="3:38" x14ac:dyDescent="0.2">
      <c r="C72" s="387">
        <f t="shared" si="5"/>
        <v>42667</v>
      </c>
      <c r="D72" s="388">
        <f t="shared" si="6"/>
        <v>149288.64774193548</v>
      </c>
      <c r="E72" s="392">
        <f t="shared" si="7"/>
        <v>71608.52</v>
      </c>
      <c r="F72" s="428">
        <f t="shared" si="0"/>
        <v>0.92850049000000001</v>
      </c>
      <c r="G72" s="390">
        <f t="shared" si="1"/>
        <v>66.488500000000002</v>
      </c>
      <c r="H72" s="391">
        <f t="shared" si="2"/>
        <v>220964.58474242548</v>
      </c>
      <c r="I72" s="324">
        <v>62000</v>
      </c>
      <c r="J72" s="325"/>
      <c r="K72" s="325"/>
      <c r="L72" s="319">
        <v>71608.52</v>
      </c>
      <c r="M72" s="320"/>
      <c r="N72" s="320"/>
      <c r="O72" s="320"/>
      <c r="P72" s="392">
        <f t="shared" si="8"/>
        <v>71608.52</v>
      </c>
      <c r="Q72" s="392">
        <f t="shared" si="3"/>
        <v>0</v>
      </c>
      <c r="R72" s="392">
        <f t="shared" si="4"/>
        <v>0</v>
      </c>
      <c r="S72" s="319">
        <v>62000.039999999994</v>
      </c>
      <c r="T72" s="374"/>
      <c r="U72" s="524">
        <f t="shared" si="9"/>
        <v>3.9999999993597157E-2</v>
      </c>
      <c r="V72" s="520">
        <f t="shared" si="10"/>
        <v>62000</v>
      </c>
      <c r="W72" s="524">
        <f t="shared" si="11"/>
        <v>67871.771735339178</v>
      </c>
      <c r="X72" s="520">
        <f t="shared" si="12"/>
        <v>-5871.7717353391781</v>
      </c>
      <c r="Y72" s="525">
        <f t="shared" si="13"/>
        <v>205240.91440643888</v>
      </c>
    </row>
    <row r="73" spans="3:38" x14ac:dyDescent="0.2">
      <c r="C73" s="387">
        <f t="shared" si="5"/>
        <v>42668</v>
      </c>
      <c r="D73" s="388">
        <f t="shared" si="6"/>
        <v>149288.64774193548</v>
      </c>
      <c r="E73" s="392">
        <f t="shared" si="7"/>
        <v>71562.369000000006</v>
      </c>
      <c r="F73" s="428">
        <f t="shared" si="0"/>
        <v>0.92850049000000001</v>
      </c>
      <c r="G73" s="390">
        <f t="shared" si="1"/>
        <v>66.445700000000002</v>
      </c>
      <c r="H73" s="391">
        <f t="shared" si="2"/>
        <v>220918.3909424255</v>
      </c>
      <c r="I73" s="324">
        <v>64999</v>
      </c>
      <c r="J73" s="325"/>
      <c r="K73" s="325"/>
      <c r="L73" s="317">
        <v>71562.369000000006</v>
      </c>
      <c r="M73" s="318"/>
      <c r="N73" s="318"/>
      <c r="O73" s="318"/>
      <c r="P73" s="392">
        <f t="shared" si="8"/>
        <v>71562.369000000006</v>
      </c>
      <c r="Q73" s="392">
        <f t="shared" si="3"/>
        <v>0</v>
      </c>
      <c r="R73" s="392">
        <f t="shared" si="4"/>
        <v>0</v>
      </c>
      <c r="S73" s="317">
        <v>64999.600000000006</v>
      </c>
      <c r="T73" s="374"/>
      <c r="U73" s="524">
        <f t="shared" si="9"/>
        <v>0.60000000000582077</v>
      </c>
      <c r="V73" s="520">
        <f t="shared" si="10"/>
        <v>64999</v>
      </c>
      <c r="W73" s="524">
        <f t="shared" si="11"/>
        <v>67828.02903352998</v>
      </c>
      <c r="X73" s="520">
        <f t="shared" si="12"/>
        <v>-2829.0290335299796</v>
      </c>
      <c r="Y73" s="525">
        <f t="shared" si="13"/>
        <v>202411.8853729089</v>
      </c>
    </row>
    <row r="74" spans="3:38" x14ac:dyDescent="0.2">
      <c r="C74" s="387">
        <f t="shared" si="5"/>
        <v>42669</v>
      </c>
      <c r="D74" s="388">
        <f t="shared" si="6"/>
        <v>149288.64774193548</v>
      </c>
      <c r="E74" s="392">
        <f t="shared" si="7"/>
        <v>60470.71</v>
      </c>
      <c r="F74" s="428">
        <f t="shared" si="0"/>
        <v>0.92850049000000001</v>
      </c>
      <c r="G74" s="390">
        <f t="shared" si="1"/>
        <v>56.147100000000002</v>
      </c>
      <c r="H74" s="391">
        <f t="shared" si="2"/>
        <v>209816.43334242547</v>
      </c>
      <c r="I74" s="324">
        <v>64999</v>
      </c>
      <c r="J74" s="325"/>
      <c r="K74" s="325"/>
      <c r="L74" s="319">
        <v>60470.71</v>
      </c>
      <c r="M74" s="320"/>
      <c r="N74" s="320"/>
      <c r="O74" s="320"/>
      <c r="P74" s="392">
        <f t="shared" si="8"/>
        <v>60470.71</v>
      </c>
      <c r="Q74" s="392">
        <f t="shared" si="3"/>
        <v>0</v>
      </c>
      <c r="R74" s="392">
        <f t="shared" si="4"/>
        <v>0</v>
      </c>
      <c r="S74" s="319">
        <v>64999.600000000006</v>
      </c>
      <c r="T74" s="374"/>
      <c r="U74" s="524">
        <f t="shared" si="9"/>
        <v>0.60000000000582077</v>
      </c>
      <c r="V74" s="520">
        <f t="shared" si="10"/>
        <v>64999</v>
      </c>
      <c r="W74" s="524">
        <f t="shared" si="11"/>
        <v>57315.166209187002</v>
      </c>
      <c r="X74" s="520">
        <f t="shared" si="12"/>
        <v>7683.8337908129979</v>
      </c>
      <c r="Y74" s="525">
        <f t="shared" si="13"/>
        <v>210095.71916372189</v>
      </c>
    </row>
    <row r="75" spans="3:38" x14ac:dyDescent="0.2">
      <c r="C75" s="387">
        <f t="shared" si="5"/>
        <v>42670</v>
      </c>
      <c r="D75" s="388">
        <f t="shared" si="6"/>
        <v>149288.64774193548</v>
      </c>
      <c r="E75" s="392">
        <f t="shared" si="7"/>
        <v>71599.183999999994</v>
      </c>
      <c r="F75" s="428">
        <f t="shared" si="0"/>
        <v>0.92850049000000001</v>
      </c>
      <c r="G75" s="390">
        <f t="shared" si="1"/>
        <v>66.479900000000001</v>
      </c>
      <c r="H75" s="391">
        <f t="shared" si="2"/>
        <v>220955.24014242546</v>
      </c>
      <c r="I75" s="324">
        <v>64999</v>
      </c>
      <c r="J75" s="325"/>
      <c r="K75" s="325"/>
      <c r="L75" s="317">
        <v>71599.183999999994</v>
      </c>
      <c r="M75" s="318"/>
      <c r="N75" s="318"/>
      <c r="O75" s="318"/>
      <c r="P75" s="392">
        <f t="shared" si="8"/>
        <v>71599.183999999994</v>
      </c>
      <c r="Q75" s="392">
        <f t="shared" si="3"/>
        <v>0</v>
      </c>
      <c r="R75" s="392">
        <f t="shared" si="4"/>
        <v>0</v>
      </c>
      <c r="S75" s="317">
        <v>64999.600000000006</v>
      </c>
      <c r="T75" s="374"/>
      <c r="U75" s="524">
        <f t="shared" si="9"/>
        <v>0.60000000000582077</v>
      </c>
      <c r="V75" s="520">
        <f t="shared" si="10"/>
        <v>64999</v>
      </c>
      <c r="W75" s="524">
        <f t="shared" si="11"/>
        <v>67862.922915939998</v>
      </c>
      <c r="X75" s="520">
        <f t="shared" si="12"/>
        <v>-2863.9229159399983</v>
      </c>
      <c r="Y75" s="525">
        <f t="shared" si="13"/>
        <v>207231.79624778189</v>
      </c>
    </row>
    <row r="76" spans="3:38" x14ac:dyDescent="0.2">
      <c r="C76" s="387">
        <f t="shared" si="5"/>
        <v>42671</v>
      </c>
      <c r="D76" s="388">
        <f t="shared" si="6"/>
        <v>149288.64774193548</v>
      </c>
      <c r="E76" s="392">
        <f t="shared" si="7"/>
        <v>71328.601563000004</v>
      </c>
      <c r="F76" s="428">
        <f t="shared" si="0"/>
        <v>0.92850049000000001</v>
      </c>
      <c r="G76" s="390">
        <f t="shared" si="1"/>
        <v>66.2286</v>
      </c>
      <c r="H76" s="391">
        <f t="shared" si="2"/>
        <v>220684.40640542548</v>
      </c>
      <c r="I76" s="324">
        <v>64999</v>
      </c>
      <c r="J76" s="325"/>
      <c r="K76" s="325"/>
      <c r="L76" s="319">
        <v>71328.601563000004</v>
      </c>
      <c r="M76" s="320"/>
      <c r="N76" s="320"/>
      <c r="O76" s="320"/>
      <c r="P76" s="392">
        <f t="shared" si="8"/>
        <v>71328.601563000004</v>
      </c>
      <c r="Q76" s="392">
        <f t="shared" si="3"/>
        <v>0</v>
      </c>
      <c r="R76" s="392">
        <f t="shared" si="4"/>
        <v>0</v>
      </c>
      <c r="S76" s="319">
        <v>64999.600000000006</v>
      </c>
      <c r="T76" s="374"/>
      <c r="U76" s="524">
        <f t="shared" si="9"/>
        <v>0.60000000000582077</v>
      </c>
      <c r="V76" s="520">
        <f t="shared" si="10"/>
        <v>64999</v>
      </c>
      <c r="W76" s="524">
        <f t="shared" si="11"/>
        <v>67606.460285520399</v>
      </c>
      <c r="X76" s="520">
        <f t="shared" si="12"/>
        <v>-2607.4602855203993</v>
      </c>
      <c r="Y76" s="525">
        <f t="shared" si="13"/>
        <v>204624.33596226148</v>
      </c>
    </row>
    <row r="77" spans="3:38" x14ac:dyDescent="0.2">
      <c r="C77" s="387">
        <f t="shared" si="5"/>
        <v>42672</v>
      </c>
      <c r="D77" s="388">
        <f t="shared" si="6"/>
        <v>149288.64774193548</v>
      </c>
      <c r="E77" s="392">
        <f t="shared" si="7"/>
        <v>66395.882813000004</v>
      </c>
      <c r="F77" s="428">
        <f t="shared" si="0"/>
        <v>0.92850049000000001</v>
      </c>
      <c r="G77" s="390">
        <f t="shared" si="1"/>
        <v>61.648600000000002</v>
      </c>
      <c r="H77" s="391">
        <f t="shared" si="2"/>
        <v>215747.10765542547</v>
      </c>
      <c r="I77" s="324">
        <v>60000</v>
      </c>
      <c r="J77" s="325"/>
      <c r="K77" s="325"/>
      <c r="L77" s="317">
        <v>66395.882813000004</v>
      </c>
      <c r="M77" s="318"/>
      <c r="N77" s="318"/>
      <c r="O77" s="318"/>
      <c r="P77" s="392">
        <f t="shared" si="8"/>
        <v>66395.882813000004</v>
      </c>
      <c r="Q77" s="392">
        <f t="shared" si="3"/>
        <v>0</v>
      </c>
      <c r="R77" s="392">
        <f t="shared" si="4"/>
        <v>0</v>
      </c>
      <c r="S77" s="317">
        <v>60000</v>
      </c>
      <c r="T77" s="374"/>
      <c r="U77" s="524">
        <f t="shared" si="9"/>
        <v>0</v>
      </c>
      <c r="V77" s="520">
        <f t="shared" si="10"/>
        <v>60000</v>
      </c>
      <c r="W77" s="524">
        <f t="shared" si="11"/>
        <v>62931.145657671259</v>
      </c>
      <c r="X77" s="520">
        <f t="shared" si="12"/>
        <v>-2931.145657671259</v>
      </c>
      <c r="Y77" s="525">
        <f t="shared" si="13"/>
        <v>201693.19030459021</v>
      </c>
    </row>
    <row r="78" spans="3:38" x14ac:dyDescent="0.2">
      <c r="C78" s="387">
        <f t="shared" si="5"/>
        <v>42673</v>
      </c>
      <c r="D78" s="388">
        <f t="shared" si="6"/>
        <v>149288.64774193548</v>
      </c>
      <c r="E78" s="392">
        <f t="shared" si="7"/>
        <v>66193.222656999991</v>
      </c>
      <c r="F78" s="428">
        <f t="shared" si="0"/>
        <v>0.92850049000000001</v>
      </c>
      <c r="G78" s="390">
        <f t="shared" si="1"/>
        <v>61.4604</v>
      </c>
      <c r="H78" s="391">
        <f t="shared" si="2"/>
        <v>215544.25929942547</v>
      </c>
      <c r="I78" s="324">
        <v>60000</v>
      </c>
      <c r="J78" s="325"/>
      <c r="K78" s="325"/>
      <c r="L78" s="319">
        <v>66193.222656999991</v>
      </c>
      <c r="M78" s="320"/>
      <c r="N78" s="320"/>
      <c r="O78" s="320"/>
      <c r="P78" s="392">
        <f t="shared" si="8"/>
        <v>66193.222656999991</v>
      </c>
      <c r="Q78" s="392">
        <f t="shared" si="3"/>
        <v>0</v>
      </c>
      <c r="R78" s="392">
        <f t="shared" si="4"/>
        <v>0</v>
      </c>
      <c r="S78" s="319">
        <v>60000</v>
      </c>
      <c r="T78" s="374"/>
      <c r="U78" s="524">
        <f t="shared" si="9"/>
        <v>0</v>
      </c>
      <c r="V78" s="520">
        <f t="shared" si="10"/>
        <v>60000</v>
      </c>
      <c r="W78" s="524">
        <f t="shared" si="11"/>
        <v>62739.060919041258</v>
      </c>
      <c r="X78" s="520">
        <f t="shared" si="12"/>
        <v>-2739.0609190412579</v>
      </c>
      <c r="Y78" s="525">
        <f t="shared" si="13"/>
        <v>198954.12938554896</v>
      </c>
    </row>
    <row r="79" spans="3:38" ht="15" thickBot="1" x14ac:dyDescent="0.25">
      <c r="C79" s="393">
        <f t="shared" si="5"/>
        <v>42674</v>
      </c>
      <c r="D79" s="394">
        <f t="shared" si="6"/>
        <v>149288.64774193548</v>
      </c>
      <c r="E79" s="395">
        <f t="shared" si="7"/>
        <v>74527.585938000004</v>
      </c>
      <c r="F79" s="429">
        <f t="shared" si="0"/>
        <v>0.92850049000000001</v>
      </c>
      <c r="G79" s="396">
        <f t="shared" si="1"/>
        <v>69.198899999999995</v>
      </c>
      <c r="H79" s="397">
        <f t="shared" si="2"/>
        <v>223886.36108042547</v>
      </c>
      <c r="I79" s="326">
        <v>60000</v>
      </c>
      <c r="J79" s="327"/>
      <c r="K79" s="327"/>
      <c r="L79" s="321">
        <v>74527.585938000004</v>
      </c>
      <c r="M79" s="322"/>
      <c r="N79" s="322"/>
      <c r="O79" s="322"/>
      <c r="P79" s="395">
        <f t="shared" si="8"/>
        <v>74527.585938000004</v>
      </c>
      <c r="Q79" s="395">
        <f t="shared" si="3"/>
        <v>0</v>
      </c>
      <c r="R79" s="395">
        <f t="shared" si="4"/>
        <v>0</v>
      </c>
      <c r="S79" s="321">
        <v>60000</v>
      </c>
      <c r="T79" s="376"/>
      <c r="U79" s="521">
        <f t="shared" si="9"/>
        <v>0</v>
      </c>
      <c r="V79" s="528">
        <f t="shared" si="10"/>
        <v>60000</v>
      </c>
      <c r="W79" s="521">
        <f t="shared" si="11"/>
        <v>70638.512020215043</v>
      </c>
      <c r="X79" s="528">
        <f t="shared" si="12"/>
        <v>-10638.512020215043</v>
      </c>
      <c r="Y79" s="529">
        <f>Y78+X79</f>
        <v>188315.61736533392</v>
      </c>
    </row>
    <row r="80" spans="3:38" ht="15" thickBot="1" x14ac:dyDescent="0.25">
      <c r="C80" s="398"/>
      <c r="D80" s="399">
        <f>SUM(D49:D79)</f>
        <v>4627948.0800000019</v>
      </c>
      <c r="E80" s="400">
        <f>SUM(E49:E79)</f>
        <v>2165570.6469709999</v>
      </c>
      <c r="F80" s="400"/>
      <c r="G80" s="401">
        <f>SUM(G49:G79)</f>
        <v>2010.7333000000001</v>
      </c>
      <c r="H80" s="399">
        <f>SUM(H49:H79)</f>
        <v>6795558.2437861897</v>
      </c>
      <c r="I80" s="432">
        <f>SUM(I49:I79)</f>
        <v>2003993</v>
      </c>
      <c r="J80" s="432">
        <f t="shared" ref="J80:R80" si="14">SUM(J49:J79)</f>
        <v>0</v>
      </c>
      <c r="K80" s="432">
        <f t="shared" si="14"/>
        <v>0</v>
      </c>
      <c r="L80" s="432">
        <f t="shared" si="14"/>
        <v>2165570.6469709999</v>
      </c>
      <c r="M80" s="432">
        <f t="shared" si="14"/>
        <v>0</v>
      </c>
      <c r="N80" s="432">
        <f t="shared" si="14"/>
        <v>0</v>
      </c>
      <c r="O80" s="432">
        <f t="shared" si="14"/>
        <v>0</v>
      </c>
      <c r="P80" s="432">
        <f t="shared" si="14"/>
        <v>2165570.6469709999</v>
      </c>
      <c r="Q80" s="432">
        <f t="shared" si="14"/>
        <v>0</v>
      </c>
      <c r="R80" s="432">
        <f t="shared" si="14"/>
        <v>0</v>
      </c>
      <c r="S80" s="570">
        <f>SUM(S49:S79)</f>
        <v>2013997.7700000005</v>
      </c>
      <c r="U80" s="530"/>
      <c r="V80" s="328">
        <f>SUM(V49:V79)</f>
        <v>2003993</v>
      </c>
      <c r="W80" s="328">
        <f>SUM(W49:W79)</f>
        <v>2052564.6477258075</v>
      </c>
      <c r="X80" s="328">
        <f>SUM(X49:X79)</f>
        <v>-48571.647725807961</v>
      </c>
      <c r="Y80" s="323">
        <f>Y79</f>
        <v>188315.61736533392</v>
      </c>
      <c r="AL80" s="361">
        <f>Y79</f>
        <v>188315.61736533392</v>
      </c>
    </row>
    <row r="81" spans="2:14" ht="15" customHeight="1" x14ac:dyDescent="0.2">
      <c r="B81"/>
      <c r="C81"/>
      <c r="D81"/>
      <c r="E81"/>
      <c r="F81"/>
      <c r="G81"/>
      <c r="H81"/>
      <c r="I81"/>
      <c r="J81"/>
      <c r="K81"/>
      <c r="L81"/>
      <c r="N81" s="2"/>
    </row>
  </sheetData>
  <mergeCells count="12">
    <mergeCell ref="C10:D10"/>
    <mergeCell ref="C11:D11"/>
    <mergeCell ref="C3:M4"/>
    <mergeCell ref="C5:M5"/>
    <mergeCell ref="C6:M6"/>
    <mergeCell ref="G7:H7"/>
    <mergeCell ref="C9:D9"/>
    <mergeCell ref="D23:E23"/>
    <mergeCell ref="D24:E24"/>
    <mergeCell ref="C28:F28"/>
    <mergeCell ref="C39:F39"/>
    <mergeCell ref="S47:Y47"/>
  </mergeCells>
  <conditionalFormatting sqref="L49:O79">
    <cfRule type="cellIs" dxfId="129" priority="2" stopIfTrue="1" operator="equal">
      <formula>0</formula>
    </cfRule>
  </conditionalFormatting>
  <conditionalFormatting sqref="S49:S79">
    <cfRule type="cellIs" dxfId="128" priority="1" stopIfTrue="1" operator="equal">
      <formula>0</formula>
    </cfRule>
  </conditionalFormatting>
  <hyperlinks>
    <hyperlink ref="N24" r:id="rId1"/>
  </hyperlinks>
  <printOptions horizontalCentered="1"/>
  <pageMargins left="0.31496062992125984" right="0.70866141732283472" top="0.74803149606299213" bottom="0.74803149606299213" header="0.31496062992125984" footer="0.31496062992125984"/>
  <pageSetup scale="75" orientation="landscape" r:id="rId2"/>
  <legacyDrawing r:id="rId3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L81"/>
  <sheetViews>
    <sheetView workbookViewId="0"/>
  </sheetViews>
  <sheetFormatPr baseColWidth="10" defaultColWidth="11" defaultRowHeight="14.25" x14ac:dyDescent="0.2"/>
  <cols>
    <col min="1" max="1" width="2.875" style="2" customWidth="1"/>
    <col min="2" max="2" width="3.875" style="2" bestFit="1" customWidth="1"/>
    <col min="3" max="3" width="16.125" style="2" customWidth="1"/>
    <col min="4" max="4" width="12.375" style="2" bestFit="1" customWidth="1"/>
    <col min="5" max="5" width="10.875" style="2" bestFit="1" customWidth="1"/>
    <col min="6" max="6" width="17.125" style="2" bestFit="1" customWidth="1"/>
    <col min="7" max="7" width="13.125" style="2" bestFit="1" customWidth="1"/>
    <col min="8" max="8" width="12.125" style="2" bestFit="1" customWidth="1"/>
    <col min="9" max="9" width="11.125" style="2" bestFit="1" customWidth="1"/>
    <col min="10" max="10" width="11.875" style="2" bestFit="1" customWidth="1"/>
    <col min="11" max="11" width="11.625" style="2" bestFit="1" customWidth="1"/>
    <col min="12" max="12" width="12.125" style="2" customWidth="1"/>
    <col min="13" max="13" width="12" style="2" bestFit="1" customWidth="1"/>
    <col min="14" max="14" width="9" style="1" customWidth="1"/>
    <col min="15" max="15" width="10.375" style="2" customWidth="1"/>
    <col min="16" max="25" width="11" style="2"/>
    <col min="26" max="31" width="10.875" customWidth="1"/>
    <col min="32" max="16384" width="11" style="2"/>
  </cols>
  <sheetData>
    <row r="2" spans="2:25" x14ac:dyDescent="0.2"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2:25" ht="15" customHeight="1" x14ac:dyDescent="0.2">
      <c r="B3" s="1"/>
      <c r="C3" s="2254" t="s">
        <v>0</v>
      </c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</row>
    <row r="4" spans="2:25" ht="15" customHeight="1" x14ac:dyDescent="0.2"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</row>
    <row r="5" spans="2:25" x14ac:dyDescent="0.2">
      <c r="B5" s="1"/>
      <c r="C5" s="2257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</row>
    <row r="6" spans="2:25" x14ac:dyDescent="0.2">
      <c r="B6" s="1"/>
      <c r="C6" s="2257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</row>
    <row r="7" spans="2:25" x14ac:dyDescent="0.2">
      <c r="B7" s="1"/>
      <c r="C7" s="468"/>
      <c r="D7" s="468"/>
      <c r="E7" s="468"/>
      <c r="F7" s="468"/>
      <c r="G7" s="2271">
        <v>42675</v>
      </c>
      <c r="H7" s="2257"/>
      <c r="I7" s="468"/>
      <c r="J7" s="468"/>
      <c r="K7" s="468"/>
      <c r="L7" s="468"/>
      <c r="M7" s="468"/>
      <c r="N7" s="18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2:25" x14ac:dyDescent="0.2">
      <c r="B8" s="1"/>
      <c r="C8" s="468"/>
      <c r="D8" s="468"/>
      <c r="E8" s="468"/>
      <c r="F8" s="468"/>
      <c r="G8" s="468"/>
      <c r="H8" s="468"/>
      <c r="I8" s="468"/>
      <c r="J8" s="468"/>
      <c r="K8" s="468"/>
      <c r="L8" s="468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2:25" ht="25.5" x14ac:dyDescent="0.2">
      <c r="B9" s="1"/>
      <c r="C9" s="2272" t="s">
        <v>6</v>
      </c>
      <c r="D9" s="2272"/>
      <c r="E9" s="470" t="s">
        <v>94</v>
      </c>
      <c r="F9" s="470" t="s">
        <v>126</v>
      </c>
      <c r="G9" s="410" t="s">
        <v>133</v>
      </c>
      <c r="H9" s="470" t="s">
        <v>127</v>
      </c>
      <c r="I9" s="470" t="s">
        <v>128</v>
      </c>
      <c r="J9" s="468"/>
      <c r="K9" s="468"/>
      <c r="L9" s="468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2:25" x14ac:dyDescent="0.2">
      <c r="B10" s="1"/>
      <c r="C10" s="2270" t="s">
        <v>131</v>
      </c>
      <c r="D10" s="2270"/>
      <c r="E10" s="433">
        <f>IF(C15=0,D15,C15)</f>
        <v>4627948.08</v>
      </c>
      <c r="F10" s="407">
        <f>E10*0.16</f>
        <v>740471.69280000008</v>
      </c>
      <c r="G10" s="407">
        <f>E10+F10</f>
        <v>5368419.7728000004</v>
      </c>
      <c r="H10" s="408" t="s">
        <v>202</v>
      </c>
      <c r="I10" s="1319">
        <v>20.627099999999999</v>
      </c>
      <c r="J10" s="468"/>
      <c r="K10" s="468"/>
      <c r="L10" s="468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2:25" x14ac:dyDescent="0.2">
      <c r="B11" s="1"/>
      <c r="C11" s="2270" t="s">
        <v>132</v>
      </c>
      <c r="D11" s="2270"/>
      <c r="E11" s="433">
        <f>IF(C16=0,D16,C16)</f>
        <v>1931.31</v>
      </c>
      <c r="F11" s="407">
        <f>E11*0.16</f>
        <v>309.00959999999998</v>
      </c>
      <c r="G11" s="407">
        <f>E11+F11</f>
        <v>2240.3195999999998</v>
      </c>
      <c r="H11" s="408" t="s">
        <v>202</v>
      </c>
      <c r="I11" s="1319">
        <v>20.627099999999999</v>
      </c>
      <c r="J11" s="468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2:25" x14ac:dyDescent="0.2">
      <c r="B12" s="1"/>
      <c r="C12" s="468"/>
      <c r="D12" s="468"/>
      <c r="E12" s="468"/>
      <c r="F12" s="468"/>
      <c r="G12" s="468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2:25" ht="15" thickBot="1" x14ac:dyDescent="0.25">
      <c r="B13" s="1"/>
      <c r="C13" s="468"/>
      <c r="D13" s="468"/>
      <c r="E13" s="468"/>
      <c r="F13" s="468"/>
      <c r="G13" s="468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2:25" x14ac:dyDescent="0.2">
      <c r="B14" s="1"/>
      <c r="C14" s="440" t="s">
        <v>155</v>
      </c>
      <c r="D14" s="441" t="s">
        <v>156</v>
      </c>
      <c r="E14" s="442" t="s">
        <v>112</v>
      </c>
      <c r="F14" s="468"/>
      <c r="G14" s="468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2:25" x14ac:dyDescent="0.2">
      <c r="B15" s="1"/>
      <c r="C15" s="443">
        <v>4627948.08</v>
      </c>
      <c r="D15" s="444">
        <f>D80</f>
        <v>4627948.0800000029</v>
      </c>
      <c r="E15" s="445">
        <f>C15-D15</f>
        <v>0</v>
      </c>
      <c r="F15" s="468"/>
      <c r="G15" s="468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2:25" ht="15" thickBot="1" x14ac:dyDescent="0.25">
      <c r="B16" s="1"/>
      <c r="C16" s="446">
        <v>1931.31</v>
      </c>
      <c r="D16" s="447">
        <f>ROUND(G80,2)</f>
        <v>1931.31</v>
      </c>
      <c r="E16" s="448">
        <f>C16-D16</f>
        <v>0</v>
      </c>
      <c r="F16" s="468"/>
      <c r="G16" s="468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2:25" x14ac:dyDescent="0.2">
      <c r="B17" s="1"/>
      <c r="C17" s="468"/>
      <c r="D17" s="468"/>
      <c r="E17" s="468"/>
      <c r="F17" s="468"/>
      <c r="G17" s="468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2:25" x14ac:dyDescent="0.2">
      <c r="B18" s="1"/>
      <c r="C18" s="468"/>
      <c r="D18" s="468"/>
      <c r="E18" s="468"/>
      <c r="F18" s="468"/>
      <c r="G18" s="468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2:25" x14ac:dyDescent="0.2">
      <c r="B19" s="1"/>
      <c r="C19" s="468"/>
      <c r="D19" s="468"/>
      <c r="E19" s="468"/>
      <c r="F19" s="468"/>
      <c r="G19" s="468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2:25" x14ac:dyDescent="0.2">
      <c r="B20" s="1"/>
      <c r="C20" s="468"/>
      <c r="D20" s="468"/>
      <c r="E20" s="468"/>
      <c r="F20" s="468"/>
      <c r="G20" s="468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2:25" x14ac:dyDescent="0.2">
      <c r="B21" s="1"/>
      <c r="C21" s="468"/>
      <c r="D21" s="468"/>
      <c r="E21" s="468"/>
      <c r="F21" s="468"/>
      <c r="G21" s="468"/>
      <c r="H21" s="1"/>
      <c r="I21" s="1"/>
      <c r="J21" s="1"/>
      <c r="K21" s="1"/>
      <c r="L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2:25" ht="15" thickBot="1" x14ac:dyDescent="0.25">
      <c r="B22" s="1"/>
      <c r="C22" s="419" t="s">
        <v>137</v>
      </c>
      <c r="D22" s="468" t="s">
        <v>138</v>
      </c>
      <c r="E22" s="468"/>
      <c r="F22" s="468" t="s">
        <v>139</v>
      </c>
      <c r="G22" s="468" t="s">
        <v>157</v>
      </c>
      <c r="H22" s="468" t="s">
        <v>143</v>
      </c>
      <c r="I22" s="468" t="s">
        <v>142</v>
      </c>
      <c r="J22" s="468" t="s">
        <v>141</v>
      </c>
      <c r="K22" s="468" t="s">
        <v>140</v>
      </c>
      <c r="L22" s="468" t="s">
        <v>144</v>
      </c>
      <c r="M22" s="468" t="s">
        <v>146</v>
      </c>
      <c r="N22" s="468"/>
      <c r="O22" s="468"/>
      <c r="P22" s="468"/>
      <c r="Q22" s="1"/>
      <c r="R22" s="1"/>
      <c r="S22" s="1"/>
      <c r="T22" s="1"/>
      <c r="U22" s="1"/>
      <c r="V22" s="1"/>
      <c r="W22" s="1"/>
      <c r="X22" s="1"/>
      <c r="Y22" s="1"/>
    </row>
    <row r="23" spans="2:25" ht="36.75" customHeight="1" x14ac:dyDescent="0.2">
      <c r="B23" s="1"/>
      <c r="C23" s="402" t="s">
        <v>134</v>
      </c>
      <c r="D23" s="2261" t="s">
        <v>135</v>
      </c>
      <c r="E23" s="2262"/>
      <c r="F23" s="469" t="s">
        <v>136</v>
      </c>
      <c r="G23" s="461" t="s">
        <v>153</v>
      </c>
      <c r="H23" s="420" t="s">
        <v>129</v>
      </c>
      <c r="I23" s="403" t="s">
        <v>130</v>
      </c>
      <c r="J23" s="422"/>
      <c r="K23" s="422"/>
      <c r="L23" s="422"/>
      <c r="M23" s="404" t="s">
        <v>158</v>
      </c>
      <c r="N23" s="468"/>
      <c r="O23" s="468"/>
      <c r="P23" s="468"/>
      <c r="Q23" s="468"/>
      <c r="R23" s="468"/>
      <c r="S23" s="468"/>
      <c r="T23" s="468"/>
      <c r="U23" s="1"/>
      <c r="V23" s="1"/>
      <c r="W23" s="1"/>
      <c r="X23" s="1"/>
      <c r="Y23" s="1"/>
    </row>
    <row r="24" spans="2:25" x14ac:dyDescent="0.2">
      <c r="B24" s="1"/>
      <c r="C24" s="405">
        <v>850</v>
      </c>
      <c r="D24" s="2263">
        <v>850</v>
      </c>
      <c r="E24" s="2264"/>
      <c r="F24" s="418">
        <v>31482640</v>
      </c>
      <c r="G24" s="462">
        <v>30</v>
      </c>
      <c r="H24" s="460">
        <f>VLOOKUP(C47,Tarifas!D4:H303,3)</f>
        <v>0.14699999999999999</v>
      </c>
      <c r="I24" s="424">
        <f>VLOOKUP(C47,Tarifas!D4:H303,5)</f>
        <v>1E-3</v>
      </c>
      <c r="J24" s="421">
        <v>186.8</v>
      </c>
      <c r="K24" s="421">
        <v>201.4</v>
      </c>
      <c r="L24" s="421">
        <f>I11</f>
        <v>20.627099999999999</v>
      </c>
      <c r="M24" s="431">
        <f>E80</f>
        <v>2082258.507891</v>
      </c>
      <c r="N24" s="430" t="s">
        <v>62</v>
      </c>
      <c r="O24" s="468"/>
      <c r="P24" s="468"/>
      <c r="Q24" s="468"/>
      <c r="R24" s="468"/>
      <c r="S24" s="468"/>
      <c r="T24" s="468"/>
      <c r="U24" s="1"/>
      <c r="V24" s="1"/>
      <c r="W24" s="1"/>
      <c r="X24" s="1"/>
      <c r="Y24" s="1"/>
    </row>
    <row r="25" spans="2:25" x14ac:dyDescent="0.2">
      <c r="B25" s="1"/>
      <c r="C25" s="468"/>
      <c r="D25" s="468"/>
      <c r="E25" s="468"/>
      <c r="F25" s="468"/>
      <c r="G25" s="468"/>
      <c r="H25" s="468"/>
      <c r="I25" s="468"/>
      <c r="J25" s="468"/>
      <c r="K25" s="468"/>
      <c r="L25" s="468"/>
      <c r="M25" s="468"/>
      <c r="N25" s="468"/>
      <c r="O25" s="468"/>
      <c r="P25" s="468"/>
      <c r="Q25" s="468"/>
      <c r="R25" s="468"/>
      <c r="S25" s="1"/>
      <c r="T25" s="1"/>
      <c r="U25" s="1"/>
      <c r="V25" s="1"/>
      <c r="W25" s="1"/>
      <c r="X25" s="1"/>
      <c r="Y25" s="1"/>
    </row>
    <row r="26" spans="2:25" x14ac:dyDescent="0.2">
      <c r="B26" s="1"/>
      <c r="C26" s="468"/>
      <c r="D26" s="468"/>
      <c r="E26" s="468"/>
      <c r="F26" s="468"/>
      <c r="G26" s="468"/>
      <c r="H26" s="468"/>
      <c r="I26" s="468"/>
      <c r="J26" s="468"/>
      <c r="K26" s="468"/>
      <c r="L26" s="468"/>
      <c r="M26" s="468"/>
      <c r="N26" s="468"/>
      <c r="O26" s="468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2:25" x14ac:dyDescent="0.2">
      <c r="B27" s="1"/>
      <c r="C27" s="468"/>
      <c r="D27" s="468"/>
      <c r="E27" s="468"/>
      <c r="F27" s="468"/>
      <c r="G27" s="468"/>
      <c r="H27" s="468"/>
      <c r="I27" s="468"/>
      <c r="J27" s="468"/>
      <c r="K27" s="468"/>
      <c r="L27" s="468"/>
      <c r="M27" s="468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2:25" ht="15" thickBot="1" x14ac:dyDescent="0.25">
      <c r="B28" s="1"/>
      <c r="C28" s="2265" t="s">
        <v>86</v>
      </c>
      <c r="D28" s="2265"/>
      <c r="E28" s="2265"/>
      <c r="F28" s="2265"/>
      <c r="G28" s="471"/>
      <c r="H28" s="334"/>
      <c r="I28" s="334"/>
      <c r="J28" s="334"/>
      <c r="K28" s="471"/>
      <c r="L28" s="336"/>
      <c r="M28" s="336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2:25" ht="22.5" x14ac:dyDescent="0.2">
      <c r="B29" s="1"/>
      <c r="C29" s="337" t="s">
        <v>87</v>
      </c>
      <c r="D29" s="466" t="s">
        <v>88</v>
      </c>
      <c r="E29" s="466" t="s">
        <v>89</v>
      </c>
      <c r="F29" s="466" t="s">
        <v>20</v>
      </c>
      <c r="G29" s="466" t="s">
        <v>160</v>
      </c>
      <c r="H29" s="466" t="s">
        <v>90</v>
      </c>
      <c r="I29" s="466" t="s">
        <v>91</v>
      </c>
      <c r="J29" s="466" t="s">
        <v>92</v>
      </c>
      <c r="K29" s="466" t="s">
        <v>93</v>
      </c>
      <c r="L29" s="466" t="s">
        <v>94</v>
      </c>
      <c r="M29" s="467" t="s">
        <v>95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2:25" x14ac:dyDescent="0.2">
      <c r="B30" s="1"/>
      <c r="C30" s="338"/>
      <c r="D30" s="339">
        <v>0</v>
      </c>
      <c r="E30" s="339" t="s">
        <v>96</v>
      </c>
      <c r="F30" s="340" t="s">
        <v>97</v>
      </c>
      <c r="G30" s="340">
        <v>2201</v>
      </c>
      <c r="H30" s="339">
        <v>20823</v>
      </c>
      <c r="I30" s="341">
        <v>0</v>
      </c>
      <c r="J30" s="339">
        <v>138.15</v>
      </c>
      <c r="K30" s="342">
        <v>0</v>
      </c>
      <c r="L30" s="343">
        <f>ROUND(K30*E$10,2)</f>
        <v>0</v>
      </c>
      <c r="M30" s="344">
        <f>L30*$I$10</f>
        <v>0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2:25" x14ac:dyDescent="0.2">
      <c r="B31" s="1"/>
      <c r="C31" s="338"/>
      <c r="D31" s="339">
        <v>0</v>
      </c>
      <c r="E31" s="339" t="s">
        <v>98</v>
      </c>
      <c r="F31" s="340" t="s">
        <v>97</v>
      </c>
      <c r="G31" s="340">
        <v>2201</v>
      </c>
      <c r="H31" s="339">
        <v>20824</v>
      </c>
      <c r="I31" s="341">
        <v>0</v>
      </c>
      <c r="J31" s="339">
        <v>138.15</v>
      </c>
      <c r="K31" s="342">
        <v>0</v>
      </c>
      <c r="L31" s="343">
        <f>ROUND(K31*E$10,2)</f>
        <v>0</v>
      </c>
      <c r="M31" s="344">
        <f>L31*$I$10</f>
        <v>0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2:25" x14ac:dyDescent="0.2">
      <c r="B32" s="1"/>
      <c r="C32" s="338"/>
      <c r="D32" s="339">
        <v>0</v>
      </c>
      <c r="E32" s="339" t="s">
        <v>99</v>
      </c>
      <c r="F32" s="340" t="s">
        <v>100</v>
      </c>
      <c r="G32" s="340">
        <v>2230</v>
      </c>
      <c r="H32" s="339">
        <v>22228</v>
      </c>
      <c r="I32" s="341">
        <v>0</v>
      </c>
      <c r="J32" s="339">
        <v>130.80000000000001</v>
      </c>
      <c r="K32" s="342">
        <v>0</v>
      </c>
      <c r="L32" s="343">
        <f>ROUND(K32*E$10,2)</f>
        <v>0</v>
      </c>
      <c r="M32" s="344">
        <f>L32*$I$10</f>
        <v>0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2:25" x14ac:dyDescent="0.2">
      <c r="B33" s="1"/>
      <c r="C33" s="338">
        <v>800762390</v>
      </c>
      <c r="D33" s="339">
        <v>3</v>
      </c>
      <c r="E33" s="354" t="s">
        <v>101</v>
      </c>
      <c r="F33" s="463" t="s">
        <v>194</v>
      </c>
      <c r="G33" s="463">
        <v>2044</v>
      </c>
      <c r="H33" s="354">
        <v>591000420</v>
      </c>
      <c r="I33" s="341">
        <v>80000</v>
      </c>
      <c r="J33" s="339"/>
      <c r="K33" s="342">
        <v>0.09</v>
      </c>
      <c r="L33" s="343">
        <f>ROUND(K33*E$10,2)</f>
        <v>416515.33</v>
      </c>
      <c r="M33" s="344">
        <f>L33*$I$10</f>
        <v>8591503.3634430002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2:25" ht="15" thickBot="1" x14ac:dyDescent="0.25">
      <c r="B34" s="1"/>
      <c r="C34" s="345">
        <v>800642440</v>
      </c>
      <c r="D34" s="346">
        <v>5</v>
      </c>
      <c r="E34" s="347" t="s">
        <v>101</v>
      </c>
      <c r="F34" s="348" t="s">
        <v>159</v>
      </c>
      <c r="G34" s="348">
        <v>2277</v>
      </c>
      <c r="H34" s="347">
        <v>22770</v>
      </c>
      <c r="I34" s="349">
        <f>850000-I30-I31-I32-I33</f>
        <v>770000</v>
      </c>
      <c r="J34" s="346"/>
      <c r="K34" s="350">
        <v>0.91</v>
      </c>
      <c r="L34" s="351">
        <f>ROUND(K34*E$10,2)</f>
        <v>4211432.75</v>
      </c>
      <c r="M34" s="352">
        <f>L34*$I$10</f>
        <v>86869644.477524996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2:25" x14ac:dyDescent="0.2">
      <c r="B35" s="1"/>
      <c r="C35" s="406">
        <v>3000623</v>
      </c>
      <c r="D35" s="353" t="s">
        <v>102</v>
      </c>
      <c r="E35" s="353"/>
      <c r="F35" s="353"/>
      <c r="G35" s="353"/>
      <c r="H35" s="354"/>
      <c r="I35" s="355">
        <f>SUM(I30:I34)</f>
        <v>850000</v>
      </c>
      <c r="J35" s="353"/>
      <c r="K35" s="356">
        <f>SUM(K30:K34)</f>
        <v>1</v>
      </c>
      <c r="L35" s="357">
        <f>SUM(L30:L34)</f>
        <v>4627948.08</v>
      </c>
      <c r="M35" s="357">
        <f>SUM(M30:M34)</f>
        <v>95461147.840967998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2:25" x14ac:dyDescent="0.2">
      <c r="B36" s="1"/>
      <c r="C36" s="336"/>
      <c r="D36" s="336"/>
      <c r="E36" s="336"/>
      <c r="F36" s="358"/>
      <c r="G36" s="358"/>
      <c r="H36" s="336"/>
      <c r="I36" s="336"/>
      <c r="J36" s="336"/>
      <c r="K36" s="336"/>
      <c r="L36" s="359"/>
      <c r="M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2:25" x14ac:dyDescent="0.2">
      <c r="B37" s="1"/>
      <c r="C37" s="336"/>
      <c r="D37" s="336"/>
      <c r="E37" s="336"/>
      <c r="F37" s="358"/>
      <c r="G37" s="358"/>
      <c r="H37" s="336"/>
      <c r="I37" s="336"/>
      <c r="J37" s="336"/>
      <c r="K37" s="336"/>
      <c r="L37" s="359"/>
      <c r="M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2:25" x14ac:dyDescent="0.2">
      <c r="B38" s="1"/>
      <c r="C38" s="336"/>
      <c r="D38" s="336"/>
      <c r="E38" s="336"/>
      <c r="F38" s="358"/>
      <c r="G38" s="358"/>
      <c r="H38" s="336"/>
      <c r="I38" s="336"/>
      <c r="J38" s="336"/>
      <c r="K38" s="336"/>
      <c r="L38" s="359"/>
      <c r="M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2:25" ht="15" thickBot="1" x14ac:dyDescent="0.25">
      <c r="B39" s="1"/>
      <c r="C39" s="2266" t="s">
        <v>103</v>
      </c>
      <c r="D39" s="2266"/>
      <c r="E39" s="2266"/>
      <c r="F39" s="2266"/>
      <c r="G39" s="471"/>
      <c r="H39" s="334"/>
      <c r="I39" s="334"/>
      <c r="J39" s="334"/>
      <c r="K39" s="336"/>
      <c r="L39" s="336"/>
      <c r="M39" s="360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2:25" ht="22.5" x14ac:dyDescent="0.2">
      <c r="B40" s="1"/>
      <c r="C40" s="337" t="s">
        <v>87</v>
      </c>
      <c r="D40" s="466" t="s">
        <v>88</v>
      </c>
      <c r="E40" s="466" t="s">
        <v>89</v>
      </c>
      <c r="F40" s="466" t="s">
        <v>20</v>
      </c>
      <c r="G40" s="466"/>
      <c r="H40" s="466" t="s">
        <v>90</v>
      </c>
      <c r="I40" s="466" t="s">
        <v>104</v>
      </c>
      <c r="J40" s="466" t="s">
        <v>93</v>
      </c>
      <c r="K40" s="466" t="s">
        <v>92</v>
      </c>
      <c r="L40" s="466" t="s">
        <v>94</v>
      </c>
      <c r="M40" s="467" t="s">
        <v>95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2:25" x14ac:dyDescent="0.2">
      <c r="B41" s="1"/>
      <c r="C41" s="338"/>
      <c r="D41" s="339">
        <v>0</v>
      </c>
      <c r="E41" s="339" t="s">
        <v>96</v>
      </c>
      <c r="F41" s="340" t="s">
        <v>97</v>
      </c>
      <c r="G41" s="340"/>
      <c r="H41" s="339">
        <v>20823</v>
      </c>
      <c r="I41" s="341">
        <f>M80</f>
        <v>0</v>
      </c>
      <c r="J41" s="342">
        <f>I41/I$45</f>
        <v>0</v>
      </c>
      <c r="K41" s="339">
        <v>138.15</v>
      </c>
      <c r="L41" s="343">
        <f>ROUND(J41*$E$11,2)</f>
        <v>0</v>
      </c>
      <c r="M41" s="344">
        <f>L41*L24</f>
        <v>0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2:25" x14ac:dyDescent="0.2">
      <c r="B42" s="1"/>
      <c r="C42" s="338"/>
      <c r="D42" s="339">
        <v>0</v>
      </c>
      <c r="E42" s="339" t="s">
        <v>98</v>
      </c>
      <c r="F42" s="340" t="s">
        <v>97</v>
      </c>
      <c r="G42" s="340"/>
      <c r="H42" s="339">
        <v>20824</v>
      </c>
      <c r="I42" s="341">
        <f>N80</f>
        <v>0</v>
      </c>
      <c r="J42" s="342">
        <f>I42/I$45</f>
        <v>0</v>
      </c>
      <c r="K42" s="339">
        <v>138.15</v>
      </c>
      <c r="L42" s="343">
        <f>ROUND(J42*$E$11,2)</f>
        <v>0</v>
      </c>
      <c r="M42" s="344">
        <f>L42*L25</f>
        <v>0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2:25" x14ac:dyDescent="0.2">
      <c r="B43" s="1"/>
      <c r="C43" s="338"/>
      <c r="D43" s="339">
        <v>0</v>
      </c>
      <c r="E43" s="339" t="s">
        <v>99</v>
      </c>
      <c r="F43" s="340" t="s">
        <v>100</v>
      </c>
      <c r="G43" s="340"/>
      <c r="H43" s="339">
        <v>22228</v>
      </c>
      <c r="I43" s="341">
        <f>O80</f>
        <v>0</v>
      </c>
      <c r="J43" s="342">
        <f>I43/I$45</f>
        <v>0</v>
      </c>
      <c r="K43" s="339">
        <v>130.80000000000001</v>
      </c>
      <c r="L43" s="343">
        <f>ROUND(J43*$E$11,2)</f>
        <v>0</v>
      </c>
      <c r="M43" s="344">
        <f>L43*L26</f>
        <v>0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2:25" ht="15" thickBot="1" x14ac:dyDescent="0.25">
      <c r="B44" s="1"/>
      <c r="C44" s="345">
        <v>800762390</v>
      </c>
      <c r="D44" s="346">
        <v>4</v>
      </c>
      <c r="E44" s="347" t="s">
        <v>101</v>
      </c>
      <c r="F44" s="348" t="s">
        <v>23</v>
      </c>
      <c r="G44" s="348"/>
      <c r="H44" s="347"/>
      <c r="I44" s="349">
        <f>L80</f>
        <v>2082258.507891</v>
      </c>
      <c r="J44" s="350">
        <f>I44/I$45</f>
        <v>1</v>
      </c>
      <c r="K44" s="346">
        <v>138.15</v>
      </c>
      <c r="L44" s="351">
        <f>ROUND(J44*$E$11,2)</f>
        <v>1931.31</v>
      </c>
      <c r="M44" s="352">
        <f>L44*I11</f>
        <v>39837.324500999996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2:25" x14ac:dyDescent="0.2">
      <c r="B45" s="1"/>
      <c r="C45" s="353"/>
      <c r="D45" s="353"/>
      <c r="E45" s="353"/>
      <c r="F45" s="353"/>
      <c r="G45" s="353"/>
      <c r="H45" s="354"/>
      <c r="I45" s="449">
        <f>SUM(I41:I44)</f>
        <v>2082258.507891</v>
      </c>
      <c r="J45" s="355"/>
      <c r="K45" s="353"/>
      <c r="L45" s="357">
        <f>SUM(L41:L44)</f>
        <v>1931.31</v>
      </c>
      <c r="M45" s="357">
        <f>SUM(M41:M44)</f>
        <v>39837.324500999996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2:25" customFormat="1" ht="15" thickBot="1" x14ac:dyDescent="0.25">
      <c r="M46" s="450"/>
      <c r="N46" s="450"/>
      <c r="O46" s="450"/>
      <c r="P46" s="450"/>
      <c r="Q46" s="450"/>
      <c r="R46" s="450"/>
      <c r="S46" s="450"/>
      <c r="T46" s="450"/>
      <c r="U46" s="450"/>
      <c r="V46" s="450"/>
      <c r="W46" s="450"/>
      <c r="X46" s="450"/>
      <c r="Y46" s="573">
        <f>'Octubre - 2016'!Y80</f>
        <v>188315.61736533392</v>
      </c>
    </row>
    <row r="47" spans="2:25" ht="15" thickBot="1" x14ac:dyDescent="0.25">
      <c r="B47" s="434" t="s">
        <v>3</v>
      </c>
      <c r="C47" s="333">
        <f>SUMIF(Tarifas!E4:E303,'Noviembre - 2016'!C49,Tarifas!D4:D303)</f>
        <v>40</v>
      </c>
      <c r="D47" s="425" t="s">
        <v>147</v>
      </c>
      <c r="E47" s="426" t="s">
        <v>145</v>
      </c>
      <c r="F47" s="426" t="s">
        <v>150</v>
      </c>
      <c r="G47" s="426" t="s">
        <v>148</v>
      </c>
      <c r="H47" s="382"/>
      <c r="I47" s="331" t="s">
        <v>120</v>
      </c>
      <c r="J47" s="332"/>
      <c r="K47" s="332"/>
      <c r="L47" s="364" t="s">
        <v>105</v>
      </c>
      <c r="M47" s="365"/>
      <c r="N47" s="365"/>
      <c r="O47" s="365"/>
      <c r="P47" s="365"/>
      <c r="Q47" s="365"/>
      <c r="R47" s="366"/>
      <c r="S47" s="2267" t="s">
        <v>121</v>
      </c>
      <c r="T47" s="2268"/>
      <c r="U47" s="2268"/>
      <c r="V47" s="2268"/>
      <c r="W47" s="2268"/>
      <c r="X47" s="2268"/>
      <c r="Y47" s="2269"/>
    </row>
    <row r="48" spans="2:25" ht="33.75" x14ac:dyDescent="0.2">
      <c r="C48" s="383" t="s">
        <v>122</v>
      </c>
      <c r="D48" s="384" t="s">
        <v>125</v>
      </c>
      <c r="E48" s="385" t="s">
        <v>149</v>
      </c>
      <c r="F48" s="385" t="s">
        <v>151</v>
      </c>
      <c r="G48" s="385" t="s">
        <v>152</v>
      </c>
      <c r="H48" s="386" t="s">
        <v>123</v>
      </c>
      <c r="I48" s="329" t="s">
        <v>109</v>
      </c>
      <c r="J48" s="330" t="s">
        <v>25</v>
      </c>
      <c r="K48" s="330" t="s">
        <v>26</v>
      </c>
      <c r="L48" s="367" t="s">
        <v>115</v>
      </c>
      <c r="M48" s="362" t="s">
        <v>106</v>
      </c>
      <c r="N48" s="362" t="s">
        <v>107</v>
      </c>
      <c r="O48" s="362" t="s">
        <v>108</v>
      </c>
      <c r="P48" s="362" t="s">
        <v>115</v>
      </c>
      <c r="Q48" s="363" t="s">
        <v>116</v>
      </c>
      <c r="R48" s="368" t="s">
        <v>117</v>
      </c>
      <c r="S48" s="369" t="s">
        <v>192</v>
      </c>
      <c r="T48" s="370" t="s">
        <v>111</v>
      </c>
      <c r="U48" s="370" t="s">
        <v>112</v>
      </c>
      <c r="V48" s="371" t="s">
        <v>118</v>
      </c>
      <c r="W48" s="371" t="s">
        <v>119</v>
      </c>
      <c r="X48" s="371" t="s">
        <v>114</v>
      </c>
      <c r="Y48" s="372" t="s">
        <v>113</v>
      </c>
    </row>
    <row r="49" spans="3:25" x14ac:dyDescent="0.2">
      <c r="C49" s="387">
        <f>G7</f>
        <v>42675</v>
      </c>
      <c r="D49" s="388">
        <f>($F$24*$H$24)/$G$24</f>
        <v>154264.93600000002</v>
      </c>
      <c r="E49" s="389">
        <f>P49+Q49+R49</f>
        <v>70877.009277999998</v>
      </c>
      <c r="F49" s="427">
        <f t="shared" ref="F49:F78" si="0">TRUNC(IFERROR(J$24/K$24,0),8)</f>
        <v>0.92750743999999996</v>
      </c>
      <c r="G49" s="390">
        <f t="shared" ref="G49:G79" si="1">ROUND(I$24*F49*E49,4)</f>
        <v>65.739000000000004</v>
      </c>
      <c r="H49" s="391">
        <f t="shared" ref="H49:H79" si="2">SUM(D49:G49)</f>
        <v>225208.61178544004</v>
      </c>
      <c r="I49" s="324">
        <v>65000</v>
      </c>
      <c r="J49" s="325"/>
      <c r="K49" s="325"/>
      <c r="L49" s="317">
        <v>70877.009277999998</v>
      </c>
      <c r="M49" s="318"/>
      <c r="N49" s="318"/>
      <c r="O49" s="318"/>
      <c r="P49" s="389">
        <f>L49</f>
        <v>70877.009277999998</v>
      </c>
      <c r="Q49" s="389">
        <f t="shared" ref="Q49:Q79" si="3">M49+N49</f>
        <v>0</v>
      </c>
      <c r="R49" s="389">
        <f t="shared" ref="R49:R79" si="4">O49</f>
        <v>0</v>
      </c>
      <c r="S49" s="373">
        <v>64999.600000000006</v>
      </c>
      <c r="T49" s="374"/>
      <c r="U49" s="524">
        <f>S49+T49-V49</f>
        <v>-0.39999999999417923</v>
      </c>
      <c r="V49" s="520">
        <f>I49+J49+K49</f>
        <v>65000</v>
      </c>
      <c r="W49" s="524">
        <f>(P49+Q49+R49)/1.055056</f>
        <v>67178.43344618674</v>
      </c>
      <c r="X49" s="520">
        <f>V49-W49</f>
        <v>-2178.4334461867402</v>
      </c>
      <c r="Y49" s="525">
        <f>Y46+X49</f>
        <v>186137.18391914718</v>
      </c>
    </row>
    <row r="50" spans="3:25" x14ac:dyDescent="0.2">
      <c r="C50" s="387">
        <f t="shared" ref="C50:C78" si="5">C49+1</f>
        <v>42676</v>
      </c>
      <c r="D50" s="388">
        <f t="shared" ref="D50:D78" si="6">($F$24*$H$24)/$G$24</f>
        <v>154264.93600000002</v>
      </c>
      <c r="E50" s="392">
        <f t="shared" ref="E50:E78" si="7">P50+Q50+R50</f>
        <v>71642.867188000004</v>
      </c>
      <c r="F50" s="428">
        <f t="shared" si="0"/>
        <v>0.92750743999999996</v>
      </c>
      <c r="G50" s="390">
        <f t="shared" si="1"/>
        <v>66.449299999999994</v>
      </c>
      <c r="H50" s="391">
        <f t="shared" si="2"/>
        <v>225975.17999544003</v>
      </c>
      <c r="I50" s="324">
        <v>64999</v>
      </c>
      <c r="J50" s="325"/>
      <c r="K50" s="325"/>
      <c r="L50" s="319">
        <v>71642.867188000004</v>
      </c>
      <c r="M50" s="320"/>
      <c r="N50" s="320"/>
      <c r="O50" s="320"/>
      <c r="P50" s="392">
        <f t="shared" ref="P50:P79" si="8">L50</f>
        <v>71642.867188000004</v>
      </c>
      <c r="Q50" s="392">
        <f t="shared" si="3"/>
        <v>0</v>
      </c>
      <c r="R50" s="392">
        <f t="shared" si="4"/>
        <v>0</v>
      </c>
      <c r="S50" s="373">
        <v>64999.600000000006</v>
      </c>
      <c r="T50" s="374"/>
      <c r="U50" s="524">
        <f t="shared" ref="U50:U79" si="9">S50+T50-V50</f>
        <v>0.60000000000582077</v>
      </c>
      <c r="V50" s="520">
        <f t="shared" ref="V50:V79" si="10">I50+J50+K50</f>
        <v>64999</v>
      </c>
      <c r="W50" s="524">
        <f t="shared" ref="W50:W79" si="11">(P50+Q50+R50)/1.055056</f>
        <v>67904.326583612623</v>
      </c>
      <c r="X50" s="520">
        <f t="shared" ref="X50:X79" si="12">V50-W50</f>
        <v>-2905.3265836126229</v>
      </c>
      <c r="Y50" s="525">
        <f>Y49+X50</f>
        <v>183231.85733553456</v>
      </c>
    </row>
    <row r="51" spans="3:25" x14ac:dyDescent="0.2">
      <c r="C51" s="387">
        <f t="shared" si="5"/>
        <v>42677</v>
      </c>
      <c r="D51" s="388">
        <f t="shared" si="6"/>
        <v>154264.93600000002</v>
      </c>
      <c r="E51" s="392">
        <f t="shared" si="7"/>
        <v>75748.223144000003</v>
      </c>
      <c r="F51" s="428">
        <f t="shared" si="0"/>
        <v>0.92750743999999996</v>
      </c>
      <c r="G51" s="390">
        <f t="shared" si="1"/>
        <v>70.257000000000005</v>
      </c>
      <c r="H51" s="391">
        <f t="shared" si="2"/>
        <v>230084.34365144005</v>
      </c>
      <c r="I51" s="324">
        <v>74999</v>
      </c>
      <c r="J51" s="325"/>
      <c r="K51" s="325"/>
      <c r="L51" s="317">
        <v>75748.223144000003</v>
      </c>
      <c r="M51" s="318"/>
      <c r="N51" s="318"/>
      <c r="O51" s="318"/>
      <c r="P51" s="392">
        <f t="shared" si="8"/>
        <v>75748.223144000003</v>
      </c>
      <c r="Q51" s="392">
        <f t="shared" si="3"/>
        <v>0</v>
      </c>
      <c r="R51" s="392">
        <f t="shared" si="4"/>
        <v>0</v>
      </c>
      <c r="S51" s="373">
        <v>74999.759999999995</v>
      </c>
      <c r="T51" s="374"/>
      <c r="U51" s="524">
        <f t="shared" si="9"/>
        <v>0.75999999999476131</v>
      </c>
      <c r="V51" s="520">
        <f t="shared" si="10"/>
        <v>74999</v>
      </c>
      <c r="W51" s="524">
        <f t="shared" si="11"/>
        <v>71795.452700141032</v>
      </c>
      <c r="X51" s="520">
        <f t="shared" si="12"/>
        <v>3203.5472998589685</v>
      </c>
      <c r="Y51" s="525">
        <f t="shared" ref="Y51:Y79" si="13">Y50+X51</f>
        <v>186435.40463539353</v>
      </c>
    </row>
    <row r="52" spans="3:25" x14ac:dyDescent="0.2">
      <c r="C52" s="387">
        <f t="shared" si="5"/>
        <v>42678</v>
      </c>
      <c r="D52" s="388">
        <f t="shared" si="6"/>
        <v>154264.93600000002</v>
      </c>
      <c r="E52" s="392">
        <f t="shared" si="7"/>
        <v>74290.061034999992</v>
      </c>
      <c r="F52" s="428">
        <f t="shared" si="0"/>
        <v>0.92750743999999996</v>
      </c>
      <c r="G52" s="390">
        <f t="shared" si="1"/>
        <v>68.904600000000002</v>
      </c>
      <c r="H52" s="391">
        <f t="shared" si="2"/>
        <v>228624.82914244002</v>
      </c>
      <c r="I52" s="324">
        <v>62000</v>
      </c>
      <c r="J52" s="325"/>
      <c r="K52" s="325"/>
      <c r="L52" s="319">
        <v>74290.061034999992</v>
      </c>
      <c r="M52" s="320"/>
      <c r="N52" s="320"/>
      <c r="O52" s="320"/>
      <c r="P52" s="392">
        <f t="shared" si="8"/>
        <v>74290.061034999992</v>
      </c>
      <c r="Q52" s="392">
        <f t="shared" si="3"/>
        <v>0</v>
      </c>
      <c r="R52" s="392">
        <f t="shared" si="4"/>
        <v>0</v>
      </c>
      <c r="S52" s="373">
        <v>62000.04</v>
      </c>
      <c r="T52" s="374"/>
      <c r="U52" s="524">
        <f t="shared" si="9"/>
        <v>4.0000000000873115E-2</v>
      </c>
      <c r="V52" s="520">
        <f t="shared" si="10"/>
        <v>62000</v>
      </c>
      <c r="W52" s="524">
        <f t="shared" si="11"/>
        <v>70413.381882099144</v>
      </c>
      <c r="X52" s="520">
        <f t="shared" si="12"/>
        <v>-8413.3818820991437</v>
      </c>
      <c r="Y52" s="525">
        <f t="shared" si="13"/>
        <v>178022.02275329438</v>
      </c>
    </row>
    <row r="53" spans="3:25" x14ac:dyDescent="0.2">
      <c r="C53" s="387">
        <f t="shared" si="5"/>
        <v>42679</v>
      </c>
      <c r="D53" s="388">
        <f t="shared" si="6"/>
        <v>154264.93600000002</v>
      </c>
      <c r="E53" s="392">
        <f t="shared" si="7"/>
        <v>68833.911132000023</v>
      </c>
      <c r="F53" s="428">
        <f t="shared" si="0"/>
        <v>0.92750743999999996</v>
      </c>
      <c r="G53" s="390">
        <f t="shared" si="1"/>
        <v>63.844000000000001</v>
      </c>
      <c r="H53" s="391">
        <f t="shared" si="2"/>
        <v>223163.61863944004</v>
      </c>
      <c r="I53" s="324">
        <v>64999</v>
      </c>
      <c r="J53" s="325"/>
      <c r="K53" s="325"/>
      <c r="L53" s="317">
        <v>68833.911132000023</v>
      </c>
      <c r="M53" s="318"/>
      <c r="N53" s="318"/>
      <c r="O53" s="318"/>
      <c r="P53" s="392">
        <f t="shared" si="8"/>
        <v>68833.911132000023</v>
      </c>
      <c r="Q53" s="392">
        <f t="shared" si="3"/>
        <v>0</v>
      </c>
      <c r="R53" s="392">
        <f t="shared" si="4"/>
        <v>0</v>
      </c>
      <c r="S53" s="373">
        <v>64999.600000000006</v>
      </c>
      <c r="T53" s="374"/>
      <c r="U53" s="524">
        <f t="shared" si="9"/>
        <v>0.60000000000582077</v>
      </c>
      <c r="V53" s="520">
        <f t="shared" si="10"/>
        <v>64999</v>
      </c>
      <c r="W53" s="524">
        <f t="shared" si="11"/>
        <v>65241.950315433518</v>
      </c>
      <c r="X53" s="520">
        <f t="shared" si="12"/>
        <v>-242.95031543351797</v>
      </c>
      <c r="Y53" s="525">
        <f t="shared" si="13"/>
        <v>177779.07243786086</v>
      </c>
    </row>
    <row r="54" spans="3:25" x14ac:dyDescent="0.2">
      <c r="C54" s="387">
        <f t="shared" si="5"/>
        <v>42680</v>
      </c>
      <c r="D54" s="388">
        <f t="shared" si="6"/>
        <v>154264.93600000002</v>
      </c>
      <c r="E54" s="392">
        <f t="shared" si="7"/>
        <v>64598.410155999998</v>
      </c>
      <c r="F54" s="428">
        <f t="shared" si="0"/>
        <v>0.92750743999999996</v>
      </c>
      <c r="G54" s="390">
        <f t="shared" si="1"/>
        <v>59.915500000000002</v>
      </c>
      <c r="H54" s="391">
        <f t="shared" si="2"/>
        <v>218924.18916344002</v>
      </c>
      <c r="I54" s="324">
        <v>64999</v>
      </c>
      <c r="J54" s="325"/>
      <c r="K54" s="325"/>
      <c r="L54" s="319">
        <v>64598.410155999998</v>
      </c>
      <c r="M54" s="320"/>
      <c r="N54" s="320"/>
      <c r="O54" s="320"/>
      <c r="P54" s="392">
        <f t="shared" si="8"/>
        <v>64598.410155999998</v>
      </c>
      <c r="Q54" s="392">
        <f t="shared" si="3"/>
        <v>0</v>
      </c>
      <c r="R54" s="392">
        <f t="shared" si="4"/>
        <v>0</v>
      </c>
      <c r="S54" s="373">
        <v>64999.600000000006</v>
      </c>
      <c r="T54" s="374"/>
      <c r="U54" s="524">
        <f t="shared" si="9"/>
        <v>0.60000000000582077</v>
      </c>
      <c r="V54" s="520">
        <f t="shared" si="10"/>
        <v>64999</v>
      </c>
      <c r="W54" s="524">
        <f t="shared" si="11"/>
        <v>61227.470538056747</v>
      </c>
      <c r="X54" s="520">
        <f t="shared" si="12"/>
        <v>3771.5294619432534</v>
      </c>
      <c r="Y54" s="525">
        <f t="shared" si="13"/>
        <v>181550.60189980411</v>
      </c>
    </row>
    <row r="55" spans="3:25" x14ac:dyDescent="0.2">
      <c r="C55" s="387">
        <f t="shared" si="5"/>
        <v>42681</v>
      </c>
      <c r="D55" s="388">
        <f t="shared" si="6"/>
        <v>154264.93600000002</v>
      </c>
      <c r="E55" s="392">
        <f t="shared" si="7"/>
        <v>71599.655761000002</v>
      </c>
      <c r="F55" s="428">
        <f t="shared" si="0"/>
        <v>0.92750743999999996</v>
      </c>
      <c r="G55" s="390">
        <f t="shared" si="1"/>
        <v>66.409199999999998</v>
      </c>
      <c r="H55" s="391">
        <f t="shared" si="2"/>
        <v>225931.92846844002</v>
      </c>
      <c r="I55" s="324">
        <v>64999</v>
      </c>
      <c r="J55" s="325"/>
      <c r="K55" s="325"/>
      <c r="L55" s="317">
        <v>71599.655761000002</v>
      </c>
      <c r="M55" s="318"/>
      <c r="N55" s="318"/>
      <c r="O55" s="318"/>
      <c r="P55" s="392">
        <f t="shared" si="8"/>
        <v>71599.655761000002</v>
      </c>
      <c r="Q55" s="392">
        <f t="shared" si="3"/>
        <v>0</v>
      </c>
      <c r="R55" s="392">
        <f t="shared" si="4"/>
        <v>0</v>
      </c>
      <c r="S55" s="373">
        <v>64999.600000000006</v>
      </c>
      <c r="T55" s="374"/>
      <c r="U55" s="524">
        <f t="shared" si="9"/>
        <v>0.60000000000582077</v>
      </c>
      <c r="V55" s="520">
        <f t="shared" si="10"/>
        <v>64999</v>
      </c>
      <c r="W55" s="524">
        <f t="shared" si="11"/>
        <v>67863.370059030043</v>
      </c>
      <c r="X55" s="520">
        <f t="shared" si="12"/>
        <v>-2864.3700590300432</v>
      </c>
      <c r="Y55" s="525">
        <f t="shared" si="13"/>
        <v>178686.23184077407</v>
      </c>
    </row>
    <row r="56" spans="3:25" x14ac:dyDescent="0.2">
      <c r="C56" s="387">
        <f t="shared" si="5"/>
        <v>42682</v>
      </c>
      <c r="D56" s="388">
        <f t="shared" si="6"/>
        <v>154264.93600000002</v>
      </c>
      <c r="E56" s="392">
        <f t="shared" si="7"/>
        <v>68114.921875</v>
      </c>
      <c r="F56" s="428">
        <f t="shared" si="0"/>
        <v>0.92750743999999996</v>
      </c>
      <c r="G56" s="390">
        <f t="shared" si="1"/>
        <v>63.177100000000003</v>
      </c>
      <c r="H56" s="391">
        <f t="shared" si="2"/>
        <v>222443.96248244002</v>
      </c>
      <c r="I56" s="324">
        <v>66999</v>
      </c>
      <c r="J56" s="325"/>
      <c r="K56" s="325"/>
      <c r="L56" s="319">
        <v>68114.921875</v>
      </c>
      <c r="M56" s="320"/>
      <c r="N56" s="320"/>
      <c r="O56" s="320"/>
      <c r="P56" s="392">
        <f t="shared" si="8"/>
        <v>68114.921875</v>
      </c>
      <c r="Q56" s="392">
        <f t="shared" si="3"/>
        <v>0</v>
      </c>
      <c r="R56" s="392">
        <f t="shared" si="4"/>
        <v>0</v>
      </c>
      <c r="S56" s="373">
        <v>66999.63</v>
      </c>
      <c r="T56" s="374"/>
      <c r="U56" s="524">
        <f t="shared" si="9"/>
        <v>0.63000000000465661</v>
      </c>
      <c r="V56" s="520">
        <f t="shared" si="10"/>
        <v>66999</v>
      </c>
      <c r="W56" s="524">
        <f t="shared" si="11"/>
        <v>64560.48008352163</v>
      </c>
      <c r="X56" s="520">
        <f t="shared" si="12"/>
        <v>2438.5199164783699</v>
      </c>
      <c r="Y56" s="525">
        <f t="shared" si="13"/>
        <v>181124.75175725244</v>
      </c>
    </row>
    <row r="57" spans="3:25" x14ac:dyDescent="0.2">
      <c r="C57" s="387">
        <f t="shared" si="5"/>
        <v>42683</v>
      </c>
      <c r="D57" s="388">
        <f t="shared" si="6"/>
        <v>154264.93600000002</v>
      </c>
      <c r="E57" s="392">
        <f t="shared" si="7"/>
        <v>68470.429688000004</v>
      </c>
      <c r="F57" s="428">
        <f t="shared" si="0"/>
        <v>0.92750743999999996</v>
      </c>
      <c r="G57" s="390">
        <f t="shared" si="1"/>
        <v>63.506799999999998</v>
      </c>
      <c r="H57" s="391">
        <f t="shared" si="2"/>
        <v>222799.79999544003</v>
      </c>
      <c r="I57" s="324">
        <v>62000</v>
      </c>
      <c r="J57" s="325"/>
      <c r="K57" s="325"/>
      <c r="L57" s="317">
        <v>68470.429688000004</v>
      </c>
      <c r="M57" s="318"/>
      <c r="N57" s="318"/>
      <c r="O57" s="318"/>
      <c r="P57" s="392">
        <f t="shared" si="8"/>
        <v>68470.429688000004</v>
      </c>
      <c r="Q57" s="392">
        <f t="shared" si="3"/>
        <v>0</v>
      </c>
      <c r="R57" s="392">
        <f t="shared" si="4"/>
        <v>0</v>
      </c>
      <c r="S57" s="373">
        <v>62000.04</v>
      </c>
      <c r="T57" s="374"/>
      <c r="U57" s="524">
        <f t="shared" si="9"/>
        <v>4.0000000000873115E-2</v>
      </c>
      <c r="V57" s="520">
        <f t="shared" si="10"/>
        <v>62000</v>
      </c>
      <c r="W57" s="524">
        <f t="shared" si="11"/>
        <v>64897.436428018991</v>
      </c>
      <c r="X57" s="520">
        <f t="shared" si="12"/>
        <v>-2897.4364280189911</v>
      </c>
      <c r="Y57" s="525">
        <f t="shared" si="13"/>
        <v>178227.31532923345</v>
      </c>
    </row>
    <row r="58" spans="3:25" x14ac:dyDescent="0.2">
      <c r="C58" s="387">
        <f t="shared" si="5"/>
        <v>42684</v>
      </c>
      <c r="D58" s="388">
        <f t="shared" si="6"/>
        <v>154264.93600000002</v>
      </c>
      <c r="E58" s="392">
        <f t="shared" si="7"/>
        <v>70847.34375</v>
      </c>
      <c r="F58" s="428">
        <f t="shared" si="0"/>
        <v>0.92750743999999996</v>
      </c>
      <c r="G58" s="390">
        <f t="shared" si="1"/>
        <v>65.711399999999998</v>
      </c>
      <c r="H58" s="391">
        <f t="shared" si="2"/>
        <v>225178.91865744002</v>
      </c>
      <c r="I58" s="324">
        <v>64999</v>
      </c>
      <c r="J58" s="325"/>
      <c r="K58" s="325"/>
      <c r="L58" s="319">
        <v>70847.34375</v>
      </c>
      <c r="M58" s="320"/>
      <c r="N58" s="320"/>
      <c r="O58" s="320"/>
      <c r="P58" s="392">
        <f t="shared" si="8"/>
        <v>70847.34375</v>
      </c>
      <c r="Q58" s="392">
        <f t="shared" si="3"/>
        <v>0</v>
      </c>
      <c r="R58" s="392">
        <f t="shared" si="4"/>
        <v>0</v>
      </c>
      <c r="S58" s="373">
        <v>64999.600000000006</v>
      </c>
      <c r="T58" s="374"/>
      <c r="U58" s="524">
        <f t="shared" si="9"/>
        <v>0.60000000000582077</v>
      </c>
      <c r="V58" s="520">
        <f t="shared" si="10"/>
        <v>64999</v>
      </c>
      <c r="W58" s="524">
        <f t="shared" si="11"/>
        <v>67150.315954792924</v>
      </c>
      <c r="X58" s="520">
        <f t="shared" si="12"/>
        <v>-2151.3159547929245</v>
      </c>
      <c r="Y58" s="525">
        <f t="shared" si="13"/>
        <v>176075.99937444052</v>
      </c>
    </row>
    <row r="59" spans="3:25" x14ac:dyDescent="0.2">
      <c r="C59" s="387">
        <f t="shared" si="5"/>
        <v>42685</v>
      </c>
      <c r="D59" s="388">
        <f t="shared" si="6"/>
        <v>154264.93600000002</v>
      </c>
      <c r="E59" s="392">
        <f t="shared" si="7"/>
        <v>71867.835938000004</v>
      </c>
      <c r="F59" s="428">
        <f t="shared" si="0"/>
        <v>0.92750743999999996</v>
      </c>
      <c r="G59" s="390">
        <f t="shared" si="1"/>
        <v>66.658000000000001</v>
      </c>
      <c r="H59" s="391">
        <f t="shared" si="2"/>
        <v>226200.35744544002</v>
      </c>
      <c r="I59" s="324">
        <v>64999</v>
      </c>
      <c r="J59" s="325"/>
      <c r="K59" s="325"/>
      <c r="L59" s="317">
        <v>71867.835938000004</v>
      </c>
      <c r="M59" s="318"/>
      <c r="N59" s="318"/>
      <c r="O59" s="318"/>
      <c r="P59" s="392">
        <f t="shared" si="8"/>
        <v>71867.835938000004</v>
      </c>
      <c r="Q59" s="392">
        <f t="shared" si="3"/>
        <v>0</v>
      </c>
      <c r="R59" s="392">
        <f t="shared" si="4"/>
        <v>0</v>
      </c>
      <c r="S59" s="373">
        <v>64999.600000000006</v>
      </c>
      <c r="T59" s="374"/>
      <c r="U59" s="524">
        <f t="shared" si="9"/>
        <v>0.60000000000582077</v>
      </c>
      <c r="V59" s="520">
        <f t="shared" si="10"/>
        <v>64999</v>
      </c>
      <c r="W59" s="524">
        <f t="shared" si="11"/>
        <v>68117.555786612284</v>
      </c>
      <c r="X59" s="520">
        <f t="shared" si="12"/>
        <v>-3118.5557866122836</v>
      </c>
      <c r="Y59" s="525">
        <f t="shared" si="13"/>
        <v>172957.44358782825</v>
      </c>
    </row>
    <row r="60" spans="3:25" x14ac:dyDescent="0.2">
      <c r="C60" s="387">
        <f t="shared" si="5"/>
        <v>42686</v>
      </c>
      <c r="D60" s="388">
        <f t="shared" si="6"/>
        <v>154264.93600000002</v>
      </c>
      <c r="E60" s="392">
        <f t="shared" si="7"/>
        <v>67129.726563000004</v>
      </c>
      <c r="F60" s="428">
        <f t="shared" si="0"/>
        <v>0.92750743999999996</v>
      </c>
      <c r="G60" s="390">
        <f t="shared" si="1"/>
        <v>62.263300000000001</v>
      </c>
      <c r="H60" s="391">
        <f t="shared" si="2"/>
        <v>221457.85337044002</v>
      </c>
      <c r="I60" s="324">
        <v>64001</v>
      </c>
      <c r="J60" s="325"/>
      <c r="K60" s="325"/>
      <c r="L60" s="319">
        <v>67129.726563000004</v>
      </c>
      <c r="M60" s="320"/>
      <c r="N60" s="320"/>
      <c r="O60" s="320"/>
      <c r="P60" s="392">
        <f t="shared" si="8"/>
        <v>67129.726563000004</v>
      </c>
      <c r="Q60" s="392">
        <f t="shared" si="3"/>
        <v>0</v>
      </c>
      <c r="R60" s="392">
        <f t="shared" si="4"/>
        <v>0</v>
      </c>
      <c r="S60" s="373">
        <v>64000.06</v>
      </c>
      <c r="T60" s="374"/>
      <c r="U60" s="524">
        <f t="shared" si="9"/>
        <v>-0.94000000000232831</v>
      </c>
      <c r="V60" s="520">
        <f t="shared" si="10"/>
        <v>64001</v>
      </c>
      <c r="W60" s="524">
        <f t="shared" si="11"/>
        <v>63626.695230395359</v>
      </c>
      <c r="X60" s="520">
        <f t="shared" si="12"/>
        <v>374.30476960464148</v>
      </c>
      <c r="Y60" s="525">
        <f t="shared" si="13"/>
        <v>173331.74835743289</v>
      </c>
    </row>
    <row r="61" spans="3:25" x14ac:dyDescent="0.2">
      <c r="C61" s="387">
        <f t="shared" si="5"/>
        <v>42687</v>
      </c>
      <c r="D61" s="388">
        <f t="shared" si="6"/>
        <v>154264.93600000002</v>
      </c>
      <c r="E61" s="392">
        <f t="shared" si="7"/>
        <v>60773.109375</v>
      </c>
      <c r="F61" s="428">
        <f t="shared" si="0"/>
        <v>0.92750743999999996</v>
      </c>
      <c r="G61" s="390">
        <f t="shared" si="1"/>
        <v>56.3675</v>
      </c>
      <c r="H61" s="391">
        <f t="shared" si="2"/>
        <v>215095.34038244002</v>
      </c>
      <c r="I61" s="324">
        <v>64001</v>
      </c>
      <c r="J61" s="325"/>
      <c r="K61" s="325"/>
      <c r="L61" s="317">
        <v>60773.109375</v>
      </c>
      <c r="M61" s="318"/>
      <c r="N61" s="318"/>
      <c r="O61" s="318"/>
      <c r="P61" s="392">
        <f t="shared" si="8"/>
        <v>60773.109375</v>
      </c>
      <c r="Q61" s="392">
        <f t="shared" si="3"/>
        <v>0</v>
      </c>
      <c r="R61" s="392">
        <f t="shared" si="4"/>
        <v>0</v>
      </c>
      <c r="S61" s="373">
        <v>64000.06</v>
      </c>
      <c r="T61" s="374"/>
      <c r="U61" s="524">
        <f t="shared" si="9"/>
        <v>-0.94000000000232831</v>
      </c>
      <c r="V61" s="520">
        <f t="shared" si="10"/>
        <v>64001</v>
      </c>
      <c r="W61" s="524">
        <f t="shared" si="11"/>
        <v>57601.785473946409</v>
      </c>
      <c r="X61" s="520">
        <f t="shared" si="12"/>
        <v>6399.2145260535908</v>
      </c>
      <c r="Y61" s="525">
        <f t="shared" si="13"/>
        <v>179730.96288348647</v>
      </c>
    </row>
    <row r="62" spans="3:25" x14ac:dyDescent="0.2">
      <c r="C62" s="387">
        <f t="shared" si="5"/>
        <v>42688</v>
      </c>
      <c r="D62" s="388">
        <f t="shared" si="6"/>
        <v>154264.93600000002</v>
      </c>
      <c r="E62" s="392">
        <f t="shared" si="7"/>
        <v>71886.601563000004</v>
      </c>
      <c r="F62" s="428">
        <f t="shared" si="0"/>
        <v>0.92750743999999996</v>
      </c>
      <c r="G62" s="390">
        <f t="shared" si="1"/>
        <v>66.675399999999996</v>
      </c>
      <c r="H62" s="391">
        <f t="shared" si="2"/>
        <v>226219.14047044003</v>
      </c>
      <c r="I62" s="324">
        <v>64001</v>
      </c>
      <c r="J62" s="325"/>
      <c r="K62" s="325"/>
      <c r="L62" s="319">
        <v>71886.601563000004</v>
      </c>
      <c r="M62" s="320"/>
      <c r="N62" s="320"/>
      <c r="O62" s="320"/>
      <c r="P62" s="392">
        <f t="shared" si="8"/>
        <v>71886.601563000004</v>
      </c>
      <c r="Q62" s="392">
        <f t="shared" si="3"/>
        <v>0</v>
      </c>
      <c r="R62" s="392">
        <f t="shared" si="4"/>
        <v>0</v>
      </c>
      <c r="S62" s="373">
        <v>64000.06</v>
      </c>
      <c r="T62" s="374"/>
      <c r="U62" s="524">
        <f t="shared" si="9"/>
        <v>-0.94000000000232831</v>
      </c>
      <c r="V62" s="520">
        <f t="shared" si="10"/>
        <v>64001</v>
      </c>
      <c r="W62" s="524">
        <f t="shared" si="11"/>
        <v>68135.342164776099</v>
      </c>
      <c r="X62" s="520">
        <f t="shared" si="12"/>
        <v>-4134.3421647760988</v>
      </c>
      <c r="Y62" s="525">
        <f t="shared" si="13"/>
        <v>175596.62071871036</v>
      </c>
    </row>
    <row r="63" spans="3:25" x14ac:dyDescent="0.2">
      <c r="C63" s="387">
        <f t="shared" si="5"/>
        <v>42689</v>
      </c>
      <c r="D63" s="388">
        <f t="shared" si="6"/>
        <v>154264.93600000002</v>
      </c>
      <c r="E63" s="392">
        <f t="shared" si="7"/>
        <v>67977.993164999993</v>
      </c>
      <c r="F63" s="428">
        <f t="shared" si="0"/>
        <v>0.92750743999999996</v>
      </c>
      <c r="G63" s="390">
        <f t="shared" si="1"/>
        <v>63.0501</v>
      </c>
      <c r="H63" s="391">
        <f t="shared" si="2"/>
        <v>222306.90677244001</v>
      </c>
      <c r="I63" s="324">
        <v>64001</v>
      </c>
      <c r="J63" s="325"/>
      <c r="K63" s="325"/>
      <c r="L63" s="317">
        <v>67977.993164999993</v>
      </c>
      <c r="M63" s="318"/>
      <c r="N63" s="318"/>
      <c r="O63" s="318"/>
      <c r="P63" s="392">
        <f t="shared" si="8"/>
        <v>67977.993164999993</v>
      </c>
      <c r="Q63" s="392">
        <f t="shared" si="3"/>
        <v>0</v>
      </c>
      <c r="R63" s="392">
        <f t="shared" si="4"/>
        <v>0</v>
      </c>
      <c r="S63" s="373">
        <v>64000.06</v>
      </c>
      <c r="T63" s="374"/>
      <c r="U63" s="524">
        <f t="shared" si="9"/>
        <v>-0.94000000000232831</v>
      </c>
      <c r="V63" s="520">
        <f t="shared" si="10"/>
        <v>64001</v>
      </c>
      <c r="W63" s="524">
        <f t="shared" si="11"/>
        <v>64430.696726050555</v>
      </c>
      <c r="X63" s="520">
        <f t="shared" si="12"/>
        <v>-429.6967260505553</v>
      </c>
      <c r="Y63" s="525">
        <f t="shared" si="13"/>
        <v>175166.92399265981</v>
      </c>
    </row>
    <row r="64" spans="3:25" x14ac:dyDescent="0.2">
      <c r="C64" s="387">
        <f t="shared" si="5"/>
        <v>42690</v>
      </c>
      <c r="D64" s="388">
        <f t="shared" si="6"/>
        <v>154264.93600000002</v>
      </c>
      <c r="E64" s="392">
        <f t="shared" si="7"/>
        <v>69308.648438000004</v>
      </c>
      <c r="F64" s="428">
        <f t="shared" si="0"/>
        <v>0.92750743999999996</v>
      </c>
      <c r="G64" s="390">
        <f t="shared" si="1"/>
        <v>64.284300000000002</v>
      </c>
      <c r="H64" s="391">
        <f t="shared" si="2"/>
        <v>223638.79624544003</v>
      </c>
      <c r="I64" s="324">
        <v>66000</v>
      </c>
      <c r="J64" s="325"/>
      <c r="K64" s="325"/>
      <c r="L64" s="319">
        <v>69308.648438000004</v>
      </c>
      <c r="M64" s="320"/>
      <c r="N64" s="320"/>
      <c r="O64" s="320"/>
      <c r="P64" s="392">
        <f t="shared" si="8"/>
        <v>69308.648438000004</v>
      </c>
      <c r="Q64" s="392">
        <f t="shared" si="3"/>
        <v>0</v>
      </c>
      <c r="R64" s="392">
        <f t="shared" si="4"/>
        <v>0</v>
      </c>
      <c r="S64" s="373">
        <v>66000.100000000006</v>
      </c>
      <c r="T64" s="374"/>
      <c r="U64" s="524">
        <f t="shared" si="9"/>
        <v>0.10000000000582077</v>
      </c>
      <c r="V64" s="520">
        <f t="shared" si="10"/>
        <v>66000</v>
      </c>
      <c r="W64" s="524">
        <f t="shared" si="11"/>
        <v>65691.914398856563</v>
      </c>
      <c r="X64" s="520">
        <f t="shared" si="12"/>
        <v>308.08560114343709</v>
      </c>
      <c r="Y64" s="525">
        <f t="shared" si="13"/>
        <v>175475.00959380326</v>
      </c>
    </row>
    <row r="65" spans="3:38" x14ac:dyDescent="0.2">
      <c r="C65" s="387">
        <f t="shared" si="5"/>
        <v>42691</v>
      </c>
      <c r="D65" s="388">
        <f t="shared" si="6"/>
        <v>154264.93600000002</v>
      </c>
      <c r="E65" s="392">
        <f t="shared" si="7"/>
        <v>71676.632813000004</v>
      </c>
      <c r="F65" s="428">
        <f t="shared" si="0"/>
        <v>0.92750743999999996</v>
      </c>
      <c r="G65" s="390">
        <f t="shared" si="1"/>
        <v>66.480599999999995</v>
      </c>
      <c r="H65" s="391">
        <f t="shared" si="2"/>
        <v>226008.97692044004</v>
      </c>
      <c r="I65" s="324">
        <v>66000</v>
      </c>
      <c r="J65" s="325"/>
      <c r="K65" s="325"/>
      <c r="L65" s="317">
        <v>71676.632813000004</v>
      </c>
      <c r="M65" s="318"/>
      <c r="N65" s="318"/>
      <c r="O65" s="318"/>
      <c r="P65" s="392">
        <f t="shared" si="8"/>
        <v>71676.632813000004</v>
      </c>
      <c r="Q65" s="392">
        <f t="shared" si="3"/>
        <v>0</v>
      </c>
      <c r="R65" s="392">
        <f t="shared" si="4"/>
        <v>0</v>
      </c>
      <c r="S65" s="373">
        <v>66000.100000000006</v>
      </c>
      <c r="T65" s="374"/>
      <c r="U65" s="524">
        <f t="shared" si="9"/>
        <v>0.10000000000582077</v>
      </c>
      <c r="V65" s="520">
        <f t="shared" si="10"/>
        <v>66000</v>
      </c>
      <c r="W65" s="524">
        <f t="shared" si="11"/>
        <v>67936.330216595146</v>
      </c>
      <c r="X65" s="520">
        <f t="shared" si="12"/>
        <v>-1936.3302165951463</v>
      </c>
      <c r="Y65" s="525">
        <f t="shared" si="13"/>
        <v>173538.67937720811</v>
      </c>
    </row>
    <row r="66" spans="3:38" x14ac:dyDescent="0.2">
      <c r="C66" s="387">
        <f t="shared" si="5"/>
        <v>42692</v>
      </c>
      <c r="D66" s="388">
        <f t="shared" si="6"/>
        <v>154264.93600000002</v>
      </c>
      <c r="E66" s="392">
        <f t="shared" si="7"/>
        <v>70935.5625</v>
      </c>
      <c r="F66" s="428">
        <f t="shared" si="0"/>
        <v>0.92750743999999996</v>
      </c>
      <c r="G66" s="390">
        <f t="shared" si="1"/>
        <v>65.793300000000002</v>
      </c>
      <c r="H66" s="391">
        <f t="shared" si="2"/>
        <v>225267.21930744001</v>
      </c>
      <c r="I66" s="324">
        <v>66000</v>
      </c>
      <c r="J66" s="325"/>
      <c r="K66" s="325"/>
      <c r="L66" s="319">
        <v>70935.5625</v>
      </c>
      <c r="M66" s="320"/>
      <c r="N66" s="320"/>
      <c r="O66" s="320"/>
      <c r="P66" s="392">
        <f t="shared" si="8"/>
        <v>70935.5625</v>
      </c>
      <c r="Q66" s="392">
        <f t="shared" si="3"/>
        <v>0</v>
      </c>
      <c r="R66" s="392">
        <f t="shared" si="4"/>
        <v>0</v>
      </c>
      <c r="S66" s="373">
        <v>66000.100000000006</v>
      </c>
      <c r="T66" s="374"/>
      <c r="U66" s="524">
        <f t="shared" si="9"/>
        <v>0.10000000000582077</v>
      </c>
      <c r="V66" s="520">
        <f t="shared" si="10"/>
        <v>66000</v>
      </c>
      <c r="W66" s="524">
        <f t="shared" si="11"/>
        <v>67233.931184695408</v>
      </c>
      <c r="X66" s="520">
        <f t="shared" si="12"/>
        <v>-1233.9311846954079</v>
      </c>
      <c r="Y66" s="525">
        <f t="shared" si="13"/>
        <v>172304.74819251272</v>
      </c>
    </row>
    <row r="67" spans="3:38" x14ac:dyDescent="0.2">
      <c r="C67" s="387">
        <f t="shared" si="5"/>
        <v>42693</v>
      </c>
      <c r="D67" s="388">
        <f t="shared" si="6"/>
        <v>154264.93600000002</v>
      </c>
      <c r="E67" s="392">
        <f t="shared" si="7"/>
        <v>63099.523437999997</v>
      </c>
      <c r="F67" s="428">
        <f t="shared" si="0"/>
        <v>0.92750743999999996</v>
      </c>
      <c r="G67" s="390">
        <f t="shared" si="1"/>
        <v>58.525300000000001</v>
      </c>
      <c r="H67" s="391">
        <f t="shared" si="2"/>
        <v>217423.91224544003</v>
      </c>
      <c r="I67" s="324">
        <v>64999</v>
      </c>
      <c r="J67" s="325"/>
      <c r="K67" s="325"/>
      <c r="L67" s="317">
        <v>63099.523437999997</v>
      </c>
      <c r="M67" s="318"/>
      <c r="N67" s="318"/>
      <c r="O67" s="318"/>
      <c r="P67" s="392">
        <f t="shared" si="8"/>
        <v>63099.523437999997</v>
      </c>
      <c r="Q67" s="392">
        <f t="shared" si="3"/>
        <v>0</v>
      </c>
      <c r="R67" s="392">
        <f t="shared" si="4"/>
        <v>0</v>
      </c>
      <c r="S67" s="373">
        <v>64999.600000000006</v>
      </c>
      <c r="T67" s="374"/>
      <c r="U67" s="524">
        <f t="shared" si="9"/>
        <v>0.60000000000582077</v>
      </c>
      <c r="V67" s="520">
        <f t="shared" si="10"/>
        <v>64999</v>
      </c>
      <c r="W67" s="524">
        <f t="shared" si="11"/>
        <v>59806.800243778525</v>
      </c>
      <c r="X67" s="520">
        <f t="shared" si="12"/>
        <v>5192.1997562214747</v>
      </c>
      <c r="Y67" s="525">
        <f t="shared" si="13"/>
        <v>177496.94794873419</v>
      </c>
    </row>
    <row r="68" spans="3:38" x14ac:dyDescent="0.2">
      <c r="C68" s="387">
        <f t="shared" si="5"/>
        <v>42694</v>
      </c>
      <c r="D68" s="388">
        <f t="shared" si="6"/>
        <v>154264.93600000002</v>
      </c>
      <c r="E68" s="392">
        <f t="shared" si="7"/>
        <v>61999.609375</v>
      </c>
      <c r="F68" s="428">
        <f t="shared" si="0"/>
        <v>0.92750743999999996</v>
      </c>
      <c r="G68" s="390">
        <f t="shared" si="1"/>
        <v>57.505099999999999</v>
      </c>
      <c r="H68" s="391">
        <f t="shared" si="2"/>
        <v>216322.97798244003</v>
      </c>
      <c r="I68" s="324">
        <v>64999</v>
      </c>
      <c r="J68" s="325"/>
      <c r="K68" s="325"/>
      <c r="L68" s="319">
        <v>61999.609375</v>
      </c>
      <c r="M68" s="320"/>
      <c r="N68" s="320"/>
      <c r="O68" s="320"/>
      <c r="P68" s="392">
        <f t="shared" si="8"/>
        <v>61999.609375</v>
      </c>
      <c r="Q68" s="392">
        <f t="shared" si="3"/>
        <v>0</v>
      </c>
      <c r="R68" s="392">
        <f t="shared" si="4"/>
        <v>0</v>
      </c>
      <c r="S68" s="373">
        <v>64999.600000000006</v>
      </c>
      <c r="T68" s="374"/>
      <c r="U68" s="524">
        <f t="shared" si="9"/>
        <v>0.60000000000582077</v>
      </c>
      <c r="V68" s="520">
        <f t="shared" si="10"/>
        <v>64999</v>
      </c>
      <c r="W68" s="524">
        <f t="shared" si="11"/>
        <v>58764.283009622239</v>
      </c>
      <c r="X68" s="520">
        <f t="shared" si="12"/>
        <v>6234.7169903777612</v>
      </c>
      <c r="Y68" s="525">
        <f t="shared" si="13"/>
        <v>183731.66493911194</v>
      </c>
    </row>
    <row r="69" spans="3:38" x14ac:dyDescent="0.2">
      <c r="C69" s="387">
        <f t="shared" si="5"/>
        <v>42695</v>
      </c>
      <c r="D69" s="388">
        <f t="shared" si="6"/>
        <v>154264.93600000002</v>
      </c>
      <c r="E69" s="392">
        <f t="shared" si="7"/>
        <v>66665.637695999991</v>
      </c>
      <c r="F69" s="428">
        <f t="shared" si="0"/>
        <v>0.92750743999999996</v>
      </c>
      <c r="G69" s="390">
        <f t="shared" si="1"/>
        <v>61.832900000000002</v>
      </c>
      <c r="H69" s="391">
        <f t="shared" si="2"/>
        <v>220993.33410344002</v>
      </c>
      <c r="I69" s="324">
        <v>64999</v>
      </c>
      <c r="J69" s="325"/>
      <c r="K69" s="325"/>
      <c r="L69" s="317">
        <v>66665.637695999991</v>
      </c>
      <c r="M69" s="318"/>
      <c r="N69" s="318"/>
      <c r="O69" s="318"/>
      <c r="P69" s="392">
        <f t="shared" si="8"/>
        <v>66665.637695999991</v>
      </c>
      <c r="Q69" s="392">
        <f t="shared" si="3"/>
        <v>0</v>
      </c>
      <c r="R69" s="392">
        <f t="shared" si="4"/>
        <v>0</v>
      </c>
      <c r="S69" s="373">
        <v>64999.600000000006</v>
      </c>
      <c r="T69" s="374"/>
      <c r="U69" s="524">
        <f t="shared" si="9"/>
        <v>0.60000000000582077</v>
      </c>
      <c r="V69" s="520">
        <f t="shared" si="10"/>
        <v>64999</v>
      </c>
      <c r="W69" s="524">
        <f t="shared" si="11"/>
        <v>63186.823918351241</v>
      </c>
      <c r="X69" s="520">
        <f t="shared" si="12"/>
        <v>1812.1760816487586</v>
      </c>
      <c r="Y69" s="525">
        <f t="shared" si="13"/>
        <v>185543.84102076071</v>
      </c>
    </row>
    <row r="70" spans="3:38" x14ac:dyDescent="0.2">
      <c r="C70" s="387">
        <f t="shared" si="5"/>
        <v>42696</v>
      </c>
      <c r="D70" s="388">
        <f t="shared" si="6"/>
        <v>154264.93600000002</v>
      </c>
      <c r="E70" s="392">
        <f t="shared" si="7"/>
        <v>71728.890625</v>
      </c>
      <c r="F70" s="428">
        <f t="shared" si="0"/>
        <v>0.92750743999999996</v>
      </c>
      <c r="G70" s="390">
        <f t="shared" si="1"/>
        <v>66.5291</v>
      </c>
      <c r="H70" s="391">
        <f t="shared" si="2"/>
        <v>226061.28323244004</v>
      </c>
      <c r="I70" s="324">
        <v>64999</v>
      </c>
      <c r="J70" s="325"/>
      <c r="K70" s="325"/>
      <c r="L70" s="319">
        <v>71728.890625</v>
      </c>
      <c r="M70" s="320"/>
      <c r="N70" s="320"/>
      <c r="O70" s="320"/>
      <c r="P70" s="392">
        <f t="shared" si="8"/>
        <v>71728.890625</v>
      </c>
      <c r="Q70" s="392">
        <f t="shared" si="3"/>
        <v>0</v>
      </c>
      <c r="R70" s="392">
        <f t="shared" si="4"/>
        <v>0</v>
      </c>
      <c r="S70" s="373">
        <v>64999.600000000006</v>
      </c>
      <c r="T70" s="374"/>
      <c r="U70" s="524">
        <f t="shared" si="9"/>
        <v>0.60000000000582077</v>
      </c>
      <c r="V70" s="520">
        <f t="shared" si="10"/>
        <v>64999</v>
      </c>
      <c r="W70" s="524">
        <f t="shared" si="11"/>
        <v>67985.861058559924</v>
      </c>
      <c r="X70" s="520">
        <f t="shared" si="12"/>
        <v>-2986.8610585599235</v>
      </c>
      <c r="Y70" s="525">
        <f t="shared" si="13"/>
        <v>182556.9799622008</v>
      </c>
    </row>
    <row r="71" spans="3:38" x14ac:dyDescent="0.2">
      <c r="C71" s="387">
        <f t="shared" si="5"/>
        <v>42697</v>
      </c>
      <c r="D71" s="388">
        <f t="shared" si="6"/>
        <v>154264.93600000002</v>
      </c>
      <c r="E71" s="392">
        <f t="shared" si="7"/>
        <v>71666.367188000004</v>
      </c>
      <c r="F71" s="428">
        <f t="shared" si="0"/>
        <v>0.92750743999999996</v>
      </c>
      <c r="G71" s="390">
        <f t="shared" si="1"/>
        <v>66.471100000000007</v>
      </c>
      <c r="H71" s="391">
        <f t="shared" si="2"/>
        <v>225998.70179544002</v>
      </c>
      <c r="I71" s="324">
        <v>64999</v>
      </c>
      <c r="J71" s="325"/>
      <c r="K71" s="325"/>
      <c r="L71" s="317">
        <v>71666.367188000004</v>
      </c>
      <c r="M71" s="318"/>
      <c r="N71" s="318"/>
      <c r="O71" s="318"/>
      <c r="P71" s="392">
        <f t="shared" si="8"/>
        <v>71666.367188000004</v>
      </c>
      <c r="Q71" s="392">
        <f t="shared" si="3"/>
        <v>0</v>
      </c>
      <c r="R71" s="392">
        <f t="shared" si="4"/>
        <v>0</v>
      </c>
      <c r="S71" s="373">
        <v>64999.600000000006</v>
      </c>
      <c r="T71" s="374"/>
      <c r="U71" s="524">
        <f t="shared" si="9"/>
        <v>0.60000000000582077</v>
      </c>
      <c r="V71" s="520">
        <f t="shared" si="10"/>
        <v>64999</v>
      </c>
      <c r="W71" s="524">
        <f t="shared" si="11"/>
        <v>67926.6002828286</v>
      </c>
      <c r="X71" s="520">
        <f t="shared" si="12"/>
        <v>-2927.6002828286</v>
      </c>
      <c r="Y71" s="525">
        <f t="shared" si="13"/>
        <v>179629.37967937218</v>
      </c>
    </row>
    <row r="72" spans="3:38" x14ac:dyDescent="0.2">
      <c r="C72" s="387">
        <f t="shared" si="5"/>
        <v>42698</v>
      </c>
      <c r="D72" s="388">
        <f t="shared" si="6"/>
        <v>154264.93600000002</v>
      </c>
      <c r="E72" s="392">
        <f t="shared" si="7"/>
        <v>71728.826000000001</v>
      </c>
      <c r="F72" s="428">
        <f t="shared" si="0"/>
        <v>0.92750743999999996</v>
      </c>
      <c r="G72" s="390">
        <f t="shared" si="1"/>
        <v>66.528999999999996</v>
      </c>
      <c r="H72" s="391">
        <f t="shared" si="2"/>
        <v>226061.21850744003</v>
      </c>
      <c r="I72" s="324">
        <v>64001</v>
      </c>
      <c r="J72" s="325"/>
      <c r="K72" s="325"/>
      <c r="L72" s="319">
        <v>71728.826000000001</v>
      </c>
      <c r="M72" s="320"/>
      <c r="N72" s="320"/>
      <c r="O72" s="320"/>
      <c r="P72" s="392">
        <f t="shared" si="8"/>
        <v>71728.826000000001</v>
      </c>
      <c r="Q72" s="392">
        <f t="shared" si="3"/>
        <v>0</v>
      </c>
      <c r="R72" s="392">
        <f t="shared" si="4"/>
        <v>0</v>
      </c>
      <c r="S72" s="373">
        <v>64000.06</v>
      </c>
      <c r="T72" s="374"/>
      <c r="U72" s="524">
        <f t="shared" si="9"/>
        <v>-0.94000000000232831</v>
      </c>
      <c r="V72" s="520">
        <f t="shared" si="10"/>
        <v>64001</v>
      </c>
      <c r="W72" s="524">
        <f t="shared" si="11"/>
        <v>67985.799805887087</v>
      </c>
      <c r="X72" s="520">
        <f t="shared" si="12"/>
        <v>-3984.7998058870871</v>
      </c>
      <c r="Y72" s="525">
        <f t="shared" si="13"/>
        <v>175644.57987348508</v>
      </c>
    </row>
    <row r="73" spans="3:38" x14ac:dyDescent="0.2">
      <c r="C73" s="387">
        <f t="shared" si="5"/>
        <v>42699</v>
      </c>
      <c r="D73" s="388">
        <f t="shared" si="6"/>
        <v>154264.93600000002</v>
      </c>
      <c r="E73" s="392">
        <f t="shared" si="7"/>
        <v>71724.523438000004</v>
      </c>
      <c r="F73" s="428">
        <f t="shared" si="0"/>
        <v>0.92750743999999996</v>
      </c>
      <c r="G73" s="390">
        <f t="shared" si="1"/>
        <v>66.525000000000006</v>
      </c>
      <c r="H73" s="391">
        <f t="shared" si="2"/>
        <v>226056.91194544002</v>
      </c>
      <c r="I73" s="324">
        <v>64001</v>
      </c>
      <c r="J73" s="325"/>
      <c r="K73" s="325"/>
      <c r="L73" s="317">
        <v>71724.523438000004</v>
      </c>
      <c r="M73" s="318"/>
      <c r="N73" s="318"/>
      <c r="O73" s="318"/>
      <c r="P73" s="392">
        <f t="shared" si="8"/>
        <v>71724.523438000004</v>
      </c>
      <c r="Q73" s="392">
        <f t="shared" si="3"/>
        <v>0</v>
      </c>
      <c r="R73" s="392">
        <f t="shared" si="4"/>
        <v>0</v>
      </c>
      <c r="S73" s="373">
        <v>64000.06</v>
      </c>
      <c r="T73" s="374"/>
      <c r="U73" s="524">
        <f t="shared" si="9"/>
        <v>-0.94000000000232831</v>
      </c>
      <c r="V73" s="520">
        <f t="shared" si="10"/>
        <v>64001</v>
      </c>
      <c r="W73" s="524">
        <f t="shared" si="11"/>
        <v>67981.721764531932</v>
      </c>
      <c r="X73" s="520">
        <f t="shared" si="12"/>
        <v>-3980.7217645319324</v>
      </c>
      <c r="Y73" s="525">
        <f t="shared" si="13"/>
        <v>171663.85810895317</v>
      </c>
    </row>
    <row r="74" spans="3:38" x14ac:dyDescent="0.2">
      <c r="C74" s="387">
        <f t="shared" si="5"/>
        <v>42700</v>
      </c>
      <c r="D74" s="388">
        <f t="shared" si="6"/>
        <v>154264.93600000002</v>
      </c>
      <c r="E74" s="392">
        <f t="shared" si="7"/>
        <v>69494.67895500001</v>
      </c>
      <c r="F74" s="428">
        <f t="shared" si="0"/>
        <v>0.92750743999999996</v>
      </c>
      <c r="G74" s="390">
        <f t="shared" si="1"/>
        <v>64.456800000000001</v>
      </c>
      <c r="H74" s="391">
        <f t="shared" si="2"/>
        <v>223824.99926244005</v>
      </c>
      <c r="I74" s="324">
        <v>64001</v>
      </c>
      <c r="J74" s="325"/>
      <c r="K74" s="325"/>
      <c r="L74" s="319">
        <v>69494.67895500001</v>
      </c>
      <c r="M74" s="320"/>
      <c r="N74" s="320"/>
      <c r="O74" s="320"/>
      <c r="P74" s="392">
        <f t="shared" si="8"/>
        <v>69494.67895500001</v>
      </c>
      <c r="Q74" s="392">
        <f t="shared" si="3"/>
        <v>0</v>
      </c>
      <c r="R74" s="392">
        <f t="shared" si="4"/>
        <v>0</v>
      </c>
      <c r="S74" s="373">
        <v>64000.06</v>
      </c>
      <c r="T74" s="374"/>
      <c r="U74" s="524">
        <f t="shared" si="9"/>
        <v>-0.94000000000232831</v>
      </c>
      <c r="V74" s="520">
        <f t="shared" si="10"/>
        <v>64001</v>
      </c>
      <c r="W74" s="524">
        <f t="shared" si="11"/>
        <v>65868.23728313949</v>
      </c>
      <c r="X74" s="520">
        <f t="shared" si="12"/>
        <v>-1867.2372831394896</v>
      </c>
      <c r="Y74" s="525">
        <f t="shared" si="13"/>
        <v>169796.62082581368</v>
      </c>
    </row>
    <row r="75" spans="3:38" x14ac:dyDescent="0.2">
      <c r="C75" s="387">
        <f t="shared" si="5"/>
        <v>42701</v>
      </c>
      <c r="D75" s="388">
        <f t="shared" si="6"/>
        <v>154264.93600000002</v>
      </c>
      <c r="E75" s="392">
        <f t="shared" si="7"/>
        <v>68431.351563000004</v>
      </c>
      <c r="F75" s="428">
        <f t="shared" si="0"/>
        <v>0.92750743999999996</v>
      </c>
      <c r="G75" s="390">
        <f t="shared" si="1"/>
        <v>63.470599999999997</v>
      </c>
      <c r="H75" s="391">
        <f t="shared" si="2"/>
        <v>222760.68567044003</v>
      </c>
      <c r="I75" s="324">
        <v>64001</v>
      </c>
      <c r="J75" s="325"/>
      <c r="K75" s="325"/>
      <c r="L75" s="317">
        <v>68431.351563000004</v>
      </c>
      <c r="M75" s="318"/>
      <c r="N75" s="318"/>
      <c r="O75" s="318"/>
      <c r="P75" s="392">
        <f t="shared" si="8"/>
        <v>68431.351563000004</v>
      </c>
      <c r="Q75" s="392">
        <f t="shared" si="3"/>
        <v>0</v>
      </c>
      <c r="R75" s="392">
        <f t="shared" si="4"/>
        <v>0</v>
      </c>
      <c r="S75" s="373">
        <v>64000.06</v>
      </c>
      <c r="T75" s="374"/>
      <c r="U75" s="524">
        <f t="shared" si="9"/>
        <v>-0.94000000000232831</v>
      </c>
      <c r="V75" s="520">
        <f t="shared" si="10"/>
        <v>64001</v>
      </c>
      <c r="W75" s="524">
        <f t="shared" si="11"/>
        <v>64860.397517288184</v>
      </c>
      <c r="X75" s="520">
        <f t="shared" si="12"/>
        <v>-859.39751728818374</v>
      </c>
      <c r="Y75" s="525">
        <f t="shared" si="13"/>
        <v>168937.22330852548</v>
      </c>
    </row>
    <row r="76" spans="3:38" x14ac:dyDescent="0.2">
      <c r="C76" s="387">
        <f t="shared" si="5"/>
        <v>42702</v>
      </c>
      <c r="D76" s="388">
        <f t="shared" si="6"/>
        <v>154264.93600000002</v>
      </c>
      <c r="E76" s="392">
        <f t="shared" si="7"/>
        <v>71814.210938000004</v>
      </c>
      <c r="F76" s="428">
        <f t="shared" si="0"/>
        <v>0.92750743999999996</v>
      </c>
      <c r="G76" s="390">
        <f t="shared" si="1"/>
        <v>66.608199999999997</v>
      </c>
      <c r="H76" s="391">
        <f t="shared" si="2"/>
        <v>226146.68264544001</v>
      </c>
      <c r="I76" s="324">
        <v>64001</v>
      </c>
      <c r="J76" s="325"/>
      <c r="K76" s="325"/>
      <c r="L76" s="319">
        <v>71814.210938000004</v>
      </c>
      <c r="M76" s="320"/>
      <c r="N76" s="320"/>
      <c r="O76" s="320"/>
      <c r="P76" s="392">
        <f t="shared" si="8"/>
        <v>71814.210938000004</v>
      </c>
      <c r="Q76" s="392">
        <f t="shared" si="3"/>
        <v>0</v>
      </c>
      <c r="R76" s="392">
        <f t="shared" si="4"/>
        <v>0</v>
      </c>
      <c r="S76" s="373">
        <v>64000.06</v>
      </c>
      <c r="T76" s="374"/>
      <c r="U76" s="524">
        <f t="shared" si="9"/>
        <v>-0.94000000000232831</v>
      </c>
      <c r="V76" s="520">
        <f t="shared" si="10"/>
        <v>64001</v>
      </c>
      <c r="W76" s="524">
        <f t="shared" si="11"/>
        <v>68066.729100635421</v>
      </c>
      <c r="X76" s="520">
        <f t="shared" si="12"/>
        <v>-4065.7291006354208</v>
      </c>
      <c r="Y76" s="525">
        <f t="shared" si="13"/>
        <v>164871.49420789006</v>
      </c>
    </row>
    <row r="77" spans="3:38" x14ac:dyDescent="0.2">
      <c r="C77" s="387">
        <f t="shared" si="5"/>
        <v>42703</v>
      </c>
      <c r="D77" s="388">
        <f t="shared" si="6"/>
        <v>154264.93600000002</v>
      </c>
      <c r="E77" s="392">
        <f t="shared" si="7"/>
        <v>71882.03125</v>
      </c>
      <c r="F77" s="428">
        <f t="shared" si="0"/>
        <v>0.92750743999999996</v>
      </c>
      <c r="G77" s="390">
        <f t="shared" si="1"/>
        <v>66.671099999999996</v>
      </c>
      <c r="H77" s="391">
        <f t="shared" si="2"/>
        <v>226214.56585744003</v>
      </c>
      <c r="I77" s="324">
        <v>64999</v>
      </c>
      <c r="J77" s="325"/>
      <c r="K77" s="325"/>
      <c r="L77" s="317">
        <v>71882.03125</v>
      </c>
      <c r="M77" s="318"/>
      <c r="N77" s="318"/>
      <c r="O77" s="318"/>
      <c r="P77" s="392">
        <f t="shared" si="8"/>
        <v>71882.03125</v>
      </c>
      <c r="Q77" s="392">
        <f t="shared" si="3"/>
        <v>0</v>
      </c>
      <c r="R77" s="392">
        <f t="shared" si="4"/>
        <v>0</v>
      </c>
      <c r="S77" s="373">
        <v>64999.600000000006</v>
      </c>
      <c r="T77" s="374"/>
      <c r="U77" s="524">
        <f t="shared" si="9"/>
        <v>0.60000000000582077</v>
      </c>
      <c r="V77" s="520">
        <f t="shared" si="10"/>
        <v>64999</v>
      </c>
      <c r="W77" s="524">
        <f t="shared" si="11"/>
        <v>68131.010344474606</v>
      </c>
      <c r="X77" s="520">
        <f t="shared" si="12"/>
        <v>-3132.0103444746055</v>
      </c>
      <c r="Y77" s="525">
        <f t="shared" si="13"/>
        <v>161739.48386341546</v>
      </c>
    </row>
    <row r="78" spans="3:38" x14ac:dyDescent="0.2">
      <c r="C78" s="387">
        <f t="shared" si="5"/>
        <v>42704</v>
      </c>
      <c r="D78" s="388">
        <f t="shared" si="6"/>
        <v>154264.93600000002</v>
      </c>
      <c r="E78" s="392">
        <f t="shared" si="7"/>
        <v>65443.914062999997</v>
      </c>
      <c r="F78" s="428">
        <f t="shared" si="0"/>
        <v>0.92750743999999996</v>
      </c>
      <c r="G78" s="390">
        <f t="shared" si="1"/>
        <v>60.6997</v>
      </c>
      <c r="H78" s="391">
        <f t="shared" si="2"/>
        <v>219770.47727044002</v>
      </c>
      <c r="I78" s="324">
        <v>64999</v>
      </c>
      <c r="J78" s="325"/>
      <c r="K78" s="325"/>
      <c r="L78" s="319">
        <v>65443.914062999997</v>
      </c>
      <c r="M78" s="320"/>
      <c r="N78" s="320"/>
      <c r="O78" s="320"/>
      <c r="P78" s="392">
        <f t="shared" si="8"/>
        <v>65443.914062999997</v>
      </c>
      <c r="Q78" s="392">
        <f t="shared" si="3"/>
        <v>0</v>
      </c>
      <c r="R78" s="392">
        <f t="shared" si="4"/>
        <v>0</v>
      </c>
      <c r="S78" s="373">
        <v>64999.600000000006</v>
      </c>
      <c r="T78" s="374"/>
      <c r="U78" s="524">
        <f t="shared" si="9"/>
        <v>0.60000000000582077</v>
      </c>
      <c r="V78" s="520">
        <f t="shared" si="10"/>
        <v>64999</v>
      </c>
      <c r="W78" s="524">
        <f t="shared" si="11"/>
        <v>62028.85350445853</v>
      </c>
      <c r="X78" s="520">
        <f t="shared" si="12"/>
        <v>2970.1464955414704</v>
      </c>
      <c r="Y78" s="525">
        <f t="shared" si="13"/>
        <v>164709.63035895693</v>
      </c>
    </row>
    <row r="79" spans="3:38" ht="15" thickBot="1" x14ac:dyDescent="0.25">
      <c r="C79" s="393"/>
      <c r="D79" s="394"/>
      <c r="E79" s="395"/>
      <c r="F79" s="429"/>
      <c r="G79" s="396">
        <f t="shared" si="1"/>
        <v>0</v>
      </c>
      <c r="H79" s="397">
        <f t="shared" si="2"/>
        <v>0</v>
      </c>
      <c r="I79" s="326"/>
      <c r="J79" s="327"/>
      <c r="K79" s="327"/>
      <c r="L79" s="321"/>
      <c r="M79" s="322"/>
      <c r="N79" s="322"/>
      <c r="O79" s="322"/>
      <c r="P79" s="395">
        <f t="shared" si="8"/>
        <v>0</v>
      </c>
      <c r="Q79" s="395">
        <f t="shared" si="3"/>
        <v>0</v>
      </c>
      <c r="R79" s="395">
        <f t="shared" si="4"/>
        <v>0</v>
      </c>
      <c r="S79" s="375"/>
      <c r="T79" s="376"/>
      <c r="U79" s="521">
        <f t="shared" si="9"/>
        <v>0</v>
      </c>
      <c r="V79" s="528">
        <f t="shared" si="10"/>
        <v>0</v>
      </c>
      <c r="W79" s="521">
        <f t="shared" si="11"/>
        <v>0</v>
      </c>
      <c r="X79" s="528">
        <f t="shared" si="12"/>
        <v>0</v>
      </c>
      <c r="Y79" s="529">
        <f t="shared" si="13"/>
        <v>164709.63035895693</v>
      </c>
    </row>
    <row r="80" spans="3:38" ht="15" thickBot="1" x14ac:dyDescent="0.25">
      <c r="C80" s="398"/>
      <c r="D80" s="399">
        <f>SUM(D49:D79)</f>
        <v>4627948.0800000029</v>
      </c>
      <c r="E80" s="400">
        <f>SUM(E49:E79)</f>
        <v>2082258.507891</v>
      </c>
      <c r="F80" s="400"/>
      <c r="G80" s="401">
        <f>SUM(G49:G79)</f>
        <v>1931.3103000000001</v>
      </c>
      <c r="H80" s="399">
        <f>SUM(H49:H79)</f>
        <v>6712165.7234142004</v>
      </c>
      <c r="I80" s="432">
        <f>SUM(I49:I79)</f>
        <v>1949994</v>
      </c>
      <c r="J80" s="432">
        <f t="shared" ref="J80:R80" si="14">SUM(J49:J79)</f>
        <v>0</v>
      </c>
      <c r="K80" s="432">
        <f t="shared" si="14"/>
        <v>0</v>
      </c>
      <c r="L80" s="432">
        <f t="shared" si="14"/>
        <v>2082258.507891</v>
      </c>
      <c r="M80" s="432">
        <f t="shared" si="14"/>
        <v>0</v>
      </c>
      <c r="N80" s="432">
        <f t="shared" si="14"/>
        <v>0</v>
      </c>
      <c r="O80" s="432">
        <f t="shared" si="14"/>
        <v>0</v>
      </c>
      <c r="P80" s="432">
        <f t="shared" si="14"/>
        <v>2082258.507891</v>
      </c>
      <c r="Q80" s="432">
        <f t="shared" si="14"/>
        <v>0</v>
      </c>
      <c r="R80" s="432">
        <f t="shared" si="14"/>
        <v>0</v>
      </c>
      <c r="U80" s="530"/>
      <c r="V80" s="328">
        <f>SUM(V49:V79)</f>
        <v>1949994</v>
      </c>
      <c r="W80" s="328">
        <f>SUM(W49:W79)</f>
        <v>1973599.9870063767</v>
      </c>
      <c r="X80" s="328">
        <f>SUM(X49:X79)</f>
        <v>-23605.987006376992</v>
      </c>
      <c r="Y80" s="323">
        <f>Y79</f>
        <v>164709.63035895693</v>
      </c>
      <c r="AL80" s="361">
        <f>Y79</f>
        <v>164709.63035895693</v>
      </c>
    </row>
    <row r="81" spans="2:14" ht="15" customHeight="1" x14ac:dyDescent="0.2">
      <c r="B81"/>
      <c r="C81"/>
      <c r="D81"/>
      <c r="E81"/>
      <c r="F81"/>
      <c r="G81"/>
      <c r="H81"/>
      <c r="I81"/>
      <c r="J81"/>
      <c r="K81"/>
      <c r="L81"/>
      <c r="N81" s="2"/>
    </row>
  </sheetData>
  <mergeCells count="12">
    <mergeCell ref="C10:D10"/>
    <mergeCell ref="C11:D11"/>
    <mergeCell ref="C3:M4"/>
    <mergeCell ref="C5:M5"/>
    <mergeCell ref="C6:M6"/>
    <mergeCell ref="G7:H7"/>
    <mergeCell ref="C9:D9"/>
    <mergeCell ref="D23:E23"/>
    <mergeCell ref="D24:E24"/>
    <mergeCell ref="C28:F28"/>
    <mergeCell ref="C39:F39"/>
    <mergeCell ref="S47:Y47"/>
  </mergeCells>
  <conditionalFormatting sqref="L49:O79">
    <cfRule type="cellIs" dxfId="127" priority="1" stopIfTrue="1" operator="equal">
      <formula>0</formula>
    </cfRule>
  </conditionalFormatting>
  <printOptions horizontalCentered="1"/>
  <pageMargins left="0" right="0.70866141732283472" top="0.19685039370078741" bottom="0.74803149606299213" header="0.31496062992125984" footer="0.31496062992125984"/>
  <pageSetup scale="78" orientation="landscape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L81"/>
  <sheetViews>
    <sheetView workbookViewId="0"/>
  </sheetViews>
  <sheetFormatPr baseColWidth="10" defaultColWidth="11" defaultRowHeight="14.25" x14ac:dyDescent="0.2"/>
  <cols>
    <col min="1" max="1" width="11" style="2"/>
    <col min="2" max="2" width="3.875" style="2" bestFit="1" customWidth="1"/>
    <col min="3" max="3" width="16.125" style="2" customWidth="1"/>
    <col min="4" max="4" width="12.375" style="2" bestFit="1" customWidth="1"/>
    <col min="5" max="5" width="10.875" style="2" bestFit="1" customWidth="1"/>
    <col min="6" max="6" width="17.125" style="2" bestFit="1" customWidth="1"/>
    <col min="7" max="7" width="14.375" style="2" bestFit="1" customWidth="1"/>
    <col min="8" max="8" width="12.125" style="2" bestFit="1" customWidth="1"/>
    <col min="9" max="9" width="11.125" style="2" bestFit="1" customWidth="1"/>
    <col min="10" max="10" width="11.875" style="2" bestFit="1" customWidth="1"/>
    <col min="11" max="11" width="11.625" style="2" bestFit="1" customWidth="1"/>
    <col min="12" max="12" width="12.125" style="2" customWidth="1"/>
    <col min="13" max="13" width="13.375" style="2" customWidth="1"/>
    <col min="14" max="14" width="9" style="1" customWidth="1"/>
    <col min="15" max="15" width="10.375" style="2" customWidth="1"/>
    <col min="16" max="25" width="11" style="2"/>
    <col min="26" max="32" width="10.875" customWidth="1"/>
    <col min="33" max="16384" width="11" style="2"/>
  </cols>
  <sheetData>
    <row r="2" spans="2:25" x14ac:dyDescent="0.2"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2:25" ht="15" customHeight="1" x14ac:dyDescent="0.2">
      <c r="B3" s="1"/>
      <c r="C3" s="2254" t="s">
        <v>0</v>
      </c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</row>
    <row r="4" spans="2:25" ht="15" customHeight="1" x14ac:dyDescent="0.2"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</row>
    <row r="5" spans="2:25" x14ac:dyDescent="0.2">
      <c r="B5" s="1"/>
      <c r="C5" s="2257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</row>
    <row r="6" spans="2:25" x14ac:dyDescent="0.2">
      <c r="B6" s="1"/>
      <c r="C6" s="2257" t="s">
        <v>2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</row>
    <row r="7" spans="2:25" x14ac:dyDescent="0.2">
      <c r="B7" s="1"/>
      <c r="C7" s="468"/>
      <c r="D7" s="468"/>
      <c r="E7" s="468"/>
      <c r="F7" s="468"/>
      <c r="G7" s="2271">
        <v>42705</v>
      </c>
      <c r="H7" s="2257"/>
      <c r="I7" s="468"/>
      <c r="J7" s="468"/>
      <c r="K7" s="468"/>
      <c r="L7" s="468"/>
      <c r="M7" s="468"/>
      <c r="N7" s="18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2:25" x14ac:dyDescent="0.2">
      <c r="B8" s="1"/>
      <c r="C8" s="468"/>
      <c r="D8" s="468"/>
      <c r="E8" s="468"/>
      <c r="F8" s="468"/>
      <c r="G8" s="468"/>
      <c r="H8" s="468"/>
      <c r="I8" s="468"/>
      <c r="J8" s="468"/>
      <c r="K8" s="468"/>
      <c r="L8" s="468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2:25" ht="25.5" x14ac:dyDescent="0.2">
      <c r="B9" s="1"/>
      <c r="C9" s="2272" t="s">
        <v>6</v>
      </c>
      <c r="D9" s="2272"/>
      <c r="E9" s="470" t="s">
        <v>94</v>
      </c>
      <c r="F9" s="470" t="s">
        <v>126</v>
      </c>
      <c r="G9" s="410" t="s">
        <v>133</v>
      </c>
      <c r="H9" s="470" t="s">
        <v>127</v>
      </c>
      <c r="I9" s="470" t="s">
        <v>128</v>
      </c>
      <c r="J9" s="468"/>
      <c r="K9" s="468"/>
      <c r="L9" s="468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2:25" x14ac:dyDescent="0.2">
      <c r="B10" s="1"/>
      <c r="C10" s="2270" t="s">
        <v>131</v>
      </c>
      <c r="D10" s="2270"/>
      <c r="E10" s="433">
        <f>IF(C15=0,D15,C15)</f>
        <v>4627948.08</v>
      </c>
      <c r="F10" s="407">
        <f>E10*0.16</f>
        <v>740471.69280000008</v>
      </c>
      <c r="G10" s="407">
        <f>E10+F10</f>
        <v>5368419.7728000004</v>
      </c>
      <c r="H10" s="408" t="s">
        <v>203</v>
      </c>
      <c r="I10" s="741">
        <v>21.700199999999999</v>
      </c>
      <c r="J10" s="468">
        <f>I10*E10</f>
        <v>100427398.925616</v>
      </c>
      <c r="K10" s="468"/>
      <c r="L10" s="468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2:25" x14ac:dyDescent="0.2">
      <c r="B11" s="1"/>
      <c r="C11" s="2270" t="s">
        <v>132</v>
      </c>
      <c r="D11" s="2270"/>
      <c r="E11" s="433">
        <f>IF(C16=0,D16,C16)</f>
        <v>1983.05</v>
      </c>
      <c r="F11" s="407">
        <f>E11*0.16</f>
        <v>317.28800000000001</v>
      </c>
      <c r="G11" s="407">
        <f>E11+F11</f>
        <v>2300.3379999999997</v>
      </c>
      <c r="H11" s="408" t="s">
        <v>203</v>
      </c>
      <c r="I11" s="741">
        <v>21.700199999999999</v>
      </c>
      <c r="J11" s="468">
        <f>E11*I11</f>
        <v>43032.581609999994</v>
      </c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2:25" x14ac:dyDescent="0.2">
      <c r="B12" s="1"/>
      <c r="C12" s="468"/>
      <c r="D12" s="468"/>
      <c r="E12" s="742">
        <f>SUM(E10:E11)</f>
        <v>4629931.13</v>
      </c>
      <c r="F12" s="742">
        <f>SUM(F10:F11)</f>
        <v>740788.98080000002</v>
      </c>
      <c r="G12" s="742">
        <f>SUM(G10:G11)</f>
        <v>5370720.1108000008</v>
      </c>
      <c r="H12" s="1"/>
      <c r="I12" s="1"/>
      <c r="J12" s="1">
        <f>SUM(J10:J11)</f>
        <v>100470431.50722599</v>
      </c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2:25" ht="15" thickBot="1" x14ac:dyDescent="0.25">
      <c r="B13" s="1"/>
      <c r="C13" s="468"/>
      <c r="D13" s="468"/>
      <c r="E13" s="744">
        <f>E12*I11</f>
        <v>100470431.50722599</v>
      </c>
      <c r="F13" s="468"/>
      <c r="G13" s="743">
        <f>G12*I11</f>
        <v>116545700.54838218</v>
      </c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2:25" x14ac:dyDescent="0.2">
      <c r="B14" s="1"/>
      <c r="C14" s="440" t="s">
        <v>155</v>
      </c>
      <c r="D14" s="441" t="s">
        <v>156</v>
      </c>
      <c r="E14" s="442" t="s">
        <v>112</v>
      </c>
      <c r="F14" s="468"/>
      <c r="G14" s="468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2:25" x14ac:dyDescent="0.2">
      <c r="B15" s="1"/>
      <c r="C15" s="443">
        <v>4627948.08</v>
      </c>
      <c r="D15" s="444">
        <f>D80</f>
        <v>4627948.0800000019</v>
      </c>
      <c r="E15" s="445">
        <f>C15-D15</f>
        <v>0</v>
      </c>
      <c r="F15" s="468"/>
      <c r="G15" s="468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2:25" ht="15" thickBot="1" x14ac:dyDescent="0.25">
      <c r="B16" s="1"/>
      <c r="C16" s="446">
        <v>1983.05</v>
      </c>
      <c r="D16" s="447">
        <f>ROUND(G80,2)</f>
        <v>1984.12</v>
      </c>
      <c r="E16" s="448">
        <f>C16-D16</f>
        <v>-1.0699999999999363</v>
      </c>
      <c r="F16" s="468"/>
      <c r="G16" s="468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2:25" x14ac:dyDescent="0.2">
      <c r="B17" s="1"/>
      <c r="C17" s="468"/>
      <c r="D17" s="468"/>
      <c r="E17" s="468"/>
      <c r="F17" s="468"/>
      <c r="G17" s="468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2:25" x14ac:dyDescent="0.2">
      <c r="B18" s="1"/>
      <c r="C18" s="468"/>
      <c r="D18" s="468"/>
      <c r="E18" s="468"/>
      <c r="F18" s="468"/>
      <c r="G18" s="468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2:25" x14ac:dyDescent="0.2">
      <c r="B19" s="1"/>
      <c r="C19" s="468"/>
      <c r="D19" s="468"/>
      <c r="E19" s="468"/>
      <c r="F19" s="468"/>
      <c r="G19" s="468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2:25" x14ac:dyDescent="0.2">
      <c r="B20" s="1"/>
      <c r="C20" s="468"/>
      <c r="D20" s="468"/>
      <c r="E20" s="468"/>
      <c r="F20" s="468"/>
      <c r="G20" s="468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2:25" x14ac:dyDescent="0.2">
      <c r="B21" s="1"/>
      <c r="C21" s="468"/>
      <c r="D21" s="468"/>
      <c r="E21" s="468"/>
      <c r="F21" s="468"/>
      <c r="G21" s="468"/>
      <c r="H21" s="1"/>
      <c r="I21" s="1"/>
      <c r="J21" s="1"/>
      <c r="K21" s="1"/>
      <c r="L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2:25" ht="15" thickBot="1" x14ac:dyDescent="0.25">
      <c r="B22" s="1"/>
      <c r="C22" s="419" t="s">
        <v>137</v>
      </c>
      <c r="D22" s="468" t="s">
        <v>138</v>
      </c>
      <c r="E22" s="468"/>
      <c r="F22" s="468" t="s">
        <v>139</v>
      </c>
      <c r="G22" s="468" t="s">
        <v>157</v>
      </c>
      <c r="H22" s="468" t="s">
        <v>143</v>
      </c>
      <c r="I22" s="468" t="s">
        <v>142</v>
      </c>
      <c r="J22" s="468" t="s">
        <v>141</v>
      </c>
      <c r="K22" s="468" t="s">
        <v>140</v>
      </c>
      <c r="L22" s="468" t="s">
        <v>144</v>
      </c>
      <c r="M22" s="468" t="s">
        <v>146</v>
      </c>
      <c r="N22" s="468"/>
      <c r="O22" s="468"/>
      <c r="P22" s="468"/>
      <c r="Q22" s="1"/>
      <c r="R22" s="1"/>
      <c r="S22" s="1"/>
      <c r="T22" s="1"/>
      <c r="U22" s="1"/>
      <c r="V22" s="1"/>
      <c r="W22" s="1"/>
      <c r="X22" s="1"/>
      <c r="Y22" s="1"/>
    </row>
    <row r="23" spans="2:25" ht="36.75" customHeight="1" x14ac:dyDescent="0.2">
      <c r="B23" s="1"/>
      <c r="C23" s="402" t="s">
        <v>134</v>
      </c>
      <c r="D23" s="2261" t="s">
        <v>135</v>
      </c>
      <c r="E23" s="2262"/>
      <c r="F23" s="469" t="s">
        <v>136</v>
      </c>
      <c r="G23" s="461" t="s">
        <v>153</v>
      </c>
      <c r="H23" s="420" t="s">
        <v>129</v>
      </c>
      <c r="I23" s="403" t="s">
        <v>130</v>
      </c>
      <c r="J23" s="422"/>
      <c r="K23" s="422"/>
      <c r="L23" s="422"/>
      <c r="M23" s="404" t="s">
        <v>158</v>
      </c>
      <c r="N23" s="468"/>
      <c r="O23" s="468"/>
      <c r="P23" s="468"/>
      <c r="Q23" s="468"/>
      <c r="R23" s="468"/>
      <c r="S23" s="468"/>
      <c r="T23" s="468"/>
      <c r="U23" s="1"/>
      <c r="V23" s="1"/>
      <c r="W23" s="1"/>
      <c r="X23" s="1"/>
      <c r="Y23" s="1"/>
    </row>
    <row r="24" spans="2:25" x14ac:dyDescent="0.2">
      <c r="B24" s="1"/>
      <c r="C24" s="405">
        <v>850</v>
      </c>
      <c r="D24" s="2263">
        <v>850</v>
      </c>
      <c r="E24" s="2264"/>
      <c r="F24" s="418">
        <v>31482640</v>
      </c>
      <c r="G24" s="462">
        <v>31</v>
      </c>
      <c r="H24" s="460">
        <f>VLOOKUP(C47,Tarifas!D4:H303,3)</f>
        <v>0.14699999999999999</v>
      </c>
      <c r="I24" s="424">
        <f>VLOOKUP(C47,Tarifas!D4:H303,5)</f>
        <v>1E-3</v>
      </c>
      <c r="J24" s="421">
        <v>186.5</v>
      </c>
      <c r="K24" s="421">
        <v>201.4</v>
      </c>
      <c r="L24" s="421">
        <f>I11</f>
        <v>21.700199999999999</v>
      </c>
      <c r="M24" s="431">
        <f>E80</f>
        <v>2142632.5699999998</v>
      </c>
      <c r="N24" s="430" t="s">
        <v>62</v>
      </c>
      <c r="O24" s="468"/>
      <c r="P24" s="468"/>
      <c r="Q24" s="468"/>
      <c r="R24" s="468"/>
      <c r="S24" s="468"/>
      <c r="T24" s="468"/>
      <c r="U24" s="1"/>
      <c r="V24" s="1"/>
      <c r="W24" s="1"/>
      <c r="X24" s="1"/>
      <c r="Y24" s="1"/>
    </row>
    <row r="25" spans="2:25" x14ac:dyDescent="0.2">
      <c r="B25" s="1"/>
      <c r="C25" s="468"/>
      <c r="D25" s="468"/>
      <c r="E25" s="468"/>
      <c r="F25" s="468"/>
      <c r="G25" s="468"/>
      <c r="H25" s="468"/>
      <c r="I25" s="468"/>
      <c r="J25" s="468"/>
      <c r="K25" s="468"/>
      <c r="L25" s="468"/>
      <c r="M25" s="468"/>
      <c r="N25" s="468"/>
      <c r="O25" s="468"/>
      <c r="P25" s="468"/>
      <c r="Q25" s="468"/>
      <c r="R25" s="468"/>
      <c r="S25" s="1"/>
      <c r="T25" s="1"/>
      <c r="U25" s="1"/>
      <c r="V25" s="1"/>
      <c r="W25" s="1"/>
      <c r="X25" s="1"/>
      <c r="Y25" s="1"/>
    </row>
    <row r="26" spans="2:25" x14ac:dyDescent="0.2">
      <c r="B26" s="1"/>
      <c r="C26" s="468"/>
      <c r="D26" s="468"/>
      <c r="E26" s="468"/>
      <c r="F26" s="468"/>
      <c r="G26" s="468"/>
      <c r="H26" s="468"/>
      <c r="I26" s="468"/>
      <c r="J26" s="468"/>
      <c r="K26" s="468"/>
      <c r="L26" s="468"/>
      <c r="M26" s="468"/>
      <c r="N26" s="468"/>
      <c r="O26" s="468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2:25" x14ac:dyDescent="0.2">
      <c r="B27" s="1"/>
      <c r="C27" s="468"/>
      <c r="D27" s="468"/>
      <c r="E27" s="468"/>
      <c r="F27" s="468"/>
      <c r="G27" s="468"/>
      <c r="H27" s="468"/>
      <c r="I27" s="468"/>
      <c r="J27" s="468"/>
      <c r="K27" s="468"/>
      <c r="L27" s="468"/>
      <c r="M27" s="468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2:25" ht="15" thickBot="1" x14ac:dyDescent="0.25">
      <c r="B28" s="1"/>
      <c r="C28" s="2265" t="s">
        <v>86</v>
      </c>
      <c r="D28" s="2265"/>
      <c r="E28" s="2265"/>
      <c r="F28" s="2265"/>
      <c r="G28" s="471"/>
      <c r="H28" s="334"/>
      <c r="I28" s="334"/>
      <c r="J28" s="334"/>
      <c r="K28" s="471"/>
      <c r="L28" s="336"/>
      <c r="M28" s="336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2:25" ht="22.5" x14ac:dyDescent="0.2">
      <c r="B29" s="1"/>
      <c r="C29" s="337" t="s">
        <v>87</v>
      </c>
      <c r="D29" s="466" t="s">
        <v>88</v>
      </c>
      <c r="E29" s="466" t="s">
        <v>89</v>
      </c>
      <c r="F29" s="466" t="s">
        <v>20</v>
      </c>
      <c r="G29" s="466" t="s">
        <v>160</v>
      </c>
      <c r="H29" s="466" t="s">
        <v>90</v>
      </c>
      <c r="I29" s="466" t="s">
        <v>91</v>
      </c>
      <c r="J29" s="466" t="s">
        <v>92</v>
      </c>
      <c r="K29" s="466" t="s">
        <v>93</v>
      </c>
      <c r="L29" s="466" t="s">
        <v>94</v>
      </c>
      <c r="M29" s="467" t="s">
        <v>95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2:25" x14ac:dyDescent="0.2">
      <c r="B30" s="1"/>
      <c r="C30" s="338"/>
      <c r="D30" s="339"/>
      <c r="E30" s="339" t="s">
        <v>96</v>
      </c>
      <c r="F30" s="340" t="s">
        <v>97</v>
      </c>
      <c r="G30" s="340">
        <v>2201</v>
      </c>
      <c r="H30" s="339">
        <v>20823</v>
      </c>
      <c r="I30" s="341">
        <v>0</v>
      </c>
      <c r="J30" s="339">
        <v>138.15</v>
      </c>
      <c r="K30" s="342">
        <v>0</v>
      </c>
      <c r="L30" s="343">
        <f>ROUND(K30*E$10,2)</f>
        <v>0</v>
      </c>
      <c r="M30" s="344">
        <f>L30*$I$10</f>
        <v>0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2:25" x14ac:dyDescent="0.2">
      <c r="B31" s="1"/>
      <c r="C31" s="338"/>
      <c r="D31" s="339"/>
      <c r="E31" s="339" t="s">
        <v>98</v>
      </c>
      <c r="F31" s="340" t="s">
        <v>97</v>
      </c>
      <c r="G31" s="340">
        <v>2201</v>
      </c>
      <c r="H31" s="339">
        <v>20824</v>
      </c>
      <c r="I31" s="341">
        <v>0</v>
      </c>
      <c r="J31" s="339">
        <v>138.15</v>
      </c>
      <c r="K31" s="342">
        <v>0</v>
      </c>
      <c r="L31" s="343">
        <f>ROUND(K31*E$10,2)</f>
        <v>0</v>
      </c>
      <c r="M31" s="344">
        <f>L31*$I$10</f>
        <v>0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2:25" x14ac:dyDescent="0.2">
      <c r="B32" s="1"/>
      <c r="C32" s="338"/>
      <c r="D32" s="339"/>
      <c r="E32" s="339" t="s">
        <v>99</v>
      </c>
      <c r="F32" s="340" t="s">
        <v>100</v>
      </c>
      <c r="G32" s="340">
        <v>2230</v>
      </c>
      <c r="H32" s="339">
        <v>22228</v>
      </c>
      <c r="I32" s="341">
        <v>0</v>
      </c>
      <c r="J32" s="339">
        <v>130.80000000000001</v>
      </c>
      <c r="K32" s="342">
        <v>0</v>
      </c>
      <c r="L32" s="343">
        <f>ROUND(K32*E$10,2)</f>
        <v>0</v>
      </c>
      <c r="M32" s="344">
        <f>L32*$I$10</f>
        <v>0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2:25" x14ac:dyDescent="0.2">
      <c r="B33" s="1"/>
      <c r="C33" s="338">
        <v>800762390</v>
      </c>
      <c r="D33" s="339">
        <v>3</v>
      </c>
      <c r="E33" s="354" t="s">
        <v>101</v>
      </c>
      <c r="F33" s="463" t="s">
        <v>23</v>
      </c>
      <c r="G33" s="463">
        <v>2044</v>
      </c>
      <c r="H33" s="354">
        <v>591000420</v>
      </c>
      <c r="I33" s="341">
        <v>80000</v>
      </c>
      <c r="J33" s="339"/>
      <c r="K33" s="342">
        <v>0.09</v>
      </c>
      <c r="L33" s="343">
        <f>ROUND(K33*E$10,2)</f>
        <v>416515.33</v>
      </c>
      <c r="M33" s="344">
        <f>L33*$I$10</f>
        <v>9038465.9640660007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2:25" ht="15" thickBot="1" x14ac:dyDescent="0.25">
      <c r="B34" s="1"/>
      <c r="C34" s="345">
        <v>800642440</v>
      </c>
      <c r="D34" s="346">
        <v>5</v>
      </c>
      <c r="E34" s="347" t="s">
        <v>101</v>
      </c>
      <c r="F34" s="348" t="s">
        <v>159</v>
      </c>
      <c r="G34" s="348">
        <v>2277</v>
      </c>
      <c r="H34" s="347">
        <v>22770</v>
      </c>
      <c r="I34" s="349">
        <f>850000-I30-I31-I32-I33</f>
        <v>770000</v>
      </c>
      <c r="J34" s="346"/>
      <c r="K34" s="350">
        <v>0.91</v>
      </c>
      <c r="L34" s="351">
        <f>ROUND(K34*E$10,2)</f>
        <v>4211432.75</v>
      </c>
      <c r="M34" s="352">
        <f>L34*$I$10</f>
        <v>91388932.961549997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2:25" x14ac:dyDescent="0.2">
      <c r="B35" s="1"/>
      <c r="C35" s="406">
        <v>3000623</v>
      </c>
      <c r="D35" s="353" t="s">
        <v>102</v>
      </c>
      <c r="E35" s="353"/>
      <c r="F35" s="353"/>
      <c r="G35" s="353"/>
      <c r="H35" s="354"/>
      <c r="I35" s="355">
        <f>SUM(I30:I34)</f>
        <v>850000</v>
      </c>
      <c r="J35" s="353"/>
      <c r="K35" s="356">
        <f>SUM(K30:K34)</f>
        <v>1</v>
      </c>
      <c r="L35" s="357">
        <f>SUM(L30:L34)</f>
        <v>4627948.08</v>
      </c>
      <c r="M35" s="357">
        <f>SUM(M30:M34)</f>
        <v>100427398.925616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2:25" x14ac:dyDescent="0.2">
      <c r="B36" s="1"/>
      <c r="C36" s="336"/>
      <c r="D36" s="336"/>
      <c r="E36" s="336"/>
      <c r="F36" s="358"/>
      <c r="G36" s="358"/>
      <c r="H36" s="336"/>
      <c r="I36" s="336"/>
      <c r="J36" s="336"/>
      <c r="K36" s="336"/>
      <c r="L36" s="359"/>
      <c r="M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2:25" x14ac:dyDescent="0.2">
      <c r="B37" s="1"/>
      <c r="C37" s="336"/>
      <c r="D37" s="336"/>
      <c r="E37" s="336"/>
      <c r="F37" s="358"/>
      <c r="G37" s="358"/>
      <c r="H37" s="336"/>
      <c r="I37" s="336"/>
      <c r="J37" s="336"/>
      <c r="K37" s="336"/>
      <c r="L37" s="359"/>
      <c r="M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2:25" x14ac:dyDescent="0.2">
      <c r="B38" s="1"/>
      <c r="C38" s="336"/>
      <c r="D38" s="336"/>
      <c r="E38" s="336"/>
      <c r="F38" s="358"/>
      <c r="G38" s="358"/>
      <c r="H38" s="336"/>
      <c r="I38" s="336"/>
      <c r="J38" s="336"/>
      <c r="K38" s="336"/>
      <c r="L38" s="359"/>
      <c r="M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2:25" ht="15" thickBot="1" x14ac:dyDescent="0.25">
      <c r="B39" s="1"/>
      <c r="C39" s="2266" t="s">
        <v>103</v>
      </c>
      <c r="D39" s="2266"/>
      <c r="E39" s="2266"/>
      <c r="F39" s="2266"/>
      <c r="G39" s="471"/>
      <c r="H39" s="334"/>
      <c r="I39" s="334"/>
      <c r="J39" s="334"/>
      <c r="K39" s="336"/>
      <c r="L39" s="336"/>
      <c r="M39" s="360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2:25" ht="22.5" x14ac:dyDescent="0.2">
      <c r="B40" s="1"/>
      <c r="C40" s="337" t="s">
        <v>87</v>
      </c>
      <c r="D40" s="466" t="s">
        <v>88</v>
      </c>
      <c r="E40" s="466" t="s">
        <v>89</v>
      </c>
      <c r="F40" s="466" t="s">
        <v>20</v>
      </c>
      <c r="G40" s="466"/>
      <c r="H40" s="466" t="s">
        <v>90</v>
      </c>
      <c r="I40" s="466" t="s">
        <v>104</v>
      </c>
      <c r="J40" s="466" t="s">
        <v>93</v>
      </c>
      <c r="K40" s="466" t="s">
        <v>92</v>
      </c>
      <c r="L40" s="466" t="s">
        <v>94</v>
      </c>
      <c r="M40" s="467" t="s">
        <v>95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2:25" x14ac:dyDescent="0.2">
      <c r="B41" s="1"/>
      <c r="C41" s="338"/>
      <c r="D41" s="339"/>
      <c r="E41" s="339" t="s">
        <v>96</v>
      </c>
      <c r="F41" s="340" t="s">
        <v>97</v>
      </c>
      <c r="G41" s="340"/>
      <c r="H41" s="339">
        <v>20823</v>
      </c>
      <c r="I41" s="341">
        <f>M80</f>
        <v>0</v>
      </c>
      <c r="J41" s="342">
        <f>I41/I$45</f>
        <v>0</v>
      </c>
      <c r="K41" s="339">
        <v>138.15</v>
      </c>
      <c r="L41" s="343">
        <f>ROUND(J41*$E$11,2)</f>
        <v>0</v>
      </c>
      <c r="M41" s="344">
        <f>L41*L24</f>
        <v>0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2:25" x14ac:dyDescent="0.2">
      <c r="B42" s="1"/>
      <c r="C42" s="338"/>
      <c r="D42" s="339"/>
      <c r="E42" s="339" t="s">
        <v>98</v>
      </c>
      <c r="F42" s="340" t="s">
        <v>97</v>
      </c>
      <c r="G42" s="340"/>
      <c r="H42" s="339">
        <v>20824</v>
      </c>
      <c r="I42" s="341">
        <f>N80</f>
        <v>0</v>
      </c>
      <c r="J42" s="342">
        <f>I42/I$45</f>
        <v>0</v>
      </c>
      <c r="K42" s="339">
        <v>138.15</v>
      </c>
      <c r="L42" s="343">
        <f>ROUND(J42*$E$11,2)</f>
        <v>0</v>
      </c>
      <c r="M42" s="344">
        <f>L42*L25</f>
        <v>0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2:25" x14ac:dyDescent="0.2">
      <c r="B43" s="1"/>
      <c r="C43" s="338"/>
      <c r="D43" s="339"/>
      <c r="E43" s="339" t="s">
        <v>99</v>
      </c>
      <c r="F43" s="340" t="s">
        <v>100</v>
      </c>
      <c r="G43" s="340"/>
      <c r="H43" s="339">
        <v>22228</v>
      </c>
      <c r="I43" s="341">
        <f>O80</f>
        <v>0</v>
      </c>
      <c r="J43" s="342">
        <f>I43/I$45</f>
        <v>0</v>
      </c>
      <c r="K43" s="339">
        <v>130.80000000000001</v>
      </c>
      <c r="L43" s="343">
        <f>ROUND(J43*$E$11,2)</f>
        <v>0</v>
      </c>
      <c r="M43" s="344">
        <f>L43*L26</f>
        <v>0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2:25" ht="15" thickBot="1" x14ac:dyDescent="0.25">
      <c r="B44" s="1"/>
      <c r="C44" s="345">
        <v>800762390</v>
      </c>
      <c r="D44" s="346">
        <v>4</v>
      </c>
      <c r="E44" s="347" t="s">
        <v>101</v>
      </c>
      <c r="F44" s="348" t="s">
        <v>23</v>
      </c>
      <c r="G44" s="348"/>
      <c r="H44" s="347"/>
      <c r="I44" s="349">
        <f>L80</f>
        <v>2142632.5699999998</v>
      </c>
      <c r="J44" s="350">
        <f>I44/I$45</f>
        <v>1</v>
      </c>
      <c r="K44" s="346">
        <v>138.15</v>
      </c>
      <c r="L44" s="351">
        <f>ROUND(J44*$E$11,2)</f>
        <v>1983.05</v>
      </c>
      <c r="M44" s="352">
        <f>L44*I11</f>
        <v>43032.581609999994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2:25" x14ac:dyDescent="0.2">
      <c r="B45" s="1"/>
      <c r="C45" s="353"/>
      <c r="D45" s="353"/>
      <c r="E45" s="353"/>
      <c r="F45" s="353"/>
      <c r="G45" s="353"/>
      <c r="H45" s="354"/>
      <c r="I45" s="449">
        <f>SUM(I41:I44)</f>
        <v>2142632.5699999998</v>
      </c>
      <c r="J45" s="355"/>
      <c r="K45" s="353"/>
      <c r="L45" s="357">
        <f>SUM(L41:L44)</f>
        <v>1983.05</v>
      </c>
      <c r="M45" s="357">
        <f>SUM(M41:M44)</f>
        <v>43032.581609999994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2:25" customFormat="1" ht="15" thickBot="1" x14ac:dyDescent="0.25">
      <c r="M46" s="450"/>
      <c r="N46" s="450"/>
      <c r="O46" s="450"/>
      <c r="P46" s="450"/>
      <c r="Q46" s="450"/>
      <c r="R46" s="450"/>
      <c r="S46" s="450"/>
      <c r="T46" s="450"/>
      <c r="U46" s="450"/>
      <c r="V46" s="450"/>
      <c r="W46" s="450"/>
      <c r="X46" s="450"/>
      <c r="Y46" s="450"/>
    </row>
    <row r="47" spans="2:25" ht="15" thickBot="1" x14ac:dyDescent="0.25">
      <c r="B47" s="434" t="s">
        <v>3</v>
      </c>
      <c r="C47" s="333">
        <f>SUMIF(Tarifas!E4:E303,'Diciembre - 2016'!C49,Tarifas!D4:D303)</f>
        <v>41</v>
      </c>
      <c r="D47" s="425" t="s">
        <v>147</v>
      </c>
      <c r="E47" s="426" t="s">
        <v>145</v>
      </c>
      <c r="F47" s="426" t="s">
        <v>150</v>
      </c>
      <c r="G47" s="426" t="s">
        <v>148</v>
      </c>
      <c r="H47" s="382"/>
      <c r="I47" s="331" t="s">
        <v>120</v>
      </c>
      <c r="J47" s="332"/>
      <c r="K47" s="332"/>
      <c r="L47" s="364" t="s">
        <v>105</v>
      </c>
      <c r="M47" s="365"/>
      <c r="N47" s="365"/>
      <c r="O47" s="365"/>
      <c r="P47" s="365"/>
      <c r="Q47" s="365"/>
      <c r="R47" s="366"/>
      <c r="S47" s="2267" t="s">
        <v>121</v>
      </c>
      <c r="T47" s="2268"/>
      <c r="U47" s="2268"/>
      <c r="V47" s="2268"/>
      <c r="W47" s="2268"/>
      <c r="X47" s="2268"/>
      <c r="Y47" s="2269"/>
    </row>
    <row r="48" spans="2:25" ht="33.75" x14ac:dyDescent="0.2">
      <c r="C48" s="383" t="s">
        <v>122</v>
      </c>
      <c r="D48" s="384" t="s">
        <v>125</v>
      </c>
      <c r="E48" s="385" t="s">
        <v>149</v>
      </c>
      <c r="F48" s="385" t="s">
        <v>151</v>
      </c>
      <c r="G48" s="385" t="s">
        <v>152</v>
      </c>
      <c r="H48" s="386" t="s">
        <v>123</v>
      </c>
      <c r="I48" s="329" t="s">
        <v>109</v>
      </c>
      <c r="J48" s="330" t="s">
        <v>25</v>
      </c>
      <c r="K48" s="330" t="s">
        <v>26</v>
      </c>
      <c r="L48" s="367" t="s">
        <v>115</v>
      </c>
      <c r="M48" s="362" t="s">
        <v>106</v>
      </c>
      <c r="N48" s="362" t="s">
        <v>107</v>
      </c>
      <c r="O48" s="362" t="s">
        <v>108</v>
      </c>
      <c r="P48" s="362" t="s">
        <v>115</v>
      </c>
      <c r="Q48" s="363" t="s">
        <v>116</v>
      </c>
      <c r="R48" s="368" t="s">
        <v>117</v>
      </c>
      <c r="S48" s="369" t="s">
        <v>192</v>
      </c>
      <c r="T48" s="370" t="s">
        <v>111</v>
      </c>
      <c r="U48" s="370" t="s">
        <v>112</v>
      </c>
      <c r="V48" s="371" t="s">
        <v>118</v>
      </c>
      <c r="W48" s="371" t="s">
        <v>119</v>
      </c>
      <c r="X48" s="371" t="s">
        <v>114</v>
      </c>
      <c r="Y48" s="372" t="s">
        <v>113</v>
      </c>
    </row>
    <row r="49" spans="3:25" x14ac:dyDescent="0.2">
      <c r="C49" s="387">
        <f>G7</f>
        <v>42705</v>
      </c>
      <c r="D49" s="388">
        <f>($F$24*$H$24)/$G$24</f>
        <v>149288.64774193548</v>
      </c>
      <c r="E49" s="389">
        <f>P49+Q49+R49</f>
        <v>71672.98</v>
      </c>
      <c r="F49" s="427">
        <f t="shared" ref="F49:F79" si="0">TRUNC(IFERROR(J$24/K$24,0),8)</f>
        <v>0.92601787000000002</v>
      </c>
      <c r="G49" s="390">
        <f t="shared" ref="G49:G79" si="1">ROUND(I$24*F49*E49,4)</f>
        <v>66.370500000000007</v>
      </c>
      <c r="H49" s="391">
        <f t="shared" ref="H49:H79" si="2">SUM(D49:G49)</f>
        <v>221028.92425980547</v>
      </c>
      <c r="I49" s="324">
        <v>66000</v>
      </c>
      <c r="J49" s="325"/>
      <c r="K49" s="325"/>
      <c r="L49" s="317">
        <v>71672.98</v>
      </c>
      <c r="M49" s="318"/>
      <c r="N49" s="318"/>
      <c r="O49" s="318"/>
      <c r="P49" s="389">
        <f>L49</f>
        <v>71672.98</v>
      </c>
      <c r="Q49" s="389">
        <f t="shared" ref="Q49:Q79" si="3">M49+N49</f>
        <v>0</v>
      </c>
      <c r="R49" s="389">
        <f t="shared" ref="R49:R79" si="4">O49</f>
        <v>0</v>
      </c>
      <c r="S49" s="373">
        <v>66000.100000000006</v>
      </c>
      <c r="T49" s="374"/>
      <c r="U49" s="524">
        <f>S49+T49-V49</f>
        <v>0.10000000000582077</v>
      </c>
      <c r="V49" s="520">
        <f>I49+J49+K49</f>
        <v>66000</v>
      </c>
      <c r="W49" s="524">
        <f>(P49+Q49+R49)/1.055056</f>
        <v>67932.868018380061</v>
      </c>
      <c r="X49" s="520">
        <f>V49-W49</f>
        <v>-1932.8680183800607</v>
      </c>
      <c r="Y49" s="525">
        <f>AL46+X49</f>
        <v>-1932.8680183800607</v>
      </c>
    </row>
    <row r="50" spans="3:25" x14ac:dyDescent="0.2">
      <c r="C50" s="387">
        <f t="shared" ref="C50:C79" si="5">C49+1</f>
        <v>42706</v>
      </c>
      <c r="D50" s="388">
        <f t="shared" ref="D50:D79" si="6">($F$24*$H$24)/$G$24</f>
        <v>149288.64774193548</v>
      </c>
      <c r="E50" s="392">
        <f t="shared" ref="E50:E79" si="7">P50+Q50+R50</f>
        <v>71686.02</v>
      </c>
      <c r="F50" s="428">
        <f t="shared" si="0"/>
        <v>0.92601787000000002</v>
      </c>
      <c r="G50" s="390">
        <f t="shared" si="1"/>
        <v>66.382499999999993</v>
      </c>
      <c r="H50" s="391">
        <f t="shared" si="2"/>
        <v>221041.97625980547</v>
      </c>
      <c r="I50" s="324">
        <v>66000</v>
      </c>
      <c r="J50" s="325"/>
      <c r="K50" s="325"/>
      <c r="L50" s="319">
        <v>71686.02</v>
      </c>
      <c r="M50" s="320"/>
      <c r="N50" s="320"/>
      <c r="O50" s="320"/>
      <c r="P50" s="392">
        <f t="shared" ref="P50:P79" si="8">L50</f>
        <v>71686.02</v>
      </c>
      <c r="Q50" s="392">
        <f t="shared" si="3"/>
        <v>0</v>
      </c>
      <c r="R50" s="392">
        <f t="shared" si="4"/>
        <v>0</v>
      </c>
      <c r="S50" s="373">
        <v>66000.100000000006</v>
      </c>
      <c r="T50" s="374"/>
      <c r="U50" s="524">
        <f t="shared" ref="U50:U79" si="9">S50+T50-V50</f>
        <v>0.10000000000582077</v>
      </c>
      <c r="V50" s="520">
        <f t="shared" ref="V50:V79" si="10">I50+J50+K50</f>
        <v>66000</v>
      </c>
      <c r="W50" s="524">
        <f t="shared" ref="W50:W79" si="11">(P50+Q50+R50)/1.055056</f>
        <v>67945.22755190247</v>
      </c>
      <c r="X50" s="520">
        <f t="shared" ref="X50:X79" si="12">V50-W50</f>
        <v>-1945.2275519024697</v>
      </c>
      <c r="Y50" s="525">
        <f>Y49+X50</f>
        <v>-3878.0955702825304</v>
      </c>
    </row>
    <row r="51" spans="3:25" x14ac:dyDescent="0.2">
      <c r="C51" s="387">
        <f t="shared" si="5"/>
        <v>42707</v>
      </c>
      <c r="D51" s="388">
        <f t="shared" si="6"/>
        <v>149288.64774193548</v>
      </c>
      <c r="E51" s="392">
        <f t="shared" si="7"/>
        <v>67240.846999999994</v>
      </c>
      <c r="F51" s="428">
        <f t="shared" si="0"/>
        <v>0.92601787000000002</v>
      </c>
      <c r="G51" s="390">
        <f t="shared" si="1"/>
        <v>62.266199999999998</v>
      </c>
      <c r="H51" s="391">
        <f t="shared" si="2"/>
        <v>216592.68695980546</v>
      </c>
      <c r="I51" s="324">
        <v>66000</v>
      </c>
      <c r="J51" s="325"/>
      <c r="K51" s="325"/>
      <c r="L51" s="317">
        <v>67240.846999999994</v>
      </c>
      <c r="M51" s="318"/>
      <c r="N51" s="318"/>
      <c r="O51" s="318"/>
      <c r="P51" s="392">
        <f t="shared" si="8"/>
        <v>67240.846999999994</v>
      </c>
      <c r="Q51" s="392">
        <f t="shared" si="3"/>
        <v>0</v>
      </c>
      <c r="R51" s="392">
        <f t="shared" si="4"/>
        <v>0</v>
      </c>
      <c r="S51" s="373">
        <v>66000.100000000006</v>
      </c>
      <c r="T51" s="374"/>
      <c r="U51" s="524">
        <f t="shared" si="9"/>
        <v>0.10000000000582077</v>
      </c>
      <c r="V51" s="520">
        <f t="shared" si="10"/>
        <v>66000</v>
      </c>
      <c r="W51" s="524">
        <f t="shared" si="11"/>
        <v>63732.017068288311</v>
      </c>
      <c r="X51" s="520">
        <f t="shared" si="12"/>
        <v>2267.9829317116892</v>
      </c>
      <c r="Y51" s="525">
        <f t="shared" ref="Y51:Y79" si="13">Y50+X51</f>
        <v>-1610.1126385708412</v>
      </c>
    </row>
    <row r="52" spans="3:25" x14ac:dyDescent="0.2">
      <c r="C52" s="387">
        <f t="shared" si="5"/>
        <v>42708</v>
      </c>
      <c r="D52" s="388">
        <f t="shared" si="6"/>
        <v>149288.64774193548</v>
      </c>
      <c r="E52" s="392">
        <f t="shared" si="7"/>
        <v>66718.06</v>
      </c>
      <c r="F52" s="428">
        <f t="shared" si="0"/>
        <v>0.92601787000000002</v>
      </c>
      <c r="G52" s="390">
        <f t="shared" si="1"/>
        <v>61.7821</v>
      </c>
      <c r="H52" s="391">
        <f t="shared" si="2"/>
        <v>216069.41585980548</v>
      </c>
      <c r="I52" s="324">
        <v>66000</v>
      </c>
      <c r="J52" s="325"/>
      <c r="K52" s="325"/>
      <c r="L52" s="319">
        <v>66718.06</v>
      </c>
      <c r="M52" s="320"/>
      <c r="N52" s="320"/>
      <c r="O52" s="320"/>
      <c r="P52" s="392">
        <f t="shared" si="8"/>
        <v>66718.06</v>
      </c>
      <c r="Q52" s="392">
        <f t="shared" si="3"/>
        <v>0</v>
      </c>
      <c r="R52" s="392">
        <f t="shared" si="4"/>
        <v>0</v>
      </c>
      <c r="S52" s="373">
        <v>66000.100000000006</v>
      </c>
      <c r="T52" s="374"/>
      <c r="U52" s="524">
        <f t="shared" si="9"/>
        <v>0.10000000000582077</v>
      </c>
      <c r="V52" s="520">
        <f t="shared" si="10"/>
        <v>66000</v>
      </c>
      <c r="W52" s="524">
        <f t="shared" si="11"/>
        <v>63236.510668628012</v>
      </c>
      <c r="X52" s="520">
        <f t="shared" si="12"/>
        <v>2763.4893313719876</v>
      </c>
      <c r="Y52" s="525">
        <f t="shared" si="13"/>
        <v>1153.3766928011464</v>
      </c>
    </row>
    <row r="53" spans="3:25" x14ac:dyDescent="0.2">
      <c r="C53" s="387">
        <f t="shared" si="5"/>
        <v>42709</v>
      </c>
      <c r="D53" s="388">
        <f t="shared" si="6"/>
        <v>149288.64774193548</v>
      </c>
      <c r="E53" s="392">
        <f t="shared" si="7"/>
        <v>72000.789999999994</v>
      </c>
      <c r="F53" s="428">
        <f t="shared" si="0"/>
        <v>0.92601787000000002</v>
      </c>
      <c r="G53" s="390">
        <f t="shared" si="1"/>
        <v>66.674000000000007</v>
      </c>
      <c r="H53" s="391">
        <f t="shared" si="2"/>
        <v>221357.03775980548</v>
      </c>
      <c r="I53" s="324">
        <v>66000</v>
      </c>
      <c r="J53" s="325"/>
      <c r="K53" s="325"/>
      <c r="L53" s="317">
        <v>72000.789999999994</v>
      </c>
      <c r="M53" s="318"/>
      <c r="N53" s="318"/>
      <c r="O53" s="318"/>
      <c r="P53" s="392">
        <f t="shared" si="8"/>
        <v>72000.789999999994</v>
      </c>
      <c r="Q53" s="392">
        <f t="shared" si="3"/>
        <v>0</v>
      </c>
      <c r="R53" s="392">
        <f t="shared" si="4"/>
        <v>0</v>
      </c>
      <c r="S53" s="373">
        <v>66000.100000000006</v>
      </c>
      <c r="T53" s="374"/>
      <c r="U53" s="524">
        <f t="shared" si="9"/>
        <v>0.10000000000582077</v>
      </c>
      <c r="V53" s="520">
        <f t="shared" si="10"/>
        <v>66000</v>
      </c>
      <c r="W53" s="524">
        <f t="shared" si="11"/>
        <v>68243.571905187971</v>
      </c>
      <c r="X53" s="520">
        <f t="shared" si="12"/>
        <v>-2243.5719051879714</v>
      </c>
      <c r="Y53" s="525">
        <f t="shared" si="13"/>
        <v>-1090.195212386825</v>
      </c>
    </row>
    <row r="54" spans="3:25" x14ac:dyDescent="0.2">
      <c r="C54" s="387">
        <f t="shared" si="5"/>
        <v>42710</v>
      </c>
      <c r="D54" s="388">
        <f t="shared" si="6"/>
        <v>149288.64774193548</v>
      </c>
      <c r="E54" s="392">
        <f t="shared" si="7"/>
        <v>71673.350000000006</v>
      </c>
      <c r="F54" s="428">
        <f t="shared" si="0"/>
        <v>0.92601787000000002</v>
      </c>
      <c r="G54" s="390">
        <f t="shared" si="1"/>
        <v>66.370800000000003</v>
      </c>
      <c r="H54" s="391">
        <f t="shared" si="2"/>
        <v>221029.29455980548</v>
      </c>
      <c r="I54" s="324">
        <v>68000</v>
      </c>
      <c r="J54" s="325"/>
      <c r="K54" s="325"/>
      <c r="L54" s="319">
        <v>71673.350000000006</v>
      </c>
      <c r="M54" s="320"/>
      <c r="N54" s="320"/>
      <c r="O54" s="320"/>
      <c r="P54" s="392">
        <f t="shared" si="8"/>
        <v>71673.350000000006</v>
      </c>
      <c r="Q54" s="392">
        <f t="shared" si="3"/>
        <v>0</v>
      </c>
      <c r="R54" s="392">
        <f t="shared" si="4"/>
        <v>0</v>
      </c>
      <c r="S54" s="373">
        <v>68000.13</v>
      </c>
      <c r="T54" s="374"/>
      <c r="U54" s="524">
        <f t="shared" si="9"/>
        <v>0.13000000000465661</v>
      </c>
      <c r="V54" s="520">
        <f t="shared" si="10"/>
        <v>68000</v>
      </c>
      <c r="W54" s="524">
        <f t="shared" si="11"/>
        <v>67933.218710665606</v>
      </c>
      <c r="X54" s="520">
        <f t="shared" si="12"/>
        <v>66.781289334394387</v>
      </c>
      <c r="Y54" s="525">
        <f t="shared" si="13"/>
        <v>-1023.4139230524306</v>
      </c>
    </row>
    <row r="55" spans="3:25" x14ac:dyDescent="0.2">
      <c r="C55" s="387">
        <f t="shared" si="5"/>
        <v>42711</v>
      </c>
      <c r="D55" s="388">
        <f t="shared" si="6"/>
        <v>149288.64774193548</v>
      </c>
      <c r="E55" s="392">
        <f t="shared" si="7"/>
        <v>71800.210000000006</v>
      </c>
      <c r="F55" s="428">
        <f t="shared" si="0"/>
        <v>0.92601787000000002</v>
      </c>
      <c r="G55" s="390">
        <f t="shared" si="1"/>
        <v>66.488299999999995</v>
      </c>
      <c r="H55" s="391">
        <f t="shared" si="2"/>
        <v>221156.27205980546</v>
      </c>
      <c r="I55" s="324">
        <v>68000</v>
      </c>
      <c r="J55" s="325"/>
      <c r="K55" s="325"/>
      <c r="L55" s="317">
        <v>71800.210000000006</v>
      </c>
      <c r="M55" s="318"/>
      <c r="N55" s="318"/>
      <c r="O55" s="318"/>
      <c r="P55" s="392">
        <f t="shared" si="8"/>
        <v>71800.210000000006</v>
      </c>
      <c r="Q55" s="392">
        <f t="shared" si="3"/>
        <v>0</v>
      </c>
      <c r="R55" s="392">
        <f t="shared" si="4"/>
        <v>0</v>
      </c>
      <c r="S55" s="373">
        <v>68000.13</v>
      </c>
      <c r="T55" s="374"/>
      <c r="U55" s="524">
        <f t="shared" si="9"/>
        <v>0.13000000000465661</v>
      </c>
      <c r="V55" s="520">
        <f t="shared" si="10"/>
        <v>68000</v>
      </c>
      <c r="W55" s="524">
        <f t="shared" si="11"/>
        <v>68053.458773752296</v>
      </c>
      <c r="X55" s="520">
        <f t="shared" si="12"/>
        <v>-53.458773752296111</v>
      </c>
      <c r="Y55" s="525">
        <f t="shared" si="13"/>
        <v>-1076.8726968047267</v>
      </c>
    </row>
    <row r="56" spans="3:25" x14ac:dyDescent="0.2">
      <c r="C56" s="387">
        <f t="shared" si="5"/>
        <v>42712</v>
      </c>
      <c r="D56" s="388">
        <f t="shared" si="6"/>
        <v>149288.64774193548</v>
      </c>
      <c r="E56" s="392">
        <f t="shared" si="7"/>
        <v>68543.592000000004</v>
      </c>
      <c r="F56" s="428">
        <f t="shared" si="0"/>
        <v>0.92601787000000002</v>
      </c>
      <c r="G56" s="390">
        <f t="shared" si="1"/>
        <v>63.4726</v>
      </c>
      <c r="H56" s="391">
        <f t="shared" si="2"/>
        <v>217896.63835980548</v>
      </c>
      <c r="I56" s="324">
        <v>68000</v>
      </c>
      <c r="J56" s="325"/>
      <c r="K56" s="325"/>
      <c r="L56" s="319">
        <v>68543.592000000004</v>
      </c>
      <c r="M56" s="320"/>
      <c r="N56" s="320"/>
      <c r="O56" s="320"/>
      <c r="P56" s="392">
        <f t="shared" si="8"/>
        <v>68543.592000000004</v>
      </c>
      <c r="Q56" s="392">
        <f t="shared" si="3"/>
        <v>0</v>
      </c>
      <c r="R56" s="392">
        <f t="shared" si="4"/>
        <v>0</v>
      </c>
      <c r="S56" s="373">
        <v>68000.13</v>
      </c>
      <c r="T56" s="374"/>
      <c r="U56" s="524">
        <f t="shared" si="9"/>
        <v>0.13000000000465661</v>
      </c>
      <c r="V56" s="520">
        <f t="shared" si="10"/>
        <v>68000</v>
      </c>
      <c r="W56" s="524">
        <f t="shared" si="11"/>
        <v>64966.780910207613</v>
      </c>
      <c r="X56" s="520">
        <f t="shared" si="12"/>
        <v>3033.2190897923865</v>
      </c>
      <c r="Y56" s="525">
        <f t="shared" si="13"/>
        <v>1956.3463929876598</v>
      </c>
    </row>
    <row r="57" spans="3:25" x14ac:dyDescent="0.2">
      <c r="C57" s="387">
        <f t="shared" si="5"/>
        <v>42713</v>
      </c>
      <c r="D57" s="388">
        <f t="shared" si="6"/>
        <v>149288.64774193548</v>
      </c>
      <c r="E57" s="392">
        <f t="shared" si="7"/>
        <v>68104.08</v>
      </c>
      <c r="F57" s="428">
        <f t="shared" si="0"/>
        <v>0.92601787000000002</v>
      </c>
      <c r="G57" s="390">
        <f t="shared" si="1"/>
        <v>63.065600000000003</v>
      </c>
      <c r="H57" s="391">
        <f t="shared" si="2"/>
        <v>217456.71935980546</v>
      </c>
      <c r="I57" s="324">
        <v>68000</v>
      </c>
      <c r="J57" s="325"/>
      <c r="K57" s="325"/>
      <c r="L57" s="317">
        <v>68104.08</v>
      </c>
      <c r="M57" s="318"/>
      <c r="N57" s="318"/>
      <c r="O57" s="318"/>
      <c r="P57" s="392">
        <f t="shared" si="8"/>
        <v>68104.08</v>
      </c>
      <c r="Q57" s="392">
        <f t="shared" si="3"/>
        <v>0</v>
      </c>
      <c r="R57" s="392">
        <f t="shared" si="4"/>
        <v>0</v>
      </c>
      <c r="S57" s="373">
        <v>68000.13</v>
      </c>
      <c r="T57" s="374"/>
      <c r="U57" s="524">
        <f t="shared" si="9"/>
        <v>0.13000000000465661</v>
      </c>
      <c r="V57" s="520">
        <f t="shared" si="10"/>
        <v>68000</v>
      </c>
      <c r="W57" s="524">
        <f t="shared" si="11"/>
        <v>64550.2039702158</v>
      </c>
      <c r="X57" s="520">
        <f t="shared" si="12"/>
        <v>3449.7960297842001</v>
      </c>
      <c r="Y57" s="525">
        <f t="shared" si="13"/>
        <v>5406.1424227718599</v>
      </c>
    </row>
    <row r="58" spans="3:25" x14ac:dyDescent="0.2">
      <c r="C58" s="387">
        <f t="shared" si="5"/>
        <v>42714</v>
      </c>
      <c r="D58" s="388">
        <f t="shared" si="6"/>
        <v>149288.64774193548</v>
      </c>
      <c r="E58" s="392">
        <f t="shared" si="7"/>
        <v>67850.505999999994</v>
      </c>
      <c r="F58" s="428">
        <f t="shared" si="0"/>
        <v>0.92601787000000002</v>
      </c>
      <c r="G58" s="390">
        <f t="shared" si="1"/>
        <v>62.830800000000004</v>
      </c>
      <c r="H58" s="391">
        <f t="shared" si="2"/>
        <v>217202.91055980546</v>
      </c>
      <c r="I58" s="324">
        <v>66000</v>
      </c>
      <c r="J58" s="325"/>
      <c r="K58" s="325"/>
      <c r="L58" s="319">
        <v>67850.505999999994</v>
      </c>
      <c r="M58" s="320"/>
      <c r="N58" s="320"/>
      <c r="O58" s="320"/>
      <c r="P58" s="392">
        <f t="shared" si="8"/>
        <v>67850.505999999994</v>
      </c>
      <c r="Q58" s="392">
        <f t="shared" si="3"/>
        <v>0</v>
      </c>
      <c r="R58" s="392">
        <f t="shared" si="4"/>
        <v>0</v>
      </c>
      <c r="S58" s="373">
        <v>66000.100000000006</v>
      </c>
      <c r="T58" s="374"/>
      <c r="U58" s="524">
        <f t="shared" si="9"/>
        <v>0.10000000000582077</v>
      </c>
      <c r="V58" s="520">
        <f t="shared" si="10"/>
        <v>66000</v>
      </c>
      <c r="W58" s="524">
        <f t="shared" si="11"/>
        <v>64309.862225322635</v>
      </c>
      <c r="X58" s="520">
        <f t="shared" si="12"/>
        <v>1690.1377746773651</v>
      </c>
      <c r="Y58" s="525">
        <f t="shared" si="13"/>
        <v>7096.2801974492249</v>
      </c>
    </row>
    <row r="59" spans="3:25" x14ac:dyDescent="0.2">
      <c r="C59" s="387">
        <f t="shared" si="5"/>
        <v>42715</v>
      </c>
      <c r="D59" s="388">
        <f t="shared" si="6"/>
        <v>149288.64774193548</v>
      </c>
      <c r="E59" s="392">
        <f t="shared" si="7"/>
        <v>61538.22</v>
      </c>
      <c r="F59" s="428">
        <f t="shared" si="0"/>
        <v>0.92601787000000002</v>
      </c>
      <c r="G59" s="390">
        <f t="shared" si="1"/>
        <v>56.985500000000002</v>
      </c>
      <c r="H59" s="391">
        <f t="shared" si="2"/>
        <v>210884.77925980548</v>
      </c>
      <c r="I59" s="324">
        <v>66000</v>
      </c>
      <c r="J59" s="325"/>
      <c r="K59" s="325"/>
      <c r="L59" s="317">
        <v>61538.22</v>
      </c>
      <c r="M59" s="318"/>
      <c r="N59" s="318"/>
      <c r="O59" s="318"/>
      <c r="P59" s="392">
        <f t="shared" si="8"/>
        <v>61538.22</v>
      </c>
      <c r="Q59" s="392">
        <f t="shared" si="3"/>
        <v>0</v>
      </c>
      <c r="R59" s="392">
        <f t="shared" si="4"/>
        <v>0</v>
      </c>
      <c r="S59" s="373">
        <v>66000.100000000006</v>
      </c>
      <c r="T59" s="374"/>
      <c r="U59" s="524">
        <f t="shared" si="9"/>
        <v>0.10000000000582077</v>
      </c>
      <c r="V59" s="520">
        <f t="shared" si="10"/>
        <v>66000</v>
      </c>
      <c r="W59" s="524">
        <f t="shared" si="11"/>
        <v>58326.970321954475</v>
      </c>
      <c r="X59" s="520">
        <f t="shared" si="12"/>
        <v>7673.0296780455246</v>
      </c>
      <c r="Y59" s="525">
        <f t="shared" si="13"/>
        <v>14769.30987549475</v>
      </c>
    </row>
    <row r="60" spans="3:25" x14ac:dyDescent="0.2">
      <c r="C60" s="387">
        <f t="shared" si="5"/>
        <v>42716</v>
      </c>
      <c r="D60" s="388">
        <f t="shared" si="6"/>
        <v>149288.64774193548</v>
      </c>
      <c r="E60" s="392">
        <f t="shared" si="7"/>
        <v>68315.48</v>
      </c>
      <c r="F60" s="428">
        <f t="shared" si="0"/>
        <v>0.92601787000000002</v>
      </c>
      <c r="G60" s="390">
        <f t="shared" si="1"/>
        <v>63.261400000000002</v>
      </c>
      <c r="H60" s="391">
        <f t="shared" si="2"/>
        <v>217668.31515980547</v>
      </c>
      <c r="I60" s="324">
        <v>66000</v>
      </c>
      <c r="J60" s="325"/>
      <c r="K60" s="325"/>
      <c r="L60" s="319">
        <v>68315.48</v>
      </c>
      <c r="M60" s="320"/>
      <c r="N60" s="320"/>
      <c r="O60" s="320"/>
      <c r="P60" s="392">
        <f t="shared" si="8"/>
        <v>68315.48</v>
      </c>
      <c r="Q60" s="392">
        <f t="shared" si="3"/>
        <v>0</v>
      </c>
      <c r="R60" s="392">
        <f t="shared" si="4"/>
        <v>0</v>
      </c>
      <c r="S60" s="373">
        <v>66000.100000000006</v>
      </c>
      <c r="T60" s="374"/>
      <c r="U60" s="524">
        <f t="shared" si="9"/>
        <v>0.10000000000582077</v>
      </c>
      <c r="V60" s="520">
        <f t="shared" si="10"/>
        <v>66000</v>
      </c>
      <c r="W60" s="524">
        <f t="shared" si="11"/>
        <v>64750.572481460695</v>
      </c>
      <c r="X60" s="520">
        <f t="shared" si="12"/>
        <v>1249.4275185393053</v>
      </c>
      <c r="Y60" s="525">
        <f t="shared" si="13"/>
        <v>16018.737394034055</v>
      </c>
    </row>
    <row r="61" spans="3:25" x14ac:dyDescent="0.2">
      <c r="C61" s="387">
        <f t="shared" si="5"/>
        <v>42717</v>
      </c>
      <c r="D61" s="388">
        <f t="shared" si="6"/>
        <v>149288.64774193548</v>
      </c>
      <c r="E61" s="392">
        <f t="shared" si="7"/>
        <v>71393.616999999998</v>
      </c>
      <c r="F61" s="428">
        <f t="shared" si="0"/>
        <v>0.92601787000000002</v>
      </c>
      <c r="G61" s="390">
        <f t="shared" si="1"/>
        <v>66.111800000000002</v>
      </c>
      <c r="H61" s="391">
        <f t="shared" si="2"/>
        <v>220749.30255980548</v>
      </c>
      <c r="I61" s="324">
        <v>68000</v>
      </c>
      <c r="J61" s="325"/>
      <c r="K61" s="325"/>
      <c r="L61" s="317">
        <v>71393.616999999998</v>
      </c>
      <c r="M61" s="318"/>
      <c r="N61" s="318"/>
      <c r="O61" s="318"/>
      <c r="P61" s="392">
        <f t="shared" si="8"/>
        <v>71393.616999999998</v>
      </c>
      <c r="Q61" s="392">
        <f t="shared" si="3"/>
        <v>0</v>
      </c>
      <c r="R61" s="392">
        <f t="shared" si="4"/>
        <v>0</v>
      </c>
      <c r="S61" s="373">
        <v>68000.13</v>
      </c>
      <c r="T61" s="374"/>
      <c r="U61" s="524">
        <f t="shared" si="9"/>
        <v>0.13000000000465661</v>
      </c>
      <c r="V61" s="520">
        <f t="shared" si="10"/>
        <v>68000</v>
      </c>
      <c r="W61" s="524">
        <f t="shared" si="11"/>
        <v>67668.083021185608</v>
      </c>
      <c r="X61" s="520">
        <f t="shared" si="12"/>
        <v>331.91697881439177</v>
      </c>
      <c r="Y61" s="525">
        <f t="shared" si="13"/>
        <v>16350.654372848447</v>
      </c>
    </row>
    <row r="62" spans="3:25" x14ac:dyDescent="0.2">
      <c r="C62" s="387">
        <f t="shared" si="5"/>
        <v>42718</v>
      </c>
      <c r="D62" s="388">
        <f t="shared" si="6"/>
        <v>149288.64774193548</v>
      </c>
      <c r="E62" s="392">
        <f t="shared" si="7"/>
        <v>69051.05</v>
      </c>
      <c r="F62" s="428">
        <f t="shared" si="0"/>
        <v>0.92601787000000002</v>
      </c>
      <c r="G62" s="390">
        <f t="shared" si="1"/>
        <v>63.942500000000003</v>
      </c>
      <c r="H62" s="391">
        <f t="shared" si="2"/>
        <v>218404.56625980549</v>
      </c>
      <c r="I62" s="324">
        <v>64999</v>
      </c>
      <c r="J62" s="325"/>
      <c r="K62" s="325"/>
      <c r="L62" s="319">
        <v>69051.05</v>
      </c>
      <c r="M62" s="320"/>
      <c r="N62" s="320"/>
      <c r="O62" s="320"/>
      <c r="P62" s="392">
        <f t="shared" si="8"/>
        <v>69051.05</v>
      </c>
      <c r="Q62" s="392">
        <f t="shared" si="3"/>
        <v>0</v>
      </c>
      <c r="R62" s="392">
        <f t="shared" si="4"/>
        <v>0</v>
      </c>
      <c r="S62" s="373">
        <v>64999.600000000006</v>
      </c>
      <c r="T62" s="374"/>
      <c r="U62" s="524">
        <f t="shared" si="9"/>
        <v>0.60000000000582077</v>
      </c>
      <c r="V62" s="520">
        <f t="shared" si="10"/>
        <v>64999</v>
      </c>
      <c r="W62" s="524">
        <f t="shared" si="11"/>
        <v>65447.758223260193</v>
      </c>
      <c r="X62" s="520">
        <f t="shared" si="12"/>
        <v>-448.75822326019261</v>
      </c>
      <c r="Y62" s="525">
        <f t="shared" si="13"/>
        <v>15901.896149588254</v>
      </c>
    </row>
    <row r="63" spans="3:25" x14ac:dyDescent="0.2">
      <c r="C63" s="387">
        <f t="shared" si="5"/>
        <v>42719</v>
      </c>
      <c r="D63" s="388">
        <f t="shared" si="6"/>
        <v>149288.64774193548</v>
      </c>
      <c r="E63" s="392">
        <f t="shared" si="7"/>
        <v>69998.73</v>
      </c>
      <c r="F63" s="428">
        <f t="shared" si="0"/>
        <v>0.92601787000000002</v>
      </c>
      <c r="G63" s="390">
        <f t="shared" si="1"/>
        <v>64.820099999999996</v>
      </c>
      <c r="H63" s="391">
        <f t="shared" si="2"/>
        <v>219353.12385980549</v>
      </c>
      <c r="I63" s="324">
        <v>62000</v>
      </c>
      <c r="J63" s="325"/>
      <c r="K63" s="325"/>
      <c r="L63" s="317">
        <v>69998.73</v>
      </c>
      <c r="M63" s="318"/>
      <c r="N63" s="318"/>
      <c r="O63" s="318"/>
      <c r="P63" s="392">
        <f t="shared" si="8"/>
        <v>69998.73</v>
      </c>
      <c r="Q63" s="392">
        <f t="shared" si="3"/>
        <v>0</v>
      </c>
      <c r="R63" s="392">
        <f t="shared" si="4"/>
        <v>0</v>
      </c>
      <c r="S63" s="373">
        <v>62000.04</v>
      </c>
      <c r="T63" s="374"/>
      <c r="U63" s="524">
        <f t="shared" si="9"/>
        <v>4.0000000000873115E-2</v>
      </c>
      <c r="V63" s="520">
        <f t="shared" si="10"/>
        <v>62000</v>
      </c>
      <c r="W63" s="524">
        <f t="shared" si="11"/>
        <v>66345.985426365994</v>
      </c>
      <c r="X63" s="520">
        <f t="shared" si="12"/>
        <v>-4345.9854263659945</v>
      </c>
      <c r="Y63" s="525">
        <f t="shared" si="13"/>
        <v>11555.91072322226</v>
      </c>
    </row>
    <row r="64" spans="3:25" x14ac:dyDescent="0.2">
      <c r="C64" s="387">
        <f t="shared" si="5"/>
        <v>42720</v>
      </c>
      <c r="D64" s="388">
        <f t="shared" si="6"/>
        <v>149288.64774193548</v>
      </c>
      <c r="E64" s="392">
        <f t="shared" si="7"/>
        <v>68571.789999999994</v>
      </c>
      <c r="F64" s="428">
        <f t="shared" si="0"/>
        <v>0.92601787000000002</v>
      </c>
      <c r="G64" s="390">
        <f t="shared" si="1"/>
        <v>63.498699999999999</v>
      </c>
      <c r="H64" s="391">
        <f t="shared" si="2"/>
        <v>217924.86245980547</v>
      </c>
      <c r="I64" s="324">
        <v>62000</v>
      </c>
      <c r="J64" s="325"/>
      <c r="K64" s="325"/>
      <c r="L64" s="319">
        <v>68571.789999999994</v>
      </c>
      <c r="M64" s="320"/>
      <c r="N64" s="320"/>
      <c r="O64" s="320"/>
      <c r="P64" s="392">
        <f t="shared" si="8"/>
        <v>68571.789999999994</v>
      </c>
      <c r="Q64" s="392">
        <f t="shared" si="3"/>
        <v>0</v>
      </c>
      <c r="R64" s="392">
        <f t="shared" si="4"/>
        <v>0</v>
      </c>
      <c r="S64" s="373">
        <v>62000.04</v>
      </c>
      <c r="T64" s="374"/>
      <c r="U64" s="524">
        <f t="shared" si="9"/>
        <v>4.0000000000873115E-2</v>
      </c>
      <c r="V64" s="520">
        <f t="shared" si="10"/>
        <v>62000</v>
      </c>
      <c r="W64" s="524">
        <f t="shared" si="11"/>
        <v>64993.507453632788</v>
      </c>
      <c r="X64" s="520">
        <f t="shared" si="12"/>
        <v>-2993.5074536327884</v>
      </c>
      <c r="Y64" s="525">
        <f t="shared" si="13"/>
        <v>8562.4032695894712</v>
      </c>
    </row>
    <row r="65" spans="3:38" x14ac:dyDescent="0.2">
      <c r="C65" s="387">
        <f t="shared" si="5"/>
        <v>42721</v>
      </c>
      <c r="D65" s="388">
        <f t="shared" si="6"/>
        <v>149288.64774193548</v>
      </c>
      <c r="E65" s="392">
        <f t="shared" si="7"/>
        <v>72208.67</v>
      </c>
      <c r="F65" s="428">
        <f t="shared" si="0"/>
        <v>0.92601787000000002</v>
      </c>
      <c r="G65" s="390">
        <f t="shared" si="1"/>
        <v>66.866500000000002</v>
      </c>
      <c r="H65" s="391">
        <f t="shared" si="2"/>
        <v>221565.11025980549</v>
      </c>
      <c r="I65" s="324">
        <v>64999</v>
      </c>
      <c r="J65" s="325"/>
      <c r="K65" s="325"/>
      <c r="L65" s="317">
        <v>72208.67</v>
      </c>
      <c r="M65" s="318"/>
      <c r="N65" s="318"/>
      <c r="O65" s="318"/>
      <c r="P65" s="392">
        <f t="shared" si="8"/>
        <v>72208.67</v>
      </c>
      <c r="Q65" s="392">
        <f t="shared" si="3"/>
        <v>0</v>
      </c>
      <c r="R65" s="392">
        <f t="shared" si="4"/>
        <v>0</v>
      </c>
      <c r="S65" s="373">
        <v>64999.600000000006</v>
      </c>
      <c r="T65" s="374"/>
      <c r="U65" s="524">
        <f t="shared" si="9"/>
        <v>0.60000000000582077</v>
      </c>
      <c r="V65" s="520">
        <f t="shared" si="10"/>
        <v>64999</v>
      </c>
      <c r="W65" s="524">
        <f t="shared" si="11"/>
        <v>68440.604100635421</v>
      </c>
      <c r="X65" s="520">
        <f t="shared" si="12"/>
        <v>-3441.6041006354208</v>
      </c>
      <c r="Y65" s="525">
        <f t="shared" si="13"/>
        <v>5120.7991689540504</v>
      </c>
    </row>
    <row r="66" spans="3:38" x14ac:dyDescent="0.2">
      <c r="C66" s="387">
        <f t="shared" si="5"/>
        <v>42722</v>
      </c>
      <c r="D66" s="388">
        <f t="shared" si="6"/>
        <v>149288.64774193548</v>
      </c>
      <c r="E66" s="392">
        <f t="shared" si="7"/>
        <v>64139.71</v>
      </c>
      <c r="F66" s="428">
        <f t="shared" si="0"/>
        <v>0.92601787000000002</v>
      </c>
      <c r="G66" s="390">
        <f t="shared" si="1"/>
        <v>59.394500000000001</v>
      </c>
      <c r="H66" s="391">
        <f t="shared" si="2"/>
        <v>213488.67825980546</v>
      </c>
      <c r="I66" s="324">
        <v>64999</v>
      </c>
      <c r="J66" s="325"/>
      <c r="K66" s="325"/>
      <c r="L66" s="319">
        <v>64139.71</v>
      </c>
      <c r="M66" s="320"/>
      <c r="N66" s="320"/>
      <c r="O66" s="320"/>
      <c r="P66" s="392">
        <f t="shared" si="8"/>
        <v>64139.71</v>
      </c>
      <c r="Q66" s="392">
        <f t="shared" si="3"/>
        <v>0</v>
      </c>
      <c r="R66" s="392">
        <f t="shared" si="4"/>
        <v>0</v>
      </c>
      <c r="S66" s="373">
        <v>64999.600000000006</v>
      </c>
      <c r="T66" s="374"/>
      <c r="U66" s="524">
        <f t="shared" si="9"/>
        <v>0.60000000000582077</v>
      </c>
      <c r="V66" s="520">
        <f t="shared" si="10"/>
        <v>64999</v>
      </c>
      <c r="W66" s="524">
        <f t="shared" si="11"/>
        <v>60792.706737841407</v>
      </c>
      <c r="X66" s="520">
        <f t="shared" si="12"/>
        <v>4206.2932621585933</v>
      </c>
      <c r="Y66" s="525">
        <f t="shared" si="13"/>
        <v>9327.0924311126437</v>
      </c>
    </row>
    <row r="67" spans="3:38" x14ac:dyDescent="0.2">
      <c r="C67" s="387">
        <f t="shared" si="5"/>
        <v>42723</v>
      </c>
      <c r="D67" s="388">
        <f t="shared" si="6"/>
        <v>149288.64774193548</v>
      </c>
      <c r="E67" s="392">
        <f t="shared" si="7"/>
        <v>73288.56</v>
      </c>
      <c r="F67" s="428">
        <f t="shared" si="0"/>
        <v>0.92601787000000002</v>
      </c>
      <c r="G67" s="390">
        <f t="shared" si="1"/>
        <v>67.866500000000002</v>
      </c>
      <c r="H67" s="391">
        <f t="shared" si="2"/>
        <v>222646.00025980547</v>
      </c>
      <c r="I67" s="324">
        <v>64999</v>
      </c>
      <c r="J67" s="325"/>
      <c r="K67" s="325"/>
      <c r="L67" s="317">
        <v>73288.56</v>
      </c>
      <c r="M67" s="318"/>
      <c r="N67" s="318"/>
      <c r="O67" s="318"/>
      <c r="P67" s="392">
        <f t="shared" si="8"/>
        <v>73288.56</v>
      </c>
      <c r="Q67" s="392">
        <f t="shared" si="3"/>
        <v>0</v>
      </c>
      <c r="R67" s="392">
        <f t="shared" si="4"/>
        <v>0</v>
      </c>
      <c r="S67" s="373">
        <v>64999.600000000006</v>
      </c>
      <c r="T67" s="374"/>
      <c r="U67" s="524">
        <f t="shared" si="9"/>
        <v>0.60000000000582077</v>
      </c>
      <c r="V67" s="520">
        <f t="shared" si="10"/>
        <v>64999</v>
      </c>
      <c r="W67" s="524">
        <f t="shared" si="11"/>
        <v>69464.142187713252</v>
      </c>
      <c r="X67" s="520">
        <f t="shared" si="12"/>
        <v>-4465.1421877132525</v>
      </c>
      <c r="Y67" s="525">
        <f t="shared" si="13"/>
        <v>4861.9502433993912</v>
      </c>
    </row>
    <row r="68" spans="3:38" x14ac:dyDescent="0.2">
      <c r="C68" s="387">
        <f t="shared" si="5"/>
        <v>42724</v>
      </c>
      <c r="D68" s="388">
        <f t="shared" si="6"/>
        <v>149288.64774193548</v>
      </c>
      <c r="E68" s="392">
        <f t="shared" si="7"/>
        <v>71698.929999999993</v>
      </c>
      <c r="F68" s="428">
        <f t="shared" si="0"/>
        <v>0.92601787000000002</v>
      </c>
      <c r="G68" s="390">
        <f t="shared" si="1"/>
        <v>66.394499999999994</v>
      </c>
      <c r="H68" s="391">
        <f t="shared" si="2"/>
        <v>221054.89825980546</v>
      </c>
      <c r="I68" s="324">
        <v>64999</v>
      </c>
      <c r="J68" s="325"/>
      <c r="K68" s="325"/>
      <c r="L68" s="319">
        <v>71698.929999999993</v>
      </c>
      <c r="M68" s="320"/>
      <c r="N68" s="320"/>
      <c r="O68" s="320"/>
      <c r="P68" s="392">
        <f t="shared" si="8"/>
        <v>71698.929999999993</v>
      </c>
      <c r="Q68" s="392">
        <f t="shared" si="3"/>
        <v>0</v>
      </c>
      <c r="R68" s="392">
        <f t="shared" si="4"/>
        <v>0</v>
      </c>
      <c r="S68" s="373">
        <v>64999.600000000006</v>
      </c>
      <c r="T68" s="374"/>
      <c r="U68" s="524">
        <f t="shared" si="9"/>
        <v>0.60000000000582077</v>
      </c>
      <c r="V68" s="520">
        <f t="shared" si="10"/>
        <v>64999</v>
      </c>
      <c r="W68" s="524">
        <f t="shared" si="11"/>
        <v>67957.463869216415</v>
      </c>
      <c r="X68" s="520">
        <f t="shared" si="12"/>
        <v>-2958.4638692164153</v>
      </c>
      <c r="Y68" s="525">
        <f t="shared" si="13"/>
        <v>1903.4863741829759</v>
      </c>
    </row>
    <row r="69" spans="3:38" x14ac:dyDescent="0.2">
      <c r="C69" s="387">
        <f t="shared" si="5"/>
        <v>42725</v>
      </c>
      <c r="D69" s="388">
        <f t="shared" si="6"/>
        <v>149288.64774193548</v>
      </c>
      <c r="E69" s="392">
        <f t="shared" si="7"/>
        <v>68757.94</v>
      </c>
      <c r="F69" s="428">
        <f t="shared" si="0"/>
        <v>0.92601787000000002</v>
      </c>
      <c r="G69" s="390">
        <f t="shared" si="1"/>
        <v>63.671100000000003</v>
      </c>
      <c r="H69" s="391">
        <f t="shared" si="2"/>
        <v>218111.18485980548</v>
      </c>
      <c r="I69" s="324">
        <v>62000</v>
      </c>
      <c r="J69" s="325"/>
      <c r="K69" s="325"/>
      <c r="L69" s="317">
        <v>68757.94</v>
      </c>
      <c r="M69" s="318"/>
      <c r="N69" s="318"/>
      <c r="O69" s="318"/>
      <c r="P69" s="392">
        <f t="shared" si="8"/>
        <v>68757.94</v>
      </c>
      <c r="Q69" s="392">
        <f t="shared" si="3"/>
        <v>0</v>
      </c>
      <c r="R69" s="392">
        <f t="shared" si="4"/>
        <v>0</v>
      </c>
      <c r="S69" s="373">
        <v>62000.04</v>
      </c>
      <c r="T69" s="374"/>
      <c r="U69" s="524">
        <f t="shared" si="9"/>
        <v>4.0000000000873115E-2</v>
      </c>
      <c r="V69" s="520">
        <f t="shared" si="10"/>
        <v>62000</v>
      </c>
      <c r="W69" s="524">
        <f t="shared" si="11"/>
        <v>65169.943585932881</v>
      </c>
      <c r="X69" s="520">
        <f t="shared" si="12"/>
        <v>-3169.9435859328805</v>
      </c>
      <c r="Y69" s="525">
        <f t="shared" si="13"/>
        <v>-1266.4572117499047</v>
      </c>
    </row>
    <row r="70" spans="3:38" x14ac:dyDescent="0.2">
      <c r="C70" s="387">
        <f t="shared" si="5"/>
        <v>42726</v>
      </c>
      <c r="D70" s="388">
        <f t="shared" si="6"/>
        <v>149288.64774193548</v>
      </c>
      <c r="E70" s="392">
        <f t="shared" si="7"/>
        <v>69393.13</v>
      </c>
      <c r="F70" s="428">
        <f t="shared" si="0"/>
        <v>0.92601787000000002</v>
      </c>
      <c r="G70" s="390">
        <f t="shared" si="1"/>
        <v>64.259299999999996</v>
      </c>
      <c r="H70" s="391">
        <f t="shared" si="2"/>
        <v>218746.96305980548</v>
      </c>
      <c r="I70" s="324">
        <v>62000</v>
      </c>
      <c r="J70" s="325"/>
      <c r="K70" s="325"/>
      <c r="L70" s="319">
        <v>69393.13</v>
      </c>
      <c r="M70" s="320"/>
      <c r="N70" s="320"/>
      <c r="O70" s="320"/>
      <c r="P70" s="392">
        <f t="shared" si="8"/>
        <v>69393.13</v>
      </c>
      <c r="Q70" s="392">
        <f t="shared" si="3"/>
        <v>0</v>
      </c>
      <c r="R70" s="392">
        <f t="shared" si="4"/>
        <v>0</v>
      </c>
      <c r="S70" s="373">
        <v>62000.04</v>
      </c>
      <c r="T70" s="374"/>
      <c r="U70" s="524">
        <f t="shared" si="9"/>
        <v>4.0000000000873115E-2</v>
      </c>
      <c r="V70" s="520">
        <f t="shared" si="10"/>
        <v>62000</v>
      </c>
      <c r="W70" s="524">
        <f t="shared" si="11"/>
        <v>65771.987458485615</v>
      </c>
      <c r="X70" s="520">
        <f t="shared" si="12"/>
        <v>-3771.9874584856152</v>
      </c>
      <c r="Y70" s="525">
        <f t="shared" si="13"/>
        <v>-5038.4446702355199</v>
      </c>
    </row>
    <row r="71" spans="3:38" x14ac:dyDescent="0.2">
      <c r="C71" s="387">
        <f t="shared" si="5"/>
        <v>42727</v>
      </c>
      <c r="D71" s="388">
        <f t="shared" si="6"/>
        <v>149288.64774193548</v>
      </c>
      <c r="E71" s="392">
        <f t="shared" si="7"/>
        <v>71068.509999999995</v>
      </c>
      <c r="F71" s="428">
        <f t="shared" si="0"/>
        <v>0.92601787000000002</v>
      </c>
      <c r="G71" s="390">
        <f t="shared" si="1"/>
        <v>65.810699999999997</v>
      </c>
      <c r="H71" s="391">
        <f t="shared" si="2"/>
        <v>220423.89445980545</v>
      </c>
      <c r="I71" s="324">
        <v>64999</v>
      </c>
      <c r="J71" s="325"/>
      <c r="K71" s="325"/>
      <c r="L71" s="317">
        <v>71068.509999999995</v>
      </c>
      <c r="M71" s="318"/>
      <c r="N71" s="318"/>
      <c r="O71" s="318"/>
      <c r="P71" s="392">
        <f t="shared" si="8"/>
        <v>71068.509999999995</v>
      </c>
      <c r="Q71" s="392">
        <f t="shared" si="3"/>
        <v>0</v>
      </c>
      <c r="R71" s="392">
        <f t="shared" si="4"/>
        <v>0</v>
      </c>
      <c r="S71" s="373">
        <v>64999.600000000006</v>
      </c>
      <c r="T71" s="374"/>
      <c r="U71" s="524">
        <f t="shared" si="9"/>
        <v>0.60000000000582077</v>
      </c>
      <c r="V71" s="520">
        <f t="shared" si="10"/>
        <v>64999</v>
      </c>
      <c r="W71" s="524">
        <f t="shared" si="11"/>
        <v>67359.941083696031</v>
      </c>
      <c r="X71" s="520">
        <f t="shared" si="12"/>
        <v>-2360.9410836960305</v>
      </c>
      <c r="Y71" s="525">
        <f t="shared" si="13"/>
        <v>-7399.3857539315504</v>
      </c>
    </row>
    <row r="72" spans="3:38" x14ac:dyDescent="0.2">
      <c r="C72" s="387">
        <f t="shared" si="5"/>
        <v>42728</v>
      </c>
      <c r="D72" s="388">
        <f t="shared" si="6"/>
        <v>149288.64774193548</v>
      </c>
      <c r="E72" s="392">
        <f t="shared" si="7"/>
        <v>65796.490000000005</v>
      </c>
      <c r="F72" s="428">
        <f t="shared" si="0"/>
        <v>0.92601787000000002</v>
      </c>
      <c r="G72" s="390">
        <f t="shared" si="1"/>
        <v>60.928699999999999</v>
      </c>
      <c r="H72" s="391">
        <f t="shared" si="2"/>
        <v>215146.99245980548</v>
      </c>
      <c r="I72" s="324">
        <v>66999</v>
      </c>
      <c r="J72" s="325"/>
      <c r="K72" s="325"/>
      <c r="L72" s="319">
        <v>65796.490000000005</v>
      </c>
      <c r="M72" s="320"/>
      <c r="N72" s="320"/>
      <c r="O72" s="320"/>
      <c r="P72" s="392">
        <f t="shared" si="8"/>
        <v>65796.490000000005</v>
      </c>
      <c r="Q72" s="392">
        <f t="shared" si="3"/>
        <v>0</v>
      </c>
      <c r="R72" s="392">
        <f t="shared" si="4"/>
        <v>0</v>
      </c>
      <c r="S72" s="373">
        <v>66999.63</v>
      </c>
      <c r="T72" s="374"/>
      <c r="U72" s="524">
        <f t="shared" si="9"/>
        <v>0.63000000000465661</v>
      </c>
      <c r="V72" s="520">
        <f t="shared" si="10"/>
        <v>66999</v>
      </c>
      <c r="W72" s="524">
        <f t="shared" si="11"/>
        <v>62363.030967076636</v>
      </c>
      <c r="X72" s="520">
        <f t="shared" si="12"/>
        <v>4635.9690329233636</v>
      </c>
      <c r="Y72" s="525">
        <f t="shared" si="13"/>
        <v>-2763.4167210081869</v>
      </c>
    </row>
    <row r="73" spans="3:38" x14ac:dyDescent="0.2">
      <c r="C73" s="387">
        <f t="shared" si="5"/>
        <v>42729</v>
      </c>
      <c r="D73" s="388">
        <f t="shared" si="6"/>
        <v>149288.64774193548</v>
      </c>
      <c r="E73" s="392">
        <f t="shared" si="7"/>
        <v>63510.28</v>
      </c>
      <c r="F73" s="428">
        <f t="shared" si="0"/>
        <v>0.92601787000000002</v>
      </c>
      <c r="G73" s="390">
        <f t="shared" si="1"/>
        <v>58.811700000000002</v>
      </c>
      <c r="H73" s="391">
        <f t="shared" si="2"/>
        <v>212858.66545980546</v>
      </c>
      <c r="I73" s="324">
        <v>66999</v>
      </c>
      <c r="J73" s="325"/>
      <c r="K73" s="325"/>
      <c r="L73" s="317">
        <v>63510.28</v>
      </c>
      <c r="M73" s="318"/>
      <c r="N73" s="318"/>
      <c r="O73" s="318"/>
      <c r="P73" s="392">
        <f t="shared" si="8"/>
        <v>63510.28</v>
      </c>
      <c r="Q73" s="392">
        <f t="shared" si="3"/>
        <v>0</v>
      </c>
      <c r="R73" s="392">
        <f t="shared" si="4"/>
        <v>0</v>
      </c>
      <c r="S73" s="373">
        <v>66999.63</v>
      </c>
      <c r="T73" s="374"/>
      <c r="U73" s="524">
        <f t="shared" si="9"/>
        <v>0.63000000000465661</v>
      </c>
      <c r="V73" s="520">
        <f t="shared" si="10"/>
        <v>66999</v>
      </c>
      <c r="W73" s="524">
        <f t="shared" si="11"/>
        <v>60196.122291139051</v>
      </c>
      <c r="X73" s="520">
        <f t="shared" si="12"/>
        <v>6802.8777088609495</v>
      </c>
      <c r="Y73" s="525">
        <f t="shared" si="13"/>
        <v>4039.4609878527626</v>
      </c>
    </row>
    <row r="74" spans="3:38" x14ac:dyDescent="0.2">
      <c r="C74" s="387">
        <f t="shared" si="5"/>
        <v>42730</v>
      </c>
      <c r="D74" s="388">
        <f t="shared" si="6"/>
        <v>149288.64774193548</v>
      </c>
      <c r="E74" s="392">
        <f t="shared" si="7"/>
        <v>68905.567999999999</v>
      </c>
      <c r="F74" s="428">
        <f t="shared" si="0"/>
        <v>0.92601787000000002</v>
      </c>
      <c r="G74" s="390">
        <f t="shared" si="1"/>
        <v>63.8078</v>
      </c>
      <c r="H74" s="391">
        <f t="shared" si="2"/>
        <v>218258.94955980548</v>
      </c>
      <c r="I74" s="324">
        <v>66999</v>
      </c>
      <c r="J74" s="325"/>
      <c r="K74" s="325"/>
      <c r="L74" s="319">
        <v>68905.567999999999</v>
      </c>
      <c r="M74" s="320"/>
      <c r="N74" s="320"/>
      <c r="O74" s="320"/>
      <c r="P74" s="392">
        <f t="shared" si="8"/>
        <v>68905.567999999999</v>
      </c>
      <c r="Q74" s="392">
        <f t="shared" si="3"/>
        <v>0</v>
      </c>
      <c r="R74" s="392">
        <f t="shared" si="4"/>
        <v>0</v>
      </c>
      <c r="S74" s="373">
        <v>66999.63</v>
      </c>
      <c r="T74" s="374"/>
      <c r="U74" s="524">
        <f t="shared" si="9"/>
        <v>0.63000000000465661</v>
      </c>
      <c r="V74" s="520">
        <f t="shared" si="10"/>
        <v>66999</v>
      </c>
      <c r="W74" s="524">
        <f t="shared" si="11"/>
        <v>65309.867912224567</v>
      </c>
      <c r="X74" s="520">
        <f t="shared" si="12"/>
        <v>1689.1320877754333</v>
      </c>
      <c r="Y74" s="525">
        <f t="shared" si="13"/>
        <v>5728.5930756281959</v>
      </c>
    </row>
    <row r="75" spans="3:38" x14ac:dyDescent="0.2">
      <c r="C75" s="387">
        <f t="shared" si="5"/>
        <v>42731</v>
      </c>
      <c r="D75" s="388">
        <f t="shared" si="6"/>
        <v>149288.64774193548</v>
      </c>
      <c r="E75" s="392">
        <f t="shared" si="7"/>
        <v>71869.33</v>
      </c>
      <c r="F75" s="428">
        <f t="shared" si="0"/>
        <v>0.92601787000000002</v>
      </c>
      <c r="G75" s="390">
        <f t="shared" si="1"/>
        <v>66.552300000000002</v>
      </c>
      <c r="H75" s="391">
        <f t="shared" si="2"/>
        <v>221225.45605980547</v>
      </c>
      <c r="I75" s="324">
        <v>66999</v>
      </c>
      <c r="J75" s="325"/>
      <c r="K75" s="325"/>
      <c r="L75" s="317">
        <v>71869.33</v>
      </c>
      <c r="M75" s="318"/>
      <c r="N75" s="318"/>
      <c r="O75" s="318"/>
      <c r="P75" s="392">
        <f t="shared" si="8"/>
        <v>71869.33</v>
      </c>
      <c r="Q75" s="392">
        <f t="shared" si="3"/>
        <v>0</v>
      </c>
      <c r="R75" s="392">
        <f t="shared" si="4"/>
        <v>0</v>
      </c>
      <c r="S75" s="373">
        <v>66999.63</v>
      </c>
      <c r="T75" s="374"/>
      <c r="U75" s="524">
        <f t="shared" si="9"/>
        <v>0.63000000000465661</v>
      </c>
      <c r="V75" s="520">
        <f t="shared" si="10"/>
        <v>66999</v>
      </c>
      <c r="W75" s="524">
        <f t="shared" si="11"/>
        <v>68118.971883956867</v>
      </c>
      <c r="X75" s="520">
        <f t="shared" si="12"/>
        <v>-1119.9718839568668</v>
      </c>
      <c r="Y75" s="525">
        <f t="shared" si="13"/>
        <v>4608.6211916713291</v>
      </c>
    </row>
    <row r="76" spans="3:38" x14ac:dyDescent="0.2">
      <c r="C76" s="387">
        <f t="shared" si="5"/>
        <v>42732</v>
      </c>
      <c r="D76" s="388">
        <f t="shared" si="6"/>
        <v>149288.64774193548</v>
      </c>
      <c r="E76" s="392">
        <f t="shared" si="7"/>
        <v>69025.38</v>
      </c>
      <c r="F76" s="428">
        <f t="shared" si="0"/>
        <v>0.92601787000000002</v>
      </c>
      <c r="G76" s="390">
        <f t="shared" si="1"/>
        <v>63.918700000000001</v>
      </c>
      <c r="H76" s="391">
        <f t="shared" si="2"/>
        <v>218378.87245980548</v>
      </c>
      <c r="I76" s="324">
        <v>66999</v>
      </c>
      <c r="J76" s="325"/>
      <c r="K76" s="325"/>
      <c r="L76" s="319">
        <v>69025.38</v>
      </c>
      <c r="M76" s="320"/>
      <c r="N76" s="320"/>
      <c r="O76" s="320"/>
      <c r="P76" s="392">
        <f t="shared" si="8"/>
        <v>69025.38</v>
      </c>
      <c r="Q76" s="392">
        <f t="shared" si="3"/>
        <v>0</v>
      </c>
      <c r="R76" s="392">
        <f t="shared" si="4"/>
        <v>0</v>
      </c>
      <c r="S76" s="373">
        <v>66999.63</v>
      </c>
      <c r="T76" s="374"/>
      <c r="U76" s="524">
        <f t="shared" si="9"/>
        <v>0.63000000000465661</v>
      </c>
      <c r="V76" s="520">
        <f t="shared" si="10"/>
        <v>66999</v>
      </c>
      <c r="W76" s="524">
        <f t="shared" si="11"/>
        <v>65423.427761180457</v>
      </c>
      <c r="X76" s="520">
        <f t="shared" si="12"/>
        <v>1575.5722388195427</v>
      </c>
      <c r="Y76" s="525">
        <f t="shared" si="13"/>
        <v>6184.1934304908718</v>
      </c>
    </row>
    <row r="77" spans="3:38" x14ac:dyDescent="0.2">
      <c r="C77" s="387">
        <f t="shared" si="5"/>
        <v>42733</v>
      </c>
      <c r="D77" s="388">
        <f t="shared" si="6"/>
        <v>149288.64774193548</v>
      </c>
      <c r="E77" s="392">
        <f t="shared" si="7"/>
        <v>69322.92</v>
      </c>
      <c r="F77" s="428">
        <f t="shared" si="0"/>
        <v>0.92601787000000002</v>
      </c>
      <c r="G77" s="390">
        <f t="shared" si="1"/>
        <v>64.194299999999998</v>
      </c>
      <c r="H77" s="391">
        <f t="shared" si="2"/>
        <v>218676.68805980548</v>
      </c>
      <c r="I77" s="324">
        <v>66999</v>
      </c>
      <c r="J77" s="325"/>
      <c r="K77" s="325"/>
      <c r="L77" s="317">
        <v>69322.92</v>
      </c>
      <c r="M77" s="318"/>
      <c r="N77" s="318"/>
      <c r="O77" s="318"/>
      <c r="P77" s="392">
        <f t="shared" si="8"/>
        <v>69322.92</v>
      </c>
      <c r="Q77" s="392">
        <f t="shared" si="3"/>
        <v>0</v>
      </c>
      <c r="R77" s="392">
        <f t="shared" si="4"/>
        <v>0</v>
      </c>
      <c r="S77" s="373">
        <v>66999.63</v>
      </c>
      <c r="T77" s="374"/>
      <c r="U77" s="524">
        <f t="shared" si="9"/>
        <v>0.63000000000465661</v>
      </c>
      <c r="V77" s="520">
        <f t="shared" si="10"/>
        <v>66999</v>
      </c>
      <c r="W77" s="524">
        <f t="shared" si="11"/>
        <v>65705.441227764211</v>
      </c>
      <c r="X77" s="520">
        <f t="shared" si="12"/>
        <v>1293.5587722357886</v>
      </c>
      <c r="Y77" s="525">
        <f t="shared" si="13"/>
        <v>7477.7522027266605</v>
      </c>
    </row>
    <row r="78" spans="3:38" x14ac:dyDescent="0.2">
      <c r="C78" s="387">
        <f t="shared" si="5"/>
        <v>42734</v>
      </c>
      <c r="D78" s="388">
        <f t="shared" si="6"/>
        <v>149288.64774193548</v>
      </c>
      <c r="E78" s="392">
        <f t="shared" si="7"/>
        <v>67812.91</v>
      </c>
      <c r="F78" s="428">
        <f t="shared" si="0"/>
        <v>0.92601787000000002</v>
      </c>
      <c r="G78" s="390">
        <f t="shared" si="1"/>
        <v>62.795999999999999</v>
      </c>
      <c r="H78" s="391">
        <f t="shared" si="2"/>
        <v>217165.27975980547</v>
      </c>
      <c r="I78" s="324">
        <v>66999</v>
      </c>
      <c r="J78" s="325"/>
      <c r="K78" s="325"/>
      <c r="L78" s="319">
        <v>67812.91</v>
      </c>
      <c r="M78" s="320"/>
      <c r="N78" s="320"/>
      <c r="O78" s="320"/>
      <c r="P78" s="392">
        <f t="shared" si="8"/>
        <v>67812.91</v>
      </c>
      <c r="Q78" s="392">
        <f t="shared" si="3"/>
        <v>0</v>
      </c>
      <c r="R78" s="392">
        <f t="shared" si="4"/>
        <v>0</v>
      </c>
      <c r="S78" s="373">
        <v>66999.63</v>
      </c>
      <c r="T78" s="374"/>
      <c r="U78" s="524">
        <f t="shared" si="9"/>
        <v>0.63000000000465661</v>
      </c>
      <c r="V78" s="520">
        <f t="shared" si="10"/>
        <v>66999</v>
      </c>
      <c r="W78" s="524">
        <f t="shared" si="11"/>
        <v>64274.228097845044</v>
      </c>
      <c r="X78" s="520">
        <f t="shared" si="12"/>
        <v>2724.7719021549565</v>
      </c>
      <c r="Y78" s="525">
        <f t="shared" si="13"/>
        <v>10202.524104881617</v>
      </c>
    </row>
    <row r="79" spans="3:38" ht="15" thickBot="1" x14ac:dyDescent="0.25">
      <c r="C79" s="393">
        <f t="shared" si="5"/>
        <v>42735</v>
      </c>
      <c r="D79" s="394">
        <f t="shared" si="6"/>
        <v>149288.64774193548</v>
      </c>
      <c r="E79" s="395">
        <f t="shared" si="7"/>
        <v>69674.92</v>
      </c>
      <c r="F79" s="429">
        <f t="shared" si="0"/>
        <v>0.92601787000000002</v>
      </c>
      <c r="G79" s="396">
        <f t="shared" si="1"/>
        <v>64.520200000000003</v>
      </c>
      <c r="H79" s="397">
        <f t="shared" si="2"/>
        <v>219029.01395980548</v>
      </c>
      <c r="I79" s="326">
        <v>66999</v>
      </c>
      <c r="J79" s="327"/>
      <c r="K79" s="327"/>
      <c r="L79" s="321">
        <v>69674.92</v>
      </c>
      <c r="M79" s="322"/>
      <c r="N79" s="322"/>
      <c r="O79" s="322"/>
      <c r="P79" s="395">
        <f t="shared" si="8"/>
        <v>69674.92</v>
      </c>
      <c r="Q79" s="395">
        <f t="shared" si="3"/>
        <v>0</v>
      </c>
      <c r="R79" s="395">
        <f t="shared" si="4"/>
        <v>0</v>
      </c>
      <c r="S79" s="375">
        <v>66999.63</v>
      </c>
      <c r="T79" s="376"/>
      <c r="U79" s="521">
        <f t="shared" si="9"/>
        <v>0.63000000000465661</v>
      </c>
      <c r="V79" s="528">
        <f t="shared" si="10"/>
        <v>66999</v>
      </c>
      <c r="W79" s="521">
        <f t="shared" si="11"/>
        <v>66039.072807509743</v>
      </c>
      <c r="X79" s="528">
        <f t="shared" si="12"/>
        <v>959.92719249025686</v>
      </c>
      <c r="Y79" s="529">
        <f t="shared" si="13"/>
        <v>11162.451297371874</v>
      </c>
    </row>
    <row r="80" spans="3:38" ht="15" thickBot="1" x14ac:dyDescent="0.25">
      <c r="C80" s="398"/>
      <c r="D80" s="399">
        <f>SUM(D49:D79)</f>
        <v>4627948.0800000019</v>
      </c>
      <c r="E80" s="400">
        <f>SUM(E49:E79)</f>
        <v>2142632.5699999998</v>
      </c>
      <c r="F80" s="400"/>
      <c r="G80" s="401">
        <f>SUM(G49:G79)</f>
        <v>1984.1162000000002</v>
      </c>
      <c r="H80" s="399">
        <f>SUM(H49:H79)</f>
        <v>6772593.4727539709</v>
      </c>
      <c r="I80" s="432">
        <f>SUM(I49:I79)</f>
        <v>2041986</v>
      </c>
      <c r="J80" s="432">
        <f t="shared" ref="J80:R80" si="14">SUM(J49:J79)</f>
        <v>0</v>
      </c>
      <c r="K80" s="432">
        <f t="shared" si="14"/>
        <v>0</v>
      </c>
      <c r="L80" s="432">
        <f t="shared" si="14"/>
        <v>2142632.5699999998</v>
      </c>
      <c r="M80" s="432">
        <f t="shared" si="14"/>
        <v>0</v>
      </c>
      <c r="N80" s="432">
        <f t="shared" si="14"/>
        <v>0</v>
      </c>
      <c r="O80" s="432">
        <f t="shared" si="14"/>
        <v>0</v>
      </c>
      <c r="P80" s="432">
        <f t="shared" si="14"/>
        <v>2142632.5699999998</v>
      </c>
      <c r="Q80" s="432">
        <f t="shared" si="14"/>
        <v>0</v>
      </c>
      <c r="R80" s="432">
        <f t="shared" si="14"/>
        <v>0</v>
      </c>
      <c r="U80" s="530"/>
      <c r="V80" s="328">
        <f>SUM(V49:V79)</f>
        <v>2041986</v>
      </c>
      <c r="W80" s="328">
        <f>SUM(W49:W79)</f>
        <v>2030823.5487026279</v>
      </c>
      <c r="X80" s="328">
        <f>SUM(X49:X79)</f>
        <v>11162.451297371874</v>
      </c>
      <c r="Y80" s="323">
        <f>Y79</f>
        <v>11162.451297371874</v>
      </c>
      <c r="AL80" s="361">
        <f>Y79</f>
        <v>11162.451297371874</v>
      </c>
    </row>
    <row r="81" spans="2:14" ht="15" customHeight="1" x14ac:dyDescent="0.2">
      <c r="B81"/>
      <c r="C81"/>
      <c r="D81"/>
      <c r="E81"/>
      <c r="F81"/>
      <c r="G81"/>
      <c r="H81"/>
      <c r="I81"/>
      <c r="J81"/>
      <c r="K81"/>
      <c r="L81"/>
      <c r="N81" s="2"/>
    </row>
  </sheetData>
  <mergeCells count="12">
    <mergeCell ref="C10:D10"/>
    <mergeCell ref="C11:D11"/>
    <mergeCell ref="C3:M4"/>
    <mergeCell ref="C5:M5"/>
    <mergeCell ref="C6:M6"/>
    <mergeCell ref="G7:H7"/>
    <mergeCell ref="C9:D9"/>
    <mergeCell ref="D23:E23"/>
    <mergeCell ref="D24:E24"/>
    <mergeCell ref="C28:F28"/>
    <mergeCell ref="C39:F39"/>
    <mergeCell ref="S47:Y47"/>
  </mergeCells>
  <conditionalFormatting sqref="L49:O79">
    <cfRule type="cellIs" dxfId="126" priority="1" stopIfTrue="1" operator="equal">
      <formula>0</formula>
    </cfRule>
  </conditionalFormatting>
  <printOptions horizontalCentered="1"/>
  <pageMargins left="0" right="0.70866141732283472" top="0.35433070866141736" bottom="0.74803149606299213" header="0.31496062992125984" footer="0.31496062992125984"/>
  <pageSetup scale="80" orientation="landscape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81"/>
  <sheetViews>
    <sheetView workbookViewId="0"/>
  </sheetViews>
  <sheetFormatPr baseColWidth="10" defaultColWidth="11" defaultRowHeight="14.25" x14ac:dyDescent="0.2"/>
  <cols>
    <col min="1" max="1" width="11" style="2"/>
    <col min="2" max="2" width="3.875" style="2" bestFit="1" customWidth="1"/>
    <col min="3" max="3" width="16.125" style="2" customWidth="1"/>
    <col min="4" max="4" width="12.375" style="2" bestFit="1" customWidth="1"/>
    <col min="5" max="5" width="10.875" style="2" bestFit="1" customWidth="1"/>
    <col min="6" max="6" width="17.125" style="2" bestFit="1" customWidth="1"/>
    <col min="7" max="7" width="13.125" style="2" bestFit="1" customWidth="1"/>
    <col min="8" max="8" width="12.125" style="2" bestFit="1" customWidth="1"/>
    <col min="9" max="9" width="11.125" style="2" bestFit="1" customWidth="1"/>
    <col min="10" max="10" width="11.875" style="2" bestFit="1" customWidth="1"/>
    <col min="11" max="11" width="11.625" style="2" bestFit="1" customWidth="1"/>
    <col min="12" max="12" width="12.125" style="2" customWidth="1"/>
    <col min="13" max="13" width="12.625" style="2" bestFit="1" customWidth="1"/>
    <col min="14" max="14" width="9" style="1" customWidth="1"/>
    <col min="15" max="15" width="13.5" style="2" bestFit="1" customWidth="1"/>
    <col min="16" max="16" width="11" style="2"/>
    <col min="17" max="17" width="13.125" style="2" bestFit="1" customWidth="1"/>
    <col min="18" max="25" width="11" style="2"/>
    <col min="26" max="32" width="10.875" customWidth="1"/>
    <col min="33" max="16384" width="11" style="2"/>
  </cols>
  <sheetData>
    <row r="1" spans="1:25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O1" s="1"/>
      <c r="P1" s="1"/>
      <c r="Q1" s="1"/>
      <c r="R1" s="1"/>
      <c r="S1" s="1"/>
      <c r="T1" s="1"/>
      <c r="U1" s="1"/>
    </row>
    <row r="2" spans="1:25" x14ac:dyDescent="0.2">
      <c r="A2" s="1"/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"/>
      <c r="P2" s="1"/>
      <c r="Q2" s="1"/>
      <c r="R2" s="1"/>
      <c r="S2" s="1"/>
      <c r="T2" s="1"/>
      <c r="U2" s="1"/>
    </row>
    <row r="3" spans="1:25" ht="15" customHeight="1" x14ac:dyDescent="0.2">
      <c r="A3" s="1"/>
      <c r="B3" s="1"/>
      <c r="C3" s="2254" t="s">
        <v>0</v>
      </c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  <c r="O3" s="1"/>
      <c r="P3" s="1"/>
      <c r="Q3" s="1"/>
      <c r="R3" s="1"/>
      <c r="S3" s="1"/>
      <c r="T3" s="1"/>
      <c r="U3" s="1"/>
    </row>
    <row r="4" spans="1:25" ht="15" customHeight="1" x14ac:dyDescent="0.2">
      <c r="A4" s="1"/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  <c r="O4" s="1"/>
      <c r="P4" s="1"/>
      <c r="Q4" s="1"/>
      <c r="R4" s="1"/>
      <c r="S4" s="1"/>
      <c r="T4" s="1"/>
      <c r="U4" s="1"/>
    </row>
    <row r="5" spans="1:25" x14ac:dyDescent="0.2">
      <c r="A5" s="1"/>
      <c r="B5" s="1"/>
      <c r="C5" s="2257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  <c r="O5" s="1"/>
      <c r="P5" s="1"/>
      <c r="Q5" s="1"/>
      <c r="R5" s="1"/>
      <c r="S5" s="1"/>
      <c r="T5" s="1"/>
      <c r="U5" s="1"/>
    </row>
    <row r="6" spans="1:25" ht="27.95" customHeight="1" x14ac:dyDescent="0.2">
      <c r="A6" s="1"/>
      <c r="B6" s="1"/>
      <c r="C6" s="2254" t="s">
        <v>217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  <c r="O6" s="1"/>
      <c r="P6" s="1"/>
      <c r="Q6" s="1"/>
      <c r="R6" s="1"/>
      <c r="S6" s="1"/>
      <c r="T6" s="1"/>
      <c r="U6" s="1"/>
    </row>
    <row r="7" spans="1:25" x14ac:dyDescent="0.2">
      <c r="A7" s="1"/>
      <c r="B7" s="1"/>
      <c r="C7" s="582"/>
      <c r="D7" s="582"/>
      <c r="E7" s="582"/>
      <c r="F7" s="582"/>
      <c r="G7" s="2271">
        <v>42736</v>
      </c>
      <c r="H7" s="2257"/>
      <c r="I7" s="582"/>
      <c r="J7" s="582"/>
      <c r="K7" s="582"/>
      <c r="L7" s="582"/>
      <c r="M7" s="582"/>
      <c r="N7" s="18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x14ac:dyDescent="0.2">
      <c r="A8" s="1"/>
      <c r="B8" s="1"/>
      <c r="C8" s="582"/>
      <c r="D8" s="582"/>
      <c r="E8" s="582"/>
      <c r="F8" s="582"/>
      <c r="G8" s="582"/>
      <c r="H8" s="582"/>
      <c r="I8" s="582"/>
      <c r="J8" s="582"/>
      <c r="K8" s="582"/>
      <c r="L8" s="582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25.5" x14ac:dyDescent="0.2">
      <c r="A9" s="1"/>
      <c r="B9" s="1"/>
      <c r="C9" s="2272" t="s">
        <v>6</v>
      </c>
      <c r="D9" s="2272"/>
      <c r="E9" s="540" t="s">
        <v>94</v>
      </c>
      <c r="F9" s="540" t="s">
        <v>126</v>
      </c>
      <c r="G9" s="410" t="s">
        <v>133</v>
      </c>
      <c r="H9" s="540" t="s">
        <v>127</v>
      </c>
      <c r="I9" s="540" t="s">
        <v>128</v>
      </c>
      <c r="J9" s="539"/>
      <c r="K9" s="539"/>
      <c r="L9" s="539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x14ac:dyDescent="0.2">
      <c r="A10" s="1"/>
      <c r="B10" s="1"/>
      <c r="C10" s="2270" t="s">
        <v>131</v>
      </c>
      <c r="D10" s="2270"/>
      <c r="E10" s="433">
        <f>IF(C15=0,D15,C15)</f>
        <v>4659430.72</v>
      </c>
      <c r="F10" s="407">
        <f>E10*0.16</f>
        <v>745508.91519999993</v>
      </c>
      <c r="G10" s="407">
        <f>E10+F10</f>
        <v>5404939.6351999994</v>
      </c>
      <c r="H10" s="511" t="s">
        <v>204</v>
      </c>
      <c r="I10" s="543">
        <v>21</v>
      </c>
      <c r="J10" s="539"/>
      <c r="K10" s="539"/>
      <c r="L10" s="539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x14ac:dyDescent="0.2">
      <c r="A11" s="1"/>
      <c r="B11" s="1"/>
      <c r="C11" s="2270" t="s">
        <v>132</v>
      </c>
      <c r="D11" s="2270"/>
      <c r="E11" s="433">
        <f>IF(C16=0,D16,C16)</f>
        <v>1893.71</v>
      </c>
      <c r="F11" s="407">
        <f>E11*0.16</f>
        <v>302.99360000000001</v>
      </c>
      <c r="G11" s="407">
        <f>E11+F11</f>
        <v>2196.7035999999998</v>
      </c>
      <c r="H11" s="511" t="s">
        <v>204</v>
      </c>
      <c r="I11" s="543">
        <v>21</v>
      </c>
      <c r="J11" s="539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x14ac:dyDescent="0.2">
      <c r="A12" s="1"/>
      <c r="B12" s="1"/>
      <c r="C12" s="539"/>
      <c r="D12" s="539"/>
      <c r="E12" s="539"/>
      <c r="F12" s="539"/>
      <c r="G12" s="539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ht="15" thickBot="1" x14ac:dyDescent="0.25">
      <c r="A13" s="1"/>
      <c r="B13" s="1"/>
      <c r="C13" s="539"/>
      <c r="D13" s="539"/>
      <c r="E13" s="539"/>
      <c r="F13" s="539"/>
      <c r="G13" s="539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x14ac:dyDescent="0.2">
      <c r="A14" s="1"/>
      <c r="B14" s="1"/>
      <c r="C14" s="440" t="s">
        <v>155</v>
      </c>
      <c r="D14" s="441" t="s">
        <v>156</v>
      </c>
      <c r="E14" s="442" t="s">
        <v>112</v>
      </c>
      <c r="F14" s="539"/>
      <c r="G14" s="539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x14ac:dyDescent="0.2">
      <c r="A15" s="1"/>
      <c r="B15" s="1"/>
      <c r="C15" s="443">
        <v>4659430.72</v>
      </c>
      <c r="D15" s="444">
        <f>D80</f>
        <v>4659430.72</v>
      </c>
      <c r="E15" s="445">
        <f>C15-D15</f>
        <v>0</v>
      </c>
      <c r="F15" s="539"/>
      <c r="G15" s="539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ht="15" thickBot="1" x14ac:dyDescent="0.25">
      <c r="A16" s="1"/>
      <c r="B16" s="1"/>
      <c r="C16" s="446">
        <v>1893.71</v>
      </c>
      <c r="D16" s="447">
        <f>ROUND(G80,2)</f>
        <v>1893.72</v>
      </c>
      <c r="E16" s="448">
        <f>C16-D16</f>
        <v>-9.9999999999909051E-3</v>
      </c>
      <c r="F16" s="539"/>
      <c r="G16" s="539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x14ac:dyDescent="0.2">
      <c r="A17" s="1"/>
      <c r="B17" s="1"/>
      <c r="C17" s="539"/>
      <c r="D17" s="539"/>
      <c r="E17" s="539"/>
      <c r="F17" s="539"/>
      <c r="G17" s="539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x14ac:dyDescent="0.2">
      <c r="A18" s="1"/>
      <c r="B18" s="1"/>
      <c r="C18" s="539"/>
      <c r="D18" s="539"/>
      <c r="E18" s="539"/>
      <c r="F18" s="539"/>
      <c r="G18" s="539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x14ac:dyDescent="0.2">
      <c r="A19" s="1"/>
      <c r="B19" s="1"/>
      <c r="C19" s="539"/>
      <c r="D19" s="539"/>
      <c r="E19" s="539"/>
      <c r="F19" s="539"/>
      <c r="G19" s="539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x14ac:dyDescent="0.2">
      <c r="A20" s="1"/>
      <c r="B20" s="1"/>
      <c r="C20" s="539"/>
      <c r="D20" s="539"/>
      <c r="E20" s="539"/>
      <c r="F20" s="539"/>
      <c r="G20" s="539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x14ac:dyDescent="0.2">
      <c r="A21" s="1"/>
      <c r="B21" s="1"/>
      <c r="C21" s="539"/>
      <c r="D21" s="539"/>
      <c r="E21" s="539"/>
      <c r="F21" s="539"/>
      <c r="G21" s="539"/>
      <c r="H21" s="1"/>
      <c r="I21" s="1"/>
      <c r="J21" s="1"/>
      <c r="K21" s="1"/>
      <c r="L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ht="15" thickBot="1" x14ac:dyDescent="0.25">
      <c r="A22" s="1"/>
      <c r="B22" s="1"/>
      <c r="C22" s="419" t="s">
        <v>137</v>
      </c>
      <c r="D22" s="539" t="s">
        <v>138</v>
      </c>
      <c r="E22" s="539"/>
      <c r="F22" s="539" t="s">
        <v>139</v>
      </c>
      <c r="G22" s="539" t="s">
        <v>157</v>
      </c>
      <c r="H22" s="539" t="s">
        <v>143</v>
      </c>
      <c r="I22" s="539" t="s">
        <v>142</v>
      </c>
      <c r="J22" s="539" t="s">
        <v>141</v>
      </c>
      <c r="K22" s="539" t="s">
        <v>140</v>
      </c>
      <c r="L22" s="539" t="s">
        <v>144</v>
      </c>
      <c r="M22" s="539" t="s">
        <v>146</v>
      </c>
      <c r="N22" s="539"/>
      <c r="O22" s="539"/>
      <c r="P22" s="539"/>
      <c r="Q22" s="1"/>
      <c r="R22" s="1"/>
      <c r="S22" s="1"/>
      <c r="T22" s="1"/>
      <c r="U22" s="1"/>
      <c r="V22" s="1"/>
      <c r="W22" s="1"/>
      <c r="X22" s="1"/>
      <c r="Y22" s="1"/>
    </row>
    <row r="23" spans="1:25" ht="36.75" customHeight="1" x14ac:dyDescent="0.2">
      <c r="A23" s="1"/>
      <c r="B23" s="1"/>
      <c r="C23" s="402" t="s">
        <v>134</v>
      </c>
      <c r="D23" s="2261" t="s">
        <v>135</v>
      </c>
      <c r="E23" s="2262"/>
      <c r="F23" s="541" t="s">
        <v>136</v>
      </c>
      <c r="G23" s="461" t="s">
        <v>153</v>
      </c>
      <c r="H23" s="420" t="s">
        <v>129</v>
      </c>
      <c r="I23" s="403" t="s">
        <v>130</v>
      </c>
      <c r="J23" s="422"/>
      <c r="K23" s="422"/>
      <c r="L23" s="422"/>
      <c r="M23" s="404" t="s">
        <v>158</v>
      </c>
      <c r="N23" s="539"/>
      <c r="O23" s="539"/>
      <c r="P23" s="539"/>
      <c r="Q23" s="539"/>
      <c r="R23" s="539"/>
      <c r="S23" s="539"/>
      <c r="T23" s="539"/>
      <c r="U23" s="1"/>
      <c r="V23" s="1"/>
      <c r="W23" s="1"/>
      <c r="X23" s="1"/>
      <c r="Y23" s="1"/>
    </row>
    <row r="24" spans="1:25" x14ac:dyDescent="0.2">
      <c r="A24" s="1"/>
      <c r="B24" s="1"/>
      <c r="C24" s="405">
        <v>850</v>
      </c>
      <c r="D24" s="2263">
        <v>850</v>
      </c>
      <c r="E24" s="2264"/>
      <c r="F24" s="418">
        <v>31482640</v>
      </c>
      <c r="G24" s="462">
        <v>31</v>
      </c>
      <c r="H24" s="460">
        <f>VLOOKUP(C47,Tarifas!D4:H303,3)</f>
        <v>0.14799999999999999</v>
      </c>
      <c r="I24" s="424">
        <f>VLOOKUP(C47,Tarifas!D4:H303,5)</f>
        <v>1E-3</v>
      </c>
      <c r="J24" s="421">
        <v>188.3</v>
      </c>
      <c r="K24" s="421">
        <v>201.4</v>
      </c>
      <c r="L24" s="421">
        <f>I11</f>
        <v>21</v>
      </c>
      <c r="M24" s="431">
        <f>E80</f>
        <v>2025460.3972259997</v>
      </c>
      <c r="N24" s="430" t="s">
        <v>62</v>
      </c>
      <c r="O24" s="539"/>
      <c r="P24" s="539"/>
      <c r="Q24" s="539"/>
      <c r="R24" s="539"/>
      <c r="S24" s="539"/>
      <c r="T24" s="539"/>
      <c r="U24" s="1"/>
      <c r="V24" s="1"/>
      <c r="W24" s="1"/>
      <c r="X24" s="1"/>
      <c r="Y24" s="1"/>
    </row>
    <row r="25" spans="1:25" x14ac:dyDescent="0.2">
      <c r="A25" s="1"/>
      <c r="B25" s="1"/>
      <c r="C25" s="539"/>
      <c r="D25" s="539"/>
      <c r="E25" s="539"/>
      <c r="F25" s="539"/>
      <c r="G25" s="539"/>
      <c r="H25" s="539"/>
      <c r="I25" s="539"/>
      <c r="J25" s="539"/>
      <c r="K25" s="539"/>
      <c r="L25" s="539"/>
      <c r="M25" s="539"/>
      <c r="N25" s="539"/>
      <c r="O25" s="539"/>
      <c r="P25" s="539"/>
      <c r="Q25" s="539"/>
      <c r="R25" s="539"/>
      <c r="S25" s="1"/>
      <c r="T25" s="1"/>
      <c r="U25" s="1"/>
      <c r="V25" s="1"/>
      <c r="W25" s="1"/>
      <c r="X25" s="1"/>
      <c r="Y25" s="1"/>
    </row>
    <row r="26" spans="1:25" x14ac:dyDescent="0.2">
      <c r="A26" s="1"/>
      <c r="B26" s="1"/>
      <c r="C26" s="539"/>
      <c r="D26" s="539"/>
      <c r="E26" s="539"/>
      <c r="F26" s="539"/>
      <c r="G26" s="539"/>
      <c r="H26" s="539"/>
      <c r="I26" s="539"/>
      <c r="J26" s="539"/>
      <c r="K26" s="539"/>
      <c r="L26" s="539"/>
      <c r="M26" s="539"/>
      <c r="N26" s="539"/>
      <c r="O26" s="539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x14ac:dyDescent="0.2">
      <c r="A27" s="1"/>
      <c r="B27" s="1"/>
      <c r="C27" s="539"/>
      <c r="D27" s="539"/>
      <c r="E27" s="539"/>
      <c r="F27" s="539"/>
      <c r="G27" s="539"/>
      <c r="H27" s="539"/>
      <c r="I27" s="539"/>
      <c r="J27" s="539"/>
      <c r="K27" s="539"/>
      <c r="L27" s="539"/>
      <c r="M27" s="539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ht="15" thickBot="1" x14ac:dyDescent="0.25">
      <c r="A28" s="1"/>
      <c r="B28" s="1"/>
      <c r="C28" s="2265" t="s">
        <v>86</v>
      </c>
      <c r="D28" s="2265"/>
      <c r="E28" s="2265"/>
      <c r="F28" s="2265"/>
      <c r="G28" s="542"/>
      <c r="H28" s="334"/>
      <c r="I28" s="334"/>
      <c r="J28" s="334"/>
      <c r="K28" s="542"/>
      <c r="L28" s="336"/>
      <c r="M28" s="336"/>
      <c r="O28" s="530" t="s">
        <v>212</v>
      </c>
      <c r="P28" s="674">
        <v>19.7011</v>
      </c>
      <c r="Q28" s="530" t="s">
        <v>213</v>
      </c>
      <c r="R28" s="1"/>
      <c r="S28" s="1"/>
      <c r="T28" s="1"/>
      <c r="U28" s="1"/>
      <c r="V28" s="1"/>
      <c r="W28" s="1"/>
      <c r="X28" s="1"/>
      <c r="Y28" s="1"/>
    </row>
    <row r="29" spans="1:25" ht="22.5" x14ac:dyDescent="0.2">
      <c r="A29" s="1"/>
      <c r="B29" s="1"/>
      <c r="C29" s="337" t="s">
        <v>87</v>
      </c>
      <c r="D29" s="537" t="s">
        <v>88</v>
      </c>
      <c r="E29" s="537" t="s">
        <v>89</v>
      </c>
      <c r="F29" s="537" t="s">
        <v>20</v>
      </c>
      <c r="G29" s="537" t="s">
        <v>160</v>
      </c>
      <c r="H29" s="537" t="s">
        <v>90</v>
      </c>
      <c r="I29" s="537" t="s">
        <v>91</v>
      </c>
      <c r="J29" s="537" t="s">
        <v>92</v>
      </c>
      <c r="K29" s="537" t="s">
        <v>93</v>
      </c>
      <c r="L29" s="537" t="s">
        <v>94</v>
      </c>
      <c r="M29" s="538" t="s">
        <v>95</v>
      </c>
      <c r="O29" s="590" t="s">
        <v>95</v>
      </c>
      <c r="P29" s="1"/>
      <c r="Q29" s="590" t="s">
        <v>95</v>
      </c>
      <c r="R29" s="1"/>
      <c r="S29" s="1"/>
      <c r="T29" s="1"/>
      <c r="U29" s="1"/>
      <c r="V29" s="1"/>
      <c r="W29" s="1"/>
      <c r="X29" s="1"/>
      <c r="Y29" s="1"/>
    </row>
    <row r="30" spans="1:25" x14ac:dyDescent="0.2">
      <c r="A30" s="1"/>
      <c r="B30" s="1"/>
      <c r="C30" s="338"/>
      <c r="D30" s="339"/>
      <c r="E30" s="339" t="s">
        <v>96</v>
      </c>
      <c r="F30" s="340" t="s">
        <v>97</v>
      </c>
      <c r="G30" s="340">
        <v>2201</v>
      </c>
      <c r="H30" s="339">
        <v>20823</v>
      </c>
      <c r="I30" s="341">
        <v>40000</v>
      </c>
      <c r="J30" s="339">
        <v>138.15</v>
      </c>
      <c r="K30" s="342">
        <v>0</v>
      </c>
      <c r="L30" s="343">
        <f>ROUND(K30*E$10,2)</f>
        <v>0</v>
      </c>
      <c r="M30" s="344">
        <f>L30*$I$10</f>
        <v>0</v>
      </c>
      <c r="O30" s="591">
        <v>0</v>
      </c>
      <c r="P30" s="1"/>
      <c r="Q30" s="591">
        <f>M30-O30</f>
        <v>0</v>
      </c>
      <c r="R30" s="1"/>
      <c r="S30" s="1"/>
      <c r="T30" s="1"/>
      <c r="U30" s="1"/>
      <c r="V30" s="1"/>
      <c r="W30" s="1"/>
      <c r="X30" s="1"/>
      <c r="Y30" s="1"/>
    </row>
    <row r="31" spans="1:25" x14ac:dyDescent="0.2">
      <c r="A31" s="1"/>
      <c r="B31" s="1"/>
      <c r="C31" s="338"/>
      <c r="D31" s="339"/>
      <c r="E31" s="339" t="s">
        <v>98</v>
      </c>
      <c r="F31" s="340" t="s">
        <v>97</v>
      </c>
      <c r="G31" s="340">
        <v>2201</v>
      </c>
      <c r="H31" s="339">
        <v>20824</v>
      </c>
      <c r="I31" s="341">
        <v>40000</v>
      </c>
      <c r="J31" s="339">
        <v>138.15</v>
      </c>
      <c r="K31" s="342">
        <v>0</v>
      </c>
      <c r="L31" s="343">
        <f>ROUND(K31*E$10,2)</f>
        <v>0</v>
      </c>
      <c r="M31" s="344">
        <f>L31*$I$10</f>
        <v>0</v>
      </c>
      <c r="O31" s="591">
        <v>0</v>
      </c>
      <c r="P31" s="1"/>
      <c r="Q31" s="591">
        <f>M31-O31</f>
        <v>0</v>
      </c>
      <c r="R31" s="1"/>
      <c r="S31" s="1"/>
      <c r="T31" s="1"/>
      <c r="U31" s="1"/>
      <c r="V31" s="1"/>
      <c r="W31" s="1"/>
      <c r="X31" s="1"/>
      <c r="Y31" s="1"/>
    </row>
    <row r="32" spans="1:25" x14ac:dyDescent="0.2">
      <c r="A32" s="1"/>
      <c r="B32" s="1"/>
      <c r="C32" s="338"/>
      <c r="D32" s="339"/>
      <c r="E32" s="339" t="s">
        <v>99</v>
      </c>
      <c r="F32" s="340" t="s">
        <v>100</v>
      </c>
      <c r="G32" s="340">
        <v>2230</v>
      </c>
      <c r="H32" s="339">
        <v>22228</v>
      </c>
      <c r="I32" s="341">
        <v>32000</v>
      </c>
      <c r="J32" s="339">
        <v>130.80000000000001</v>
      </c>
      <c r="K32" s="342">
        <v>0</v>
      </c>
      <c r="L32" s="343">
        <f>ROUND(K32*E$10,2)</f>
        <v>0</v>
      </c>
      <c r="M32" s="344">
        <f>L32*$I$10</f>
        <v>0</v>
      </c>
      <c r="O32" s="591">
        <f>N32*$I$10</f>
        <v>0</v>
      </c>
      <c r="P32" s="1"/>
      <c r="Q32" s="591">
        <f>M32-O32</f>
        <v>0</v>
      </c>
      <c r="R32" s="1"/>
      <c r="S32" s="1"/>
      <c r="T32" s="1"/>
      <c r="U32" s="1"/>
      <c r="V32" s="1"/>
      <c r="W32" s="1"/>
      <c r="X32" s="1"/>
      <c r="Y32" s="1"/>
    </row>
    <row r="33" spans="1:25" x14ac:dyDescent="0.2">
      <c r="A33" s="1"/>
      <c r="B33" s="1"/>
      <c r="C33" s="338">
        <v>800762390</v>
      </c>
      <c r="D33" s="339">
        <v>5</v>
      </c>
      <c r="E33" s="354" t="s">
        <v>101</v>
      </c>
      <c r="F33" s="463" t="s">
        <v>23</v>
      </c>
      <c r="G33" s="463">
        <v>2044</v>
      </c>
      <c r="H33" s="354">
        <v>591000420</v>
      </c>
      <c r="I33" s="341">
        <v>80000</v>
      </c>
      <c r="J33" s="339"/>
      <c r="K33" s="342">
        <v>0.09</v>
      </c>
      <c r="L33" s="343">
        <f>ROUND(K33*E$10,2)</f>
        <v>419348.76</v>
      </c>
      <c r="M33" s="344">
        <f>L33*$I$10</f>
        <v>8806323.9600000009</v>
      </c>
      <c r="O33" s="591">
        <f>L33*P28</f>
        <v>8261631.8556360006</v>
      </c>
      <c r="P33" s="1"/>
      <c r="Q33" s="591">
        <f>M33-O33</f>
        <v>544692.10436400026</v>
      </c>
      <c r="R33" s="1"/>
      <c r="S33" s="1"/>
      <c r="T33" s="1"/>
      <c r="U33" s="1"/>
      <c r="V33" s="1"/>
      <c r="W33" s="1"/>
      <c r="X33" s="1"/>
      <c r="Y33" s="1"/>
    </row>
    <row r="34" spans="1:25" ht="15" thickBot="1" x14ac:dyDescent="0.25">
      <c r="A34" s="1"/>
      <c r="B34" s="1"/>
      <c r="C34" s="345">
        <v>800642440</v>
      </c>
      <c r="D34" s="346">
        <v>1</v>
      </c>
      <c r="E34" s="347" t="s">
        <v>101</v>
      </c>
      <c r="F34" s="348" t="s">
        <v>159</v>
      </c>
      <c r="G34" s="348">
        <v>2277</v>
      </c>
      <c r="H34" s="347">
        <v>22770</v>
      </c>
      <c r="I34" s="349">
        <f>850000-I30-I31-I32-I33</f>
        <v>658000</v>
      </c>
      <c r="J34" s="346"/>
      <c r="K34" s="350">
        <v>0.91</v>
      </c>
      <c r="L34" s="351">
        <f>ROUND(K34*E$10,2)</f>
        <v>4240081.96</v>
      </c>
      <c r="M34" s="352">
        <f>L34*$I$10</f>
        <v>89041721.159999996</v>
      </c>
      <c r="O34" s="592">
        <f>L34*P28</f>
        <v>83534278.702156007</v>
      </c>
      <c r="P34" s="1"/>
      <c r="Q34" s="592">
        <f>M34-O34</f>
        <v>5507442.4578439891</v>
      </c>
      <c r="R34" s="1"/>
      <c r="S34" s="1"/>
      <c r="T34" s="1"/>
      <c r="U34" s="1"/>
      <c r="V34" s="1"/>
      <c r="W34" s="1"/>
      <c r="X34" s="1"/>
      <c r="Y34" s="1"/>
    </row>
    <row r="35" spans="1:25" x14ac:dyDescent="0.2">
      <c r="A35" s="1"/>
      <c r="B35" s="1"/>
      <c r="C35" s="406">
        <v>3000623</v>
      </c>
      <c r="D35" s="353" t="s">
        <v>102</v>
      </c>
      <c r="E35" s="353"/>
      <c r="F35" s="353"/>
      <c r="G35" s="353"/>
      <c r="H35" s="354"/>
      <c r="I35" s="355">
        <f>SUM(I30:I34)</f>
        <v>850000</v>
      </c>
      <c r="J35" s="353"/>
      <c r="K35" s="356">
        <f>SUM(K30:K34)</f>
        <v>1</v>
      </c>
      <c r="L35" s="357">
        <f>SUM(L30:L34)</f>
        <v>4659430.72</v>
      </c>
      <c r="M35" s="357">
        <f>SUM(M30:M34)</f>
        <v>97848045.120000005</v>
      </c>
      <c r="O35" s="593">
        <f>SUM(O30:O34)</f>
        <v>91795910.557792008</v>
      </c>
      <c r="P35" s="1"/>
      <c r="Q35" s="593">
        <f>SUM(Q30:Q33)</f>
        <v>544692.10436400026</v>
      </c>
      <c r="R35" s="1"/>
      <c r="S35" s="1"/>
      <c r="T35" s="1"/>
      <c r="U35" s="1"/>
      <c r="V35" s="1"/>
      <c r="W35" s="1"/>
      <c r="X35" s="1"/>
      <c r="Y35" s="1"/>
    </row>
    <row r="36" spans="1:25" x14ac:dyDescent="0.2">
      <c r="A36" s="1"/>
      <c r="B36" s="1"/>
      <c r="C36" s="336"/>
      <c r="D36" s="336"/>
      <c r="E36" s="336"/>
      <c r="F36" s="358"/>
      <c r="G36" s="358"/>
      <c r="H36" s="336"/>
      <c r="I36" s="336"/>
      <c r="J36" s="336"/>
      <c r="K36" s="336"/>
      <c r="L36" s="359"/>
      <c r="M36" s="1"/>
      <c r="O36" s="594">
        <v>0</v>
      </c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x14ac:dyDescent="0.2">
      <c r="A37" s="1"/>
      <c r="B37" s="1"/>
      <c r="C37" s="336"/>
      <c r="D37" s="336"/>
      <c r="E37" s="336"/>
      <c r="F37" s="358"/>
      <c r="G37" s="358"/>
      <c r="H37" s="336"/>
      <c r="I37" s="336"/>
      <c r="J37" s="336"/>
      <c r="K37" s="665"/>
      <c r="L37" s="666"/>
      <c r="M37" s="464"/>
      <c r="O37" s="594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x14ac:dyDescent="0.2">
      <c r="A38" s="1"/>
      <c r="B38" s="1"/>
      <c r="C38" s="336"/>
      <c r="D38" s="336"/>
      <c r="E38" s="336"/>
      <c r="F38" s="358"/>
      <c r="G38" s="358"/>
      <c r="H38" s="336"/>
      <c r="I38" s="336"/>
      <c r="J38" s="336"/>
      <c r="K38" s="336"/>
      <c r="L38" s="359"/>
      <c r="M38" s="1"/>
      <c r="O38" s="594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ht="15" thickBot="1" x14ac:dyDescent="0.25">
      <c r="A39" s="1"/>
      <c r="B39" s="1"/>
      <c r="C39" s="2266" t="s">
        <v>103</v>
      </c>
      <c r="D39" s="2266"/>
      <c r="E39" s="2266"/>
      <c r="F39" s="2266"/>
      <c r="G39" s="542"/>
      <c r="H39" s="334"/>
      <c r="I39" s="334"/>
      <c r="J39" s="334"/>
      <c r="K39" s="336"/>
      <c r="L39" s="336"/>
      <c r="M39" s="360"/>
      <c r="O39" s="595"/>
      <c r="P39" s="1"/>
      <c r="Q39" s="360"/>
      <c r="R39" s="1"/>
      <c r="S39" s="1"/>
      <c r="T39" s="1"/>
      <c r="U39" s="1"/>
      <c r="V39" s="1"/>
      <c r="W39" s="1"/>
      <c r="X39" s="1"/>
      <c r="Y39" s="1"/>
    </row>
    <row r="40" spans="1:25" ht="22.5" x14ac:dyDescent="0.2">
      <c r="A40" s="1"/>
      <c r="B40" s="1"/>
      <c r="C40" s="337" t="s">
        <v>87</v>
      </c>
      <c r="D40" s="537" t="s">
        <v>88</v>
      </c>
      <c r="E40" s="537" t="s">
        <v>89</v>
      </c>
      <c r="F40" s="537" t="s">
        <v>20</v>
      </c>
      <c r="G40" s="537"/>
      <c r="H40" s="537" t="s">
        <v>90</v>
      </c>
      <c r="I40" s="537" t="s">
        <v>104</v>
      </c>
      <c r="J40" s="537" t="s">
        <v>93</v>
      </c>
      <c r="K40" s="537" t="s">
        <v>92</v>
      </c>
      <c r="L40" s="537" t="s">
        <v>94</v>
      </c>
      <c r="M40" s="538" t="s">
        <v>95</v>
      </c>
      <c r="O40" s="596" t="s">
        <v>95</v>
      </c>
      <c r="P40" s="1"/>
      <c r="Q40" s="590" t="s">
        <v>95</v>
      </c>
      <c r="R40" s="1"/>
      <c r="S40" s="1"/>
      <c r="T40" s="1"/>
      <c r="U40" s="1"/>
      <c r="V40" s="1"/>
      <c r="W40" s="1"/>
      <c r="X40" s="1"/>
      <c r="Y40" s="1"/>
    </row>
    <row r="41" spans="1:25" x14ac:dyDescent="0.2">
      <c r="A41" s="1"/>
      <c r="B41" s="1"/>
      <c r="C41" s="338"/>
      <c r="D41" s="339"/>
      <c r="E41" s="339" t="s">
        <v>96</v>
      </c>
      <c r="F41" s="340" t="s">
        <v>97</v>
      </c>
      <c r="G41" s="340"/>
      <c r="H41" s="339">
        <v>20823</v>
      </c>
      <c r="I41" s="341">
        <f>M80</f>
        <v>0</v>
      </c>
      <c r="J41" s="342">
        <f>I41/I$45</f>
        <v>0</v>
      </c>
      <c r="K41" s="339">
        <v>138.15</v>
      </c>
      <c r="L41" s="343">
        <f>ROUND(J41*$E$11,2)</f>
        <v>0</v>
      </c>
      <c r="M41" s="344">
        <f>L41*L24</f>
        <v>0</v>
      </c>
      <c r="O41" s="591">
        <v>0</v>
      </c>
      <c r="P41" s="1"/>
      <c r="Q41" s="591">
        <f>M41-O41</f>
        <v>0</v>
      </c>
      <c r="R41" s="1"/>
      <c r="S41" s="1"/>
      <c r="T41" s="1"/>
      <c r="U41" s="1"/>
      <c r="V41" s="1"/>
      <c r="W41" s="1"/>
      <c r="X41" s="1"/>
      <c r="Y41" s="1"/>
    </row>
    <row r="42" spans="1:25" x14ac:dyDescent="0.2">
      <c r="A42" s="1"/>
      <c r="B42" s="1"/>
      <c r="C42" s="338"/>
      <c r="D42" s="339"/>
      <c r="E42" s="339" t="s">
        <v>98</v>
      </c>
      <c r="F42" s="340" t="s">
        <v>97</v>
      </c>
      <c r="G42" s="340"/>
      <c r="H42" s="339">
        <v>20824</v>
      </c>
      <c r="I42" s="341">
        <f>N80</f>
        <v>0</v>
      </c>
      <c r="J42" s="342">
        <f>I42/I$45</f>
        <v>0</v>
      </c>
      <c r="K42" s="339">
        <v>138.15</v>
      </c>
      <c r="L42" s="343">
        <f>ROUND(J42*$E$11,2)</f>
        <v>0</v>
      </c>
      <c r="M42" s="344">
        <f>L42*L25</f>
        <v>0</v>
      </c>
      <c r="O42" s="591">
        <v>0</v>
      </c>
      <c r="P42" s="1"/>
      <c r="Q42" s="591">
        <f>M42-O42</f>
        <v>0</v>
      </c>
      <c r="R42" s="1"/>
      <c r="S42" s="1"/>
      <c r="T42" s="1"/>
      <c r="U42" s="1"/>
      <c r="V42" s="1"/>
      <c r="W42" s="1"/>
      <c r="X42" s="1"/>
      <c r="Y42" s="1"/>
    </row>
    <row r="43" spans="1:25" x14ac:dyDescent="0.2">
      <c r="A43" s="1"/>
      <c r="B43" s="1"/>
      <c r="C43" s="338"/>
      <c r="D43" s="339"/>
      <c r="E43" s="339" t="s">
        <v>99</v>
      </c>
      <c r="F43" s="340" t="s">
        <v>100</v>
      </c>
      <c r="G43" s="340"/>
      <c r="H43" s="339">
        <v>22228</v>
      </c>
      <c r="I43" s="341">
        <f>O80</f>
        <v>0</v>
      </c>
      <c r="J43" s="342">
        <f>I43/I$45</f>
        <v>0</v>
      </c>
      <c r="K43" s="339">
        <v>130.80000000000001</v>
      </c>
      <c r="L43" s="343">
        <f>ROUND(J43*$E$11,2)</f>
        <v>0</v>
      </c>
      <c r="M43" s="344">
        <f>L43*L26</f>
        <v>0</v>
      </c>
      <c r="O43" s="591">
        <f>N43*$I$10</f>
        <v>0</v>
      </c>
      <c r="P43" s="1"/>
      <c r="Q43" s="591">
        <f>M43-O43</f>
        <v>0</v>
      </c>
      <c r="R43" s="1"/>
      <c r="S43" s="1"/>
      <c r="T43" s="1"/>
      <c r="U43" s="1"/>
      <c r="V43" s="1"/>
      <c r="W43" s="1"/>
      <c r="X43" s="1"/>
      <c r="Y43" s="1"/>
    </row>
    <row r="44" spans="1:25" ht="15" thickBot="1" x14ac:dyDescent="0.25">
      <c r="A44" s="1"/>
      <c r="B44" s="1">
        <v>7256</v>
      </c>
      <c r="C44" s="345">
        <v>800762390</v>
      </c>
      <c r="D44" s="346">
        <v>6</v>
      </c>
      <c r="E44" s="347" t="s">
        <v>101</v>
      </c>
      <c r="F44" s="348" t="s">
        <v>23</v>
      </c>
      <c r="G44" s="348">
        <v>2044</v>
      </c>
      <c r="H44" s="347">
        <v>591000500</v>
      </c>
      <c r="I44" s="349">
        <f>L80</f>
        <v>2025460.3972259997</v>
      </c>
      <c r="J44" s="350">
        <f>I44/I$45</f>
        <v>1</v>
      </c>
      <c r="K44" s="346">
        <v>138.15</v>
      </c>
      <c r="L44" s="351">
        <f>ROUND(J44*$E$11,2)</f>
        <v>1893.71</v>
      </c>
      <c r="M44" s="352">
        <f>L44*I10</f>
        <v>39767.910000000003</v>
      </c>
      <c r="O44" s="592">
        <f>L44*P28</f>
        <v>37308.170081000004</v>
      </c>
      <c r="P44" s="1"/>
      <c r="Q44" s="592">
        <f>M44-O44</f>
        <v>2459.7399189999996</v>
      </c>
      <c r="R44" s="1"/>
      <c r="S44" s="1"/>
      <c r="T44" s="1"/>
      <c r="U44" s="1"/>
      <c r="V44" s="1"/>
      <c r="W44" s="1"/>
      <c r="X44" s="1"/>
      <c r="Y44" s="1"/>
    </row>
    <row r="45" spans="1:25" x14ac:dyDescent="0.2">
      <c r="A45" s="1"/>
      <c r="B45" s="1"/>
      <c r="C45" s="353"/>
      <c r="D45" s="353"/>
      <c r="E45" s="353"/>
      <c r="F45" s="353"/>
      <c r="G45" s="353"/>
      <c r="H45" s="354"/>
      <c r="I45" s="449">
        <f>SUM(I41:I44)</f>
        <v>2025460.3972259997</v>
      </c>
      <c r="J45" s="355"/>
      <c r="K45" s="353"/>
      <c r="L45" s="357">
        <f>SUM(L41:L44)</f>
        <v>1893.71</v>
      </c>
      <c r="M45" s="357">
        <f>SUM(M41:M44)</f>
        <v>39767.910000000003</v>
      </c>
      <c r="O45" s="593">
        <f>SUM(O41:O44)</f>
        <v>37308.170081000004</v>
      </c>
      <c r="P45" s="1"/>
      <c r="Q45" s="593">
        <f>SUM(Q41:Q44)</f>
        <v>2459.7399189999996</v>
      </c>
      <c r="R45" s="1"/>
      <c r="S45" s="1"/>
      <c r="T45" s="1"/>
      <c r="U45" s="1"/>
      <c r="V45" s="1"/>
      <c r="W45" s="1"/>
      <c r="X45" s="1"/>
      <c r="Y45" s="1"/>
    </row>
    <row r="46" spans="1:25" customFormat="1" ht="15" thickBot="1" x14ac:dyDescent="0.25">
      <c r="A46" s="450"/>
      <c r="M46" s="450"/>
      <c r="N46" s="450"/>
      <c r="O46" s="450"/>
      <c r="P46" s="450"/>
      <c r="Q46" s="450"/>
      <c r="R46" s="450"/>
      <c r="S46" s="450"/>
      <c r="T46" s="450"/>
      <c r="U46" s="450"/>
      <c r="V46" s="450"/>
      <c r="W46" s="450"/>
      <c r="X46" s="450"/>
      <c r="Y46" s="450"/>
    </row>
    <row r="47" spans="1:25" ht="15" thickBot="1" x14ac:dyDescent="0.25">
      <c r="A47" s="1"/>
      <c r="B47" s="434" t="s">
        <v>3</v>
      </c>
      <c r="C47" s="333">
        <f>SUMIF(Tarifas!E4:E303,'Enero - 2017'!C49,Tarifas!D4:D303)</f>
        <v>42</v>
      </c>
      <c r="D47" s="425" t="s">
        <v>147</v>
      </c>
      <c r="E47" s="426" t="s">
        <v>145</v>
      </c>
      <c r="F47" s="426" t="s">
        <v>150</v>
      </c>
      <c r="G47" s="426" t="s">
        <v>148</v>
      </c>
      <c r="H47" s="382"/>
      <c r="I47" s="331" t="s">
        <v>120</v>
      </c>
      <c r="J47" s="332"/>
      <c r="K47" s="332"/>
      <c r="L47" s="364" t="s">
        <v>105</v>
      </c>
      <c r="M47" s="365"/>
      <c r="N47" s="365"/>
      <c r="O47" s="365"/>
      <c r="P47" s="365"/>
      <c r="Q47" s="365"/>
      <c r="R47" s="366"/>
      <c r="S47" s="2267" t="s">
        <v>121</v>
      </c>
      <c r="T47" s="2268"/>
      <c r="U47" s="2268"/>
      <c r="V47" s="2268"/>
      <c r="W47" s="2268"/>
      <c r="X47" s="2268"/>
      <c r="Y47" s="2269"/>
    </row>
    <row r="48" spans="1:25" ht="33.75" x14ac:dyDescent="0.2">
      <c r="A48" s="1"/>
      <c r="C48" s="383" t="s">
        <v>122</v>
      </c>
      <c r="D48" s="384" t="s">
        <v>125</v>
      </c>
      <c r="E48" s="385" t="s">
        <v>149</v>
      </c>
      <c r="F48" s="385" t="s">
        <v>151</v>
      </c>
      <c r="G48" s="385" t="s">
        <v>152</v>
      </c>
      <c r="H48" s="386" t="s">
        <v>123</v>
      </c>
      <c r="I48" s="329" t="s">
        <v>109</v>
      </c>
      <c r="J48" s="330" t="s">
        <v>25</v>
      </c>
      <c r="K48" s="330" t="s">
        <v>26</v>
      </c>
      <c r="L48" s="367" t="s">
        <v>115</v>
      </c>
      <c r="M48" s="362" t="s">
        <v>106</v>
      </c>
      <c r="N48" s="362" t="s">
        <v>107</v>
      </c>
      <c r="O48" s="362" t="s">
        <v>108</v>
      </c>
      <c r="P48" s="362" t="s">
        <v>115</v>
      </c>
      <c r="Q48" s="363" t="s">
        <v>116</v>
      </c>
      <c r="R48" s="368" t="s">
        <v>117</v>
      </c>
      <c r="S48" s="369" t="s">
        <v>110</v>
      </c>
      <c r="T48" s="370" t="s">
        <v>111</v>
      </c>
      <c r="U48" s="370" t="s">
        <v>112</v>
      </c>
      <c r="V48" s="371" t="s">
        <v>118</v>
      </c>
      <c r="W48" s="371" t="s">
        <v>119</v>
      </c>
      <c r="X48" s="371" t="s">
        <v>114</v>
      </c>
      <c r="Y48" s="372" t="s">
        <v>113</v>
      </c>
    </row>
    <row r="49" spans="1:25" x14ac:dyDescent="0.2">
      <c r="A49" s="1"/>
      <c r="C49" s="387">
        <f>G7</f>
        <v>42736</v>
      </c>
      <c r="D49" s="388">
        <f>($F$24*$H$24)/$G$24</f>
        <v>150304.21677419354</v>
      </c>
      <c r="E49" s="389">
        <f>P49+Q49+R49</f>
        <v>56864.28125</v>
      </c>
      <c r="F49" s="427">
        <f t="shared" ref="F49:F79" si="0">TRUNC(IFERROR(J$24/K$24,0),8)</f>
        <v>0.93495530999999998</v>
      </c>
      <c r="G49" s="390">
        <f t="shared" ref="G49:G79" si="1">ROUND(I$24*F49*E49,4)</f>
        <v>53.165599999999998</v>
      </c>
      <c r="H49" s="391">
        <f t="shared" ref="H49:H79" si="2">SUM(D49:G49)</f>
        <v>207222.59857950354</v>
      </c>
      <c r="I49" s="324">
        <v>66000</v>
      </c>
      <c r="J49" s="325"/>
      <c r="K49" s="325"/>
      <c r="L49" s="317">
        <v>56864.28125</v>
      </c>
      <c r="M49" s="318"/>
      <c r="N49" s="318"/>
      <c r="O49" s="318"/>
      <c r="P49" s="389">
        <f>L49</f>
        <v>56864.28125</v>
      </c>
      <c r="Q49" s="389">
        <f t="shared" ref="Q49:Q79" si="3">M49+N49</f>
        <v>0</v>
      </c>
      <c r="R49" s="389">
        <f t="shared" ref="R49:R79" si="4">O49</f>
        <v>0</v>
      </c>
      <c r="S49" s="373"/>
      <c r="T49" s="374"/>
      <c r="U49" s="524">
        <f>S49+T49-V49</f>
        <v>-66000</v>
      </c>
      <c r="V49" s="520">
        <f>I49+J49+K49</f>
        <v>66000</v>
      </c>
      <c r="W49" s="524">
        <f>(P49+Q49+R49)*1.055056</f>
        <v>59995.001118499997</v>
      </c>
      <c r="X49" s="520">
        <f>V49-W49</f>
        <v>6004.9988815000033</v>
      </c>
      <c r="Y49" s="525">
        <f>AL46+X49</f>
        <v>6004.9988815000033</v>
      </c>
    </row>
    <row r="50" spans="1:25" x14ac:dyDescent="0.2">
      <c r="A50" s="1"/>
      <c r="C50" s="387">
        <f t="shared" ref="C50:C79" si="5">C49+1</f>
        <v>42737</v>
      </c>
      <c r="D50" s="388">
        <f t="shared" ref="D50:D79" si="6">($F$24*$H$24)/$G$24</f>
        <v>150304.21677419354</v>
      </c>
      <c r="E50" s="392">
        <f t="shared" ref="E50:E79" si="7">P50+Q50+R50</f>
        <v>69067.570313000004</v>
      </c>
      <c r="F50" s="428">
        <f t="shared" si="0"/>
        <v>0.93495530999999998</v>
      </c>
      <c r="G50" s="390">
        <f t="shared" si="1"/>
        <v>64.575100000000006</v>
      </c>
      <c r="H50" s="391">
        <f t="shared" si="2"/>
        <v>219437.29714250352</v>
      </c>
      <c r="I50" s="324">
        <v>66000</v>
      </c>
      <c r="J50" s="325"/>
      <c r="K50" s="325"/>
      <c r="L50" s="319">
        <v>69067.570313000004</v>
      </c>
      <c r="M50" s="320"/>
      <c r="N50" s="320"/>
      <c r="O50" s="320"/>
      <c r="P50" s="392">
        <f t="shared" ref="P50:P79" si="8">L50</f>
        <v>69067.570313000004</v>
      </c>
      <c r="Q50" s="392">
        <f t="shared" si="3"/>
        <v>0</v>
      </c>
      <c r="R50" s="392">
        <f t="shared" si="4"/>
        <v>0</v>
      </c>
      <c r="S50" s="373"/>
      <c r="T50" s="374"/>
      <c r="U50" s="524">
        <f t="shared" ref="U50:U79" si="9">S50+T50-V50</f>
        <v>-66000</v>
      </c>
      <c r="V50" s="520">
        <f t="shared" ref="V50:V79" si="10">I50+J50+K50</f>
        <v>66000</v>
      </c>
      <c r="W50" s="524">
        <f t="shared" ref="W50:W79" si="11">(P50+Q50+R50)*1.055056</f>
        <v>72870.154464152525</v>
      </c>
      <c r="X50" s="520">
        <f t="shared" ref="X50:X79" si="12">V50-W50</f>
        <v>-6870.1544641525252</v>
      </c>
      <c r="Y50" s="525">
        <f>Y49+X50</f>
        <v>-865.15558265252184</v>
      </c>
    </row>
    <row r="51" spans="1:25" x14ac:dyDescent="0.2">
      <c r="A51" s="1"/>
      <c r="C51" s="387">
        <f t="shared" si="5"/>
        <v>42738</v>
      </c>
      <c r="D51" s="388">
        <f t="shared" si="6"/>
        <v>150304.21677419354</v>
      </c>
      <c r="E51" s="392">
        <f t="shared" si="7"/>
        <v>71514.28125</v>
      </c>
      <c r="F51" s="428">
        <f t="shared" si="0"/>
        <v>0.93495530999999998</v>
      </c>
      <c r="G51" s="390">
        <f t="shared" si="1"/>
        <v>66.862700000000004</v>
      </c>
      <c r="H51" s="391">
        <f t="shared" si="2"/>
        <v>221886.29567950353</v>
      </c>
      <c r="I51" s="324">
        <v>66000</v>
      </c>
      <c r="J51" s="325"/>
      <c r="K51" s="325"/>
      <c r="L51" s="317">
        <v>71514.28125</v>
      </c>
      <c r="M51" s="318"/>
      <c r="N51" s="318"/>
      <c r="O51" s="318"/>
      <c r="P51" s="392">
        <f t="shared" si="8"/>
        <v>71514.28125</v>
      </c>
      <c r="Q51" s="392">
        <f t="shared" si="3"/>
        <v>0</v>
      </c>
      <c r="R51" s="392">
        <f t="shared" si="4"/>
        <v>0</v>
      </c>
      <c r="S51" s="373"/>
      <c r="T51" s="374"/>
      <c r="U51" s="524">
        <f t="shared" si="9"/>
        <v>-66000</v>
      </c>
      <c r="V51" s="520">
        <f t="shared" si="10"/>
        <v>66000</v>
      </c>
      <c r="W51" s="524">
        <f t="shared" si="11"/>
        <v>75451.571518500001</v>
      </c>
      <c r="X51" s="520">
        <f t="shared" si="12"/>
        <v>-9451.5715185000008</v>
      </c>
      <c r="Y51" s="525">
        <f t="shared" ref="Y51:Y79" si="13">Y50+X51</f>
        <v>-10316.727101152523</v>
      </c>
    </row>
    <row r="52" spans="1:25" x14ac:dyDescent="0.2">
      <c r="A52" s="1"/>
      <c r="C52" s="387">
        <f t="shared" si="5"/>
        <v>42739</v>
      </c>
      <c r="D52" s="388">
        <f t="shared" si="6"/>
        <v>150304.21677419354</v>
      </c>
      <c r="E52" s="392">
        <f t="shared" si="7"/>
        <v>71234.546875</v>
      </c>
      <c r="F52" s="428">
        <f t="shared" si="0"/>
        <v>0.93495530999999998</v>
      </c>
      <c r="G52" s="390">
        <f t="shared" si="1"/>
        <v>66.601100000000002</v>
      </c>
      <c r="H52" s="391">
        <f t="shared" si="2"/>
        <v>221606.29970450353</v>
      </c>
      <c r="I52" s="324">
        <v>66000</v>
      </c>
      <c r="J52" s="325"/>
      <c r="K52" s="325"/>
      <c r="L52" s="319">
        <v>71234.546875</v>
      </c>
      <c r="M52" s="320"/>
      <c r="N52" s="320"/>
      <c r="O52" s="320"/>
      <c r="P52" s="392">
        <f t="shared" si="8"/>
        <v>71234.546875</v>
      </c>
      <c r="Q52" s="392">
        <f t="shared" si="3"/>
        <v>0</v>
      </c>
      <c r="R52" s="392">
        <f t="shared" si="4"/>
        <v>0</v>
      </c>
      <c r="S52" s="373"/>
      <c r="T52" s="374"/>
      <c r="U52" s="524">
        <f t="shared" si="9"/>
        <v>-66000</v>
      </c>
      <c r="V52" s="520">
        <f t="shared" si="10"/>
        <v>66000</v>
      </c>
      <c r="W52" s="524">
        <f t="shared" si="11"/>
        <v>75156.43608775</v>
      </c>
      <c r="X52" s="520">
        <f t="shared" si="12"/>
        <v>-9156.4360877500003</v>
      </c>
      <c r="Y52" s="525">
        <f t="shared" si="13"/>
        <v>-19473.163188902523</v>
      </c>
    </row>
    <row r="53" spans="1:25" x14ac:dyDescent="0.2">
      <c r="A53" s="1"/>
      <c r="C53" s="387">
        <f t="shared" si="5"/>
        <v>42740</v>
      </c>
      <c r="D53" s="388">
        <f t="shared" si="6"/>
        <v>150304.21677419354</v>
      </c>
      <c r="E53" s="392">
        <f t="shared" si="7"/>
        <v>71361.625</v>
      </c>
      <c r="F53" s="428">
        <f t="shared" si="0"/>
        <v>0.93495530999999998</v>
      </c>
      <c r="G53" s="390">
        <f t="shared" si="1"/>
        <v>66.719899999999996</v>
      </c>
      <c r="H53" s="391">
        <f t="shared" si="2"/>
        <v>221733.49662950353</v>
      </c>
      <c r="I53" s="324">
        <v>66000</v>
      </c>
      <c r="J53" s="325"/>
      <c r="K53" s="325"/>
      <c r="L53" s="317">
        <v>71361.625</v>
      </c>
      <c r="M53" s="318"/>
      <c r="N53" s="318"/>
      <c r="O53" s="318"/>
      <c r="P53" s="392">
        <f t="shared" si="8"/>
        <v>71361.625</v>
      </c>
      <c r="Q53" s="392">
        <f t="shared" si="3"/>
        <v>0</v>
      </c>
      <c r="R53" s="392">
        <f t="shared" si="4"/>
        <v>0</v>
      </c>
      <c r="S53" s="373"/>
      <c r="T53" s="374"/>
      <c r="U53" s="524">
        <f t="shared" si="9"/>
        <v>-66000</v>
      </c>
      <c r="V53" s="520">
        <f t="shared" si="10"/>
        <v>66000</v>
      </c>
      <c r="W53" s="524">
        <f t="shared" si="11"/>
        <v>75290.510626000003</v>
      </c>
      <c r="X53" s="520">
        <f t="shared" si="12"/>
        <v>-9290.510626000003</v>
      </c>
      <c r="Y53" s="525">
        <f t="shared" si="13"/>
        <v>-28763.673814902526</v>
      </c>
    </row>
    <row r="54" spans="1:25" x14ac:dyDescent="0.2">
      <c r="A54" s="1"/>
      <c r="C54" s="387">
        <f t="shared" si="5"/>
        <v>42741</v>
      </c>
      <c r="D54" s="388">
        <f t="shared" si="6"/>
        <v>150304.21677419354</v>
      </c>
      <c r="E54" s="392">
        <f t="shared" si="7"/>
        <v>71764.0625</v>
      </c>
      <c r="F54" s="428">
        <f t="shared" si="0"/>
        <v>0.93495530999999998</v>
      </c>
      <c r="G54" s="390">
        <f t="shared" si="1"/>
        <v>67.096199999999996</v>
      </c>
      <c r="H54" s="391">
        <f t="shared" si="2"/>
        <v>222136.31042950353</v>
      </c>
      <c r="I54" s="324">
        <v>68000</v>
      </c>
      <c r="J54" s="325"/>
      <c r="K54" s="325"/>
      <c r="L54" s="319">
        <v>71764.0625</v>
      </c>
      <c r="M54" s="320"/>
      <c r="N54" s="320"/>
      <c r="O54" s="320"/>
      <c r="P54" s="392">
        <f t="shared" si="8"/>
        <v>71764.0625</v>
      </c>
      <c r="Q54" s="392">
        <f t="shared" si="3"/>
        <v>0</v>
      </c>
      <c r="R54" s="392">
        <f t="shared" si="4"/>
        <v>0</v>
      </c>
      <c r="S54" s="373"/>
      <c r="T54" s="374"/>
      <c r="U54" s="524">
        <f t="shared" si="9"/>
        <v>-68000</v>
      </c>
      <c r="V54" s="520">
        <f t="shared" si="10"/>
        <v>68000</v>
      </c>
      <c r="W54" s="524">
        <f t="shared" si="11"/>
        <v>75715.104724999997</v>
      </c>
      <c r="X54" s="520">
        <f t="shared" si="12"/>
        <v>-7715.1047249999974</v>
      </c>
      <c r="Y54" s="525">
        <f t="shared" si="13"/>
        <v>-36478.778539902523</v>
      </c>
    </row>
    <row r="55" spans="1:25" x14ac:dyDescent="0.2">
      <c r="A55" s="1"/>
      <c r="C55" s="387">
        <f t="shared" si="5"/>
        <v>42742</v>
      </c>
      <c r="D55" s="388">
        <f t="shared" si="6"/>
        <v>150304.21677419354</v>
      </c>
      <c r="E55" s="392">
        <f t="shared" si="7"/>
        <v>68533.320313000004</v>
      </c>
      <c r="F55" s="428">
        <f t="shared" si="0"/>
        <v>0.93495530999999998</v>
      </c>
      <c r="G55" s="390">
        <f t="shared" si="1"/>
        <v>64.075599999999994</v>
      </c>
      <c r="H55" s="391">
        <f t="shared" si="2"/>
        <v>218902.54764250354</v>
      </c>
      <c r="I55" s="324">
        <v>68000</v>
      </c>
      <c r="J55" s="325"/>
      <c r="K55" s="325"/>
      <c r="L55" s="317">
        <v>68533.320313000004</v>
      </c>
      <c r="M55" s="318"/>
      <c r="N55" s="318"/>
      <c r="O55" s="318"/>
      <c r="P55" s="392">
        <f t="shared" si="8"/>
        <v>68533.320313000004</v>
      </c>
      <c r="Q55" s="392">
        <f t="shared" si="3"/>
        <v>0</v>
      </c>
      <c r="R55" s="392">
        <f t="shared" si="4"/>
        <v>0</v>
      </c>
      <c r="S55" s="373"/>
      <c r="T55" s="374"/>
      <c r="U55" s="524">
        <f t="shared" si="9"/>
        <v>-68000</v>
      </c>
      <c r="V55" s="520">
        <f t="shared" si="10"/>
        <v>68000</v>
      </c>
      <c r="W55" s="524">
        <f t="shared" si="11"/>
        <v>72306.490796152531</v>
      </c>
      <c r="X55" s="520">
        <f t="shared" si="12"/>
        <v>-4306.4907961525314</v>
      </c>
      <c r="Y55" s="525">
        <f t="shared" si="13"/>
        <v>-40785.269336055055</v>
      </c>
    </row>
    <row r="56" spans="1:25" x14ac:dyDescent="0.2">
      <c r="A56" s="1"/>
      <c r="C56" s="387">
        <f t="shared" si="5"/>
        <v>42743</v>
      </c>
      <c r="D56" s="388">
        <f t="shared" si="6"/>
        <v>150304.21677419354</v>
      </c>
      <c r="E56" s="392">
        <f t="shared" si="7"/>
        <v>62862.875</v>
      </c>
      <c r="F56" s="428">
        <f t="shared" si="0"/>
        <v>0.93495530999999998</v>
      </c>
      <c r="G56" s="390">
        <f t="shared" si="1"/>
        <v>58.774000000000001</v>
      </c>
      <c r="H56" s="391">
        <f t="shared" si="2"/>
        <v>213226.80072950353</v>
      </c>
      <c r="I56" s="324">
        <v>68000</v>
      </c>
      <c r="J56" s="325"/>
      <c r="K56" s="325"/>
      <c r="L56" s="319">
        <v>62862.875</v>
      </c>
      <c r="M56" s="320"/>
      <c r="N56" s="320"/>
      <c r="O56" s="320"/>
      <c r="P56" s="392">
        <f t="shared" si="8"/>
        <v>62862.875</v>
      </c>
      <c r="Q56" s="392">
        <f t="shared" si="3"/>
        <v>0</v>
      </c>
      <c r="R56" s="392">
        <f t="shared" si="4"/>
        <v>0</v>
      </c>
      <c r="S56" s="373"/>
      <c r="T56" s="374"/>
      <c r="U56" s="524">
        <f t="shared" si="9"/>
        <v>-68000</v>
      </c>
      <c r="V56" s="520">
        <f t="shared" si="10"/>
        <v>68000</v>
      </c>
      <c r="W56" s="524">
        <f t="shared" si="11"/>
        <v>66323.853445999994</v>
      </c>
      <c r="X56" s="520">
        <f t="shared" si="12"/>
        <v>1676.1465540000063</v>
      </c>
      <c r="Y56" s="525">
        <f t="shared" si="13"/>
        <v>-39109.122782055048</v>
      </c>
    </row>
    <row r="57" spans="1:25" x14ac:dyDescent="0.2">
      <c r="A57" s="1"/>
      <c r="C57" s="387">
        <f t="shared" si="5"/>
        <v>42744</v>
      </c>
      <c r="D57" s="388">
        <f t="shared" si="6"/>
        <v>150304.21677419354</v>
      </c>
      <c r="E57" s="392">
        <f t="shared" si="7"/>
        <v>71503.359375</v>
      </c>
      <c r="F57" s="428">
        <f t="shared" si="0"/>
        <v>0.93495530999999998</v>
      </c>
      <c r="G57" s="390">
        <f t="shared" si="1"/>
        <v>66.852400000000003</v>
      </c>
      <c r="H57" s="391">
        <f t="shared" si="2"/>
        <v>221875.36350450353</v>
      </c>
      <c r="I57" s="324">
        <v>68000</v>
      </c>
      <c r="J57" s="325"/>
      <c r="K57" s="325"/>
      <c r="L57" s="317">
        <v>71503.359375</v>
      </c>
      <c r="M57" s="318"/>
      <c r="N57" s="318"/>
      <c r="O57" s="318"/>
      <c r="P57" s="392">
        <f t="shared" si="8"/>
        <v>71503.359375</v>
      </c>
      <c r="Q57" s="392">
        <f t="shared" si="3"/>
        <v>0</v>
      </c>
      <c r="R57" s="392">
        <f t="shared" si="4"/>
        <v>0</v>
      </c>
      <c r="S57" s="373"/>
      <c r="T57" s="374"/>
      <c r="U57" s="524">
        <f t="shared" si="9"/>
        <v>-68000</v>
      </c>
      <c r="V57" s="520">
        <f t="shared" si="10"/>
        <v>68000</v>
      </c>
      <c r="W57" s="524">
        <f t="shared" si="11"/>
        <v>75440.048328749996</v>
      </c>
      <c r="X57" s="520">
        <f t="shared" si="12"/>
        <v>-7440.0483287499956</v>
      </c>
      <c r="Y57" s="525">
        <f t="shared" si="13"/>
        <v>-46549.171110805044</v>
      </c>
    </row>
    <row r="58" spans="1:25" x14ac:dyDescent="0.2">
      <c r="A58" s="1"/>
      <c r="C58" s="387">
        <f t="shared" si="5"/>
        <v>42745</v>
      </c>
      <c r="D58" s="388">
        <f t="shared" si="6"/>
        <v>150304.21677419354</v>
      </c>
      <c r="E58" s="392">
        <f t="shared" si="7"/>
        <v>67258.683351</v>
      </c>
      <c r="F58" s="428">
        <f t="shared" si="0"/>
        <v>0.93495530999999998</v>
      </c>
      <c r="G58" s="390">
        <f t="shared" si="1"/>
        <v>62.883899999999997</v>
      </c>
      <c r="H58" s="391">
        <f t="shared" si="2"/>
        <v>217626.7189805035</v>
      </c>
      <c r="I58" s="324">
        <v>66000</v>
      </c>
      <c r="J58" s="325"/>
      <c r="K58" s="325"/>
      <c r="L58" s="319">
        <v>67258.683351</v>
      </c>
      <c r="M58" s="320"/>
      <c r="N58" s="320"/>
      <c r="O58" s="320"/>
      <c r="P58" s="392">
        <f t="shared" si="8"/>
        <v>67258.683351</v>
      </c>
      <c r="Q58" s="392">
        <f t="shared" si="3"/>
        <v>0</v>
      </c>
      <c r="R58" s="392">
        <f t="shared" si="4"/>
        <v>0</v>
      </c>
      <c r="S58" s="373"/>
      <c r="T58" s="374"/>
      <c r="U58" s="524">
        <f t="shared" si="9"/>
        <v>-66000</v>
      </c>
      <c r="V58" s="520">
        <f t="shared" si="10"/>
        <v>66000</v>
      </c>
      <c r="W58" s="524">
        <f t="shared" si="11"/>
        <v>70961.677421572662</v>
      </c>
      <c r="X58" s="520">
        <f t="shared" si="12"/>
        <v>-4961.6774215726618</v>
      </c>
      <c r="Y58" s="525">
        <f t="shared" si="13"/>
        <v>-51510.848532377706</v>
      </c>
    </row>
    <row r="59" spans="1:25" x14ac:dyDescent="0.2">
      <c r="A59" s="1"/>
      <c r="C59" s="387">
        <f t="shared" si="5"/>
        <v>42746</v>
      </c>
      <c r="D59" s="388">
        <f t="shared" si="6"/>
        <v>150304.21677419354</v>
      </c>
      <c r="E59" s="392">
        <f t="shared" si="7"/>
        <v>59997.460937999997</v>
      </c>
      <c r="F59" s="428">
        <f t="shared" si="0"/>
        <v>0.93495530999999998</v>
      </c>
      <c r="G59" s="390">
        <f t="shared" si="1"/>
        <v>56.094900000000003</v>
      </c>
      <c r="H59" s="391">
        <f t="shared" si="2"/>
        <v>210358.70756750353</v>
      </c>
      <c r="I59" s="324">
        <v>66000</v>
      </c>
      <c r="J59" s="325"/>
      <c r="K59" s="325"/>
      <c r="L59" s="317">
        <v>59997.460937999997</v>
      </c>
      <c r="M59" s="318"/>
      <c r="N59" s="318"/>
      <c r="O59" s="318"/>
      <c r="P59" s="392">
        <f t="shared" si="8"/>
        <v>59997.460937999997</v>
      </c>
      <c r="Q59" s="392">
        <f t="shared" si="3"/>
        <v>0</v>
      </c>
      <c r="R59" s="392">
        <f t="shared" si="4"/>
        <v>0</v>
      </c>
      <c r="S59" s="373"/>
      <c r="T59" s="374"/>
      <c r="U59" s="524">
        <f t="shared" si="9"/>
        <v>-66000</v>
      </c>
      <c r="V59" s="520">
        <f t="shared" si="10"/>
        <v>66000</v>
      </c>
      <c r="W59" s="524">
        <f t="shared" si="11"/>
        <v>63300.681147402523</v>
      </c>
      <c r="X59" s="520">
        <f t="shared" si="12"/>
        <v>2699.3188525974765</v>
      </c>
      <c r="Y59" s="525">
        <f t="shared" si="13"/>
        <v>-48811.529679780229</v>
      </c>
    </row>
    <row r="60" spans="1:25" x14ac:dyDescent="0.2">
      <c r="A60" s="1"/>
      <c r="C60" s="387">
        <f t="shared" si="5"/>
        <v>42747</v>
      </c>
      <c r="D60" s="388">
        <f t="shared" si="6"/>
        <v>150304.21677419354</v>
      </c>
      <c r="E60" s="392">
        <f t="shared" si="7"/>
        <v>71383.828125</v>
      </c>
      <c r="F60" s="428">
        <f t="shared" si="0"/>
        <v>0.93495530999999998</v>
      </c>
      <c r="G60" s="390">
        <f t="shared" si="1"/>
        <v>66.740700000000004</v>
      </c>
      <c r="H60" s="391">
        <f t="shared" si="2"/>
        <v>221755.72055450352</v>
      </c>
      <c r="I60" s="324">
        <v>66000</v>
      </c>
      <c r="J60" s="325"/>
      <c r="K60" s="325"/>
      <c r="L60" s="319">
        <v>71383.828125</v>
      </c>
      <c r="M60" s="320"/>
      <c r="N60" s="320"/>
      <c r="O60" s="320"/>
      <c r="P60" s="392">
        <f t="shared" si="8"/>
        <v>71383.828125</v>
      </c>
      <c r="Q60" s="392">
        <f t="shared" si="3"/>
        <v>0</v>
      </c>
      <c r="R60" s="392">
        <f t="shared" si="4"/>
        <v>0</v>
      </c>
      <c r="S60" s="373"/>
      <c r="T60" s="374"/>
      <c r="U60" s="524">
        <f t="shared" si="9"/>
        <v>-66000</v>
      </c>
      <c r="V60" s="520">
        <f t="shared" si="10"/>
        <v>66000</v>
      </c>
      <c r="W60" s="524">
        <f t="shared" si="11"/>
        <v>75313.936166250001</v>
      </c>
      <c r="X60" s="520">
        <f t="shared" si="12"/>
        <v>-9313.9361662500014</v>
      </c>
      <c r="Y60" s="525">
        <f t="shared" si="13"/>
        <v>-58125.465846030231</v>
      </c>
    </row>
    <row r="61" spans="1:25" x14ac:dyDescent="0.2">
      <c r="A61" s="1"/>
      <c r="C61" s="387">
        <f t="shared" si="5"/>
        <v>42748</v>
      </c>
      <c r="D61" s="388">
        <f t="shared" si="6"/>
        <v>150304.21677419354</v>
      </c>
      <c r="E61" s="392">
        <f t="shared" si="7"/>
        <v>68835.851563000004</v>
      </c>
      <c r="F61" s="428">
        <f t="shared" si="0"/>
        <v>0.93495530999999998</v>
      </c>
      <c r="G61" s="390">
        <f t="shared" si="1"/>
        <v>64.358400000000003</v>
      </c>
      <c r="H61" s="391">
        <f t="shared" si="2"/>
        <v>219205.36169250353</v>
      </c>
      <c r="I61" s="324">
        <v>68000</v>
      </c>
      <c r="J61" s="325"/>
      <c r="K61" s="325"/>
      <c r="L61" s="317">
        <v>68835.851563000004</v>
      </c>
      <c r="M61" s="318"/>
      <c r="N61" s="318"/>
      <c r="O61" s="318"/>
      <c r="P61" s="392">
        <f t="shared" si="8"/>
        <v>68835.851563000004</v>
      </c>
      <c r="Q61" s="392">
        <f t="shared" si="3"/>
        <v>0</v>
      </c>
      <c r="R61" s="392">
        <f t="shared" si="4"/>
        <v>0</v>
      </c>
      <c r="S61" s="373"/>
      <c r="T61" s="374"/>
      <c r="U61" s="524">
        <f t="shared" si="9"/>
        <v>-68000</v>
      </c>
      <c r="V61" s="520">
        <f t="shared" si="10"/>
        <v>68000</v>
      </c>
      <c r="W61" s="524">
        <f t="shared" si="11"/>
        <v>72625.678206652534</v>
      </c>
      <c r="X61" s="520">
        <f t="shared" si="12"/>
        <v>-4625.6782066525338</v>
      </c>
      <c r="Y61" s="525">
        <f t="shared" si="13"/>
        <v>-62751.144052682765</v>
      </c>
    </row>
    <row r="62" spans="1:25" x14ac:dyDescent="0.2">
      <c r="A62" s="1"/>
      <c r="C62" s="387">
        <f t="shared" si="5"/>
        <v>42749</v>
      </c>
      <c r="D62" s="388">
        <f t="shared" si="6"/>
        <v>150304.21677419354</v>
      </c>
      <c r="E62" s="392">
        <f t="shared" si="7"/>
        <v>66264.460938000004</v>
      </c>
      <c r="F62" s="428">
        <f t="shared" si="0"/>
        <v>0.93495530999999998</v>
      </c>
      <c r="G62" s="390">
        <f t="shared" si="1"/>
        <v>61.954300000000003</v>
      </c>
      <c r="H62" s="391">
        <f t="shared" si="2"/>
        <v>216631.56696750355</v>
      </c>
      <c r="I62" s="324">
        <v>64999</v>
      </c>
      <c r="J62" s="325"/>
      <c r="K62" s="325"/>
      <c r="L62" s="319">
        <v>66264.460938000004</v>
      </c>
      <c r="M62" s="320"/>
      <c r="N62" s="320"/>
      <c r="O62" s="320"/>
      <c r="P62" s="392">
        <f t="shared" si="8"/>
        <v>66264.460938000004</v>
      </c>
      <c r="Q62" s="392">
        <f t="shared" si="3"/>
        <v>0</v>
      </c>
      <c r="R62" s="392">
        <f t="shared" si="4"/>
        <v>0</v>
      </c>
      <c r="S62" s="373"/>
      <c r="T62" s="374"/>
      <c r="U62" s="524">
        <f t="shared" si="9"/>
        <v>-64999</v>
      </c>
      <c r="V62" s="520">
        <f t="shared" si="10"/>
        <v>64999</v>
      </c>
      <c r="W62" s="524">
        <f t="shared" si="11"/>
        <v>69912.717099402536</v>
      </c>
      <c r="X62" s="520">
        <f t="shared" si="12"/>
        <v>-4913.7170994025364</v>
      </c>
      <c r="Y62" s="525">
        <f t="shared" si="13"/>
        <v>-67664.861152085301</v>
      </c>
    </row>
    <row r="63" spans="1:25" x14ac:dyDescent="0.2">
      <c r="A63" s="1"/>
      <c r="C63" s="387">
        <f t="shared" si="5"/>
        <v>42750</v>
      </c>
      <c r="D63" s="388">
        <f t="shared" si="6"/>
        <v>150304.21677419354</v>
      </c>
      <c r="E63" s="392">
        <f t="shared" si="7"/>
        <v>67017.085938000004</v>
      </c>
      <c r="F63" s="428">
        <f t="shared" si="0"/>
        <v>0.93495530999999998</v>
      </c>
      <c r="G63" s="390">
        <f t="shared" si="1"/>
        <v>62.658000000000001</v>
      </c>
      <c r="H63" s="391">
        <f t="shared" si="2"/>
        <v>217384.89566750353</v>
      </c>
      <c r="I63" s="324">
        <v>62000</v>
      </c>
      <c r="J63" s="325"/>
      <c r="K63" s="325"/>
      <c r="L63" s="317">
        <v>67017.085938000004</v>
      </c>
      <c r="M63" s="318"/>
      <c r="N63" s="318"/>
      <c r="O63" s="318"/>
      <c r="P63" s="392">
        <f t="shared" si="8"/>
        <v>67017.085938000004</v>
      </c>
      <c r="Q63" s="392">
        <f t="shared" si="3"/>
        <v>0</v>
      </c>
      <c r="R63" s="392">
        <f t="shared" si="4"/>
        <v>0</v>
      </c>
      <c r="S63" s="373"/>
      <c r="T63" s="374"/>
      <c r="U63" s="524">
        <f t="shared" si="9"/>
        <v>-62000</v>
      </c>
      <c r="V63" s="520">
        <f t="shared" si="10"/>
        <v>62000</v>
      </c>
      <c r="W63" s="524">
        <f t="shared" si="11"/>
        <v>70706.778621402525</v>
      </c>
      <c r="X63" s="520">
        <f t="shared" si="12"/>
        <v>-8706.7786214025255</v>
      </c>
      <c r="Y63" s="525">
        <f t="shared" si="13"/>
        <v>-76371.639773487826</v>
      </c>
    </row>
    <row r="64" spans="1:25" x14ac:dyDescent="0.2">
      <c r="A64" s="1"/>
      <c r="C64" s="387">
        <f t="shared" si="5"/>
        <v>42751</v>
      </c>
      <c r="D64" s="388">
        <f t="shared" si="6"/>
        <v>150304.21677419354</v>
      </c>
      <c r="E64" s="392">
        <f t="shared" si="7"/>
        <v>71626.913816999979</v>
      </c>
      <c r="F64" s="428">
        <f t="shared" si="0"/>
        <v>0.93495530999999998</v>
      </c>
      <c r="G64" s="390">
        <f t="shared" si="1"/>
        <v>66.968000000000004</v>
      </c>
      <c r="H64" s="391">
        <f t="shared" si="2"/>
        <v>221999.03354650349</v>
      </c>
      <c r="I64" s="324">
        <v>62000</v>
      </c>
      <c r="J64" s="325"/>
      <c r="K64" s="325"/>
      <c r="L64" s="319">
        <v>71626.913816999979</v>
      </c>
      <c r="M64" s="320"/>
      <c r="N64" s="320"/>
      <c r="O64" s="320"/>
      <c r="P64" s="392">
        <f t="shared" si="8"/>
        <v>71626.913816999979</v>
      </c>
      <c r="Q64" s="392">
        <f t="shared" si="3"/>
        <v>0</v>
      </c>
      <c r="R64" s="392">
        <f t="shared" si="4"/>
        <v>0</v>
      </c>
      <c r="S64" s="373"/>
      <c r="T64" s="374"/>
      <c r="U64" s="524">
        <f t="shared" si="9"/>
        <v>-62000</v>
      </c>
      <c r="V64" s="520">
        <f t="shared" si="10"/>
        <v>62000</v>
      </c>
      <c r="W64" s="524">
        <f t="shared" si="11"/>
        <v>75570.405184108735</v>
      </c>
      <c r="X64" s="520">
        <f t="shared" si="12"/>
        <v>-13570.405184108735</v>
      </c>
      <c r="Y64" s="525">
        <f t="shared" si="13"/>
        <v>-89942.044957596561</v>
      </c>
    </row>
    <row r="65" spans="1:38" x14ac:dyDescent="0.2">
      <c r="A65" s="1"/>
      <c r="C65" s="387">
        <f t="shared" si="5"/>
        <v>42752</v>
      </c>
      <c r="D65" s="388">
        <f t="shared" si="6"/>
        <v>150304.21677419354</v>
      </c>
      <c r="E65" s="392">
        <f t="shared" si="7"/>
        <v>71837.120362000016</v>
      </c>
      <c r="F65" s="428">
        <f t="shared" si="0"/>
        <v>0.93495530999999998</v>
      </c>
      <c r="G65" s="390">
        <f t="shared" si="1"/>
        <v>67.164500000000004</v>
      </c>
      <c r="H65" s="391">
        <f t="shared" si="2"/>
        <v>222209.43659150356</v>
      </c>
      <c r="I65" s="324">
        <v>64999</v>
      </c>
      <c r="J65" s="325"/>
      <c r="K65" s="325"/>
      <c r="L65" s="317">
        <v>71837.120362000016</v>
      </c>
      <c r="M65" s="318"/>
      <c r="N65" s="318"/>
      <c r="O65" s="318"/>
      <c r="P65" s="392">
        <f t="shared" si="8"/>
        <v>71837.120362000016</v>
      </c>
      <c r="Q65" s="392">
        <f t="shared" si="3"/>
        <v>0</v>
      </c>
      <c r="R65" s="392">
        <f t="shared" si="4"/>
        <v>0</v>
      </c>
      <c r="S65" s="373"/>
      <c r="T65" s="374"/>
      <c r="U65" s="524">
        <f t="shared" si="9"/>
        <v>-64999</v>
      </c>
      <c r="V65" s="520">
        <f t="shared" si="10"/>
        <v>64999</v>
      </c>
      <c r="W65" s="524">
        <f t="shared" si="11"/>
        <v>75792.18486065029</v>
      </c>
      <c r="X65" s="520">
        <f t="shared" si="12"/>
        <v>-10793.18486065029</v>
      </c>
      <c r="Y65" s="525">
        <f t="shared" si="13"/>
        <v>-100735.22981824685</v>
      </c>
    </row>
    <row r="66" spans="1:38" x14ac:dyDescent="0.2">
      <c r="A66" s="1"/>
      <c r="C66" s="387">
        <f t="shared" si="5"/>
        <v>42753</v>
      </c>
      <c r="D66" s="388">
        <f t="shared" si="6"/>
        <v>150304.21677419354</v>
      </c>
      <c r="E66" s="392">
        <f t="shared" si="7"/>
        <v>71941.273438000004</v>
      </c>
      <c r="F66" s="428">
        <f t="shared" si="0"/>
        <v>0.93495530999999998</v>
      </c>
      <c r="G66" s="390">
        <f t="shared" si="1"/>
        <v>67.261899999999997</v>
      </c>
      <c r="H66" s="391">
        <f t="shared" si="2"/>
        <v>222313.68706750355</v>
      </c>
      <c r="I66" s="324">
        <v>64999</v>
      </c>
      <c r="J66" s="325"/>
      <c r="K66" s="325"/>
      <c r="L66" s="319">
        <v>71941.273438000004</v>
      </c>
      <c r="M66" s="320"/>
      <c r="N66" s="320"/>
      <c r="O66" s="320"/>
      <c r="P66" s="392">
        <f t="shared" si="8"/>
        <v>71941.273438000004</v>
      </c>
      <c r="Q66" s="392">
        <f t="shared" si="3"/>
        <v>0</v>
      </c>
      <c r="R66" s="392">
        <f t="shared" si="4"/>
        <v>0</v>
      </c>
      <c r="S66" s="373"/>
      <c r="T66" s="374"/>
      <c r="U66" s="524">
        <f t="shared" si="9"/>
        <v>-64999</v>
      </c>
      <c r="V66" s="520">
        <f t="shared" si="10"/>
        <v>64999</v>
      </c>
      <c r="W66" s="524">
        <f t="shared" si="11"/>
        <v>75902.072188402526</v>
      </c>
      <c r="X66" s="520">
        <f t="shared" si="12"/>
        <v>-10903.072188402526</v>
      </c>
      <c r="Y66" s="525">
        <f t="shared" si="13"/>
        <v>-111638.30200664938</v>
      </c>
    </row>
    <row r="67" spans="1:38" x14ac:dyDescent="0.2">
      <c r="A67" s="1"/>
      <c r="C67" s="387">
        <f t="shared" si="5"/>
        <v>42754</v>
      </c>
      <c r="D67" s="388">
        <f t="shared" si="6"/>
        <v>150304.21677419354</v>
      </c>
      <c r="E67" s="392">
        <f t="shared" si="7"/>
        <v>59024.701778999995</v>
      </c>
      <c r="F67" s="428">
        <f t="shared" si="0"/>
        <v>0.93495530999999998</v>
      </c>
      <c r="G67" s="390">
        <f t="shared" si="1"/>
        <v>55.185499999999998</v>
      </c>
      <c r="H67" s="391">
        <f t="shared" si="2"/>
        <v>209385.03900850352</v>
      </c>
      <c r="I67" s="324">
        <v>64999</v>
      </c>
      <c r="J67" s="325"/>
      <c r="K67" s="325"/>
      <c r="L67" s="317">
        <v>59024.701778999995</v>
      </c>
      <c r="M67" s="318"/>
      <c r="N67" s="318"/>
      <c r="O67" s="318"/>
      <c r="P67" s="392">
        <f t="shared" si="8"/>
        <v>59024.701778999995</v>
      </c>
      <c r="Q67" s="392">
        <f t="shared" si="3"/>
        <v>0</v>
      </c>
      <c r="R67" s="392">
        <f t="shared" si="4"/>
        <v>0</v>
      </c>
      <c r="S67" s="373"/>
      <c r="T67" s="374"/>
      <c r="U67" s="524">
        <f t="shared" si="9"/>
        <v>-64999</v>
      </c>
      <c r="V67" s="520">
        <f t="shared" si="10"/>
        <v>64999</v>
      </c>
      <c r="W67" s="524">
        <f t="shared" si="11"/>
        <v>62274.365760144618</v>
      </c>
      <c r="X67" s="520">
        <f t="shared" si="12"/>
        <v>2724.6342398553825</v>
      </c>
      <c r="Y67" s="525">
        <f t="shared" si="13"/>
        <v>-108913.66776679399</v>
      </c>
    </row>
    <row r="68" spans="1:38" x14ac:dyDescent="0.2">
      <c r="A68" s="1"/>
      <c r="C68" s="387">
        <f t="shared" si="5"/>
        <v>42755</v>
      </c>
      <c r="D68" s="388">
        <f t="shared" si="6"/>
        <v>150304.21677419354</v>
      </c>
      <c r="E68" s="392">
        <f t="shared" si="7"/>
        <v>16538.109375</v>
      </c>
      <c r="F68" s="428">
        <f t="shared" si="0"/>
        <v>0.93495530999999998</v>
      </c>
      <c r="G68" s="390">
        <f t="shared" si="1"/>
        <v>15.462400000000001</v>
      </c>
      <c r="H68" s="391">
        <f t="shared" si="2"/>
        <v>166858.72350450352</v>
      </c>
      <c r="I68" s="324">
        <v>64999</v>
      </c>
      <c r="J68" s="325"/>
      <c r="K68" s="325"/>
      <c r="L68" s="319">
        <v>16538.109375</v>
      </c>
      <c r="M68" s="320"/>
      <c r="N68" s="320"/>
      <c r="O68" s="320"/>
      <c r="P68" s="392">
        <f t="shared" si="8"/>
        <v>16538.109375</v>
      </c>
      <c r="Q68" s="392">
        <f t="shared" si="3"/>
        <v>0</v>
      </c>
      <c r="R68" s="392">
        <f t="shared" si="4"/>
        <v>0</v>
      </c>
      <c r="S68" s="373"/>
      <c r="T68" s="374"/>
      <c r="U68" s="524">
        <f t="shared" si="9"/>
        <v>-64999</v>
      </c>
      <c r="V68" s="520">
        <f t="shared" si="10"/>
        <v>64999</v>
      </c>
      <c r="W68" s="524">
        <f t="shared" si="11"/>
        <v>17448.631524749999</v>
      </c>
      <c r="X68" s="520">
        <f t="shared" si="12"/>
        <v>47550.368475249998</v>
      </c>
      <c r="Y68" s="525">
        <f t="shared" si="13"/>
        <v>-61363.299291543997</v>
      </c>
    </row>
    <row r="69" spans="1:38" x14ac:dyDescent="0.2">
      <c r="A69" s="1"/>
      <c r="C69" s="387">
        <f t="shared" si="5"/>
        <v>42756</v>
      </c>
      <c r="D69" s="388">
        <f t="shared" si="6"/>
        <v>150304.21677419354</v>
      </c>
      <c r="E69" s="392">
        <f t="shared" si="7"/>
        <v>39250.652344000002</v>
      </c>
      <c r="F69" s="428">
        <f t="shared" si="0"/>
        <v>0.93495530999999998</v>
      </c>
      <c r="G69" s="390">
        <f t="shared" si="1"/>
        <v>36.697600000000001</v>
      </c>
      <c r="H69" s="391">
        <f t="shared" si="2"/>
        <v>189592.50167350355</v>
      </c>
      <c r="I69" s="324">
        <v>62000</v>
      </c>
      <c r="J69" s="325"/>
      <c r="K69" s="325"/>
      <c r="L69" s="317">
        <v>39250.652344000002</v>
      </c>
      <c r="M69" s="318"/>
      <c r="N69" s="318"/>
      <c r="O69" s="318"/>
      <c r="P69" s="392">
        <f t="shared" si="8"/>
        <v>39250.652344000002</v>
      </c>
      <c r="Q69" s="392">
        <f t="shared" si="3"/>
        <v>0</v>
      </c>
      <c r="R69" s="392">
        <f t="shared" si="4"/>
        <v>0</v>
      </c>
      <c r="S69" s="373"/>
      <c r="T69" s="374"/>
      <c r="U69" s="524">
        <f t="shared" si="9"/>
        <v>-62000</v>
      </c>
      <c r="V69" s="520">
        <f t="shared" si="10"/>
        <v>62000</v>
      </c>
      <c r="W69" s="524">
        <f t="shared" si="11"/>
        <v>41411.636259451268</v>
      </c>
      <c r="X69" s="520">
        <f t="shared" si="12"/>
        <v>20588.363740548732</v>
      </c>
      <c r="Y69" s="525">
        <f t="shared" si="13"/>
        <v>-40774.935550995266</v>
      </c>
    </row>
    <row r="70" spans="1:38" x14ac:dyDescent="0.2">
      <c r="A70" s="1"/>
      <c r="C70" s="387">
        <f t="shared" si="5"/>
        <v>42757</v>
      </c>
      <c r="D70" s="388">
        <f t="shared" si="6"/>
        <v>150304.21677419354</v>
      </c>
      <c r="E70" s="392">
        <f t="shared" si="7"/>
        <v>39106.586182999999</v>
      </c>
      <c r="F70" s="428">
        <f t="shared" si="0"/>
        <v>0.93495530999999998</v>
      </c>
      <c r="G70" s="390">
        <f t="shared" si="1"/>
        <v>36.562899999999999</v>
      </c>
      <c r="H70" s="391">
        <f t="shared" si="2"/>
        <v>189448.30081250353</v>
      </c>
      <c r="I70" s="324">
        <v>62000</v>
      </c>
      <c r="J70" s="325"/>
      <c r="K70" s="325"/>
      <c r="L70" s="319">
        <v>39106.586182999999</v>
      </c>
      <c r="M70" s="320"/>
      <c r="N70" s="320"/>
      <c r="O70" s="320"/>
      <c r="P70" s="392">
        <f t="shared" si="8"/>
        <v>39106.586182999999</v>
      </c>
      <c r="Q70" s="392">
        <f t="shared" si="3"/>
        <v>0</v>
      </c>
      <c r="R70" s="392">
        <f t="shared" si="4"/>
        <v>0</v>
      </c>
      <c r="S70" s="373"/>
      <c r="T70" s="374"/>
      <c r="U70" s="524">
        <f t="shared" si="9"/>
        <v>-62000</v>
      </c>
      <c r="V70" s="520">
        <f t="shared" si="10"/>
        <v>62000</v>
      </c>
      <c r="W70" s="524">
        <f t="shared" si="11"/>
        <v>41259.638391891247</v>
      </c>
      <c r="X70" s="520">
        <f t="shared" si="12"/>
        <v>20740.361608108753</v>
      </c>
      <c r="Y70" s="525">
        <f t="shared" si="13"/>
        <v>-20034.573942886513</v>
      </c>
    </row>
    <row r="71" spans="1:38" x14ac:dyDescent="0.2">
      <c r="A71" s="1"/>
      <c r="C71" s="387">
        <f t="shared" si="5"/>
        <v>42758</v>
      </c>
      <c r="D71" s="388">
        <f t="shared" si="6"/>
        <v>150304.21677419354</v>
      </c>
      <c r="E71" s="392">
        <f t="shared" si="7"/>
        <v>43306.605469000002</v>
      </c>
      <c r="F71" s="428">
        <f t="shared" si="0"/>
        <v>0.93495530999999998</v>
      </c>
      <c r="G71" s="390">
        <f t="shared" si="1"/>
        <v>40.489699999999999</v>
      </c>
      <c r="H71" s="391">
        <f t="shared" si="2"/>
        <v>193652.24689850354</v>
      </c>
      <c r="I71" s="324">
        <v>64999</v>
      </c>
      <c r="J71" s="325"/>
      <c r="K71" s="325"/>
      <c r="L71" s="317">
        <v>43306.605469000002</v>
      </c>
      <c r="M71" s="318"/>
      <c r="N71" s="318"/>
      <c r="O71" s="318"/>
      <c r="P71" s="392">
        <f t="shared" si="8"/>
        <v>43306.605469000002</v>
      </c>
      <c r="Q71" s="392">
        <f t="shared" si="3"/>
        <v>0</v>
      </c>
      <c r="R71" s="392">
        <f t="shared" si="4"/>
        <v>0</v>
      </c>
      <c r="S71" s="373"/>
      <c r="T71" s="374"/>
      <c r="U71" s="524">
        <f t="shared" si="9"/>
        <v>-64999</v>
      </c>
      <c r="V71" s="520">
        <f t="shared" si="10"/>
        <v>64999</v>
      </c>
      <c r="W71" s="524">
        <f t="shared" si="11"/>
        <v>45690.893939701265</v>
      </c>
      <c r="X71" s="520">
        <f t="shared" si="12"/>
        <v>19308.106060298735</v>
      </c>
      <c r="Y71" s="525">
        <f t="shared" si="13"/>
        <v>-726.46788258777815</v>
      </c>
    </row>
    <row r="72" spans="1:38" x14ac:dyDescent="0.2">
      <c r="A72" s="1"/>
      <c r="C72" s="387">
        <f t="shared" si="5"/>
        <v>42759</v>
      </c>
      <c r="D72" s="388">
        <f t="shared" si="6"/>
        <v>150304.21677419354</v>
      </c>
      <c r="E72" s="392">
        <f t="shared" si="7"/>
        <v>65043.598025000014</v>
      </c>
      <c r="F72" s="428">
        <f t="shared" si="0"/>
        <v>0.93495530999999998</v>
      </c>
      <c r="G72" s="390">
        <f t="shared" si="1"/>
        <v>60.812899999999999</v>
      </c>
      <c r="H72" s="391">
        <f t="shared" si="2"/>
        <v>215409.56265450353</v>
      </c>
      <c r="I72" s="324">
        <v>66999</v>
      </c>
      <c r="J72" s="325"/>
      <c r="K72" s="325"/>
      <c r="L72" s="319">
        <v>65043.598025000014</v>
      </c>
      <c r="M72" s="320"/>
      <c r="N72" s="320"/>
      <c r="O72" s="320"/>
      <c r="P72" s="392">
        <f t="shared" si="8"/>
        <v>65043.598025000014</v>
      </c>
      <c r="Q72" s="392">
        <f t="shared" si="3"/>
        <v>0</v>
      </c>
      <c r="R72" s="392">
        <f t="shared" si="4"/>
        <v>0</v>
      </c>
      <c r="S72" s="373"/>
      <c r="T72" s="374"/>
      <c r="U72" s="524">
        <f t="shared" si="9"/>
        <v>-66999</v>
      </c>
      <c r="V72" s="520">
        <f t="shared" si="10"/>
        <v>66999</v>
      </c>
      <c r="W72" s="524">
        <f t="shared" si="11"/>
        <v>68624.638357864416</v>
      </c>
      <c r="X72" s="520">
        <f t="shared" si="12"/>
        <v>-1625.6383578644163</v>
      </c>
      <c r="Y72" s="525">
        <f t="shared" si="13"/>
        <v>-2352.1062404521945</v>
      </c>
    </row>
    <row r="73" spans="1:38" x14ac:dyDescent="0.2">
      <c r="A73" s="1"/>
      <c r="C73" s="387">
        <f t="shared" si="5"/>
        <v>42760</v>
      </c>
      <c r="D73" s="388">
        <f t="shared" si="6"/>
        <v>150304.21677419354</v>
      </c>
      <c r="E73" s="392">
        <f t="shared" si="7"/>
        <v>76201.382813000004</v>
      </c>
      <c r="F73" s="428">
        <f t="shared" si="0"/>
        <v>0.93495530999999998</v>
      </c>
      <c r="G73" s="390">
        <f t="shared" si="1"/>
        <v>71.244900000000001</v>
      </c>
      <c r="H73" s="391">
        <f t="shared" si="2"/>
        <v>226577.77944250352</v>
      </c>
      <c r="I73" s="324">
        <v>66999</v>
      </c>
      <c r="J73" s="325"/>
      <c r="K73" s="325"/>
      <c r="L73" s="317">
        <v>76201.382813000004</v>
      </c>
      <c r="M73" s="318"/>
      <c r="N73" s="318"/>
      <c r="O73" s="318"/>
      <c r="P73" s="392">
        <f t="shared" si="8"/>
        <v>76201.382813000004</v>
      </c>
      <c r="Q73" s="392">
        <f t="shared" si="3"/>
        <v>0</v>
      </c>
      <c r="R73" s="392">
        <f t="shared" si="4"/>
        <v>0</v>
      </c>
      <c r="S73" s="373"/>
      <c r="T73" s="374"/>
      <c r="U73" s="524">
        <f t="shared" si="9"/>
        <v>-66999</v>
      </c>
      <c r="V73" s="520">
        <f t="shared" si="10"/>
        <v>66999</v>
      </c>
      <c r="W73" s="524">
        <f t="shared" si="11"/>
        <v>80396.726145152526</v>
      </c>
      <c r="X73" s="520">
        <f t="shared" si="12"/>
        <v>-13397.726145152526</v>
      </c>
      <c r="Y73" s="525">
        <f t="shared" si="13"/>
        <v>-15749.832385604721</v>
      </c>
    </row>
    <row r="74" spans="1:38" x14ac:dyDescent="0.2">
      <c r="A74" s="1"/>
      <c r="C74" s="387">
        <f t="shared" si="5"/>
        <v>42761</v>
      </c>
      <c r="D74" s="388">
        <f t="shared" si="6"/>
        <v>150304.21677419354</v>
      </c>
      <c r="E74" s="392">
        <f t="shared" si="7"/>
        <v>76389.828125</v>
      </c>
      <c r="F74" s="428">
        <f t="shared" si="0"/>
        <v>0.93495530999999998</v>
      </c>
      <c r="G74" s="390">
        <f t="shared" si="1"/>
        <v>71.421099999999996</v>
      </c>
      <c r="H74" s="391">
        <f t="shared" si="2"/>
        <v>226766.40095450354</v>
      </c>
      <c r="I74" s="324">
        <v>66999</v>
      </c>
      <c r="J74" s="325"/>
      <c r="K74" s="325"/>
      <c r="L74" s="319">
        <v>76389.828125</v>
      </c>
      <c r="M74" s="320"/>
      <c r="N74" s="320"/>
      <c r="O74" s="320"/>
      <c r="P74" s="392">
        <f t="shared" si="8"/>
        <v>76389.828125</v>
      </c>
      <c r="Q74" s="392">
        <f t="shared" si="3"/>
        <v>0</v>
      </c>
      <c r="R74" s="392">
        <f t="shared" si="4"/>
        <v>0</v>
      </c>
      <c r="S74" s="373"/>
      <c r="T74" s="374"/>
      <c r="U74" s="524">
        <f t="shared" si="9"/>
        <v>-66999</v>
      </c>
      <c r="V74" s="520">
        <f t="shared" si="10"/>
        <v>66999</v>
      </c>
      <c r="W74" s="524">
        <f t="shared" si="11"/>
        <v>80595.546502249999</v>
      </c>
      <c r="X74" s="520">
        <f t="shared" si="12"/>
        <v>-13596.546502249999</v>
      </c>
      <c r="Y74" s="525">
        <f t="shared" si="13"/>
        <v>-29346.37888785472</v>
      </c>
    </row>
    <row r="75" spans="1:38" x14ac:dyDescent="0.2">
      <c r="A75" s="1"/>
      <c r="C75" s="387">
        <f t="shared" si="5"/>
        <v>42762</v>
      </c>
      <c r="D75" s="388">
        <f t="shared" si="6"/>
        <v>150304.21677419354</v>
      </c>
      <c r="E75" s="392">
        <f t="shared" si="7"/>
        <v>76527.145266000021</v>
      </c>
      <c r="F75" s="428">
        <f t="shared" si="0"/>
        <v>0.93495530999999998</v>
      </c>
      <c r="G75" s="390">
        <f t="shared" si="1"/>
        <v>71.549499999999995</v>
      </c>
      <c r="H75" s="391">
        <f t="shared" si="2"/>
        <v>226903.84649550356</v>
      </c>
      <c r="I75" s="324">
        <v>66999</v>
      </c>
      <c r="J75" s="325"/>
      <c r="K75" s="325"/>
      <c r="L75" s="317">
        <v>76527.145266000021</v>
      </c>
      <c r="M75" s="318"/>
      <c r="N75" s="318"/>
      <c r="O75" s="318"/>
      <c r="P75" s="392">
        <f t="shared" si="8"/>
        <v>76527.145266000021</v>
      </c>
      <c r="Q75" s="392">
        <f t="shared" si="3"/>
        <v>0</v>
      </c>
      <c r="R75" s="392">
        <f t="shared" si="4"/>
        <v>0</v>
      </c>
      <c r="S75" s="373"/>
      <c r="T75" s="374"/>
      <c r="U75" s="524">
        <f t="shared" si="9"/>
        <v>-66999</v>
      </c>
      <c r="V75" s="520">
        <f t="shared" si="10"/>
        <v>66999</v>
      </c>
      <c r="W75" s="524">
        <f t="shared" si="11"/>
        <v>80740.423775764924</v>
      </c>
      <c r="X75" s="520">
        <f t="shared" si="12"/>
        <v>-13741.423775764924</v>
      </c>
      <c r="Y75" s="525">
        <f t="shared" si="13"/>
        <v>-43087.802663619645</v>
      </c>
    </row>
    <row r="76" spans="1:38" x14ac:dyDescent="0.2">
      <c r="A76" s="1"/>
      <c r="C76" s="387">
        <f t="shared" si="5"/>
        <v>42763</v>
      </c>
      <c r="D76" s="388">
        <f t="shared" si="6"/>
        <v>150304.21677419354</v>
      </c>
      <c r="E76" s="392">
        <f t="shared" si="7"/>
        <v>76460.96875</v>
      </c>
      <c r="F76" s="428">
        <f t="shared" si="0"/>
        <v>0.93495530999999998</v>
      </c>
      <c r="G76" s="390">
        <f t="shared" si="1"/>
        <v>71.4876</v>
      </c>
      <c r="H76" s="391">
        <f t="shared" si="2"/>
        <v>226837.60807950352</v>
      </c>
      <c r="I76" s="324">
        <v>66999</v>
      </c>
      <c r="J76" s="325"/>
      <c r="K76" s="325"/>
      <c r="L76" s="319">
        <v>76460.96875</v>
      </c>
      <c r="M76" s="320"/>
      <c r="N76" s="320"/>
      <c r="O76" s="320"/>
      <c r="P76" s="392">
        <f t="shared" si="8"/>
        <v>76460.96875</v>
      </c>
      <c r="Q76" s="392">
        <f t="shared" si="3"/>
        <v>0</v>
      </c>
      <c r="R76" s="392">
        <f t="shared" si="4"/>
        <v>0</v>
      </c>
      <c r="S76" s="373"/>
      <c r="T76" s="374"/>
      <c r="U76" s="524">
        <f t="shared" si="9"/>
        <v>-66999</v>
      </c>
      <c r="V76" s="520">
        <f t="shared" si="10"/>
        <v>66999</v>
      </c>
      <c r="W76" s="524">
        <f t="shared" si="11"/>
        <v>80670.603845499994</v>
      </c>
      <c r="X76" s="520">
        <f t="shared" si="12"/>
        <v>-13671.603845499994</v>
      </c>
      <c r="Y76" s="525">
        <f t="shared" si="13"/>
        <v>-56759.406509119639</v>
      </c>
    </row>
    <row r="77" spans="1:38" x14ac:dyDescent="0.2">
      <c r="A77" s="1"/>
      <c r="C77" s="387">
        <f t="shared" si="5"/>
        <v>42764</v>
      </c>
      <c r="D77" s="388">
        <f t="shared" si="6"/>
        <v>150304.21677419354</v>
      </c>
      <c r="E77" s="392">
        <f t="shared" si="7"/>
        <v>74513.804688000004</v>
      </c>
      <c r="F77" s="428">
        <f t="shared" si="0"/>
        <v>0.93495530999999998</v>
      </c>
      <c r="G77" s="390">
        <f t="shared" si="1"/>
        <v>69.667100000000005</v>
      </c>
      <c r="H77" s="391">
        <f t="shared" si="2"/>
        <v>224888.62351750353</v>
      </c>
      <c r="I77" s="324">
        <v>66999</v>
      </c>
      <c r="J77" s="325"/>
      <c r="K77" s="325"/>
      <c r="L77" s="317">
        <v>74513.804688000004</v>
      </c>
      <c r="M77" s="318"/>
      <c r="N77" s="318"/>
      <c r="O77" s="318"/>
      <c r="P77" s="392">
        <f t="shared" si="8"/>
        <v>74513.804688000004</v>
      </c>
      <c r="Q77" s="392">
        <f t="shared" si="3"/>
        <v>0</v>
      </c>
      <c r="R77" s="392">
        <f t="shared" si="4"/>
        <v>0</v>
      </c>
      <c r="S77" s="373"/>
      <c r="T77" s="374"/>
      <c r="U77" s="524">
        <f t="shared" si="9"/>
        <v>-66999</v>
      </c>
      <c r="V77" s="520">
        <f t="shared" si="10"/>
        <v>66999</v>
      </c>
      <c r="W77" s="524">
        <f t="shared" si="11"/>
        <v>78616.236718902524</v>
      </c>
      <c r="X77" s="520">
        <f t="shared" si="12"/>
        <v>-11617.236718902524</v>
      </c>
      <c r="Y77" s="525">
        <f t="shared" si="13"/>
        <v>-68376.643228022163</v>
      </c>
    </row>
    <row r="78" spans="1:38" x14ac:dyDescent="0.2">
      <c r="A78" s="1"/>
      <c r="C78" s="387">
        <f t="shared" si="5"/>
        <v>42765</v>
      </c>
      <c r="D78" s="388">
        <f t="shared" si="6"/>
        <v>150304.21677419354</v>
      </c>
      <c r="E78" s="392">
        <f t="shared" si="7"/>
        <v>76230.640625</v>
      </c>
      <c r="F78" s="428">
        <f t="shared" si="0"/>
        <v>0.93495530999999998</v>
      </c>
      <c r="G78" s="390">
        <f t="shared" si="1"/>
        <v>71.272199999999998</v>
      </c>
      <c r="H78" s="391">
        <f t="shared" si="2"/>
        <v>226607.06455450354</v>
      </c>
      <c r="I78" s="324">
        <v>66999</v>
      </c>
      <c r="J78" s="325"/>
      <c r="K78" s="325"/>
      <c r="L78" s="319">
        <v>76230.640625</v>
      </c>
      <c r="M78" s="320"/>
      <c r="N78" s="320"/>
      <c r="O78" s="320"/>
      <c r="P78" s="392">
        <f t="shared" si="8"/>
        <v>76230.640625</v>
      </c>
      <c r="Q78" s="392">
        <f t="shared" si="3"/>
        <v>0</v>
      </c>
      <c r="R78" s="392">
        <f t="shared" si="4"/>
        <v>0</v>
      </c>
      <c r="S78" s="373"/>
      <c r="T78" s="374"/>
      <c r="U78" s="524">
        <f t="shared" si="9"/>
        <v>-66999</v>
      </c>
      <c r="V78" s="520">
        <f t="shared" si="10"/>
        <v>66999</v>
      </c>
      <c r="W78" s="524">
        <f t="shared" si="11"/>
        <v>80427.594775249992</v>
      </c>
      <c r="X78" s="520">
        <f t="shared" si="12"/>
        <v>-13428.594775249992</v>
      </c>
      <c r="Y78" s="525">
        <f t="shared" si="13"/>
        <v>-81805.238003272156</v>
      </c>
    </row>
    <row r="79" spans="1:38" ht="15" thickBot="1" x14ac:dyDescent="0.25">
      <c r="A79" s="1"/>
      <c r="C79" s="393">
        <f t="shared" si="5"/>
        <v>42766</v>
      </c>
      <c r="D79" s="394">
        <f t="shared" si="6"/>
        <v>150304.21677419354</v>
      </c>
      <c r="E79" s="395">
        <f t="shared" si="7"/>
        <v>75997.773438000004</v>
      </c>
      <c r="F79" s="429">
        <f t="shared" si="0"/>
        <v>0.93495530999999998</v>
      </c>
      <c r="G79" s="396">
        <f t="shared" si="1"/>
        <v>71.054500000000004</v>
      </c>
      <c r="H79" s="397">
        <f t="shared" si="2"/>
        <v>226373.97966750353</v>
      </c>
      <c r="I79" s="326">
        <v>66999</v>
      </c>
      <c r="J79" s="327"/>
      <c r="K79" s="327"/>
      <c r="L79" s="321">
        <v>75997.773438000004</v>
      </c>
      <c r="M79" s="322"/>
      <c r="N79" s="322"/>
      <c r="O79" s="322"/>
      <c r="P79" s="395">
        <f t="shared" si="8"/>
        <v>75997.773438000004</v>
      </c>
      <c r="Q79" s="395">
        <f t="shared" si="3"/>
        <v>0</v>
      </c>
      <c r="R79" s="395">
        <f t="shared" si="4"/>
        <v>0</v>
      </c>
      <c r="S79" s="375"/>
      <c r="T79" s="376"/>
      <c r="U79" s="521">
        <f t="shared" si="9"/>
        <v>-66999</v>
      </c>
      <c r="V79" s="528">
        <f t="shared" si="10"/>
        <v>66999</v>
      </c>
      <c r="W79" s="521">
        <f t="shared" si="11"/>
        <v>80181.906852402535</v>
      </c>
      <c r="X79" s="528">
        <f t="shared" si="12"/>
        <v>-13182.906852402535</v>
      </c>
      <c r="Y79" s="529">
        <f t="shared" si="13"/>
        <v>-94988.144855674691</v>
      </c>
    </row>
    <row r="80" spans="1:38" ht="15" thickBot="1" x14ac:dyDescent="0.25">
      <c r="A80" s="1"/>
      <c r="C80" s="398"/>
      <c r="D80" s="399">
        <f>SUM(D49:D79)</f>
        <v>4659430.72</v>
      </c>
      <c r="E80" s="400">
        <f>SUM(E49:E79)</f>
        <v>2025460.3972259997</v>
      </c>
      <c r="F80" s="400"/>
      <c r="G80" s="401">
        <f>SUM(G49:G79)</f>
        <v>1893.7150999999997</v>
      </c>
      <c r="H80" s="399">
        <f>SUM(H49:H79)</f>
        <v>6686813.8159406101</v>
      </c>
      <c r="I80" s="432">
        <f>SUM(I49:I79)</f>
        <v>2041986</v>
      </c>
      <c r="J80" s="432">
        <f t="shared" ref="J80:R80" si="14">SUM(J49:J79)</f>
        <v>0</v>
      </c>
      <c r="K80" s="432">
        <f t="shared" si="14"/>
        <v>0</v>
      </c>
      <c r="L80" s="432">
        <f t="shared" si="14"/>
        <v>2025460.3972259997</v>
      </c>
      <c r="M80" s="432">
        <f t="shared" si="14"/>
        <v>0</v>
      </c>
      <c r="N80" s="432">
        <f t="shared" si="14"/>
        <v>0</v>
      </c>
      <c r="O80" s="432">
        <f t="shared" si="14"/>
        <v>0</v>
      </c>
      <c r="P80" s="432">
        <f t="shared" si="14"/>
        <v>2025460.3972259997</v>
      </c>
      <c r="Q80" s="432">
        <f t="shared" si="14"/>
        <v>0</v>
      </c>
      <c r="R80" s="432">
        <f t="shared" si="14"/>
        <v>0</v>
      </c>
      <c r="U80" s="530"/>
      <c r="V80" s="328">
        <f>SUM(V49:V79)</f>
        <v>2041986</v>
      </c>
      <c r="W80" s="328">
        <f>SUM(W49:W79)</f>
        <v>2136974.1448556748</v>
      </c>
      <c r="X80" s="328">
        <f>SUM(X49:X79)</f>
        <v>-94988.144855674691</v>
      </c>
      <c r="Y80" s="323">
        <f>Y79</f>
        <v>-94988.144855674691</v>
      </c>
      <c r="AL80" s="361">
        <f>Y79</f>
        <v>-94988.144855674691</v>
      </c>
    </row>
    <row r="81" spans="1:14" ht="15" customHeight="1" x14ac:dyDescent="0.2">
      <c r="A81" s="1"/>
      <c r="B81"/>
      <c r="C81"/>
      <c r="D81"/>
      <c r="E81"/>
      <c r="F81"/>
      <c r="G81"/>
      <c r="H81"/>
      <c r="I81"/>
      <c r="J81"/>
      <c r="K81"/>
      <c r="L81"/>
      <c r="N81" s="2"/>
    </row>
  </sheetData>
  <mergeCells count="12">
    <mergeCell ref="C10:D10"/>
    <mergeCell ref="C11:D11"/>
    <mergeCell ref="C3:M4"/>
    <mergeCell ref="C5:M5"/>
    <mergeCell ref="C6:M6"/>
    <mergeCell ref="G7:H7"/>
    <mergeCell ref="C9:D9"/>
    <mergeCell ref="D23:E23"/>
    <mergeCell ref="D24:E24"/>
    <mergeCell ref="C28:F28"/>
    <mergeCell ref="C39:F39"/>
    <mergeCell ref="S47:Y47"/>
  </mergeCells>
  <conditionalFormatting sqref="L49:O79">
    <cfRule type="cellIs" dxfId="125" priority="1" stopIfTrue="1" operator="equal">
      <formula>0</formula>
    </cfRule>
  </conditionalFormatting>
  <printOptions horizontalCentered="1"/>
  <pageMargins left="0" right="0.70866141732283472" top="0.35433070866141736" bottom="0.74803149606299213" header="0.31496062992125984" footer="0.31496062992125984"/>
  <pageSetup scale="75" orientation="landscape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L81"/>
  <sheetViews>
    <sheetView workbookViewId="0"/>
  </sheetViews>
  <sheetFormatPr baseColWidth="10" defaultColWidth="11" defaultRowHeight="14.25" x14ac:dyDescent="0.2"/>
  <cols>
    <col min="1" max="1" width="11" style="2"/>
    <col min="2" max="2" width="3.875" style="2" bestFit="1" customWidth="1"/>
    <col min="3" max="3" width="16.125" style="2" customWidth="1"/>
    <col min="4" max="4" width="12.375" style="2" bestFit="1" customWidth="1"/>
    <col min="5" max="5" width="10.875" style="2" bestFit="1" customWidth="1"/>
    <col min="6" max="6" width="17.125" style="2" bestFit="1" customWidth="1"/>
    <col min="7" max="7" width="13.125" style="2" bestFit="1" customWidth="1"/>
    <col min="8" max="8" width="12.125" style="2" bestFit="1" customWidth="1"/>
    <col min="9" max="9" width="11.125" style="2" bestFit="1" customWidth="1"/>
    <col min="10" max="10" width="11.875" style="2" bestFit="1" customWidth="1"/>
    <col min="11" max="11" width="11.625" style="2" bestFit="1" customWidth="1"/>
    <col min="12" max="12" width="12.125" style="2" customWidth="1"/>
    <col min="13" max="13" width="12.5" style="2" bestFit="1" customWidth="1"/>
    <col min="14" max="14" width="9" style="1" customWidth="1"/>
    <col min="15" max="15" width="13.125" style="2" bestFit="1" customWidth="1"/>
    <col min="16" max="16" width="11" style="2"/>
    <col min="17" max="17" width="12.625" style="2" bestFit="1" customWidth="1"/>
    <col min="18" max="25" width="11" style="2"/>
    <col min="26" max="32" width="10.875" customWidth="1"/>
    <col min="33" max="16384" width="11" style="2"/>
  </cols>
  <sheetData>
    <row r="2" spans="2:25" x14ac:dyDescent="0.2"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2:25" ht="15" customHeight="1" x14ac:dyDescent="0.2">
      <c r="B3" s="1"/>
      <c r="C3" s="2254" t="s">
        <v>0</v>
      </c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</row>
    <row r="4" spans="2:25" ht="15" customHeight="1" x14ac:dyDescent="0.2"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</row>
    <row r="5" spans="2:25" x14ac:dyDescent="0.2">
      <c r="B5" s="1"/>
      <c r="C5" s="2257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</row>
    <row r="6" spans="2:25" ht="30" customHeight="1" x14ac:dyDescent="0.2">
      <c r="B6" s="1"/>
      <c r="C6" s="2254" t="s">
        <v>217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</row>
    <row r="7" spans="2:25" x14ac:dyDescent="0.2">
      <c r="B7" s="1"/>
      <c r="C7" s="546"/>
      <c r="D7" s="546"/>
      <c r="E7" s="546"/>
      <c r="F7" s="546"/>
      <c r="G7" s="2271">
        <v>42767</v>
      </c>
      <c r="H7" s="2257"/>
      <c r="I7" s="546"/>
      <c r="J7" s="546"/>
      <c r="K7" s="546"/>
      <c r="L7" s="546"/>
      <c r="M7" s="546"/>
      <c r="N7" s="18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2:25" x14ac:dyDescent="0.2">
      <c r="B8" s="1"/>
      <c r="C8" s="546"/>
      <c r="D8" s="546"/>
      <c r="E8" s="546"/>
      <c r="F8" s="546"/>
      <c r="G8" s="546"/>
      <c r="H8" s="546"/>
      <c r="I8" s="546"/>
      <c r="J8" s="546"/>
      <c r="K8" s="546"/>
      <c r="L8" s="546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2:25" ht="25.5" x14ac:dyDescent="0.2">
      <c r="B9" s="1"/>
      <c r="C9" s="2272" t="s">
        <v>6</v>
      </c>
      <c r="D9" s="2272"/>
      <c r="E9" s="547" t="s">
        <v>94</v>
      </c>
      <c r="F9" s="547" t="s">
        <v>126</v>
      </c>
      <c r="G9" s="410" t="s">
        <v>133</v>
      </c>
      <c r="H9" s="547" t="s">
        <v>127</v>
      </c>
      <c r="I9" s="547" t="s">
        <v>128</v>
      </c>
      <c r="J9" s="546"/>
      <c r="K9" s="546"/>
      <c r="L9" s="546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2:25" x14ac:dyDescent="0.2">
      <c r="B10" s="1"/>
      <c r="C10" s="2270" t="s">
        <v>131</v>
      </c>
      <c r="D10" s="2270"/>
      <c r="E10" s="433">
        <f>IF(C15=0,D15,C15)</f>
        <v>4659430.72</v>
      </c>
      <c r="F10" s="407">
        <f>E10*0.16</f>
        <v>745508.91519999993</v>
      </c>
      <c r="G10" s="407">
        <f>E10+F10</f>
        <v>5404939.6351999994</v>
      </c>
      <c r="H10" s="511" t="s">
        <v>205</v>
      </c>
      <c r="I10" s="543">
        <f>M33/L33</f>
        <v>19.521000000000001</v>
      </c>
      <c r="J10" s="546"/>
      <c r="K10" s="546"/>
      <c r="L10" s="546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2:25" x14ac:dyDescent="0.2">
      <c r="B11" s="1"/>
      <c r="C11" s="2270" t="s">
        <v>132</v>
      </c>
      <c r="D11" s="2270"/>
      <c r="E11" s="433">
        <f>IF(C16=0,D16,C16)</f>
        <v>1756.92</v>
      </c>
      <c r="F11" s="407">
        <f>E11*0.16</f>
        <v>281.10720000000003</v>
      </c>
      <c r="G11" s="407">
        <f>E11+F11</f>
        <v>2038.0272</v>
      </c>
      <c r="H11" s="511" t="s">
        <v>205</v>
      </c>
      <c r="I11" s="543">
        <f>M34/L34</f>
        <v>19.521000000000001</v>
      </c>
      <c r="J11" s="546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2:25" x14ac:dyDescent="0.2">
      <c r="B12" s="1"/>
      <c r="C12" s="546"/>
      <c r="D12" s="546"/>
      <c r="E12" s="546"/>
      <c r="F12" s="546"/>
      <c r="G12" s="546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2:25" ht="15" thickBot="1" x14ac:dyDescent="0.25">
      <c r="B13" s="1"/>
      <c r="C13" s="546"/>
      <c r="D13" s="546"/>
      <c r="E13" s="546"/>
      <c r="F13" s="546"/>
      <c r="G13" s="546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2:25" x14ac:dyDescent="0.2">
      <c r="B14" s="1"/>
      <c r="C14" s="440" t="s">
        <v>155</v>
      </c>
      <c r="D14" s="441" t="s">
        <v>156</v>
      </c>
      <c r="E14" s="442" t="s">
        <v>112</v>
      </c>
      <c r="F14" s="546"/>
      <c r="G14" s="546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2:25" x14ac:dyDescent="0.2">
      <c r="B15" s="1"/>
      <c r="C15" s="443">
        <v>4659430.72</v>
      </c>
      <c r="D15" s="444">
        <f>D80</f>
        <v>4659430.7200000035</v>
      </c>
      <c r="E15" s="445">
        <f>C15-D15</f>
        <v>0</v>
      </c>
      <c r="F15" s="546"/>
      <c r="G15" s="546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2:25" ht="15" thickBot="1" x14ac:dyDescent="0.25">
      <c r="B16" s="1"/>
      <c r="C16" s="446">
        <v>1756.92</v>
      </c>
      <c r="D16" s="447">
        <f>ROUND(G80,2)</f>
        <v>1756.92</v>
      </c>
      <c r="E16" s="448">
        <f>C16-D16</f>
        <v>0</v>
      </c>
      <c r="F16" s="546"/>
      <c r="G16" s="546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2:25" x14ac:dyDescent="0.2">
      <c r="B17" s="1"/>
      <c r="C17" s="546"/>
      <c r="D17" s="546"/>
      <c r="E17" s="546"/>
      <c r="F17" s="546"/>
      <c r="G17" s="546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2:25" x14ac:dyDescent="0.2">
      <c r="B18" s="1"/>
      <c r="C18" s="546"/>
      <c r="D18" s="546"/>
      <c r="E18" s="546"/>
      <c r="F18" s="546"/>
      <c r="G18" s="546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2:25" x14ac:dyDescent="0.2">
      <c r="B19" s="1"/>
      <c r="C19" s="546"/>
      <c r="D19" s="546"/>
      <c r="E19" s="546"/>
      <c r="F19" s="546"/>
      <c r="G19" s="546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2:25" x14ac:dyDescent="0.2">
      <c r="B20" s="1"/>
      <c r="C20" s="546"/>
      <c r="D20" s="546"/>
      <c r="E20" s="546"/>
      <c r="F20" s="546"/>
      <c r="G20" s="546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2:25" x14ac:dyDescent="0.2">
      <c r="B21" s="1"/>
      <c r="C21" s="546"/>
      <c r="D21" s="546"/>
      <c r="E21" s="546"/>
      <c r="F21" s="546"/>
      <c r="G21" s="546"/>
      <c r="H21" s="1"/>
      <c r="I21" s="1"/>
      <c r="J21" s="1"/>
      <c r="K21" s="1"/>
      <c r="L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2:25" ht="15" thickBot="1" x14ac:dyDescent="0.25">
      <c r="B22" s="1"/>
      <c r="C22" s="419" t="s">
        <v>137</v>
      </c>
      <c r="D22" s="546" t="s">
        <v>138</v>
      </c>
      <c r="E22" s="546"/>
      <c r="F22" s="546" t="s">
        <v>139</v>
      </c>
      <c r="G22" s="546" t="s">
        <v>157</v>
      </c>
      <c r="H22" s="546" t="s">
        <v>143</v>
      </c>
      <c r="I22" s="546" t="s">
        <v>142</v>
      </c>
      <c r="J22" s="546" t="s">
        <v>141</v>
      </c>
      <c r="K22" s="546" t="s">
        <v>140</v>
      </c>
      <c r="L22" s="546" t="s">
        <v>144</v>
      </c>
      <c r="M22" s="546" t="s">
        <v>146</v>
      </c>
      <c r="N22" s="546"/>
      <c r="O22" s="546"/>
      <c r="P22" s="546"/>
      <c r="Q22" s="1"/>
      <c r="R22" s="1"/>
      <c r="S22" s="1"/>
      <c r="T22" s="1"/>
      <c r="U22" s="1"/>
      <c r="V22" s="1"/>
      <c r="W22" s="1"/>
      <c r="X22" s="1"/>
      <c r="Y22" s="1"/>
    </row>
    <row r="23" spans="2:25" ht="36.75" customHeight="1" x14ac:dyDescent="0.2">
      <c r="B23" s="1"/>
      <c r="C23" s="402" t="s">
        <v>134</v>
      </c>
      <c r="D23" s="2261" t="s">
        <v>135</v>
      </c>
      <c r="E23" s="2262"/>
      <c r="F23" s="548" t="s">
        <v>136</v>
      </c>
      <c r="G23" s="461" t="s">
        <v>153</v>
      </c>
      <c r="H23" s="420" t="s">
        <v>129</v>
      </c>
      <c r="I23" s="403" t="s">
        <v>130</v>
      </c>
      <c r="J23" s="422"/>
      <c r="K23" s="422"/>
      <c r="L23" s="422"/>
      <c r="M23" s="404" t="s">
        <v>158</v>
      </c>
      <c r="N23" s="546"/>
      <c r="O23" s="546"/>
      <c r="P23" s="546"/>
      <c r="Q23" s="546"/>
      <c r="R23" s="546"/>
      <c r="S23" s="546"/>
      <c r="T23" s="546"/>
      <c r="U23" s="1"/>
      <c r="V23" s="1"/>
      <c r="W23" s="1"/>
      <c r="X23" s="1"/>
      <c r="Y23" s="1"/>
    </row>
    <row r="24" spans="2:25" x14ac:dyDescent="0.2">
      <c r="B24" s="1"/>
      <c r="C24" s="405">
        <v>850</v>
      </c>
      <c r="D24" s="2263">
        <v>850</v>
      </c>
      <c r="E24" s="2264"/>
      <c r="F24" s="418">
        <v>31482640</v>
      </c>
      <c r="G24" s="462">
        <v>28</v>
      </c>
      <c r="H24" s="460">
        <f>VLOOKUP(C47,Tarifas!D4:H303,3)</f>
        <v>0.14799999999999999</v>
      </c>
      <c r="I24" s="424">
        <f>VLOOKUP(C47,Tarifas!D4:H303,5)</f>
        <v>1E-3</v>
      </c>
      <c r="J24" s="421">
        <v>190.6</v>
      </c>
      <c r="K24" s="421">
        <v>201.4</v>
      </c>
      <c r="L24" s="421">
        <v>19.521000000000001</v>
      </c>
      <c r="M24" s="431">
        <f>E80</f>
        <v>1856470.7312190002</v>
      </c>
      <c r="N24" s="430" t="s">
        <v>62</v>
      </c>
      <c r="O24" s="546"/>
      <c r="P24" s="546"/>
      <c r="Q24" s="546"/>
      <c r="R24" s="546"/>
      <c r="S24" s="546"/>
      <c r="T24" s="546"/>
      <c r="U24" s="1"/>
      <c r="V24" s="1"/>
      <c r="W24" s="1"/>
      <c r="X24" s="1"/>
      <c r="Y24" s="1"/>
    </row>
    <row r="25" spans="2:25" x14ac:dyDescent="0.2">
      <c r="B25" s="1"/>
      <c r="C25" s="546"/>
      <c r="D25" s="546"/>
      <c r="E25" s="546"/>
      <c r="F25" s="546"/>
      <c r="G25" s="546"/>
      <c r="H25" s="546"/>
      <c r="I25" s="546"/>
      <c r="J25" s="546"/>
      <c r="K25" s="546"/>
      <c r="L25" s="546"/>
      <c r="M25" s="546"/>
      <c r="N25" s="546"/>
      <c r="O25" s="546"/>
      <c r="P25" s="546"/>
      <c r="Q25" s="546"/>
      <c r="R25" s="546"/>
      <c r="S25" s="1"/>
      <c r="T25" s="1"/>
      <c r="U25" s="1"/>
      <c r="V25" s="1"/>
      <c r="W25" s="1"/>
      <c r="X25" s="1"/>
      <c r="Y25" s="1"/>
    </row>
    <row r="26" spans="2:25" x14ac:dyDescent="0.2">
      <c r="B26" s="1"/>
      <c r="C26" s="546"/>
      <c r="D26" s="546"/>
      <c r="E26" s="546"/>
      <c r="F26" s="546"/>
      <c r="G26" s="546"/>
      <c r="H26" s="546"/>
      <c r="I26" s="546"/>
      <c r="J26" s="546"/>
      <c r="K26" s="546"/>
      <c r="L26" s="546"/>
      <c r="M26" s="546"/>
      <c r="N26" s="546"/>
      <c r="O26" s="546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2:25" x14ac:dyDescent="0.2">
      <c r="B27" s="1"/>
      <c r="C27" s="546"/>
      <c r="D27" s="546"/>
      <c r="E27" s="546"/>
      <c r="F27" s="546"/>
      <c r="G27" s="546"/>
      <c r="H27" s="546"/>
      <c r="I27" s="546"/>
      <c r="J27" s="546"/>
      <c r="K27" s="546"/>
      <c r="L27" s="546"/>
      <c r="M27" s="546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2:25" ht="15" thickBot="1" x14ac:dyDescent="0.25">
      <c r="B28" s="1"/>
      <c r="C28" s="2265" t="s">
        <v>86</v>
      </c>
      <c r="D28" s="2265"/>
      <c r="E28" s="2265"/>
      <c r="F28" s="2265"/>
      <c r="G28" s="549"/>
      <c r="H28" s="334"/>
      <c r="I28" s="334"/>
      <c r="J28" s="334"/>
      <c r="K28" s="549"/>
      <c r="L28" s="336"/>
      <c r="M28" s="336"/>
      <c r="O28" s="530" t="s">
        <v>212</v>
      </c>
      <c r="P28" s="674">
        <v>19.0837</v>
      </c>
      <c r="Q28" s="530" t="s">
        <v>213</v>
      </c>
      <c r="R28" s="1"/>
      <c r="S28" s="1"/>
      <c r="T28" s="1"/>
      <c r="U28" s="1"/>
      <c r="V28" s="1"/>
      <c r="W28" s="1"/>
      <c r="X28" s="1"/>
      <c r="Y28" s="1"/>
    </row>
    <row r="29" spans="2:25" ht="22.5" x14ac:dyDescent="0.2">
      <c r="B29" s="1"/>
      <c r="C29" s="337" t="s">
        <v>87</v>
      </c>
      <c r="D29" s="544" t="s">
        <v>88</v>
      </c>
      <c r="E29" s="544" t="s">
        <v>89</v>
      </c>
      <c r="F29" s="544" t="s">
        <v>20</v>
      </c>
      <c r="G29" s="544" t="s">
        <v>160</v>
      </c>
      <c r="H29" s="544" t="s">
        <v>90</v>
      </c>
      <c r="I29" s="544" t="s">
        <v>91</v>
      </c>
      <c r="J29" s="544" t="s">
        <v>92</v>
      </c>
      <c r="K29" s="544" t="s">
        <v>93</v>
      </c>
      <c r="L29" s="544" t="s">
        <v>94</v>
      </c>
      <c r="M29" s="545" t="s">
        <v>95</v>
      </c>
      <c r="O29" s="590" t="s">
        <v>95</v>
      </c>
      <c r="P29" s="1"/>
      <c r="Q29" s="590" t="s">
        <v>95</v>
      </c>
      <c r="R29" s="1"/>
      <c r="S29" s="1"/>
      <c r="T29" s="1"/>
      <c r="U29" s="1"/>
      <c r="V29" s="1"/>
      <c r="W29" s="1"/>
      <c r="X29" s="1"/>
      <c r="Y29" s="1"/>
    </row>
    <row r="30" spans="2:25" x14ac:dyDescent="0.2">
      <c r="B30" s="1"/>
      <c r="C30" s="338"/>
      <c r="D30" s="339"/>
      <c r="E30" s="339" t="s">
        <v>96</v>
      </c>
      <c r="F30" s="340" t="s">
        <v>97</v>
      </c>
      <c r="G30" s="340">
        <v>2201</v>
      </c>
      <c r="H30" s="339">
        <v>20823</v>
      </c>
      <c r="I30" s="341">
        <v>40000</v>
      </c>
      <c r="J30" s="339">
        <v>138.15</v>
      </c>
      <c r="K30" s="342">
        <v>0</v>
      </c>
      <c r="L30" s="343">
        <f>ROUND(K30*E$10,2)</f>
        <v>0</v>
      </c>
      <c r="M30" s="344">
        <f>L30*$I$10</f>
        <v>0</v>
      </c>
      <c r="O30" s="591">
        <v>0</v>
      </c>
      <c r="P30" s="1"/>
      <c r="Q30" s="591">
        <f>M30-O30</f>
        <v>0</v>
      </c>
      <c r="R30" s="1"/>
      <c r="S30" s="1"/>
      <c r="T30" s="1"/>
      <c r="U30" s="1"/>
      <c r="V30" s="1"/>
      <c r="W30" s="1"/>
      <c r="X30" s="1"/>
      <c r="Y30" s="1"/>
    </row>
    <row r="31" spans="2:25" x14ac:dyDescent="0.2">
      <c r="B31" s="1"/>
      <c r="C31" s="338"/>
      <c r="D31" s="339"/>
      <c r="E31" s="339" t="s">
        <v>98</v>
      </c>
      <c r="F31" s="340" t="s">
        <v>97</v>
      </c>
      <c r="G31" s="340">
        <v>2201</v>
      </c>
      <c r="H31" s="339">
        <v>20824</v>
      </c>
      <c r="I31" s="341">
        <v>40000</v>
      </c>
      <c r="J31" s="339">
        <v>138.15</v>
      </c>
      <c r="K31" s="342">
        <v>0</v>
      </c>
      <c r="L31" s="343">
        <f>ROUND(K31*E$10,2)</f>
        <v>0</v>
      </c>
      <c r="M31" s="344">
        <f>L31*$I$10</f>
        <v>0</v>
      </c>
      <c r="O31" s="591">
        <v>0</v>
      </c>
      <c r="P31" s="1"/>
      <c r="Q31" s="591">
        <f>M31-O31</f>
        <v>0</v>
      </c>
      <c r="R31" s="1"/>
      <c r="S31" s="1"/>
      <c r="T31" s="1"/>
      <c r="U31" s="1"/>
      <c r="V31" s="1"/>
      <c r="W31" s="1"/>
      <c r="X31" s="1"/>
      <c r="Y31" s="1"/>
    </row>
    <row r="32" spans="2:25" x14ac:dyDescent="0.2">
      <c r="B32" s="1"/>
      <c r="C32" s="338"/>
      <c r="D32" s="339"/>
      <c r="E32" s="339" t="s">
        <v>99</v>
      </c>
      <c r="F32" s="340" t="s">
        <v>100</v>
      </c>
      <c r="G32" s="340">
        <v>2230</v>
      </c>
      <c r="H32" s="339">
        <v>22228</v>
      </c>
      <c r="I32" s="341">
        <v>32000</v>
      </c>
      <c r="J32" s="339">
        <v>130.80000000000001</v>
      </c>
      <c r="K32" s="342">
        <v>0</v>
      </c>
      <c r="L32" s="343">
        <f>ROUND(K32*E$10,2)</f>
        <v>0</v>
      </c>
      <c r="M32" s="344">
        <f>L32*$I$10</f>
        <v>0</v>
      </c>
      <c r="O32" s="591">
        <f>N32*$I$10</f>
        <v>0</v>
      </c>
      <c r="P32" s="1"/>
      <c r="Q32" s="591">
        <f>M32-O32</f>
        <v>0</v>
      </c>
      <c r="R32" s="1"/>
      <c r="S32" s="1"/>
      <c r="T32" s="1"/>
      <c r="U32" s="1"/>
      <c r="V32" s="1"/>
      <c r="W32" s="1"/>
      <c r="X32" s="1"/>
      <c r="Y32" s="1"/>
    </row>
    <row r="33" spans="2:25" x14ac:dyDescent="0.2">
      <c r="B33" s="1"/>
      <c r="C33" s="338">
        <v>800762390</v>
      </c>
      <c r="D33" s="339">
        <v>5</v>
      </c>
      <c r="E33" s="354" t="s">
        <v>101</v>
      </c>
      <c r="F33" s="463" t="s">
        <v>23</v>
      </c>
      <c r="G33" s="463">
        <v>2044</v>
      </c>
      <c r="H33" s="354">
        <v>591000420</v>
      </c>
      <c r="I33" s="341">
        <v>80000</v>
      </c>
      <c r="J33" s="339"/>
      <c r="K33" s="342">
        <v>0.09</v>
      </c>
      <c r="L33" s="343">
        <f>ROUND(K33*E$10,2)</f>
        <v>419348.76</v>
      </c>
      <c r="M33" s="344">
        <f>L33*L24</f>
        <v>8186107.1439600009</v>
      </c>
      <c r="O33" s="591">
        <f>L33*P28:P28</f>
        <v>8002725.9312120005</v>
      </c>
      <c r="P33" s="1"/>
      <c r="Q33" s="591">
        <f>M33-O33</f>
        <v>183381.2127480004</v>
      </c>
      <c r="R33" s="1"/>
      <c r="S33" s="1"/>
      <c r="T33" s="1"/>
      <c r="U33" s="1"/>
      <c r="V33" s="1"/>
      <c r="W33" s="1"/>
      <c r="X33" s="1"/>
      <c r="Y33" s="1"/>
    </row>
    <row r="34" spans="2:25" ht="15" thickBot="1" x14ac:dyDescent="0.25">
      <c r="B34" s="1"/>
      <c r="C34" s="345">
        <v>800642440</v>
      </c>
      <c r="D34" s="346">
        <v>1</v>
      </c>
      <c r="E34" s="347" t="s">
        <v>101</v>
      </c>
      <c r="F34" s="348" t="s">
        <v>159</v>
      </c>
      <c r="G34" s="348">
        <v>2277</v>
      </c>
      <c r="H34" s="347">
        <v>22770</v>
      </c>
      <c r="I34" s="349">
        <f>850000-I30-I31-I32-I33</f>
        <v>658000</v>
      </c>
      <c r="J34" s="346"/>
      <c r="K34" s="350">
        <v>0.91</v>
      </c>
      <c r="L34" s="351">
        <f>ROUND(K34*E$10,2)</f>
        <v>4240081.96</v>
      </c>
      <c r="M34" s="352">
        <f>L34*I10</f>
        <v>82770639.941160008</v>
      </c>
      <c r="O34" s="592">
        <f>L34*P28</f>
        <v>80916452.100051999</v>
      </c>
      <c r="P34" s="1"/>
      <c r="Q34" s="592">
        <f>M34-O34</f>
        <v>1854187.8411080092</v>
      </c>
      <c r="R34" s="1"/>
      <c r="S34" s="1"/>
      <c r="T34" s="1"/>
      <c r="U34" s="1"/>
      <c r="V34" s="1"/>
      <c r="W34" s="1"/>
      <c r="X34" s="1"/>
      <c r="Y34" s="1"/>
    </row>
    <row r="35" spans="2:25" x14ac:dyDescent="0.2">
      <c r="B35" s="1"/>
      <c r="C35" s="406">
        <v>3000623</v>
      </c>
      <c r="D35" s="353" t="s">
        <v>102</v>
      </c>
      <c r="E35" s="353"/>
      <c r="F35" s="353"/>
      <c r="G35" s="353"/>
      <c r="H35" s="354"/>
      <c r="I35" s="355">
        <f>SUM(I30:I34)</f>
        <v>850000</v>
      </c>
      <c r="J35" s="353"/>
      <c r="K35" s="356">
        <f>SUM(K30:K34)</f>
        <v>1</v>
      </c>
      <c r="L35" s="357">
        <f>SUM(L30:L34)</f>
        <v>4659430.72</v>
      </c>
      <c r="M35" s="357">
        <f>SUM(M30:M34)</f>
        <v>90956747.085120007</v>
      </c>
      <c r="O35" s="593">
        <f>SUM(O30:O34)</f>
        <v>88919178.031264007</v>
      </c>
      <c r="P35" s="1"/>
      <c r="Q35" s="593">
        <f>SUM(Q30:Q33)</f>
        <v>183381.2127480004</v>
      </c>
      <c r="R35" s="1"/>
      <c r="S35" s="1"/>
      <c r="T35" s="1"/>
      <c r="U35" s="1"/>
      <c r="V35" s="1"/>
      <c r="W35" s="1"/>
      <c r="X35" s="1"/>
      <c r="Y35" s="1"/>
    </row>
    <row r="36" spans="2:25" x14ac:dyDescent="0.2">
      <c r="B36" s="1"/>
      <c r="C36" s="336"/>
      <c r="D36" s="336"/>
      <c r="E36" s="336"/>
      <c r="F36" s="358"/>
      <c r="G36" s="358"/>
      <c r="H36" s="336"/>
      <c r="I36" s="336"/>
      <c r="J36" s="336"/>
      <c r="K36" s="336"/>
      <c r="L36" s="359"/>
      <c r="M36" s="1"/>
      <c r="O36" s="594">
        <v>0</v>
      </c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2:25" x14ac:dyDescent="0.2">
      <c r="B37" s="1"/>
      <c r="C37" s="336"/>
      <c r="D37" s="336"/>
      <c r="E37" s="336"/>
      <c r="F37" s="358"/>
      <c r="G37" s="358"/>
      <c r="H37" s="336"/>
      <c r="I37" s="336"/>
      <c r="J37" s="336"/>
      <c r="K37" s="336"/>
      <c r="L37" s="359"/>
      <c r="M37" s="1"/>
      <c r="O37" s="594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2:25" x14ac:dyDescent="0.2">
      <c r="B38" s="1"/>
      <c r="C38" s="336"/>
      <c r="D38" s="336"/>
      <c r="E38" s="336"/>
      <c r="F38" s="358"/>
      <c r="G38" s="358"/>
      <c r="H38" s="336"/>
      <c r="I38" s="336"/>
      <c r="J38" s="336"/>
      <c r="K38" s="336"/>
      <c r="L38" s="359"/>
      <c r="M38" s="1"/>
      <c r="O38" s="594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2:25" ht="15" thickBot="1" x14ac:dyDescent="0.25">
      <c r="B39" s="1"/>
      <c r="C39" s="2266" t="s">
        <v>103</v>
      </c>
      <c r="D39" s="2266"/>
      <c r="E39" s="2266"/>
      <c r="F39" s="2266"/>
      <c r="G39" s="549"/>
      <c r="H39" s="334"/>
      <c r="I39" s="334"/>
      <c r="J39" s="334"/>
      <c r="K39" s="336"/>
      <c r="L39" s="336"/>
      <c r="M39" s="360"/>
      <c r="O39" s="595"/>
      <c r="P39" s="1"/>
      <c r="Q39" s="360"/>
      <c r="R39" s="1"/>
      <c r="S39" s="1"/>
      <c r="T39" s="1"/>
      <c r="U39" s="1"/>
      <c r="V39" s="1"/>
      <c r="W39" s="1"/>
      <c r="X39" s="1"/>
      <c r="Y39" s="1"/>
    </row>
    <row r="40" spans="2:25" ht="22.5" x14ac:dyDescent="0.2">
      <c r="B40" s="1"/>
      <c r="C40" s="337" t="s">
        <v>87</v>
      </c>
      <c r="D40" s="544" t="s">
        <v>88</v>
      </c>
      <c r="E40" s="544" t="s">
        <v>89</v>
      </c>
      <c r="F40" s="544" t="s">
        <v>20</v>
      </c>
      <c r="G40" s="544"/>
      <c r="H40" s="544" t="s">
        <v>90</v>
      </c>
      <c r="I40" s="544" t="s">
        <v>104</v>
      </c>
      <c r="J40" s="544" t="s">
        <v>93</v>
      </c>
      <c r="K40" s="544" t="s">
        <v>92</v>
      </c>
      <c r="L40" s="544" t="s">
        <v>94</v>
      </c>
      <c r="M40" s="545" t="s">
        <v>95</v>
      </c>
      <c r="O40" s="596" t="s">
        <v>95</v>
      </c>
      <c r="P40" s="1"/>
      <c r="Q40" s="590" t="s">
        <v>95</v>
      </c>
      <c r="R40" s="1"/>
      <c r="S40" s="1"/>
      <c r="T40" s="1"/>
      <c r="U40" s="1"/>
      <c r="V40" s="1"/>
      <c r="W40" s="1"/>
      <c r="X40" s="1"/>
      <c r="Y40" s="1"/>
    </row>
    <row r="41" spans="2:25" x14ac:dyDescent="0.2">
      <c r="B41" s="1"/>
      <c r="C41" s="338"/>
      <c r="D41" s="339"/>
      <c r="E41" s="339" t="s">
        <v>96</v>
      </c>
      <c r="F41" s="340" t="s">
        <v>97</v>
      </c>
      <c r="G41" s="340"/>
      <c r="H41" s="339">
        <v>20823</v>
      </c>
      <c r="I41" s="341">
        <f>M80</f>
        <v>0</v>
      </c>
      <c r="J41" s="342">
        <f>I41/I$45</f>
        <v>0</v>
      </c>
      <c r="K41" s="339">
        <v>138.15</v>
      </c>
      <c r="L41" s="343">
        <f>ROUND(J41*$E$11,2)</f>
        <v>0</v>
      </c>
      <c r="M41" s="344">
        <f>L41*L24</f>
        <v>0</v>
      </c>
      <c r="O41" s="591">
        <v>0</v>
      </c>
      <c r="P41" s="1"/>
      <c r="Q41" s="591">
        <f>M41-O41</f>
        <v>0</v>
      </c>
      <c r="R41" s="1"/>
      <c r="S41" s="1"/>
      <c r="T41" s="1"/>
      <c r="U41" s="1"/>
      <c r="V41" s="1"/>
      <c r="W41" s="1"/>
      <c r="X41" s="1"/>
      <c r="Y41" s="1"/>
    </row>
    <row r="42" spans="2:25" x14ac:dyDescent="0.2">
      <c r="B42" s="1"/>
      <c r="C42" s="338"/>
      <c r="D42" s="339"/>
      <c r="E42" s="339" t="s">
        <v>98</v>
      </c>
      <c r="F42" s="340" t="s">
        <v>97</v>
      </c>
      <c r="G42" s="340"/>
      <c r="H42" s="339">
        <v>20824</v>
      </c>
      <c r="I42" s="341">
        <f>N80</f>
        <v>0</v>
      </c>
      <c r="J42" s="342">
        <f>I42/I$45</f>
        <v>0</v>
      </c>
      <c r="K42" s="339">
        <v>138.15</v>
      </c>
      <c r="L42" s="343">
        <f>ROUND(J42*$E$11,2)</f>
        <v>0</v>
      </c>
      <c r="M42" s="344">
        <f>L42*L25</f>
        <v>0</v>
      </c>
      <c r="O42" s="591">
        <v>0</v>
      </c>
      <c r="P42" s="1"/>
      <c r="Q42" s="591">
        <f>M42-O42</f>
        <v>0</v>
      </c>
      <c r="R42" s="1"/>
      <c r="S42" s="1"/>
      <c r="T42" s="1"/>
      <c r="U42" s="1"/>
      <c r="V42" s="1"/>
      <c r="W42" s="1"/>
      <c r="X42" s="1"/>
      <c r="Y42" s="1"/>
    </row>
    <row r="43" spans="2:25" x14ac:dyDescent="0.2">
      <c r="B43" s="1"/>
      <c r="C43" s="338"/>
      <c r="D43" s="339"/>
      <c r="E43" s="339" t="s">
        <v>99</v>
      </c>
      <c r="F43" s="340" t="s">
        <v>100</v>
      </c>
      <c r="G43" s="340"/>
      <c r="H43" s="339">
        <v>22228</v>
      </c>
      <c r="I43" s="341">
        <f>O80</f>
        <v>0</v>
      </c>
      <c r="J43" s="342">
        <f>I43/I$45</f>
        <v>0</v>
      </c>
      <c r="K43" s="339">
        <v>130.80000000000001</v>
      </c>
      <c r="L43" s="343">
        <f>ROUND(J43*$E$11,2)</f>
        <v>0</v>
      </c>
      <c r="M43" s="344">
        <f>L43*L26</f>
        <v>0</v>
      </c>
      <c r="O43" s="591">
        <f>N43*$I$10</f>
        <v>0</v>
      </c>
      <c r="P43" s="1"/>
      <c r="Q43" s="591">
        <f>M43-O43</f>
        <v>0</v>
      </c>
      <c r="R43" s="1"/>
      <c r="S43" s="1"/>
      <c r="T43" s="1"/>
      <c r="U43" s="1"/>
      <c r="V43" s="1"/>
      <c r="W43" s="1"/>
      <c r="X43" s="1"/>
      <c r="Y43" s="1"/>
    </row>
    <row r="44" spans="2:25" ht="15" thickBot="1" x14ac:dyDescent="0.25">
      <c r="B44" s="1">
        <v>7256</v>
      </c>
      <c r="C44" s="345">
        <v>800762390</v>
      </c>
      <c r="D44" s="346">
        <v>6</v>
      </c>
      <c r="E44" s="347" t="s">
        <v>101</v>
      </c>
      <c r="F44" s="348" t="s">
        <v>23</v>
      </c>
      <c r="G44" s="348">
        <v>2044</v>
      </c>
      <c r="H44" s="347">
        <v>591000500</v>
      </c>
      <c r="I44" s="349">
        <f>L80</f>
        <v>1856470.7312190002</v>
      </c>
      <c r="J44" s="350">
        <f>I44/I$45</f>
        <v>1</v>
      </c>
      <c r="K44" s="346">
        <v>138.15</v>
      </c>
      <c r="L44" s="351">
        <f>ROUND(J44*$E$11,2)</f>
        <v>1756.92</v>
      </c>
      <c r="M44" s="352">
        <f>L44*I10</f>
        <v>34296.835320000006</v>
      </c>
      <c r="O44" s="592">
        <f>L44*P28</f>
        <v>33528.534204000003</v>
      </c>
      <c r="P44" s="1"/>
      <c r="Q44" s="592">
        <f>M44-O44</f>
        <v>768.30111600000237</v>
      </c>
      <c r="R44" s="1"/>
      <c r="S44" s="1"/>
      <c r="T44" s="1"/>
      <c r="U44" s="1"/>
      <c r="V44" s="1"/>
      <c r="W44" s="1"/>
      <c r="X44" s="1"/>
      <c r="Y44" s="1"/>
    </row>
    <row r="45" spans="2:25" x14ac:dyDescent="0.2">
      <c r="B45" s="1"/>
      <c r="C45" s="353"/>
      <c r="D45" s="353"/>
      <c r="E45" s="353"/>
      <c r="F45" s="353"/>
      <c r="G45" s="353"/>
      <c r="H45" s="354"/>
      <c r="I45" s="449">
        <f>SUM(I41:I44)</f>
        <v>1856470.7312190002</v>
      </c>
      <c r="J45" s="355"/>
      <c r="K45" s="353"/>
      <c r="L45" s="357">
        <f>SUM(L41:L44)</f>
        <v>1756.92</v>
      </c>
      <c r="M45" s="357">
        <f>SUM(M41:M44)</f>
        <v>34296.835320000006</v>
      </c>
      <c r="O45" s="593">
        <f>SUM(O41:O44)</f>
        <v>33528.534204000003</v>
      </c>
      <c r="P45" s="1"/>
      <c r="Q45" s="593">
        <f>SUM(Q41:Q44)</f>
        <v>768.30111600000237</v>
      </c>
      <c r="R45" s="1"/>
      <c r="S45" s="1"/>
      <c r="T45" s="1"/>
      <c r="U45" s="1"/>
      <c r="V45" s="1"/>
      <c r="W45" s="1"/>
      <c r="X45" s="1"/>
      <c r="Y45" s="1"/>
    </row>
    <row r="46" spans="2:25" customFormat="1" ht="15" thickBot="1" x14ac:dyDescent="0.25">
      <c r="M46" s="450"/>
      <c r="N46" s="450"/>
      <c r="O46" s="450"/>
      <c r="P46" s="450"/>
      <c r="Q46" s="450"/>
      <c r="R46" s="450"/>
      <c r="S46" s="450"/>
      <c r="T46" s="450"/>
      <c r="U46" s="450"/>
      <c r="V46" s="450"/>
      <c r="W46" s="450"/>
      <c r="X46" s="450"/>
      <c r="Y46" s="450"/>
    </row>
    <row r="47" spans="2:25" ht="15" thickBot="1" x14ac:dyDescent="0.25">
      <c r="B47" s="434" t="s">
        <v>3</v>
      </c>
      <c r="C47" s="333">
        <f>SUMIF(Tarifas!E4:E303,'Febrero - 2017'!C49,Tarifas!D4:D303)</f>
        <v>43</v>
      </c>
      <c r="D47" s="425" t="s">
        <v>147</v>
      </c>
      <c r="E47" s="426" t="s">
        <v>145</v>
      </c>
      <c r="F47" s="426" t="s">
        <v>150</v>
      </c>
      <c r="G47" s="426" t="s">
        <v>148</v>
      </c>
      <c r="H47" s="382"/>
      <c r="I47" s="331" t="s">
        <v>120</v>
      </c>
      <c r="J47" s="332"/>
      <c r="K47" s="332"/>
      <c r="L47" s="364" t="s">
        <v>105</v>
      </c>
      <c r="M47" s="365"/>
      <c r="N47" s="365"/>
      <c r="O47" s="365"/>
      <c r="P47" s="365"/>
      <c r="Q47" s="365"/>
      <c r="R47" s="366"/>
      <c r="S47" s="2267" t="s">
        <v>121</v>
      </c>
      <c r="T47" s="2268"/>
      <c r="U47" s="2268"/>
      <c r="V47" s="2268"/>
      <c r="W47" s="2268"/>
      <c r="X47" s="2268"/>
      <c r="Y47" s="2269"/>
    </row>
    <row r="48" spans="2:25" ht="33.75" x14ac:dyDescent="0.2">
      <c r="C48" s="383" t="s">
        <v>122</v>
      </c>
      <c r="D48" s="384" t="s">
        <v>125</v>
      </c>
      <c r="E48" s="385" t="s">
        <v>149</v>
      </c>
      <c r="F48" s="385" t="s">
        <v>151</v>
      </c>
      <c r="G48" s="385" t="s">
        <v>152</v>
      </c>
      <c r="H48" s="386" t="s">
        <v>123</v>
      </c>
      <c r="I48" s="329" t="s">
        <v>109</v>
      </c>
      <c r="J48" s="330" t="s">
        <v>25</v>
      </c>
      <c r="K48" s="330" t="s">
        <v>26</v>
      </c>
      <c r="L48" s="367" t="s">
        <v>115</v>
      </c>
      <c r="M48" s="362" t="s">
        <v>106</v>
      </c>
      <c r="N48" s="362" t="s">
        <v>107</v>
      </c>
      <c r="O48" s="362" t="s">
        <v>108</v>
      </c>
      <c r="P48" s="362" t="s">
        <v>115</v>
      </c>
      <c r="Q48" s="363" t="s">
        <v>116</v>
      </c>
      <c r="R48" s="368" t="s">
        <v>117</v>
      </c>
      <c r="S48" s="369" t="s">
        <v>215</v>
      </c>
      <c r="T48" s="370"/>
      <c r="U48" s="370" t="s">
        <v>112</v>
      </c>
      <c r="V48" s="371" t="s">
        <v>118</v>
      </c>
      <c r="W48" s="371" t="s">
        <v>119</v>
      </c>
      <c r="X48" s="371" t="s">
        <v>114</v>
      </c>
      <c r="Y48" s="372" t="s">
        <v>113</v>
      </c>
    </row>
    <row r="49" spans="3:25" x14ac:dyDescent="0.2">
      <c r="C49" s="387">
        <f>G7</f>
        <v>42767</v>
      </c>
      <c r="D49" s="388">
        <f>($F$24*$H$24)/$G$24</f>
        <v>166408.24</v>
      </c>
      <c r="E49" s="389">
        <f>P49+Q49+R49</f>
        <v>76057.390625</v>
      </c>
      <c r="F49" s="427">
        <f t="shared" ref="F49:F76" si="0">TRUNC(IFERROR(J$24/K$24,0),8)</f>
        <v>0.94637537000000005</v>
      </c>
      <c r="G49" s="390">
        <f t="shared" ref="G49:G76" si="1">ROUND(I$24*F49*E49,4)</f>
        <v>71.978800000000007</v>
      </c>
      <c r="H49" s="391">
        <f t="shared" ref="H49:H76" si="2">SUM(D49:G49)</f>
        <v>242538.55580037</v>
      </c>
      <c r="I49" s="324">
        <v>72000</v>
      </c>
      <c r="J49" s="325"/>
      <c r="K49" s="325"/>
      <c r="L49" s="317">
        <v>76057.390625</v>
      </c>
      <c r="M49" s="318"/>
      <c r="N49" s="318"/>
      <c r="O49" s="318"/>
      <c r="P49" s="389">
        <f>L49</f>
        <v>76057.390625</v>
      </c>
      <c r="Q49" s="389">
        <f t="shared" ref="Q49:Q76" si="3">M49+N49</f>
        <v>0</v>
      </c>
      <c r="R49" s="389">
        <f t="shared" ref="R49:R76" si="4">O49</f>
        <v>0</v>
      </c>
      <c r="S49" s="373"/>
      <c r="T49" s="374"/>
      <c r="U49" s="524">
        <f>S49+T49-V49</f>
        <v>-72000</v>
      </c>
      <c r="V49" s="520">
        <f>I49+J49+K49</f>
        <v>72000</v>
      </c>
      <c r="W49" s="524">
        <f>(P49+Q49+R49)*1.055056</f>
        <v>80244.806323249999</v>
      </c>
      <c r="X49" s="520">
        <f>V49-W49</f>
        <v>-8244.806323249999</v>
      </c>
      <c r="Y49" s="525">
        <f>AL46+X49</f>
        <v>-8244.806323249999</v>
      </c>
    </row>
    <row r="50" spans="3:25" x14ac:dyDescent="0.2">
      <c r="C50" s="387">
        <f t="shared" ref="C50:C76" si="5">C49+1</f>
        <v>42768</v>
      </c>
      <c r="D50" s="388">
        <f t="shared" ref="D50:D76" si="6">($F$24*$H$24)/$G$24</f>
        <v>166408.24</v>
      </c>
      <c r="E50" s="392">
        <f t="shared" ref="E50:E76" si="7">P50+Q50+R50</f>
        <v>61501.058594000002</v>
      </c>
      <c r="F50" s="428">
        <f t="shared" si="0"/>
        <v>0.94637537000000005</v>
      </c>
      <c r="G50" s="390">
        <f t="shared" si="1"/>
        <v>58.203099999999999</v>
      </c>
      <c r="H50" s="391">
        <f t="shared" si="2"/>
        <v>227968.44806937</v>
      </c>
      <c r="I50" s="324">
        <v>66999</v>
      </c>
      <c r="J50" s="325"/>
      <c r="K50" s="325"/>
      <c r="L50" s="319">
        <v>61501.058594000002</v>
      </c>
      <c r="M50" s="320"/>
      <c r="N50" s="320"/>
      <c r="O50" s="320"/>
      <c r="P50" s="392">
        <f t="shared" ref="P50:P76" si="8">L50</f>
        <v>61501.058594000002</v>
      </c>
      <c r="Q50" s="392">
        <f t="shared" si="3"/>
        <v>0</v>
      </c>
      <c r="R50" s="392">
        <f t="shared" si="4"/>
        <v>0</v>
      </c>
      <c r="S50" s="373"/>
      <c r="T50" s="374"/>
      <c r="U50" s="524">
        <f t="shared" ref="U50:U76" si="9">S50+T50-V50</f>
        <v>-66999</v>
      </c>
      <c r="V50" s="520">
        <f t="shared" ref="V50:V76" si="10">I50+J50+K50</f>
        <v>66999</v>
      </c>
      <c r="W50" s="524">
        <f t="shared" ref="W50:W76" si="11">(P50+Q50+R50)*1.055056</f>
        <v>64887.060875951269</v>
      </c>
      <c r="X50" s="520">
        <f t="shared" ref="X50:X76" si="12">V50-W50</f>
        <v>2111.9391240487312</v>
      </c>
      <c r="Y50" s="525">
        <f>Y49+X50</f>
        <v>-6132.8671992012678</v>
      </c>
    </row>
    <row r="51" spans="3:25" x14ac:dyDescent="0.2">
      <c r="C51" s="387">
        <f t="shared" si="5"/>
        <v>42769</v>
      </c>
      <c r="D51" s="388">
        <f t="shared" si="6"/>
        <v>166408.24</v>
      </c>
      <c r="E51" s="392">
        <f t="shared" si="7"/>
        <v>37848.910000000003</v>
      </c>
      <c r="F51" s="428">
        <f t="shared" si="0"/>
        <v>0.94637537000000005</v>
      </c>
      <c r="G51" s="390">
        <f t="shared" si="1"/>
        <v>35.819299999999998</v>
      </c>
      <c r="H51" s="391">
        <f t="shared" si="2"/>
        <v>204293.91567536999</v>
      </c>
      <c r="I51" s="324">
        <v>47000</v>
      </c>
      <c r="J51" s="325"/>
      <c r="K51" s="325"/>
      <c r="L51" s="317">
        <v>37848.910000000003</v>
      </c>
      <c r="M51" s="318"/>
      <c r="N51" s="318"/>
      <c r="O51" s="318"/>
      <c r="P51" s="392">
        <f t="shared" si="8"/>
        <v>37848.910000000003</v>
      </c>
      <c r="Q51" s="392">
        <f t="shared" si="3"/>
        <v>0</v>
      </c>
      <c r="R51" s="392">
        <f t="shared" si="4"/>
        <v>0</v>
      </c>
      <c r="S51" s="373"/>
      <c r="T51" s="374"/>
      <c r="U51" s="524">
        <f t="shared" si="9"/>
        <v>-47000</v>
      </c>
      <c r="V51" s="520">
        <f t="shared" si="10"/>
        <v>47000</v>
      </c>
      <c r="W51" s="524">
        <f t="shared" si="11"/>
        <v>39932.719588960004</v>
      </c>
      <c r="X51" s="520">
        <f t="shared" si="12"/>
        <v>7067.2804110399957</v>
      </c>
      <c r="Y51" s="525">
        <f t="shared" ref="Y51:Y76" si="13">Y50+X51</f>
        <v>934.41321183872788</v>
      </c>
    </row>
    <row r="52" spans="3:25" x14ac:dyDescent="0.2">
      <c r="C52" s="387">
        <f t="shared" si="5"/>
        <v>42770</v>
      </c>
      <c r="D52" s="388">
        <f t="shared" si="6"/>
        <v>166408.24</v>
      </c>
      <c r="E52" s="392">
        <f t="shared" si="7"/>
        <v>38846.01</v>
      </c>
      <c r="F52" s="428">
        <f t="shared" si="0"/>
        <v>0.94637537000000005</v>
      </c>
      <c r="G52" s="390">
        <f t="shared" si="1"/>
        <v>36.762900000000002</v>
      </c>
      <c r="H52" s="391">
        <f t="shared" si="2"/>
        <v>205291.95927537</v>
      </c>
      <c r="I52" s="324">
        <v>55000</v>
      </c>
      <c r="J52" s="325"/>
      <c r="K52" s="325"/>
      <c r="L52" s="319">
        <v>38846.01</v>
      </c>
      <c r="M52" s="320"/>
      <c r="N52" s="320"/>
      <c r="O52" s="320"/>
      <c r="P52" s="392">
        <f t="shared" si="8"/>
        <v>38846.01</v>
      </c>
      <c r="Q52" s="392">
        <f t="shared" si="3"/>
        <v>0</v>
      </c>
      <c r="R52" s="392">
        <f t="shared" si="4"/>
        <v>0</v>
      </c>
      <c r="S52" s="373"/>
      <c r="T52" s="374"/>
      <c r="U52" s="524">
        <f t="shared" si="9"/>
        <v>-55000</v>
      </c>
      <c r="V52" s="520">
        <f t="shared" si="10"/>
        <v>55000</v>
      </c>
      <c r="W52" s="524">
        <f t="shared" si="11"/>
        <v>40984.715926559998</v>
      </c>
      <c r="X52" s="520">
        <f t="shared" si="12"/>
        <v>14015.284073440002</v>
      </c>
      <c r="Y52" s="525">
        <f t="shared" si="13"/>
        <v>14949.697285278729</v>
      </c>
    </row>
    <row r="53" spans="3:25" x14ac:dyDescent="0.2">
      <c r="C53" s="387">
        <f t="shared" si="5"/>
        <v>42771</v>
      </c>
      <c r="D53" s="388">
        <f t="shared" si="6"/>
        <v>166408.24</v>
      </c>
      <c r="E53" s="392">
        <f t="shared" si="7"/>
        <v>38943.68</v>
      </c>
      <c r="F53" s="428">
        <f t="shared" si="0"/>
        <v>0.94637537000000005</v>
      </c>
      <c r="G53" s="390">
        <f t="shared" si="1"/>
        <v>36.8553</v>
      </c>
      <c r="H53" s="391">
        <f t="shared" si="2"/>
        <v>205389.72167536998</v>
      </c>
      <c r="I53" s="324">
        <v>55000</v>
      </c>
      <c r="J53" s="325"/>
      <c r="K53" s="325"/>
      <c r="L53" s="317">
        <v>38943.68</v>
      </c>
      <c r="M53" s="318"/>
      <c r="N53" s="318"/>
      <c r="O53" s="318"/>
      <c r="P53" s="392">
        <f t="shared" si="8"/>
        <v>38943.68</v>
      </c>
      <c r="Q53" s="392">
        <f t="shared" si="3"/>
        <v>0</v>
      </c>
      <c r="R53" s="392">
        <f t="shared" si="4"/>
        <v>0</v>
      </c>
      <c r="S53" s="373"/>
      <c r="T53" s="374"/>
      <c r="U53" s="524">
        <f t="shared" si="9"/>
        <v>-55000</v>
      </c>
      <c r="V53" s="520">
        <f t="shared" si="10"/>
        <v>55000</v>
      </c>
      <c r="W53" s="524">
        <f t="shared" si="11"/>
        <v>41087.763246080001</v>
      </c>
      <c r="X53" s="520">
        <f t="shared" si="12"/>
        <v>13912.236753919999</v>
      </c>
      <c r="Y53" s="525">
        <f t="shared" si="13"/>
        <v>28861.934039198728</v>
      </c>
    </row>
    <row r="54" spans="3:25" x14ac:dyDescent="0.2">
      <c r="C54" s="387">
        <f t="shared" si="5"/>
        <v>42772</v>
      </c>
      <c r="D54" s="388">
        <f t="shared" si="6"/>
        <v>166408.24</v>
      </c>
      <c r="E54" s="392">
        <f t="shared" si="7"/>
        <v>38882.68</v>
      </c>
      <c r="F54" s="428">
        <f t="shared" si="0"/>
        <v>0.94637537000000005</v>
      </c>
      <c r="G54" s="390">
        <f t="shared" si="1"/>
        <v>36.797600000000003</v>
      </c>
      <c r="H54" s="391">
        <f t="shared" si="2"/>
        <v>205328.66397536997</v>
      </c>
      <c r="I54" s="324">
        <v>55000</v>
      </c>
      <c r="J54" s="325"/>
      <c r="K54" s="325"/>
      <c r="L54" s="319">
        <v>38882.68</v>
      </c>
      <c r="M54" s="320"/>
      <c r="N54" s="320"/>
      <c r="O54" s="320"/>
      <c r="P54" s="392">
        <f t="shared" si="8"/>
        <v>38882.68</v>
      </c>
      <c r="Q54" s="392">
        <f t="shared" si="3"/>
        <v>0</v>
      </c>
      <c r="R54" s="392">
        <f t="shared" si="4"/>
        <v>0</v>
      </c>
      <c r="S54" s="373"/>
      <c r="T54" s="374"/>
      <c r="U54" s="524">
        <f t="shared" si="9"/>
        <v>-55000</v>
      </c>
      <c r="V54" s="520">
        <f t="shared" si="10"/>
        <v>55000</v>
      </c>
      <c r="W54" s="524">
        <f t="shared" si="11"/>
        <v>41023.404830079999</v>
      </c>
      <c r="X54" s="520">
        <f t="shared" si="12"/>
        <v>13976.595169920001</v>
      </c>
      <c r="Y54" s="525">
        <f t="shared" si="13"/>
        <v>42838.529209118729</v>
      </c>
    </row>
    <row r="55" spans="3:25" x14ac:dyDescent="0.2">
      <c r="C55" s="387">
        <f t="shared" si="5"/>
        <v>42773</v>
      </c>
      <c r="D55" s="388">
        <f t="shared" si="6"/>
        <v>166408.24</v>
      </c>
      <c r="E55" s="392">
        <f t="shared" si="7"/>
        <v>62547.86</v>
      </c>
      <c r="F55" s="428">
        <f t="shared" si="0"/>
        <v>0.94637537000000005</v>
      </c>
      <c r="G55" s="390">
        <f t="shared" si="1"/>
        <v>59.193800000000003</v>
      </c>
      <c r="H55" s="391">
        <f t="shared" si="2"/>
        <v>229016.24017536998</v>
      </c>
      <c r="I55" s="324">
        <v>55000</v>
      </c>
      <c r="J55" s="325"/>
      <c r="K55" s="325"/>
      <c r="L55" s="317">
        <v>62547.86</v>
      </c>
      <c r="M55" s="318"/>
      <c r="N55" s="318"/>
      <c r="O55" s="318"/>
      <c r="P55" s="392">
        <f t="shared" si="8"/>
        <v>62547.86</v>
      </c>
      <c r="Q55" s="392">
        <f t="shared" si="3"/>
        <v>0</v>
      </c>
      <c r="R55" s="392">
        <f t="shared" si="4"/>
        <v>0</v>
      </c>
      <c r="S55" s="373"/>
      <c r="T55" s="374"/>
      <c r="U55" s="524">
        <f t="shared" si="9"/>
        <v>-55000</v>
      </c>
      <c r="V55" s="520">
        <f t="shared" si="10"/>
        <v>55000</v>
      </c>
      <c r="W55" s="524">
        <f t="shared" si="11"/>
        <v>65991.494980160001</v>
      </c>
      <c r="X55" s="520">
        <f t="shared" si="12"/>
        <v>-10991.494980160001</v>
      </c>
      <c r="Y55" s="525">
        <f t="shared" si="13"/>
        <v>31847.034228958728</v>
      </c>
    </row>
    <row r="56" spans="3:25" x14ac:dyDescent="0.2">
      <c r="C56" s="387">
        <f t="shared" si="5"/>
        <v>42774</v>
      </c>
      <c r="D56" s="388">
        <f t="shared" si="6"/>
        <v>166408.24</v>
      </c>
      <c r="E56" s="392">
        <f t="shared" si="7"/>
        <v>71429.740000000005</v>
      </c>
      <c r="F56" s="428">
        <f t="shared" si="0"/>
        <v>0.94637537000000005</v>
      </c>
      <c r="G56" s="390">
        <f t="shared" si="1"/>
        <v>67.599299999999999</v>
      </c>
      <c r="H56" s="391">
        <f t="shared" si="2"/>
        <v>237906.52567536998</v>
      </c>
      <c r="I56" s="324">
        <v>72000</v>
      </c>
      <c r="J56" s="325"/>
      <c r="K56" s="325"/>
      <c r="L56" s="319">
        <v>71429.740000000005</v>
      </c>
      <c r="M56" s="320"/>
      <c r="N56" s="320"/>
      <c r="O56" s="320"/>
      <c r="P56" s="392">
        <f t="shared" si="8"/>
        <v>71429.740000000005</v>
      </c>
      <c r="Q56" s="392">
        <f t="shared" si="3"/>
        <v>0</v>
      </c>
      <c r="R56" s="392">
        <f t="shared" si="4"/>
        <v>0</v>
      </c>
      <c r="S56" s="373"/>
      <c r="T56" s="374"/>
      <c r="U56" s="524">
        <f t="shared" si="9"/>
        <v>-72000</v>
      </c>
      <c r="V56" s="520">
        <f t="shared" si="10"/>
        <v>72000</v>
      </c>
      <c r="W56" s="524">
        <f t="shared" si="11"/>
        <v>75362.375765440011</v>
      </c>
      <c r="X56" s="520">
        <f t="shared" si="12"/>
        <v>-3362.3757654400106</v>
      </c>
      <c r="Y56" s="525">
        <f t="shared" si="13"/>
        <v>28484.658463518717</v>
      </c>
    </row>
    <row r="57" spans="3:25" x14ac:dyDescent="0.2">
      <c r="C57" s="387">
        <f t="shared" si="5"/>
        <v>42775</v>
      </c>
      <c r="D57" s="388">
        <f t="shared" si="6"/>
        <v>166408.24</v>
      </c>
      <c r="E57" s="392">
        <f t="shared" si="7"/>
        <v>71474.92</v>
      </c>
      <c r="F57" s="428">
        <f t="shared" si="0"/>
        <v>0.94637537000000005</v>
      </c>
      <c r="G57" s="390">
        <f t="shared" si="1"/>
        <v>67.642099999999999</v>
      </c>
      <c r="H57" s="391">
        <f t="shared" si="2"/>
        <v>237951.74847536997</v>
      </c>
      <c r="I57" s="324">
        <v>69000</v>
      </c>
      <c r="J57" s="325"/>
      <c r="K57" s="325"/>
      <c r="L57" s="317">
        <v>71474.92</v>
      </c>
      <c r="M57" s="318"/>
      <c r="N57" s="318"/>
      <c r="O57" s="318"/>
      <c r="P57" s="392">
        <f t="shared" si="8"/>
        <v>71474.92</v>
      </c>
      <c r="Q57" s="392">
        <f t="shared" si="3"/>
        <v>0</v>
      </c>
      <c r="R57" s="392">
        <f t="shared" si="4"/>
        <v>0</v>
      </c>
      <c r="S57" s="373"/>
      <c r="T57" s="374"/>
      <c r="U57" s="524">
        <f t="shared" si="9"/>
        <v>-69000</v>
      </c>
      <c r="V57" s="520">
        <f t="shared" si="10"/>
        <v>69000</v>
      </c>
      <c r="W57" s="524">
        <f t="shared" si="11"/>
        <v>75410.043195520004</v>
      </c>
      <c r="X57" s="520">
        <f t="shared" si="12"/>
        <v>-6410.0431955200038</v>
      </c>
      <c r="Y57" s="525">
        <f t="shared" si="13"/>
        <v>22074.615267998714</v>
      </c>
    </row>
    <row r="58" spans="3:25" x14ac:dyDescent="0.2">
      <c r="C58" s="387">
        <f t="shared" si="5"/>
        <v>42776</v>
      </c>
      <c r="D58" s="388">
        <f t="shared" si="6"/>
        <v>166408.24</v>
      </c>
      <c r="E58" s="392">
        <f t="shared" si="7"/>
        <v>71742.990000000005</v>
      </c>
      <c r="F58" s="428">
        <f t="shared" si="0"/>
        <v>0.94637537000000005</v>
      </c>
      <c r="G58" s="390">
        <f t="shared" si="1"/>
        <v>67.895799999999994</v>
      </c>
      <c r="H58" s="391">
        <f t="shared" si="2"/>
        <v>238220.07217536998</v>
      </c>
      <c r="I58" s="324">
        <v>71000</v>
      </c>
      <c r="J58" s="325"/>
      <c r="K58" s="325"/>
      <c r="L58" s="319">
        <v>71742.990000000005</v>
      </c>
      <c r="M58" s="320"/>
      <c r="N58" s="320"/>
      <c r="O58" s="320"/>
      <c r="P58" s="392">
        <f t="shared" si="8"/>
        <v>71742.990000000005</v>
      </c>
      <c r="Q58" s="392">
        <f t="shared" si="3"/>
        <v>0</v>
      </c>
      <c r="R58" s="392">
        <f t="shared" si="4"/>
        <v>0</v>
      </c>
      <c r="S58" s="373"/>
      <c r="T58" s="374"/>
      <c r="U58" s="524">
        <f t="shared" si="9"/>
        <v>-71000</v>
      </c>
      <c r="V58" s="520">
        <f t="shared" si="10"/>
        <v>71000</v>
      </c>
      <c r="W58" s="524">
        <f t="shared" si="11"/>
        <v>75692.872057440007</v>
      </c>
      <c r="X58" s="520">
        <f t="shared" si="12"/>
        <v>-4692.8720574400068</v>
      </c>
      <c r="Y58" s="525">
        <f t="shared" si="13"/>
        <v>17381.743210558707</v>
      </c>
    </row>
    <row r="59" spans="3:25" x14ac:dyDescent="0.2">
      <c r="C59" s="387">
        <f t="shared" si="5"/>
        <v>42777</v>
      </c>
      <c r="D59" s="388">
        <f t="shared" si="6"/>
        <v>166408.24</v>
      </c>
      <c r="E59" s="392">
        <f t="shared" si="7"/>
        <v>70416.317999999999</v>
      </c>
      <c r="F59" s="428">
        <f t="shared" si="0"/>
        <v>0.94637537000000005</v>
      </c>
      <c r="G59" s="390">
        <f t="shared" si="1"/>
        <v>66.640299999999996</v>
      </c>
      <c r="H59" s="391">
        <f t="shared" si="2"/>
        <v>236892.14467536999</v>
      </c>
      <c r="I59" s="324">
        <v>61000</v>
      </c>
      <c r="J59" s="325"/>
      <c r="K59" s="325"/>
      <c r="L59" s="317">
        <v>70416.317999999999</v>
      </c>
      <c r="M59" s="318"/>
      <c r="N59" s="318"/>
      <c r="O59" s="318"/>
      <c r="P59" s="392">
        <f t="shared" si="8"/>
        <v>70416.317999999999</v>
      </c>
      <c r="Q59" s="392">
        <f t="shared" si="3"/>
        <v>0</v>
      </c>
      <c r="R59" s="392">
        <f t="shared" si="4"/>
        <v>0</v>
      </c>
      <c r="S59" s="373"/>
      <c r="T59" s="374"/>
      <c r="U59" s="524">
        <f t="shared" si="9"/>
        <v>-61000</v>
      </c>
      <c r="V59" s="520">
        <f t="shared" si="10"/>
        <v>61000</v>
      </c>
      <c r="W59" s="524">
        <f t="shared" si="11"/>
        <v>74293.158803807994</v>
      </c>
      <c r="X59" s="520">
        <f t="shared" si="12"/>
        <v>-13293.158803807994</v>
      </c>
      <c r="Y59" s="525">
        <f t="shared" si="13"/>
        <v>4088.5844067507132</v>
      </c>
    </row>
    <row r="60" spans="3:25" x14ac:dyDescent="0.2">
      <c r="C60" s="387">
        <f t="shared" si="5"/>
        <v>42778</v>
      </c>
      <c r="D60" s="388">
        <f t="shared" si="6"/>
        <v>166408.24</v>
      </c>
      <c r="E60" s="392">
        <f t="shared" si="7"/>
        <v>71600.84</v>
      </c>
      <c r="F60" s="428">
        <f t="shared" si="0"/>
        <v>0.94637537000000005</v>
      </c>
      <c r="G60" s="390">
        <f t="shared" si="1"/>
        <v>67.761300000000006</v>
      </c>
      <c r="H60" s="391">
        <f t="shared" si="2"/>
        <v>238077.78767537</v>
      </c>
      <c r="I60" s="324">
        <v>61000</v>
      </c>
      <c r="J60" s="325"/>
      <c r="K60" s="325"/>
      <c r="L60" s="319">
        <v>71600.84</v>
      </c>
      <c r="M60" s="320"/>
      <c r="N60" s="320"/>
      <c r="O60" s="320"/>
      <c r="P60" s="392">
        <f t="shared" si="8"/>
        <v>71600.84</v>
      </c>
      <c r="Q60" s="392">
        <f t="shared" si="3"/>
        <v>0</v>
      </c>
      <c r="R60" s="392">
        <f t="shared" si="4"/>
        <v>0</v>
      </c>
      <c r="S60" s="373"/>
      <c r="T60" s="374"/>
      <c r="U60" s="524">
        <f t="shared" si="9"/>
        <v>-61000</v>
      </c>
      <c r="V60" s="520">
        <f t="shared" si="10"/>
        <v>61000</v>
      </c>
      <c r="W60" s="524">
        <f t="shared" si="11"/>
        <v>75542.895847039996</v>
      </c>
      <c r="X60" s="520">
        <f t="shared" si="12"/>
        <v>-14542.895847039996</v>
      </c>
      <c r="Y60" s="525">
        <f t="shared" si="13"/>
        <v>-10454.311440289282</v>
      </c>
    </row>
    <row r="61" spans="3:25" x14ac:dyDescent="0.2">
      <c r="C61" s="387">
        <f t="shared" si="5"/>
        <v>42779</v>
      </c>
      <c r="D61" s="388">
        <f t="shared" si="6"/>
        <v>166408.24</v>
      </c>
      <c r="E61" s="392">
        <f t="shared" si="7"/>
        <v>72013.712</v>
      </c>
      <c r="F61" s="428">
        <f t="shared" si="0"/>
        <v>0.94637537000000005</v>
      </c>
      <c r="G61" s="390">
        <f t="shared" si="1"/>
        <v>68.152000000000001</v>
      </c>
      <c r="H61" s="391">
        <f t="shared" si="2"/>
        <v>238491.05037536999</v>
      </c>
      <c r="I61" s="324">
        <v>61000</v>
      </c>
      <c r="J61" s="325"/>
      <c r="K61" s="325"/>
      <c r="L61" s="317">
        <v>72013.712</v>
      </c>
      <c r="M61" s="318"/>
      <c r="N61" s="318"/>
      <c r="O61" s="318"/>
      <c r="P61" s="392">
        <f t="shared" si="8"/>
        <v>72013.712</v>
      </c>
      <c r="Q61" s="392">
        <f t="shared" si="3"/>
        <v>0</v>
      </c>
      <c r="R61" s="392">
        <f t="shared" si="4"/>
        <v>0</v>
      </c>
      <c r="S61" s="373"/>
      <c r="T61" s="374"/>
      <c r="U61" s="524">
        <f t="shared" si="9"/>
        <v>-61000</v>
      </c>
      <c r="V61" s="520">
        <f t="shared" si="10"/>
        <v>61000</v>
      </c>
      <c r="W61" s="524">
        <f t="shared" si="11"/>
        <v>75978.498927872002</v>
      </c>
      <c r="X61" s="520">
        <f t="shared" si="12"/>
        <v>-14978.498927872002</v>
      </c>
      <c r="Y61" s="525">
        <f t="shared" si="13"/>
        <v>-25432.810368161285</v>
      </c>
    </row>
    <row r="62" spans="3:25" x14ac:dyDescent="0.2">
      <c r="C62" s="387">
        <f t="shared" si="5"/>
        <v>42780</v>
      </c>
      <c r="D62" s="388">
        <f t="shared" si="6"/>
        <v>166408.24</v>
      </c>
      <c r="E62" s="392">
        <f t="shared" si="7"/>
        <v>71754.429999999993</v>
      </c>
      <c r="F62" s="428">
        <f t="shared" si="0"/>
        <v>0.94637537000000005</v>
      </c>
      <c r="G62" s="390">
        <f t="shared" si="1"/>
        <v>67.906599999999997</v>
      </c>
      <c r="H62" s="391">
        <f t="shared" si="2"/>
        <v>238231.52297536997</v>
      </c>
      <c r="I62" s="324">
        <v>61000</v>
      </c>
      <c r="J62" s="325"/>
      <c r="K62" s="325"/>
      <c r="L62" s="319">
        <v>71754.429999999993</v>
      </c>
      <c r="M62" s="320"/>
      <c r="N62" s="320"/>
      <c r="O62" s="320"/>
      <c r="P62" s="392">
        <f t="shared" si="8"/>
        <v>71754.429999999993</v>
      </c>
      <c r="Q62" s="392">
        <f t="shared" si="3"/>
        <v>0</v>
      </c>
      <c r="R62" s="392">
        <f t="shared" si="4"/>
        <v>0</v>
      </c>
      <c r="S62" s="373"/>
      <c r="T62" s="374"/>
      <c r="U62" s="524">
        <f t="shared" si="9"/>
        <v>-61000</v>
      </c>
      <c r="V62" s="520">
        <f t="shared" si="10"/>
        <v>61000</v>
      </c>
      <c r="W62" s="524">
        <f t="shared" si="11"/>
        <v>75704.941898079996</v>
      </c>
      <c r="X62" s="520">
        <f t="shared" si="12"/>
        <v>-14704.941898079996</v>
      </c>
      <c r="Y62" s="525">
        <f t="shared" si="13"/>
        <v>-40137.752266241281</v>
      </c>
    </row>
    <row r="63" spans="3:25" x14ac:dyDescent="0.2">
      <c r="C63" s="387">
        <f t="shared" si="5"/>
        <v>42781</v>
      </c>
      <c r="D63" s="388">
        <f t="shared" si="6"/>
        <v>166408.24</v>
      </c>
      <c r="E63" s="392">
        <f t="shared" si="7"/>
        <v>71791.199999999997</v>
      </c>
      <c r="F63" s="428">
        <f t="shared" si="0"/>
        <v>0.94637537000000005</v>
      </c>
      <c r="G63" s="390">
        <f t="shared" si="1"/>
        <v>67.941400000000002</v>
      </c>
      <c r="H63" s="391">
        <f t="shared" si="2"/>
        <v>238268.32777537001</v>
      </c>
      <c r="I63" s="324">
        <v>64999</v>
      </c>
      <c r="J63" s="325"/>
      <c r="K63" s="325"/>
      <c r="L63" s="317">
        <v>71791.199999999997</v>
      </c>
      <c r="M63" s="318"/>
      <c r="N63" s="318"/>
      <c r="O63" s="318"/>
      <c r="P63" s="392">
        <f t="shared" si="8"/>
        <v>71791.199999999997</v>
      </c>
      <c r="Q63" s="392">
        <f t="shared" si="3"/>
        <v>0</v>
      </c>
      <c r="R63" s="392">
        <f t="shared" si="4"/>
        <v>0</v>
      </c>
      <c r="S63" s="373"/>
      <c r="T63" s="374"/>
      <c r="U63" s="524">
        <f t="shared" si="9"/>
        <v>-64999</v>
      </c>
      <c r="V63" s="520">
        <f t="shared" si="10"/>
        <v>64999</v>
      </c>
      <c r="W63" s="524">
        <f t="shared" si="11"/>
        <v>75743.736307200001</v>
      </c>
      <c r="X63" s="520">
        <f t="shared" si="12"/>
        <v>-10744.736307200001</v>
      </c>
      <c r="Y63" s="525">
        <f t="shared" si="13"/>
        <v>-50882.488573441282</v>
      </c>
    </row>
    <row r="64" spans="3:25" x14ac:dyDescent="0.2">
      <c r="C64" s="387">
        <f t="shared" si="5"/>
        <v>42782</v>
      </c>
      <c r="D64" s="388">
        <f t="shared" si="6"/>
        <v>166408.24</v>
      </c>
      <c r="E64" s="392">
        <f t="shared" si="7"/>
        <v>71695.59</v>
      </c>
      <c r="F64" s="428">
        <f t="shared" si="0"/>
        <v>0.94637537000000005</v>
      </c>
      <c r="G64" s="390">
        <f t="shared" si="1"/>
        <v>67.850899999999996</v>
      </c>
      <c r="H64" s="391">
        <f t="shared" si="2"/>
        <v>238172.62727536997</v>
      </c>
      <c r="I64" s="324">
        <v>61000</v>
      </c>
      <c r="J64" s="325"/>
      <c r="K64" s="325"/>
      <c r="L64" s="319">
        <v>71695.59</v>
      </c>
      <c r="M64" s="320"/>
      <c r="N64" s="320"/>
      <c r="O64" s="320"/>
      <c r="P64" s="392">
        <f t="shared" si="8"/>
        <v>71695.59</v>
      </c>
      <c r="Q64" s="392">
        <f t="shared" si="3"/>
        <v>0</v>
      </c>
      <c r="R64" s="392">
        <f t="shared" si="4"/>
        <v>0</v>
      </c>
      <c r="S64" s="373"/>
      <c r="T64" s="374"/>
      <c r="U64" s="524">
        <f t="shared" si="9"/>
        <v>-61000</v>
      </c>
      <c r="V64" s="520">
        <f t="shared" si="10"/>
        <v>61000</v>
      </c>
      <c r="W64" s="524">
        <f t="shared" si="11"/>
        <v>75642.862403039995</v>
      </c>
      <c r="X64" s="520">
        <f t="shared" si="12"/>
        <v>-14642.862403039995</v>
      </c>
      <c r="Y64" s="525">
        <f t="shared" si="13"/>
        <v>-65525.350976481277</v>
      </c>
    </row>
    <row r="65" spans="3:38" x14ac:dyDescent="0.2">
      <c r="C65" s="387">
        <f t="shared" si="5"/>
        <v>42783</v>
      </c>
      <c r="D65" s="388">
        <f t="shared" si="6"/>
        <v>166408.24</v>
      </c>
      <c r="E65" s="392">
        <f t="shared" si="7"/>
        <v>71278</v>
      </c>
      <c r="F65" s="428">
        <f t="shared" si="0"/>
        <v>0.94637537000000005</v>
      </c>
      <c r="G65" s="390">
        <f t="shared" si="1"/>
        <v>67.455699999999993</v>
      </c>
      <c r="H65" s="391">
        <f t="shared" si="2"/>
        <v>237754.64207536998</v>
      </c>
      <c r="I65" s="324">
        <v>64999</v>
      </c>
      <c r="J65" s="325"/>
      <c r="K65" s="325"/>
      <c r="L65" s="317">
        <v>71278</v>
      </c>
      <c r="M65" s="318"/>
      <c r="N65" s="318"/>
      <c r="O65" s="318"/>
      <c r="P65" s="392">
        <f t="shared" si="8"/>
        <v>71278</v>
      </c>
      <c r="Q65" s="392">
        <f t="shared" si="3"/>
        <v>0</v>
      </c>
      <c r="R65" s="392">
        <f t="shared" si="4"/>
        <v>0</v>
      </c>
      <c r="S65" s="373"/>
      <c r="T65" s="374"/>
      <c r="U65" s="524">
        <f t="shared" si="9"/>
        <v>-64999</v>
      </c>
      <c r="V65" s="520">
        <f t="shared" si="10"/>
        <v>64999</v>
      </c>
      <c r="W65" s="524">
        <f t="shared" si="11"/>
        <v>75202.281568000006</v>
      </c>
      <c r="X65" s="520">
        <f t="shared" si="12"/>
        <v>-10203.281568000006</v>
      </c>
      <c r="Y65" s="525">
        <f t="shared" si="13"/>
        <v>-75728.632544481283</v>
      </c>
    </row>
    <row r="66" spans="3:38" x14ac:dyDescent="0.2">
      <c r="C66" s="387">
        <f t="shared" si="5"/>
        <v>42784</v>
      </c>
      <c r="D66" s="388">
        <f t="shared" si="6"/>
        <v>166408.24</v>
      </c>
      <c r="E66" s="392">
        <f t="shared" si="7"/>
        <v>71534.205000000002</v>
      </c>
      <c r="F66" s="428">
        <f t="shared" si="0"/>
        <v>0.94637537000000005</v>
      </c>
      <c r="G66" s="390">
        <f t="shared" si="1"/>
        <v>67.6982</v>
      </c>
      <c r="H66" s="391">
        <f t="shared" si="2"/>
        <v>238011.08957537002</v>
      </c>
      <c r="I66" s="324">
        <v>60000</v>
      </c>
      <c r="J66" s="325"/>
      <c r="K66" s="325"/>
      <c r="L66" s="319">
        <v>71534.205000000002</v>
      </c>
      <c r="M66" s="320"/>
      <c r="N66" s="320"/>
      <c r="O66" s="320"/>
      <c r="P66" s="392">
        <f t="shared" si="8"/>
        <v>71534.205000000002</v>
      </c>
      <c r="Q66" s="392">
        <f t="shared" si="3"/>
        <v>0</v>
      </c>
      <c r="R66" s="392">
        <f t="shared" si="4"/>
        <v>0</v>
      </c>
      <c r="S66" s="373"/>
      <c r="T66" s="374"/>
      <c r="U66" s="524">
        <f t="shared" si="9"/>
        <v>-60000</v>
      </c>
      <c r="V66" s="520">
        <f t="shared" si="10"/>
        <v>60000</v>
      </c>
      <c r="W66" s="524">
        <f t="shared" si="11"/>
        <v>75472.592190480005</v>
      </c>
      <c r="X66" s="520">
        <f t="shared" si="12"/>
        <v>-15472.592190480005</v>
      </c>
      <c r="Y66" s="525">
        <f t="shared" si="13"/>
        <v>-91201.224734961288</v>
      </c>
    </row>
    <row r="67" spans="3:38" x14ac:dyDescent="0.2">
      <c r="C67" s="387">
        <f t="shared" si="5"/>
        <v>42785</v>
      </c>
      <c r="D67" s="388">
        <f t="shared" si="6"/>
        <v>166408.24</v>
      </c>
      <c r="E67" s="392">
        <f t="shared" si="7"/>
        <v>71051.78</v>
      </c>
      <c r="F67" s="428">
        <f t="shared" si="0"/>
        <v>0.94637537000000005</v>
      </c>
      <c r="G67" s="390">
        <f t="shared" si="1"/>
        <v>67.241699999999994</v>
      </c>
      <c r="H67" s="391">
        <f t="shared" si="2"/>
        <v>237528.20807537</v>
      </c>
      <c r="I67" s="324">
        <v>60000</v>
      </c>
      <c r="J67" s="325"/>
      <c r="K67" s="325"/>
      <c r="L67" s="317">
        <v>71051.78</v>
      </c>
      <c r="M67" s="318"/>
      <c r="N67" s="318"/>
      <c r="O67" s="318"/>
      <c r="P67" s="392">
        <f t="shared" si="8"/>
        <v>71051.78</v>
      </c>
      <c r="Q67" s="392">
        <f t="shared" si="3"/>
        <v>0</v>
      </c>
      <c r="R67" s="392">
        <f t="shared" si="4"/>
        <v>0</v>
      </c>
      <c r="S67" s="373"/>
      <c r="T67" s="374"/>
      <c r="U67" s="524">
        <f t="shared" si="9"/>
        <v>-60000</v>
      </c>
      <c r="V67" s="520">
        <f t="shared" si="10"/>
        <v>60000</v>
      </c>
      <c r="W67" s="524">
        <f t="shared" si="11"/>
        <v>74963.606799679997</v>
      </c>
      <c r="X67" s="520">
        <f t="shared" si="12"/>
        <v>-14963.606799679997</v>
      </c>
      <c r="Y67" s="525">
        <f t="shared" si="13"/>
        <v>-106164.83153464129</v>
      </c>
    </row>
    <row r="68" spans="3:38" x14ac:dyDescent="0.2">
      <c r="C68" s="387">
        <f t="shared" si="5"/>
        <v>42786</v>
      </c>
      <c r="D68" s="388">
        <f t="shared" si="6"/>
        <v>166408.24</v>
      </c>
      <c r="E68" s="392">
        <f t="shared" si="7"/>
        <v>71574.75</v>
      </c>
      <c r="F68" s="428">
        <f t="shared" si="0"/>
        <v>0.94637537000000005</v>
      </c>
      <c r="G68" s="390">
        <f t="shared" si="1"/>
        <v>67.736599999999996</v>
      </c>
      <c r="H68" s="391">
        <f t="shared" si="2"/>
        <v>238051.67297536999</v>
      </c>
      <c r="I68" s="324">
        <v>60000</v>
      </c>
      <c r="J68" s="325"/>
      <c r="K68" s="325"/>
      <c r="L68" s="319">
        <v>71574.75</v>
      </c>
      <c r="M68" s="320"/>
      <c r="N68" s="320"/>
      <c r="O68" s="320"/>
      <c r="P68" s="392">
        <f t="shared" si="8"/>
        <v>71574.75</v>
      </c>
      <c r="Q68" s="392">
        <f t="shared" si="3"/>
        <v>0</v>
      </c>
      <c r="R68" s="392">
        <f t="shared" si="4"/>
        <v>0</v>
      </c>
      <c r="S68" s="373"/>
      <c r="T68" s="374"/>
      <c r="U68" s="524">
        <f t="shared" si="9"/>
        <v>-60000</v>
      </c>
      <c r="V68" s="520">
        <f t="shared" si="10"/>
        <v>60000</v>
      </c>
      <c r="W68" s="524">
        <f t="shared" si="11"/>
        <v>75515.369435999994</v>
      </c>
      <c r="X68" s="520">
        <f t="shared" si="12"/>
        <v>-15515.369435999994</v>
      </c>
      <c r="Y68" s="525">
        <f t="shared" si="13"/>
        <v>-121680.20097064128</v>
      </c>
    </row>
    <row r="69" spans="3:38" x14ac:dyDescent="0.2">
      <c r="C69" s="387">
        <f t="shared" si="5"/>
        <v>42787</v>
      </c>
      <c r="D69" s="388">
        <f t="shared" si="6"/>
        <v>166408.24</v>
      </c>
      <c r="E69" s="392">
        <f t="shared" si="7"/>
        <v>71584.039999999994</v>
      </c>
      <c r="F69" s="428">
        <f t="shared" si="0"/>
        <v>0.94637537000000005</v>
      </c>
      <c r="G69" s="390">
        <f t="shared" si="1"/>
        <v>67.745400000000004</v>
      </c>
      <c r="H69" s="391">
        <f t="shared" si="2"/>
        <v>238060.97177536998</v>
      </c>
      <c r="I69" s="324">
        <v>60000</v>
      </c>
      <c r="J69" s="325"/>
      <c r="K69" s="325"/>
      <c r="L69" s="317">
        <v>71584.039999999994</v>
      </c>
      <c r="M69" s="318"/>
      <c r="N69" s="318"/>
      <c r="O69" s="318"/>
      <c r="P69" s="392">
        <f t="shared" si="8"/>
        <v>71584.039999999994</v>
      </c>
      <c r="Q69" s="392">
        <f t="shared" si="3"/>
        <v>0</v>
      </c>
      <c r="R69" s="392">
        <f t="shared" si="4"/>
        <v>0</v>
      </c>
      <c r="S69" s="373"/>
      <c r="T69" s="374"/>
      <c r="U69" s="524">
        <f t="shared" si="9"/>
        <v>-60000</v>
      </c>
      <c r="V69" s="520">
        <f t="shared" si="10"/>
        <v>60000</v>
      </c>
      <c r="W69" s="524">
        <f t="shared" si="11"/>
        <v>75525.17090623999</v>
      </c>
      <c r="X69" s="520">
        <f t="shared" si="12"/>
        <v>-15525.17090623999</v>
      </c>
      <c r="Y69" s="525">
        <f t="shared" si="13"/>
        <v>-137205.37187688128</v>
      </c>
    </row>
    <row r="70" spans="3:38" x14ac:dyDescent="0.2">
      <c r="C70" s="387">
        <f t="shared" si="5"/>
        <v>42788</v>
      </c>
      <c r="D70" s="388">
        <f t="shared" si="6"/>
        <v>166408.24</v>
      </c>
      <c r="E70" s="392">
        <f t="shared" si="7"/>
        <v>71500.44</v>
      </c>
      <c r="F70" s="428">
        <f t="shared" si="0"/>
        <v>0.94637537000000005</v>
      </c>
      <c r="G70" s="390">
        <f t="shared" si="1"/>
        <v>67.666300000000007</v>
      </c>
      <c r="H70" s="391">
        <f t="shared" si="2"/>
        <v>237977.29267537</v>
      </c>
      <c r="I70" s="324">
        <v>61000</v>
      </c>
      <c r="J70" s="325"/>
      <c r="K70" s="325"/>
      <c r="L70" s="319">
        <v>71500.44</v>
      </c>
      <c r="M70" s="320"/>
      <c r="N70" s="320"/>
      <c r="O70" s="320"/>
      <c r="P70" s="392">
        <f t="shared" si="8"/>
        <v>71500.44</v>
      </c>
      <c r="Q70" s="392">
        <f t="shared" si="3"/>
        <v>0</v>
      </c>
      <c r="R70" s="392">
        <f t="shared" si="4"/>
        <v>0</v>
      </c>
      <c r="S70" s="373"/>
      <c r="T70" s="374"/>
      <c r="U70" s="524">
        <f t="shared" si="9"/>
        <v>-61000</v>
      </c>
      <c r="V70" s="520">
        <f t="shared" si="10"/>
        <v>61000</v>
      </c>
      <c r="W70" s="524">
        <f t="shared" si="11"/>
        <v>75436.968224640004</v>
      </c>
      <c r="X70" s="520">
        <f t="shared" si="12"/>
        <v>-14436.968224640004</v>
      </c>
      <c r="Y70" s="525">
        <f t="shared" si="13"/>
        <v>-151642.34010152129</v>
      </c>
    </row>
    <row r="71" spans="3:38" x14ac:dyDescent="0.2">
      <c r="C71" s="387">
        <f t="shared" si="5"/>
        <v>42789</v>
      </c>
      <c r="D71" s="388">
        <f t="shared" si="6"/>
        <v>166408.24</v>
      </c>
      <c r="E71" s="392">
        <f t="shared" si="7"/>
        <v>71526.52</v>
      </c>
      <c r="F71" s="428">
        <f t="shared" si="0"/>
        <v>0.94637537000000005</v>
      </c>
      <c r="G71" s="390">
        <f t="shared" si="1"/>
        <v>67.690899999999999</v>
      </c>
      <c r="H71" s="391">
        <f t="shared" si="2"/>
        <v>238003.39727536999</v>
      </c>
      <c r="I71" s="324">
        <v>61000</v>
      </c>
      <c r="J71" s="325"/>
      <c r="K71" s="325"/>
      <c r="L71" s="317">
        <v>71526.52</v>
      </c>
      <c r="M71" s="318"/>
      <c r="N71" s="318"/>
      <c r="O71" s="318"/>
      <c r="P71" s="392">
        <f t="shared" si="8"/>
        <v>71526.52</v>
      </c>
      <c r="Q71" s="392">
        <f t="shared" si="3"/>
        <v>0</v>
      </c>
      <c r="R71" s="392">
        <f t="shared" si="4"/>
        <v>0</v>
      </c>
      <c r="S71" s="373"/>
      <c r="T71" s="374"/>
      <c r="U71" s="524">
        <f t="shared" si="9"/>
        <v>-61000</v>
      </c>
      <c r="V71" s="520">
        <f t="shared" si="10"/>
        <v>61000</v>
      </c>
      <c r="W71" s="524">
        <f t="shared" si="11"/>
        <v>75464.484085119999</v>
      </c>
      <c r="X71" s="520">
        <f t="shared" si="12"/>
        <v>-14464.484085119999</v>
      </c>
      <c r="Y71" s="525">
        <f t="shared" si="13"/>
        <v>-166106.82418664129</v>
      </c>
    </row>
    <row r="72" spans="3:38" x14ac:dyDescent="0.2">
      <c r="C72" s="387">
        <f t="shared" si="5"/>
        <v>42790</v>
      </c>
      <c r="D72" s="388">
        <f t="shared" si="6"/>
        <v>166408.24</v>
      </c>
      <c r="E72" s="392">
        <f t="shared" si="7"/>
        <v>71663.240000000005</v>
      </c>
      <c r="F72" s="428">
        <f t="shared" si="0"/>
        <v>0.94637537000000005</v>
      </c>
      <c r="G72" s="390">
        <f t="shared" si="1"/>
        <v>67.820300000000003</v>
      </c>
      <c r="H72" s="391">
        <f t="shared" si="2"/>
        <v>238140.24667536997</v>
      </c>
      <c r="I72" s="324">
        <v>62000</v>
      </c>
      <c r="J72" s="325"/>
      <c r="K72" s="325"/>
      <c r="L72" s="319">
        <v>71663.240000000005</v>
      </c>
      <c r="M72" s="320"/>
      <c r="N72" s="320"/>
      <c r="O72" s="320"/>
      <c r="P72" s="392">
        <f t="shared" si="8"/>
        <v>71663.240000000005</v>
      </c>
      <c r="Q72" s="392">
        <f t="shared" si="3"/>
        <v>0</v>
      </c>
      <c r="R72" s="392">
        <f t="shared" si="4"/>
        <v>0</v>
      </c>
      <c r="S72" s="373"/>
      <c r="T72" s="374"/>
      <c r="U72" s="524">
        <f t="shared" si="9"/>
        <v>-62000</v>
      </c>
      <c r="V72" s="520">
        <f t="shared" si="10"/>
        <v>62000</v>
      </c>
      <c r="W72" s="524">
        <f t="shared" si="11"/>
        <v>75608.731341440012</v>
      </c>
      <c r="X72" s="520">
        <f t="shared" si="12"/>
        <v>-13608.731341440012</v>
      </c>
      <c r="Y72" s="525">
        <f t="shared" si="13"/>
        <v>-179715.55552808131</v>
      </c>
    </row>
    <row r="73" spans="3:38" x14ac:dyDescent="0.2">
      <c r="C73" s="387">
        <f t="shared" si="5"/>
        <v>42791</v>
      </c>
      <c r="D73" s="388">
        <f t="shared" si="6"/>
        <v>166408.24</v>
      </c>
      <c r="E73" s="392">
        <f t="shared" si="7"/>
        <v>71583.066999999995</v>
      </c>
      <c r="F73" s="428">
        <f t="shared" si="0"/>
        <v>0.94637537000000005</v>
      </c>
      <c r="G73" s="390">
        <f t="shared" si="1"/>
        <v>67.744500000000002</v>
      </c>
      <c r="H73" s="391">
        <f t="shared" si="2"/>
        <v>238059.99787536997</v>
      </c>
      <c r="I73" s="324">
        <v>60000</v>
      </c>
      <c r="J73" s="325"/>
      <c r="K73" s="325"/>
      <c r="L73" s="317">
        <v>71583.066999999995</v>
      </c>
      <c r="M73" s="318"/>
      <c r="N73" s="318"/>
      <c r="O73" s="318"/>
      <c r="P73" s="392">
        <f t="shared" si="8"/>
        <v>71583.066999999995</v>
      </c>
      <c r="Q73" s="392">
        <f t="shared" si="3"/>
        <v>0</v>
      </c>
      <c r="R73" s="392">
        <f t="shared" si="4"/>
        <v>0</v>
      </c>
      <c r="S73" s="373"/>
      <c r="T73" s="374"/>
      <c r="U73" s="524">
        <f t="shared" si="9"/>
        <v>-60000</v>
      </c>
      <c r="V73" s="520">
        <f t="shared" si="10"/>
        <v>60000</v>
      </c>
      <c r="W73" s="524">
        <f t="shared" si="11"/>
        <v>75524.144336751997</v>
      </c>
      <c r="X73" s="520">
        <f t="shared" si="12"/>
        <v>-15524.144336751997</v>
      </c>
      <c r="Y73" s="525">
        <f t="shared" si="13"/>
        <v>-195239.69986483332</v>
      </c>
    </row>
    <row r="74" spans="3:38" x14ac:dyDescent="0.2">
      <c r="C74" s="387">
        <f t="shared" si="5"/>
        <v>42792</v>
      </c>
      <c r="D74" s="388">
        <f t="shared" si="6"/>
        <v>166408.24</v>
      </c>
      <c r="E74" s="392">
        <f t="shared" si="7"/>
        <v>71511.41</v>
      </c>
      <c r="F74" s="428">
        <f t="shared" si="0"/>
        <v>0.94637537000000005</v>
      </c>
      <c r="G74" s="390">
        <f t="shared" si="1"/>
        <v>67.676599999999993</v>
      </c>
      <c r="H74" s="391">
        <f t="shared" si="2"/>
        <v>237988.27297537</v>
      </c>
      <c r="I74" s="324">
        <v>60000</v>
      </c>
      <c r="J74" s="325"/>
      <c r="K74" s="325"/>
      <c r="L74" s="319">
        <v>71511.41</v>
      </c>
      <c r="M74" s="320"/>
      <c r="N74" s="320"/>
      <c r="O74" s="320"/>
      <c r="P74" s="392">
        <f t="shared" si="8"/>
        <v>71511.41</v>
      </c>
      <c r="Q74" s="392">
        <f t="shared" si="3"/>
        <v>0</v>
      </c>
      <c r="R74" s="392">
        <f t="shared" si="4"/>
        <v>0</v>
      </c>
      <c r="S74" s="373"/>
      <c r="T74" s="374"/>
      <c r="U74" s="524">
        <f t="shared" si="9"/>
        <v>-60000</v>
      </c>
      <c r="V74" s="520">
        <f t="shared" si="10"/>
        <v>60000</v>
      </c>
      <c r="W74" s="524">
        <f t="shared" si="11"/>
        <v>75448.542188959997</v>
      </c>
      <c r="X74" s="520">
        <f t="shared" si="12"/>
        <v>-15448.542188959997</v>
      </c>
      <c r="Y74" s="525">
        <f t="shared" si="13"/>
        <v>-210688.24205379334</v>
      </c>
    </row>
    <row r="75" spans="3:38" x14ac:dyDescent="0.2">
      <c r="C75" s="387">
        <f t="shared" si="5"/>
        <v>42793</v>
      </c>
      <c r="D75" s="388">
        <f t="shared" si="6"/>
        <v>166408.24</v>
      </c>
      <c r="E75" s="392">
        <f t="shared" si="7"/>
        <v>71601.850000000006</v>
      </c>
      <c r="F75" s="428">
        <f t="shared" si="0"/>
        <v>0.94637537000000005</v>
      </c>
      <c r="G75" s="390">
        <f t="shared" si="1"/>
        <v>67.762200000000007</v>
      </c>
      <c r="H75" s="391">
        <f t="shared" si="2"/>
        <v>238078.79857536999</v>
      </c>
      <c r="I75" s="324">
        <v>60000</v>
      </c>
      <c r="J75" s="325"/>
      <c r="K75" s="325"/>
      <c r="L75" s="317">
        <v>71601.850000000006</v>
      </c>
      <c r="M75" s="318"/>
      <c r="N75" s="318"/>
      <c r="O75" s="318"/>
      <c r="P75" s="392">
        <f t="shared" si="8"/>
        <v>71601.850000000006</v>
      </c>
      <c r="Q75" s="392">
        <f t="shared" si="3"/>
        <v>0</v>
      </c>
      <c r="R75" s="392">
        <f t="shared" si="4"/>
        <v>0</v>
      </c>
      <c r="S75" s="373"/>
      <c r="T75" s="374"/>
      <c r="U75" s="524">
        <f t="shared" si="9"/>
        <v>-60000</v>
      </c>
      <c r="V75" s="520">
        <f t="shared" si="10"/>
        <v>60000</v>
      </c>
      <c r="W75" s="524">
        <f t="shared" si="11"/>
        <v>75543.961453600001</v>
      </c>
      <c r="X75" s="520">
        <f t="shared" si="12"/>
        <v>-15543.961453600001</v>
      </c>
      <c r="Y75" s="525">
        <f t="shared" si="13"/>
        <v>-226232.20350739334</v>
      </c>
    </row>
    <row r="76" spans="3:38" x14ac:dyDescent="0.2">
      <c r="C76" s="387">
        <f t="shared" si="5"/>
        <v>42794</v>
      </c>
      <c r="D76" s="388">
        <f t="shared" si="6"/>
        <v>166408.24</v>
      </c>
      <c r="E76" s="392">
        <f t="shared" si="7"/>
        <v>71514.100000000006</v>
      </c>
      <c r="F76" s="428">
        <f t="shared" si="0"/>
        <v>0.94637537000000005</v>
      </c>
      <c r="G76" s="390">
        <f t="shared" si="1"/>
        <v>67.679199999999994</v>
      </c>
      <c r="H76" s="391">
        <f t="shared" si="2"/>
        <v>237990.96557537001</v>
      </c>
      <c r="I76" s="324">
        <v>62000</v>
      </c>
      <c r="J76" s="325"/>
      <c r="K76" s="325"/>
      <c r="L76" s="319">
        <v>71514.100000000006</v>
      </c>
      <c r="M76" s="320"/>
      <c r="N76" s="320"/>
      <c r="O76" s="320"/>
      <c r="P76" s="392">
        <f t="shared" si="8"/>
        <v>71514.100000000006</v>
      </c>
      <c r="Q76" s="392">
        <f t="shared" si="3"/>
        <v>0</v>
      </c>
      <c r="R76" s="392">
        <f t="shared" si="4"/>
        <v>0</v>
      </c>
      <c r="S76" s="373"/>
      <c r="T76" s="374"/>
      <c r="U76" s="524">
        <f t="shared" si="9"/>
        <v>-62000</v>
      </c>
      <c r="V76" s="520">
        <f t="shared" si="10"/>
        <v>62000</v>
      </c>
      <c r="W76" s="524">
        <f t="shared" si="11"/>
        <v>75451.380289600012</v>
      </c>
      <c r="X76" s="520">
        <f t="shared" si="12"/>
        <v>-13451.380289600012</v>
      </c>
      <c r="Y76" s="525">
        <f t="shared" si="13"/>
        <v>-239683.58379699336</v>
      </c>
    </row>
    <row r="77" spans="3:38" x14ac:dyDescent="0.2">
      <c r="C77" s="387"/>
      <c r="D77" s="388"/>
      <c r="E77" s="392"/>
      <c r="F77" s="428"/>
      <c r="G77" s="390"/>
      <c r="H77" s="391"/>
      <c r="I77" s="324"/>
      <c r="J77" s="325"/>
      <c r="K77" s="325"/>
      <c r="L77" s="317"/>
      <c r="M77" s="318"/>
      <c r="N77" s="318"/>
      <c r="O77" s="318"/>
      <c r="P77" s="392"/>
      <c r="Q77" s="392"/>
      <c r="R77" s="392"/>
      <c r="S77" s="373"/>
      <c r="T77" s="374"/>
      <c r="U77" s="524"/>
      <c r="V77" s="520"/>
      <c r="W77" s="524"/>
      <c r="X77" s="520"/>
      <c r="Y77" s="525"/>
    </row>
    <row r="78" spans="3:38" x14ac:dyDescent="0.2">
      <c r="C78" s="387"/>
      <c r="D78" s="388"/>
      <c r="E78" s="392"/>
      <c r="F78" s="428"/>
      <c r="G78" s="390"/>
      <c r="H78" s="391"/>
      <c r="I78" s="324"/>
      <c r="J78" s="325"/>
      <c r="K78" s="325"/>
      <c r="L78" s="319"/>
      <c r="M78" s="320"/>
      <c r="N78" s="320"/>
      <c r="O78" s="320"/>
      <c r="P78" s="392"/>
      <c r="Q78" s="392"/>
      <c r="R78" s="392"/>
      <c r="S78" s="373"/>
      <c r="T78" s="374"/>
      <c r="U78" s="524"/>
      <c r="V78" s="520"/>
      <c r="W78" s="524"/>
      <c r="X78" s="520"/>
      <c r="Y78" s="525"/>
    </row>
    <row r="79" spans="3:38" ht="15" thickBot="1" x14ac:dyDescent="0.25">
      <c r="C79" s="393"/>
      <c r="D79" s="394"/>
      <c r="E79" s="395"/>
      <c r="F79" s="429"/>
      <c r="G79" s="396"/>
      <c r="H79" s="397"/>
      <c r="I79" s="326"/>
      <c r="J79" s="327"/>
      <c r="K79" s="327"/>
      <c r="L79" s="321"/>
      <c r="M79" s="322"/>
      <c r="N79" s="322"/>
      <c r="O79" s="322"/>
      <c r="P79" s="395"/>
      <c r="Q79" s="395"/>
      <c r="R79" s="395"/>
      <c r="S79" s="375"/>
      <c r="T79" s="376"/>
      <c r="U79" s="521"/>
      <c r="V79" s="528"/>
      <c r="W79" s="521"/>
      <c r="X79" s="528"/>
      <c r="Y79" s="529"/>
    </row>
    <row r="80" spans="3:38" ht="15" thickBot="1" x14ac:dyDescent="0.25">
      <c r="C80" s="398"/>
      <c r="D80" s="399">
        <f>SUM(D49:D79)</f>
        <v>4659430.7200000035</v>
      </c>
      <c r="E80" s="400">
        <f>SUM(E49:E79)</f>
        <v>1856470.7312190002</v>
      </c>
      <c r="F80" s="400"/>
      <c r="G80" s="401">
        <f>SUM(G49:G79)</f>
        <v>1756.9181000000003</v>
      </c>
      <c r="H80" s="399">
        <f>SUM(H49:H79)</f>
        <v>6517684.8678293582</v>
      </c>
      <c r="I80" s="432">
        <f>SUM(I49:I79)</f>
        <v>1718997</v>
      </c>
      <c r="J80" s="432">
        <f t="shared" ref="J80:R80" si="14">SUM(J49:J79)</f>
        <v>0</v>
      </c>
      <c r="K80" s="432">
        <f t="shared" si="14"/>
        <v>0</v>
      </c>
      <c r="L80" s="432">
        <f t="shared" si="14"/>
        <v>1856470.7312190002</v>
      </c>
      <c r="M80" s="432">
        <f t="shared" si="14"/>
        <v>0</v>
      </c>
      <c r="N80" s="432">
        <f t="shared" si="14"/>
        <v>0</v>
      </c>
      <c r="O80" s="432">
        <f t="shared" si="14"/>
        <v>0</v>
      </c>
      <c r="P80" s="432">
        <f t="shared" si="14"/>
        <v>1856470.7312190002</v>
      </c>
      <c r="Q80" s="432">
        <f t="shared" si="14"/>
        <v>0</v>
      </c>
      <c r="R80" s="432">
        <f t="shared" si="14"/>
        <v>0</v>
      </c>
      <c r="U80" s="530"/>
      <c r="V80" s="328">
        <f>SUM(V49:V79)</f>
        <v>1718997</v>
      </c>
      <c r="W80" s="328">
        <f>SUM(W49:W79)</f>
        <v>1958680.5837969934</v>
      </c>
      <c r="X80" s="328">
        <f>SUM(X49:X79)</f>
        <v>-239683.58379699336</v>
      </c>
      <c r="Y80" s="323">
        <f>Y79</f>
        <v>0</v>
      </c>
      <c r="AL80" s="361">
        <f>Y79</f>
        <v>0</v>
      </c>
    </row>
    <row r="81" spans="2:14" ht="15" customHeight="1" x14ac:dyDescent="0.2">
      <c r="B81"/>
      <c r="C81"/>
      <c r="D81"/>
      <c r="E81"/>
      <c r="F81"/>
      <c r="G81"/>
      <c r="H81"/>
      <c r="I81"/>
      <c r="J81"/>
      <c r="K81"/>
      <c r="L81"/>
      <c r="N81" s="2"/>
    </row>
  </sheetData>
  <mergeCells count="12">
    <mergeCell ref="C10:D10"/>
    <mergeCell ref="C11:D11"/>
    <mergeCell ref="C3:M4"/>
    <mergeCell ref="C5:M5"/>
    <mergeCell ref="C6:M6"/>
    <mergeCell ref="G7:H7"/>
    <mergeCell ref="C9:D9"/>
    <mergeCell ref="D23:E23"/>
    <mergeCell ref="D24:E24"/>
    <mergeCell ref="C28:F28"/>
    <mergeCell ref="C39:F39"/>
    <mergeCell ref="S47:Y47"/>
  </mergeCells>
  <conditionalFormatting sqref="L49:O79">
    <cfRule type="cellIs" dxfId="124" priority="1" stopIfTrue="1" operator="equal">
      <formula>0</formula>
    </cfRule>
  </conditionalFormatting>
  <printOptions horizontalCentered="1"/>
  <pageMargins left="0" right="0.70866141732283472" top="0.35433070866141736" bottom="0.74803149606299213" header="0.31496062992125984" footer="0.31496062992125984"/>
  <pageSetup scale="75" orientation="landscape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L81"/>
  <sheetViews>
    <sheetView workbookViewId="0"/>
  </sheetViews>
  <sheetFormatPr baseColWidth="10" defaultColWidth="11" defaultRowHeight="14.25" x14ac:dyDescent="0.2"/>
  <cols>
    <col min="1" max="1" width="11" style="2"/>
    <col min="2" max="2" width="3.875" style="2" bestFit="1" customWidth="1"/>
    <col min="3" max="3" width="16.125" style="2" customWidth="1"/>
    <col min="4" max="4" width="12.375" style="2" bestFit="1" customWidth="1"/>
    <col min="5" max="5" width="10.875" style="2" bestFit="1" customWidth="1"/>
    <col min="6" max="6" width="17.125" style="2" bestFit="1" customWidth="1"/>
    <col min="7" max="7" width="13.125" style="2" bestFit="1" customWidth="1"/>
    <col min="8" max="8" width="12.125" style="2" bestFit="1" customWidth="1"/>
    <col min="9" max="9" width="11.125" style="2" bestFit="1" customWidth="1"/>
    <col min="10" max="10" width="11.875" style="2" bestFit="1" customWidth="1"/>
    <col min="11" max="11" width="11.625" style="2" bestFit="1" customWidth="1"/>
    <col min="12" max="12" width="12.125" style="2" customWidth="1"/>
    <col min="13" max="13" width="12.5" style="2" bestFit="1" customWidth="1"/>
    <col min="14" max="14" width="9" style="1" customWidth="1"/>
    <col min="15" max="15" width="14.375" style="2" bestFit="1" customWidth="1"/>
    <col min="16" max="16" width="11" style="2"/>
    <col min="17" max="17" width="12.5" style="2" bestFit="1" customWidth="1"/>
    <col min="18" max="25" width="11" style="2"/>
    <col min="26" max="32" width="10.875" customWidth="1"/>
    <col min="33" max="16384" width="11" style="2"/>
  </cols>
  <sheetData>
    <row r="2" spans="2:25" x14ac:dyDescent="0.2"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2:25" ht="15" customHeight="1" x14ac:dyDescent="0.2">
      <c r="B3" s="1"/>
      <c r="C3" s="2254" t="s">
        <v>0</v>
      </c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</row>
    <row r="4" spans="2:25" ht="15" customHeight="1" x14ac:dyDescent="0.2"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</row>
    <row r="5" spans="2:25" x14ac:dyDescent="0.2">
      <c r="B5" s="1"/>
      <c r="C5" s="2257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</row>
    <row r="6" spans="2:25" ht="29.1" customHeight="1" x14ac:dyDescent="0.2">
      <c r="B6" s="1"/>
      <c r="C6" s="2254" t="s">
        <v>217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</row>
    <row r="7" spans="2:25" x14ac:dyDescent="0.2">
      <c r="B7" s="1"/>
      <c r="C7" s="552"/>
      <c r="D7" s="552"/>
      <c r="E7" s="552"/>
      <c r="F7" s="552"/>
      <c r="G7" s="2271">
        <v>42795</v>
      </c>
      <c r="H7" s="2257"/>
      <c r="I7" s="552"/>
      <c r="J7" s="552"/>
      <c r="K7" s="552"/>
      <c r="L7" s="552"/>
      <c r="M7" s="552"/>
      <c r="N7" s="18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2:25" x14ac:dyDescent="0.2">
      <c r="B8" s="1"/>
      <c r="C8" s="552"/>
      <c r="D8" s="552"/>
      <c r="E8" s="552"/>
      <c r="F8" s="552"/>
      <c r="G8" s="552"/>
      <c r="H8" s="552"/>
      <c r="I8" s="552"/>
      <c r="J8" s="552"/>
      <c r="K8" s="552"/>
      <c r="L8" s="552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2:25" ht="25.5" x14ac:dyDescent="0.2">
      <c r="B9" s="1"/>
      <c r="C9" s="2272" t="s">
        <v>6</v>
      </c>
      <c r="D9" s="2272"/>
      <c r="E9" s="553" t="s">
        <v>94</v>
      </c>
      <c r="F9" s="553" t="s">
        <v>126</v>
      </c>
      <c r="G9" s="410" t="s">
        <v>133</v>
      </c>
      <c r="H9" s="553" t="s">
        <v>127</v>
      </c>
      <c r="I9" s="553" t="s">
        <v>128</v>
      </c>
      <c r="J9" s="552"/>
      <c r="K9" s="552"/>
      <c r="L9" s="552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2:25" x14ac:dyDescent="0.2">
      <c r="B10" s="1"/>
      <c r="C10" s="2270" t="s">
        <v>131</v>
      </c>
      <c r="D10" s="2270"/>
      <c r="E10" s="433">
        <f>IF(C15=0,D15,C15)</f>
        <v>4659430.72</v>
      </c>
      <c r="F10" s="407">
        <f>E10*0.16</f>
        <v>745508.91519999993</v>
      </c>
      <c r="G10" s="407">
        <f>E10+F10</f>
        <v>5404939.6351999994</v>
      </c>
      <c r="H10" s="511" t="s">
        <v>208</v>
      </c>
      <c r="I10" s="543">
        <f>M33/L33</f>
        <v>18.719200004311446</v>
      </c>
      <c r="J10" s="552"/>
      <c r="K10" s="552"/>
      <c r="L10" s="552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2:25" x14ac:dyDescent="0.2">
      <c r="B11" s="1"/>
      <c r="C11" s="2270" t="s">
        <v>132</v>
      </c>
      <c r="D11" s="2270"/>
      <c r="E11" s="433">
        <f>IF(C16=0,D16,C16)</f>
        <v>2107.9299999999998</v>
      </c>
      <c r="F11" s="407">
        <f>E11*0.16</f>
        <v>337.2688</v>
      </c>
      <c r="G11" s="407">
        <f>E11+F11</f>
        <v>2445.1987999999997</v>
      </c>
      <c r="H11" s="511" t="s">
        <v>208</v>
      </c>
      <c r="I11" s="543">
        <f>M34/L34</f>
        <v>18.719200004311446</v>
      </c>
      <c r="J11" s="552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2:25" x14ac:dyDescent="0.2">
      <c r="B12" s="1"/>
      <c r="C12" s="552"/>
      <c r="D12" s="552"/>
      <c r="E12" s="552"/>
      <c r="F12" s="552"/>
      <c r="G12" s="552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2:25" ht="15" thickBot="1" x14ac:dyDescent="0.25">
      <c r="B13" s="1"/>
      <c r="C13" s="552"/>
      <c r="D13" s="552"/>
      <c r="E13" s="552"/>
      <c r="F13" s="552"/>
      <c r="G13" s="552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2:25" x14ac:dyDescent="0.2">
      <c r="B14" s="1"/>
      <c r="C14" s="440" t="s">
        <v>155</v>
      </c>
      <c r="D14" s="441" t="s">
        <v>156</v>
      </c>
      <c r="E14" s="442" t="s">
        <v>112</v>
      </c>
      <c r="F14" s="552"/>
      <c r="G14" s="552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2:25" x14ac:dyDescent="0.2">
      <c r="B15" s="1"/>
      <c r="C15" s="443">
        <v>4659430.72</v>
      </c>
      <c r="D15" s="444">
        <f>D80</f>
        <v>4659430.72</v>
      </c>
      <c r="E15" s="445">
        <f>C15-D15</f>
        <v>0</v>
      </c>
      <c r="F15" s="552"/>
      <c r="G15" s="552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2:25" ht="15" thickBot="1" x14ac:dyDescent="0.25">
      <c r="B16" s="1"/>
      <c r="C16" s="446">
        <v>2107.9299999999998</v>
      </c>
      <c r="D16" s="447">
        <f>ROUND(G80,2)</f>
        <v>2107.9299999999998</v>
      </c>
      <c r="E16" s="448">
        <f>C16-D16</f>
        <v>0</v>
      </c>
      <c r="F16" s="552"/>
      <c r="G16" s="552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2:25" x14ac:dyDescent="0.2">
      <c r="B17" s="1"/>
      <c r="C17" s="552"/>
      <c r="D17" s="552"/>
      <c r="E17" s="552"/>
      <c r="F17" s="552"/>
      <c r="G17" s="552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2:25" x14ac:dyDescent="0.2">
      <c r="B18" s="1"/>
      <c r="C18" s="552"/>
      <c r="D18" s="552"/>
      <c r="E18" s="552"/>
      <c r="F18" s="552"/>
      <c r="G18" s="552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2:25" x14ac:dyDescent="0.2">
      <c r="B19" s="1"/>
      <c r="C19" s="552"/>
      <c r="D19" s="552"/>
      <c r="E19" s="552"/>
      <c r="F19" s="552"/>
      <c r="G19" s="552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2:25" x14ac:dyDescent="0.2">
      <c r="B20" s="1"/>
      <c r="C20" s="552"/>
      <c r="D20" s="552"/>
      <c r="E20" s="552"/>
      <c r="F20" s="552"/>
      <c r="G20" s="552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2:25" x14ac:dyDescent="0.2">
      <c r="B21" s="1"/>
      <c r="C21" s="552"/>
      <c r="D21" s="552"/>
      <c r="E21" s="552"/>
      <c r="F21" s="552"/>
      <c r="G21" s="552"/>
      <c r="H21" s="1"/>
      <c r="I21" s="1"/>
      <c r="J21" s="1"/>
      <c r="K21" s="1"/>
      <c r="L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2:25" ht="15" thickBot="1" x14ac:dyDescent="0.25">
      <c r="B22" s="1"/>
      <c r="C22" s="419" t="s">
        <v>137</v>
      </c>
      <c r="D22" s="552" t="s">
        <v>138</v>
      </c>
      <c r="E22" s="552"/>
      <c r="F22" s="552" t="s">
        <v>139</v>
      </c>
      <c r="G22" s="552" t="s">
        <v>3</v>
      </c>
      <c r="H22" s="552" t="s">
        <v>143</v>
      </c>
      <c r="I22" s="552" t="s">
        <v>142</v>
      </c>
      <c r="J22" s="552" t="s">
        <v>141</v>
      </c>
      <c r="K22" s="552" t="s">
        <v>140</v>
      </c>
      <c r="L22" s="552" t="s">
        <v>144</v>
      </c>
      <c r="M22" s="552" t="s">
        <v>146</v>
      </c>
      <c r="N22" s="552"/>
      <c r="O22" s="552"/>
      <c r="P22" s="552"/>
      <c r="Q22" s="1"/>
      <c r="R22" s="1"/>
      <c r="S22" s="1"/>
      <c r="T22" s="1"/>
      <c r="U22" s="1"/>
      <c r="V22" s="1"/>
      <c r="W22" s="1"/>
      <c r="X22" s="1"/>
      <c r="Y22" s="1"/>
    </row>
    <row r="23" spans="2:25" ht="36.75" customHeight="1" x14ac:dyDescent="0.2">
      <c r="B23" s="1"/>
      <c r="C23" s="402" t="s">
        <v>134</v>
      </c>
      <c r="D23" s="2261" t="s">
        <v>135</v>
      </c>
      <c r="E23" s="2262"/>
      <c r="F23" s="554" t="s">
        <v>136</v>
      </c>
      <c r="G23" s="461" t="s">
        <v>153</v>
      </c>
      <c r="H23" s="420" t="s">
        <v>129</v>
      </c>
      <c r="I23" s="403" t="s">
        <v>130</v>
      </c>
      <c r="J23" s="422"/>
      <c r="K23" s="422"/>
      <c r="L23" s="422"/>
      <c r="M23" s="404" t="s">
        <v>158</v>
      </c>
      <c r="N23" s="552"/>
      <c r="O23" s="552"/>
      <c r="P23" s="552"/>
      <c r="Q23" s="552"/>
      <c r="R23" s="552"/>
      <c r="S23" s="552"/>
      <c r="T23" s="552"/>
      <c r="U23" s="1"/>
      <c r="V23" s="1"/>
      <c r="W23" s="1"/>
      <c r="X23" s="1"/>
      <c r="Y23" s="1"/>
    </row>
    <row r="24" spans="2:25" x14ac:dyDescent="0.2">
      <c r="B24" s="1"/>
      <c r="C24" s="405">
        <v>850</v>
      </c>
      <c r="D24" s="2263">
        <v>850</v>
      </c>
      <c r="E24" s="2264"/>
      <c r="F24" s="418">
        <v>31482640</v>
      </c>
      <c r="G24" s="462">
        <v>31</v>
      </c>
      <c r="H24" s="460">
        <f>VLOOKUP(C47,Tarifas!D4:H303,3)</f>
        <v>0.14799999999999999</v>
      </c>
      <c r="I24" s="424">
        <f>VLOOKUP(C47,Tarifas!D4:H303,5)</f>
        <v>1E-3</v>
      </c>
      <c r="J24" s="421">
        <v>191.1</v>
      </c>
      <c r="K24" s="421">
        <v>201.4</v>
      </c>
      <c r="L24" s="421">
        <f>I11</f>
        <v>18.719200004311446</v>
      </c>
      <c r="M24" s="431">
        <f>E80</f>
        <v>2221541.1035540001</v>
      </c>
      <c r="N24" s="430" t="s">
        <v>62</v>
      </c>
      <c r="O24" s="552"/>
      <c r="P24" s="552"/>
      <c r="Q24" s="552"/>
      <c r="R24" s="552"/>
      <c r="S24" s="552"/>
      <c r="T24" s="552"/>
      <c r="U24" s="1"/>
      <c r="V24" s="1"/>
      <c r="W24" s="1"/>
      <c r="X24" s="1"/>
      <c r="Y24" s="1"/>
    </row>
    <row r="25" spans="2:25" x14ac:dyDescent="0.2">
      <c r="B25" s="1"/>
      <c r="C25" s="552"/>
      <c r="D25" s="552"/>
      <c r="E25" s="552"/>
      <c r="F25" s="552"/>
      <c r="G25" s="552"/>
      <c r="H25" s="552"/>
      <c r="I25" s="552"/>
      <c r="J25" s="552"/>
      <c r="K25" s="552"/>
      <c r="L25" s="552"/>
      <c r="M25" s="552"/>
      <c r="N25" s="552"/>
      <c r="O25" s="552"/>
      <c r="P25" s="552"/>
      <c r="Q25" s="552"/>
      <c r="R25" s="552"/>
      <c r="S25" s="1"/>
      <c r="T25" s="1"/>
      <c r="U25" s="1"/>
      <c r="V25" s="1"/>
      <c r="W25" s="1"/>
      <c r="X25" s="1"/>
      <c r="Y25" s="1"/>
    </row>
    <row r="26" spans="2:25" x14ac:dyDescent="0.2">
      <c r="B26" s="1"/>
      <c r="C26" s="552"/>
      <c r="D26" s="552"/>
      <c r="E26" s="552"/>
      <c r="F26" s="552"/>
      <c r="G26" s="552"/>
      <c r="H26" s="552"/>
      <c r="I26" s="552"/>
      <c r="J26" s="552"/>
      <c r="K26" s="552"/>
      <c r="L26" s="552"/>
      <c r="M26" s="552"/>
      <c r="N26" s="552"/>
      <c r="O26" s="552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2:25" x14ac:dyDescent="0.2">
      <c r="B27" s="1"/>
      <c r="C27" s="552"/>
      <c r="D27" s="552"/>
      <c r="E27" s="552"/>
      <c r="F27" s="552"/>
      <c r="G27" s="552"/>
      <c r="H27" s="552"/>
      <c r="I27" s="552"/>
      <c r="J27" s="552"/>
      <c r="K27" s="552"/>
      <c r="L27" s="552"/>
      <c r="M27" s="552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2:25" ht="15" thickBot="1" x14ac:dyDescent="0.25">
      <c r="B28" s="1"/>
      <c r="C28" s="2265" t="s">
        <v>86</v>
      </c>
      <c r="D28" s="2265"/>
      <c r="E28" s="2265"/>
      <c r="F28" s="2265"/>
      <c r="G28" s="555"/>
      <c r="H28" s="334"/>
      <c r="I28" s="334"/>
      <c r="J28" s="334"/>
      <c r="K28" s="555"/>
      <c r="L28" s="336"/>
      <c r="M28" s="336"/>
      <c r="O28" s="530" t="s">
        <v>212</v>
      </c>
      <c r="P28" s="674">
        <v>18.8187</v>
      </c>
      <c r="Q28" s="530" t="s">
        <v>213</v>
      </c>
      <c r="R28" s="1"/>
      <c r="S28" s="1"/>
      <c r="T28" s="1"/>
      <c r="U28" s="1"/>
      <c r="V28" s="1"/>
      <c r="W28" s="1"/>
      <c r="X28" s="1"/>
      <c r="Y28" s="1"/>
    </row>
    <row r="29" spans="2:25" ht="22.5" x14ac:dyDescent="0.2">
      <c r="B29" s="1"/>
      <c r="C29" s="337" t="s">
        <v>87</v>
      </c>
      <c r="D29" s="550" t="s">
        <v>88</v>
      </c>
      <c r="E29" s="550" t="s">
        <v>89</v>
      </c>
      <c r="F29" s="550" t="s">
        <v>20</v>
      </c>
      <c r="G29" s="550" t="s">
        <v>160</v>
      </c>
      <c r="H29" s="550" t="s">
        <v>90</v>
      </c>
      <c r="I29" s="550" t="s">
        <v>91</v>
      </c>
      <c r="J29" s="550" t="s">
        <v>92</v>
      </c>
      <c r="K29" s="550" t="s">
        <v>93</v>
      </c>
      <c r="L29" s="550" t="s">
        <v>94</v>
      </c>
      <c r="M29" s="551" t="s">
        <v>95</v>
      </c>
      <c r="O29" s="590" t="s">
        <v>95</v>
      </c>
      <c r="P29" s="1"/>
      <c r="Q29" s="590" t="s">
        <v>95</v>
      </c>
      <c r="R29" s="1"/>
      <c r="S29" s="1"/>
      <c r="T29" s="1"/>
      <c r="U29" s="1"/>
      <c r="V29" s="1"/>
      <c r="W29" s="1"/>
      <c r="X29" s="1"/>
      <c r="Y29" s="1"/>
    </row>
    <row r="30" spans="2:25" x14ac:dyDescent="0.2">
      <c r="B30" s="1"/>
      <c r="C30" s="338"/>
      <c r="D30" s="339"/>
      <c r="E30" s="339" t="s">
        <v>96</v>
      </c>
      <c r="F30" s="340" t="s">
        <v>97</v>
      </c>
      <c r="G30" s="340">
        <v>2201</v>
      </c>
      <c r="H30" s="339">
        <v>20823</v>
      </c>
      <c r="I30" s="341"/>
      <c r="J30" s="339">
        <v>138.15</v>
      </c>
      <c r="K30" s="342">
        <v>0</v>
      </c>
      <c r="L30" s="343">
        <f>ROUND(K30*E$10,2)</f>
        <v>0</v>
      </c>
      <c r="M30" s="344">
        <f>L30*$I$10</f>
        <v>0</v>
      </c>
      <c r="O30" s="591">
        <v>0</v>
      </c>
      <c r="P30" s="1"/>
      <c r="Q30" s="591">
        <f>M30-O30</f>
        <v>0</v>
      </c>
      <c r="R30" s="1"/>
      <c r="S30" s="1"/>
      <c r="T30" s="1"/>
      <c r="U30" s="1"/>
      <c r="V30" s="1"/>
      <c r="W30" s="1"/>
      <c r="X30" s="1"/>
      <c r="Y30" s="1"/>
    </row>
    <row r="31" spans="2:25" x14ac:dyDescent="0.2">
      <c r="B31" s="1"/>
      <c r="C31" s="338"/>
      <c r="D31" s="339"/>
      <c r="E31" s="339" t="s">
        <v>98</v>
      </c>
      <c r="F31" s="340" t="s">
        <v>97</v>
      </c>
      <c r="G31" s="340">
        <v>2201</v>
      </c>
      <c r="H31" s="339">
        <v>20824</v>
      </c>
      <c r="I31" s="341"/>
      <c r="J31" s="339">
        <v>138.15</v>
      </c>
      <c r="K31" s="342">
        <v>0</v>
      </c>
      <c r="L31" s="343">
        <f>ROUND(K31*E$10,2)</f>
        <v>0</v>
      </c>
      <c r="M31" s="344">
        <f>L31*$I$10</f>
        <v>0</v>
      </c>
      <c r="O31" s="591">
        <v>0</v>
      </c>
      <c r="P31" s="1"/>
      <c r="Q31" s="591">
        <f>M31-O31</f>
        <v>0</v>
      </c>
      <c r="R31" s="1"/>
      <c r="S31" s="1"/>
      <c r="T31" s="1"/>
      <c r="U31" s="1"/>
      <c r="V31" s="1"/>
      <c r="W31" s="1"/>
      <c r="X31" s="1"/>
      <c r="Y31" s="1"/>
    </row>
    <row r="32" spans="2:25" x14ac:dyDescent="0.2">
      <c r="B32" s="1"/>
      <c r="C32" s="338"/>
      <c r="D32" s="339"/>
      <c r="E32" s="339" t="s">
        <v>99</v>
      </c>
      <c r="F32" s="340" t="s">
        <v>100</v>
      </c>
      <c r="G32" s="340">
        <v>2230</v>
      </c>
      <c r="H32" s="339">
        <v>22228</v>
      </c>
      <c r="I32" s="341"/>
      <c r="J32" s="339">
        <v>130.80000000000001</v>
      </c>
      <c r="K32" s="342">
        <v>0</v>
      </c>
      <c r="L32" s="343">
        <f>ROUND(K32*E$10,2)</f>
        <v>0</v>
      </c>
      <c r="M32" s="344">
        <f>L32*$I$10</f>
        <v>0</v>
      </c>
      <c r="O32" s="591">
        <f>N32*$I$10</f>
        <v>0</v>
      </c>
      <c r="P32" s="1"/>
      <c r="Q32" s="591">
        <f>M32-O32</f>
        <v>0</v>
      </c>
      <c r="R32" s="1"/>
      <c r="S32" s="1"/>
      <c r="T32" s="1"/>
      <c r="U32" s="1"/>
      <c r="V32" s="1"/>
      <c r="W32" s="1"/>
      <c r="X32" s="1"/>
      <c r="Y32" s="1"/>
    </row>
    <row r="33" spans="2:25" x14ac:dyDescent="0.2">
      <c r="B33" s="1"/>
      <c r="C33" s="338">
        <v>800762390</v>
      </c>
      <c r="D33" s="339">
        <v>5</v>
      </c>
      <c r="E33" s="354" t="s">
        <v>101</v>
      </c>
      <c r="F33" s="463" t="s">
        <v>23</v>
      </c>
      <c r="G33" s="463">
        <v>2044</v>
      </c>
      <c r="H33" s="354">
        <v>591000420</v>
      </c>
      <c r="I33" s="341">
        <v>80000</v>
      </c>
      <c r="J33" s="339"/>
      <c r="K33" s="342">
        <v>0.09</v>
      </c>
      <c r="L33" s="343">
        <f>ROUND(K33*E$10,2)</f>
        <v>419348.76</v>
      </c>
      <c r="M33" s="344">
        <v>7849873.3099999996</v>
      </c>
      <c r="O33" s="591">
        <f>L33*P28</f>
        <v>7891598.5098120002</v>
      </c>
      <c r="P33" s="1"/>
      <c r="Q33" s="591">
        <f>M33-O33</f>
        <v>-41725.199812000617</v>
      </c>
      <c r="R33" s="1"/>
      <c r="S33" s="1"/>
      <c r="T33" s="1"/>
      <c r="U33" s="1"/>
      <c r="V33" s="1"/>
      <c r="W33" s="1"/>
      <c r="X33" s="1"/>
      <c r="Y33" s="1"/>
    </row>
    <row r="34" spans="2:25" ht="15" thickBot="1" x14ac:dyDescent="0.25">
      <c r="B34" s="1"/>
      <c r="C34" s="345">
        <v>800642440</v>
      </c>
      <c r="D34" s="346">
        <v>6</v>
      </c>
      <c r="E34" s="347" t="s">
        <v>101</v>
      </c>
      <c r="F34" s="348" t="s">
        <v>159</v>
      </c>
      <c r="G34" s="348">
        <v>2277</v>
      </c>
      <c r="H34" s="347">
        <v>22770</v>
      </c>
      <c r="I34" s="349">
        <f>850000-I30-I31-I32-I33</f>
        <v>770000</v>
      </c>
      <c r="J34" s="346"/>
      <c r="K34" s="350">
        <v>0.91</v>
      </c>
      <c r="L34" s="351">
        <f>ROUND(K34*E$10,2)</f>
        <v>4240081.96</v>
      </c>
      <c r="M34" s="352">
        <f>L34*$I$10</f>
        <v>79370942.243912891</v>
      </c>
      <c r="O34" s="592">
        <f>L34*P28</f>
        <v>79792830.380651996</v>
      </c>
      <c r="P34" s="1"/>
      <c r="Q34" s="592">
        <f>M34-O34</f>
        <v>-421888.13673910499</v>
      </c>
      <c r="R34" s="1"/>
      <c r="S34" s="1"/>
      <c r="T34" s="1"/>
      <c r="U34" s="1"/>
      <c r="V34" s="1"/>
      <c r="W34" s="1"/>
      <c r="X34" s="1"/>
      <c r="Y34" s="1"/>
    </row>
    <row r="35" spans="2:25" x14ac:dyDescent="0.2">
      <c r="B35" s="1"/>
      <c r="C35" s="406">
        <v>3000623</v>
      </c>
      <c r="D35" s="353" t="s">
        <v>102</v>
      </c>
      <c r="E35" s="353"/>
      <c r="F35" s="353"/>
      <c r="G35" s="353"/>
      <c r="H35" s="354"/>
      <c r="I35" s="355">
        <f>SUM(I30:I34)</f>
        <v>850000</v>
      </c>
      <c r="J35" s="353"/>
      <c r="K35" s="356">
        <f>SUM(K30:K34)</f>
        <v>1</v>
      </c>
      <c r="L35" s="357">
        <f>SUM(L30:L34)</f>
        <v>4659430.72</v>
      </c>
      <c r="M35" s="357">
        <f>SUM(M30:M34)</f>
        <v>87220815.553912893</v>
      </c>
      <c r="O35" s="593">
        <f>SUM(O30:O34)</f>
        <v>87684428.890463993</v>
      </c>
      <c r="P35" s="1"/>
      <c r="Q35" s="593">
        <f>SUM(Q30:Q33)</f>
        <v>-41725.199812000617</v>
      </c>
      <c r="R35" s="1"/>
      <c r="S35" s="1"/>
      <c r="T35" s="1"/>
      <c r="U35" s="1"/>
      <c r="V35" s="1"/>
      <c r="W35" s="1"/>
      <c r="X35" s="1"/>
      <c r="Y35" s="1"/>
    </row>
    <row r="36" spans="2:25" x14ac:dyDescent="0.2">
      <c r="B36" s="1"/>
      <c r="C36" s="336"/>
      <c r="D36" s="336"/>
      <c r="E36" s="336"/>
      <c r="F36" s="358"/>
      <c r="G36" s="358"/>
      <c r="H36" s="336"/>
      <c r="I36" s="336"/>
      <c r="J36" s="336"/>
      <c r="K36" s="336"/>
      <c r="L36" s="359"/>
      <c r="M36" s="1"/>
      <c r="O36" s="594">
        <v>0</v>
      </c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2:25" x14ac:dyDescent="0.2">
      <c r="B37" s="1"/>
      <c r="C37" s="336"/>
      <c r="D37" s="336"/>
      <c r="E37" s="336"/>
      <c r="F37" s="358"/>
      <c r="G37" s="358"/>
      <c r="H37" s="336"/>
      <c r="I37" s="336"/>
      <c r="J37" s="336"/>
      <c r="K37" s="336"/>
      <c r="L37" s="359"/>
      <c r="M37" s="1"/>
      <c r="O37" s="594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2:25" x14ac:dyDescent="0.2">
      <c r="B38" s="1"/>
      <c r="C38" s="336"/>
      <c r="D38" s="336"/>
      <c r="E38" s="336"/>
      <c r="F38" s="358"/>
      <c r="G38" s="358"/>
      <c r="H38" s="336"/>
      <c r="I38" s="336"/>
      <c r="J38" s="336"/>
      <c r="K38" s="336"/>
      <c r="L38" s="359"/>
      <c r="M38" s="1"/>
      <c r="O38" s="594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2:25" ht="15" thickBot="1" x14ac:dyDescent="0.25">
      <c r="B39" s="1"/>
      <c r="C39" s="2266" t="s">
        <v>103</v>
      </c>
      <c r="D39" s="2266"/>
      <c r="E39" s="2266"/>
      <c r="F39" s="2266"/>
      <c r="G39" s="555"/>
      <c r="H39" s="334"/>
      <c r="I39" s="334"/>
      <c r="J39" s="334"/>
      <c r="K39" s="336"/>
      <c r="L39" s="336"/>
      <c r="M39" s="360"/>
      <c r="O39" s="595"/>
      <c r="P39" s="1"/>
      <c r="Q39" s="360"/>
      <c r="R39" s="1"/>
      <c r="S39" s="1"/>
      <c r="T39" s="1"/>
      <c r="U39" s="1"/>
      <c r="V39" s="1"/>
      <c r="W39" s="1"/>
      <c r="X39" s="1"/>
      <c r="Y39" s="1"/>
    </row>
    <row r="40" spans="2:25" ht="22.5" x14ac:dyDescent="0.2">
      <c r="B40" s="1"/>
      <c r="C40" s="337" t="s">
        <v>87</v>
      </c>
      <c r="D40" s="550" t="s">
        <v>88</v>
      </c>
      <c r="E40" s="550" t="s">
        <v>89</v>
      </c>
      <c r="F40" s="550" t="s">
        <v>20</v>
      </c>
      <c r="G40" s="550"/>
      <c r="H40" s="550" t="s">
        <v>90</v>
      </c>
      <c r="I40" s="550" t="s">
        <v>104</v>
      </c>
      <c r="J40" s="550" t="s">
        <v>93</v>
      </c>
      <c r="K40" s="550" t="s">
        <v>92</v>
      </c>
      <c r="L40" s="550" t="s">
        <v>94</v>
      </c>
      <c r="M40" s="551" t="s">
        <v>95</v>
      </c>
      <c r="O40" s="596" t="s">
        <v>95</v>
      </c>
      <c r="P40" s="1"/>
      <c r="Q40" s="590" t="s">
        <v>95</v>
      </c>
      <c r="R40" s="1"/>
      <c r="S40" s="1"/>
      <c r="T40" s="1"/>
      <c r="U40" s="1"/>
      <c r="V40" s="1"/>
      <c r="W40" s="1"/>
      <c r="X40" s="1"/>
      <c r="Y40" s="1"/>
    </row>
    <row r="41" spans="2:25" x14ac:dyDescent="0.2">
      <c r="B41" s="1"/>
      <c r="C41" s="338"/>
      <c r="D41" s="339"/>
      <c r="E41" s="339" t="s">
        <v>96</v>
      </c>
      <c r="F41" s="340" t="s">
        <v>97</v>
      </c>
      <c r="G41" s="340"/>
      <c r="H41" s="339">
        <v>20823</v>
      </c>
      <c r="I41" s="341">
        <f>M80</f>
        <v>0</v>
      </c>
      <c r="J41" s="342">
        <f>I41/I$45</f>
        <v>0</v>
      </c>
      <c r="K41" s="339">
        <v>138.15</v>
      </c>
      <c r="L41" s="343">
        <f>ROUND(J41*$E$11,2)</f>
        <v>0</v>
      </c>
      <c r="M41" s="344">
        <f>L41*L24</f>
        <v>0</v>
      </c>
      <c r="O41" s="591">
        <v>0</v>
      </c>
      <c r="P41" s="1"/>
      <c r="Q41" s="591">
        <f>M41-O41</f>
        <v>0</v>
      </c>
      <c r="R41" s="1"/>
      <c r="S41" s="1"/>
      <c r="T41" s="1"/>
      <c r="U41" s="1"/>
      <c r="V41" s="1"/>
      <c r="W41" s="1"/>
      <c r="X41" s="1"/>
      <c r="Y41" s="1"/>
    </row>
    <row r="42" spans="2:25" x14ac:dyDescent="0.2">
      <c r="B42" s="1"/>
      <c r="C42" s="338"/>
      <c r="D42" s="339"/>
      <c r="E42" s="339" t="s">
        <v>98</v>
      </c>
      <c r="F42" s="340" t="s">
        <v>97</v>
      </c>
      <c r="G42" s="340"/>
      <c r="H42" s="339">
        <v>20824</v>
      </c>
      <c r="I42" s="341">
        <f>N80</f>
        <v>0</v>
      </c>
      <c r="J42" s="342">
        <f>I42/I$45</f>
        <v>0</v>
      </c>
      <c r="K42" s="339">
        <v>138.15</v>
      </c>
      <c r="L42" s="343">
        <f>ROUND(J42*$E$11,2)</f>
        <v>0</v>
      </c>
      <c r="M42" s="344">
        <f>L42*L25</f>
        <v>0</v>
      </c>
      <c r="O42" s="591">
        <v>0</v>
      </c>
      <c r="P42" s="1"/>
      <c r="Q42" s="591">
        <f>M42-O42</f>
        <v>0</v>
      </c>
      <c r="R42" s="1"/>
      <c r="S42" s="1"/>
      <c r="T42" s="1"/>
      <c r="U42" s="1"/>
      <c r="V42" s="1"/>
      <c r="W42" s="1"/>
      <c r="X42" s="1"/>
      <c r="Y42" s="1"/>
    </row>
    <row r="43" spans="2:25" x14ac:dyDescent="0.2">
      <c r="B43" s="1"/>
      <c r="C43" s="338"/>
      <c r="D43" s="339"/>
      <c r="E43" s="339" t="s">
        <v>99</v>
      </c>
      <c r="F43" s="340" t="s">
        <v>100</v>
      </c>
      <c r="G43" s="340"/>
      <c r="H43" s="339">
        <v>22228</v>
      </c>
      <c r="I43" s="341">
        <f>O80</f>
        <v>0</v>
      </c>
      <c r="J43" s="342">
        <f>I43/I$45</f>
        <v>0</v>
      </c>
      <c r="K43" s="339">
        <v>130.80000000000001</v>
      </c>
      <c r="L43" s="343">
        <f>ROUND(J43*$E$11,2)</f>
        <v>0</v>
      </c>
      <c r="M43" s="344">
        <f>L43*L26</f>
        <v>0</v>
      </c>
      <c r="O43" s="591">
        <f>N43*$I$10</f>
        <v>0</v>
      </c>
      <c r="P43" s="1"/>
      <c r="Q43" s="591">
        <f>M43-O43</f>
        <v>0</v>
      </c>
      <c r="R43" s="1"/>
      <c r="S43" s="1"/>
      <c r="T43" s="1"/>
      <c r="U43" s="1"/>
      <c r="V43" s="1"/>
      <c r="W43" s="1"/>
      <c r="X43" s="1"/>
      <c r="Y43" s="1"/>
    </row>
    <row r="44" spans="2:25" ht="15" thickBot="1" x14ac:dyDescent="0.25">
      <c r="B44" s="1">
        <v>7256</v>
      </c>
      <c r="C44" s="345">
        <v>800762390</v>
      </c>
      <c r="D44" s="346">
        <v>6</v>
      </c>
      <c r="E44" s="347" t="s">
        <v>101</v>
      </c>
      <c r="F44" s="348" t="s">
        <v>23</v>
      </c>
      <c r="G44" s="348">
        <v>2044</v>
      </c>
      <c r="H44" s="347">
        <v>591000500</v>
      </c>
      <c r="I44" s="349">
        <f>L80</f>
        <v>2221541.1035540001</v>
      </c>
      <c r="J44" s="350">
        <f>I44/I$45</f>
        <v>1</v>
      </c>
      <c r="K44" s="346">
        <v>138.15</v>
      </c>
      <c r="L44" s="351">
        <f>ROUND(J44*$E$11,2)</f>
        <v>2107.9299999999998</v>
      </c>
      <c r="M44" s="352">
        <f>L44*I10</f>
        <v>39458.763265088222</v>
      </c>
      <c r="O44" s="592">
        <f>L44*P28</f>
        <v>39668.502290999997</v>
      </c>
      <c r="P44" s="1"/>
      <c r="Q44" s="592">
        <f>M44-O44</f>
        <v>-209.73902591177466</v>
      </c>
      <c r="R44" s="1"/>
      <c r="S44" s="1"/>
      <c r="T44" s="1"/>
      <c r="U44" s="1"/>
      <c r="V44" s="1"/>
      <c r="W44" s="1"/>
      <c r="X44" s="1"/>
      <c r="Y44" s="1"/>
    </row>
    <row r="45" spans="2:25" x14ac:dyDescent="0.2">
      <c r="B45" s="1"/>
      <c r="C45" s="353"/>
      <c r="D45" s="353"/>
      <c r="E45" s="353"/>
      <c r="F45" s="353"/>
      <c r="G45" s="353"/>
      <c r="H45" s="354"/>
      <c r="I45" s="449">
        <f>SUM(I41:I44)</f>
        <v>2221541.1035540001</v>
      </c>
      <c r="J45" s="355"/>
      <c r="K45" s="353"/>
      <c r="L45" s="357">
        <f>SUM(L41:L44)</f>
        <v>2107.9299999999998</v>
      </c>
      <c r="M45" s="357">
        <f>SUM(M41:M44)</f>
        <v>39458.763265088222</v>
      </c>
      <c r="O45" s="593">
        <f>SUM(O41:O44)</f>
        <v>39668.502290999997</v>
      </c>
      <c r="P45" s="1"/>
      <c r="Q45" s="593">
        <f>SUM(Q41:Q44)</f>
        <v>-209.73902591177466</v>
      </c>
      <c r="R45" s="1"/>
      <c r="S45" s="1"/>
      <c r="T45" s="1"/>
      <c r="U45" s="1"/>
      <c r="V45" s="1"/>
      <c r="W45" s="1"/>
      <c r="X45" s="1"/>
      <c r="Y45" s="1"/>
    </row>
    <row r="46" spans="2:25" customFormat="1" ht="15" thickBot="1" x14ac:dyDescent="0.25">
      <c r="M46" s="450"/>
      <c r="N46" s="450"/>
      <c r="O46" s="450"/>
      <c r="P46" s="450"/>
      <c r="Q46" s="450"/>
      <c r="R46" s="450"/>
      <c r="S46" s="450"/>
      <c r="T46" s="450"/>
      <c r="U46" s="450"/>
      <c r="V46" s="450"/>
      <c r="W46" s="450"/>
      <c r="X46" s="450"/>
      <c r="Y46" s="450"/>
    </row>
    <row r="47" spans="2:25" ht="15" thickBot="1" x14ac:dyDescent="0.25">
      <c r="B47" s="434" t="s">
        <v>3</v>
      </c>
      <c r="C47" s="333">
        <f>SUMIF(Tarifas!E4:E303,'Marzo - 2017'!C49,Tarifas!D4:D303)</f>
        <v>44</v>
      </c>
      <c r="D47" s="425" t="s">
        <v>147</v>
      </c>
      <c r="E47" s="426" t="s">
        <v>145</v>
      </c>
      <c r="F47" s="426" t="s">
        <v>150</v>
      </c>
      <c r="G47" s="426" t="s">
        <v>148</v>
      </c>
      <c r="H47" s="382"/>
      <c r="I47" s="331" t="s">
        <v>120</v>
      </c>
      <c r="J47" s="332"/>
      <c r="K47" s="332"/>
      <c r="L47" s="364" t="s">
        <v>105</v>
      </c>
      <c r="M47" s="365"/>
      <c r="N47" s="365"/>
      <c r="O47" s="365"/>
      <c r="P47" s="365"/>
      <c r="Q47" s="365"/>
      <c r="R47" s="366"/>
      <c r="S47" s="2267" t="s">
        <v>121</v>
      </c>
      <c r="T47" s="2268"/>
      <c r="U47" s="2268"/>
      <c r="V47" s="2268"/>
      <c r="W47" s="2268"/>
      <c r="X47" s="2268"/>
      <c r="Y47" s="2269"/>
    </row>
    <row r="48" spans="2:25" ht="33.75" x14ac:dyDescent="0.2">
      <c r="C48" s="383" t="s">
        <v>122</v>
      </c>
      <c r="D48" s="384" t="s">
        <v>125</v>
      </c>
      <c r="E48" s="385" t="s">
        <v>149</v>
      </c>
      <c r="F48" s="385" t="s">
        <v>151</v>
      </c>
      <c r="G48" s="385" t="s">
        <v>152</v>
      </c>
      <c r="H48" s="386" t="s">
        <v>123</v>
      </c>
      <c r="I48" s="329" t="s">
        <v>109</v>
      </c>
      <c r="J48" s="330" t="s">
        <v>25</v>
      </c>
      <c r="K48" s="330" t="s">
        <v>26</v>
      </c>
      <c r="L48" s="367" t="s">
        <v>115</v>
      </c>
      <c r="M48" s="362" t="s">
        <v>106</v>
      </c>
      <c r="N48" s="362" t="s">
        <v>107</v>
      </c>
      <c r="O48" s="362" t="s">
        <v>108</v>
      </c>
      <c r="P48" s="362" t="s">
        <v>115</v>
      </c>
      <c r="Q48" s="363" t="s">
        <v>116</v>
      </c>
      <c r="R48" s="368" t="s">
        <v>117</v>
      </c>
      <c r="S48" s="561" t="s">
        <v>207</v>
      </c>
      <c r="T48" s="370"/>
      <c r="U48" s="370" t="s">
        <v>112</v>
      </c>
      <c r="V48" s="371" t="s">
        <v>118</v>
      </c>
      <c r="W48" s="371" t="s">
        <v>119</v>
      </c>
      <c r="X48" s="371" t="s">
        <v>114</v>
      </c>
      <c r="Y48" s="372" t="s">
        <v>113</v>
      </c>
    </row>
    <row r="49" spans="3:25" x14ac:dyDescent="0.2">
      <c r="C49" s="387">
        <f>G7</f>
        <v>42795</v>
      </c>
      <c r="D49" s="388">
        <f>($F$24*$H$24)/$G$24</f>
        <v>150304.21677419354</v>
      </c>
      <c r="E49" s="389">
        <f>P49+Q49+R49</f>
        <v>71696.873999999996</v>
      </c>
      <c r="F49" s="427">
        <f>TRUNC(IFERROR(J$24/K$24,0),8)</f>
        <v>0.94885799000000004</v>
      </c>
      <c r="G49" s="390">
        <f>ROUND(I$24*F49*E49,4)</f>
        <v>68.030199999999994</v>
      </c>
      <c r="H49" s="391">
        <f t="shared" ref="H49:H79" si="0">SUM(D49:G49)</f>
        <v>222070.06983218354</v>
      </c>
      <c r="I49" s="324">
        <v>62000</v>
      </c>
      <c r="J49" s="325"/>
      <c r="K49" s="325"/>
      <c r="L49" s="317">
        <v>71696.873999999996</v>
      </c>
      <c r="M49" s="318"/>
      <c r="N49" s="318"/>
      <c r="O49" s="318"/>
      <c r="P49" s="389">
        <f>L49</f>
        <v>71696.873999999996</v>
      </c>
      <c r="Q49" s="389">
        <f t="shared" ref="Q49:Q79" si="1">M49+N49</f>
        <v>0</v>
      </c>
      <c r="R49" s="389">
        <f t="shared" ref="R49:R79" si="2">O49</f>
        <v>0</v>
      </c>
      <c r="S49" s="532">
        <v>62000.04</v>
      </c>
      <c r="T49" s="374"/>
      <c r="U49" s="520">
        <f>S49+T49-V49</f>
        <v>4.0000000000873115E-2</v>
      </c>
      <c r="V49" s="520">
        <f>I49+J49+K49</f>
        <v>62000</v>
      </c>
      <c r="W49" s="520">
        <f>(P49+Q49+R49)*1.055056</f>
        <v>75644.21709494399</v>
      </c>
      <c r="X49" s="520">
        <f>V49-W49</f>
        <v>-13644.21709494399</v>
      </c>
      <c r="Y49" s="525">
        <f>AL46+X49</f>
        <v>-13644.21709494399</v>
      </c>
    </row>
    <row r="50" spans="3:25" x14ac:dyDescent="0.2">
      <c r="C50" s="387">
        <f t="shared" ref="C50:C79" si="3">C49+1</f>
        <v>42796</v>
      </c>
      <c r="D50" s="388">
        <f t="shared" ref="D50:D79" si="4">($F$24*$H$24)/$G$24</f>
        <v>150304.21677419354</v>
      </c>
      <c r="E50" s="392">
        <f t="shared" ref="E50:E79" si="5">P50+Q50+R50</f>
        <v>71444.45</v>
      </c>
      <c r="F50" s="428">
        <f t="shared" ref="F50:F79" si="6">TRUNC(IFERROR(J$24/K$24,0),8)</f>
        <v>0.94885799000000004</v>
      </c>
      <c r="G50" s="390">
        <f t="shared" ref="G50:G79" si="7">ROUND(I$24*F50*E50,4)</f>
        <v>67.790599999999998</v>
      </c>
      <c r="H50" s="391">
        <f t="shared" si="0"/>
        <v>221817.40623218354</v>
      </c>
      <c r="I50" s="324">
        <v>62000</v>
      </c>
      <c r="J50" s="325"/>
      <c r="K50" s="325"/>
      <c r="L50" s="319">
        <v>71444.45</v>
      </c>
      <c r="M50" s="320"/>
      <c r="N50" s="320"/>
      <c r="O50" s="320"/>
      <c r="P50" s="392">
        <f t="shared" ref="P50:P79" si="8">L50</f>
        <v>71444.45</v>
      </c>
      <c r="Q50" s="392">
        <f t="shared" si="1"/>
        <v>0</v>
      </c>
      <c r="R50" s="392">
        <f t="shared" si="2"/>
        <v>0</v>
      </c>
      <c r="S50" s="532">
        <v>62000.04</v>
      </c>
      <c r="T50" s="374"/>
      <c r="U50" s="520">
        <f t="shared" ref="U50:U79" si="9">S50+T50-V50</f>
        <v>4.0000000000873115E-2</v>
      </c>
      <c r="V50" s="520">
        <f t="shared" ref="V50:V79" si="10">I50+J50+K50</f>
        <v>62000</v>
      </c>
      <c r="W50" s="520">
        <f t="shared" ref="W50:W79" si="11">(P50+Q50+R50)*1.055056</f>
        <v>75377.895639199996</v>
      </c>
      <c r="X50" s="520">
        <f t="shared" ref="X50:X79" si="12">V50-W50</f>
        <v>-13377.895639199996</v>
      </c>
      <c r="Y50" s="525">
        <f>Y49+X50</f>
        <v>-27022.112734143986</v>
      </c>
    </row>
    <row r="51" spans="3:25" x14ac:dyDescent="0.2">
      <c r="C51" s="387">
        <f t="shared" si="3"/>
        <v>42797</v>
      </c>
      <c r="D51" s="388">
        <f t="shared" si="4"/>
        <v>150304.21677419354</v>
      </c>
      <c r="E51" s="392">
        <f t="shared" si="5"/>
        <v>71413.835938000004</v>
      </c>
      <c r="F51" s="428">
        <f t="shared" si="6"/>
        <v>0.94885799000000004</v>
      </c>
      <c r="G51" s="390">
        <f t="shared" si="7"/>
        <v>67.761600000000001</v>
      </c>
      <c r="H51" s="391">
        <f t="shared" si="0"/>
        <v>221786.76317018355</v>
      </c>
      <c r="I51" s="324">
        <v>62000</v>
      </c>
      <c r="J51" s="325"/>
      <c r="K51" s="325"/>
      <c r="L51" s="317">
        <v>71413.835938000004</v>
      </c>
      <c r="M51" s="318"/>
      <c r="N51" s="318"/>
      <c r="O51" s="318"/>
      <c r="P51" s="392">
        <f t="shared" si="8"/>
        <v>71413.835938000004</v>
      </c>
      <c r="Q51" s="392">
        <f t="shared" si="1"/>
        <v>0</v>
      </c>
      <c r="R51" s="392">
        <f t="shared" si="2"/>
        <v>0</v>
      </c>
      <c r="S51" s="532">
        <v>62000.04</v>
      </c>
      <c r="T51" s="374"/>
      <c r="U51" s="520">
        <f t="shared" si="9"/>
        <v>4.0000000000873115E-2</v>
      </c>
      <c r="V51" s="520">
        <f t="shared" si="10"/>
        <v>62000</v>
      </c>
      <c r="W51" s="520">
        <f t="shared" si="11"/>
        <v>75345.596089402534</v>
      </c>
      <c r="X51" s="520">
        <f t="shared" si="12"/>
        <v>-13345.596089402534</v>
      </c>
      <c r="Y51" s="525">
        <f t="shared" ref="Y51:Y79" si="13">Y50+X51</f>
        <v>-40367.70882354652</v>
      </c>
    </row>
    <row r="52" spans="3:25" x14ac:dyDescent="0.2">
      <c r="C52" s="387">
        <f t="shared" si="3"/>
        <v>42798</v>
      </c>
      <c r="D52" s="388">
        <f t="shared" si="4"/>
        <v>150304.21677419354</v>
      </c>
      <c r="E52" s="392">
        <f t="shared" si="5"/>
        <v>70441.4375</v>
      </c>
      <c r="F52" s="428">
        <f t="shared" si="6"/>
        <v>0.94885799000000004</v>
      </c>
      <c r="G52" s="390">
        <f t="shared" si="7"/>
        <v>66.838899999999995</v>
      </c>
      <c r="H52" s="391">
        <f t="shared" si="0"/>
        <v>220813.44203218355</v>
      </c>
      <c r="I52" s="324">
        <v>60000</v>
      </c>
      <c r="J52" s="325"/>
      <c r="K52" s="325"/>
      <c r="L52" s="319">
        <v>70441.4375</v>
      </c>
      <c r="M52" s="320"/>
      <c r="N52" s="320"/>
      <c r="O52" s="320"/>
      <c r="P52" s="392">
        <f t="shared" si="8"/>
        <v>70441.4375</v>
      </c>
      <c r="Q52" s="392">
        <f t="shared" si="1"/>
        <v>0</v>
      </c>
      <c r="R52" s="392">
        <f t="shared" si="2"/>
        <v>0</v>
      </c>
      <c r="S52" s="532">
        <v>60000</v>
      </c>
      <c r="T52" s="374"/>
      <c r="U52" s="520">
        <f t="shared" si="9"/>
        <v>0</v>
      </c>
      <c r="V52" s="520">
        <f t="shared" si="10"/>
        <v>60000</v>
      </c>
      <c r="W52" s="520">
        <f t="shared" si="11"/>
        <v>74319.661282999994</v>
      </c>
      <c r="X52" s="520">
        <f t="shared" si="12"/>
        <v>-14319.661282999994</v>
      </c>
      <c r="Y52" s="525">
        <f t="shared" si="13"/>
        <v>-54687.370106546514</v>
      </c>
    </row>
    <row r="53" spans="3:25" x14ac:dyDescent="0.2">
      <c r="C53" s="387">
        <f t="shared" si="3"/>
        <v>42799</v>
      </c>
      <c r="D53" s="388">
        <f t="shared" si="4"/>
        <v>150304.21677419354</v>
      </c>
      <c r="E53" s="392">
        <f t="shared" si="5"/>
        <v>71396.367188000004</v>
      </c>
      <c r="F53" s="428">
        <f t="shared" si="6"/>
        <v>0.94885799000000004</v>
      </c>
      <c r="G53" s="390">
        <f t="shared" si="7"/>
        <v>67.745000000000005</v>
      </c>
      <c r="H53" s="391">
        <f t="shared" si="0"/>
        <v>221769.27782018355</v>
      </c>
      <c r="I53" s="324">
        <v>60000</v>
      </c>
      <c r="J53" s="325"/>
      <c r="K53" s="325"/>
      <c r="L53" s="317">
        <v>71396.367188000004</v>
      </c>
      <c r="M53" s="318"/>
      <c r="N53" s="318"/>
      <c r="O53" s="318"/>
      <c r="P53" s="392">
        <f t="shared" si="8"/>
        <v>71396.367188000004</v>
      </c>
      <c r="Q53" s="392">
        <f t="shared" si="1"/>
        <v>0</v>
      </c>
      <c r="R53" s="392">
        <f t="shared" si="2"/>
        <v>0</v>
      </c>
      <c r="S53" s="532">
        <v>60000</v>
      </c>
      <c r="T53" s="374"/>
      <c r="U53" s="520">
        <f t="shared" si="9"/>
        <v>0</v>
      </c>
      <c r="V53" s="520">
        <f t="shared" si="10"/>
        <v>60000</v>
      </c>
      <c r="W53" s="520">
        <f t="shared" si="11"/>
        <v>75327.165579902532</v>
      </c>
      <c r="X53" s="520">
        <f t="shared" si="12"/>
        <v>-15327.165579902532</v>
      </c>
      <c r="Y53" s="525">
        <f t="shared" si="13"/>
        <v>-70014.535686449046</v>
      </c>
    </row>
    <row r="54" spans="3:25" x14ac:dyDescent="0.2">
      <c r="C54" s="387">
        <f t="shared" si="3"/>
        <v>42800</v>
      </c>
      <c r="D54" s="388">
        <f t="shared" si="4"/>
        <v>150304.21677419354</v>
      </c>
      <c r="E54" s="392">
        <f t="shared" si="5"/>
        <v>71713.351563000004</v>
      </c>
      <c r="F54" s="428">
        <f t="shared" si="6"/>
        <v>0.94885799000000004</v>
      </c>
      <c r="G54" s="390">
        <f t="shared" si="7"/>
        <v>68.0458</v>
      </c>
      <c r="H54" s="391">
        <f t="shared" si="0"/>
        <v>222086.56299518354</v>
      </c>
      <c r="I54" s="324">
        <v>60000</v>
      </c>
      <c r="J54" s="325"/>
      <c r="K54" s="325"/>
      <c r="L54" s="319">
        <v>71713.351563000004</v>
      </c>
      <c r="M54" s="320"/>
      <c r="N54" s="320"/>
      <c r="O54" s="320"/>
      <c r="P54" s="392">
        <f t="shared" si="8"/>
        <v>71713.351563000004</v>
      </c>
      <c r="Q54" s="392">
        <f t="shared" si="1"/>
        <v>0</v>
      </c>
      <c r="R54" s="392">
        <f t="shared" si="2"/>
        <v>0</v>
      </c>
      <c r="S54" s="532">
        <v>60000</v>
      </c>
      <c r="T54" s="374"/>
      <c r="U54" s="520">
        <f t="shared" si="9"/>
        <v>0</v>
      </c>
      <c r="V54" s="520">
        <f t="shared" si="10"/>
        <v>60000</v>
      </c>
      <c r="W54" s="520">
        <f t="shared" si="11"/>
        <v>75661.601846652527</v>
      </c>
      <c r="X54" s="520">
        <f t="shared" si="12"/>
        <v>-15661.601846652527</v>
      </c>
      <c r="Y54" s="525">
        <f t="shared" si="13"/>
        <v>-85676.137533101573</v>
      </c>
    </row>
    <row r="55" spans="3:25" x14ac:dyDescent="0.2">
      <c r="C55" s="387">
        <f t="shared" si="3"/>
        <v>42801</v>
      </c>
      <c r="D55" s="388">
        <f t="shared" si="4"/>
        <v>150304.21677419354</v>
      </c>
      <c r="E55" s="392">
        <f t="shared" si="5"/>
        <v>72005.84375</v>
      </c>
      <c r="F55" s="428">
        <f t="shared" si="6"/>
        <v>0.94885799000000004</v>
      </c>
      <c r="G55" s="390">
        <f t="shared" si="7"/>
        <v>68.323300000000003</v>
      </c>
      <c r="H55" s="391">
        <f t="shared" si="0"/>
        <v>222379.33268218354</v>
      </c>
      <c r="I55" s="324">
        <v>62000</v>
      </c>
      <c r="J55" s="325"/>
      <c r="K55" s="325"/>
      <c r="L55" s="317">
        <v>72005.84375</v>
      </c>
      <c r="M55" s="318"/>
      <c r="N55" s="318"/>
      <c r="O55" s="318"/>
      <c r="P55" s="392">
        <f t="shared" si="8"/>
        <v>72005.84375</v>
      </c>
      <c r="Q55" s="392">
        <f t="shared" si="1"/>
        <v>0</v>
      </c>
      <c r="R55" s="392">
        <f t="shared" si="2"/>
        <v>0</v>
      </c>
      <c r="S55" s="532">
        <v>62000.04</v>
      </c>
      <c r="T55" s="374"/>
      <c r="U55" s="520">
        <f t="shared" si="9"/>
        <v>4.0000000000873115E-2</v>
      </c>
      <c r="V55" s="520">
        <f t="shared" si="10"/>
        <v>62000</v>
      </c>
      <c r="W55" s="520">
        <f t="shared" si="11"/>
        <v>75970.1974835</v>
      </c>
      <c r="X55" s="520">
        <f t="shared" si="12"/>
        <v>-13970.1974835</v>
      </c>
      <c r="Y55" s="525">
        <f t="shared" si="13"/>
        <v>-99646.335016601573</v>
      </c>
    </row>
    <row r="56" spans="3:25" x14ac:dyDescent="0.2">
      <c r="C56" s="387">
        <f t="shared" si="3"/>
        <v>42802</v>
      </c>
      <c r="D56" s="388">
        <f t="shared" si="4"/>
        <v>150304.21677419354</v>
      </c>
      <c r="E56" s="392">
        <f t="shared" si="5"/>
        <v>71874.070313000004</v>
      </c>
      <c r="F56" s="428">
        <f t="shared" si="6"/>
        <v>0.94885799000000004</v>
      </c>
      <c r="G56" s="390">
        <f t="shared" si="7"/>
        <v>68.198300000000003</v>
      </c>
      <c r="H56" s="391">
        <f t="shared" si="0"/>
        <v>222247.43424518354</v>
      </c>
      <c r="I56" s="324">
        <v>62000</v>
      </c>
      <c r="J56" s="325"/>
      <c r="K56" s="325"/>
      <c r="L56" s="319">
        <v>71874.070313000004</v>
      </c>
      <c r="M56" s="320"/>
      <c r="N56" s="320"/>
      <c r="O56" s="320"/>
      <c r="P56" s="392">
        <f t="shared" si="8"/>
        <v>71874.070313000004</v>
      </c>
      <c r="Q56" s="392">
        <f t="shared" si="1"/>
        <v>0</v>
      </c>
      <c r="R56" s="392">
        <f t="shared" si="2"/>
        <v>0</v>
      </c>
      <c r="S56" s="532">
        <v>62000.04</v>
      </c>
      <c r="T56" s="374"/>
      <c r="U56" s="520">
        <f t="shared" si="9"/>
        <v>4.0000000000873115E-2</v>
      </c>
      <c r="V56" s="520">
        <f t="shared" si="10"/>
        <v>62000</v>
      </c>
      <c r="W56" s="520">
        <f t="shared" si="11"/>
        <v>75831.169128152527</v>
      </c>
      <c r="X56" s="520">
        <f t="shared" si="12"/>
        <v>-13831.169128152527</v>
      </c>
      <c r="Y56" s="525">
        <f t="shared" si="13"/>
        <v>-113477.5041447541</v>
      </c>
    </row>
    <row r="57" spans="3:25" x14ac:dyDescent="0.2">
      <c r="C57" s="387">
        <f t="shared" si="3"/>
        <v>42803</v>
      </c>
      <c r="D57" s="388">
        <f t="shared" si="4"/>
        <v>150304.21677419354</v>
      </c>
      <c r="E57" s="392">
        <f t="shared" si="5"/>
        <v>72067.554688000004</v>
      </c>
      <c r="F57" s="428">
        <f t="shared" si="6"/>
        <v>0.94885799000000004</v>
      </c>
      <c r="G57" s="390">
        <f t="shared" si="7"/>
        <v>68.381900000000002</v>
      </c>
      <c r="H57" s="391">
        <f t="shared" si="0"/>
        <v>222441.10222018356</v>
      </c>
      <c r="I57" s="324">
        <v>62000</v>
      </c>
      <c r="J57" s="325"/>
      <c r="K57" s="325"/>
      <c r="L57" s="317">
        <v>72067.554688000004</v>
      </c>
      <c r="M57" s="318"/>
      <c r="N57" s="318"/>
      <c r="O57" s="318"/>
      <c r="P57" s="392">
        <f t="shared" si="8"/>
        <v>72067.554688000004</v>
      </c>
      <c r="Q57" s="392">
        <f t="shared" si="1"/>
        <v>0</v>
      </c>
      <c r="R57" s="392">
        <f t="shared" si="2"/>
        <v>0</v>
      </c>
      <c r="S57" s="532">
        <v>62000.04</v>
      </c>
      <c r="T57" s="374"/>
      <c r="U57" s="520">
        <f t="shared" si="9"/>
        <v>4.0000000000873115E-2</v>
      </c>
      <c r="V57" s="520">
        <f t="shared" si="10"/>
        <v>62000</v>
      </c>
      <c r="W57" s="520">
        <f t="shared" si="11"/>
        <v>76035.305978902528</v>
      </c>
      <c r="X57" s="520">
        <f t="shared" si="12"/>
        <v>-14035.305978902528</v>
      </c>
      <c r="Y57" s="525">
        <f t="shared" si="13"/>
        <v>-127512.81012365663</v>
      </c>
    </row>
    <row r="58" spans="3:25" x14ac:dyDescent="0.2">
      <c r="C58" s="387">
        <f t="shared" si="3"/>
        <v>42804</v>
      </c>
      <c r="D58" s="388">
        <f t="shared" si="4"/>
        <v>150304.21677419354</v>
      </c>
      <c r="E58" s="392">
        <f t="shared" si="5"/>
        <v>71845.242188000004</v>
      </c>
      <c r="F58" s="428">
        <f t="shared" si="6"/>
        <v>0.94885799000000004</v>
      </c>
      <c r="G58" s="390">
        <f t="shared" si="7"/>
        <v>68.170900000000003</v>
      </c>
      <c r="H58" s="391">
        <f t="shared" si="0"/>
        <v>222218.57872018355</v>
      </c>
      <c r="I58" s="324">
        <v>62000</v>
      </c>
      <c r="J58" s="325"/>
      <c r="K58" s="325"/>
      <c r="L58" s="319">
        <v>71845.242188000004</v>
      </c>
      <c r="M58" s="320"/>
      <c r="N58" s="320"/>
      <c r="O58" s="320"/>
      <c r="P58" s="392">
        <f t="shared" si="8"/>
        <v>71845.242188000004</v>
      </c>
      <c r="Q58" s="392">
        <f t="shared" si="1"/>
        <v>0</v>
      </c>
      <c r="R58" s="392">
        <f t="shared" si="2"/>
        <v>0</v>
      </c>
      <c r="S58" s="532">
        <v>62000.04</v>
      </c>
      <c r="T58" s="374"/>
      <c r="U58" s="520">
        <f t="shared" si="9"/>
        <v>4.0000000000873115E-2</v>
      </c>
      <c r="V58" s="520">
        <f t="shared" si="10"/>
        <v>62000</v>
      </c>
      <c r="W58" s="520">
        <f t="shared" si="11"/>
        <v>75800.753841902537</v>
      </c>
      <c r="X58" s="520">
        <f t="shared" si="12"/>
        <v>-13800.753841902537</v>
      </c>
      <c r="Y58" s="525">
        <f t="shared" si="13"/>
        <v>-141313.56396555918</v>
      </c>
    </row>
    <row r="59" spans="3:25" x14ac:dyDescent="0.2">
      <c r="C59" s="387">
        <f t="shared" si="3"/>
        <v>42805</v>
      </c>
      <c r="D59" s="388">
        <f t="shared" si="4"/>
        <v>150304.21677419354</v>
      </c>
      <c r="E59" s="392">
        <f t="shared" si="5"/>
        <v>71818.546875</v>
      </c>
      <c r="F59" s="428">
        <f t="shared" si="6"/>
        <v>0.94885799000000004</v>
      </c>
      <c r="G59" s="390">
        <f t="shared" si="7"/>
        <v>68.145600000000002</v>
      </c>
      <c r="H59" s="391">
        <f t="shared" si="0"/>
        <v>222191.85810718354</v>
      </c>
      <c r="I59" s="324">
        <v>62000</v>
      </c>
      <c r="J59" s="325"/>
      <c r="K59" s="325"/>
      <c r="L59" s="317">
        <v>71818.546875</v>
      </c>
      <c r="M59" s="318"/>
      <c r="N59" s="318"/>
      <c r="O59" s="318"/>
      <c r="P59" s="392">
        <f t="shared" si="8"/>
        <v>71818.546875</v>
      </c>
      <c r="Q59" s="392">
        <f t="shared" si="1"/>
        <v>0</v>
      </c>
      <c r="R59" s="392">
        <f t="shared" si="2"/>
        <v>0</v>
      </c>
      <c r="S59" s="532">
        <v>62000.04</v>
      </c>
      <c r="T59" s="374"/>
      <c r="U59" s="520">
        <f t="shared" si="9"/>
        <v>4.0000000000873115E-2</v>
      </c>
      <c r="V59" s="520">
        <f t="shared" si="10"/>
        <v>62000</v>
      </c>
      <c r="W59" s="520">
        <f t="shared" si="11"/>
        <v>75772.588791749993</v>
      </c>
      <c r="X59" s="520">
        <f t="shared" si="12"/>
        <v>-13772.588791749993</v>
      </c>
      <c r="Y59" s="525">
        <f t="shared" si="13"/>
        <v>-155086.15275730917</v>
      </c>
    </row>
    <row r="60" spans="3:25" x14ac:dyDescent="0.2">
      <c r="C60" s="387">
        <f t="shared" si="3"/>
        <v>42806</v>
      </c>
      <c r="D60" s="388">
        <f t="shared" si="4"/>
        <v>150304.21677419354</v>
      </c>
      <c r="E60" s="392">
        <f t="shared" si="5"/>
        <v>68485.679688000004</v>
      </c>
      <c r="F60" s="428">
        <f t="shared" si="6"/>
        <v>0.94885799000000004</v>
      </c>
      <c r="G60" s="390">
        <f t="shared" si="7"/>
        <v>64.983199999999997</v>
      </c>
      <c r="H60" s="391">
        <f t="shared" si="0"/>
        <v>218855.82852018354</v>
      </c>
      <c r="I60" s="324">
        <v>62000</v>
      </c>
      <c r="J60" s="325"/>
      <c r="K60" s="325"/>
      <c r="L60" s="319">
        <v>68485.679688000004</v>
      </c>
      <c r="M60" s="320"/>
      <c r="N60" s="320"/>
      <c r="O60" s="320"/>
      <c r="P60" s="392">
        <f t="shared" si="8"/>
        <v>68485.679688000004</v>
      </c>
      <c r="Q60" s="392">
        <f t="shared" si="1"/>
        <v>0</v>
      </c>
      <c r="R60" s="392">
        <f t="shared" si="2"/>
        <v>0</v>
      </c>
      <c r="S60" s="532">
        <v>62000.04</v>
      </c>
      <c r="T60" s="374"/>
      <c r="U60" s="520">
        <f t="shared" si="9"/>
        <v>4.0000000000873115E-2</v>
      </c>
      <c r="V60" s="520">
        <f t="shared" si="10"/>
        <v>62000</v>
      </c>
      <c r="W60" s="520">
        <f t="shared" si="11"/>
        <v>72256.227268902527</v>
      </c>
      <c r="X60" s="520">
        <f t="shared" si="12"/>
        <v>-10256.227268902527</v>
      </c>
      <c r="Y60" s="525">
        <f t="shared" si="13"/>
        <v>-165342.3800262117</v>
      </c>
    </row>
    <row r="61" spans="3:25" x14ac:dyDescent="0.2">
      <c r="C61" s="387">
        <f t="shared" si="3"/>
        <v>42807</v>
      </c>
      <c r="D61" s="388">
        <f t="shared" si="4"/>
        <v>150304.21677419354</v>
      </c>
      <c r="E61" s="392">
        <f t="shared" si="5"/>
        <v>72095.349122</v>
      </c>
      <c r="F61" s="428">
        <f t="shared" si="6"/>
        <v>0.94885799000000004</v>
      </c>
      <c r="G61" s="390">
        <f t="shared" si="7"/>
        <v>68.408199999999994</v>
      </c>
      <c r="H61" s="391">
        <f t="shared" si="0"/>
        <v>222468.92295418357</v>
      </c>
      <c r="I61" s="324">
        <v>62000</v>
      </c>
      <c r="J61" s="325"/>
      <c r="K61" s="325"/>
      <c r="L61" s="317">
        <v>72095.349122</v>
      </c>
      <c r="M61" s="318"/>
      <c r="N61" s="318"/>
      <c r="O61" s="318"/>
      <c r="P61" s="392">
        <f t="shared" si="8"/>
        <v>72095.349122</v>
      </c>
      <c r="Q61" s="392">
        <f t="shared" si="1"/>
        <v>0</v>
      </c>
      <c r="R61" s="392">
        <f t="shared" si="2"/>
        <v>0</v>
      </c>
      <c r="S61" s="532">
        <v>62000.04</v>
      </c>
      <c r="T61" s="374"/>
      <c r="U61" s="520">
        <f t="shared" si="9"/>
        <v>4.0000000000873115E-2</v>
      </c>
      <c r="V61" s="520">
        <f t="shared" si="10"/>
        <v>62000</v>
      </c>
      <c r="W61" s="520">
        <f t="shared" si="11"/>
        <v>76064.630663260832</v>
      </c>
      <c r="X61" s="520">
        <f t="shared" si="12"/>
        <v>-14064.630663260832</v>
      </c>
      <c r="Y61" s="525">
        <f t="shared" si="13"/>
        <v>-179407.01068947255</v>
      </c>
    </row>
    <row r="62" spans="3:25" x14ac:dyDescent="0.2">
      <c r="C62" s="387">
        <f t="shared" si="3"/>
        <v>42808</v>
      </c>
      <c r="D62" s="388">
        <f t="shared" si="4"/>
        <v>150304.21677419354</v>
      </c>
      <c r="E62" s="392">
        <f t="shared" si="5"/>
        <v>71851.899415999986</v>
      </c>
      <c r="F62" s="428">
        <f t="shared" si="6"/>
        <v>0.94885799000000004</v>
      </c>
      <c r="G62" s="390">
        <f t="shared" si="7"/>
        <v>68.177199999999999</v>
      </c>
      <c r="H62" s="391">
        <f t="shared" si="0"/>
        <v>222225.24224818352</v>
      </c>
      <c r="I62" s="324">
        <v>62000</v>
      </c>
      <c r="J62" s="325"/>
      <c r="K62" s="325"/>
      <c r="L62" s="319">
        <v>71851.899415999986</v>
      </c>
      <c r="M62" s="320"/>
      <c r="N62" s="320"/>
      <c r="O62" s="320"/>
      <c r="P62" s="392">
        <f t="shared" si="8"/>
        <v>71851.899415999986</v>
      </c>
      <c r="Q62" s="392">
        <f t="shared" si="1"/>
        <v>0</v>
      </c>
      <c r="R62" s="392">
        <f t="shared" si="2"/>
        <v>0</v>
      </c>
      <c r="S62" s="532">
        <v>62000.04</v>
      </c>
      <c r="T62" s="374"/>
      <c r="U62" s="520">
        <f t="shared" si="9"/>
        <v>4.0000000000873115E-2</v>
      </c>
      <c r="V62" s="520">
        <f t="shared" si="10"/>
        <v>62000</v>
      </c>
      <c r="W62" s="520">
        <f t="shared" si="11"/>
        <v>75807.777590247279</v>
      </c>
      <c r="X62" s="520">
        <f t="shared" si="12"/>
        <v>-13807.777590247279</v>
      </c>
      <c r="Y62" s="525">
        <f t="shared" si="13"/>
        <v>-193214.78827971983</v>
      </c>
    </row>
    <row r="63" spans="3:25" x14ac:dyDescent="0.2">
      <c r="C63" s="387">
        <f t="shared" si="3"/>
        <v>42809</v>
      </c>
      <c r="D63" s="388">
        <f t="shared" si="4"/>
        <v>150304.21677419354</v>
      </c>
      <c r="E63" s="392">
        <f t="shared" si="5"/>
        <v>72746.429688000004</v>
      </c>
      <c r="F63" s="428">
        <f t="shared" si="6"/>
        <v>0.94885799000000004</v>
      </c>
      <c r="G63" s="390">
        <f t="shared" si="7"/>
        <v>69.025999999999996</v>
      </c>
      <c r="H63" s="391">
        <f t="shared" si="0"/>
        <v>223120.62132018356</v>
      </c>
      <c r="I63" s="324">
        <v>68000</v>
      </c>
      <c r="J63" s="325"/>
      <c r="K63" s="325"/>
      <c r="L63" s="317">
        <v>72746.429688000004</v>
      </c>
      <c r="M63" s="318"/>
      <c r="N63" s="318"/>
      <c r="O63" s="318"/>
      <c r="P63" s="392">
        <f t="shared" si="8"/>
        <v>72746.429688000004</v>
      </c>
      <c r="Q63" s="392">
        <f t="shared" si="1"/>
        <v>0</v>
      </c>
      <c r="R63" s="392">
        <f t="shared" si="2"/>
        <v>0</v>
      </c>
      <c r="S63" s="532">
        <v>68000.13</v>
      </c>
      <c r="T63" s="374"/>
      <c r="U63" s="520">
        <f t="shared" si="9"/>
        <v>0.13000000000465661</v>
      </c>
      <c r="V63" s="520">
        <f t="shared" si="10"/>
        <v>68000</v>
      </c>
      <c r="W63" s="520">
        <f t="shared" si="11"/>
        <v>76751.557120902537</v>
      </c>
      <c r="X63" s="520">
        <f t="shared" si="12"/>
        <v>-8751.5571209025366</v>
      </c>
      <c r="Y63" s="525">
        <f t="shared" si="13"/>
        <v>-201966.34540062235</v>
      </c>
    </row>
    <row r="64" spans="3:25" x14ac:dyDescent="0.2">
      <c r="C64" s="387">
        <f t="shared" si="3"/>
        <v>42810</v>
      </c>
      <c r="D64" s="388">
        <f t="shared" si="4"/>
        <v>150304.21677419354</v>
      </c>
      <c r="E64" s="392">
        <f t="shared" si="5"/>
        <v>72560.5625</v>
      </c>
      <c r="F64" s="428">
        <f t="shared" si="6"/>
        <v>0.94885799000000004</v>
      </c>
      <c r="G64" s="390">
        <f t="shared" si="7"/>
        <v>68.849699999999999</v>
      </c>
      <c r="H64" s="391">
        <f t="shared" si="0"/>
        <v>222934.57783218354</v>
      </c>
      <c r="I64" s="324">
        <v>68000</v>
      </c>
      <c r="J64" s="325"/>
      <c r="K64" s="325"/>
      <c r="L64" s="319">
        <v>72560.5625</v>
      </c>
      <c r="M64" s="320"/>
      <c r="N64" s="320"/>
      <c r="O64" s="320"/>
      <c r="P64" s="392">
        <f t="shared" si="8"/>
        <v>72560.5625</v>
      </c>
      <c r="Q64" s="392">
        <f t="shared" si="1"/>
        <v>0</v>
      </c>
      <c r="R64" s="392">
        <f t="shared" si="2"/>
        <v>0</v>
      </c>
      <c r="S64" s="532">
        <v>68000.13</v>
      </c>
      <c r="T64" s="374"/>
      <c r="U64" s="520">
        <f t="shared" si="9"/>
        <v>0.13000000000465661</v>
      </c>
      <c r="V64" s="520">
        <f t="shared" si="10"/>
        <v>68000</v>
      </c>
      <c r="W64" s="520">
        <f t="shared" si="11"/>
        <v>76555.456829000002</v>
      </c>
      <c r="X64" s="520">
        <f t="shared" si="12"/>
        <v>-8555.4568290000025</v>
      </c>
      <c r="Y64" s="525">
        <f t="shared" si="13"/>
        <v>-210521.80222962235</v>
      </c>
    </row>
    <row r="65" spans="3:38" x14ac:dyDescent="0.2">
      <c r="C65" s="387">
        <f t="shared" si="3"/>
        <v>42811</v>
      </c>
      <c r="D65" s="388">
        <f t="shared" si="4"/>
        <v>150304.21677419354</v>
      </c>
      <c r="E65" s="392">
        <f t="shared" si="5"/>
        <v>72569.414063000004</v>
      </c>
      <c r="F65" s="428">
        <f t="shared" si="6"/>
        <v>0.94885799000000004</v>
      </c>
      <c r="G65" s="390">
        <f t="shared" si="7"/>
        <v>68.858099999999993</v>
      </c>
      <c r="H65" s="391">
        <f t="shared" si="0"/>
        <v>222943.43779518356</v>
      </c>
      <c r="I65" s="324">
        <v>68000</v>
      </c>
      <c r="J65" s="325"/>
      <c r="K65" s="325"/>
      <c r="L65" s="317">
        <v>72569.414063000004</v>
      </c>
      <c r="M65" s="318"/>
      <c r="N65" s="318"/>
      <c r="O65" s="318"/>
      <c r="P65" s="392">
        <f t="shared" si="8"/>
        <v>72569.414063000004</v>
      </c>
      <c r="Q65" s="392">
        <f t="shared" si="1"/>
        <v>0</v>
      </c>
      <c r="R65" s="392">
        <f t="shared" si="2"/>
        <v>0</v>
      </c>
      <c r="S65" s="532">
        <v>68000.13</v>
      </c>
      <c r="T65" s="374"/>
      <c r="U65" s="520">
        <f t="shared" si="9"/>
        <v>0.13000000000465661</v>
      </c>
      <c r="V65" s="520">
        <f t="shared" si="10"/>
        <v>68000</v>
      </c>
      <c r="W65" s="520">
        <f t="shared" si="11"/>
        <v>76564.795723652525</v>
      </c>
      <c r="X65" s="520">
        <f t="shared" si="12"/>
        <v>-8564.7957236525253</v>
      </c>
      <c r="Y65" s="525">
        <f t="shared" si="13"/>
        <v>-219086.59795327488</v>
      </c>
    </row>
    <row r="66" spans="3:38" x14ac:dyDescent="0.2">
      <c r="C66" s="387">
        <f t="shared" si="3"/>
        <v>42812</v>
      </c>
      <c r="D66" s="388">
        <f t="shared" si="4"/>
        <v>150304.21677419354</v>
      </c>
      <c r="E66" s="392">
        <f t="shared" si="5"/>
        <v>71030.53125</v>
      </c>
      <c r="F66" s="428">
        <f t="shared" si="6"/>
        <v>0.94885799000000004</v>
      </c>
      <c r="G66" s="390">
        <f t="shared" si="7"/>
        <v>67.397900000000007</v>
      </c>
      <c r="H66" s="391">
        <f t="shared" si="0"/>
        <v>221403.09478218356</v>
      </c>
      <c r="I66" s="324">
        <v>64999</v>
      </c>
      <c r="J66" s="325"/>
      <c r="K66" s="325"/>
      <c r="L66" s="319">
        <v>71030.53125</v>
      </c>
      <c r="M66" s="320"/>
      <c r="N66" s="320"/>
      <c r="O66" s="320"/>
      <c r="P66" s="392">
        <f t="shared" si="8"/>
        <v>71030.53125</v>
      </c>
      <c r="Q66" s="392">
        <f t="shared" si="1"/>
        <v>0</v>
      </c>
      <c r="R66" s="392">
        <f t="shared" si="2"/>
        <v>0</v>
      </c>
      <c r="S66" s="532">
        <v>64999.600000000006</v>
      </c>
      <c r="T66" s="374"/>
      <c r="U66" s="520">
        <f t="shared" si="9"/>
        <v>0.60000000000582077</v>
      </c>
      <c r="V66" s="520">
        <f t="shared" si="10"/>
        <v>64999</v>
      </c>
      <c r="W66" s="520">
        <f t="shared" si="11"/>
        <v>74941.188178500001</v>
      </c>
      <c r="X66" s="520">
        <f t="shared" si="12"/>
        <v>-9942.1881785000005</v>
      </c>
      <c r="Y66" s="525">
        <f t="shared" si="13"/>
        <v>-229028.78613177489</v>
      </c>
    </row>
    <row r="67" spans="3:38" x14ac:dyDescent="0.2">
      <c r="C67" s="387">
        <f t="shared" si="3"/>
        <v>42813</v>
      </c>
      <c r="D67" s="388">
        <f t="shared" si="4"/>
        <v>150304.21677419354</v>
      </c>
      <c r="E67" s="392">
        <f t="shared" si="5"/>
        <v>67651.242188000004</v>
      </c>
      <c r="F67" s="428">
        <f t="shared" si="6"/>
        <v>0.94885799000000004</v>
      </c>
      <c r="G67" s="390">
        <f t="shared" si="7"/>
        <v>64.191400000000002</v>
      </c>
      <c r="H67" s="391">
        <f t="shared" si="0"/>
        <v>218020.59922018356</v>
      </c>
      <c r="I67" s="324">
        <v>64999</v>
      </c>
      <c r="J67" s="325"/>
      <c r="K67" s="325"/>
      <c r="L67" s="317">
        <v>67651.242188000004</v>
      </c>
      <c r="M67" s="318"/>
      <c r="N67" s="318"/>
      <c r="O67" s="318"/>
      <c r="P67" s="392">
        <f t="shared" si="8"/>
        <v>67651.242188000004</v>
      </c>
      <c r="Q67" s="392">
        <f t="shared" si="1"/>
        <v>0</v>
      </c>
      <c r="R67" s="392">
        <f t="shared" si="2"/>
        <v>0</v>
      </c>
      <c r="S67" s="532">
        <v>64999.600000000006</v>
      </c>
      <c r="T67" s="374"/>
      <c r="U67" s="520">
        <f t="shared" si="9"/>
        <v>0.60000000000582077</v>
      </c>
      <c r="V67" s="520">
        <f t="shared" si="10"/>
        <v>64999</v>
      </c>
      <c r="W67" s="520">
        <f t="shared" si="11"/>
        <v>71375.848977902526</v>
      </c>
      <c r="X67" s="520">
        <f t="shared" si="12"/>
        <v>-6376.8489779025258</v>
      </c>
      <c r="Y67" s="525">
        <f t="shared" si="13"/>
        <v>-235405.63510967742</v>
      </c>
    </row>
    <row r="68" spans="3:38" x14ac:dyDescent="0.2">
      <c r="C68" s="387">
        <f t="shared" si="3"/>
        <v>42814</v>
      </c>
      <c r="D68" s="388">
        <f t="shared" si="4"/>
        <v>150304.21677419354</v>
      </c>
      <c r="E68" s="392">
        <f t="shared" si="5"/>
        <v>71687.273194000023</v>
      </c>
      <c r="F68" s="428">
        <f t="shared" si="6"/>
        <v>0.94885799000000004</v>
      </c>
      <c r="G68" s="390">
        <f t="shared" si="7"/>
        <v>68.021000000000001</v>
      </c>
      <c r="H68" s="391">
        <f t="shared" si="0"/>
        <v>222060.45982618359</v>
      </c>
      <c r="I68" s="324">
        <v>64999</v>
      </c>
      <c r="J68" s="325"/>
      <c r="K68" s="325"/>
      <c r="L68" s="319">
        <v>71687.273194000023</v>
      </c>
      <c r="M68" s="320"/>
      <c r="N68" s="320"/>
      <c r="O68" s="320"/>
      <c r="P68" s="392">
        <f t="shared" si="8"/>
        <v>71687.273194000023</v>
      </c>
      <c r="Q68" s="392">
        <f t="shared" si="1"/>
        <v>0</v>
      </c>
      <c r="R68" s="392">
        <f t="shared" si="2"/>
        <v>0</v>
      </c>
      <c r="S68" s="532">
        <v>64999.600000000006</v>
      </c>
      <c r="T68" s="374"/>
      <c r="U68" s="520">
        <f t="shared" si="9"/>
        <v>0.60000000000582077</v>
      </c>
      <c r="V68" s="520">
        <f t="shared" si="10"/>
        <v>64999</v>
      </c>
      <c r="W68" s="520">
        <f t="shared" si="11"/>
        <v>75634.087706968887</v>
      </c>
      <c r="X68" s="520">
        <f t="shared" si="12"/>
        <v>-10635.087706968887</v>
      </c>
      <c r="Y68" s="525">
        <f t="shared" si="13"/>
        <v>-246040.7228166463</v>
      </c>
    </row>
    <row r="69" spans="3:38" x14ac:dyDescent="0.2">
      <c r="C69" s="387">
        <f t="shared" si="3"/>
        <v>42815</v>
      </c>
      <c r="D69" s="388">
        <f t="shared" si="4"/>
        <v>150304.21677419354</v>
      </c>
      <c r="E69" s="392">
        <f t="shared" si="5"/>
        <v>72728.756105000008</v>
      </c>
      <c r="F69" s="428">
        <f t="shared" si="6"/>
        <v>0.94885799000000004</v>
      </c>
      <c r="G69" s="390">
        <f t="shared" si="7"/>
        <v>69.009299999999996</v>
      </c>
      <c r="H69" s="391">
        <f t="shared" si="0"/>
        <v>223102.93103718356</v>
      </c>
      <c r="I69" s="324">
        <v>64999</v>
      </c>
      <c r="J69" s="325"/>
      <c r="K69" s="325"/>
      <c r="L69" s="317">
        <v>72728.756105000008</v>
      </c>
      <c r="M69" s="318"/>
      <c r="N69" s="318"/>
      <c r="O69" s="318"/>
      <c r="P69" s="392">
        <f t="shared" si="8"/>
        <v>72728.756105000008</v>
      </c>
      <c r="Q69" s="392">
        <f t="shared" si="1"/>
        <v>0</v>
      </c>
      <c r="R69" s="392">
        <f t="shared" si="2"/>
        <v>0</v>
      </c>
      <c r="S69" s="532">
        <v>64999.600000000006</v>
      </c>
      <c r="T69" s="374"/>
      <c r="U69" s="520">
        <f t="shared" si="9"/>
        <v>0.60000000000582077</v>
      </c>
      <c r="V69" s="520">
        <f t="shared" si="10"/>
        <v>64999</v>
      </c>
      <c r="W69" s="520">
        <f t="shared" si="11"/>
        <v>76732.910501116887</v>
      </c>
      <c r="X69" s="520">
        <f t="shared" si="12"/>
        <v>-11733.910501116887</v>
      </c>
      <c r="Y69" s="525">
        <f t="shared" si="13"/>
        <v>-257774.63331776319</v>
      </c>
    </row>
    <row r="70" spans="3:38" x14ac:dyDescent="0.2">
      <c r="C70" s="387">
        <f t="shared" si="3"/>
        <v>42816</v>
      </c>
      <c r="D70" s="388">
        <f t="shared" si="4"/>
        <v>150304.21677419354</v>
      </c>
      <c r="E70" s="392">
        <f t="shared" si="5"/>
        <v>72322.471923999998</v>
      </c>
      <c r="F70" s="428">
        <f t="shared" si="6"/>
        <v>0.94885799000000004</v>
      </c>
      <c r="G70" s="390">
        <f t="shared" si="7"/>
        <v>68.623800000000003</v>
      </c>
      <c r="H70" s="391">
        <f t="shared" si="0"/>
        <v>222696.26135618353</v>
      </c>
      <c r="I70" s="324">
        <v>68000</v>
      </c>
      <c r="J70" s="325"/>
      <c r="K70" s="325"/>
      <c r="L70" s="319">
        <v>72322.471923999998</v>
      </c>
      <c r="M70" s="320"/>
      <c r="N70" s="320"/>
      <c r="O70" s="320"/>
      <c r="P70" s="392">
        <f t="shared" si="8"/>
        <v>72322.471923999998</v>
      </c>
      <c r="Q70" s="392">
        <f t="shared" si="1"/>
        <v>0</v>
      </c>
      <c r="R70" s="392">
        <f t="shared" si="2"/>
        <v>0</v>
      </c>
      <c r="S70" s="532">
        <v>68000.13</v>
      </c>
      <c r="T70" s="374"/>
      <c r="U70" s="520">
        <f t="shared" si="9"/>
        <v>0.13000000000465661</v>
      </c>
      <c r="V70" s="520">
        <f t="shared" si="10"/>
        <v>68000</v>
      </c>
      <c r="W70" s="520">
        <f t="shared" si="11"/>
        <v>76304.257938247742</v>
      </c>
      <c r="X70" s="520">
        <f t="shared" si="12"/>
        <v>-8304.2579382477415</v>
      </c>
      <c r="Y70" s="525">
        <f t="shared" si="13"/>
        <v>-266078.89125601092</v>
      </c>
    </row>
    <row r="71" spans="3:38" x14ac:dyDescent="0.2">
      <c r="C71" s="387">
        <f t="shared" si="3"/>
        <v>42817</v>
      </c>
      <c r="D71" s="388">
        <f t="shared" si="4"/>
        <v>150304.21677419354</v>
      </c>
      <c r="E71" s="392">
        <f t="shared" si="5"/>
        <v>72400.382813000004</v>
      </c>
      <c r="F71" s="428">
        <f t="shared" si="6"/>
        <v>0.94885799000000004</v>
      </c>
      <c r="G71" s="390">
        <f t="shared" si="7"/>
        <v>68.697699999999998</v>
      </c>
      <c r="H71" s="391">
        <f t="shared" si="0"/>
        <v>222774.24614518354</v>
      </c>
      <c r="I71" s="324">
        <v>68000</v>
      </c>
      <c r="J71" s="325"/>
      <c r="K71" s="325"/>
      <c r="L71" s="317">
        <v>72400.382813000004</v>
      </c>
      <c r="M71" s="318"/>
      <c r="N71" s="318"/>
      <c r="O71" s="318"/>
      <c r="P71" s="392">
        <f t="shared" si="8"/>
        <v>72400.382813000004</v>
      </c>
      <c r="Q71" s="392">
        <f t="shared" si="1"/>
        <v>0</v>
      </c>
      <c r="R71" s="392">
        <f t="shared" si="2"/>
        <v>0</v>
      </c>
      <c r="S71" s="532">
        <v>68000.13</v>
      </c>
      <c r="T71" s="374"/>
      <c r="U71" s="520">
        <f t="shared" si="9"/>
        <v>0.13000000000465661</v>
      </c>
      <c r="V71" s="520">
        <f t="shared" si="10"/>
        <v>68000</v>
      </c>
      <c r="W71" s="520">
        <f t="shared" si="11"/>
        <v>76386.458289152535</v>
      </c>
      <c r="X71" s="520">
        <f t="shared" si="12"/>
        <v>-8386.4582891525351</v>
      </c>
      <c r="Y71" s="525">
        <f t="shared" si="13"/>
        <v>-274465.34954516345</v>
      </c>
    </row>
    <row r="72" spans="3:38" x14ac:dyDescent="0.2">
      <c r="C72" s="387">
        <f t="shared" si="3"/>
        <v>42818</v>
      </c>
      <c r="D72" s="388">
        <f t="shared" si="4"/>
        <v>150304.21677419354</v>
      </c>
      <c r="E72" s="392">
        <f t="shared" si="5"/>
        <v>72006.03125</v>
      </c>
      <c r="F72" s="428">
        <f t="shared" si="6"/>
        <v>0.94885799000000004</v>
      </c>
      <c r="G72" s="390">
        <f t="shared" si="7"/>
        <v>68.323499999999996</v>
      </c>
      <c r="H72" s="391">
        <f t="shared" si="0"/>
        <v>222379.52038218355</v>
      </c>
      <c r="I72" s="324">
        <v>68000</v>
      </c>
      <c r="J72" s="325"/>
      <c r="K72" s="325"/>
      <c r="L72" s="319">
        <v>72006.03125</v>
      </c>
      <c r="M72" s="320"/>
      <c r="N72" s="320"/>
      <c r="O72" s="320"/>
      <c r="P72" s="392">
        <f t="shared" si="8"/>
        <v>72006.03125</v>
      </c>
      <c r="Q72" s="392">
        <f t="shared" si="1"/>
        <v>0</v>
      </c>
      <c r="R72" s="392">
        <f t="shared" si="2"/>
        <v>0</v>
      </c>
      <c r="S72" s="532">
        <v>68000.13</v>
      </c>
      <c r="T72" s="374"/>
      <c r="U72" s="520">
        <f t="shared" si="9"/>
        <v>0.13000000000465661</v>
      </c>
      <c r="V72" s="520">
        <f t="shared" si="10"/>
        <v>68000</v>
      </c>
      <c r="W72" s="520">
        <f t="shared" si="11"/>
        <v>75970.395306499995</v>
      </c>
      <c r="X72" s="520">
        <f t="shared" si="12"/>
        <v>-7970.3953064999951</v>
      </c>
      <c r="Y72" s="525">
        <f t="shared" si="13"/>
        <v>-282435.74485166348</v>
      </c>
    </row>
    <row r="73" spans="3:38" x14ac:dyDescent="0.2">
      <c r="C73" s="387">
        <f t="shared" si="3"/>
        <v>42819</v>
      </c>
      <c r="D73" s="388">
        <f t="shared" si="4"/>
        <v>150304.21677419354</v>
      </c>
      <c r="E73" s="392">
        <f t="shared" si="5"/>
        <v>71745.09375</v>
      </c>
      <c r="F73" s="428">
        <f t="shared" si="6"/>
        <v>0.94885799000000004</v>
      </c>
      <c r="G73" s="390">
        <f t="shared" si="7"/>
        <v>68.075900000000004</v>
      </c>
      <c r="H73" s="391">
        <f t="shared" si="0"/>
        <v>222118.33528218354</v>
      </c>
      <c r="I73" s="324">
        <v>66999</v>
      </c>
      <c r="J73" s="325"/>
      <c r="K73" s="325"/>
      <c r="L73" s="317">
        <v>71745.09375</v>
      </c>
      <c r="M73" s="318"/>
      <c r="N73" s="318"/>
      <c r="O73" s="318"/>
      <c r="P73" s="392">
        <f t="shared" si="8"/>
        <v>71745.09375</v>
      </c>
      <c r="Q73" s="392">
        <f t="shared" si="1"/>
        <v>0</v>
      </c>
      <c r="R73" s="392">
        <f t="shared" si="2"/>
        <v>0</v>
      </c>
      <c r="S73" s="532">
        <v>66999.63</v>
      </c>
      <c r="T73" s="374"/>
      <c r="U73" s="520">
        <f t="shared" si="9"/>
        <v>0.63000000000465661</v>
      </c>
      <c r="V73" s="520">
        <f t="shared" si="10"/>
        <v>66999</v>
      </c>
      <c r="W73" s="520">
        <f t="shared" si="11"/>
        <v>75695.091631500007</v>
      </c>
      <c r="X73" s="520">
        <f t="shared" si="12"/>
        <v>-8696.0916315000068</v>
      </c>
      <c r="Y73" s="525">
        <f t="shared" si="13"/>
        <v>-291131.83648316347</v>
      </c>
    </row>
    <row r="74" spans="3:38" x14ac:dyDescent="0.2">
      <c r="C74" s="387">
        <f t="shared" si="3"/>
        <v>42820</v>
      </c>
      <c r="D74" s="388">
        <f t="shared" si="4"/>
        <v>150304.21677419354</v>
      </c>
      <c r="E74" s="392">
        <f t="shared" si="5"/>
        <v>71853.348386999991</v>
      </c>
      <c r="F74" s="428">
        <f t="shared" si="6"/>
        <v>0.94885799000000004</v>
      </c>
      <c r="G74" s="390">
        <f t="shared" si="7"/>
        <v>68.178600000000003</v>
      </c>
      <c r="H74" s="391">
        <f t="shared" si="0"/>
        <v>222226.69261918357</v>
      </c>
      <c r="I74" s="324">
        <v>66999</v>
      </c>
      <c r="J74" s="325"/>
      <c r="K74" s="325"/>
      <c r="L74" s="319">
        <v>71853.348386999991</v>
      </c>
      <c r="M74" s="320"/>
      <c r="N74" s="320"/>
      <c r="O74" s="320"/>
      <c r="P74" s="392">
        <f t="shared" si="8"/>
        <v>71853.348386999991</v>
      </c>
      <c r="Q74" s="392">
        <f t="shared" si="1"/>
        <v>0</v>
      </c>
      <c r="R74" s="392">
        <f t="shared" si="2"/>
        <v>0</v>
      </c>
      <c r="S74" s="532">
        <v>66999.63</v>
      </c>
      <c r="T74" s="374"/>
      <c r="U74" s="520">
        <f t="shared" si="9"/>
        <v>0.63000000000465661</v>
      </c>
      <c r="V74" s="520">
        <f t="shared" si="10"/>
        <v>66999</v>
      </c>
      <c r="W74" s="520">
        <f t="shared" si="11"/>
        <v>75809.306335794667</v>
      </c>
      <c r="X74" s="520">
        <f t="shared" si="12"/>
        <v>-8810.3063357946667</v>
      </c>
      <c r="Y74" s="525">
        <f t="shared" si="13"/>
        <v>-299942.14281895815</v>
      </c>
    </row>
    <row r="75" spans="3:38" x14ac:dyDescent="0.2">
      <c r="C75" s="387">
        <f t="shared" si="3"/>
        <v>42821</v>
      </c>
      <c r="D75" s="388">
        <f t="shared" si="4"/>
        <v>150304.21677419354</v>
      </c>
      <c r="E75" s="392">
        <f t="shared" si="5"/>
        <v>72836.786865999995</v>
      </c>
      <c r="F75" s="428">
        <f t="shared" si="6"/>
        <v>0.94885799000000004</v>
      </c>
      <c r="G75" s="390">
        <f t="shared" si="7"/>
        <v>69.111800000000002</v>
      </c>
      <c r="H75" s="391">
        <f t="shared" si="0"/>
        <v>223211.06429818357</v>
      </c>
      <c r="I75" s="324">
        <v>66999</v>
      </c>
      <c r="J75" s="325"/>
      <c r="K75" s="325"/>
      <c r="L75" s="317">
        <v>72836.786865999995</v>
      </c>
      <c r="M75" s="318"/>
      <c r="N75" s="318"/>
      <c r="O75" s="318"/>
      <c r="P75" s="392">
        <f t="shared" si="8"/>
        <v>72836.786865999995</v>
      </c>
      <c r="Q75" s="392">
        <f t="shared" si="1"/>
        <v>0</v>
      </c>
      <c r="R75" s="392">
        <f t="shared" si="2"/>
        <v>0</v>
      </c>
      <c r="S75" s="532">
        <v>66999.63</v>
      </c>
      <c r="T75" s="374"/>
      <c r="U75" s="520">
        <f t="shared" si="9"/>
        <v>0.63000000000465661</v>
      </c>
      <c r="V75" s="520">
        <f t="shared" si="10"/>
        <v>66999</v>
      </c>
      <c r="W75" s="520">
        <f t="shared" si="11"/>
        <v>76846.889003694494</v>
      </c>
      <c r="X75" s="520">
        <f t="shared" si="12"/>
        <v>-9847.889003694494</v>
      </c>
      <c r="Y75" s="525">
        <f t="shared" si="13"/>
        <v>-309790.03182265267</v>
      </c>
    </row>
    <row r="76" spans="3:38" x14ac:dyDescent="0.2">
      <c r="C76" s="387">
        <f t="shared" si="3"/>
        <v>42822</v>
      </c>
      <c r="D76" s="388">
        <f t="shared" si="4"/>
        <v>150304.21677419354</v>
      </c>
      <c r="E76" s="392">
        <f t="shared" si="5"/>
        <v>71854.910157999999</v>
      </c>
      <c r="F76" s="428">
        <f t="shared" si="6"/>
        <v>0.94885799000000004</v>
      </c>
      <c r="G76" s="390">
        <f t="shared" si="7"/>
        <v>68.180099999999996</v>
      </c>
      <c r="H76" s="391">
        <f t="shared" si="0"/>
        <v>222228.25589018353</v>
      </c>
      <c r="I76" s="324">
        <v>73000</v>
      </c>
      <c r="J76" s="325"/>
      <c r="K76" s="325"/>
      <c r="L76" s="319">
        <v>71854.910157999999</v>
      </c>
      <c r="M76" s="320"/>
      <c r="N76" s="320"/>
      <c r="O76" s="320"/>
      <c r="P76" s="392">
        <f t="shared" si="8"/>
        <v>71854.910157999999</v>
      </c>
      <c r="Q76" s="392">
        <f t="shared" si="1"/>
        <v>0</v>
      </c>
      <c r="R76" s="392">
        <f t="shared" si="2"/>
        <v>0</v>
      </c>
      <c r="S76" s="532">
        <v>72999.73000000001</v>
      </c>
      <c r="T76" s="374"/>
      <c r="U76" s="520">
        <f t="shared" si="9"/>
        <v>-0.26999999998952262</v>
      </c>
      <c r="V76" s="520">
        <f t="shared" si="10"/>
        <v>73000</v>
      </c>
      <c r="W76" s="520">
        <f t="shared" si="11"/>
        <v>75810.954091658845</v>
      </c>
      <c r="X76" s="520">
        <f t="shared" si="12"/>
        <v>-2810.9540916588448</v>
      </c>
      <c r="Y76" s="525">
        <f t="shared" si="13"/>
        <v>-312600.98591431149</v>
      </c>
    </row>
    <row r="77" spans="3:38" x14ac:dyDescent="0.2">
      <c r="C77" s="387">
        <f t="shared" si="3"/>
        <v>42823</v>
      </c>
      <c r="D77" s="388">
        <f t="shared" si="4"/>
        <v>150304.21677419354</v>
      </c>
      <c r="E77" s="392">
        <f t="shared" si="5"/>
        <v>71741.101563000004</v>
      </c>
      <c r="F77" s="428">
        <f t="shared" si="6"/>
        <v>0.94885799000000004</v>
      </c>
      <c r="G77" s="390">
        <f t="shared" si="7"/>
        <v>68.072100000000006</v>
      </c>
      <c r="H77" s="391">
        <f t="shared" si="0"/>
        <v>222114.33929518354</v>
      </c>
      <c r="I77" s="324">
        <v>73000</v>
      </c>
      <c r="J77" s="325"/>
      <c r="K77" s="325"/>
      <c r="L77" s="317">
        <v>71741.101563000004</v>
      </c>
      <c r="M77" s="318"/>
      <c r="N77" s="318"/>
      <c r="O77" s="318"/>
      <c r="P77" s="392">
        <f t="shared" si="8"/>
        <v>71741.101563000004</v>
      </c>
      <c r="Q77" s="392">
        <f t="shared" si="1"/>
        <v>0</v>
      </c>
      <c r="R77" s="392">
        <f t="shared" si="2"/>
        <v>0</v>
      </c>
      <c r="S77" s="532">
        <v>72999.73000000001</v>
      </c>
      <c r="T77" s="374"/>
      <c r="U77" s="520">
        <f t="shared" si="9"/>
        <v>-0.26999999998952262</v>
      </c>
      <c r="V77" s="520">
        <f t="shared" si="10"/>
        <v>73000</v>
      </c>
      <c r="W77" s="520">
        <f t="shared" si="11"/>
        <v>75690.879650652525</v>
      </c>
      <c r="X77" s="520">
        <f t="shared" si="12"/>
        <v>-2690.879650652525</v>
      </c>
      <c r="Y77" s="525">
        <f t="shared" si="13"/>
        <v>-315291.86556496401</v>
      </c>
    </row>
    <row r="78" spans="3:38" x14ac:dyDescent="0.2">
      <c r="C78" s="387">
        <f t="shared" si="3"/>
        <v>42824</v>
      </c>
      <c r="D78" s="388">
        <f t="shared" si="4"/>
        <v>150304.21677419354</v>
      </c>
      <c r="E78" s="392">
        <f t="shared" si="5"/>
        <v>72119.867188000004</v>
      </c>
      <c r="F78" s="428">
        <f t="shared" si="6"/>
        <v>0.94885799000000004</v>
      </c>
      <c r="G78" s="390">
        <f t="shared" si="7"/>
        <v>68.4315</v>
      </c>
      <c r="H78" s="391">
        <f t="shared" si="0"/>
        <v>222493.46432018356</v>
      </c>
      <c r="I78" s="324">
        <v>73000</v>
      </c>
      <c r="J78" s="325"/>
      <c r="K78" s="325"/>
      <c r="L78" s="319">
        <v>72119.867188000004</v>
      </c>
      <c r="M78" s="320"/>
      <c r="N78" s="320"/>
      <c r="O78" s="320"/>
      <c r="P78" s="392">
        <f t="shared" si="8"/>
        <v>72119.867188000004</v>
      </c>
      <c r="Q78" s="392">
        <f t="shared" si="1"/>
        <v>0</v>
      </c>
      <c r="R78" s="392">
        <f t="shared" si="2"/>
        <v>0</v>
      </c>
      <c r="S78" s="532">
        <v>72999.73000000001</v>
      </c>
      <c r="T78" s="374"/>
      <c r="U78" s="520">
        <f t="shared" si="9"/>
        <v>-0.26999999998952262</v>
      </c>
      <c r="V78" s="520">
        <f t="shared" si="10"/>
        <v>73000</v>
      </c>
      <c r="W78" s="520">
        <f t="shared" si="11"/>
        <v>76090.498595902536</v>
      </c>
      <c r="X78" s="520">
        <f t="shared" si="12"/>
        <v>-3090.4985959025362</v>
      </c>
      <c r="Y78" s="525">
        <f t="shared" si="13"/>
        <v>-318382.36416086653</v>
      </c>
    </row>
    <row r="79" spans="3:38" ht="15" thickBot="1" x14ac:dyDescent="0.25">
      <c r="C79" s="393">
        <f t="shared" si="3"/>
        <v>42825</v>
      </c>
      <c r="D79" s="394">
        <f t="shared" si="4"/>
        <v>150304.21677419354</v>
      </c>
      <c r="E79" s="395">
        <f t="shared" si="5"/>
        <v>71536.398438000004</v>
      </c>
      <c r="F79" s="429">
        <f t="shared" si="6"/>
        <v>0.94885799000000004</v>
      </c>
      <c r="G79" s="396">
        <f t="shared" si="7"/>
        <v>67.877899999999997</v>
      </c>
      <c r="H79" s="397">
        <f t="shared" si="0"/>
        <v>221909.44197018354</v>
      </c>
      <c r="I79" s="326">
        <v>73000</v>
      </c>
      <c r="J79" s="327"/>
      <c r="K79" s="327"/>
      <c r="L79" s="321">
        <v>71536.398438000004</v>
      </c>
      <c r="M79" s="322"/>
      <c r="N79" s="322"/>
      <c r="O79" s="322"/>
      <c r="P79" s="395">
        <f t="shared" si="8"/>
        <v>71536.398438000004</v>
      </c>
      <c r="Q79" s="395">
        <f t="shared" si="1"/>
        <v>0</v>
      </c>
      <c r="R79" s="395">
        <f t="shared" si="2"/>
        <v>0</v>
      </c>
      <c r="S79" s="560">
        <v>72999.73000000001</v>
      </c>
      <c r="T79" s="376"/>
      <c r="U79" s="528">
        <f t="shared" si="9"/>
        <v>-0.26999999998952262</v>
      </c>
      <c r="V79" s="528">
        <f t="shared" si="10"/>
        <v>73000</v>
      </c>
      <c r="W79" s="528">
        <f t="shared" si="11"/>
        <v>75474.906390402539</v>
      </c>
      <c r="X79" s="528">
        <f t="shared" si="12"/>
        <v>-2474.9063904025388</v>
      </c>
      <c r="Y79" s="529">
        <f t="shared" si="13"/>
        <v>-320857.27055126906</v>
      </c>
    </row>
    <row r="80" spans="3:38" ht="15" thickBot="1" x14ac:dyDescent="0.25">
      <c r="C80" s="398"/>
      <c r="D80" s="399">
        <f>SUM(D49:D79)</f>
        <v>4659430.72</v>
      </c>
      <c r="E80" s="400">
        <f>SUM(E49:E79)</f>
        <v>2221541.1035540001</v>
      </c>
      <c r="F80" s="400"/>
      <c r="G80" s="401">
        <f>SUM(G49:G79)</f>
        <v>2107.9269999999997</v>
      </c>
      <c r="H80" s="399">
        <f>SUM(H49:H79)</f>
        <v>6883109.1651516892</v>
      </c>
      <c r="I80" s="432">
        <f>SUM(I49:I79)</f>
        <v>2022993</v>
      </c>
      <c r="J80" s="432">
        <f t="shared" ref="J80:R80" si="14">SUM(J49:J79)</f>
        <v>0</v>
      </c>
      <c r="K80" s="432">
        <f t="shared" si="14"/>
        <v>0</v>
      </c>
      <c r="L80" s="432">
        <f t="shared" si="14"/>
        <v>2221541.1035540001</v>
      </c>
      <c r="M80" s="432">
        <f t="shared" si="14"/>
        <v>0</v>
      </c>
      <c r="N80" s="432">
        <f t="shared" si="14"/>
        <v>0</v>
      </c>
      <c r="O80" s="432">
        <f t="shared" si="14"/>
        <v>0</v>
      </c>
      <c r="P80" s="432">
        <f t="shared" si="14"/>
        <v>2221541.1035540001</v>
      </c>
      <c r="Q80" s="432">
        <f t="shared" si="14"/>
        <v>0</v>
      </c>
      <c r="R80" s="432">
        <f t="shared" si="14"/>
        <v>0</v>
      </c>
      <c r="S80" s="361">
        <f>SUM(S49:S79)</f>
        <v>2022997.4299999997</v>
      </c>
      <c r="U80" s="530"/>
      <c r="V80" s="328">
        <f>SUM(V49:V79)</f>
        <v>2022993</v>
      </c>
      <c r="W80" s="328">
        <f>SUM(W49:W79)</f>
        <v>2343850.2705512685</v>
      </c>
      <c r="X80" s="328">
        <f>SUM(X49:X79)</f>
        <v>-320857.27055126906</v>
      </c>
      <c r="Y80" s="323">
        <f>Y79</f>
        <v>-320857.27055126906</v>
      </c>
      <c r="AL80" s="361">
        <f>Y79</f>
        <v>-320857.27055126906</v>
      </c>
    </row>
    <row r="81" spans="2:14" ht="15" customHeight="1" x14ac:dyDescent="0.2">
      <c r="B81"/>
      <c r="C81"/>
      <c r="D81"/>
      <c r="E81"/>
      <c r="F81"/>
      <c r="G81"/>
      <c r="H81"/>
      <c r="I81"/>
      <c r="J81"/>
      <c r="K81"/>
      <c r="L81"/>
      <c r="N81" s="2"/>
    </row>
  </sheetData>
  <mergeCells count="12">
    <mergeCell ref="C10:D10"/>
    <mergeCell ref="C11:D11"/>
    <mergeCell ref="C3:M4"/>
    <mergeCell ref="C5:M5"/>
    <mergeCell ref="C6:M6"/>
    <mergeCell ref="G7:H7"/>
    <mergeCell ref="C9:D9"/>
    <mergeCell ref="D23:E23"/>
    <mergeCell ref="D24:E24"/>
    <mergeCell ref="C28:F28"/>
    <mergeCell ref="C39:F39"/>
    <mergeCell ref="S47:Y47"/>
  </mergeCells>
  <conditionalFormatting sqref="L49:O79">
    <cfRule type="cellIs" dxfId="123" priority="1" stopIfTrue="1" operator="equal">
      <formula>0</formula>
    </cfRule>
  </conditionalFormatting>
  <printOptions horizontalCentered="1"/>
  <pageMargins left="0" right="0.70866141732283472" top="0.15748031496062992" bottom="0.35433070866141736" header="0.31496062992125984" footer="0.31496062992125984"/>
  <pageSetup scale="80" orientation="landscape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L81"/>
  <sheetViews>
    <sheetView workbookViewId="0"/>
  </sheetViews>
  <sheetFormatPr baseColWidth="10" defaultColWidth="11" defaultRowHeight="14.25" x14ac:dyDescent="0.2"/>
  <cols>
    <col min="1" max="1" width="11" style="2"/>
    <col min="2" max="2" width="3.875" style="2" bestFit="1" customWidth="1"/>
    <col min="3" max="3" width="16.125" style="2" customWidth="1"/>
    <col min="4" max="4" width="12.375" style="2" bestFit="1" customWidth="1"/>
    <col min="5" max="5" width="10.875" style="2" bestFit="1" customWidth="1"/>
    <col min="6" max="6" width="17.125" style="2" bestFit="1" customWidth="1"/>
    <col min="7" max="7" width="13.125" style="2" bestFit="1" customWidth="1"/>
    <col min="8" max="8" width="12.125" style="2" bestFit="1" customWidth="1"/>
    <col min="9" max="9" width="11.125" style="2" bestFit="1" customWidth="1"/>
    <col min="10" max="10" width="11.875" style="2" bestFit="1" customWidth="1"/>
    <col min="11" max="11" width="11.625" style="2" bestFit="1" customWidth="1"/>
    <col min="12" max="12" width="12.125" style="2" customWidth="1"/>
    <col min="13" max="13" width="12" style="2" bestFit="1" customWidth="1"/>
    <col min="14" max="14" width="9" style="1" customWidth="1"/>
    <col min="15" max="15" width="13.625" style="2" bestFit="1" customWidth="1"/>
    <col min="16" max="16" width="11" style="2"/>
    <col min="17" max="17" width="12.5" style="2" bestFit="1" customWidth="1"/>
    <col min="18" max="25" width="11" style="2"/>
    <col min="26" max="32" width="10.875" customWidth="1"/>
    <col min="33" max="16384" width="11" style="2"/>
  </cols>
  <sheetData>
    <row r="2" spans="2:25" x14ac:dyDescent="0.2"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2:25" ht="15" customHeight="1" x14ac:dyDescent="0.2">
      <c r="B3" s="1"/>
      <c r="C3" s="2254" t="s">
        <v>0</v>
      </c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</row>
    <row r="4" spans="2:25" ht="15" customHeight="1" x14ac:dyDescent="0.2"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</row>
    <row r="5" spans="2:25" x14ac:dyDescent="0.2">
      <c r="B5" s="1"/>
      <c r="C5" s="2257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</row>
    <row r="6" spans="2:25" ht="29.1" customHeight="1" x14ac:dyDescent="0.2">
      <c r="B6" s="1"/>
      <c r="C6" s="2254" t="s">
        <v>217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</row>
    <row r="7" spans="2:25" x14ac:dyDescent="0.2">
      <c r="B7" s="1"/>
      <c r="C7" s="564"/>
      <c r="D7" s="564"/>
      <c r="E7" s="564"/>
      <c r="F7" s="564"/>
      <c r="G7" s="2271">
        <v>42826</v>
      </c>
      <c r="H7" s="2257"/>
      <c r="I7" s="564"/>
      <c r="J7" s="564"/>
      <c r="K7" s="564"/>
      <c r="L7" s="564"/>
      <c r="M7" s="564"/>
      <c r="N7" s="18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2:25" x14ac:dyDescent="0.2">
      <c r="B8" s="1"/>
      <c r="C8" s="564"/>
      <c r="D8" s="564"/>
      <c r="E8" s="564"/>
      <c r="F8" s="564"/>
      <c r="G8" s="564"/>
      <c r="H8" s="564"/>
      <c r="I8" s="564"/>
      <c r="J8" s="564"/>
      <c r="K8" s="564"/>
      <c r="L8" s="564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2:25" ht="25.5" x14ac:dyDescent="0.2">
      <c r="B9" s="1"/>
      <c r="C9" s="2272" t="s">
        <v>6</v>
      </c>
      <c r="D9" s="2272"/>
      <c r="E9" s="565" t="s">
        <v>94</v>
      </c>
      <c r="F9" s="565" t="s">
        <v>126</v>
      </c>
      <c r="G9" s="410" t="s">
        <v>133</v>
      </c>
      <c r="H9" s="565" t="s">
        <v>127</v>
      </c>
      <c r="I9" s="565" t="s">
        <v>128</v>
      </c>
      <c r="J9" s="564"/>
      <c r="K9" s="564"/>
      <c r="L9" s="564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2:25" x14ac:dyDescent="0.2">
      <c r="B10" s="1"/>
      <c r="C10" s="2270" t="s">
        <v>131</v>
      </c>
      <c r="D10" s="2270"/>
      <c r="E10" s="433">
        <f>IF(C15=0,D15,C15)</f>
        <v>4659430.72</v>
      </c>
      <c r="F10" s="407">
        <f>E10*0.16</f>
        <v>745508.91519999993</v>
      </c>
      <c r="G10" s="407">
        <f>E10+F10</f>
        <v>5404939.6351999994</v>
      </c>
      <c r="H10" s="511" t="s">
        <v>209</v>
      </c>
      <c r="I10" s="543">
        <v>18.803100000000001</v>
      </c>
      <c r="J10" s="564"/>
      <c r="K10" s="564"/>
      <c r="L10" s="564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2:25" x14ac:dyDescent="0.2">
      <c r="B11" s="1"/>
      <c r="C11" s="2270" t="s">
        <v>132</v>
      </c>
      <c r="D11" s="2270"/>
      <c r="E11" s="433">
        <f>IF(C16=0,D16,C16)</f>
        <v>2114.6</v>
      </c>
      <c r="F11" s="407">
        <f>E11*0.16</f>
        <v>338.33600000000001</v>
      </c>
      <c r="G11" s="407">
        <f>E11+F11</f>
        <v>2452.9359999999997</v>
      </c>
      <c r="H11" s="511" t="s">
        <v>209</v>
      </c>
      <c r="I11" s="543">
        <f>M34/L34</f>
        <v>18.803100000000001</v>
      </c>
      <c r="J11" s="564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2:25" x14ac:dyDescent="0.2">
      <c r="B12" s="1"/>
      <c r="C12" s="564"/>
      <c r="D12" s="564"/>
      <c r="E12" s="564"/>
      <c r="F12" s="564"/>
      <c r="G12" s="564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2:25" ht="15" thickBot="1" x14ac:dyDescent="0.25">
      <c r="B13" s="1"/>
      <c r="C13" s="564"/>
      <c r="D13" s="564"/>
      <c r="E13" s="564"/>
      <c r="F13" s="564"/>
      <c r="G13" s="564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2:25" x14ac:dyDescent="0.2">
      <c r="B14" s="1"/>
      <c r="C14" s="440" t="s">
        <v>155</v>
      </c>
      <c r="D14" s="441" t="s">
        <v>156</v>
      </c>
      <c r="E14" s="442" t="s">
        <v>112</v>
      </c>
      <c r="F14" s="564"/>
      <c r="G14" s="564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2:25" x14ac:dyDescent="0.2">
      <c r="B15" s="1"/>
      <c r="C15" s="443">
        <v>4659430.72</v>
      </c>
      <c r="D15" s="444">
        <f>D80</f>
        <v>4659430.7199999979</v>
      </c>
      <c r="E15" s="445">
        <f>C15-D15</f>
        <v>0</v>
      </c>
      <c r="F15" s="564"/>
      <c r="G15" s="564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2:25" ht="15" thickBot="1" x14ac:dyDescent="0.25">
      <c r="B16" s="1"/>
      <c r="C16" s="446">
        <v>2114.6</v>
      </c>
      <c r="D16" s="447">
        <f>ROUND(G80,2)</f>
        <v>2114.6</v>
      </c>
      <c r="E16" s="448">
        <f>C16-D16</f>
        <v>0</v>
      </c>
      <c r="F16" s="564"/>
      <c r="G16" s="564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2:25" x14ac:dyDescent="0.2">
      <c r="B17" s="1"/>
      <c r="C17" s="564"/>
      <c r="D17" s="564"/>
      <c r="E17" s="564"/>
      <c r="F17" s="564"/>
      <c r="G17" s="564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2:25" x14ac:dyDescent="0.2">
      <c r="B18" s="1"/>
      <c r="C18" s="564"/>
      <c r="D18" s="564"/>
      <c r="E18" s="564"/>
      <c r="F18" s="564"/>
      <c r="G18" s="564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2:25" x14ac:dyDescent="0.2">
      <c r="B19" s="1"/>
      <c r="C19" s="564"/>
      <c r="D19" s="564"/>
      <c r="E19" s="564"/>
      <c r="F19" s="564"/>
      <c r="G19" s="564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2:25" x14ac:dyDescent="0.2">
      <c r="B20" s="1"/>
      <c r="C20" s="564"/>
      <c r="D20" s="564"/>
      <c r="E20" s="564"/>
      <c r="F20" s="564"/>
      <c r="G20" s="564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2:25" x14ac:dyDescent="0.2">
      <c r="B21" s="1"/>
      <c r="C21" s="564"/>
      <c r="D21" s="564"/>
      <c r="E21" s="564"/>
      <c r="F21" s="564"/>
      <c r="G21" s="564"/>
      <c r="H21" s="1"/>
      <c r="I21" s="1"/>
      <c r="J21" s="1"/>
      <c r="K21" s="1"/>
      <c r="L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2:25" ht="15" thickBot="1" x14ac:dyDescent="0.25">
      <c r="B22" s="1"/>
      <c r="C22" s="419" t="s">
        <v>137</v>
      </c>
      <c r="D22" s="564" t="s">
        <v>138</v>
      </c>
      <c r="E22" s="564"/>
      <c r="F22" s="564" t="s">
        <v>139</v>
      </c>
      <c r="G22" s="564" t="s">
        <v>3</v>
      </c>
      <c r="H22" s="564" t="s">
        <v>143</v>
      </c>
      <c r="I22" s="564" t="s">
        <v>142</v>
      </c>
      <c r="J22" s="564" t="s">
        <v>141</v>
      </c>
      <c r="K22" s="564" t="s">
        <v>140</v>
      </c>
      <c r="L22" s="564" t="s">
        <v>144</v>
      </c>
      <c r="M22" s="564" t="s">
        <v>146</v>
      </c>
      <c r="N22" s="564"/>
      <c r="O22" s="564"/>
      <c r="P22" s="564"/>
      <c r="Q22" s="1"/>
      <c r="R22" s="1"/>
      <c r="S22" s="1"/>
      <c r="T22" s="1"/>
      <c r="U22" s="1"/>
      <c r="V22" s="1"/>
      <c r="W22" s="1"/>
      <c r="X22" s="1"/>
      <c r="Y22" s="1"/>
    </row>
    <row r="23" spans="2:25" ht="36.75" customHeight="1" x14ac:dyDescent="0.2">
      <c r="B23" s="1"/>
      <c r="C23" s="402" t="s">
        <v>134</v>
      </c>
      <c r="D23" s="2261" t="s">
        <v>135</v>
      </c>
      <c r="E23" s="2262"/>
      <c r="F23" s="566" t="s">
        <v>136</v>
      </c>
      <c r="G23" s="461" t="s">
        <v>153</v>
      </c>
      <c r="H23" s="420" t="s">
        <v>129</v>
      </c>
      <c r="I23" s="403" t="s">
        <v>130</v>
      </c>
      <c r="J23" s="422"/>
      <c r="K23" s="422"/>
      <c r="L23" s="422"/>
      <c r="M23" s="404" t="s">
        <v>158</v>
      </c>
      <c r="N23" s="564"/>
      <c r="O23" s="564"/>
      <c r="P23" s="564"/>
      <c r="Q23" s="564"/>
      <c r="R23" s="564"/>
      <c r="S23" s="564"/>
      <c r="T23" s="564"/>
      <c r="U23" s="1"/>
      <c r="V23" s="1"/>
      <c r="W23" s="1"/>
      <c r="X23" s="1"/>
      <c r="Y23" s="1"/>
    </row>
    <row r="24" spans="2:25" x14ac:dyDescent="0.2">
      <c r="B24" s="1"/>
      <c r="C24" s="405">
        <v>850</v>
      </c>
      <c r="D24" s="2263">
        <v>850</v>
      </c>
      <c r="E24" s="2264"/>
      <c r="F24" s="418">
        <v>31482640</v>
      </c>
      <c r="G24" s="462">
        <v>30</v>
      </c>
      <c r="H24" s="460">
        <f>VLOOKUP(C47,Tarifas!D4:H303,3)</f>
        <v>0.14799999999999999</v>
      </c>
      <c r="I24" s="424">
        <f>VLOOKUP(C47,Tarifas!D4:H303,5)</f>
        <v>1E-3</v>
      </c>
      <c r="J24" s="421">
        <v>191.3</v>
      </c>
      <c r="K24" s="421">
        <v>201.4</v>
      </c>
      <c r="L24" s="421">
        <f>I11</f>
        <v>18.803100000000001</v>
      </c>
      <c r="M24" s="431">
        <f>E80</f>
        <v>2226247.025169</v>
      </c>
      <c r="N24" s="430" t="s">
        <v>62</v>
      </c>
      <c r="O24" s="564"/>
      <c r="P24" s="564"/>
      <c r="Q24" s="564"/>
      <c r="R24" s="564"/>
      <c r="S24" s="564"/>
      <c r="T24" s="564"/>
      <c r="U24" s="1"/>
      <c r="V24" s="1"/>
      <c r="W24" s="1"/>
      <c r="X24" s="1"/>
      <c r="Y24" s="1"/>
    </row>
    <row r="25" spans="2:25" x14ac:dyDescent="0.2">
      <c r="B25" s="1"/>
      <c r="C25" s="564"/>
      <c r="D25" s="564"/>
      <c r="E25" s="564"/>
      <c r="F25" s="564"/>
      <c r="G25" s="564"/>
      <c r="H25" s="564"/>
      <c r="I25" s="564"/>
      <c r="J25" s="564"/>
      <c r="K25" s="564"/>
      <c r="L25" s="564"/>
      <c r="M25" s="564"/>
      <c r="N25" s="564"/>
      <c r="O25" s="564"/>
      <c r="P25" s="564"/>
      <c r="Q25" s="564"/>
      <c r="R25" s="564"/>
      <c r="S25" s="1"/>
      <c r="T25" s="1"/>
      <c r="U25" s="1"/>
      <c r="V25" s="1"/>
      <c r="W25" s="1"/>
      <c r="X25" s="1"/>
      <c r="Y25" s="1"/>
    </row>
    <row r="26" spans="2:25" x14ac:dyDescent="0.2">
      <c r="B26" s="1"/>
      <c r="C26" s="564"/>
      <c r="D26" s="564"/>
      <c r="E26" s="564"/>
      <c r="F26" s="564"/>
      <c r="G26" s="564"/>
      <c r="H26" s="564"/>
      <c r="I26" s="564"/>
      <c r="J26" s="564"/>
      <c r="K26" s="564"/>
      <c r="L26" s="564"/>
      <c r="M26" s="564"/>
      <c r="N26" s="564"/>
      <c r="O26" s="564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2:25" x14ac:dyDescent="0.2">
      <c r="B27" s="1"/>
      <c r="C27" s="564"/>
      <c r="D27" s="564"/>
      <c r="E27" s="564"/>
      <c r="F27" s="564"/>
      <c r="G27" s="564"/>
      <c r="H27" s="564"/>
      <c r="I27" s="564"/>
      <c r="J27" s="564"/>
      <c r="K27" s="564"/>
      <c r="L27" s="564"/>
      <c r="M27" s="564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2:25" ht="15" thickBot="1" x14ac:dyDescent="0.25">
      <c r="B28" s="1"/>
      <c r="C28" s="2265" t="s">
        <v>86</v>
      </c>
      <c r="D28" s="2265"/>
      <c r="E28" s="2265"/>
      <c r="F28" s="2265"/>
      <c r="G28" s="567"/>
      <c r="H28" s="334"/>
      <c r="I28" s="334"/>
      <c r="J28" s="334"/>
      <c r="K28" s="567"/>
      <c r="L28" s="336"/>
      <c r="M28" s="336"/>
      <c r="O28" s="530" t="s">
        <v>212</v>
      </c>
      <c r="P28" s="674">
        <v>18.6859</v>
      </c>
      <c r="Q28" s="530" t="s">
        <v>213</v>
      </c>
      <c r="R28" s="1"/>
      <c r="S28" s="1"/>
      <c r="T28" s="1"/>
      <c r="U28" s="1"/>
      <c r="V28" s="1"/>
      <c r="W28" s="1"/>
      <c r="X28" s="1"/>
      <c r="Y28" s="1"/>
    </row>
    <row r="29" spans="2:25" ht="22.5" x14ac:dyDescent="0.2">
      <c r="B29" s="1"/>
      <c r="C29" s="337" t="s">
        <v>87</v>
      </c>
      <c r="D29" s="562" t="s">
        <v>88</v>
      </c>
      <c r="E29" s="562" t="s">
        <v>89</v>
      </c>
      <c r="F29" s="562" t="s">
        <v>20</v>
      </c>
      <c r="G29" s="562" t="s">
        <v>160</v>
      </c>
      <c r="H29" s="562" t="s">
        <v>90</v>
      </c>
      <c r="I29" s="562" t="s">
        <v>91</v>
      </c>
      <c r="J29" s="562" t="s">
        <v>92</v>
      </c>
      <c r="K29" s="562" t="s">
        <v>93</v>
      </c>
      <c r="L29" s="562" t="s">
        <v>94</v>
      </c>
      <c r="M29" s="563" t="s">
        <v>95</v>
      </c>
      <c r="O29" s="590" t="s">
        <v>95</v>
      </c>
      <c r="P29" s="1"/>
      <c r="Q29" s="590" t="s">
        <v>95</v>
      </c>
      <c r="R29" s="1"/>
      <c r="S29" s="1"/>
      <c r="T29" s="1"/>
      <c r="U29" s="1"/>
      <c r="V29" s="1"/>
      <c r="W29" s="1"/>
      <c r="X29" s="1"/>
      <c r="Y29" s="1"/>
    </row>
    <row r="30" spans="2:25" x14ac:dyDescent="0.2">
      <c r="B30" s="1"/>
      <c r="C30" s="338"/>
      <c r="D30" s="339"/>
      <c r="E30" s="339" t="s">
        <v>96</v>
      </c>
      <c r="F30" s="340" t="s">
        <v>97</v>
      </c>
      <c r="G30" s="340">
        <v>2201</v>
      </c>
      <c r="H30" s="339">
        <v>20823</v>
      </c>
      <c r="I30" s="341"/>
      <c r="J30" s="339">
        <v>138.15</v>
      </c>
      <c r="K30" s="342">
        <v>0</v>
      </c>
      <c r="L30" s="343">
        <f>ROUND(K30*E$10,2)</f>
        <v>0</v>
      </c>
      <c r="M30" s="344">
        <f>L30*$I$10</f>
        <v>0</v>
      </c>
      <c r="O30" s="591">
        <v>0</v>
      </c>
      <c r="P30" s="1"/>
      <c r="Q30" s="591">
        <f>M30-O30</f>
        <v>0</v>
      </c>
      <c r="R30" s="1"/>
      <c r="S30" s="1"/>
      <c r="T30" s="1"/>
      <c r="U30" s="1"/>
      <c r="V30" s="1"/>
      <c r="W30" s="1"/>
      <c r="X30" s="1"/>
      <c r="Y30" s="1"/>
    </row>
    <row r="31" spans="2:25" x14ac:dyDescent="0.2">
      <c r="B31" s="1"/>
      <c r="C31" s="338"/>
      <c r="D31" s="339"/>
      <c r="E31" s="339" t="s">
        <v>98</v>
      </c>
      <c r="F31" s="340" t="s">
        <v>97</v>
      </c>
      <c r="G31" s="340">
        <v>2201</v>
      </c>
      <c r="H31" s="339">
        <v>20824</v>
      </c>
      <c r="I31" s="341"/>
      <c r="J31" s="339">
        <v>138.15</v>
      </c>
      <c r="K31" s="342">
        <v>0</v>
      </c>
      <c r="L31" s="343">
        <f>ROUND(K31*E$10,2)</f>
        <v>0</v>
      </c>
      <c r="M31" s="344">
        <f>L31*$I$10</f>
        <v>0</v>
      </c>
      <c r="O31" s="591">
        <v>0</v>
      </c>
      <c r="P31" s="1"/>
      <c r="Q31" s="591">
        <f>M31-O31</f>
        <v>0</v>
      </c>
      <c r="R31" s="1"/>
      <c r="S31" s="1"/>
      <c r="T31" s="1"/>
      <c r="U31" s="1"/>
      <c r="V31" s="1"/>
      <c r="W31" s="1"/>
      <c r="X31" s="1"/>
      <c r="Y31" s="1"/>
    </row>
    <row r="32" spans="2:25" x14ac:dyDescent="0.2">
      <c r="B32" s="1"/>
      <c r="C32" s="338"/>
      <c r="D32" s="339"/>
      <c r="E32" s="339" t="s">
        <v>99</v>
      </c>
      <c r="F32" s="340" t="s">
        <v>100</v>
      </c>
      <c r="G32" s="340">
        <v>2230</v>
      </c>
      <c r="H32" s="339">
        <v>22228</v>
      </c>
      <c r="I32" s="341"/>
      <c r="J32" s="339">
        <v>130.80000000000001</v>
      </c>
      <c r="K32" s="342">
        <v>0</v>
      </c>
      <c r="L32" s="343">
        <f>ROUND(K32*E$10,2)</f>
        <v>0</v>
      </c>
      <c r="M32" s="344">
        <f>L32*$I$10</f>
        <v>0</v>
      </c>
      <c r="O32" s="591">
        <f>N32*$I$10</f>
        <v>0</v>
      </c>
      <c r="P32" s="1"/>
      <c r="Q32" s="591">
        <f>M32-O32</f>
        <v>0</v>
      </c>
      <c r="R32" s="1"/>
      <c r="S32" s="1"/>
      <c r="T32" s="1"/>
      <c r="U32" s="1"/>
      <c r="V32" s="1"/>
      <c r="W32" s="1"/>
      <c r="X32" s="1"/>
      <c r="Y32" s="1"/>
    </row>
    <row r="33" spans="2:25" x14ac:dyDescent="0.2">
      <c r="B33" s="1"/>
      <c r="C33" s="338">
        <v>800762390</v>
      </c>
      <c r="D33" s="339">
        <v>5</v>
      </c>
      <c r="E33" s="354" t="s">
        <v>101</v>
      </c>
      <c r="F33" s="463" t="s">
        <v>23</v>
      </c>
      <c r="G33" s="463">
        <v>2044</v>
      </c>
      <c r="H33" s="354">
        <v>591000420</v>
      </c>
      <c r="I33" s="341">
        <v>80000</v>
      </c>
      <c r="J33" s="339"/>
      <c r="K33" s="342">
        <v>0.09</v>
      </c>
      <c r="L33" s="343">
        <f>ROUND(K33*E$10,2)</f>
        <v>419348.76</v>
      </c>
      <c r="M33" s="344">
        <f>L33*L24</f>
        <v>7885056.669156</v>
      </c>
      <c r="O33" s="591">
        <f>L33*P28</f>
        <v>7835908.9944839999</v>
      </c>
      <c r="P33" s="1"/>
      <c r="Q33" s="591">
        <f>M33-O33</f>
        <v>49147.67467200011</v>
      </c>
      <c r="R33" s="1"/>
      <c r="S33" s="1"/>
      <c r="T33" s="1"/>
      <c r="U33" s="1"/>
      <c r="V33" s="1"/>
      <c r="W33" s="1"/>
      <c r="X33" s="1"/>
      <c r="Y33" s="1"/>
    </row>
    <row r="34" spans="2:25" ht="15" thickBot="1" x14ac:dyDescent="0.25">
      <c r="B34" s="1"/>
      <c r="C34" s="345">
        <v>800642440</v>
      </c>
      <c r="D34" s="346">
        <v>6</v>
      </c>
      <c r="E34" s="347" t="s">
        <v>101</v>
      </c>
      <c r="F34" s="348" t="s">
        <v>159</v>
      </c>
      <c r="G34" s="348">
        <v>2277</v>
      </c>
      <c r="H34" s="347">
        <v>22770</v>
      </c>
      <c r="I34" s="349">
        <f>850000-I30-I31-I32-I33</f>
        <v>770000</v>
      </c>
      <c r="J34" s="346"/>
      <c r="K34" s="350">
        <v>0.91</v>
      </c>
      <c r="L34" s="351">
        <f>ROUND(K34*E$10,2)</f>
        <v>4240081.96</v>
      </c>
      <c r="M34" s="352">
        <f>L34*$I$10</f>
        <v>79726685.102076009</v>
      </c>
      <c r="O34" s="592">
        <f>L34*P28</f>
        <v>79229747.496363997</v>
      </c>
      <c r="P34" s="1"/>
      <c r="Q34" s="592">
        <f>M34-O34</f>
        <v>496937.60571201146</v>
      </c>
      <c r="R34" s="1"/>
      <c r="S34" s="1"/>
      <c r="T34" s="1"/>
      <c r="U34" s="1"/>
      <c r="V34" s="1"/>
      <c r="W34" s="1"/>
      <c r="X34" s="1"/>
      <c r="Y34" s="1"/>
    </row>
    <row r="35" spans="2:25" x14ac:dyDescent="0.2">
      <c r="B35" s="1"/>
      <c r="C35" s="406">
        <v>3000623</v>
      </c>
      <c r="D35" s="353" t="s">
        <v>102</v>
      </c>
      <c r="E35" s="353"/>
      <c r="F35" s="353"/>
      <c r="G35" s="353"/>
      <c r="H35" s="354"/>
      <c r="I35" s="355">
        <f>SUM(I30:I34)</f>
        <v>850000</v>
      </c>
      <c r="J35" s="353"/>
      <c r="K35" s="356">
        <f>SUM(K30:K34)</f>
        <v>1</v>
      </c>
      <c r="L35" s="357">
        <f>SUM(L30:L34)</f>
        <v>4659430.72</v>
      </c>
      <c r="M35" s="357">
        <f>SUM(M30:M34)</f>
        <v>87611741.771232009</v>
      </c>
      <c r="O35" s="593">
        <f>SUM(O30:O34)</f>
        <v>87065656.490848005</v>
      </c>
      <c r="P35" s="1"/>
      <c r="Q35" s="593">
        <f>SUM(Q30:Q33)</f>
        <v>49147.67467200011</v>
      </c>
      <c r="R35" s="1"/>
      <c r="S35" s="1"/>
      <c r="T35" s="1"/>
      <c r="U35" s="1"/>
      <c r="V35" s="1"/>
      <c r="W35" s="1"/>
      <c r="X35" s="1"/>
      <c r="Y35" s="1"/>
    </row>
    <row r="36" spans="2:25" x14ac:dyDescent="0.2">
      <c r="B36" s="1"/>
      <c r="C36" s="336"/>
      <c r="D36" s="336"/>
      <c r="E36" s="336"/>
      <c r="F36" s="358"/>
      <c r="G36" s="358"/>
      <c r="H36" s="336"/>
      <c r="I36" s="336"/>
      <c r="J36" s="336"/>
      <c r="K36" s="336"/>
      <c r="L36" s="359"/>
      <c r="M36" s="1"/>
      <c r="O36" s="594">
        <v>0</v>
      </c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2:25" x14ac:dyDescent="0.2">
      <c r="B37" s="1"/>
      <c r="C37" s="336"/>
      <c r="D37" s="336"/>
      <c r="E37" s="336"/>
      <c r="F37" s="358"/>
      <c r="G37" s="358"/>
      <c r="H37" s="336"/>
      <c r="I37" s="336"/>
      <c r="J37" s="336"/>
      <c r="K37" s="336"/>
      <c r="L37" s="359"/>
      <c r="M37" s="1"/>
      <c r="O37" s="594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2:25" x14ac:dyDescent="0.2">
      <c r="B38" s="1"/>
      <c r="C38" s="336"/>
      <c r="D38" s="336"/>
      <c r="E38" s="336"/>
      <c r="F38" s="358"/>
      <c r="G38" s="358"/>
      <c r="H38" s="336"/>
      <c r="I38" s="336"/>
      <c r="J38" s="336"/>
      <c r="K38" s="336"/>
      <c r="L38" s="359"/>
      <c r="M38" s="1"/>
      <c r="O38" s="594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2:25" ht="15" thickBot="1" x14ac:dyDescent="0.25">
      <c r="B39" s="1"/>
      <c r="C39" s="2266" t="s">
        <v>103</v>
      </c>
      <c r="D39" s="2266"/>
      <c r="E39" s="2266"/>
      <c r="F39" s="2266"/>
      <c r="G39" s="567"/>
      <c r="H39" s="334"/>
      <c r="I39" s="334"/>
      <c r="J39" s="334"/>
      <c r="K39" s="336"/>
      <c r="L39" s="336"/>
      <c r="M39" s="360"/>
      <c r="O39" s="595"/>
      <c r="P39" s="1"/>
      <c r="Q39" s="360"/>
      <c r="R39" s="1"/>
      <c r="S39" s="1"/>
      <c r="T39" s="1"/>
      <c r="U39" s="1"/>
      <c r="V39" s="1"/>
      <c r="W39" s="1"/>
      <c r="X39" s="1"/>
      <c r="Y39" s="1"/>
    </row>
    <row r="40" spans="2:25" ht="22.5" x14ac:dyDescent="0.2">
      <c r="B40" s="1"/>
      <c r="C40" s="337" t="s">
        <v>87</v>
      </c>
      <c r="D40" s="562" t="s">
        <v>88</v>
      </c>
      <c r="E40" s="562" t="s">
        <v>89</v>
      </c>
      <c r="F40" s="562" t="s">
        <v>20</v>
      </c>
      <c r="G40" s="562"/>
      <c r="H40" s="562" t="s">
        <v>90</v>
      </c>
      <c r="I40" s="562" t="s">
        <v>104</v>
      </c>
      <c r="J40" s="562" t="s">
        <v>93</v>
      </c>
      <c r="K40" s="562" t="s">
        <v>92</v>
      </c>
      <c r="L40" s="562" t="s">
        <v>94</v>
      </c>
      <c r="M40" s="563" t="s">
        <v>95</v>
      </c>
      <c r="O40" s="596" t="s">
        <v>95</v>
      </c>
      <c r="P40" s="1"/>
      <c r="Q40" s="590" t="s">
        <v>95</v>
      </c>
      <c r="R40" s="1"/>
      <c r="S40" s="1"/>
      <c r="T40" s="1"/>
      <c r="U40" s="1"/>
      <c r="V40" s="1"/>
      <c r="W40" s="1"/>
      <c r="X40" s="1"/>
      <c r="Y40" s="1"/>
    </row>
    <row r="41" spans="2:25" x14ac:dyDescent="0.2">
      <c r="B41" s="1"/>
      <c r="C41" s="338"/>
      <c r="D41" s="339"/>
      <c r="E41" s="339" t="s">
        <v>96</v>
      </c>
      <c r="F41" s="340" t="s">
        <v>97</v>
      </c>
      <c r="G41" s="340"/>
      <c r="H41" s="339">
        <v>20823</v>
      </c>
      <c r="I41" s="341">
        <f>M80</f>
        <v>0</v>
      </c>
      <c r="J41" s="342">
        <f>I41/I$45</f>
        <v>0</v>
      </c>
      <c r="K41" s="339">
        <v>138.15</v>
      </c>
      <c r="L41" s="343">
        <f>ROUND(J41*$E$11,2)</f>
        <v>0</v>
      </c>
      <c r="M41" s="344">
        <f>L41*L24</f>
        <v>0</v>
      </c>
      <c r="O41" s="591">
        <v>0</v>
      </c>
      <c r="P41" s="1"/>
      <c r="Q41" s="591">
        <f>M41-O41</f>
        <v>0</v>
      </c>
      <c r="R41" s="1"/>
      <c r="S41" s="1"/>
      <c r="T41" s="1"/>
      <c r="U41" s="1"/>
      <c r="V41" s="1"/>
      <c r="W41" s="1"/>
      <c r="X41" s="1"/>
      <c r="Y41" s="1"/>
    </row>
    <row r="42" spans="2:25" x14ac:dyDescent="0.2">
      <c r="B42" s="1"/>
      <c r="C42" s="338"/>
      <c r="D42" s="339"/>
      <c r="E42" s="339" t="s">
        <v>98</v>
      </c>
      <c r="F42" s="340" t="s">
        <v>97</v>
      </c>
      <c r="G42" s="340"/>
      <c r="H42" s="339">
        <v>20824</v>
      </c>
      <c r="I42" s="341">
        <f>N80</f>
        <v>0</v>
      </c>
      <c r="J42" s="342">
        <f>I42/I$45</f>
        <v>0</v>
      </c>
      <c r="K42" s="339">
        <v>138.15</v>
      </c>
      <c r="L42" s="343">
        <f>ROUND(J42*$E$11,2)</f>
        <v>0</v>
      </c>
      <c r="M42" s="344">
        <f>L42*L25</f>
        <v>0</v>
      </c>
      <c r="O42" s="591">
        <v>0</v>
      </c>
      <c r="P42" s="1"/>
      <c r="Q42" s="591">
        <f>M42-O42</f>
        <v>0</v>
      </c>
      <c r="R42" s="1"/>
      <c r="S42" s="1"/>
      <c r="T42" s="1"/>
      <c r="U42" s="1"/>
      <c r="V42" s="1"/>
      <c r="W42" s="1"/>
      <c r="X42" s="1"/>
      <c r="Y42" s="1"/>
    </row>
    <row r="43" spans="2:25" x14ac:dyDescent="0.2">
      <c r="B43" s="1"/>
      <c r="C43" s="338"/>
      <c r="D43" s="339"/>
      <c r="E43" s="339" t="s">
        <v>99</v>
      </c>
      <c r="F43" s="340" t="s">
        <v>100</v>
      </c>
      <c r="G43" s="340"/>
      <c r="H43" s="339">
        <v>22228</v>
      </c>
      <c r="I43" s="341">
        <f>O80</f>
        <v>0</v>
      </c>
      <c r="J43" s="342">
        <f>I43/I$45</f>
        <v>0</v>
      </c>
      <c r="K43" s="339">
        <v>130.80000000000001</v>
      </c>
      <c r="L43" s="343">
        <f>ROUND(J43*$E$11,2)</f>
        <v>0</v>
      </c>
      <c r="M43" s="344">
        <f>L43*L26</f>
        <v>0</v>
      </c>
      <c r="O43" s="591">
        <f>N43*$I$10</f>
        <v>0</v>
      </c>
      <c r="P43" s="1"/>
      <c r="Q43" s="591">
        <f>M43-O43</f>
        <v>0</v>
      </c>
      <c r="R43" s="1"/>
      <c r="S43" s="1"/>
      <c r="T43" s="1"/>
      <c r="U43" s="1"/>
      <c r="V43" s="1"/>
      <c r="W43" s="1"/>
      <c r="X43" s="1"/>
      <c r="Y43" s="1"/>
    </row>
    <row r="44" spans="2:25" ht="15" thickBot="1" x14ac:dyDescent="0.25">
      <c r="B44" s="1">
        <v>7256</v>
      </c>
      <c r="C44" s="345">
        <v>800762390</v>
      </c>
      <c r="D44" s="346">
        <v>6</v>
      </c>
      <c r="E44" s="347" t="s">
        <v>101</v>
      </c>
      <c r="F44" s="348" t="s">
        <v>23</v>
      </c>
      <c r="G44" s="348">
        <v>2044</v>
      </c>
      <c r="H44" s="347">
        <v>591000500</v>
      </c>
      <c r="I44" s="349">
        <f>L80</f>
        <v>2226247.025169</v>
      </c>
      <c r="J44" s="350">
        <f>I44/I$45</f>
        <v>1</v>
      </c>
      <c r="K44" s="346">
        <v>138.15</v>
      </c>
      <c r="L44" s="351">
        <f>ROUND(J44*$E$11,2)</f>
        <v>2114.6</v>
      </c>
      <c r="M44" s="352">
        <f>L44*L24</f>
        <v>39761.035259999997</v>
      </c>
      <c r="O44" s="592">
        <f>L44*P28</f>
        <v>39513.204140000002</v>
      </c>
      <c r="P44" s="1"/>
      <c r="Q44" s="592">
        <f>M44-O44</f>
        <v>247.83111999999528</v>
      </c>
      <c r="R44" s="1"/>
      <c r="S44" s="1"/>
      <c r="T44" s="1"/>
      <c r="U44" s="1"/>
      <c r="V44" s="1"/>
      <c r="W44" s="1"/>
      <c r="X44" s="1"/>
      <c r="Y44" s="1"/>
    </row>
    <row r="45" spans="2:25" x14ac:dyDescent="0.2">
      <c r="B45" s="1"/>
      <c r="C45" s="353"/>
      <c r="D45" s="353"/>
      <c r="E45" s="353"/>
      <c r="F45" s="353"/>
      <c r="G45" s="353"/>
      <c r="H45" s="354"/>
      <c r="I45" s="449">
        <f>SUM(I41:I44)</f>
        <v>2226247.025169</v>
      </c>
      <c r="J45" s="355"/>
      <c r="K45" s="353"/>
      <c r="L45" s="357">
        <f>SUM(L41:L44)</f>
        <v>2114.6</v>
      </c>
      <c r="M45" s="357">
        <f>SUM(M41:M44)</f>
        <v>39761.035259999997</v>
      </c>
      <c r="O45" s="593">
        <f>SUM(O41:O44)</f>
        <v>39513.204140000002</v>
      </c>
      <c r="P45" s="1"/>
      <c r="Q45" s="593">
        <f>SUM(Q41:Q44)</f>
        <v>247.83111999999528</v>
      </c>
      <c r="R45" s="1"/>
      <c r="S45" s="1"/>
      <c r="T45" s="1"/>
      <c r="U45" s="1"/>
      <c r="V45" s="1"/>
      <c r="W45" s="1"/>
      <c r="X45" s="1"/>
      <c r="Y45" s="1"/>
    </row>
    <row r="46" spans="2:25" customFormat="1" ht="15" thickBot="1" x14ac:dyDescent="0.25">
      <c r="M46" s="450"/>
      <c r="N46" s="450"/>
      <c r="O46" s="450"/>
      <c r="P46" s="450"/>
      <c r="Q46" s="450"/>
      <c r="R46" s="450"/>
      <c r="S46" s="450"/>
      <c r="T46" s="450"/>
      <c r="U46" s="450"/>
      <c r="V46" s="450"/>
      <c r="W46" s="450"/>
      <c r="X46" s="450"/>
      <c r="Y46" s="450"/>
    </row>
    <row r="47" spans="2:25" ht="15" thickBot="1" x14ac:dyDescent="0.25">
      <c r="B47" s="434" t="s">
        <v>3</v>
      </c>
      <c r="C47" s="333">
        <f>SUMIF(Tarifas!E4:E303,'Abril - 2017'!C49,Tarifas!D4:D303)</f>
        <v>45</v>
      </c>
      <c r="D47" s="425" t="s">
        <v>147</v>
      </c>
      <c r="E47" s="426" t="s">
        <v>145</v>
      </c>
      <c r="F47" s="426" t="s">
        <v>150</v>
      </c>
      <c r="G47" s="426" t="s">
        <v>148</v>
      </c>
      <c r="H47" s="382"/>
      <c r="I47" s="331" t="s">
        <v>120</v>
      </c>
      <c r="J47" s="332"/>
      <c r="K47" s="332"/>
      <c r="L47" s="364" t="s">
        <v>105</v>
      </c>
      <c r="M47" s="365"/>
      <c r="N47" s="365"/>
      <c r="O47" s="365"/>
      <c r="P47" s="365"/>
      <c r="Q47" s="365"/>
      <c r="R47" s="366"/>
      <c r="S47" s="2267" t="s">
        <v>121</v>
      </c>
      <c r="T47" s="2268"/>
      <c r="U47" s="2268"/>
      <c r="V47" s="2268"/>
      <c r="W47" s="2268"/>
      <c r="X47" s="2268"/>
      <c r="Y47" s="2269"/>
    </row>
    <row r="48" spans="2:25" ht="33.75" x14ac:dyDescent="0.2">
      <c r="C48" s="383" t="s">
        <v>122</v>
      </c>
      <c r="D48" s="384" t="s">
        <v>125</v>
      </c>
      <c r="E48" s="385" t="s">
        <v>149</v>
      </c>
      <c r="F48" s="385" t="s">
        <v>151</v>
      </c>
      <c r="G48" s="385" t="s">
        <v>152</v>
      </c>
      <c r="H48" s="386" t="s">
        <v>123</v>
      </c>
      <c r="I48" s="329" t="s">
        <v>109</v>
      </c>
      <c r="J48" s="330" t="s">
        <v>25</v>
      </c>
      <c r="K48" s="330" t="s">
        <v>26</v>
      </c>
      <c r="L48" s="367" t="s">
        <v>115</v>
      </c>
      <c r="M48" s="362" t="s">
        <v>106</v>
      </c>
      <c r="N48" s="362" t="s">
        <v>107</v>
      </c>
      <c r="O48" s="362" t="s">
        <v>108</v>
      </c>
      <c r="P48" s="362" t="s">
        <v>115</v>
      </c>
      <c r="Q48" s="363" t="s">
        <v>116</v>
      </c>
      <c r="R48" s="368" t="s">
        <v>117</v>
      </c>
      <c r="S48" s="561" t="s">
        <v>207</v>
      </c>
      <c r="T48" s="370"/>
      <c r="U48" s="370" t="s">
        <v>112</v>
      </c>
      <c r="V48" s="371" t="s">
        <v>118</v>
      </c>
      <c r="W48" s="371" t="s">
        <v>119</v>
      </c>
      <c r="X48" s="371" t="s">
        <v>114</v>
      </c>
      <c r="Y48" s="372" t="s">
        <v>113</v>
      </c>
    </row>
    <row r="49" spans="3:25" x14ac:dyDescent="0.2">
      <c r="C49" s="387">
        <f>G7</f>
        <v>42826</v>
      </c>
      <c r="D49" s="388">
        <f>($F$24*$H$24)/$G$24</f>
        <v>155314.35733333332</v>
      </c>
      <c r="E49" s="389">
        <f>P49+Q49+R49</f>
        <v>71626.94</v>
      </c>
      <c r="F49" s="427">
        <f>TRUNC(IFERROR(J$24/K$24,0),8)</f>
        <v>0.94985103999999998</v>
      </c>
      <c r="G49" s="390">
        <f>ROUND(I$24*F49*E49,4)</f>
        <v>68.034899999999993</v>
      </c>
      <c r="H49" s="391">
        <f t="shared" ref="H49:H78" si="0">SUM(D49:G49)</f>
        <v>227010.28208437332</v>
      </c>
      <c r="I49" s="324">
        <v>70000</v>
      </c>
      <c r="J49" s="325"/>
      <c r="K49" s="325"/>
      <c r="L49" s="317">
        <v>71626.94</v>
      </c>
      <c r="M49" s="318"/>
      <c r="N49" s="318"/>
      <c r="O49" s="318"/>
      <c r="P49" s="389">
        <f>L49</f>
        <v>71626.94</v>
      </c>
      <c r="Q49" s="389">
        <f t="shared" ref="Q49:Q78" si="1">M49+N49</f>
        <v>0</v>
      </c>
      <c r="R49" s="389">
        <f t="shared" ref="R49:R78" si="2">O49</f>
        <v>0</v>
      </c>
      <c r="S49" s="532">
        <v>62000.04</v>
      </c>
      <c r="T49" s="374"/>
      <c r="U49" s="520">
        <f>S49+T49-V49</f>
        <v>-7999.9599999999991</v>
      </c>
      <c r="V49" s="520">
        <f>I49+J49+K49</f>
        <v>70000</v>
      </c>
      <c r="W49" s="520">
        <f>(P49+Q49+R49)*1.055056</f>
        <v>75570.432808640006</v>
      </c>
      <c r="X49" s="520">
        <f>V49-W49</f>
        <v>-5570.4328086400055</v>
      </c>
      <c r="Y49" s="525">
        <f>AL46+X49</f>
        <v>-5570.4328086400055</v>
      </c>
    </row>
    <row r="50" spans="3:25" x14ac:dyDescent="0.2">
      <c r="C50" s="387">
        <f t="shared" ref="C50:C78" si="3">C49+1</f>
        <v>42827</v>
      </c>
      <c r="D50" s="388">
        <f t="shared" ref="D50:D78" si="4">($F$24*$H$24)/$G$24</f>
        <v>155314.35733333332</v>
      </c>
      <c r="E50" s="392">
        <f t="shared" ref="E50:E78" si="5">P50+Q50+R50</f>
        <v>68851.75</v>
      </c>
      <c r="F50" s="428">
        <f t="shared" ref="F50:F78" si="6">TRUNC(IFERROR(J$24/K$24,0),8)</f>
        <v>0.94985103999999998</v>
      </c>
      <c r="G50" s="390">
        <f t="shared" ref="G50:G78" si="7">ROUND(I$24*F50*E50,4)</f>
        <v>65.398899999999998</v>
      </c>
      <c r="H50" s="391">
        <f t="shared" si="0"/>
        <v>224232.45608437332</v>
      </c>
      <c r="I50" s="324">
        <v>70000</v>
      </c>
      <c r="J50" s="325"/>
      <c r="K50" s="325"/>
      <c r="L50" s="319">
        <v>68851.75</v>
      </c>
      <c r="M50" s="320"/>
      <c r="N50" s="320"/>
      <c r="O50" s="320"/>
      <c r="P50" s="392">
        <f t="shared" ref="P50:P78" si="8">L50</f>
        <v>68851.75</v>
      </c>
      <c r="Q50" s="392">
        <f t="shared" si="1"/>
        <v>0</v>
      </c>
      <c r="R50" s="392">
        <f t="shared" si="2"/>
        <v>0</v>
      </c>
      <c r="S50" s="532">
        <v>62000.04</v>
      </c>
      <c r="T50" s="374"/>
      <c r="U50" s="520">
        <f t="shared" ref="U50:U78" si="9">S50+T50-V50</f>
        <v>-7999.9599999999991</v>
      </c>
      <c r="V50" s="520">
        <f t="shared" ref="V50:V78" si="10">I50+J50+K50</f>
        <v>70000</v>
      </c>
      <c r="W50" s="520">
        <f t="shared" ref="W50:W78" si="11">(P50+Q50+R50)*1.055056</f>
        <v>72642.451948000002</v>
      </c>
      <c r="X50" s="520">
        <f t="shared" ref="X50:X78" si="12">V50-W50</f>
        <v>-2642.4519480000017</v>
      </c>
      <c r="Y50" s="525">
        <f>Y49+X50</f>
        <v>-8212.8847566400073</v>
      </c>
    </row>
    <row r="51" spans="3:25" x14ac:dyDescent="0.2">
      <c r="C51" s="387">
        <f t="shared" si="3"/>
        <v>42828</v>
      </c>
      <c r="D51" s="388">
        <f t="shared" si="4"/>
        <v>155314.35733333332</v>
      </c>
      <c r="E51" s="392">
        <f t="shared" si="5"/>
        <v>72866.659</v>
      </c>
      <c r="F51" s="428">
        <f t="shared" si="6"/>
        <v>0.94985103999999998</v>
      </c>
      <c r="G51" s="390">
        <f t="shared" si="7"/>
        <v>69.212500000000006</v>
      </c>
      <c r="H51" s="391">
        <f t="shared" si="0"/>
        <v>228251.17868437333</v>
      </c>
      <c r="I51" s="324">
        <v>70000</v>
      </c>
      <c r="J51" s="325"/>
      <c r="K51" s="325"/>
      <c r="L51" s="317">
        <v>72866.659</v>
      </c>
      <c r="M51" s="318"/>
      <c r="N51" s="318"/>
      <c r="O51" s="318"/>
      <c r="P51" s="392">
        <f t="shared" si="8"/>
        <v>72866.659</v>
      </c>
      <c r="Q51" s="392">
        <f t="shared" si="1"/>
        <v>0</v>
      </c>
      <c r="R51" s="392">
        <f t="shared" si="2"/>
        <v>0</v>
      </c>
      <c r="S51" s="532">
        <v>62000.04</v>
      </c>
      <c r="T51" s="374"/>
      <c r="U51" s="520">
        <f t="shared" si="9"/>
        <v>-7999.9599999999991</v>
      </c>
      <c r="V51" s="520">
        <f t="shared" si="10"/>
        <v>70000</v>
      </c>
      <c r="W51" s="520">
        <f t="shared" si="11"/>
        <v>76878.405777904001</v>
      </c>
      <c r="X51" s="520">
        <f t="shared" si="12"/>
        <v>-6878.4057779040013</v>
      </c>
      <c r="Y51" s="525">
        <f t="shared" ref="Y51:Y78" si="13">Y50+X51</f>
        <v>-15091.290534544009</v>
      </c>
    </row>
    <row r="52" spans="3:25" x14ac:dyDescent="0.2">
      <c r="C52" s="387">
        <f t="shared" si="3"/>
        <v>42829</v>
      </c>
      <c r="D52" s="388">
        <f t="shared" si="4"/>
        <v>155314.35733333332</v>
      </c>
      <c r="E52" s="392">
        <f t="shared" si="5"/>
        <v>73630.429999999993</v>
      </c>
      <c r="F52" s="428">
        <f t="shared" si="6"/>
        <v>0.94985103999999998</v>
      </c>
      <c r="G52" s="390">
        <f t="shared" si="7"/>
        <v>69.937899999999999</v>
      </c>
      <c r="H52" s="391">
        <f t="shared" si="0"/>
        <v>229015.6750843733</v>
      </c>
      <c r="I52" s="324">
        <v>73000</v>
      </c>
      <c r="J52" s="325"/>
      <c r="K52" s="325"/>
      <c r="L52" s="319">
        <v>73630.429999999993</v>
      </c>
      <c r="M52" s="320"/>
      <c r="N52" s="320"/>
      <c r="O52" s="320"/>
      <c r="P52" s="392">
        <f t="shared" si="8"/>
        <v>73630.429999999993</v>
      </c>
      <c r="Q52" s="392">
        <f t="shared" si="1"/>
        <v>0</v>
      </c>
      <c r="R52" s="392">
        <f t="shared" si="2"/>
        <v>0</v>
      </c>
      <c r="S52" s="532">
        <v>60000</v>
      </c>
      <c r="T52" s="374"/>
      <c r="U52" s="520">
        <f t="shared" si="9"/>
        <v>-13000</v>
      </c>
      <c r="V52" s="520">
        <f t="shared" si="10"/>
        <v>73000</v>
      </c>
      <c r="W52" s="520">
        <f t="shared" si="11"/>
        <v>77684.22695407999</v>
      </c>
      <c r="X52" s="520">
        <f t="shared" si="12"/>
        <v>-4684.2269540799898</v>
      </c>
      <c r="Y52" s="525">
        <f t="shared" si="13"/>
        <v>-19775.517488623998</v>
      </c>
    </row>
    <row r="53" spans="3:25" x14ac:dyDescent="0.2">
      <c r="C53" s="387">
        <f t="shared" si="3"/>
        <v>42830</v>
      </c>
      <c r="D53" s="388">
        <f t="shared" si="4"/>
        <v>155314.35733333332</v>
      </c>
      <c r="E53" s="392">
        <f t="shared" si="5"/>
        <v>72242.45</v>
      </c>
      <c r="F53" s="428">
        <f t="shared" si="6"/>
        <v>0.94985103999999998</v>
      </c>
      <c r="G53" s="390">
        <f t="shared" si="7"/>
        <v>68.619600000000005</v>
      </c>
      <c r="H53" s="391">
        <f t="shared" si="0"/>
        <v>227626.37678437331</v>
      </c>
      <c r="I53" s="324">
        <v>73000</v>
      </c>
      <c r="J53" s="325"/>
      <c r="K53" s="325"/>
      <c r="L53" s="317">
        <v>72242.45</v>
      </c>
      <c r="M53" s="318"/>
      <c r="N53" s="318"/>
      <c r="O53" s="318"/>
      <c r="P53" s="392">
        <f t="shared" si="8"/>
        <v>72242.45</v>
      </c>
      <c r="Q53" s="392">
        <f t="shared" si="1"/>
        <v>0</v>
      </c>
      <c r="R53" s="392">
        <f t="shared" si="2"/>
        <v>0</v>
      </c>
      <c r="S53" s="532">
        <v>60000</v>
      </c>
      <c r="T53" s="374"/>
      <c r="U53" s="520">
        <f t="shared" si="9"/>
        <v>-13000</v>
      </c>
      <c r="V53" s="520">
        <f t="shared" si="10"/>
        <v>73000</v>
      </c>
      <c r="W53" s="520">
        <f t="shared" si="11"/>
        <v>76219.83032719999</v>
      </c>
      <c r="X53" s="520">
        <f t="shared" si="12"/>
        <v>-3219.8303271999903</v>
      </c>
      <c r="Y53" s="525">
        <f t="shared" si="13"/>
        <v>-22995.347815823989</v>
      </c>
    </row>
    <row r="54" spans="3:25" x14ac:dyDescent="0.2">
      <c r="C54" s="387">
        <f t="shared" si="3"/>
        <v>42831</v>
      </c>
      <c r="D54" s="388">
        <f t="shared" si="4"/>
        <v>155314.35733333332</v>
      </c>
      <c r="E54" s="392">
        <f t="shared" si="5"/>
        <v>72701.929999999993</v>
      </c>
      <c r="F54" s="428">
        <f t="shared" si="6"/>
        <v>0.94985103999999998</v>
      </c>
      <c r="G54" s="390">
        <f t="shared" si="7"/>
        <v>69.055999999999997</v>
      </c>
      <c r="H54" s="391">
        <f t="shared" si="0"/>
        <v>228086.29318437332</v>
      </c>
      <c r="I54" s="324">
        <v>73000</v>
      </c>
      <c r="J54" s="325"/>
      <c r="K54" s="325"/>
      <c r="L54" s="319">
        <v>72701.929999999993</v>
      </c>
      <c r="M54" s="320"/>
      <c r="N54" s="320"/>
      <c r="O54" s="320"/>
      <c r="P54" s="392">
        <f t="shared" si="8"/>
        <v>72701.929999999993</v>
      </c>
      <c r="Q54" s="392">
        <f t="shared" si="1"/>
        <v>0</v>
      </c>
      <c r="R54" s="392">
        <f t="shared" si="2"/>
        <v>0</v>
      </c>
      <c r="S54" s="532">
        <v>60000</v>
      </c>
      <c r="T54" s="374"/>
      <c r="U54" s="520">
        <f t="shared" si="9"/>
        <v>-13000</v>
      </c>
      <c r="V54" s="520">
        <f t="shared" si="10"/>
        <v>73000</v>
      </c>
      <c r="W54" s="520">
        <f t="shared" si="11"/>
        <v>76704.60745807999</v>
      </c>
      <c r="X54" s="520">
        <f t="shared" si="12"/>
        <v>-3704.6074580799905</v>
      </c>
      <c r="Y54" s="525">
        <f t="shared" si="13"/>
        <v>-26699.955273903979</v>
      </c>
    </row>
    <row r="55" spans="3:25" x14ac:dyDescent="0.2">
      <c r="C55" s="387">
        <f t="shared" si="3"/>
        <v>42832</v>
      </c>
      <c r="D55" s="388">
        <f t="shared" si="4"/>
        <v>155314.35733333332</v>
      </c>
      <c r="E55" s="392">
        <f t="shared" si="5"/>
        <v>73407.955000000002</v>
      </c>
      <c r="F55" s="428">
        <f t="shared" si="6"/>
        <v>0.94985103999999998</v>
      </c>
      <c r="G55" s="390">
        <f t="shared" si="7"/>
        <v>69.726600000000005</v>
      </c>
      <c r="H55" s="391">
        <f t="shared" si="0"/>
        <v>228792.9887843733</v>
      </c>
      <c r="I55" s="324">
        <v>73000</v>
      </c>
      <c r="J55" s="325"/>
      <c r="K55" s="325"/>
      <c r="L55" s="317">
        <v>73407.955000000002</v>
      </c>
      <c r="M55" s="318"/>
      <c r="N55" s="318"/>
      <c r="O55" s="318"/>
      <c r="P55" s="392">
        <f t="shared" si="8"/>
        <v>73407.955000000002</v>
      </c>
      <c r="Q55" s="392">
        <f t="shared" si="1"/>
        <v>0</v>
      </c>
      <c r="R55" s="392">
        <f t="shared" si="2"/>
        <v>0</v>
      </c>
      <c r="S55" s="532">
        <v>62000.04</v>
      </c>
      <c r="T55" s="374"/>
      <c r="U55" s="520">
        <f t="shared" si="9"/>
        <v>-10999.96</v>
      </c>
      <c r="V55" s="520">
        <f t="shared" si="10"/>
        <v>73000</v>
      </c>
      <c r="W55" s="520">
        <f t="shared" si="11"/>
        <v>77449.503370480001</v>
      </c>
      <c r="X55" s="520">
        <f t="shared" si="12"/>
        <v>-4449.5033704800007</v>
      </c>
      <c r="Y55" s="525">
        <f t="shared" si="13"/>
        <v>-31149.45864438398</v>
      </c>
    </row>
    <row r="56" spans="3:25" x14ac:dyDescent="0.2">
      <c r="C56" s="387">
        <f t="shared" si="3"/>
        <v>42833</v>
      </c>
      <c r="D56" s="388">
        <f t="shared" si="4"/>
        <v>155314.35733333332</v>
      </c>
      <c r="E56" s="392">
        <f t="shared" si="5"/>
        <v>72647.350000000006</v>
      </c>
      <c r="F56" s="428">
        <f t="shared" si="6"/>
        <v>0.94985103999999998</v>
      </c>
      <c r="G56" s="390">
        <f t="shared" si="7"/>
        <v>69.004199999999997</v>
      </c>
      <c r="H56" s="391">
        <f t="shared" si="0"/>
        <v>228031.66138437332</v>
      </c>
      <c r="I56" s="324">
        <v>70000</v>
      </c>
      <c r="J56" s="325"/>
      <c r="K56" s="325"/>
      <c r="L56" s="319">
        <v>72647.350000000006</v>
      </c>
      <c r="M56" s="320"/>
      <c r="N56" s="320"/>
      <c r="O56" s="320"/>
      <c r="P56" s="392">
        <f t="shared" si="8"/>
        <v>72647.350000000006</v>
      </c>
      <c r="Q56" s="392">
        <f t="shared" si="1"/>
        <v>0</v>
      </c>
      <c r="R56" s="392">
        <f t="shared" si="2"/>
        <v>0</v>
      </c>
      <c r="S56" s="532">
        <v>62000.04</v>
      </c>
      <c r="T56" s="374"/>
      <c r="U56" s="520">
        <f t="shared" si="9"/>
        <v>-7999.9599999999991</v>
      </c>
      <c r="V56" s="520">
        <f t="shared" si="10"/>
        <v>70000</v>
      </c>
      <c r="W56" s="520">
        <f t="shared" si="11"/>
        <v>76647.022501600004</v>
      </c>
      <c r="X56" s="520">
        <f t="shared" si="12"/>
        <v>-6647.022501600004</v>
      </c>
      <c r="Y56" s="525">
        <f t="shared" si="13"/>
        <v>-37796.481145983984</v>
      </c>
    </row>
    <row r="57" spans="3:25" x14ac:dyDescent="0.2">
      <c r="C57" s="387">
        <f t="shared" si="3"/>
        <v>42834</v>
      </c>
      <c r="D57" s="388">
        <f t="shared" si="4"/>
        <v>155314.35733333332</v>
      </c>
      <c r="E57" s="392">
        <f t="shared" si="5"/>
        <v>72097.7</v>
      </c>
      <c r="F57" s="428">
        <f t="shared" si="6"/>
        <v>0.94985103999999998</v>
      </c>
      <c r="G57" s="390">
        <f t="shared" si="7"/>
        <v>68.482100000000003</v>
      </c>
      <c r="H57" s="391">
        <f t="shared" si="0"/>
        <v>227481.4892843733</v>
      </c>
      <c r="I57" s="324">
        <v>70000</v>
      </c>
      <c r="J57" s="325"/>
      <c r="K57" s="325"/>
      <c r="L57" s="317">
        <v>72097.7</v>
      </c>
      <c r="M57" s="318"/>
      <c r="N57" s="318"/>
      <c r="O57" s="318"/>
      <c r="P57" s="392">
        <f t="shared" si="8"/>
        <v>72097.7</v>
      </c>
      <c r="Q57" s="392">
        <f t="shared" si="1"/>
        <v>0</v>
      </c>
      <c r="R57" s="392">
        <f t="shared" si="2"/>
        <v>0</v>
      </c>
      <c r="S57" s="532">
        <v>62000.04</v>
      </c>
      <c r="T57" s="374"/>
      <c r="U57" s="520">
        <f t="shared" si="9"/>
        <v>-7999.9599999999991</v>
      </c>
      <c r="V57" s="520">
        <f t="shared" si="10"/>
        <v>70000</v>
      </c>
      <c r="W57" s="520">
        <f t="shared" si="11"/>
        <v>76067.110971200003</v>
      </c>
      <c r="X57" s="520">
        <f t="shared" si="12"/>
        <v>-6067.1109712000034</v>
      </c>
      <c r="Y57" s="525">
        <f t="shared" si="13"/>
        <v>-43863.592117183987</v>
      </c>
    </row>
    <row r="58" spans="3:25" x14ac:dyDescent="0.2">
      <c r="C58" s="387">
        <f t="shared" si="3"/>
        <v>42835</v>
      </c>
      <c r="D58" s="388">
        <f t="shared" si="4"/>
        <v>155314.35733333332</v>
      </c>
      <c r="E58" s="392">
        <f t="shared" si="5"/>
        <v>72541.02</v>
      </c>
      <c r="F58" s="428">
        <f t="shared" si="6"/>
        <v>0.94985103999999998</v>
      </c>
      <c r="G58" s="390">
        <f t="shared" si="7"/>
        <v>68.903199999999998</v>
      </c>
      <c r="H58" s="391">
        <f t="shared" si="0"/>
        <v>227925.23038437331</v>
      </c>
      <c r="I58" s="324">
        <v>70000</v>
      </c>
      <c r="J58" s="325"/>
      <c r="K58" s="325"/>
      <c r="L58" s="319">
        <v>72541.02</v>
      </c>
      <c r="M58" s="320"/>
      <c r="N58" s="320"/>
      <c r="O58" s="320"/>
      <c r="P58" s="392">
        <f t="shared" si="8"/>
        <v>72541.02</v>
      </c>
      <c r="Q58" s="392">
        <f t="shared" si="1"/>
        <v>0</v>
      </c>
      <c r="R58" s="392">
        <f t="shared" si="2"/>
        <v>0</v>
      </c>
      <c r="S58" s="532">
        <v>62000.04</v>
      </c>
      <c r="T58" s="374"/>
      <c r="U58" s="520">
        <f t="shared" si="9"/>
        <v>-7999.9599999999991</v>
      </c>
      <c r="V58" s="520">
        <f t="shared" si="10"/>
        <v>70000</v>
      </c>
      <c r="W58" s="520">
        <f t="shared" si="11"/>
        <v>76534.838397120009</v>
      </c>
      <c r="X58" s="520">
        <f t="shared" si="12"/>
        <v>-6534.8383971200092</v>
      </c>
      <c r="Y58" s="525">
        <f t="shared" si="13"/>
        <v>-50398.430514303996</v>
      </c>
    </row>
    <row r="59" spans="3:25" x14ac:dyDescent="0.2">
      <c r="C59" s="387">
        <f t="shared" si="3"/>
        <v>42836</v>
      </c>
      <c r="D59" s="388">
        <f t="shared" si="4"/>
        <v>155314.35733333332</v>
      </c>
      <c r="E59" s="392">
        <f t="shared" si="5"/>
        <v>72838.41</v>
      </c>
      <c r="F59" s="428">
        <f t="shared" si="6"/>
        <v>0.94985103999999998</v>
      </c>
      <c r="G59" s="390">
        <f t="shared" si="7"/>
        <v>69.185599999999994</v>
      </c>
      <c r="H59" s="391">
        <f t="shared" si="0"/>
        <v>228222.90278437332</v>
      </c>
      <c r="I59" s="324">
        <v>70000</v>
      </c>
      <c r="J59" s="325"/>
      <c r="K59" s="325"/>
      <c r="L59" s="317">
        <v>72838.41</v>
      </c>
      <c r="M59" s="318"/>
      <c r="N59" s="318"/>
      <c r="O59" s="318"/>
      <c r="P59" s="392">
        <f t="shared" si="8"/>
        <v>72838.41</v>
      </c>
      <c r="Q59" s="392">
        <f t="shared" si="1"/>
        <v>0</v>
      </c>
      <c r="R59" s="392">
        <f t="shared" si="2"/>
        <v>0</v>
      </c>
      <c r="S59" s="532">
        <v>62000.04</v>
      </c>
      <c r="T59" s="374"/>
      <c r="U59" s="520">
        <f t="shared" si="9"/>
        <v>-7999.9599999999991</v>
      </c>
      <c r="V59" s="520">
        <f t="shared" si="10"/>
        <v>70000</v>
      </c>
      <c r="W59" s="520">
        <f t="shared" si="11"/>
        <v>76848.601500960009</v>
      </c>
      <c r="X59" s="520">
        <f t="shared" si="12"/>
        <v>-6848.6015009600087</v>
      </c>
      <c r="Y59" s="525">
        <f t="shared" si="13"/>
        <v>-57247.032015264005</v>
      </c>
    </row>
    <row r="60" spans="3:25" x14ac:dyDescent="0.2">
      <c r="C60" s="387">
        <f t="shared" si="3"/>
        <v>42837</v>
      </c>
      <c r="D60" s="388">
        <f t="shared" si="4"/>
        <v>155314.35733333332</v>
      </c>
      <c r="E60" s="392">
        <f t="shared" si="5"/>
        <v>75246.09</v>
      </c>
      <c r="F60" s="428">
        <f t="shared" si="6"/>
        <v>0.94985103999999998</v>
      </c>
      <c r="G60" s="390">
        <f t="shared" si="7"/>
        <v>71.4726</v>
      </c>
      <c r="H60" s="391">
        <f t="shared" si="0"/>
        <v>230632.86978437332</v>
      </c>
      <c r="I60" s="324">
        <v>70000</v>
      </c>
      <c r="J60" s="325"/>
      <c r="K60" s="325"/>
      <c r="L60" s="319">
        <v>75246.09</v>
      </c>
      <c r="M60" s="320"/>
      <c r="N60" s="320"/>
      <c r="O60" s="320"/>
      <c r="P60" s="392">
        <f t="shared" si="8"/>
        <v>75246.09</v>
      </c>
      <c r="Q60" s="392">
        <f t="shared" si="1"/>
        <v>0</v>
      </c>
      <c r="R60" s="392">
        <f t="shared" si="2"/>
        <v>0</v>
      </c>
      <c r="S60" s="532">
        <v>62000.04</v>
      </c>
      <c r="T60" s="374"/>
      <c r="U60" s="520">
        <f t="shared" si="9"/>
        <v>-7999.9599999999991</v>
      </c>
      <c r="V60" s="520">
        <f t="shared" si="10"/>
        <v>70000</v>
      </c>
      <c r="W60" s="520">
        <f t="shared" si="11"/>
        <v>79388.838731039999</v>
      </c>
      <c r="X60" s="520">
        <f t="shared" si="12"/>
        <v>-9388.8387310399994</v>
      </c>
      <c r="Y60" s="525">
        <f t="shared" si="13"/>
        <v>-66635.870746304005</v>
      </c>
    </row>
    <row r="61" spans="3:25" x14ac:dyDescent="0.2">
      <c r="C61" s="387">
        <f t="shared" si="3"/>
        <v>42838</v>
      </c>
      <c r="D61" s="388">
        <f t="shared" si="4"/>
        <v>155314.35733333332</v>
      </c>
      <c r="E61" s="392">
        <f t="shared" si="5"/>
        <v>73472.53</v>
      </c>
      <c r="F61" s="428">
        <f t="shared" si="6"/>
        <v>0.94985103999999998</v>
      </c>
      <c r="G61" s="390">
        <f t="shared" si="7"/>
        <v>69.787999999999997</v>
      </c>
      <c r="H61" s="391">
        <f t="shared" si="0"/>
        <v>228857.62518437332</v>
      </c>
      <c r="I61" s="324">
        <v>70000</v>
      </c>
      <c r="J61" s="325"/>
      <c r="K61" s="325"/>
      <c r="L61" s="317">
        <v>73472.53</v>
      </c>
      <c r="M61" s="318"/>
      <c r="N61" s="318"/>
      <c r="O61" s="318"/>
      <c r="P61" s="392">
        <f t="shared" si="8"/>
        <v>73472.53</v>
      </c>
      <c r="Q61" s="392">
        <f t="shared" si="1"/>
        <v>0</v>
      </c>
      <c r="R61" s="392">
        <f t="shared" si="2"/>
        <v>0</v>
      </c>
      <c r="S61" s="532">
        <v>62000.04</v>
      </c>
      <c r="T61" s="374"/>
      <c r="U61" s="520">
        <f t="shared" si="9"/>
        <v>-7999.9599999999991</v>
      </c>
      <c r="V61" s="520">
        <f t="shared" si="10"/>
        <v>70000</v>
      </c>
      <c r="W61" s="520">
        <f t="shared" si="11"/>
        <v>77517.633611679994</v>
      </c>
      <c r="X61" s="520">
        <f t="shared" si="12"/>
        <v>-7517.6336116799939</v>
      </c>
      <c r="Y61" s="525">
        <f t="shared" si="13"/>
        <v>-74153.504357983998</v>
      </c>
    </row>
    <row r="62" spans="3:25" x14ac:dyDescent="0.2">
      <c r="C62" s="387">
        <f t="shared" si="3"/>
        <v>42839</v>
      </c>
      <c r="D62" s="388">
        <f t="shared" si="4"/>
        <v>155314.35733333332</v>
      </c>
      <c r="E62" s="392">
        <f t="shared" si="5"/>
        <v>75169.53</v>
      </c>
      <c r="F62" s="428">
        <f t="shared" si="6"/>
        <v>0.94985103999999998</v>
      </c>
      <c r="G62" s="390">
        <f t="shared" si="7"/>
        <v>71.399900000000002</v>
      </c>
      <c r="H62" s="391">
        <f t="shared" si="0"/>
        <v>230556.23708437331</v>
      </c>
      <c r="I62" s="324">
        <v>70000</v>
      </c>
      <c r="J62" s="325"/>
      <c r="K62" s="325"/>
      <c r="L62" s="319">
        <v>75169.53</v>
      </c>
      <c r="M62" s="320"/>
      <c r="N62" s="320"/>
      <c r="O62" s="320"/>
      <c r="P62" s="392">
        <f t="shared" si="8"/>
        <v>75169.53</v>
      </c>
      <c r="Q62" s="392">
        <f t="shared" si="1"/>
        <v>0</v>
      </c>
      <c r="R62" s="392">
        <f t="shared" si="2"/>
        <v>0</v>
      </c>
      <c r="S62" s="532">
        <v>62000.04</v>
      </c>
      <c r="T62" s="374"/>
      <c r="U62" s="520">
        <f t="shared" si="9"/>
        <v>-7999.9599999999991</v>
      </c>
      <c r="V62" s="520">
        <f t="shared" si="10"/>
        <v>70000</v>
      </c>
      <c r="W62" s="520">
        <f t="shared" si="11"/>
        <v>79308.063643679998</v>
      </c>
      <c r="X62" s="520">
        <f t="shared" si="12"/>
        <v>-9308.0636436799978</v>
      </c>
      <c r="Y62" s="525">
        <f t="shared" si="13"/>
        <v>-83461.568001663996</v>
      </c>
    </row>
    <row r="63" spans="3:25" x14ac:dyDescent="0.2">
      <c r="C63" s="387">
        <f t="shared" si="3"/>
        <v>42840</v>
      </c>
      <c r="D63" s="388">
        <f t="shared" si="4"/>
        <v>155314.35733333332</v>
      </c>
      <c r="E63" s="392">
        <f t="shared" si="5"/>
        <v>76150.857999999993</v>
      </c>
      <c r="F63" s="428">
        <f t="shared" si="6"/>
        <v>0.94985103999999998</v>
      </c>
      <c r="G63" s="390">
        <f t="shared" si="7"/>
        <v>72.331999999999994</v>
      </c>
      <c r="H63" s="391">
        <f t="shared" si="0"/>
        <v>231538.49718437329</v>
      </c>
      <c r="I63" s="324">
        <v>70000</v>
      </c>
      <c r="J63" s="325"/>
      <c r="K63" s="325"/>
      <c r="L63" s="317">
        <v>76150.857999999993</v>
      </c>
      <c r="M63" s="318"/>
      <c r="N63" s="318"/>
      <c r="O63" s="318"/>
      <c r="P63" s="392">
        <f t="shared" si="8"/>
        <v>76150.857999999993</v>
      </c>
      <c r="Q63" s="392">
        <f t="shared" si="1"/>
        <v>0</v>
      </c>
      <c r="R63" s="392">
        <f t="shared" si="2"/>
        <v>0</v>
      </c>
      <c r="S63" s="532">
        <v>68000.13</v>
      </c>
      <c r="T63" s="374"/>
      <c r="U63" s="520">
        <f t="shared" si="9"/>
        <v>-1999.8699999999953</v>
      </c>
      <c r="V63" s="520">
        <f t="shared" si="10"/>
        <v>70000</v>
      </c>
      <c r="W63" s="520">
        <f t="shared" si="11"/>
        <v>80343.419638047999</v>
      </c>
      <c r="X63" s="520">
        <f t="shared" si="12"/>
        <v>-10343.419638047999</v>
      </c>
      <c r="Y63" s="525">
        <f t="shared" si="13"/>
        <v>-93804.987639711995</v>
      </c>
    </row>
    <row r="64" spans="3:25" x14ac:dyDescent="0.2">
      <c r="C64" s="387">
        <f t="shared" si="3"/>
        <v>42841</v>
      </c>
      <c r="D64" s="388">
        <f t="shared" si="4"/>
        <v>155314.35733333332</v>
      </c>
      <c r="E64" s="392">
        <f t="shared" si="5"/>
        <v>75495.31</v>
      </c>
      <c r="F64" s="428">
        <f t="shared" si="6"/>
        <v>0.94985103999999998</v>
      </c>
      <c r="G64" s="390">
        <f t="shared" si="7"/>
        <v>71.709299999999999</v>
      </c>
      <c r="H64" s="391">
        <f t="shared" si="0"/>
        <v>230882.3264843733</v>
      </c>
      <c r="I64" s="324">
        <v>70000</v>
      </c>
      <c r="J64" s="325"/>
      <c r="K64" s="325"/>
      <c r="L64" s="319">
        <v>75495.31</v>
      </c>
      <c r="M64" s="320"/>
      <c r="N64" s="320"/>
      <c r="O64" s="320"/>
      <c r="P64" s="392">
        <f t="shared" si="8"/>
        <v>75495.31</v>
      </c>
      <c r="Q64" s="392">
        <f t="shared" si="1"/>
        <v>0</v>
      </c>
      <c r="R64" s="392">
        <f t="shared" si="2"/>
        <v>0</v>
      </c>
      <c r="S64" s="532">
        <v>68000.13</v>
      </c>
      <c r="T64" s="374"/>
      <c r="U64" s="520">
        <f t="shared" si="9"/>
        <v>-1999.8699999999953</v>
      </c>
      <c r="V64" s="520">
        <f t="shared" si="10"/>
        <v>70000</v>
      </c>
      <c r="W64" s="520">
        <f t="shared" si="11"/>
        <v>79651.779787359992</v>
      </c>
      <c r="X64" s="520">
        <f t="shared" si="12"/>
        <v>-9651.779787359992</v>
      </c>
      <c r="Y64" s="525">
        <f t="shared" si="13"/>
        <v>-103456.76742707199</v>
      </c>
    </row>
    <row r="65" spans="3:38" x14ac:dyDescent="0.2">
      <c r="C65" s="387">
        <f t="shared" si="3"/>
        <v>42842</v>
      </c>
      <c r="D65" s="388">
        <f t="shared" si="4"/>
        <v>155314.35733333332</v>
      </c>
      <c r="E65" s="392">
        <f t="shared" si="5"/>
        <v>76322.16</v>
      </c>
      <c r="F65" s="428">
        <f t="shared" si="6"/>
        <v>0.94985103999999998</v>
      </c>
      <c r="G65" s="390">
        <f t="shared" si="7"/>
        <v>72.494699999999995</v>
      </c>
      <c r="H65" s="391">
        <f t="shared" si="0"/>
        <v>231709.96188437333</v>
      </c>
      <c r="I65" s="324">
        <v>70000</v>
      </c>
      <c r="J65" s="325"/>
      <c r="K65" s="325"/>
      <c r="L65" s="317">
        <v>76322.16</v>
      </c>
      <c r="M65" s="318"/>
      <c r="N65" s="318"/>
      <c r="O65" s="318"/>
      <c r="P65" s="392">
        <f t="shared" si="8"/>
        <v>76322.16</v>
      </c>
      <c r="Q65" s="392">
        <f t="shared" si="1"/>
        <v>0</v>
      </c>
      <c r="R65" s="392">
        <f t="shared" si="2"/>
        <v>0</v>
      </c>
      <c r="S65" s="532">
        <v>68000.13</v>
      </c>
      <c r="T65" s="374"/>
      <c r="U65" s="520">
        <f t="shared" si="9"/>
        <v>-1999.8699999999953</v>
      </c>
      <c r="V65" s="520">
        <f t="shared" si="10"/>
        <v>70000</v>
      </c>
      <c r="W65" s="520">
        <f t="shared" si="11"/>
        <v>80524.15284096</v>
      </c>
      <c r="X65" s="520">
        <f t="shared" si="12"/>
        <v>-10524.15284096</v>
      </c>
      <c r="Y65" s="525">
        <f t="shared" si="13"/>
        <v>-113980.92026803199</v>
      </c>
    </row>
    <row r="66" spans="3:38" x14ac:dyDescent="0.2">
      <c r="C66" s="387">
        <f t="shared" si="3"/>
        <v>42843</v>
      </c>
      <c r="D66" s="388">
        <f t="shared" si="4"/>
        <v>155314.35733333332</v>
      </c>
      <c r="E66" s="392">
        <f t="shared" si="5"/>
        <v>75814.493000000002</v>
      </c>
      <c r="F66" s="428">
        <f t="shared" si="6"/>
        <v>0.94985103999999998</v>
      </c>
      <c r="G66" s="390">
        <f t="shared" si="7"/>
        <v>72.012500000000003</v>
      </c>
      <c r="H66" s="391">
        <f t="shared" si="0"/>
        <v>231201.81268437332</v>
      </c>
      <c r="I66" s="324">
        <v>70000</v>
      </c>
      <c r="J66" s="325"/>
      <c r="K66" s="325"/>
      <c r="L66" s="319">
        <v>75814.493000000002</v>
      </c>
      <c r="M66" s="320"/>
      <c r="N66" s="320"/>
      <c r="O66" s="320"/>
      <c r="P66" s="392">
        <f t="shared" si="8"/>
        <v>75814.493000000002</v>
      </c>
      <c r="Q66" s="392">
        <f t="shared" si="1"/>
        <v>0</v>
      </c>
      <c r="R66" s="392">
        <f t="shared" si="2"/>
        <v>0</v>
      </c>
      <c r="S66" s="532">
        <v>64999.600000000006</v>
      </c>
      <c r="T66" s="374"/>
      <c r="U66" s="520">
        <f t="shared" si="9"/>
        <v>-5000.3999999999942</v>
      </c>
      <c r="V66" s="520">
        <f t="shared" si="10"/>
        <v>70000</v>
      </c>
      <c r="W66" s="520">
        <f t="shared" si="11"/>
        <v>79988.535726607995</v>
      </c>
      <c r="X66" s="520">
        <f t="shared" si="12"/>
        <v>-9988.5357266079955</v>
      </c>
      <c r="Y66" s="525">
        <f t="shared" si="13"/>
        <v>-123969.45599463998</v>
      </c>
    </row>
    <row r="67" spans="3:38" x14ac:dyDescent="0.2">
      <c r="C67" s="387">
        <f t="shared" si="3"/>
        <v>42844</v>
      </c>
      <c r="D67" s="388">
        <f t="shared" si="4"/>
        <v>155314.35733333332</v>
      </c>
      <c r="E67" s="392">
        <f t="shared" si="5"/>
        <v>76398.11</v>
      </c>
      <c r="F67" s="428">
        <f t="shared" si="6"/>
        <v>0.94985103999999998</v>
      </c>
      <c r="G67" s="390">
        <f t="shared" si="7"/>
        <v>72.566800000000001</v>
      </c>
      <c r="H67" s="391">
        <f t="shared" si="0"/>
        <v>231785.98398437334</v>
      </c>
      <c r="I67" s="324">
        <v>70000</v>
      </c>
      <c r="J67" s="325"/>
      <c r="K67" s="325"/>
      <c r="L67" s="317">
        <v>76398.11</v>
      </c>
      <c r="M67" s="318"/>
      <c r="N67" s="318"/>
      <c r="O67" s="318"/>
      <c r="P67" s="392">
        <f t="shared" si="8"/>
        <v>76398.11</v>
      </c>
      <c r="Q67" s="392">
        <f t="shared" si="1"/>
        <v>0</v>
      </c>
      <c r="R67" s="392">
        <f t="shared" si="2"/>
        <v>0</v>
      </c>
      <c r="S67" s="532">
        <v>64999.600000000006</v>
      </c>
      <c r="T67" s="374"/>
      <c r="U67" s="520">
        <f t="shared" si="9"/>
        <v>-5000.3999999999942</v>
      </c>
      <c r="V67" s="520">
        <f t="shared" si="10"/>
        <v>70000</v>
      </c>
      <c r="W67" s="520">
        <f t="shared" si="11"/>
        <v>80604.284344159998</v>
      </c>
      <c r="X67" s="520">
        <f t="shared" si="12"/>
        <v>-10604.284344159998</v>
      </c>
      <c r="Y67" s="525">
        <f t="shared" si="13"/>
        <v>-134573.74033879998</v>
      </c>
    </row>
    <row r="68" spans="3:38" x14ac:dyDescent="0.2">
      <c r="C68" s="387">
        <f t="shared" si="3"/>
        <v>42845</v>
      </c>
      <c r="D68" s="388">
        <f t="shared" si="4"/>
        <v>155314.35733333332</v>
      </c>
      <c r="E68" s="392">
        <f t="shared" si="5"/>
        <v>76409.429999999993</v>
      </c>
      <c r="F68" s="428">
        <f t="shared" si="6"/>
        <v>0.94985103999999998</v>
      </c>
      <c r="G68" s="390">
        <f t="shared" si="7"/>
        <v>72.577600000000004</v>
      </c>
      <c r="H68" s="391">
        <f t="shared" si="0"/>
        <v>231797.3147843733</v>
      </c>
      <c r="I68" s="324">
        <v>70000</v>
      </c>
      <c r="J68" s="325"/>
      <c r="K68" s="325"/>
      <c r="L68" s="319">
        <v>76409.429999999993</v>
      </c>
      <c r="M68" s="320"/>
      <c r="N68" s="320"/>
      <c r="O68" s="320"/>
      <c r="P68" s="392">
        <f t="shared" si="8"/>
        <v>76409.429999999993</v>
      </c>
      <c r="Q68" s="392">
        <f t="shared" si="1"/>
        <v>0</v>
      </c>
      <c r="R68" s="392">
        <f t="shared" si="2"/>
        <v>0</v>
      </c>
      <c r="S68" s="532">
        <v>64999.600000000006</v>
      </c>
      <c r="T68" s="374"/>
      <c r="U68" s="520">
        <f t="shared" si="9"/>
        <v>-5000.3999999999942</v>
      </c>
      <c r="V68" s="520">
        <f t="shared" si="10"/>
        <v>70000</v>
      </c>
      <c r="W68" s="520">
        <f t="shared" si="11"/>
        <v>80616.227578079997</v>
      </c>
      <c r="X68" s="520">
        <f t="shared" si="12"/>
        <v>-10616.227578079997</v>
      </c>
      <c r="Y68" s="525">
        <f t="shared" si="13"/>
        <v>-145189.96791687998</v>
      </c>
    </row>
    <row r="69" spans="3:38" x14ac:dyDescent="0.2">
      <c r="C69" s="387">
        <f t="shared" si="3"/>
        <v>42846</v>
      </c>
      <c r="D69" s="388">
        <f t="shared" si="4"/>
        <v>155314.35733333332</v>
      </c>
      <c r="E69" s="392">
        <f t="shared" si="5"/>
        <v>76409.259768000004</v>
      </c>
      <c r="F69" s="428">
        <f t="shared" si="6"/>
        <v>0.94985103999999998</v>
      </c>
      <c r="G69" s="390">
        <f t="shared" si="7"/>
        <v>72.577399999999997</v>
      </c>
      <c r="H69" s="391">
        <f t="shared" si="0"/>
        <v>231797.14435237335</v>
      </c>
      <c r="I69" s="324">
        <v>70000</v>
      </c>
      <c r="J69" s="325"/>
      <c r="K69" s="325"/>
      <c r="L69" s="317">
        <v>76409.259768000004</v>
      </c>
      <c r="M69" s="318"/>
      <c r="N69" s="318"/>
      <c r="O69" s="318"/>
      <c r="P69" s="392">
        <f t="shared" si="8"/>
        <v>76409.259768000004</v>
      </c>
      <c r="Q69" s="392">
        <f t="shared" si="1"/>
        <v>0</v>
      </c>
      <c r="R69" s="392">
        <f t="shared" si="2"/>
        <v>0</v>
      </c>
      <c r="S69" s="532">
        <v>64999.600000000006</v>
      </c>
      <c r="T69" s="374"/>
      <c r="U69" s="520">
        <f t="shared" si="9"/>
        <v>-5000.3999999999942</v>
      </c>
      <c r="V69" s="520">
        <f t="shared" si="10"/>
        <v>70000</v>
      </c>
      <c r="W69" s="520">
        <f t="shared" si="11"/>
        <v>80616.047973787005</v>
      </c>
      <c r="X69" s="520">
        <f t="shared" si="12"/>
        <v>-10616.047973787005</v>
      </c>
      <c r="Y69" s="525">
        <f t="shared" si="13"/>
        <v>-155806.01589066698</v>
      </c>
    </row>
    <row r="70" spans="3:38" x14ac:dyDescent="0.2">
      <c r="C70" s="387">
        <f t="shared" si="3"/>
        <v>42847</v>
      </c>
      <c r="D70" s="388">
        <f t="shared" si="4"/>
        <v>155314.35733333332</v>
      </c>
      <c r="E70" s="392">
        <f t="shared" si="5"/>
        <v>76354.398438000004</v>
      </c>
      <c r="F70" s="428">
        <f t="shared" si="6"/>
        <v>0.94985103999999998</v>
      </c>
      <c r="G70" s="390">
        <f t="shared" si="7"/>
        <v>72.525300000000001</v>
      </c>
      <c r="H70" s="391">
        <f t="shared" si="0"/>
        <v>231742.23092237333</v>
      </c>
      <c r="I70" s="324">
        <v>70000</v>
      </c>
      <c r="J70" s="325"/>
      <c r="K70" s="325"/>
      <c r="L70" s="319">
        <v>76354.398438000004</v>
      </c>
      <c r="M70" s="320"/>
      <c r="N70" s="320"/>
      <c r="O70" s="320"/>
      <c r="P70" s="392">
        <f t="shared" si="8"/>
        <v>76354.398438000004</v>
      </c>
      <c r="Q70" s="392">
        <f t="shared" si="1"/>
        <v>0</v>
      </c>
      <c r="R70" s="392">
        <f t="shared" si="2"/>
        <v>0</v>
      </c>
      <c r="S70" s="532">
        <v>68000.13</v>
      </c>
      <c r="T70" s="374"/>
      <c r="U70" s="520">
        <f t="shared" si="9"/>
        <v>-1999.8699999999953</v>
      </c>
      <c r="V70" s="520">
        <f t="shared" si="10"/>
        <v>70000</v>
      </c>
      <c r="W70" s="520">
        <f t="shared" si="11"/>
        <v>80558.166198402527</v>
      </c>
      <c r="X70" s="520">
        <f t="shared" si="12"/>
        <v>-10558.166198402527</v>
      </c>
      <c r="Y70" s="525">
        <f t="shared" si="13"/>
        <v>-166364.18208906951</v>
      </c>
    </row>
    <row r="71" spans="3:38" x14ac:dyDescent="0.2">
      <c r="C71" s="387">
        <f t="shared" si="3"/>
        <v>42848</v>
      </c>
      <c r="D71" s="388">
        <f t="shared" si="4"/>
        <v>155314.35733333332</v>
      </c>
      <c r="E71" s="392">
        <f t="shared" si="5"/>
        <v>76162.09375</v>
      </c>
      <c r="F71" s="428">
        <f t="shared" si="6"/>
        <v>0.94985103999999998</v>
      </c>
      <c r="G71" s="390">
        <f t="shared" si="7"/>
        <v>72.342600000000004</v>
      </c>
      <c r="H71" s="391">
        <f t="shared" si="0"/>
        <v>231549.74353437332</v>
      </c>
      <c r="I71" s="324">
        <v>70000</v>
      </c>
      <c r="J71" s="325"/>
      <c r="K71" s="325"/>
      <c r="L71" s="317">
        <v>76162.09375</v>
      </c>
      <c r="M71" s="318"/>
      <c r="N71" s="318"/>
      <c r="O71" s="318"/>
      <c r="P71" s="392">
        <f t="shared" si="8"/>
        <v>76162.09375</v>
      </c>
      <c r="Q71" s="392">
        <f t="shared" si="1"/>
        <v>0</v>
      </c>
      <c r="R71" s="392">
        <f t="shared" si="2"/>
        <v>0</v>
      </c>
      <c r="S71" s="532">
        <v>68000.13</v>
      </c>
      <c r="T71" s="374"/>
      <c r="U71" s="520">
        <f t="shared" si="9"/>
        <v>-1999.8699999999953</v>
      </c>
      <c r="V71" s="520">
        <f t="shared" si="10"/>
        <v>70000</v>
      </c>
      <c r="W71" s="520">
        <f t="shared" si="11"/>
        <v>80355.273983499996</v>
      </c>
      <c r="X71" s="520">
        <f t="shared" si="12"/>
        <v>-10355.273983499996</v>
      </c>
      <c r="Y71" s="525">
        <f t="shared" si="13"/>
        <v>-176719.4560725695</v>
      </c>
    </row>
    <row r="72" spans="3:38" x14ac:dyDescent="0.2">
      <c r="C72" s="387">
        <f t="shared" si="3"/>
        <v>42849</v>
      </c>
      <c r="D72" s="388">
        <f t="shared" si="4"/>
        <v>155314.35733333332</v>
      </c>
      <c r="E72" s="392">
        <f t="shared" si="5"/>
        <v>76522.351563000004</v>
      </c>
      <c r="F72" s="428">
        <f t="shared" si="6"/>
        <v>0.94985103999999998</v>
      </c>
      <c r="G72" s="390">
        <f t="shared" si="7"/>
        <v>72.684799999999996</v>
      </c>
      <c r="H72" s="391">
        <f t="shared" si="0"/>
        <v>231910.34354737331</v>
      </c>
      <c r="I72" s="324">
        <v>70000</v>
      </c>
      <c r="J72" s="325"/>
      <c r="K72" s="325"/>
      <c r="L72" s="319">
        <v>76522.351563000004</v>
      </c>
      <c r="M72" s="320"/>
      <c r="N72" s="320"/>
      <c r="O72" s="320"/>
      <c r="P72" s="392">
        <f t="shared" si="8"/>
        <v>76522.351563000004</v>
      </c>
      <c r="Q72" s="392">
        <f t="shared" si="1"/>
        <v>0</v>
      </c>
      <c r="R72" s="392">
        <f t="shared" si="2"/>
        <v>0</v>
      </c>
      <c r="S72" s="532">
        <v>68000.13</v>
      </c>
      <c r="T72" s="374"/>
      <c r="U72" s="520">
        <f t="shared" si="9"/>
        <v>-1999.8699999999953</v>
      </c>
      <c r="V72" s="520">
        <f t="shared" si="10"/>
        <v>70000</v>
      </c>
      <c r="W72" s="520">
        <f t="shared" si="11"/>
        <v>80735.366150652539</v>
      </c>
      <c r="X72" s="520">
        <f t="shared" si="12"/>
        <v>-10735.366150652539</v>
      </c>
      <c r="Y72" s="525">
        <f t="shared" si="13"/>
        <v>-187454.82222322206</v>
      </c>
    </row>
    <row r="73" spans="3:38" x14ac:dyDescent="0.2">
      <c r="C73" s="387">
        <f t="shared" si="3"/>
        <v>42850</v>
      </c>
      <c r="D73" s="388">
        <f t="shared" si="4"/>
        <v>155314.35733333332</v>
      </c>
      <c r="E73" s="392">
        <f t="shared" si="5"/>
        <v>76454.444090999983</v>
      </c>
      <c r="F73" s="428">
        <f t="shared" si="6"/>
        <v>0.94985103999999998</v>
      </c>
      <c r="G73" s="390">
        <f t="shared" si="7"/>
        <v>72.6203</v>
      </c>
      <c r="H73" s="391">
        <f t="shared" si="0"/>
        <v>231842.37157537331</v>
      </c>
      <c r="I73" s="324">
        <v>70000</v>
      </c>
      <c r="J73" s="325"/>
      <c r="K73" s="325"/>
      <c r="L73" s="317">
        <v>76454.444090999983</v>
      </c>
      <c r="M73" s="318"/>
      <c r="N73" s="318"/>
      <c r="O73" s="318"/>
      <c r="P73" s="392">
        <f t="shared" si="8"/>
        <v>76454.444090999983</v>
      </c>
      <c r="Q73" s="392">
        <f t="shared" si="1"/>
        <v>0</v>
      </c>
      <c r="R73" s="392">
        <f t="shared" si="2"/>
        <v>0</v>
      </c>
      <c r="S73" s="532">
        <v>66999.63</v>
      </c>
      <c r="T73" s="374"/>
      <c r="U73" s="520">
        <f t="shared" si="9"/>
        <v>-3000.3699999999953</v>
      </c>
      <c r="V73" s="520">
        <f t="shared" si="10"/>
        <v>70000</v>
      </c>
      <c r="W73" s="520">
        <f t="shared" si="11"/>
        <v>80663.719964874079</v>
      </c>
      <c r="X73" s="520">
        <f t="shared" si="12"/>
        <v>-10663.719964874079</v>
      </c>
      <c r="Y73" s="525">
        <f t="shared" si="13"/>
        <v>-198118.54218809615</v>
      </c>
    </row>
    <row r="74" spans="3:38" x14ac:dyDescent="0.2">
      <c r="C74" s="387">
        <f t="shared" si="3"/>
        <v>42851</v>
      </c>
      <c r="D74" s="388">
        <f t="shared" si="4"/>
        <v>155314.35733333332</v>
      </c>
      <c r="E74" s="392">
        <f t="shared" si="5"/>
        <v>76127.946533999988</v>
      </c>
      <c r="F74" s="428">
        <f t="shared" si="6"/>
        <v>0.94985103999999998</v>
      </c>
      <c r="G74" s="390">
        <f t="shared" si="7"/>
        <v>72.310199999999995</v>
      </c>
      <c r="H74" s="391">
        <f t="shared" si="0"/>
        <v>231515.56391837331</v>
      </c>
      <c r="I74" s="324">
        <v>70000</v>
      </c>
      <c r="J74" s="325"/>
      <c r="K74" s="325"/>
      <c r="L74" s="319">
        <v>76127.946533999988</v>
      </c>
      <c r="M74" s="320"/>
      <c r="N74" s="320"/>
      <c r="O74" s="320"/>
      <c r="P74" s="392">
        <f t="shared" si="8"/>
        <v>76127.946533999988</v>
      </c>
      <c r="Q74" s="392">
        <f t="shared" si="1"/>
        <v>0</v>
      </c>
      <c r="R74" s="392">
        <f t="shared" si="2"/>
        <v>0</v>
      </c>
      <c r="S74" s="532">
        <v>66999.63</v>
      </c>
      <c r="T74" s="374"/>
      <c r="U74" s="520">
        <f t="shared" si="9"/>
        <v>-3000.3699999999953</v>
      </c>
      <c r="V74" s="520">
        <f t="shared" si="10"/>
        <v>70000</v>
      </c>
      <c r="W74" s="520">
        <f t="shared" si="11"/>
        <v>80319.246758375884</v>
      </c>
      <c r="X74" s="520">
        <f t="shared" si="12"/>
        <v>-10319.246758375884</v>
      </c>
      <c r="Y74" s="525">
        <f t="shared" si="13"/>
        <v>-208437.78894647205</v>
      </c>
    </row>
    <row r="75" spans="3:38" x14ac:dyDescent="0.2">
      <c r="C75" s="387">
        <f t="shared" si="3"/>
        <v>42852</v>
      </c>
      <c r="D75" s="388">
        <f t="shared" si="4"/>
        <v>155314.35733333332</v>
      </c>
      <c r="E75" s="392">
        <f t="shared" si="5"/>
        <v>76514.730712000004</v>
      </c>
      <c r="F75" s="428">
        <f t="shared" si="6"/>
        <v>0.94985103999999998</v>
      </c>
      <c r="G75" s="390">
        <f t="shared" si="7"/>
        <v>72.677599999999998</v>
      </c>
      <c r="H75" s="391">
        <f t="shared" si="0"/>
        <v>231902.71549637333</v>
      </c>
      <c r="I75" s="324">
        <v>70000</v>
      </c>
      <c r="J75" s="325"/>
      <c r="K75" s="325"/>
      <c r="L75" s="317">
        <v>76514.730712000004</v>
      </c>
      <c r="M75" s="318"/>
      <c r="N75" s="318"/>
      <c r="O75" s="318"/>
      <c r="P75" s="392">
        <f t="shared" si="8"/>
        <v>76514.730712000004</v>
      </c>
      <c r="Q75" s="392">
        <f t="shared" si="1"/>
        <v>0</v>
      </c>
      <c r="R75" s="392">
        <f t="shared" si="2"/>
        <v>0</v>
      </c>
      <c r="S75" s="532">
        <v>66999.63</v>
      </c>
      <c r="T75" s="374"/>
      <c r="U75" s="520">
        <f t="shared" si="9"/>
        <v>-3000.3699999999953</v>
      </c>
      <c r="V75" s="520">
        <f t="shared" si="10"/>
        <v>70000</v>
      </c>
      <c r="W75" s="520">
        <f t="shared" si="11"/>
        <v>80727.325726079871</v>
      </c>
      <c r="X75" s="520">
        <f t="shared" si="12"/>
        <v>-10727.325726079871</v>
      </c>
      <c r="Y75" s="525">
        <f t="shared" si="13"/>
        <v>-219165.11467255192</v>
      </c>
    </row>
    <row r="76" spans="3:38" x14ac:dyDescent="0.2">
      <c r="C76" s="387">
        <f t="shared" si="3"/>
        <v>42853</v>
      </c>
      <c r="D76" s="388">
        <f t="shared" si="4"/>
        <v>155314.35733333332</v>
      </c>
      <c r="E76" s="392">
        <f t="shared" si="5"/>
        <v>72365.109375</v>
      </c>
      <c r="F76" s="428">
        <f t="shared" si="6"/>
        <v>0.94985103999999998</v>
      </c>
      <c r="G76" s="390">
        <f t="shared" si="7"/>
        <v>68.736099999999993</v>
      </c>
      <c r="H76" s="391">
        <f t="shared" si="0"/>
        <v>227749.15265937333</v>
      </c>
      <c r="I76" s="324">
        <v>74999</v>
      </c>
      <c r="J76" s="325"/>
      <c r="K76" s="325"/>
      <c r="L76" s="319">
        <v>72365.109375</v>
      </c>
      <c r="M76" s="320"/>
      <c r="N76" s="320"/>
      <c r="O76" s="320"/>
      <c r="P76" s="392">
        <f t="shared" si="8"/>
        <v>72365.109375</v>
      </c>
      <c r="Q76" s="392">
        <f t="shared" si="1"/>
        <v>0</v>
      </c>
      <c r="R76" s="392">
        <f t="shared" si="2"/>
        <v>0</v>
      </c>
      <c r="S76" s="532">
        <v>72999.73000000001</v>
      </c>
      <c r="T76" s="374"/>
      <c r="U76" s="520">
        <f t="shared" si="9"/>
        <v>-1999.2699999999895</v>
      </c>
      <c r="V76" s="520">
        <f t="shared" si="10"/>
        <v>74999</v>
      </c>
      <c r="W76" s="520">
        <f t="shared" si="11"/>
        <v>76349.242836749996</v>
      </c>
      <c r="X76" s="520">
        <f t="shared" si="12"/>
        <v>-1350.2428367499961</v>
      </c>
      <c r="Y76" s="525">
        <f t="shared" si="13"/>
        <v>-220515.35750930192</v>
      </c>
    </row>
    <row r="77" spans="3:38" x14ac:dyDescent="0.2">
      <c r="C77" s="387">
        <f t="shared" si="3"/>
        <v>42854</v>
      </c>
      <c r="D77" s="388">
        <f t="shared" si="4"/>
        <v>155314.35733333332</v>
      </c>
      <c r="E77" s="392">
        <f t="shared" si="5"/>
        <v>71740.0625</v>
      </c>
      <c r="F77" s="428">
        <f t="shared" si="6"/>
        <v>0.94985103999999998</v>
      </c>
      <c r="G77" s="390">
        <f t="shared" si="7"/>
        <v>68.142399999999995</v>
      </c>
      <c r="H77" s="391">
        <f t="shared" si="0"/>
        <v>227123.51208437333</v>
      </c>
      <c r="I77" s="324">
        <v>74999</v>
      </c>
      <c r="J77" s="325"/>
      <c r="K77" s="325"/>
      <c r="L77" s="317">
        <v>71740.0625</v>
      </c>
      <c r="M77" s="318"/>
      <c r="N77" s="318"/>
      <c r="O77" s="318"/>
      <c r="P77" s="392">
        <f t="shared" si="8"/>
        <v>71740.0625</v>
      </c>
      <c r="Q77" s="392">
        <f t="shared" si="1"/>
        <v>0</v>
      </c>
      <c r="R77" s="392">
        <f t="shared" si="2"/>
        <v>0</v>
      </c>
      <c r="S77" s="532">
        <v>72999.73000000001</v>
      </c>
      <c r="T77" s="374"/>
      <c r="U77" s="520">
        <f t="shared" si="9"/>
        <v>-1999.2699999999895</v>
      </c>
      <c r="V77" s="520">
        <f t="shared" si="10"/>
        <v>74999</v>
      </c>
      <c r="W77" s="520">
        <f t="shared" si="11"/>
        <v>75689.783381000001</v>
      </c>
      <c r="X77" s="520">
        <f t="shared" si="12"/>
        <v>-690.7833810000011</v>
      </c>
      <c r="Y77" s="525">
        <f t="shared" si="13"/>
        <v>-221206.1408903019</v>
      </c>
    </row>
    <row r="78" spans="3:38" x14ac:dyDescent="0.2">
      <c r="C78" s="387">
        <f t="shared" si="3"/>
        <v>42855</v>
      </c>
      <c r="D78" s="388">
        <f t="shared" si="4"/>
        <v>155314.35733333332</v>
      </c>
      <c r="E78" s="392">
        <f t="shared" si="5"/>
        <v>71665.523438000004</v>
      </c>
      <c r="F78" s="428">
        <f t="shared" si="6"/>
        <v>0.94985103999999998</v>
      </c>
      <c r="G78" s="390">
        <f t="shared" si="7"/>
        <v>68.071600000000004</v>
      </c>
      <c r="H78" s="391">
        <f t="shared" si="0"/>
        <v>227048.90222237332</v>
      </c>
      <c r="I78" s="324">
        <v>74999</v>
      </c>
      <c r="J78" s="325"/>
      <c r="K78" s="325"/>
      <c r="L78" s="319">
        <v>71665.523438000004</v>
      </c>
      <c r="M78" s="320"/>
      <c r="N78" s="320"/>
      <c r="O78" s="320"/>
      <c r="P78" s="392">
        <f t="shared" si="8"/>
        <v>71665.523438000004</v>
      </c>
      <c r="Q78" s="392">
        <f t="shared" si="1"/>
        <v>0</v>
      </c>
      <c r="R78" s="392">
        <f t="shared" si="2"/>
        <v>0</v>
      </c>
      <c r="S78" s="532">
        <v>72999.73000000001</v>
      </c>
      <c r="T78" s="374"/>
      <c r="U78" s="520">
        <f t="shared" si="9"/>
        <v>-1999.2699999999895</v>
      </c>
      <c r="V78" s="520">
        <f t="shared" si="10"/>
        <v>74999</v>
      </c>
      <c r="W78" s="520">
        <f t="shared" si="11"/>
        <v>75611.140496402528</v>
      </c>
      <c r="X78" s="520">
        <f t="shared" si="12"/>
        <v>-612.14049640252779</v>
      </c>
      <c r="Y78" s="525">
        <f t="shared" si="13"/>
        <v>-221818.28138670442</v>
      </c>
    </row>
    <row r="79" spans="3:38" ht="15" thickBot="1" x14ac:dyDescent="0.25">
      <c r="C79" s="393"/>
      <c r="D79" s="394"/>
      <c r="E79" s="395"/>
      <c r="F79" s="429"/>
      <c r="G79" s="396"/>
      <c r="H79" s="397"/>
      <c r="I79" s="326"/>
      <c r="J79" s="327"/>
      <c r="K79" s="327"/>
      <c r="L79" s="321"/>
      <c r="M79" s="322"/>
      <c r="N79" s="322"/>
      <c r="O79" s="322"/>
      <c r="P79" s="395"/>
      <c r="Q79" s="395"/>
      <c r="R79" s="395"/>
      <c r="S79" s="560"/>
      <c r="T79" s="376"/>
      <c r="U79" s="528"/>
      <c r="V79" s="528"/>
      <c r="W79" s="528"/>
      <c r="X79" s="528"/>
      <c r="Y79" s="529"/>
    </row>
    <row r="80" spans="3:38" ht="15" thickBot="1" x14ac:dyDescent="0.25">
      <c r="C80" s="398"/>
      <c r="D80" s="399">
        <f>SUM(D49:D79)</f>
        <v>4659430.7199999979</v>
      </c>
      <c r="E80" s="400">
        <f>SUM(E49:E79)</f>
        <v>2226247.025169</v>
      </c>
      <c r="F80" s="400"/>
      <c r="G80" s="401">
        <f>SUM(G49:G79)</f>
        <v>2114.6032</v>
      </c>
      <c r="H80" s="399">
        <f>SUM(H49:H79)</f>
        <v>6887820.843900199</v>
      </c>
      <c r="I80" s="432">
        <f>SUM(I49:I79)</f>
        <v>2126997</v>
      </c>
      <c r="J80" s="432">
        <f t="shared" ref="J80:R80" si="14">SUM(J49:J79)</f>
        <v>0</v>
      </c>
      <c r="K80" s="432">
        <f t="shared" si="14"/>
        <v>0</v>
      </c>
      <c r="L80" s="432">
        <f t="shared" si="14"/>
        <v>2226247.025169</v>
      </c>
      <c r="M80" s="432">
        <f t="shared" si="14"/>
        <v>0</v>
      </c>
      <c r="N80" s="432">
        <f t="shared" si="14"/>
        <v>0</v>
      </c>
      <c r="O80" s="432">
        <f t="shared" si="14"/>
        <v>0</v>
      </c>
      <c r="P80" s="432">
        <f t="shared" si="14"/>
        <v>2226247.025169</v>
      </c>
      <c r="Q80" s="432">
        <f t="shared" si="14"/>
        <v>0</v>
      </c>
      <c r="R80" s="432">
        <f t="shared" si="14"/>
        <v>0</v>
      </c>
      <c r="S80" s="361">
        <f>SUM(S49:S79)</f>
        <v>1949997.6999999997</v>
      </c>
      <c r="U80" s="530"/>
      <c r="V80" s="328">
        <f>SUM(V49:V79)</f>
        <v>2126997</v>
      </c>
      <c r="W80" s="328">
        <f>SUM(W49:W79)</f>
        <v>2348815.2813867042</v>
      </c>
      <c r="X80" s="328">
        <f>SUM(X49:X79)</f>
        <v>-221818.28138670442</v>
      </c>
      <c r="Y80" s="323">
        <f>Y79</f>
        <v>0</v>
      </c>
      <c r="AL80" s="361">
        <f>Y79</f>
        <v>0</v>
      </c>
    </row>
    <row r="81" spans="2:14" ht="15" customHeight="1" x14ac:dyDescent="0.2">
      <c r="B81"/>
      <c r="C81"/>
      <c r="D81"/>
      <c r="E81"/>
      <c r="F81"/>
      <c r="G81"/>
      <c r="H81"/>
      <c r="I81"/>
      <c r="J81"/>
      <c r="K81"/>
      <c r="L81"/>
      <c r="N81" s="2"/>
    </row>
  </sheetData>
  <mergeCells count="12">
    <mergeCell ref="C10:D10"/>
    <mergeCell ref="C11:D11"/>
    <mergeCell ref="C3:M4"/>
    <mergeCell ref="C5:M5"/>
    <mergeCell ref="C6:M6"/>
    <mergeCell ref="G7:H7"/>
    <mergeCell ref="C9:D9"/>
    <mergeCell ref="D23:E23"/>
    <mergeCell ref="D24:E24"/>
    <mergeCell ref="C28:F28"/>
    <mergeCell ref="C39:F39"/>
    <mergeCell ref="S47:Y47"/>
  </mergeCells>
  <conditionalFormatting sqref="L49:O79">
    <cfRule type="cellIs" dxfId="122" priority="1" stopIfTrue="1" operator="equal">
      <formula>0</formula>
    </cfRule>
  </conditionalFormatting>
  <printOptions horizontalCentered="1"/>
  <pageMargins left="0" right="0.70866141732283472" top="0.15748031496062992" bottom="0.35433070866141736" header="0.31496062992125984" footer="0.31496062992125984"/>
  <pageSetup scale="80" orientation="landscape" r:id="rId1"/>
  <ignoredErrors>
    <ignoredError sqref="M33" formula="1"/>
  </ignoredErrors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L81"/>
  <sheetViews>
    <sheetView workbookViewId="0"/>
  </sheetViews>
  <sheetFormatPr baseColWidth="10" defaultColWidth="11" defaultRowHeight="14.25" x14ac:dyDescent="0.2"/>
  <cols>
    <col min="1" max="1" width="11" style="2"/>
    <col min="2" max="2" width="3.875" style="2" bestFit="1" customWidth="1"/>
    <col min="3" max="3" width="16.125" style="2" customWidth="1"/>
    <col min="4" max="4" width="12.375" style="2" bestFit="1" customWidth="1"/>
    <col min="5" max="5" width="10.875" style="2" bestFit="1" customWidth="1"/>
    <col min="6" max="6" width="17.125" style="2" bestFit="1" customWidth="1"/>
    <col min="7" max="7" width="13.125" style="2" bestFit="1" customWidth="1"/>
    <col min="8" max="8" width="12.125" style="2" bestFit="1" customWidth="1"/>
    <col min="9" max="9" width="11.125" style="2" bestFit="1" customWidth="1"/>
    <col min="10" max="10" width="11.875" style="2" bestFit="1" customWidth="1"/>
    <col min="11" max="11" width="11.625" style="2" bestFit="1" customWidth="1"/>
    <col min="12" max="12" width="12.125" style="2" customWidth="1"/>
    <col min="13" max="13" width="12" style="2" bestFit="1" customWidth="1"/>
    <col min="14" max="14" width="9" style="1" customWidth="1"/>
    <col min="15" max="15" width="13.375" style="2" bestFit="1" customWidth="1"/>
    <col min="16" max="16" width="11" style="2"/>
    <col min="17" max="17" width="12.5" style="2" bestFit="1" customWidth="1"/>
    <col min="18" max="25" width="11" style="2"/>
    <col min="26" max="32" width="10.875" customWidth="1"/>
    <col min="33" max="16384" width="11" style="2"/>
  </cols>
  <sheetData>
    <row r="2" spans="2:25" x14ac:dyDescent="0.2"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2:25" ht="15" customHeight="1" x14ac:dyDescent="0.2">
      <c r="B3" s="1"/>
      <c r="C3" s="2254" t="s">
        <v>0</v>
      </c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</row>
    <row r="4" spans="2:25" ht="15" customHeight="1" x14ac:dyDescent="0.2"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</row>
    <row r="5" spans="2:25" x14ac:dyDescent="0.2">
      <c r="B5" s="1"/>
      <c r="C5" s="2257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</row>
    <row r="6" spans="2:25" ht="30.95" customHeight="1" x14ac:dyDescent="0.2">
      <c r="B6" s="1"/>
      <c r="C6" s="2254" t="s">
        <v>217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</row>
    <row r="7" spans="2:25" x14ac:dyDescent="0.2">
      <c r="B7" s="1"/>
      <c r="C7" s="586"/>
      <c r="D7" s="586"/>
      <c r="E7" s="586"/>
      <c r="F7" s="586"/>
      <c r="G7" s="2271">
        <v>42856</v>
      </c>
      <c r="H7" s="2257"/>
      <c r="I7" s="586"/>
      <c r="J7" s="586"/>
      <c r="K7" s="586"/>
      <c r="L7" s="586"/>
      <c r="M7" s="586"/>
      <c r="N7" s="18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2:25" x14ac:dyDescent="0.2">
      <c r="B8" s="1"/>
      <c r="C8" s="586"/>
      <c r="D8" s="586"/>
      <c r="E8" s="586"/>
      <c r="F8" s="586"/>
      <c r="G8" s="586"/>
      <c r="H8" s="586"/>
      <c r="I8" s="586"/>
      <c r="J8" s="586"/>
      <c r="K8" s="586"/>
      <c r="L8" s="586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2:25" ht="25.5" x14ac:dyDescent="0.2">
      <c r="B9" s="1"/>
      <c r="C9" s="2272" t="s">
        <v>6</v>
      </c>
      <c r="D9" s="2272"/>
      <c r="E9" s="587" t="s">
        <v>94</v>
      </c>
      <c r="F9" s="587" t="s">
        <v>126</v>
      </c>
      <c r="G9" s="410" t="s">
        <v>133</v>
      </c>
      <c r="H9" s="587" t="s">
        <v>127</v>
      </c>
      <c r="I9" s="587" t="s">
        <v>128</v>
      </c>
      <c r="J9" s="586"/>
      <c r="K9" s="586"/>
      <c r="L9" s="586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2:25" x14ac:dyDescent="0.2">
      <c r="B10" s="1"/>
      <c r="C10" s="2270" t="s">
        <v>131</v>
      </c>
      <c r="D10" s="2270"/>
      <c r="E10" s="433">
        <f>IF(C15=0,D15,C15)</f>
        <v>4659430.72</v>
      </c>
      <c r="F10" s="407">
        <f>E10*0.16</f>
        <v>745508.91519999993</v>
      </c>
      <c r="G10" s="407">
        <f>E10+F10</f>
        <v>5404939.6351999994</v>
      </c>
      <c r="H10" s="511" t="s">
        <v>223</v>
      </c>
      <c r="I10" s="543">
        <v>18.803100000000001</v>
      </c>
      <c r="J10" s="586"/>
      <c r="K10" s="586"/>
      <c r="L10" s="586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2:25" x14ac:dyDescent="0.2">
      <c r="B11" s="1"/>
      <c r="C11" s="2270" t="s">
        <v>132</v>
      </c>
      <c r="D11" s="2270"/>
      <c r="E11" s="433">
        <f>IF(C16=0,D16,C16)</f>
        <v>2180.86</v>
      </c>
      <c r="F11" s="407">
        <f>E11*0.16</f>
        <v>348.93760000000003</v>
      </c>
      <c r="G11" s="407">
        <f>E11+F11</f>
        <v>2529.7976000000003</v>
      </c>
      <c r="H11" s="511" t="s">
        <v>223</v>
      </c>
      <c r="I11" s="543">
        <f>M34/L34</f>
        <v>18.803100000000001</v>
      </c>
      <c r="J11" s="586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2:25" x14ac:dyDescent="0.2">
      <c r="B12" s="1"/>
      <c r="C12" s="586"/>
      <c r="D12" s="586"/>
      <c r="E12" s="586"/>
      <c r="F12" s="586"/>
      <c r="G12" s="586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2:25" ht="15" thickBot="1" x14ac:dyDescent="0.25">
      <c r="B13" s="1"/>
      <c r="C13" s="586"/>
      <c r="D13" s="586"/>
      <c r="E13" s="586"/>
      <c r="F13" s="586"/>
      <c r="G13" s="586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2:25" x14ac:dyDescent="0.2">
      <c r="B14" s="1"/>
      <c r="C14" s="440" t="s">
        <v>155</v>
      </c>
      <c r="D14" s="441" t="s">
        <v>156</v>
      </c>
      <c r="E14" s="442" t="s">
        <v>112</v>
      </c>
      <c r="F14" s="586"/>
      <c r="G14" s="586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2:25" x14ac:dyDescent="0.2">
      <c r="B15" s="1"/>
      <c r="C15" s="443">
        <v>4659430.72</v>
      </c>
      <c r="D15" s="444">
        <f>D80</f>
        <v>4659430.72</v>
      </c>
      <c r="E15" s="445">
        <f>C15-D15</f>
        <v>0</v>
      </c>
      <c r="F15" s="586"/>
      <c r="G15" s="586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2:25" ht="15" thickBot="1" x14ac:dyDescent="0.25">
      <c r="B16" s="1"/>
      <c r="C16" s="446">
        <v>2180.86</v>
      </c>
      <c r="D16" s="447">
        <f>ROUND(G80,2)</f>
        <v>2180.86</v>
      </c>
      <c r="E16" s="448">
        <f>C16-D16</f>
        <v>0</v>
      </c>
      <c r="F16" s="586"/>
      <c r="G16" s="586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2:25" x14ac:dyDescent="0.2">
      <c r="B17" s="1"/>
      <c r="C17" s="586"/>
      <c r="D17" s="586"/>
      <c r="E17" s="586"/>
      <c r="F17" s="586"/>
      <c r="G17" s="586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2:25" x14ac:dyDescent="0.2">
      <c r="B18" s="1"/>
      <c r="C18" s="586"/>
      <c r="D18" s="586"/>
      <c r="E18" s="586"/>
      <c r="F18" s="586"/>
      <c r="G18" s="586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2:25" x14ac:dyDescent="0.2">
      <c r="B19" s="1"/>
      <c r="C19" s="586"/>
      <c r="D19" s="586"/>
      <c r="E19" s="586"/>
      <c r="F19" s="586"/>
      <c r="G19" s="586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2:25" x14ac:dyDescent="0.2">
      <c r="B20" s="1"/>
      <c r="C20" s="586"/>
      <c r="D20" s="586"/>
      <c r="E20" s="586"/>
      <c r="F20" s="586"/>
      <c r="G20" s="586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2:25" x14ac:dyDescent="0.2">
      <c r="B21" s="1"/>
      <c r="C21" s="586"/>
      <c r="D21" s="586"/>
      <c r="E21" s="586"/>
      <c r="F21" s="586"/>
      <c r="G21" s="586"/>
      <c r="H21" s="1"/>
      <c r="I21" s="1"/>
      <c r="J21" s="1"/>
      <c r="K21" s="1"/>
      <c r="L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2:25" ht="15" thickBot="1" x14ac:dyDescent="0.25">
      <c r="B22" s="1"/>
      <c r="C22" s="419" t="s">
        <v>137</v>
      </c>
      <c r="D22" s="586" t="s">
        <v>138</v>
      </c>
      <c r="E22" s="586"/>
      <c r="F22" s="586" t="s">
        <v>139</v>
      </c>
      <c r="G22" s="586" t="s">
        <v>3</v>
      </c>
      <c r="H22" s="586" t="s">
        <v>143</v>
      </c>
      <c r="I22" s="586" t="s">
        <v>142</v>
      </c>
      <c r="J22" s="586" t="s">
        <v>141</v>
      </c>
      <c r="K22" s="586" t="s">
        <v>140</v>
      </c>
      <c r="L22" s="586" t="s">
        <v>144</v>
      </c>
      <c r="M22" s="586" t="s">
        <v>146</v>
      </c>
      <c r="N22" s="586"/>
      <c r="O22" s="586"/>
      <c r="P22" s="586"/>
      <c r="Q22" s="1"/>
      <c r="R22" s="1"/>
      <c r="S22" s="1"/>
      <c r="T22" s="1"/>
      <c r="U22" s="1"/>
      <c r="V22" s="1"/>
      <c r="W22" s="1"/>
      <c r="X22" s="1"/>
      <c r="Y22" s="1"/>
    </row>
    <row r="23" spans="2:25" ht="36.75" customHeight="1" x14ac:dyDescent="0.2">
      <c r="B23" s="1"/>
      <c r="C23" s="402" t="s">
        <v>134</v>
      </c>
      <c r="D23" s="2261" t="s">
        <v>135</v>
      </c>
      <c r="E23" s="2262"/>
      <c r="F23" s="588" t="s">
        <v>136</v>
      </c>
      <c r="G23" s="461" t="s">
        <v>153</v>
      </c>
      <c r="H23" s="420" t="s">
        <v>129</v>
      </c>
      <c r="I23" s="403" t="s">
        <v>130</v>
      </c>
      <c r="J23" s="422"/>
      <c r="K23" s="422"/>
      <c r="L23" s="422"/>
      <c r="M23" s="404" t="s">
        <v>158</v>
      </c>
      <c r="N23" s="586"/>
      <c r="O23" s="586"/>
      <c r="P23" s="586"/>
      <c r="Q23" s="586"/>
      <c r="R23" s="586"/>
      <c r="S23" s="586"/>
      <c r="T23" s="586"/>
      <c r="U23" s="1"/>
      <c r="V23" s="1"/>
      <c r="W23" s="1"/>
      <c r="X23" s="1"/>
      <c r="Y23" s="1"/>
    </row>
    <row r="24" spans="2:25" x14ac:dyDescent="0.2">
      <c r="B24" s="1"/>
      <c r="C24" s="405">
        <v>850</v>
      </c>
      <c r="D24" s="2263">
        <v>850</v>
      </c>
      <c r="E24" s="2264"/>
      <c r="F24" s="418">
        <v>31482640</v>
      </c>
      <c r="G24" s="462">
        <v>31</v>
      </c>
      <c r="H24" s="460">
        <f>VLOOKUP(C47,Tarifas!D4:H303,3)</f>
        <v>0.14799999999999999</v>
      </c>
      <c r="I24" s="424">
        <f>VLOOKUP(C47,Tarifas!D4:H303,5)</f>
        <v>1E-3</v>
      </c>
      <c r="J24" s="421">
        <v>193</v>
      </c>
      <c r="K24" s="421">
        <v>201.4</v>
      </c>
      <c r="L24" s="421">
        <f>I11</f>
        <v>18.803100000000001</v>
      </c>
      <c r="M24" s="431">
        <f>E80</f>
        <v>2275778.5709999991</v>
      </c>
      <c r="N24" s="430" t="s">
        <v>62</v>
      </c>
      <c r="O24" s="586"/>
      <c r="P24" s="586"/>
      <c r="Q24" s="586"/>
      <c r="R24" s="586"/>
      <c r="S24" s="586"/>
      <c r="T24" s="586"/>
      <c r="U24" s="1"/>
      <c r="V24" s="1"/>
      <c r="W24" s="1"/>
      <c r="X24" s="1"/>
      <c r="Y24" s="1"/>
    </row>
    <row r="25" spans="2:25" x14ac:dyDescent="0.2">
      <c r="B25" s="1"/>
      <c r="C25" s="586"/>
      <c r="D25" s="586"/>
      <c r="E25" s="586"/>
      <c r="F25" s="586"/>
      <c r="G25" s="586"/>
      <c r="H25" s="586"/>
      <c r="I25" s="586"/>
      <c r="J25" s="586"/>
      <c r="K25" s="586"/>
      <c r="L25" s="586"/>
      <c r="M25" s="586"/>
      <c r="N25" s="586"/>
      <c r="O25" s="586"/>
      <c r="P25" s="586"/>
      <c r="Q25" s="586"/>
      <c r="R25" s="586"/>
      <c r="S25" s="1"/>
      <c r="T25" s="1"/>
      <c r="U25" s="1"/>
      <c r="V25" s="1"/>
      <c r="W25" s="1"/>
      <c r="X25" s="1"/>
      <c r="Y25" s="1"/>
    </row>
    <row r="26" spans="2:25" x14ac:dyDescent="0.2">
      <c r="B26" s="1"/>
      <c r="C26" s="586"/>
      <c r="D26" s="586"/>
      <c r="E26" s="586"/>
      <c r="F26" s="586"/>
      <c r="G26" s="586"/>
      <c r="H26" s="586"/>
      <c r="I26" s="586"/>
      <c r="J26" s="586"/>
      <c r="K26" s="586"/>
      <c r="L26" s="586"/>
      <c r="M26" s="586"/>
      <c r="N26" s="586"/>
      <c r="O26" s="586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2:25" x14ac:dyDescent="0.2">
      <c r="B27" s="1"/>
      <c r="C27" s="586"/>
      <c r="D27" s="586"/>
      <c r="E27" s="586"/>
      <c r="F27" s="586"/>
      <c r="G27" s="586"/>
      <c r="H27" s="586"/>
      <c r="I27" s="586"/>
      <c r="J27" s="586"/>
      <c r="K27" s="586"/>
      <c r="L27" s="586"/>
      <c r="M27" s="586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2:25" ht="15" thickBot="1" x14ac:dyDescent="0.25">
      <c r="B28" s="1"/>
      <c r="C28" s="2265" t="s">
        <v>86</v>
      </c>
      <c r="D28" s="2265"/>
      <c r="E28" s="2265"/>
      <c r="F28" s="2265"/>
      <c r="G28" s="589"/>
      <c r="H28" s="334"/>
      <c r="I28" s="334"/>
      <c r="J28" s="334"/>
      <c r="K28" s="589"/>
      <c r="L28" s="336"/>
      <c r="M28" s="336"/>
      <c r="O28" s="530" t="s">
        <v>212</v>
      </c>
      <c r="P28" s="674">
        <v>18.126999999999999</v>
      </c>
      <c r="Q28" s="530" t="s">
        <v>213</v>
      </c>
      <c r="R28" s="1"/>
      <c r="S28" s="1"/>
      <c r="T28" s="1"/>
      <c r="U28" s="1"/>
      <c r="V28" s="1"/>
      <c r="W28" s="1"/>
      <c r="X28" s="1"/>
      <c r="Y28" s="1"/>
    </row>
    <row r="29" spans="2:25" ht="22.5" x14ac:dyDescent="0.2">
      <c r="B29" s="1"/>
      <c r="C29" s="337" t="s">
        <v>87</v>
      </c>
      <c r="D29" s="584" t="s">
        <v>88</v>
      </c>
      <c r="E29" s="584" t="s">
        <v>89</v>
      </c>
      <c r="F29" s="584" t="s">
        <v>20</v>
      </c>
      <c r="G29" s="584" t="s">
        <v>160</v>
      </c>
      <c r="H29" s="584" t="s">
        <v>90</v>
      </c>
      <c r="I29" s="584" t="s">
        <v>91</v>
      </c>
      <c r="J29" s="584" t="s">
        <v>92</v>
      </c>
      <c r="K29" s="584" t="s">
        <v>93</v>
      </c>
      <c r="L29" s="584" t="s">
        <v>94</v>
      </c>
      <c r="M29" s="585" t="s">
        <v>95</v>
      </c>
      <c r="O29" s="590" t="s">
        <v>95</v>
      </c>
      <c r="P29" s="1"/>
      <c r="Q29" s="590" t="s">
        <v>95</v>
      </c>
      <c r="R29" s="1"/>
      <c r="S29" s="1"/>
      <c r="T29" s="1"/>
      <c r="U29" s="1"/>
      <c r="V29" s="1"/>
      <c r="W29" s="1"/>
      <c r="X29" s="1"/>
      <c r="Y29" s="1"/>
    </row>
    <row r="30" spans="2:25" x14ac:dyDescent="0.2">
      <c r="B30" s="1"/>
      <c r="C30" s="338"/>
      <c r="D30" s="339"/>
      <c r="E30" s="339" t="s">
        <v>96</v>
      </c>
      <c r="F30" s="340" t="s">
        <v>97</v>
      </c>
      <c r="G30" s="340">
        <v>2201</v>
      </c>
      <c r="H30" s="339">
        <v>20823</v>
      </c>
      <c r="I30" s="341"/>
      <c r="J30" s="339">
        <v>138.15</v>
      </c>
      <c r="K30" s="342">
        <v>0</v>
      </c>
      <c r="L30" s="343">
        <f>ROUND(K30*E$10,2)</f>
        <v>0</v>
      </c>
      <c r="M30" s="344">
        <f>L30*$I$10</f>
        <v>0</v>
      </c>
      <c r="O30" s="591">
        <v>0</v>
      </c>
      <c r="P30" s="1"/>
      <c r="Q30" s="591">
        <f>M30-O30</f>
        <v>0</v>
      </c>
      <c r="R30" s="1"/>
      <c r="S30" s="1"/>
      <c r="T30" s="1"/>
      <c r="U30" s="1"/>
      <c r="V30" s="1"/>
      <c r="W30" s="1"/>
      <c r="X30" s="1"/>
      <c r="Y30" s="1"/>
    </row>
    <row r="31" spans="2:25" x14ac:dyDescent="0.2">
      <c r="B31" s="1"/>
      <c r="C31" s="338"/>
      <c r="D31" s="339"/>
      <c r="E31" s="339" t="s">
        <v>98</v>
      </c>
      <c r="F31" s="340" t="s">
        <v>97</v>
      </c>
      <c r="G31" s="340">
        <v>2201</v>
      </c>
      <c r="H31" s="339">
        <v>20824</v>
      </c>
      <c r="I31" s="341"/>
      <c r="J31" s="339">
        <v>138.15</v>
      </c>
      <c r="K31" s="342">
        <v>0</v>
      </c>
      <c r="L31" s="343">
        <f>ROUND(K31*E$10,2)</f>
        <v>0</v>
      </c>
      <c r="M31" s="344">
        <f>L31*$I$10</f>
        <v>0</v>
      </c>
      <c r="O31" s="591">
        <v>0</v>
      </c>
      <c r="P31" s="1"/>
      <c r="Q31" s="591">
        <f>M31-O31</f>
        <v>0</v>
      </c>
      <c r="R31" s="1"/>
      <c r="S31" s="1"/>
      <c r="T31" s="1"/>
      <c r="U31" s="1"/>
      <c r="V31" s="1"/>
      <c r="W31" s="1"/>
      <c r="X31" s="1"/>
      <c r="Y31" s="1"/>
    </row>
    <row r="32" spans="2:25" x14ac:dyDescent="0.2">
      <c r="B32" s="1"/>
      <c r="C32" s="338"/>
      <c r="D32" s="339"/>
      <c r="E32" s="339" t="s">
        <v>99</v>
      </c>
      <c r="F32" s="340" t="s">
        <v>100</v>
      </c>
      <c r="G32" s="340">
        <v>2230</v>
      </c>
      <c r="H32" s="339">
        <v>22228</v>
      </c>
      <c r="I32" s="341"/>
      <c r="J32" s="339">
        <v>130.80000000000001</v>
      </c>
      <c r="K32" s="342">
        <v>0</v>
      </c>
      <c r="L32" s="343">
        <f>ROUND(K32*E$10,2)</f>
        <v>0</v>
      </c>
      <c r="M32" s="344">
        <f>L32*$I$10</f>
        <v>0</v>
      </c>
      <c r="O32" s="591">
        <f>N32*$I$10</f>
        <v>0</v>
      </c>
      <c r="P32" s="1"/>
      <c r="Q32" s="591">
        <f>M32-O32</f>
        <v>0</v>
      </c>
      <c r="R32" s="1"/>
      <c r="S32" s="1"/>
      <c r="T32" s="1"/>
      <c r="U32" s="1"/>
      <c r="V32" s="1"/>
      <c r="W32" s="1"/>
      <c r="X32" s="1"/>
      <c r="Y32" s="1"/>
    </row>
    <row r="33" spans="2:25" x14ac:dyDescent="0.2">
      <c r="B33" s="1"/>
      <c r="C33" s="338">
        <v>800762390</v>
      </c>
      <c r="D33" s="339">
        <v>5</v>
      </c>
      <c r="E33" s="354" t="s">
        <v>101</v>
      </c>
      <c r="F33" s="463" t="s">
        <v>23</v>
      </c>
      <c r="G33" s="463">
        <v>2044</v>
      </c>
      <c r="H33" s="354">
        <v>591000420</v>
      </c>
      <c r="I33" s="341">
        <v>80000</v>
      </c>
      <c r="J33" s="339"/>
      <c r="K33" s="342">
        <v>0.09</v>
      </c>
      <c r="L33" s="343">
        <f>ROUND(K33*E$10,2)</f>
        <v>419348.76</v>
      </c>
      <c r="M33" s="344">
        <f>L33*L24</f>
        <v>7885056.669156</v>
      </c>
      <c r="O33" s="591">
        <f>L33*P28</f>
        <v>7601534.9725199994</v>
      </c>
      <c r="P33" s="1"/>
      <c r="Q33" s="591">
        <f>M33-O33</f>
        <v>283521.69663600065</v>
      </c>
      <c r="R33" s="1"/>
      <c r="S33" s="1"/>
      <c r="T33" s="1"/>
      <c r="U33" s="1"/>
      <c r="V33" s="1"/>
      <c r="W33" s="1"/>
      <c r="X33" s="1"/>
      <c r="Y33" s="1"/>
    </row>
    <row r="34" spans="2:25" ht="15" thickBot="1" x14ac:dyDescent="0.25">
      <c r="B34" s="1"/>
      <c r="C34" s="345">
        <v>800642440</v>
      </c>
      <c r="D34" s="346">
        <v>6</v>
      </c>
      <c r="E34" s="347" t="s">
        <v>101</v>
      </c>
      <c r="F34" s="348" t="s">
        <v>159</v>
      </c>
      <c r="G34" s="348">
        <v>2277</v>
      </c>
      <c r="H34" s="347">
        <v>22770</v>
      </c>
      <c r="I34" s="349">
        <f>850000-I30-I31-I32-I33</f>
        <v>770000</v>
      </c>
      <c r="J34" s="346"/>
      <c r="K34" s="350">
        <v>0.91</v>
      </c>
      <c r="L34" s="351">
        <f>ROUND(K34*E$10,2)</f>
        <v>4240081.96</v>
      </c>
      <c r="M34" s="352">
        <f>L34*$I$10</f>
        <v>79726685.102076009</v>
      </c>
      <c r="O34" s="592">
        <f>L34*P28</f>
        <v>76859965.688919991</v>
      </c>
      <c r="P34" s="1"/>
      <c r="Q34" s="592">
        <f>M34-O34</f>
        <v>2866719.4131560177</v>
      </c>
      <c r="R34" s="1"/>
      <c r="S34" s="1"/>
      <c r="T34" s="1"/>
      <c r="U34" s="1"/>
      <c r="V34" s="1"/>
      <c r="W34" s="1"/>
      <c r="X34" s="1"/>
      <c r="Y34" s="1"/>
    </row>
    <row r="35" spans="2:25" x14ac:dyDescent="0.2">
      <c r="B35" s="1"/>
      <c r="C35" s="406">
        <v>3000623</v>
      </c>
      <c r="D35" s="353" t="s">
        <v>102</v>
      </c>
      <c r="E35" s="353"/>
      <c r="F35" s="353"/>
      <c r="G35" s="353"/>
      <c r="H35" s="354"/>
      <c r="I35" s="355">
        <f>SUM(I30:I34)</f>
        <v>850000</v>
      </c>
      <c r="J35" s="353"/>
      <c r="K35" s="356">
        <f>SUM(K30:K34)</f>
        <v>1</v>
      </c>
      <c r="L35" s="357">
        <f>SUM(L30:L34)</f>
        <v>4659430.72</v>
      </c>
      <c r="M35" s="357">
        <f>SUM(M30:M34)</f>
        <v>87611741.771232009</v>
      </c>
      <c r="O35" s="593">
        <f>SUM(O30:O34)</f>
        <v>84461500.661439985</v>
      </c>
      <c r="P35" s="1"/>
      <c r="Q35" s="593">
        <f>SUM(Q30:Q33)</f>
        <v>283521.69663600065</v>
      </c>
      <c r="R35" s="1"/>
      <c r="S35" s="1"/>
      <c r="T35" s="1"/>
      <c r="U35" s="1"/>
      <c r="V35" s="1"/>
      <c r="W35" s="1"/>
      <c r="X35" s="1"/>
      <c r="Y35" s="1"/>
    </row>
    <row r="36" spans="2:25" x14ac:dyDescent="0.2">
      <c r="B36" s="1"/>
      <c r="C36" s="336"/>
      <c r="D36" s="336"/>
      <c r="E36" s="336"/>
      <c r="F36" s="358"/>
      <c r="G36" s="358"/>
      <c r="H36" s="336"/>
      <c r="I36" s="336"/>
      <c r="J36" s="336"/>
      <c r="K36" s="336"/>
      <c r="L36" s="359"/>
      <c r="M36" s="1"/>
      <c r="O36" s="594">
        <v>0</v>
      </c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2:25" x14ac:dyDescent="0.2">
      <c r="B37" s="1"/>
      <c r="C37" s="336"/>
      <c r="D37" s="336"/>
      <c r="E37" s="336"/>
      <c r="F37" s="358"/>
      <c r="G37" s="358"/>
      <c r="H37" s="336"/>
      <c r="I37" s="336"/>
      <c r="J37" s="336"/>
      <c r="K37" s="336"/>
      <c r="L37" s="359"/>
      <c r="M37" s="1"/>
      <c r="O37" s="594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2:25" x14ac:dyDescent="0.2">
      <c r="B38" s="1"/>
      <c r="C38" s="336"/>
      <c r="D38" s="336"/>
      <c r="E38" s="336"/>
      <c r="F38" s="358"/>
      <c r="G38" s="358"/>
      <c r="H38" s="336"/>
      <c r="I38" s="336"/>
      <c r="J38" s="336"/>
      <c r="K38" s="336"/>
      <c r="L38" s="359"/>
      <c r="M38" s="1"/>
      <c r="O38" s="594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2:25" ht="15" thickBot="1" x14ac:dyDescent="0.25">
      <c r="B39" s="1"/>
      <c r="C39" s="2266" t="s">
        <v>103</v>
      </c>
      <c r="D39" s="2266"/>
      <c r="E39" s="2266"/>
      <c r="F39" s="2266"/>
      <c r="G39" s="589"/>
      <c r="H39" s="334"/>
      <c r="I39" s="334"/>
      <c r="J39" s="334"/>
      <c r="K39" s="336"/>
      <c r="L39" s="336"/>
      <c r="M39" s="360"/>
      <c r="O39" s="595"/>
      <c r="P39" s="1"/>
      <c r="Q39" s="360"/>
      <c r="R39" s="1"/>
      <c r="S39" s="1"/>
      <c r="T39" s="1"/>
      <c r="U39" s="1"/>
      <c r="V39" s="1"/>
      <c r="W39" s="1"/>
      <c r="X39" s="1"/>
      <c r="Y39" s="1"/>
    </row>
    <row r="40" spans="2:25" ht="22.5" x14ac:dyDescent="0.2">
      <c r="B40" s="1"/>
      <c r="C40" s="337" t="s">
        <v>87</v>
      </c>
      <c r="D40" s="584" t="s">
        <v>88</v>
      </c>
      <c r="E40" s="584" t="s">
        <v>89</v>
      </c>
      <c r="F40" s="584" t="s">
        <v>20</v>
      </c>
      <c r="G40" s="584"/>
      <c r="H40" s="584" t="s">
        <v>90</v>
      </c>
      <c r="I40" s="584" t="s">
        <v>104</v>
      </c>
      <c r="J40" s="584" t="s">
        <v>93</v>
      </c>
      <c r="K40" s="584" t="s">
        <v>92</v>
      </c>
      <c r="L40" s="584" t="s">
        <v>94</v>
      </c>
      <c r="M40" s="585" t="s">
        <v>95</v>
      </c>
      <c r="O40" s="596" t="s">
        <v>95</v>
      </c>
      <c r="P40" s="1"/>
      <c r="Q40" s="590" t="s">
        <v>95</v>
      </c>
      <c r="R40" s="1"/>
      <c r="S40" s="1"/>
      <c r="T40" s="1"/>
      <c r="U40" s="1"/>
      <c r="V40" s="1"/>
      <c r="W40" s="1"/>
      <c r="X40" s="1"/>
      <c r="Y40" s="1"/>
    </row>
    <row r="41" spans="2:25" x14ac:dyDescent="0.2">
      <c r="B41" s="1"/>
      <c r="C41" s="338"/>
      <c r="D41" s="339"/>
      <c r="E41" s="339" t="s">
        <v>96</v>
      </c>
      <c r="F41" s="340" t="s">
        <v>97</v>
      </c>
      <c r="G41" s="340"/>
      <c r="H41" s="339">
        <v>20823</v>
      </c>
      <c r="I41" s="341">
        <f>M80</f>
        <v>0</v>
      </c>
      <c r="J41" s="342">
        <f>I41/I$45</f>
        <v>0</v>
      </c>
      <c r="K41" s="339">
        <v>138.15</v>
      </c>
      <c r="L41" s="343">
        <f>ROUND(J41*$E$11,2)</f>
        <v>0</v>
      </c>
      <c r="M41" s="344">
        <f>L41*L24</f>
        <v>0</v>
      </c>
      <c r="O41" s="591">
        <v>0</v>
      </c>
      <c r="P41" s="1"/>
      <c r="Q41" s="591">
        <f>M41-O41</f>
        <v>0</v>
      </c>
      <c r="R41" s="1"/>
      <c r="S41" s="1"/>
      <c r="T41" s="1"/>
      <c r="U41" s="1"/>
      <c r="V41" s="1"/>
      <c r="W41" s="1"/>
      <c r="X41" s="1"/>
      <c r="Y41" s="1"/>
    </row>
    <row r="42" spans="2:25" x14ac:dyDescent="0.2">
      <c r="B42" s="1"/>
      <c r="C42" s="338"/>
      <c r="D42" s="339"/>
      <c r="E42" s="339" t="s">
        <v>98</v>
      </c>
      <c r="F42" s="340" t="s">
        <v>97</v>
      </c>
      <c r="G42" s="340"/>
      <c r="H42" s="339">
        <v>20824</v>
      </c>
      <c r="I42" s="341">
        <f>N80</f>
        <v>0</v>
      </c>
      <c r="J42" s="342">
        <f>I42/I$45</f>
        <v>0</v>
      </c>
      <c r="K42" s="339">
        <v>138.15</v>
      </c>
      <c r="L42" s="343">
        <f>ROUND(J42*$E$11,2)</f>
        <v>0</v>
      </c>
      <c r="M42" s="344">
        <f>L42*L25</f>
        <v>0</v>
      </c>
      <c r="O42" s="591">
        <v>0</v>
      </c>
      <c r="P42" s="1"/>
      <c r="Q42" s="591">
        <f>M42-O42</f>
        <v>0</v>
      </c>
      <c r="R42" s="1"/>
      <c r="S42" s="1"/>
      <c r="T42" s="1"/>
      <c r="U42" s="1"/>
      <c r="V42" s="1"/>
      <c r="W42" s="1"/>
      <c r="X42" s="1"/>
      <c r="Y42" s="1"/>
    </row>
    <row r="43" spans="2:25" x14ac:dyDescent="0.2">
      <c r="B43" s="1"/>
      <c r="C43" s="338"/>
      <c r="D43" s="339"/>
      <c r="E43" s="339" t="s">
        <v>99</v>
      </c>
      <c r="F43" s="340" t="s">
        <v>100</v>
      </c>
      <c r="G43" s="340"/>
      <c r="H43" s="339">
        <v>22228</v>
      </c>
      <c r="I43" s="341">
        <f>O80</f>
        <v>0</v>
      </c>
      <c r="J43" s="342">
        <f>I43/I$45</f>
        <v>0</v>
      </c>
      <c r="K43" s="339">
        <v>130.80000000000001</v>
      </c>
      <c r="L43" s="343">
        <f>ROUND(J43*$E$11,2)</f>
        <v>0</v>
      </c>
      <c r="M43" s="344">
        <f>L43*L26</f>
        <v>0</v>
      </c>
      <c r="O43" s="591">
        <f>N43*$I$10</f>
        <v>0</v>
      </c>
      <c r="P43" s="1"/>
      <c r="Q43" s="591">
        <f>M43-O43</f>
        <v>0</v>
      </c>
      <c r="R43" s="1"/>
      <c r="S43" s="1"/>
      <c r="T43" s="1"/>
      <c r="U43" s="1"/>
      <c r="V43" s="1"/>
      <c r="W43" s="1"/>
      <c r="X43" s="1"/>
      <c r="Y43" s="1"/>
    </row>
    <row r="44" spans="2:25" ht="15" thickBot="1" x14ac:dyDescent="0.25">
      <c r="B44" s="1">
        <v>7256</v>
      </c>
      <c r="C44" s="345">
        <v>800762390</v>
      </c>
      <c r="D44" s="346">
        <v>6</v>
      </c>
      <c r="E44" s="347" t="s">
        <v>101</v>
      </c>
      <c r="F44" s="348" t="s">
        <v>23</v>
      </c>
      <c r="G44" s="348">
        <v>2044</v>
      </c>
      <c r="H44" s="347">
        <v>591000500</v>
      </c>
      <c r="I44" s="349">
        <f>L80</f>
        <v>2275778.5709999991</v>
      </c>
      <c r="J44" s="350">
        <f>I44/I$45</f>
        <v>1</v>
      </c>
      <c r="K44" s="346">
        <v>138.15</v>
      </c>
      <c r="L44" s="351">
        <f>ROUND(J44*$E$11,2)</f>
        <v>2180.86</v>
      </c>
      <c r="M44" s="352">
        <f>L44*L24</f>
        <v>41006.928666000007</v>
      </c>
      <c r="O44" s="592">
        <f>L44*P28</f>
        <v>39532.449220000002</v>
      </c>
      <c r="P44" s="1"/>
      <c r="Q44" s="592">
        <f>M44-O44</f>
        <v>1474.4794460000048</v>
      </c>
      <c r="R44" s="1"/>
      <c r="S44" s="1"/>
      <c r="T44" s="1"/>
      <c r="U44" s="1"/>
      <c r="V44" s="1"/>
      <c r="W44" s="1"/>
      <c r="X44" s="1"/>
      <c r="Y44" s="1"/>
    </row>
    <row r="45" spans="2:25" x14ac:dyDescent="0.2">
      <c r="B45" s="1"/>
      <c r="C45" s="353"/>
      <c r="D45" s="353"/>
      <c r="E45" s="353"/>
      <c r="F45" s="353"/>
      <c r="G45" s="353"/>
      <c r="H45" s="354"/>
      <c r="I45" s="449">
        <f>SUM(I41:I44)</f>
        <v>2275778.5709999991</v>
      </c>
      <c r="J45" s="355"/>
      <c r="K45" s="353"/>
      <c r="L45" s="357">
        <f>SUM(L41:L44)</f>
        <v>2180.86</v>
      </c>
      <c r="M45" s="357">
        <f>SUM(M41:M44)</f>
        <v>41006.928666000007</v>
      </c>
      <c r="O45" s="593">
        <f>SUM(O41:O44)</f>
        <v>39532.449220000002</v>
      </c>
      <c r="P45" s="1"/>
      <c r="Q45" s="593">
        <f>SUM(Q41:Q44)</f>
        <v>1474.4794460000048</v>
      </c>
      <c r="R45" s="1"/>
      <c r="S45" s="1"/>
      <c r="T45" s="1"/>
      <c r="U45" s="1"/>
      <c r="V45" s="1"/>
      <c r="W45" s="1"/>
      <c r="X45" s="1"/>
      <c r="Y45" s="1"/>
    </row>
    <row r="46" spans="2:25" customFormat="1" ht="15" thickBot="1" x14ac:dyDescent="0.25">
      <c r="M46" s="450"/>
      <c r="N46" s="450"/>
      <c r="O46" s="450"/>
      <c r="P46" s="450"/>
      <c r="Q46" s="450"/>
      <c r="R46" s="450"/>
      <c r="S46" s="450"/>
      <c r="T46" s="450"/>
      <c r="U46" s="450"/>
      <c r="V46" s="450"/>
      <c r="W46" s="450"/>
      <c r="X46" s="450"/>
      <c r="Y46" s="450"/>
    </row>
    <row r="47" spans="2:25" ht="15" thickBot="1" x14ac:dyDescent="0.25">
      <c r="B47" s="434" t="s">
        <v>3</v>
      </c>
      <c r="C47" s="333">
        <f>SUMIF(Tarifas!E4:E303,'Mayo - 2017'!C49,Tarifas!D4:D303)</f>
        <v>46</v>
      </c>
      <c r="D47" s="425" t="s">
        <v>147</v>
      </c>
      <c r="E47" s="426" t="s">
        <v>145</v>
      </c>
      <c r="F47" s="426" t="s">
        <v>150</v>
      </c>
      <c r="G47" s="426" t="s">
        <v>148</v>
      </c>
      <c r="H47" s="382"/>
      <c r="I47" s="331" t="s">
        <v>120</v>
      </c>
      <c r="J47" s="332"/>
      <c r="K47" s="332"/>
      <c r="L47" s="364" t="s">
        <v>105</v>
      </c>
      <c r="M47" s="365"/>
      <c r="N47" s="365"/>
      <c r="O47" s="365"/>
      <c r="P47" s="365"/>
      <c r="Q47" s="365"/>
      <c r="R47" s="366"/>
      <c r="S47" s="2267" t="s">
        <v>121</v>
      </c>
      <c r="T47" s="2268"/>
      <c r="U47" s="2268"/>
      <c r="V47" s="2268"/>
      <c r="W47" s="2268"/>
      <c r="X47" s="2268"/>
      <c r="Y47" s="2269"/>
    </row>
    <row r="48" spans="2:25" ht="33.75" x14ac:dyDescent="0.2">
      <c r="C48" s="383" t="s">
        <v>122</v>
      </c>
      <c r="D48" s="384" t="s">
        <v>125</v>
      </c>
      <c r="E48" s="385" t="s">
        <v>149</v>
      </c>
      <c r="F48" s="385" t="s">
        <v>151</v>
      </c>
      <c r="G48" s="385" t="s">
        <v>152</v>
      </c>
      <c r="H48" s="386" t="s">
        <v>123</v>
      </c>
      <c r="I48" s="329" t="s">
        <v>109</v>
      </c>
      <c r="J48" s="330" t="s">
        <v>25</v>
      </c>
      <c r="K48" s="330" t="s">
        <v>26</v>
      </c>
      <c r="L48" s="367" t="s">
        <v>115</v>
      </c>
      <c r="M48" s="362" t="s">
        <v>106</v>
      </c>
      <c r="N48" s="362" t="s">
        <v>107</v>
      </c>
      <c r="O48" s="362" t="s">
        <v>108</v>
      </c>
      <c r="P48" s="362" t="s">
        <v>115</v>
      </c>
      <c r="Q48" s="363" t="s">
        <v>116</v>
      </c>
      <c r="R48" s="368" t="s">
        <v>117</v>
      </c>
      <c r="S48" s="561" t="s">
        <v>207</v>
      </c>
      <c r="T48" s="370"/>
      <c r="U48" s="370" t="s">
        <v>112</v>
      </c>
      <c r="V48" s="371" t="s">
        <v>118</v>
      </c>
      <c r="W48" s="371" t="s">
        <v>119</v>
      </c>
      <c r="X48" s="371" t="s">
        <v>114</v>
      </c>
      <c r="Y48" s="372" t="s">
        <v>113</v>
      </c>
    </row>
    <row r="49" spans="3:25" x14ac:dyDescent="0.2">
      <c r="C49" s="387">
        <f>G7</f>
        <v>42856</v>
      </c>
      <c r="D49" s="388">
        <f>($F$24*$H$24)/$G$24</f>
        <v>150304.21677419354</v>
      </c>
      <c r="E49" s="389">
        <f>P49+Q49+R49</f>
        <v>71463.009999999995</v>
      </c>
      <c r="F49" s="427">
        <f>TRUNC(IFERROR(J$24/K$24,0),8)</f>
        <v>0.95829195</v>
      </c>
      <c r="G49" s="390">
        <f>ROUND(I$24*F49*E49,4)</f>
        <v>68.482399999999998</v>
      </c>
      <c r="H49" s="391">
        <f t="shared" ref="H49:H78" si="0">SUM(D49:G49)</f>
        <v>221836.66746614352</v>
      </c>
      <c r="I49" s="324">
        <v>74999</v>
      </c>
      <c r="J49" s="325"/>
      <c r="K49" s="325"/>
      <c r="L49" s="317">
        <v>71463.009999999995</v>
      </c>
      <c r="M49" s="318"/>
      <c r="N49" s="318"/>
      <c r="O49" s="318"/>
      <c r="P49" s="389">
        <f>L49</f>
        <v>71463.009999999995</v>
      </c>
      <c r="Q49" s="389">
        <f t="shared" ref="Q49:Q78" si="1">M49+N49</f>
        <v>0</v>
      </c>
      <c r="R49" s="389">
        <f t="shared" ref="R49:R78" si="2">O49</f>
        <v>0</v>
      </c>
      <c r="S49" s="532"/>
      <c r="T49" s="374"/>
      <c r="U49" s="520">
        <f>S49+T49-V49</f>
        <v>-74999</v>
      </c>
      <c r="V49" s="520">
        <f>I49+J49+K49</f>
        <v>74999</v>
      </c>
      <c r="W49" s="520">
        <f>(P49+Q49+R49)*1.055056</f>
        <v>75397.477478559988</v>
      </c>
      <c r="X49" s="520">
        <f>V49-W49</f>
        <v>-398.4774785599875</v>
      </c>
      <c r="Y49" s="525">
        <f>AL46+X49</f>
        <v>-398.4774785599875</v>
      </c>
    </row>
    <row r="50" spans="3:25" x14ac:dyDescent="0.2">
      <c r="C50" s="387">
        <f t="shared" ref="C50:C79" si="3">C49+1</f>
        <v>42857</v>
      </c>
      <c r="D50" s="388">
        <f t="shared" ref="D50:D79" si="4">($F$24*$H$24)/$G$24</f>
        <v>150304.21677419354</v>
      </c>
      <c r="E50" s="392">
        <f t="shared" ref="E50:E77" si="5">P50+Q50+R50</f>
        <v>72385.447</v>
      </c>
      <c r="F50" s="428">
        <f t="shared" ref="F50:F78" si="6">TRUNC(IFERROR(J$24/K$24,0),8)</f>
        <v>0.95829195</v>
      </c>
      <c r="G50" s="390">
        <f t="shared" ref="G50:G78" si="7">ROUND(I$24*F50*E50,4)</f>
        <v>69.366399999999999</v>
      </c>
      <c r="H50" s="391">
        <f t="shared" si="0"/>
        <v>222759.98846614355</v>
      </c>
      <c r="I50" s="324">
        <v>74999</v>
      </c>
      <c r="J50" s="325"/>
      <c r="K50" s="325"/>
      <c r="L50" s="319">
        <v>72385.447</v>
      </c>
      <c r="M50" s="320"/>
      <c r="N50" s="320"/>
      <c r="O50" s="320"/>
      <c r="P50" s="392">
        <f t="shared" ref="P50:P78" si="8">L50</f>
        <v>72385.447</v>
      </c>
      <c r="Q50" s="392">
        <f t="shared" si="1"/>
        <v>0</v>
      </c>
      <c r="R50" s="392">
        <f t="shared" si="2"/>
        <v>0</v>
      </c>
      <c r="S50" s="532"/>
      <c r="T50" s="374"/>
      <c r="U50" s="520">
        <f t="shared" ref="U50:U78" si="9">S50+T50-V50</f>
        <v>-74999</v>
      </c>
      <c r="V50" s="520">
        <f t="shared" ref="V50:V78" si="10">I50+J50+K50</f>
        <v>74999</v>
      </c>
      <c r="W50" s="520">
        <f t="shared" ref="W50:W78" si="11">(P50+Q50+R50)*1.055056</f>
        <v>76370.700170031996</v>
      </c>
      <c r="X50" s="520">
        <f t="shared" ref="X50:X78" si="12">V50-W50</f>
        <v>-1371.7001700319961</v>
      </c>
      <c r="Y50" s="525">
        <f>Y49+X50</f>
        <v>-1770.1776485919836</v>
      </c>
    </row>
    <row r="51" spans="3:25" x14ac:dyDescent="0.2">
      <c r="C51" s="387">
        <f t="shared" si="3"/>
        <v>42858</v>
      </c>
      <c r="D51" s="388">
        <f t="shared" si="4"/>
        <v>150304.21677419354</v>
      </c>
      <c r="E51" s="392">
        <f t="shared" si="5"/>
        <v>72088.639999999999</v>
      </c>
      <c r="F51" s="428">
        <f t="shared" si="6"/>
        <v>0.95829195</v>
      </c>
      <c r="G51" s="390">
        <f t="shared" si="7"/>
        <v>69.081999999999994</v>
      </c>
      <c r="H51" s="391">
        <f t="shared" si="0"/>
        <v>222462.89706614352</v>
      </c>
      <c r="I51" s="324">
        <v>74999</v>
      </c>
      <c r="J51" s="325"/>
      <c r="K51" s="325"/>
      <c r="L51" s="317">
        <v>72088.639999999999</v>
      </c>
      <c r="M51" s="318"/>
      <c r="N51" s="318"/>
      <c r="O51" s="318"/>
      <c r="P51" s="392">
        <f t="shared" si="8"/>
        <v>72088.639999999999</v>
      </c>
      <c r="Q51" s="392">
        <f t="shared" si="1"/>
        <v>0</v>
      </c>
      <c r="R51" s="392">
        <f t="shared" si="2"/>
        <v>0</v>
      </c>
      <c r="S51" s="532"/>
      <c r="T51" s="374"/>
      <c r="U51" s="520">
        <f t="shared" si="9"/>
        <v>-74999</v>
      </c>
      <c r="V51" s="520">
        <f t="shared" si="10"/>
        <v>74999</v>
      </c>
      <c r="W51" s="520">
        <f t="shared" si="11"/>
        <v>76057.552163839995</v>
      </c>
      <c r="X51" s="520">
        <f t="shared" si="12"/>
        <v>-1058.552163839995</v>
      </c>
      <c r="Y51" s="525">
        <f t="shared" ref="Y51:Y78" si="13">Y50+X51</f>
        <v>-2828.7298124319786</v>
      </c>
    </row>
    <row r="52" spans="3:25" x14ac:dyDescent="0.2">
      <c r="C52" s="387">
        <f t="shared" si="3"/>
        <v>42859</v>
      </c>
      <c r="D52" s="388">
        <f t="shared" si="4"/>
        <v>150304.21677419354</v>
      </c>
      <c r="E52" s="392">
        <f t="shared" si="5"/>
        <v>71773.55</v>
      </c>
      <c r="F52" s="428">
        <f t="shared" si="6"/>
        <v>0.95829195</v>
      </c>
      <c r="G52" s="390">
        <f t="shared" si="7"/>
        <v>68.78</v>
      </c>
      <c r="H52" s="391">
        <f t="shared" si="0"/>
        <v>222147.50506614355</v>
      </c>
      <c r="I52" s="324">
        <v>74999</v>
      </c>
      <c r="J52" s="325"/>
      <c r="K52" s="325"/>
      <c r="L52" s="319">
        <v>71773.55</v>
      </c>
      <c r="M52" s="320"/>
      <c r="N52" s="320"/>
      <c r="O52" s="320"/>
      <c r="P52" s="392">
        <f t="shared" si="8"/>
        <v>71773.55</v>
      </c>
      <c r="Q52" s="392">
        <f t="shared" si="1"/>
        <v>0</v>
      </c>
      <c r="R52" s="392">
        <f t="shared" si="2"/>
        <v>0</v>
      </c>
      <c r="S52" s="532"/>
      <c r="T52" s="374"/>
      <c r="U52" s="520">
        <f t="shared" si="9"/>
        <v>-74999</v>
      </c>
      <c r="V52" s="520">
        <f t="shared" si="10"/>
        <v>74999</v>
      </c>
      <c r="W52" s="520">
        <f t="shared" si="11"/>
        <v>75725.114568799996</v>
      </c>
      <c r="X52" s="520">
        <f t="shared" si="12"/>
        <v>-726.11456879999605</v>
      </c>
      <c r="Y52" s="525">
        <f t="shared" si="13"/>
        <v>-3554.8443812319747</v>
      </c>
    </row>
    <row r="53" spans="3:25" x14ac:dyDescent="0.2">
      <c r="C53" s="387">
        <f t="shared" si="3"/>
        <v>42860</v>
      </c>
      <c r="D53" s="388">
        <f t="shared" si="4"/>
        <v>150304.21677419354</v>
      </c>
      <c r="E53" s="392">
        <f t="shared" si="5"/>
        <v>71780.460000000006</v>
      </c>
      <c r="F53" s="428">
        <f t="shared" si="6"/>
        <v>0.95829195</v>
      </c>
      <c r="G53" s="390">
        <f t="shared" si="7"/>
        <v>68.786600000000007</v>
      </c>
      <c r="H53" s="391">
        <f t="shared" si="0"/>
        <v>222154.42166614352</v>
      </c>
      <c r="I53" s="324">
        <v>74999</v>
      </c>
      <c r="J53" s="325"/>
      <c r="K53" s="325"/>
      <c r="L53" s="317">
        <v>71780.460000000006</v>
      </c>
      <c r="M53" s="318"/>
      <c r="N53" s="318"/>
      <c r="O53" s="318"/>
      <c r="P53" s="392">
        <f t="shared" si="8"/>
        <v>71780.460000000006</v>
      </c>
      <c r="Q53" s="392">
        <f t="shared" si="1"/>
        <v>0</v>
      </c>
      <c r="R53" s="392">
        <f t="shared" si="2"/>
        <v>0</v>
      </c>
      <c r="S53" s="532"/>
      <c r="T53" s="374"/>
      <c r="U53" s="520">
        <f t="shared" si="9"/>
        <v>-74999</v>
      </c>
      <c r="V53" s="520">
        <f t="shared" si="10"/>
        <v>74999</v>
      </c>
      <c r="W53" s="520">
        <f t="shared" si="11"/>
        <v>75732.405005760011</v>
      </c>
      <c r="X53" s="520">
        <f t="shared" si="12"/>
        <v>-733.40500576001068</v>
      </c>
      <c r="Y53" s="525">
        <f t="shared" si="13"/>
        <v>-4288.2493869919854</v>
      </c>
    </row>
    <row r="54" spans="3:25" x14ac:dyDescent="0.2">
      <c r="C54" s="387">
        <f t="shared" si="3"/>
        <v>42861</v>
      </c>
      <c r="D54" s="388">
        <f t="shared" si="4"/>
        <v>150304.21677419354</v>
      </c>
      <c r="E54" s="392">
        <f t="shared" si="5"/>
        <v>74428.649999999994</v>
      </c>
      <c r="F54" s="428">
        <f t="shared" si="6"/>
        <v>0.95829195</v>
      </c>
      <c r="G54" s="390">
        <f t="shared" si="7"/>
        <v>71.324399999999997</v>
      </c>
      <c r="H54" s="391">
        <f t="shared" si="0"/>
        <v>224805.14946614354</v>
      </c>
      <c r="I54" s="324">
        <v>74999</v>
      </c>
      <c r="J54" s="325"/>
      <c r="K54" s="325"/>
      <c r="L54" s="319">
        <v>74428.649999999994</v>
      </c>
      <c r="M54" s="320"/>
      <c r="N54" s="320"/>
      <c r="O54" s="320"/>
      <c r="P54" s="392">
        <f t="shared" si="8"/>
        <v>74428.649999999994</v>
      </c>
      <c r="Q54" s="392">
        <f t="shared" si="1"/>
        <v>0</v>
      </c>
      <c r="R54" s="392">
        <f t="shared" si="2"/>
        <v>0</v>
      </c>
      <c r="S54" s="532"/>
      <c r="T54" s="374"/>
      <c r="U54" s="520">
        <f t="shared" si="9"/>
        <v>-74999</v>
      </c>
      <c r="V54" s="520">
        <f t="shared" si="10"/>
        <v>74999</v>
      </c>
      <c r="W54" s="520">
        <f t="shared" si="11"/>
        <v>78526.393754399993</v>
      </c>
      <c r="X54" s="520">
        <f t="shared" si="12"/>
        <v>-3527.3937543999928</v>
      </c>
      <c r="Y54" s="525">
        <f t="shared" si="13"/>
        <v>-7815.6431413919781</v>
      </c>
    </row>
    <row r="55" spans="3:25" x14ac:dyDescent="0.2">
      <c r="C55" s="387">
        <f t="shared" si="3"/>
        <v>42862</v>
      </c>
      <c r="D55" s="388">
        <f t="shared" si="4"/>
        <v>150304.21677419354</v>
      </c>
      <c r="E55" s="392">
        <f t="shared" si="5"/>
        <v>71842.990000000005</v>
      </c>
      <c r="F55" s="428">
        <f t="shared" si="6"/>
        <v>0.95829195</v>
      </c>
      <c r="G55" s="390">
        <f t="shared" si="7"/>
        <v>68.846599999999995</v>
      </c>
      <c r="H55" s="391">
        <f t="shared" si="0"/>
        <v>222217.01166614355</v>
      </c>
      <c r="I55" s="324">
        <v>74999</v>
      </c>
      <c r="J55" s="325"/>
      <c r="K55" s="325"/>
      <c r="L55" s="317">
        <v>71842.990000000005</v>
      </c>
      <c r="M55" s="318"/>
      <c r="N55" s="318"/>
      <c r="O55" s="318"/>
      <c r="P55" s="392">
        <f t="shared" si="8"/>
        <v>71842.990000000005</v>
      </c>
      <c r="Q55" s="392">
        <f t="shared" si="1"/>
        <v>0</v>
      </c>
      <c r="R55" s="392">
        <f t="shared" si="2"/>
        <v>0</v>
      </c>
      <c r="S55" s="532"/>
      <c r="T55" s="374"/>
      <c r="U55" s="520">
        <f t="shared" si="9"/>
        <v>-74999</v>
      </c>
      <c r="V55" s="520">
        <f t="shared" si="10"/>
        <v>74999</v>
      </c>
      <c r="W55" s="520">
        <f t="shared" si="11"/>
        <v>75798.377657440011</v>
      </c>
      <c r="X55" s="520">
        <f t="shared" si="12"/>
        <v>-799.37765744001081</v>
      </c>
      <c r="Y55" s="525">
        <f t="shared" si="13"/>
        <v>-8615.0207988319889</v>
      </c>
    </row>
    <row r="56" spans="3:25" x14ac:dyDescent="0.2">
      <c r="C56" s="387">
        <f t="shared" si="3"/>
        <v>42863</v>
      </c>
      <c r="D56" s="388">
        <f t="shared" si="4"/>
        <v>150304.21677419354</v>
      </c>
      <c r="E56" s="392">
        <f t="shared" si="5"/>
        <v>73937.649999999994</v>
      </c>
      <c r="F56" s="428">
        <f t="shared" si="6"/>
        <v>0.95829195</v>
      </c>
      <c r="G56" s="390">
        <f t="shared" si="7"/>
        <v>70.853899999999996</v>
      </c>
      <c r="H56" s="391">
        <f t="shared" si="0"/>
        <v>224313.67896614352</v>
      </c>
      <c r="I56" s="324">
        <v>74999</v>
      </c>
      <c r="J56" s="325"/>
      <c r="K56" s="325"/>
      <c r="L56" s="319">
        <v>73937.649999999994</v>
      </c>
      <c r="M56" s="320"/>
      <c r="N56" s="320"/>
      <c r="O56" s="320"/>
      <c r="P56" s="392">
        <f t="shared" si="8"/>
        <v>73937.649999999994</v>
      </c>
      <c r="Q56" s="392">
        <f t="shared" si="1"/>
        <v>0</v>
      </c>
      <c r="R56" s="392">
        <f t="shared" si="2"/>
        <v>0</v>
      </c>
      <c r="S56" s="532"/>
      <c r="T56" s="374"/>
      <c r="U56" s="520">
        <f t="shared" si="9"/>
        <v>-74999</v>
      </c>
      <c r="V56" s="520">
        <f t="shared" si="10"/>
        <v>74999</v>
      </c>
      <c r="W56" s="520">
        <f t="shared" si="11"/>
        <v>78008.361258399993</v>
      </c>
      <c r="X56" s="520">
        <f t="shared" si="12"/>
        <v>-3009.3612583999929</v>
      </c>
      <c r="Y56" s="525">
        <f t="shared" si="13"/>
        <v>-11624.382057231982</v>
      </c>
    </row>
    <row r="57" spans="3:25" x14ac:dyDescent="0.2">
      <c r="C57" s="387">
        <f t="shared" si="3"/>
        <v>42864</v>
      </c>
      <c r="D57" s="388">
        <f t="shared" si="4"/>
        <v>150304.21677419354</v>
      </c>
      <c r="E57" s="392">
        <f t="shared" si="5"/>
        <v>71653.59</v>
      </c>
      <c r="F57" s="428">
        <f t="shared" si="6"/>
        <v>0.95829195</v>
      </c>
      <c r="G57" s="390">
        <f t="shared" si="7"/>
        <v>68.665099999999995</v>
      </c>
      <c r="H57" s="391">
        <f t="shared" si="0"/>
        <v>222027.43016614355</v>
      </c>
      <c r="I57" s="324">
        <v>74999</v>
      </c>
      <c r="J57" s="325"/>
      <c r="K57" s="325"/>
      <c r="L57" s="317">
        <v>71653.59</v>
      </c>
      <c r="M57" s="318"/>
      <c r="N57" s="318"/>
      <c r="O57" s="318"/>
      <c r="P57" s="392">
        <f t="shared" si="8"/>
        <v>71653.59</v>
      </c>
      <c r="Q57" s="392">
        <f t="shared" si="1"/>
        <v>0</v>
      </c>
      <c r="R57" s="392">
        <f t="shared" si="2"/>
        <v>0</v>
      </c>
      <c r="S57" s="532"/>
      <c r="T57" s="374"/>
      <c r="U57" s="520">
        <f t="shared" si="9"/>
        <v>-74999</v>
      </c>
      <c r="V57" s="520">
        <f t="shared" si="10"/>
        <v>74999</v>
      </c>
      <c r="W57" s="520">
        <f t="shared" si="11"/>
        <v>75598.550051040002</v>
      </c>
      <c r="X57" s="520">
        <f t="shared" si="12"/>
        <v>-599.55005104000156</v>
      </c>
      <c r="Y57" s="525">
        <f t="shared" si="13"/>
        <v>-12223.932108271983</v>
      </c>
    </row>
    <row r="58" spans="3:25" x14ac:dyDescent="0.2">
      <c r="C58" s="387">
        <f t="shared" si="3"/>
        <v>42865</v>
      </c>
      <c r="D58" s="388">
        <f t="shared" si="4"/>
        <v>150304.21677419354</v>
      </c>
      <c r="E58" s="392">
        <f t="shared" si="5"/>
        <v>74871.78</v>
      </c>
      <c r="F58" s="428">
        <f t="shared" si="6"/>
        <v>0.95829195</v>
      </c>
      <c r="G58" s="390">
        <f t="shared" si="7"/>
        <v>71.748999999999995</v>
      </c>
      <c r="H58" s="391">
        <f t="shared" si="0"/>
        <v>225248.70406614355</v>
      </c>
      <c r="I58" s="324">
        <v>72000</v>
      </c>
      <c r="J58" s="325"/>
      <c r="K58" s="325"/>
      <c r="L58" s="319">
        <v>74871.78</v>
      </c>
      <c r="M58" s="320"/>
      <c r="N58" s="320"/>
      <c r="O58" s="320"/>
      <c r="P58" s="392">
        <f t="shared" si="8"/>
        <v>74871.78</v>
      </c>
      <c r="Q58" s="392">
        <f t="shared" si="1"/>
        <v>0</v>
      </c>
      <c r="R58" s="392">
        <f t="shared" si="2"/>
        <v>0</v>
      </c>
      <c r="S58" s="532"/>
      <c r="T58" s="374"/>
      <c r="U58" s="520">
        <f t="shared" si="9"/>
        <v>-72000</v>
      </c>
      <c r="V58" s="520">
        <f t="shared" si="10"/>
        <v>72000</v>
      </c>
      <c r="W58" s="520">
        <f t="shared" si="11"/>
        <v>78993.920719679998</v>
      </c>
      <c r="X58" s="520">
        <f t="shared" si="12"/>
        <v>-6993.920719679998</v>
      </c>
      <c r="Y58" s="525">
        <f t="shared" si="13"/>
        <v>-19217.852827951981</v>
      </c>
    </row>
    <row r="59" spans="3:25" x14ac:dyDescent="0.2">
      <c r="C59" s="387">
        <f t="shared" si="3"/>
        <v>42866</v>
      </c>
      <c r="D59" s="388">
        <f t="shared" si="4"/>
        <v>150304.21677419354</v>
      </c>
      <c r="E59" s="392">
        <f t="shared" si="5"/>
        <v>74118.77</v>
      </c>
      <c r="F59" s="428">
        <f t="shared" si="6"/>
        <v>0.95829195</v>
      </c>
      <c r="G59" s="390">
        <f t="shared" si="7"/>
        <v>71.0274</v>
      </c>
      <c r="H59" s="391">
        <f t="shared" si="0"/>
        <v>224494.97246614352</v>
      </c>
      <c r="I59" s="324">
        <v>72000</v>
      </c>
      <c r="J59" s="325"/>
      <c r="K59" s="325"/>
      <c r="L59" s="317">
        <v>74118.77</v>
      </c>
      <c r="M59" s="318"/>
      <c r="N59" s="318"/>
      <c r="O59" s="318"/>
      <c r="P59" s="392">
        <f t="shared" si="8"/>
        <v>74118.77</v>
      </c>
      <c r="Q59" s="392">
        <f t="shared" si="1"/>
        <v>0</v>
      </c>
      <c r="R59" s="392">
        <f t="shared" si="2"/>
        <v>0</v>
      </c>
      <c r="S59" s="532"/>
      <c r="T59" s="374"/>
      <c r="U59" s="520">
        <f t="shared" si="9"/>
        <v>-72000</v>
      </c>
      <c r="V59" s="520">
        <f t="shared" si="10"/>
        <v>72000</v>
      </c>
      <c r="W59" s="520">
        <f t="shared" si="11"/>
        <v>78199.453001119997</v>
      </c>
      <c r="X59" s="520">
        <f t="shared" si="12"/>
        <v>-6199.4530011199968</v>
      </c>
      <c r="Y59" s="525">
        <f t="shared" si="13"/>
        <v>-25417.305829071978</v>
      </c>
    </row>
    <row r="60" spans="3:25" x14ac:dyDescent="0.2">
      <c r="C60" s="387">
        <f t="shared" si="3"/>
        <v>42867</v>
      </c>
      <c r="D60" s="388">
        <f t="shared" si="4"/>
        <v>150304.21677419354</v>
      </c>
      <c r="E60" s="392">
        <f t="shared" si="5"/>
        <v>73493.52</v>
      </c>
      <c r="F60" s="428">
        <f t="shared" si="6"/>
        <v>0.95829195</v>
      </c>
      <c r="G60" s="390">
        <f t="shared" si="7"/>
        <v>70.428200000000004</v>
      </c>
      <c r="H60" s="391">
        <f t="shared" si="0"/>
        <v>223869.12326614352</v>
      </c>
      <c r="I60" s="324">
        <v>72000</v>
      </c>
      <c r="J60" s="325"/>
      <c r="K60" s="325"/>
      <c r="L60" s="319">
        <v>73493.52</v>
      </c>
      <c r="M60" s="320"/>
      <c r="N60" s="320"/>
      <c r="O60" s="320"/>
      <c r="P60" s="392">
        <f t="shared" si="8"/>
        <v>73493.52</v>
      </c>
      <c r="Q60" s="392">
        <f t="shared" si="1"/>
        <v>0</v>
      </c>
      <c r="R60" s="392">
        <f t="shared" si="2"/>
        <v>0</v>
      </c>
      <c r="S60" s="532"/>
      <c r="T60" s="374"/>
      <c r="U60" s="520">
        <f t="shared" si="9"/>
        <v>-72000</v>
      </c>
      <c r="V60" s="520">
        <f t="shared" si="10"/>
        <v>72000</v>
      </c>
      <c r="W60" s="520">
        <f t="shared" si="11"/>
        <v>77539.779237120005</v>
      </c>
      <c r="X60" s="520">
        <f t="shared" si="12"/>
        <v>-5539.7792371200048</v>
      </c>
      <c r="Y60" s="525">
        <f t="shared" si="13"/>
        <v>-30957.085066191983</v>
      </c>
    </row>
    <row r="61" spans="3:25" x14ac:dyDescent="0.2">
      <c r="C61" s="387">
        <f t="shared" si="3"/>
        <v>42868</v>
      </c>
      <c r="D61" s="388">
        <f t="shared" si="4"/>
        <v>150304.21677419354</v>
      </c>
      <c r="E61" s="392">
        <f t="shared" si="5"/>
        <v>71670.909</v>
      </c>
      <c r="F61" s="428">
        <f t="shared" si="6"/>
        <v>0.95829195</v>
      </c>
      <c r="G61" s="390">
        <f t="shared" si="7"/>
        <v>68.681700000000006</v>
      </c>
      <c r="H61" s="391">
        <f t="shared" si="0"/>
        <v>222044.76576614354</v>
      </c>
      <c r="I61" s="324">
        <v>70000</v>
      </c>
      <c r="J61" s="325"/>
      <c r="K61" s="325"/>
      <c r="L61" s="317">
        <v>71670.909</v>
      </c>
      <c r="M61" s="318"/>
      <c r="N61" s="318"/>
      <c r="O61" s="318"/>
      <c r="P61" s="392">
        <f t="shared" si="8"/>
        <v>71670.909</v>
      </c>
      <c r="Q61" s="392">
        <f t="shared" si="1"/>
        <v>0</v>
      </c>
      <c r="R61" s="392">
        <f t="shared" si="2"/>
        <v>0</v>
      </c>
      <c r="S61" s="532"/>
      <c r="T61" s="374"/>
      <c r="U61" s="520">
        <f t="shared" si="9"/>
        <v>-70000</v>
      </c>
      <c r="V61" s="520">
        <f t="shared" si="10"/>
        <v>70000</v>
      </c>
      <c r="W61" s="520">
        <f t="shared" si="11"/>
        <v>75616.822565904004</v>
      </c>
      <c r="X61" s="520">
        <f t="shared" si="12"/>
        <v>-5616.8225659040036</v>
      </c>
      <c r="Y61" s="525">
        <f t="shared" si="13"/>
        <v>-36573.907632095987</v>
      </c>
    </row>
    <row r="62" spans="3:25" x14ac:dyDescent="0.2">
      <c r="C62" s="387">
        <f t="shared" si="3"/>
        <v>42869</v>
      </c>
      <c r="D62" s="388">
        <f t="shared" si="4"/>
        <v>150304.21677419354</v>
      </c>
      <c r="E62" s="392">
        <f t="shared" si="5"/>
        <v>71717.19</v>
      </c>
      <c r="F62" s="428">
        <f t="shared" si="6"/>
        <v>0.95829195</v>
      </c>
      <c r="G62" s="390">
        <f t="shared" si="7"/>
        <v>68.725999999999999</v>
      </c>
      <c r="H62" s="391">
        <f t="shared" si="0"/>
        <v>222091.09106614353</v>
      </c>
      <c r="I62" s="324">
        <v>70000</v>
      </c>
      <c r="J62" s="325"/>
      <c r="K62" s="325"/>
      <c r="L62" s="319">
        <v>71717.19</v>
      </c>
      <c r="M62" s="320"/>
      <c r="N62" s="320"/>
      <c r="O62" s="320"/>
      <c r="P62" s="392">
        <f t="shared" si="8"/>
        <v>71717.19</v>
      </c>
      <c r="Q62" s="392">
        <f t="shared" si="1"/>
        <v>0</v>
      </c>
      <c r="R62" s="392">
        <f t="shared" si="2"/>
        <v>0</v>
      </c>
      <c r="S62" s="532"/>
      <c r="T62" s="374"/>
      <c r="U62" s="520">
        <f t="shared" si="9"/>
        <v>-70000</v>
      </c>
      <c r="V62" s="520">
        <f t="shared" si="10"/>
        <v>70000</v>
      </c>
      <c r="W62" s="520">
        <f t="shared" si="11"/>
        <v>75665.651612640009</v>
      </c>
      <c r="X62" s="520">
        <f t="shared" si="12"/>
        <v>-5665.6516126400093</v>
      </c>
      <c r="Y62" s="525">
        <f t="shared" si="13"/>
        <v>-42239.559244735996</v>
      </c>
    </row>
    <row r="63" spans="3:25" x14ac:dyDescent="0.2">
      <c r="C63" s="387">
        <f t="shared" si="3"/>
        <v>42870</v>
      </c>
      <c r="D63" s="388">
        <f t="shared" si="4"/>
        <v>150304.21677419354</v>
      </c>
      <c r="E63" s="392">
        <f t="shared" si="5"/>
        <v>74235.929999999993</v>
      </c>
      <c r="F63" s="428">
        <f t="shared" si="6"/>
        <v>0.95829195</v>
      </c>
      <c r="G63" s="390">
        <f t="shared" si="7"/>
        <v>71.139700000000005</v>
      </c>
      <c r="H63" s="391">
        <f t="shared" si="0"/>
        <v>224612.24476614353</v>
      </c>
      <c r="I63" s="324">
        <v>72000</v>
      </c>
      <c r="J63" s="325"/>
      <c r="K63" s="325"/>
      <c r="L63" s="317">
        <v>74235.929999999993</v>
      </c>
      <c r="M63" s="318"/>
      <c r="N63" s="318"/>
      <c r="O63" s="318"/>
      <c r="P63" s="392">
        <f t="shared" si="8"/>
        <v>74235.929999999993</v>
      </c>
      <c r="Q63" s="392">
        <f t="shared" si="1"/>
        <v>0</v>
      </c>
      <c r="R63" s="392">
        <f t="shared" si="2"/>
        <v>0</v>
      </c>
      <c r="S63" s="532"/>
      <c r="T63" s="374"/>
      <c r="U63" s="520">
        <f t="shared" si="9"/>
        <v>-72000</v>
      </c>
      <c r="V63" s="520">
        <f t="shared" si="10"/>
        <v>72000</v>
      </c>
      <c r="W63" s="520">
        <f t="shared" si="11"/>
        <v>78323.063362079993</v>
      </c>
      <c r="X63" s="520">
        <f t="shared" si="12"/>
        <v>-6323.0633620799927</v>
      </c>
      <c r="Y63" s="525">
        <f t="shared" si="13"/>
        <v>-48562.622606815989</v>
      </c>
    </row>
    <row r="64" spans="3:25" x14ac:dyDescent="0.2">
      <c r="C64" s="387">
        <f t="shared" si="3"/>
        <v>42871</v>
      </c>
      <c r="D64" s="388">
        <f t="shared" si="4"/>
        <v>150304.21677419354</v>
      </c>
      <c r="E64" s="392">
        <f t="shared" si="5"/>
        <v>73201.31</v>
      </c>
      <c r="F64" s="428">
        <f t="shared" si="6"/>
        <v>0.95829195</v>
      </c>
      <c r="G64" s="390">
        <f t="shared" si="7"/>
        <v>70.148200000000003</v>
      </c>
      <c r="H64" s="391">
        <f t="shared" si="0"/>
        <v>223576.63326614353</v>
      </c>
      <c r="I64" s="324">
        <v>72000</v>
      </c>
      <c r="J64" s="325"/>
      <c r="K64" s="325"/>
      <c r="L64" s="319">
        <v>73201.31</v>
      </c>
      <c r="M64" s="320"/>
      <c r="N64" s="320"/>
      <c r="O64" s="320"/>
      <c r="P64" s="392">
        <f t="shared" si="8"/>
        <v>73201.31</v>
      </c>
      <c r="Q64" s="392">
        <f t="shared" si="1"/>
        <v>0</v>
      </c>
      <c r="R64" s="392">
        <f t="shared" si="2"/>
        <v>0</v>
      </c>
      <c r="S64" s="532"/>
      <c r="T64" s="374"/>
      <c r="U64" s="520">
        <f t="shared" si="9"/>
        <v>-72000</v>
      </c>
      <c r="V64" s="520">
        <f t="shared" si="10"/>
        <v>72000</v>
      </c>
      <c r="W64" s="520">
        <f t="shared" si="11"/>
        <v>77231.48132336</v>
      </c>
      <c r="X64" s="520">
        <f t="shared" si="12"/>
        <v>-5231.4813233599998</v>
      </c>
      <c r="Y64" s="525">
        <f t="shared" si="13"/>
        <v>-53794.103930175988</v>
      </c>
    </row>
    <row r="65" spans="3:38" x14ac:dyDescent="0.2">
      <c r="C65" s="387">
        <f t="shared" si="3"/>
        <v>42872</v>
      </c>
      <c r="D65" s="388">
        <f t="shared" si="4"/>
        <v>150304.21677419354</v>
      </c>
      <c r="E65" s="392">
        <f t="shared" si="5"/>
        <v>74203.67</v>
      </c>
      <c r="F65" s="428">
        <f t="shared" si="6"/>
        <v>0.95829195</v>
      </c>
      <c r="G65" s="390">
        <f t="shared" si="7"/>
        <v>71.108800000000002</v>
      </c>
      <c r="H65" s="391">
        <f t="shared" si="0"/>
        <v>224579.95386614354</v>
      </c>
      <c r="I65" s="324">
        <v>72000</v>
      </c>
      <c r="J65" s="325"/>
      <c r="K65" s="325"/>
      <c r="L65" s="317">
        <v>74203.67</v>
      </c>
      <c r="M65" s="318"/>
      <c r="N65" s="318"/>
      <c r="O65" s="318"/>
      <c r="P65" s="392">
        <f t="shared" si="8"/>
        <v>74203.67</v>
      </c>
      <c r="Q65" s="392">
        <f t="shared" si="1"/>
        <v>0</v>
      </c>
      <c r="R65" s="392">
        <f t="shared" si="2"/>
        <v>0</v>
      </c>
      <c r="S65" s="532"/>
      <c r="T65" s="374"/>
      <c r="U65" s="520">
        <f t="shared" si="9"/>
        <v>-72000</v>
      </c>
      <c r="V65" s="520">
        <f t="shared" si="10"/>
        <v>72000</v>
      </c>
      <c r="W65" s="520">
        <f t="shared" si="11"/>
        <v>78289.027255519992</v>
      </c>
      <c r="X65" s="520">
        <f t="shared" si="12"/>
        <v>-6289.0272555199917</v>
      </c>
      <c r="Y65" s="525">
        <f t="shared" si="13"/>
        <v>-60083.13118569598</v>
      </c>
    </row>
    <row r="66" spans="3:38" x14ac:dyDescent="0.2">
      <c r="C66" s="387">
        <f t="shared" si="3"/>
        <v>42873</v>
      </c>
      <c r="D66" s="388">
        <f t="shared" si="4"/>
        <v>150304.21677419354</v>
      </c>
      <c r="E66" s="392">
        <f t="shared" si="5"/>
        <v>74335.157000000007</v>
      </c>
      <c r="F66" s="428">
        <f t="shared" si="6"/>
        <v>0.95829195</v>
      </c>
      <c r="G66" s="390">
        <f t="shared" si="7"/>
        <v>71.234800000000007</v>
      </c>
      <c r="H66" s="391">
        <f t="shared" si="0"/>
        <v>224711.56686614355</v>
      </c>
      <c r="I66" s="324">
        <v>72000</v>
      </c>
      <c r="J66" s="325"/>
      <c r="K66" s="325"/>
      <c r="L66" s="319">
        <v>74335.157000000007</v>
      </c>
      <c r="M66" s="320"/>
      <c r="N66" s="320"/>
      <c r="O66" s="320"/>
      <c r="P66" s="392">
        <f t="shared" si="8"/>
        <v>74335.157000000007</v>
      </c>
      <c r="Q66" s="392">
        <f t="shared" si="1"/>
        <v>0</v>
      </c>
      <c r="R66" s="392">
        <f t="shared" si="2"/>
        <v>0</v>
      </c>
      <c r="S66" s="532"/>
      <c r="T66" s="374"/>
      <c r="U66" s="520">
        <f t="shared" si="9"/>
        <v>-72000</v>
      </c>
      <c r="V66" s="520">
        <f t="shared" si="10"/>
        <v>72000</v>
      </c>
      <c r="W66" s="520">
        <f t="shared" si="11"/>
        <v>78427.753403792012</v>
      </c>
      <c r="X66" s="520">
        <f t="shared" si="12"/>
        <v>-6427.7534037920123</v>
      </c>
      <c r="Y66" s="525">
        <f t="shared" si="13"/>
        <v>-66510.884589487992</v>
      </c>
    </row>
    <row r="67" spans="3:38" x14ac:dyDescent="0.2">
      <c r="C67" s="387">
        <f t="shared" si="3"/>
        <v>42874</v>
      </c>
      <c r="D67" s="388">
        <f t="shared" si="4"/>
        <v>150304.21677419354</v>
      </c>
      <c r="E67" s="392">
        <f t="shared" si="5"/>
        <v>74020.55</v>
      </c>
      <c r="F67" s="428">
        <f t="shared" si="6"/>
        <v>0.95829195</v>
      </c>
      <c r="G67" s="390">
        <f t="shared" si="7"/>
        <v>70.933300000000003</v>
      </c>
      <c r="H67" s="391">
        <f t="shared" si="0"/>
        <v>224396.65836614356</v>
      </c>
      <c r="I67" s="324">
        <v>72000</v>
      </c>
      <c r="J67" s="325"/>
      <c r="K67" s="325"/>
      <c r="L67" s="317">
        <v>74020.55</v>
      </c>
      <c r="M67" s="318"/>
      <c r="N67" s="318"/>
      <c r="O67" s="318"/>
      <c r="P67" s="392">
        <f t="shared" si="8"/>
        <v>74020.55</v>
      </c>
      <c r="Q67" s="392">
        <f t="shared" si="1"/>
        <v>0</v>
      </c>
      <c r="R67" s="392">
        <f t="shared" si="2"/>
        <v>0</v>
      </c>
      <c r="S67" s="532"/>
      <c r="T67" s="374"/>
      <c r="U67" s="520">
        <f t="shared" si="9"/>
        <v>-72000</v>
      </c>
      <c r="V67" s="520">
        <f t="shared" si="10"/>
        <v>72000</v>
      </c>
      <c r="W67" s="520">
        <f t="shared" si="11"/>
        <v>78095.825400800008</v>
      </c>
      <c r="X67" s="520">
        <f t="shared" si="12"/>
        <v>-6095.8254008000076</v>
      </c>
      <c r="Y67" s="525">
        <f t="shared" si="13"/>
        <v>-72606.709990288</v>
      </c>
    </row>
    <row r="68" spans="3:38" x14ac:dyDescent="0.2">
      <c r="C68" s="387">
        <f t="shared" si="3"/>
        <v>42875</v>
      </c>
      <c r="D68" s="388">
        <f t="shared" si="4"/>
        <v>150304.21677419354</v>
      </c>
      <c r="E68" s="392">
        <f t="shared" si="5"/>
        <v>71605.270999999993</v>
      </c>
      <c r="F68" s="428">
        <f t="shared" si="6"/>
        <v>0.95829195</v>
      </c>
      <c r="G68" s="390">
        <f t="shared" si="7"/>
        <v>68.618799999999993</v>
      </c>
      <c r="H68" s="391">
        <f t="shared" si="0"/>
        <v>221979.06486614351</v>
      </c>
      <c r="I68" s="324">
        <v>70000</v>
      </c>
      <c r="J68" s="325"/>
      <c r="K68" s="325"/>
      <c r="L68" s="319">
        <v>71605.270999999993</v>
      </c>
      <c r="M68" s="320"/>
      <c r="N68" s="320"/>
      <c r="O68" s="320"/>
      <c r="P68" s="392">
        <f t="shared" si="8"/>
        <v>71605.270999999993</v>
      </c>
      <c r="Q68" s="392">
        <f t="shared" si="1"/>
        <v>0</v>
      </c>
      <c r="R68" s="392">
        <f t="shared" si="2"/>
        <v>0</v>
      </c>
      <c r="S68" s="532"/>
      <c r="T68" s="374"/>
      <c r="U68" s="520">
        <f t="shared" si="9"/>
        <v>-70000</v>
      </c>
      <c r="V68" s="520">
        <f t="shared" si="10"/>
        <v>70000</v>
      </c>
      <c r="W68" s="520">
        <f t="shared" si="11"/>
        <v>75547.570800175992</v>
      </c>
      <c r="X68" s="520">
        <f t="shared" si="12"/>
        <v>-5547.5708001759922</v>
      </c>
      <c r="Y68" s="525">
        <f t="shared" si="13"/>
        <v>-78154.280790463992</v>
      </c>
    </row>
    <row r="69" spans="3:38" x14ac:dyDescent="0.2">
      <c r="C69" s="387">
        <f t="shared" si="3"/>
        <v>42876</v>
      </c>
      <c r="D69" s="388">
        <f t="shared" si="4"/>
        <v>150304.21677419354</v>
      </c>
      <c r="E69" s="392">
        <f t="shared" si="5"/>
        <v>73580.479999999996</v>
      </c>
      <c r="F69" s="428">
        <f t="shared" si="6"/>
        <v>0.95829195</v>
      </c>
      <c r="G69" s="390">
        <f t="shared" si="7"/>
        <v>70.511600000000001</v>
      </c>
      <c r="H69" s="391">
        <f t="shared" si="0"/>
        <v>223956.16666614354</v>
      </c>
      <c r="I69" s="324">
        <v>70000</v>
      </c>
      <c r="J69" s="325"/>
      <c r="K69" s="325"/>
      <c r="L69" s="317">
        <v>73580.479999999996</v>
      </c>
      <c r="M69" s="318"/>
      <c r="N69" s="318"/>
      <c r="O69" s="318"/>
      <c r="P69" s="392">
        <f t="shared" si="8"/>
        <v>73580.479999999996</v>
      </c>
      <c r="Q69" s="392">
        <f t="shared" si="1"/>
        <v>0</v>
      </c>
      <c r="R69" s="392">
        <f t="shared" si="2"/>
        <v>0</v>
      </c>
      <c r="S69" s="532"/>
      <c r="T69" s="374"/>
      <c r="U69" s="520">
        <f t="shared" si="9"/>
        <v>-70000</v>
      </c>
      <c r="V69" s="520">
        <f t="shared" si="10"/>
        <v>70000</v>
      </c>
      <c r="W69" s="520">
        <f t="shared" si="11"/>
        <v>77631.526906879997</v>
      </c>
      <c r="X69" s="520">
        <f t="shared" si="12"/>
        <v>-7631.5269068799971</v>
      </c>
      <c r="Y69" s="525">
        <f t="shared" si="13"/>
        <v>-85785.807697343989</v>
      </c>
    </row>
    <row r="70" spans="3:38" x14ac:dyDescent="0.2">
      <c r="C70" s="387">
        <f t="shared" si="3"/>
        <v>42877</v>
      </c>
      <c r="D70" s="388">
        <f t="shared" si="4"/>
        <v>150304.21677419354</v>
      </c>
      <c r="E70" s="392">
        <f t="shared" si="5"/>
        <v>74253.623000000007</v>
      </c>
      <c r="F70" s="428">
        <f t="shared" si="6"/>
        <v>0.95829195</v>
      </c>
      <c r="G70" s="390">
        <f t="shared" si="7"/>
        <v>71.156599999999997</v>
      </c>
      <c r="H70" s="391">
        <f t="shared" si="0"/>
        <v>224629.95466614352</v>
      </c>
      <c r="I70" s="324">
        <v>70000</v>
      </c>
      <c r="J70" s="325"/>
      <c r="K70" s="325"/>
      <c r="L70" s="319">
        <v>74253.623000000007</v>
      </c>
      <c r="M70" s="320"/>
      <c r="N70" s="320"/>
      <c r="O70" s="320"/>
      <c r="P70" s="392">
        <f t="shared" si="8"/>
        <v>74253.623000000007</v>
      </c>
      <c r="Q70" s="392">
        <f t="shared" si="1"/>
        <v>0</v>
      </c>
      <c r="R70" s="392">
        <f t="shared" si="2"/>
        <v>0</v>
      </c>
      <c r="S70" s="532"/>
      <c r="T70" s="374"/>
      <c r="U70" s="520">
        <f t="shared" si="9"/>
        <v>-70000</v>
      </c>
      <c r="V70" s="520">
        <f t="shared" si="10"/>
        <v>70000</v>
      </c>
      <c r="W70" s="520">
        <f t="shared" si="11"/>
        <v>78341.730467888003</v>
      </c>
      <c r="X70" s="520">
        <f t="shared" si="12"/>
        <v>-8341.7304678880027</v>
      </c>
      <c r="Y70" s="525">
        <f t="shared" si="13"/>
        <v>-94127.538165231992</v>
      </c>
    </row>
    <row r="71" spans="3:38" x14ac:dyDescent="0.2">
      <c r="C71" s="387">
        <f t="shared" si="3"/>
        <v>42878</v>
      </c>
      <c r="D71" s="388">
        <f t="shared" si="4"/>
        <v>150304.21677419354</v>
      </c>
      <c r="E71" s="392">
        <f t="shared" si="5"/>
        <v>74773.710000000006</v>
      </c>
      <c r="F71" s="428">
        <f t="shared" si="6"/>
        <v>0.95829195</v>
      </c>
      <c r="G71" s="390">
        <f t="shared" si="7"/>
        <v>71.655000000000001</v>
      </c>
      <c r="H71" s="391">
        <f t="shared" si="0"/>
        <v>225150.54006614353</v>
      </c>
      <c r="I71" s="324">
        <v>72000</v>
      </c>
      <c r="J71" s="325"/>
      <c r="K71" s="325"/>
      <c r="L71" s="317">
        <v>74773.710000000006</v>
      </c>
      <c r="M71" s="318"/>
      <c r="N71" s="318"/>
      <c r="O71" s="318"/>
      <c r="P71" s="392">
        <f t="shared" si="8"/>
        <v>74773.710000000006</v>
      </c>
      <c r="Q71" s="392">
        <f t="shared" si="1"/>
        <v>0</v>
      </c>
      <c r="R71" s="392">
        <f t="shared" si="2"/>
        <v>0</v>
      </c>
      <c r="S71" s="532"/>
      <c r="T71" s="374"/>
      <c r="U71" s="520">
        <f t="shared" si="9"/>
        <v>-72000</v>
      </c>
      <c r="V71" s="520">
        <f t="shared" si="10"/>
        <v>72000</v>
      </c>
      <c r="W71" s="520">
        <f t="shared" si="11"/>
        <v>78890.451377760008</v>
      </c>
      <c r="X71" s="520">
        <f t="shared" si="12"/>
        <v>-6890.4513777600077</v>
      </c>
      <c r="Y71" s="525">
        <f t="shared" si="13"/>
        <v>-101017.989542992</v>
      </c>
    </row>
    <row r="72" spans="3:38" x14ac:dyDescent="0.2">
      <c r="C72" s="387">
        <f t="shared" si="3"/>
        <v>42879</v>
      </c>
      <c r="D72" s="388">
        <f t="shared" si="4"/>
        <v>150304.21677419354</v>
      </c>
      <c r="E72" s="392">
        <f t="shared" si="5"/>
        <v>74825.240000000005</v>
      </c>
      <c r="F72" s="428">
        <f t="shared" si="6"/>
        <v>0.95829195</v>
      </c>
      <c r="G72" s="390">
        <f t="shared" si="7"/>
        <v>71.704400000000007</v>
      </c>
      <c r="H72" s="391">
        <f t="shared" si="0"/>
        <v>225202.11946614354</v>
      </c>
      <c r="I72" s="324">
        <v>72000</v>
      </c>
      <c r="J72" s="325"/>
      <c r="K72" s="325"/>
      <c r="L72" s="319">
        <v>74825.240000000005</v>
      </c>
      <c r="M72" s="320"/>
      <c r="N72" s="320"/>
      <c r="O72" s="320"/>
      <c r="P72" s="392">
        <f t="shared" si="8"/>
        <v>74825.240000000005</v>
      </c>
      <c r="Q72" s="392">
        <f t="shared" si="1"/>
        <v>0</v>
      </c>
      <c r="R72" s="392">
        <f t="shared" si="2"/>
        <v>0</v>
      </c>
      <c r="S72" s="532"/>
      <c r="T72" s="374"/>
      <c r="U72" s="520">
        <f t="shared" si="9"/>
        <v>-72000</v>
      </c>
      <c r="V72" s="520">
        <f t="shared" si="10"/>
        <v>72000</v>
      </c>
      <c r="W72" s="520">
        <f t="shared" si="11"/>
        <v>78944.818413440007</v>
      </c>
      <c r="X72" s="520">
        <f t="shared" si="12"/>
        <v>-6944.8184134400071</v>
      </c>
      <c r="Y72" s="525">
        <f t="shared" si="13"/>
        <v>-107962.80795643201</v>
      </c>
    </row>
    <row r="73" spans="3:38" x14ac:dyDescent="0.2">
      <c r="C73" s="387">
        <f t="shared" si="3"/>
        <v>42880</v>
      </c>
      <c r="D73" s="388">
        <f t="shared" si="4"/>
        <v>150304.21677419354</v>
      </c>
      <c r="E73" s="392">
        <f t="shared" si="5"/>
        <v>75513.324999999997</v>
      </c>
      <c r="F73" s="428">
        <f t="shared" si="6"/>
        <v>0.95829195</v>
      </c>
      <c r="G73" s="390">
        <f t="shared" si="7"/>
        <v>72.363799999999998</v>
      </c>
      <c r="H73" s="391">
        <f t="shared" si="0"/>
        <v>225890.86386614351</v>
      </c>
      <c r="I73" s="324">
        <v>72000</v>
      </c>
      <c r="J73" s="325"/>
      <c r="K73" s="325"/>
      <c r="L73" s="317">
        <v>75513.324999999997</v>
      </c>
      <c r="M73" s="318"/>
      <c r="N73" s="318"/>
      <c r="O73" s="318"/>
      <c r="P73" s="392">
        <f t="shared" si="8"/>
        <v>75513.324999999997</v>
      </c>
      <c r="Q73" s="392">
        <f t="shared" si="1"/>
        <v>0</v>
      </c>
      <c r="R73" s="392">
        <f t="shared" si="2"/>
        <v>0</v>
      </c>
      <c r="S73" s="532"/>
      <c r="T73" s="374"/>
      <c r="U73" s="520">
        <f t="shared" si="9"/>
        <v>-72000</v>
      </c>
      <c r="V73" s="520">
        <f t="shared" si="10"/>
        <v>72000</v>
      </c>
      <c r="W73" s="520">
        <f t="shared" si="11"/>
        <v>79670.786621199994</v>
      </c>
      <c r="X73" s="520">
        <f t="shared" si="12"/>
        <v>-7670.7866211999935</v>
      </c>
      <c r="Y73" s="525">
        <f t="shared" si="13"/>
        <v>-115633.594577632</v>
      </c>
    </row>
    <row r="74" spans="3:38" x14ac:dyDescent="0.2">
      <c r="C74" s="387">
        <f t="shared" si="3"/>
        <v>42881</v>
      </c>
      <c r="D74" s="388">
        <f t="shared" si="4"/>
        <v>150304.21677419354</v>
      </c>
      <c r="E74" s="392">
        <f t="shared" si="5"/>
        <v>76360.649000000005</v>
      </c>
      <c r="F74" s="428">
        <f t="shared" si="6"/>
        <v>0.95829195</v>
      </c>
      <c r="G74" s="390">
        <f t="shared" si="7"/>
        <v>73.175799999999995</v>
      </c>
      <c r="H74" s="391">
        <f t="shared" si="0"/>
        <v>226738.99986614354</v>
      </c>
      <c r="I74" s="324">
        <v>72000</v>
      </c>
      <c r="J74" s="325"/>
      <c r="K74" s="325"/>
      <c r="L74" s="319">
        <v>76360.649000000005</v>
      </c>
      <c r="M74" s="320"/>
      <c r="N74" s="320"/>
      <c r="O74" s="320"/>
      <c r="P74" s="392">
        <f t="shared" si="8"/>
        <v>76360.649000000005</v>
      </c>
      <c r="Q74" s="392">
        <f t="shared" si="1"/>
        <v>0</v>
      </c>
      <c r="R74" s="392">
        <f t="shared" si="2"/>
        <v>0</v>
      </c>
      <c r="S74" s="532"/>
      <c r="T74" s="374"/>
      <c r="U74" s="520">
        <f t="shared" si="9"/>
        <v>-72000</v>
      </c>
      <c r="V74" s="520">
        <f t="shared" si="10"/>
        <v>72000</v>
      </c>
      <c r="W74" s="520">
        <f t="shared" si="11"/>
        <v>80564.760891344005</v>
      </c>
      <c r="X74" s="520">
        <f t="shared" si="12"/>
        <v>-8564.7608913440054</v>
      </c>
      <c r="Y74" s="525">
        <f t="shared" si="13"/>
        <v>-124198.35546897601</v>
      </c>
    </row>
    <row r="75" spans="3:38" x14ac:dyDescent="0.2">
      <c r="C75" s="387">
        <f t="shared" si="3"/>
        <v>42882</v>
      </c>
      <c r="D75" s="388">
        <f t="shared" si="4"/>
        <v>150304.21677419354</v>
      </c>
      <c r="E75" s="392">
        <f t="shared" si="5"/>
        <v>75102.63</v>
      </c>
      <c r="F75" s="428">
        <f t="shared" si="6"/>
        <v>0.95829195</v>
      </c>
      <c r="G75" s="390">
        <f t="shared" si="7"/>
        <v>71.970200000000006</v>
      </c>
      <c r="H75" s="391">
        <f t="shared" si="0"/>
        <v>225479.77526614355</v>
      </c>
      <c r="I75" s="324">
        <v>72000</v>
      </c>
      <c r="J75" s="325"/>
      <c r="K75" s="325"/>
      <c r="L75" s="317">
        <v>75102.63</v>
      </c>
      <c r="M75" s="318"/>
      <c r="N75" s="318"/>
      <c r="O75" s="318"/>
      <c r="P75" s="392">
        <f t="shared" si="8"/>
        <v>75102.63</v>
      </c>
      <c r="Q75" s="392">
        <f t="shared" si="1"/>
        <v>0</v>
      </c>
      <c r="R75" s="392">
        <f t="shared" si="2"/>
        <v>0</v>
      </c>
      <c r="S75" s="532"/>
      <c r="T75" s="374"/>
      <c r="U75" s="520">
        <f t="shared" si="9"/>
        <v>-72000</v>
      </c>
      <c r="V75" s="520">
        <f t="shared" si="10"/>
        <v>72000</v>
      </c>
      <c r="W75" s="520">
        <f t="shared" si="11"/>
        <v>79237.48039728</v>
      </c>
      <c r="X75" s="520">
        <f t="shared" si="12"/>
        <v>-7237.48039728</v>
      </c>
      <c r="Y75" s="525">
        <f t="shared" si="13"/>
        <v>-131435.83586625601</v>
      </c>
    </row>
    <row r="76" spans="3:38" x14ac:dyDescent="0.2">
      <c r="C76" s="387">
        <f t="shared" si="3"/>
        <v>42883</v>
      </c>
      <c r="D76" s="388">
        <f t="shared" si="4"/>
        <v>150304.21677419354</v>
      </c>
      <c r="E76" s="392">
        <f t="shared" si="5"/>
        <v>71739.73</v>
      </c>
      <c r="F76" s="428">
        <f t="shared" si="6"/>
        <v>0.95829195</v>
      </c>
      <c r="G76" s="390">
        <f t="shared" si="7"/>
        <v>68.747600000000006</v>
      </c>
      <c r="H76" s="391">
        <f t="shared" si="0"/>
        <v>222113.65266614355</v>
      </c>
      <c r="I76" s="324">
        <v>72000</v>
      </c>
      <c r="J76" s="325"/>
      <c r="K76" s="325"/>
      <c r="L76" s="319">
        <v>71739.73</v>
      </c>
      <c r="M76" s="320"/>
      <c r="N76" s="320"/>
      <c r="O76" s="320"/>
      <c r="P76" s="392">
        <f t="shared" si="8"/>
        <v>71739.73</v>
      </c>
      <c r="Q76" s="392">
        <f t="shared" si="1"/>
        <v>0</v>
      </c>
      <c r="R76" s="392">
        <f t="shared" si="2"/>
        <v>0</v>
      </c>
      <c r="S76" s="532"/>
      <c r="T76" s="374"/>
      <c r="U76" s="520">
        <f t="shared" si="9"/>
        <v>-72000</v>
      </c>
      <c r="V76" s="520">
        <f t="shared" si="10"/>
        <v>72000</v>
      </c>
      <c r="W76" s="520">
        <f t="shared" si="11"/>
        <v>75689.432574879989</v>
      </c>
      <c r="X76" s="520">
        <f t="shared" si="12"/>
        <v>-3689.4325748799893</v>
      </c>
      <c r="Y76" s="525">
        <f t="shared" si="13"/>
        <v>-135125.268441136</v>
      </c>
    </row>
    <row r="77" spans="3:38" x14ac:dyDescent="0.2">
      <c r="C77" s="387">
        <f t="shared" si="3"/>
        <v>42884</v>
      </c>
      <c r="D77" s="388">
        <f t="shared" si="4"/>
        <v>150304.21677419354</v>
      </c>
      <c r="E77" s="392">
        <f t="shared" si="5"/>
        <v>73433.3</v>
      </c>
      <c r="F77" s="428">
        <f t="shared" si="6"/>
        <v>0.95829195</v>
      </c>
      <c r="G77" s="390">
        <f t="shared" si="7"/>
        <v>70.370500000000007</v>
      </c>
      <c r="H77" s="391">
        <f t="shared" si="0"/>
        <v>223808.84556614354</v>
      </c>
      <c r="I77" s="324">
        <v>72000</v>
      </c>
      <c r="J77" s="325"/>
      <c r="K77" s="325"/>
      <c r="L77" s="317">
        <v>73433.3</v>
      </c>
      <c r="M77" s="318"/>
      <c r="N77" s="318"/>
      <c r="O77" s="318"/>
      <c r="P77" s="392">
        <f t="shared" si="8"/>
        <v>73433.3</v>
      </c>
      <c r="Q77" s="392">
        <f t="shared" si="1"/>
        <v>0</v>
      </c>
      <c r="R77" s="392">
        <f t="shared" si="2"/>
        <v>0</v>
      </c>
      <c r="S77" s="532"/>
      <c r="T77" s="374"/>
      <c r="U77" s="520">
        <f t="shared" si="9"/>
        <v>-72000</v>
      </c>
      <c r="V77" s="520">
        <f t="shared" si="10"/>
        <v>72000</v>
      </c>
      <c r="W77" s="520">
        <f t="shared" si="11"/>
        <v>77476.243764800005</v>
      </c>
      <c r="X77" s="520">
        <f t="shared" si="12"/>
        <v>-5476.243764800005</v>
      </c>
      <c r="Y77" s="525">
        <f t="shared" si="13"/>
        <v>-140601.51220593601</v>
      </c>
    </row>
    <row r="78" spans="3:38" x14ac:dyDescent="0.2">
      <c r="C78" s="387">
        <f t="shared" si="3"/>
        <v>42885</v>
      </c>
      <c r="D78" s="388">
        <f t="shared" si="4"/>
        <v>150304.21677419354</v>
      </c>
      <c r="E78" s="392">
        <f>P78+Q78+R78</f>
        <v>73235.86</v>
      </c>
      <c r="F78" s="428">
        <f t="shared" si="6"/>
        <v>0.95829195</v>
      </c>
      <c r="G78" s="390">
        <f t="shared" si="7"/>
        <v>70.181299999999993</v>
      </c>
      <c r="H78" s="391">
        <f t="shared" si="0"/>
        <v>223611.21636614355</v>
      </c>
      <c r="I78" s="324">
        <v>72000</v>
      </c>
      <c r="J78" s="325"/>
      <c r="K78" s="325"/>
      <c r="L78" s="319">
        <v>73235.86</v>
      </c>
      <c r="M78" s="320"/>
      <c r="N78" s="320"/>
      <c r="O78" s="320"/>
      <c r="P78" s="392">
        <f t="shared" si="8"/>
        <v>73235.86</v>
      </c>
      <c r="Q78" s="392">
        <f t="shared" si="1"/>
        <v>0</v>
      </c>
      <c r="R78" s="392">
        <f t="shared" si="2"/>
        <v>0</v>
      </c>
      <c r="S78" s="532"/>
      <c r="T78" s="374"/>
      <c r="U78" s="520">
        <f t="shared" si="9"/>
        <v>-72000</v>
      </c>
      <c r="V78" s="520">
        <f t="shared" si="10"/>
        <v>72000</v>
      </c>
      <c r="W78" s="520">
        <f t="shared" si="11"/>
        <v>77267.93350816</v>
      </c>
      <c r="X78" s="520">
        <f t="shared" si="12"/>
        <v>-5267.9335081600002</v>
      </c>
      <c r="Y78" s="525">
        <f t="shared" si="13"/>
        <v>-145869.44571409601</v>
      </c>
    </row>
    <row r="79" spans="3:38" ht="15" thickBot="1" x14ac:dyDescent="0.25">
      <c r="C79" s="393">
        <f t="shared" si="3"/>
        <v>42886</v>
      </c>
      <c r="D79" s="394">
        <f t="shared" si="4"/>
        <v>150304.21677419354</v>
      </c>
      <c r="E79" s="395">
        <f>P79+Q79+R79</f>
        <v>74131.98</v>
      </c>
      <c r="F79" s="429">
        <f>TRUNC(IFERROR(J$24/K$24,0),8)</f>
        <v>0.95829195</v>
      </c>
      <c r="G79" s="396">
        <f>ROUND(I$24*F79*E79,4)</f>
        <v>71.040099999999995</v>
      </c>
      <c r="H79" s="397">
        <f>SUM(D79:G79)</f>
        <v>224508.19516614356</v>
      </c>
      <c r="I79" s="326">
        <v>72000</v>
      </c>
      <c r="J79" s="327"/>
      <c r="K79" s="327"/>
      <c r="L79" s="321">
        <v>74131.98</v>
      </c>
      <c r="M79" s="322"/>
      <c r="N79" s="322"/>
      <c r="O79" s="322"/>
      <c r="P79" s="395">
        <f>L79</f>
        <v>74131.98</v>
      </c>
      <c r="Q79" s="395">
        <f>M79+N79</f>
        <v>0</v>
      </c>
      <c r="R79" s="395">
        <f>O79</f>
        <v>0</v>
      </c>
      <c r="S79" s="560"/>
      <c r="T79" s="376"/>
      <c r="U79" s="528"/>
      <c r="V79" s="528"/>
      <c r="W79" s="528"/>
      <c r="X79" s="528"/>
      <c r="Y79" s="529"/>
    </row>
    <row r="80" spans="3:38" ht="15" thickBot="1" x14ac:dyDescent="0.25">
      <c r="C80" s="398"/>
      <c r="D80" s="399">
        <f>SUM(D49:D79)</f>
        <v>4659430.72</v>
      </c>
      <c r="E80" s="400">
        <f>SUM(E49:E79)</f>
        <v>2275778.5709999991</v>
      </c>
      <c r="F80" s="400"/>
      <c r="G80" s="401">
        <f>SUM(G49:G79)</f>
        <v>2180.8602000000001</v>
      </c>
      <c r="H80" s="399">
        <f>SUM(H49:H79)</f>
        <v>6937419.8582504494</v>
      </c>
      <c r="I80" s="432">
        <f>SUM(I49:I79)</f>
        <v>2248991</v>
      </c>
      <c r="J80" s="432">
        <f t="shared" ref="J80:R80" si="14">SUM(J49:J79)</f>
        <v>0</v>
      </c>
      <c r="K80" s="432">
        <f t="shared" si="14"/>
        <v>0</v>
      </c>
      <c r="L80" s="677">
        <f t="shared" si="14"/>
        <v>2275778.5709999991</v>
      </c>
      <c r="M80" s="432">
        <f t="shared" si="14"/>
        <v>0</v>
      </c>
      <c r="N80" s="432">
        <f t="shared" si="14"/>
        <v>0</v>
      </c>
      <c r="O80" s="432">
        <f t="shared" si="14"/>
        <v>0</v>
      </c>
      <c r="P80" s="432">
        <f t="shared" si="14"/>
        <v>2275778.5709999991</v>
      </c>
      <c r="Q80" s="432">
        <f t="shared" si="14"/>
        <v>0</v>
      </c>
      <c r="R80" s="432">
        <f t="shared" si="14"/>
        <v>0</v>
      </c>
      <c r="S80" s="361">
        <f>SUM(S49:S79)</f>
        <v>0</v>
      </c>
      <c r="U80" s="530"/>
      <c r="V80" s="328">
        <f>SUM(V49:V79)</f>
        <v>2176991</v>
      </c>
      <c r="W80" s="328">
        <f>SUM(W49:W79)</f>
        <v>2322860.4457140956</v>
      </c>
      <c r="X80" s="328">
        <f>SUM(X49:X79)</f>
        <v>-145869.44571409601</v>
      </c>
      <c r="Y80" s="323">
        <f>Y79</f>
        <v>0</v>
      </c>
      <c r="AL80" s="361">
        <f>Y79</f>
        <v>0</v>
      </c>
    </row>
    <row r="81" spans="2:14" ht="15" customHeight="1" x14ac:dyDescent="0.2">
      <c r="B81"/>
      <c r="C81"/>
      <c r="D81"/>
      <c r="E81"/>
      <c r="F81"/>
      <c r="G81"/>
      <c r="H81"/>
      <c r="I81"/>
      <c r="J81"/>
      <c r="K81"/>
      <c r="L81"/>
      <c r="N81" s="2"/>
    </row>
  </sheetData>
  <mergeCells count="12">
    <mergeCell ref="C10:D10"/>
    <mergeCell ref="C11:D11"/>
    <mergeCell ref="C3:M4"/>
    <mergeCell ref="C5:M5"/>
    <mergeCell ref="C6:M6"/>
    <mergeCell ref="G7:H7"/>
    <mergeCell ref="C9:D9"/>
    <mergeCell ref="D23:E23"/>
    <mergeCell ref="D24:E24"/>
    <mergeCell ref="C28:F28"/>
    <mergeCell ref="C39:F39"/>
    <mergeCell ref="S47:Y47"/>
  </mergeCells>
  <conditionalFormatting sqref="L49:O79">
    <cfRule type="cellIs" dxfId="121" priority="1" stopIfTrue="1" operator="equal">
      <formula>0</formula>
    </cfRule>
  </conditionalFormatting>
  <printOptions horizontalCentered="1"/>
  <pageMargins left="0" right="0.70866141732283472" top="0.15748031496062992" bottom="0.35433070866141736" header="0.31496062992125984" footer="0.31496062992125984"/>
  <pageSetup scale="80" orientation="landscape" r:id="rId1"/>
  <ignoredErrors>
    <ignoredError sqref="M33" formula="1"/>
  </ignoredErrors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L81"/>
  <sheetViews>
    <sheetView workbookViewId="0"/>
  </sheetViews>
  <sheetFormatPr baseColWidth="10" defaultColWidth="11" defaultRowHeight="14.25" x14ac:dyDescent="0.2"/>
  <cols>
    <col min="1" max="1" width="11" style="2"/>
    <col min="2" max="2" width="3.875" style="2" bestFit="1" customWidth="1"/>
    <col min="3" max="3" width="16.125" style="2" customWidth="1"/>
    <col min="4" max="4" width="12.375" style="2" bestFit="1" customWidth="1"/>
    <col min="5" max="5" width="12.125" style="2" bestFit="1" customWidth="1"/>
    <col min="6" max="6" width="17.125" style="2" bestFit="1" customWidth="1"/>
    <col min="7" max="7" width="13.125" style="2" bestFit="1" customWidth="1"/>
    <col min="8" max="8" width="12.125" style="2" bestFit="1" customWidth="1"/>
    <col min="9" max="9" width="11.125" style="2" bestFit="1" customWidth="1"/>
    <col min="10" max="10" width="11.875" style="2" bestFit="1" customWidth="1"/>
    <col min="11" max="11" width="11.625" style="2" bestFit="1" customWidth="1"/>
    <col min="12" max="12" width="12.125" style="2" customWidth="1"/>
    <col min="13" max="13" width="12" style="2" bestFit="1" customWidth="1"/>
    <col min="14" max="14" width="9" style="1" customWidth="1"/>
    <col min="15" max="15" width="11.125" style="2" bestFit="1" customWidth="1"/>
    <col min="16" max="16" width="11" style="2"/>
    <col min="17" max="17" width="12.5" style="2" bestFit="1" customWidth="1"/>
    <col min="18" max="25" width="11" style="2"/>
    <col min="26" max="32" width="10.875" customWidth="1"/>
    <col min="33" max="16384" width="11" style="2"/>
  </cols>
  <sheetData>
    <row r="2" spans="2:25" x14ac:dyDescent="0.2"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2:25" ht="15" customHeight="1" x14ac:dyDescent="0.2">
      <c r="B3" s="1"/>
      <c r="C3" s="2254" t="s">
        <v>0</v>
      </c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</row>
    <row r="4" spans="2:25" ht="15" customHeight="1" x14ac:dyDescent="0.2"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</row>
    <row r="5" spans="2:25" x14ac:dyDescent="0.2">
      <c r="B5" s="1"/>
      <c r="C5" s="2257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</row>
    <row r="6" spans="2:25" ht="24" customHeight="1" x14ac:dyDescent="0.2">
      <c r="B6" s="1"/>
      <c r="C6" s="2254" t="s">
        <v>217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</row>
    <row r="7" spans="2:25" x14ac:dyDescent="0.2">
      <c r="B7" s="1"/>
      <c r="C7" s="578"/>
      <c r="D7" s="578"/>
      <c r="E7" s="578"/>
      <c r="F7" s="578"/>
      <c r="G7" s="2271">
        <v>42887</v>
      </c>
      <c r="H7" s="2257"/>
      <c r="I7" s="578"/>
      <c r="J7" s="578"/>
      <c r="K7" s="578"/>
      <c r="L7" s="578"/>
      <c r="M7" s="578"/>
      <c r="N7" s="18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2:25" x14ac:dyDescent="0.2">
      <c r="B8" s="1"/>
      <c r="C8" s="578"/>
      <c r="D8" s="578"/>
      <c r="E8" s="578"/>
      <c r="F8" s="578"/>
      <c r="G8" s="578"/>
      <c r="H8" s="578"/>
      <c r="I8" s="578"/>
      <c r="J8" s="578"/>
      <c r="K8" s="578"/>
      <c r="L8" s="578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2:25" ht="25.5" x14ac:dyDescent="0.2">
      <c r="B9" s="1"/>
      <c r="C9" s="2272" t="s">
        <v>6</v>
      </c>
      <c r="D9" s="2272"/>
      <c r="E9" s="579" t="s">
        <v>94</v>
      </c>
      <c r="F9" s="579" t="s">
        <v>126</v>
      </c>
      <c r="G9" s="410" t="s">
        <v>133</v>
      </c>
      <c r="H9" s="579" t="s">
        <v>127</v>
      </c>
      <c r="I9" s="579" t="s">
        <v>128</v>
      </c>
      <c r="J9" s="578"/>
      <c r="K9" s="578"/>
      <c r="L9" s="578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2:25" x14ac:dyDescent="0.2">
      <c r="B10" s="1"/>
      <c r="C10" s="2270" t="s">
        <v>131</v>
      </c>
      <c r="D10" s="2270"/>
      <c r="E10" s="433">
        <f>IF(C15=0,D15,C15)</f>
        <v>4659430.72</v>
      </c>
      <c r="F10" s="407">
        <f>E10*0.16</f>
        <v>745508.91519999993</v>
      </c>
      <c r="G10" s="407">
        <f>E10+F10</f>
        <v>5404939.6351999994</v>
      </c>
      <c r="H10" s="511" t="s">
        <v>211</v>
      </c>
      <c r="I10" s="583">
        <v>18.139399999999998</v>
      </c>
      <c r="J10" s="578"/>
      <c r="K10" s="578"/>
      <c r="L10" s="578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2:25" x14ac:dyDescent="0.2">
      <c r="B11" s="1"/>
      <c r="C11" s="2270" t="s">
        <v>132</v>
      </c>
      <c r="D11" s="2270"/>
      <c r="E11" s="433">
        <f>IF(C16=0,D16,C16)</f>
        <v>2156.1799999999998</v>
      </c>
      <c r="F11" s="407">
        <f>E11*0.16</f>
        <v>344.98879999999997</v>
      </c>
      <c r="G11" s="407">
        <f>E11+F11</f>
        <v>2501.1687999999999</v>
      </c>
      <c r="H11" s="511" t="s">
        <v>211</v>
      </c>
      <c r="I11" s="583">
        <f>M34/L34</f>
        <v>18.139399999999998</v>
      </c>
      <c r="J11" s="578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2:25" x14ac:dyDescent="0.2">
      <c r="B12" s="1"/>
      <c r="C12" s="578"/>
      <c r="D12" s="578"/>
      <c r="E12" s="578"/>
      <c r="F12" s="578"/>
      <c r="G12" s="578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2:25" ht="15" thickBot="1" x14ac:dyDescent="0.25">
      <c r="B13" s="1"/>
      <c r="C13" s="578"/>
      <c r="D13" s="578"/>
      <c r="E13" s="578"/>
      <c r="F13" s="578"/>
      <c r="G13" s="578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2:25" x14ac:dyDescent="0.2">
      <c r="B14" s="1"/>
      <c r="C14" s="440" t="s">
        <v>155</v>
      </c>
      <c r="D14" s="441" t="s">
        <v>156</v>
      </c>
      <c r="E14" s="442" t="s">
        <v>112</v>
      </c>
      <c r="F14" s="578"/>
      <c r="G14" s="578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2:25" x14ac:dyDescent="0.2">
      <c r="B15" s="1"/>
      <c r="C15" s="443">
        <v>4659430.72</v>
      </c>
      <c r="D15" s="444">
        <f>D80</f>
        <v>4659430.7199999979</v>
      </c>
      <c r="E15" s="445">
        <f>C15-D15</f>
        <v>0</v>
      </c>
      <c r="F15" s="578"/>
      <c r="G15" s="578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2:25" ht="15" thickBot="1" x14ac:dyDescent="0.25">
      <c r="B16" s="1"/>
      <c r="C16" s="446">
        <v>2156.1799999999998</v>
      </c>
      <c r="D16" s="447">
        <f>ROUND(G80,2)</f>
        <v>2156.1799999999998</v>
      </c>
      <c r="E16" s="448">
        <f>C16-D16</f>
        <v>0</v>
      </c>
      <c r="F16" s="578"/>
      <c r="G16" s="578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2:25" x14ac:dyDescent="0.2">
      <c r="B17" s="1"/>
      <c r="C17" s="578"/>
      <c r="D17" s="578"/>
      <c r="E17" s="578"/>
      <c r="F17" s="578"/>
      <c r="G17" s="578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2:25" x14ac:dyDescent="0.2">
      <c r="B18" s="1"/>
      <c r="C18" s="578"/>
      <c r="D18" s="578"/>
      <c r="E18" s="578"/>
      <c r="F18" s="578"/>
      <c r="G18" s="578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2:25" x14ac:dyDescent="0.2">
      <c r="B19" s="1"/>
      <c r="C19" s="578"/>
      <c r="D19" s="578"/>
      <c r="E19" s="578"/>
      <c r="F19" s="578"/>
      <c r="G19" s="578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2:25" x14ac:dyDescent="0.2">
      <c r="B20" s="1"/>
      <c r="C20" s="578"/>
      <c r="D20" s="578"/>
      <c r="E20" s="578"/>
      <c r="F20" s="578"/>
      <c r="G20" s="578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2:25" x14ac:dyDescent="0.2">
      <c r="B21" s="1"/>
      <c r="C21" s="578"/>
      <c r="D21" s="578"/>
      <c r="E21" s="578"/>
      <c r="F21" s="578"/>
      <c r="G21" s="578"/>
      <c r="H21" s="1"/>
      <c r="I21" s="1"/>
      <c r="J21" s="1"/>
      <c r="K21" s="1"/>
      <c r="L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2:25" ht="15" thickBot="1" x14ac:dyDescent="0.25">
      <c r="B22" s="1"/>
      <c r="C22" s="419" t="s">
        <v>137</v>
      </c>
      <c r="D22" s="578" t="s">
        <v>138</v>
      </c>
      <c r="E22" s="578"/>
      <c r="F22" s="578" t="s">
        <v>139</v>
      </c>
      <c r="G22" s="578" t="s">
        <v>3</v>
      </c>
      <c r="H22" s="578" t="s">
        <v>143</v>
      </c>
      <c r="I22" s="578" t="s">
        <v>142</v>
      </c>
      <c r="J22" s="578" t="s">
        <v>141</v>
      </c>
      <c r="K22" s="578" t="s">
        <v>140</v>
      </c>
      <c r="L22" s="578" t="s">
        <v>144</v>
      </c>
      <c r="M22" s="578" t="s">
        <v>146</v>
      </c>
      <c r="N22" s="578"/>
      <c r="O22" s="578"/>
      <c r="P22" s="578"/>
      <c r="Q22" s="1"/>
      <c r="R22" s="1"/>
      <c r="S22" s="1"/>
      <c r="T22" s="1"/>
      <c r="U22" s="1"/>
      <c r="V22" s="1"/>
      <c r="W22" s="1"/>
      <c r="X22" s="1"/>
      <c r="Y22" s="1"/>
    </row>
    <row r="23" spans="2:25" ht="36.75" customHeight="1" x14ac:dyDescent="0.2">
      <c r="B23" s="1"/>
      <c r="C23" s="402" t="s">
        <v>134</v>
      </c>
      <c r="D23" s="2261" t="s">
        <v>135</v>
      </c>
      <c r="E23" s="2262"/>
      <c r="F23" s="580" t="s">
        <v>136</v>
      </c>
      <c r="G23" s="461" t="s">
        <v>153</v>
      </c>
      <c r="H23" s="420" t="s">
        <v>129</v>
      </c>
      <c r="I23" s="403" t="s">
        <v>130</v>
      </c>
      <c r="J23" s="422"/>
      <c r="K23" s="422"/>
      <c r="L23" s="422"/>
      <c r="M23" s="404" t="s">
        <v>158</v>
      </c>
      <c r="N23" s="578"/>
      <c r="O23" s="578"/>
      <c r="P23" s="578"/>
      <c r="Q23" s="578"/>
      <c r="R23" s="578"/>
      <c r="S23" s="578"/>
      <c r="T23" s="578"/>
      <c r="U23" s="1"/>
      <c r="V23" s="1"/>
      <c r="W23" s="1"/>
      <c r="X23" s="1"/>
      <c r="Y23" s="1"/>
    </row>
    <row r="24" spans="2:25" x14ac:dyDescent="0.2">
      <c r="B24" s="1"/>
      <c r="C24" s="405">
        <v>850</v>
      </c>
      <c r="D24" s="2263">
        <v>850</v>
      </c>
      <c r="E24" s="2264"/>
      <c r="F24" s="418">
        <v>31482640</v>
      </c>
      <c r="G24" s="462">
        <v>30</v>
      </c>
      <c r="H24" s="460">
        <f>VLOOKUP(C47,Tarifas!D4:H303,3)</f>
        <v>0.14799999999999999</v>
      </c>
      <c r="I24" s="424">
        <f>VLOOKUP(C47,Tarifas!D4:H303,5)</f>
        <v>1E-3</v>
      </c>
      <c r="J24" s="421">
        <v>192.9</v>
      </c>
      <c r="K24" s="421">
        <v>201.4</v>
      </c>
      <c r="L24" s="421">
        <f>I11</f>
        <v>18.139399999999998</v>
      </c>
      <c r="M24" s="431">
        <f>E80</f>
        <v>2251189.7863830002</v>
      </c>
      <c r="N24" s="430" t="s">
        <v>62</v>
      </c>
      <c r="O24" s="578"/>
      <c r="P24" s="578"/>
      <c r="Q24" s="578"/>
      <c r="R24" s="578"/>
      <c r="S24" s="578"/>
      <c r="T24" s="578"/>
      <c r="U24" s="1"/>
      <c r="V24" s="1"/>
      <c r="W24" s="1"/>
      <c r="X24" s="1"/>
      <c r="Y24" s="1"/>
    </row>
    <row r="25" spans="2:25" x14ac:dyDescent="0.2">
      <c r="B25" s="1"/>
      <c r="C25" s="578"/>
      <c r="D25" s="578"/>
      <c r="E25" s="578"/>
      <c r="F25" s="578"/>
      <c r="G25" s="578"/>
      <c r="H25" s="578"/>
      <c r="I25" s="578"/>
      <c r="J25" s="578"/>
      <c r="K25" s="578"/>
      <c r="L25" s="578"/>
      <c r="M25" s="578"/>
      <c r="N25" s="578"/>
      <c r="O25" s="578"/>
      <c r="P25" s="578"/>
      <c r="Q25" s="578"/>
      <c r="R25" s="578"/>
      <c r="S25" s="1"/>
      <c r="T25" s="1"/>
      <c r="U25" s="1"/>
      <c r="V25" s="1"/>
      <c r="W25" s="1"/>
      <c r="X25" s="1"/>
      <c r="Y25" s="1"/>
    </row>
    <row r="26" spans="2:25" x14ac:dyDescent="0.2">
      <c r="B26" s="1"/>
      <c r="C26" s="578"/>
      <c r="D26" s="578"/>
      <c r="E26" s="578"/>
      <c r="F26" s="578"/>
      <c r="G26" s="578"/>
      <c r="H26" s="578"/>
      <c r="I26" s="578"/>
      <c r="J26" s="578"/>
      <c r="K26" s="578"/>
      <c r="L26" s="578"/>
      <c r="M26" s="578"/>
      <c r="N26" s="578"/>
      <c r="O26" s="578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2:25" x14ac:dyDescent="0.2">
      <c r="B27" s="1"/>
      <c r="C27" s="578"/>
      <c r="D27" s="578"/>
      <c r="E27" s="578"/>
      <c r="F27" s="578"/>
      <c r="G27" s="578"/>
      <c r="H27" s="578"/>
      <c r="I27" s="578"/>
      <c r="J27" s="578"/>
      <c r="K27" s="578"/>
      <c r="L27" s="578"/>
      <c r="M27" s="578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2:25" ht="15" thickBot="1" x14ac:dyDescent="0.25">
      <c r="B28" s="1"/>
      <c r="C28" s="2265" t="s">
        <v>86</v>
      </c>
      <c r="D28" s="2265"/>
      <c r="E28" s="2265"/>
      <c r="F28" s="2265"/>
      <c r="G28" s="581"/>
      <c r="H28" s="334"/>
      <c r="I28" s="334"/>
      <c r="J28" s="334"/>
      <c r="K28" s="581"/>
      <c r="L28" s="336"/>
      <c r="M28" s="336"/>
      <c r="O28" s="530" t="s">
        <v>212</v>
      </c>
      <c r="P28" s="674">
        <v>17.561800000000002</v>
      </c>
      <c r="Q28" s="530" t="s">
        <v>213</v>
      </c>
      <c r="R28" s="1"/>
      <c r="S28" s="1"/>
      <c r="T28" s="1"/>
      <c r="U28" s="1"/>
      <c r="V28" s="1"/>
      <c r="W28" s="1"/>
      <c r="X28" s="1"/>
      <c r="Y28" s="1"/>
    </row>
    <row r="29" spans="2:25" ht="22.5" x14ac:dyDescent="0.2">
      <c r="B29" s="1"/>
      <c r="C29" s="337" t="s">
        <v>87</v>
      </c>
      <c r="D29" s="576" t="s">
        <v>88</v>
      </c>
      <c r="E29" s="576" t="s">
        <v>89</v>
      </c>
      <c r="F29" s="576" t="s">
        <v>20</v>
      </c>
      <c r="G29" s="576" t="s">
        <v>160</v>
      </c>
      <c r="H29" s="576" t="s">
        <v>90</v>
      </c>
      <c r="I29" s="576" t="s">
        <v>91</v>
      </c>
      <c r="J29" s="576" t="s">
        <v>92</v>
      </c>
      <c r="K29" s="576" t="s">
        <v>93</v>
      </c>
      <c r="L29" s="576" t="s">
        <v>94</v>
      </c>
      <c r="M29" s="577" t="s">
        <v>95</v>
      </c>
      <c r="O29" s="590" t="s">
        <v>95</v>
      </c>
      <c r="P29" s="1"/>
      <c r="Q29" s="590" t="s">
        <v>95</v>
      </c>
      <c r="R29" s="1"/>
      <c r="S29" s="1"/>
      <c r="T29" s="1"/>
      <c r="U29" s="1"/>
      <c r="V29" s="1"/>
      <c r="W29" s="1"/>
      <c r="X29" s="1"/>
      <c r="Y29" s="1"/>
    </row>
    <row r="30" spans="2:25" x14ac:dyDescent="0.2">
      <c r="B30" s="1"/>
      <c r="C30" s="338"/>
      <c r="D30" s="339"/>
      <c r="E30" s="339" t="s">
        <v>96</v>
      </c>
      <c r="F30" s="340" t="s">
        <v>97</v>
      </c>
      <c r="G30" s="340">
        <v>2201</v>
      </c>
      <c r="H30" s="339">
        <v>20823</v>
      </c>
      <c r="I30" s="341"/>
      <c r="J30" s="339">
        <v>138.15</v>
      </c>
      <c r="K30" s="342">
        <v>0</v>
      </c>
      <c r="L30" s="343">
        <f>ROUND(K30*E$10,2)</f>
        <v>0</v>
      </c>
      <c r="M30" s="344">
        <f>L30*$I$10</f>
        <v>0</v>
      </c>
      <c r="O30" s="591">
        <v>0</v>
      </c>
      <c r="P30" s="1"/>
      <c r="Q30" s="591">
        <f>M30-O30</f>
        <v>0</v>
      </c>
      <c r="R30" s="1"/>
      <c r="S30" s="1"/>
      <c r="T30" s="1"/>
      <c r="U30" s="1"/>
      <c r="V30" s="1"/>
      <c r="W30" s="1"/>
      <c r="X30" s="1"/>
      <c r="Y30" s="1"/>
    </row>
    <row r="31" spans="2:25" x14ac:dyDescent="0.2">
      <c r="B31" s="1"/>
      <c r="C31" s="338"/>
      <c r="D31" s="339"/>
      <c r="E31" s="339" t="s">
        <v>98</v>
      </c>
      <c r="F31" s="340" t="s">
        <v>97</v>
      </c>
      <c r="G31" s="340">
        <v>2201</v>
      </c>
      <c r="H31" s="339">
        <v>20824</v>
      </c>
      <c r="I31" s="341"/>
      <c r="J31" s="339">
        <v>138.15</v>
      </c>
      <c r="K31" s="342">
        <v>0</v>
      </c>
      <c r="L31" s="343">
        <f>ROUND(K31*E$10,2)</f>
        <v>0</v>
      </c>
      <c r="M31" s="344">
        <f>L31*$I$10</f>
        <v>0</v>
      </c>
      <c r="O31" s="591">
        <v>0</v>
      </c>
      <c r="P31" s="1"/>
      <c r="Q31" s="591">
        <f>M31-O31</f>
        <v>0</v>
      </c>
      <c r="R31" s="1"/>
      <c r="S31" s="1"/>
      <c r="T31" s="1"/>
      <c r="U31" s="1"/>
      <c r="V31" s="1"/>
      <c r="W31" s="1"/>
      <c r="X31" s="1"/>
      <c r="Y31" s="1"/>
    </row>
    <row r="32" spans="2:25" x14ac:dyDescent="0.2">
      <c r="B32" s="1"/>
      <c r="C32" s="338"/>
      <c r="D32" s="339"/>
      <c r="E32" s="339" t="s">
        <v>99</v>
      </c>
      <c r="F32" s="340" t="s">
        <v>100</v>
      </c>
      <c r="G32" s="340">
        <v>2230</v>
      </c>
      <c r="H32" s="339">
        <v>22228</v>
      </c>
      <c r="I32" s="341"/>
      <c r="J32" s="339">
        <v>130.80000000000001</v>
      </c>
      <c r="K32" s="342">
        <v>0</v>
      </c>
      <c r="L32" s="343">
        <f>ROUND(K32*E$10,2)</f>
        <v>0</v>
      </c>
      <c r="M32" s="344">
        <f>L32*$I$10</f>
        <v>0</v>
      </c>
      <c r="O32" s="591">
        <f>N32*$I$10</f>
        <v>0</v>
      </c>
      <c r="P32" s="1"/>
      <c r="Q32" s="591">
        <f>M32-O32</f>
        <v>0</v>
      </c>
      <c r="R32" s="1"/>
      <c r="S32" s="1"/>
      <c r="T32" s="1"/>
      <c r="U32" s="1"/>
      <c r="V32" s="1"/>
      <c r="W32" s="1"/>
      <c r="X32" s="1"/>
      <c r="Y32" s="1"/>
    </row>
    <row r="33" spans="2:25" x14ac:dyDescent="0.2">
      <c r="B33" s="1"/>
      <c r="C33" s="338">
        <v>800762390</v>
      </c>
      <c r="D33" s="339">
        <v>5</v>
      </c>
      <c r="E33" s="354" t="s">
        <v>101</v>
      </c>
      <c r="F33" s="463" t="s">
        <v>23</v>
      </c>
      <c r="G33" s="463">
        <v>2044</v>
      </c>
      <c r="H33" s="354">
        <v>591000420</v>
      </c>
      <c r="I33" s="341">
        <v>80000</v>
      </c>
      <c r="J33" s="597"/>
      <c r="K33" s="342">
        <v>0.09</v>
      </c>
      <c r="L33" s="343">
        <f>ROUND(K33*E$10,2)</f>
        <v>419348.76</v>
      </c>
      <c r="M33" s="344">
        <v>7849873.3099999996</v>
      </c>
      <c r="O33" s="591">
        <f>L33*P28</f>
        <v>7364519.0533680012</v>
      </c>
      <c r="P33" s="1"/>
      <c r="Q33" s="591">
        <f>M33-O33</f>
        <v>485354.25663199835</v>
      </c>
      <c r="R33" s="1"/>
      <c r="S33" s="1"/>
      <c r="T33" s="1"/>
      <c r="U33" s="1"/>
      <c r="V33" s="1"/>
      <c r="W33" s="1"/>
      <c r="X33" s="1"/>
      <c r="Y33" s="1"/>
    </row>
    <row r="34" spans="2:25" ht="15" thickBot="1" x14ac:dyDescent="0.25">
      <c r="B34" s="1"/>
      <c r="C34" s="345">
        <v>800642440</v>
      </c>
      <c r="D34" s="346">
        <v>6</v>
      </c>
      <c r="E34" s="347" t="s">
        <v>101</v>
      </c>
      <c r="F34" s="348" t="s">
        <v>159</v>
      </c>
      <c r="G34" s="348">
        <v>2277</v>
      </c>
      <c r="H34" s="347">
        <v>22770</v>
      </c>
      <c r="I34" s="349">
        <f>850000-I30-I31-I32-I33</f>
        <v>770000</v>
      </c>
      <c r="J34" s="346"/>
      <c r="K34" s="350">
        <v>0.91</v>
      </c>
      <c r="L34" s="351">
        <f>ROUND(K34*E$10,2)</f>
        <v>4240081.96</v>
      </c>
      <c r="M34" s="352">
        <f>L34*$I$10</f>
        <v>76912542.705223992</v>
      </c>
      <c r="O34" s="592">
        <f>L34*P28</f>
        <v>74463471.365128011</v>
      </c>
      <c r="P34" s="1"/>
      <c r="Q34" s="592">
        <f>M34-O34</f>
        <v>2449071.340095982</v>
      </c>
      <c r="R34" s="1"/>
      <c r="S34" s="1"/>
      <c r="T34" s="1"/>
      <c r="U34" s="1"/>
      <c r="V34" s="1"/>
      <c r="W34" s="1"/>
      <c r="X34" s="1"/>
      <c r="Y34" s="1"/>
    </row>
    <row r="35" spans="2:25" x14ac:dyDescent="0.2">
      <c r="B35" s="1"/>
      <c r="C35" s="406">
        <v>3000623</v>
      </c>
      <c r="D35" s="353" t="s">
        <v>102</v>
      </c>
      <c r="E35" s="353"/>
      <c r="F35" s="353"/>
      <c r="G35" s="353"/>
      <c r="H35" s="354"/>
      <c r="I35" s="355">
        <f>SUM(I30:I34)</f>
        <v>850000</v>
      </c>
      <c r="J35" s="353"/>
      <c r="K35" s="356">
        <f>SUM(K30:K34)</f>
        <v>1</v>
      </c>
      <c r="L35" s="357">
        <f>SUM(L30:L34)</f>
        <v>4659430.72</v>
      </c>
      <c r="M35" s="357">
        <f>SUM(M30:M34)</f>
        <v>84762416.015223995</v>
      </c>
      <c r="O35" s="593">
        <f>SUM(O30:O34)</f>
        <v>81827990.418496013</v>
      </c>
      <c r="P35" s="1"/>
      <c r="Q35" s="593">
        <f>SUM(Q30:Q33)</f>
        <v>485354.25663199835</v>
      </c>
      <c r="R35" s="1"/>
      <c r="S35" s="1"/>
      <c r="T35" s="1"/>
      <c r="U35" s="1"/>
      <c r="V35" s="1"/>
      <c r="W35" s="1"/>
      <c r="X35" s="1"/>
      <c r="Y35" s="1"/>
    </row>
    <row r="36" spans="2:25" x14ac:dyDescent="0.2">
      <c r="B36" s="1"/>
      <c r="C36" s="336"/>
      <c r="D36" s="336"/>
      <c r="E36" s="336"/>
      <c r="F36" s="358"/>
      <c r="G36" s="358"/>
      <c r="H36" s="336"/>
      <c r="I36" s="336"/>
      <c r="J36" s="336"/>
      <c r="K36" s="336"/>
      <c r="L36" s="359"/>
      <c r="M36" s="1"/>
      <c r="O36" s="594">
        <v>0</v>
      </c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2:25" x14ac:dyDescent="0.2">
      <c r="B37" s="1"/>
      <c r="C37" s="336"/>
      <c r="D37" s="336"/>
      <c r="E37" s="336"/>
      <c r="F37" s="358"/>
      <c r="G37" s="358"/>
      <c r="H37" s="336"/>
      <c r="I37" s="336"/>
      <c r="J37" s="336"/>
      <c r="K37" s="336"/>
      <c r="L37" s="359"/>
      <c r="M37" s="1"/>
      <c r="O37" s="594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2:25" x14ac:dyDescent="0.2">
      <c r="B38" s="1"/>
      <c r="C38" s="336"/>
      <c r="D38" s="336"/>
      <c r="E38" s="336"/>
      <c r="F38" s="358"/>
      <c r="G38" s="358"/>
      <c r="H38" s="336"/>
      <c r="I38" s="336"/>
      <c r="J38" s="336"/>
      <c r="K38" s="336"/>
      <c r="L38" s="359"/>
      <c r="M38" s="1"/>
      <c r="O38" s="594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2:25" ht="15" thickBot="1" x14ac:dyDescent="0.25">
      <c r="B39" s="1"/>
      <c r="C39" s="2266" t="s">
        <v>103</v>
      </c>
      <c r="D39" s="2266"/>
      <c r="E39" s="2266"/>
      <c r="F39" s="2266"/>
      <c r="G39" s="581"/>
      <c r="H39" s="334"/>
      <c r="I39" s="334"/>
      <c r="J39" s="334"/>
      <c r="K39" s="336"/>
      <c r="L39" s="336"/>
      <c r="M39" s="360"/>
      <c r="O39" s="595"/>
      <c r="P39" s="1"/>
      <c r="Q39" s="360"/>
      <c r="R39" s="1"/>
      <c r="S39" s="1"/>
      <c r="T39" s="1"/>
      <c r="U39" s="1"/>
      <c r="V39" s="1"/>
      <c r="W39" s="1"/>
      <c r="X39" s="1"/>
      <c r="Y39" s="1"/>
    </row>
    <row r="40" spans="2:25" ht="22.5" x14ac:dyDescent="0.2">
      <c r="B40" s="1"/>
      <c r="C40" s="337" t="s">
        <v>87</v>
      </c>
      <c r="D40" s="576" t="s">
        <v>88</v>
      </c>
      <c r="E40" s="576" t="s">
        <v>89</v>
      </c>
      <c r="F40" s="576" t="s">
        <v>20</v>
      </c>
      <c r="G40" s="576"/>
      <c r="H40" s="576" t="s">
        <v>90</v>
      </c>
      <c r="I40" s="576" t="s">
        <v>104</v>
      </c>
      <c r="J40" s="576" t="s">
        <v>93</v>
      </c>
      <c r="K40" s="576" t="s">
        <v>92</v>
      </c>
      <c r="L40" s="576" t="s">
        <v>94</v>
      </c>
      <c r="M40" s="577" t="s">
        <v>95</v>
      </c>
      <c r="O40" s="596" t="s">
        <v>95</v>
      </c>
      <c r="P40" s="1"/>
      <c r="Q40" s="590" t="s">
        <v>95</v>
      </c>
      <c r="R40" s="1"/>
      <c r="S40" s="1"/>
      <c r="T40" s="1"/>
      <c r="U40" s="1"/>
      <c r="V40" s="1"/>
      <c r="W40" s="1"/>
      <c r="X40" s="1"/>
      <c r="Y40" s="1"/>
    </row>
    <row r="41" spans="2:25" x14ac:dyDescent="0.2">
      <c r="B41" s="1"/>
      <c r="C41" s="338"/>
      <c r="D41" s="339"/>
      <c r="E41" s="339" t="s">
        <v>96</v>
      </c>
      <c r="F41" s="340" t="s">
        <v>97</v>
      </c>
      <c r="G41" s="340"/>
      <c r="H41" s="339">
        <v>20823</v>
      </c>
      <c r="I41" s="341">
        <f>M80</f>
        <v>0</v>
      </c>
      <c r="J41" s="342">
        <f>I41/I$45</f>
        <v>0</v>
      </c>
      <c r="K41" s="339">
        <v>138.15</v>
      </c>
      <c r="L41" s="343">
        <f>ROUND(J41*$E$11,2)</f>
        <v>0</v>
      </c>
      <c r="M41" s="344">
        <f>L41*L24</f>
        <v>0</v>
      </c>
      <c r="O41" s="591">
        <v>0</v>
      </c>
      <c r="P41" s="1"/>
      <c r="Q41" s="591">
        <f>M41-O41</f>
        <v>0</v>
      </c>
      <c r="R41" s="1"/>
      <c r="S41" s="1"/>
      <c r="T41" s="1"/>
      <c r="U41" s="1"/>
      <c r="V41" s="1"/>
      <c r="W41" s="1"/>
      <c r="X41" s="1"/>
      <c r="Y41" s="1"/>
    </row>
    <row r="42" spans="2:25" x14ac:dyDescent="0.2">
      <c r="B42" s="1"/>
      <c r="C42" s="338"/>
      <c r="D42" s="339"/>
      <c r="E42" s="339" t="s">
        <v>98</v>
      </c>
      <c r="F42" s="340" t="s">
        <v>97</v>
      </c>
      <c r="G42" s="340"/>
      <c r="H42" s="339">
        <v>20824</v>
      </c>
      <c r="I42" s="341">
        <f>N80</f>
        <v>0</v>
      </c>
      <c r="J42" s="342">
        <f>I42/I$45</f>
        <v>0</v>
      </c>
      <c r="K42" s="339">
        <v>138.15</v>
      </c>
      <c r="L42" s="343">
        <f>ROUND(J42*$E$11,2)</f>
        <v>0</v>
      </c>
      <c r="M42" s="344">
        <f>L42*L25</f>
        <v>0</v>
      </c>
      <c r="O42" s="591">
        <v>0</v>
      </c>
      <c r="P42" s="1"/>
      <c r="Q42" s="591">
        <f>M42-O42</f>
        <v>0</v>
      </c>
      <c r="R42" s="1"/>
      <c r="S42" s="1"/>
      <c r="T42" s="1"/>
      <c r="U42" s="1"/>
      <c r="V42" s="1"/>
      <c r="W42" s="1"/>
      <c r="X42" s="1"/>
      <c r="Y42" s="1"/>
    </row>
    <row r="43" spans="2:25" x14ac:dyDescent="0.2">
      <c r="B43" s="1"/>
      <c r="C43" s="338"/>
      <c r="D43" s="339"/>
      <c r="E43" s="339" t="s">
        <v>99</v>
      </c>
      <c r="F43" s="340" t="s">
        <v>100</v>
      </c>
      <c r="G43" s="340"/>
      <c r="H43" s="339">
        <v>22228</v>
      </c>
      <c r="I43" s="341">
        <f>O80</f>
        <v>0</v>
      </c>
      <c r="J43" s="342">
        <f>I43/I$45</f>
        <v>0</v>
      </c>
      <c r="K43" s="339">
        <v>130.80000000000001</v>
      </c>
      <c r="L43" s="343">
        <f>ROUND(J43*$E$11,2)</f>
        <v>0</v>
      </c>
      <c r="M43" s="344">
        <f>L43*L26</f>
        <v>0</v>
      </c>
      <c r="O43" s="591">
        <f>N43*$I$10</f>
        <v>0</v>
      </c>
      <c r="P43" s="1"/>
      <c r="Q43" s="591">
        <f>M43-O43</f>
        <v>0</v>
      </c>
      <c r="R43" s="1"/>
      <c r="S43" s="1"/>
      <c r="T43" s="1"/>
      <c r="U43" s="1"/>
      <c r="V43" s="1"/>
      <c r="W43" s="1"/>
      <c r="X43" s="1"/>
      <c r="Y43" s="1"/>
    </row>
    <row r="44" spans="2:25" ht="15" thickBot="1" x14ac:dyDescent="0.25">
      <c r="B44" s="1">
        <v>7256</v>
      </c>
      <c r="C44" s="345">
        <v>800762390</v>
      </c>
      <c r="D44" s="346">
        <v>6</v>
      </c>
      <c r="E44" s="347" t="s">
        <v>101</v>
      </c>
      <c r="F44" s="348" t="s">
        <v>23</v>
      </c>
      <c r="G44" s="348">
        <v>2044</v>
      </c>
      <c r="H44" s="347">
        <v>591000500</v>
      </c>
      <c r="I44" s="349">
        <f>L80</f>
        <v>2251189.7863830002</v>
      </c>
      <c r="J44" s="350">
        <f>I44/I$45</f>
        <v>1</v>
      </c>
      <c r="K44" s="346">
        <v>138.15</v>
      </c>
      <c r="L44" s="351">
        <f>ROUND(J44*$E$11,2)</f>
        <v>2156.1799999999998</v>
      </c>
      <c r="M44" s="352">
        <f>L44*L24</f>
        <v>39111.811491999993</v>
      </c>
      <c r="O44" s="592">
        <f>L44*P28</f>
        <v>37866.401923999998</v>
      </c>
      <c r="P44" s="1"/>
      <c r="Q44" s="592">
        <f>M44-O44</f>
        <v>1245.4095679999955</v>
      </c>
      <c r="R44" s="1"/>
      <c r="S44" s="1"/>
      <c r="T44" s="1"/>
      <c r="U44" s="1"/>
      <c r="V44" s="1"/>
      <c r="W44" s="1"/>
      <c r="X44" s="1"/>
      <c r="Y44" s="1"/>
    </row>
    <row r="45" spans="2:25" x14ac:dyDescent="0.2">
      <c r="B45" s="1"/>
      <c r="C45" s="353"/>
      <c r="D45" s="353"/>
      <c r="E45" s="353"/>
      <c r="F45" s="353"/>
      <c r="G45" s="353"/>
      <c r="H45" s="354"/>
      <c r="I45" s="449">
        <f>SUM(I41:I44)</f>
        <v>2251189.7863830002</v>
      </c>
      <c r="J45" s="355"/>
      <c r="K45" s="353"/>
      <c r="L45" s="357">
        <f>SUM(L41:L44)</f>
        <v>2156.1799999999998</v>
      </c>
      <c r="M45" s="357">
        <f>SUM(M41:M44)</f>
        <v>39111.811491999993</v>
      </c>
      <c r="O45" s="593">
        <f>SUM(O41:O44)</f>
        <v>37866.401923999998</v>
      </c>
      <c r="P45" s="1"/>
      <c r="Q45" s="593">
        <f>SUM(Q41:Q44)</f>
        <v>1245.4095679999955</v>
      </c>
      <c r="R45" s="1"/>
      <c r="S45" s="1"/>
      <c r="T45" s="1"/>
      <c r="U45" s="1"/>
      <c r="V45" s="1"/>
      <c r="W45" s="1"/>
      <c r="X45" s="1"/>
      <c r="Y45" s="1"/>
    </row>
    <row r="46" spans="2:25" customFormat="1" ht="15" thickBot="1" x14ac:dyDescent="0.25">
      <c r="M46" s="450"/>
      <c r="N46" s="450"/>
      <c r="O46" s="450"/>
      <c r="P46" s="450"/>
      <c r="Q46" s="450"/>
      <c r="R46" s="450"/>
      <c r="S46" s="450"/>
      <c r="T46" s="450"/>
      <c r="U46" s="450"/>
      <c r="V46" s="450"/>
      <c r="W46" s="450"/>
      <c r="X46" s="450"/>
      <c r="Y46" s="450"/>
    </row>
    <row r="47" spans="2:25" ht="15" thickBot="1" x14ac:dyDescent="0.25">
      <c r="B47" s="434" t="s">
        <v>3</v>
      </c>
      <c r="C47" s="333">
        <f>SUMIF(Tarifas!E4:E303,'Junio - 2017'!C49,Tarifas!D4:D303)</f>
        <v>47</v>
      </c>
      <c r="D47" s="425" t="s">
        <v>147</v>
      </c>
      <c r="E47" s="426" t="s">
        <v>145</v>
      </c>
      <c r="F47" s="426" t="s">
        <v>150</v>
      </c>
      <c r="G47" s="426" t="s">
        <v>148</v>
      </c>
      <c r="H47" s="382"/>
      <c r="I47" s="331" t="s">
        <v>120</v>
      </c>
      <c r="J47" s="332"/>
      <c r="K47" s="332"/>
      <c r="L47" s="364" t="s">
        <v>105</v>
      </c>
      <c r="M47" s="365"/>
      <c r="N47" s="365"/>
      <c r="O47" s="365"/>
      <c r="P47" s="365"/>
      <c r="Q47" s="365"/>
      <c r="R47" s="366"/>
      <c r="S47" s="2267" t="s">
        <v>121</v>
      </c>
      <c r="T47" s="2268"/>
      <c r="U47" s="2268"/>
      <c r="V47" s="2268"/>
      <c r="W47" s="2268"/>
      <c r="X47" s="2268"/>
      <c r="Y47" s="2269"/>
    </row>
    <row r="48" spans="2:25" ht="33.75" x14ac:dyDescent="0.2">
      <c r="C48" s="383" t="s">
        <v>122</v>
      </c>
      <c r="D48" s="384" t="s">
        <v>125</v>
      </c>
      <c r="E48" s="385" t="s">
        <v>149</v>
      </c>
      <c r="F48" s="385" t="s">
        <v>151</v>
      </c>
      <c r="G48" s="385" t="s">
        <v>152</v>
      </c>
      <c r="H48" s="386" t="s">
        <v>123</v>
      </c>
      <c r="I48" s="329" t="s">
        <v>109</v>
      </c>
      <c r="J48" s="330" t="s">
        <v>25</v>
      </c>
      <c r="K48" s="330" t="s">
        <v>26</v>
      </c>
      <c r="L48" s="367" t="s">
        <v>115</v>
      </c>
      <c r="M48" s="362" t="s">
        <v>106</v>
      </c>
      <c r="N48" s="362" t="s">
        <v>107</v>
      </c>
      <c r="O48" s="362" t="s">
        <v>108</v>
      </c>
      <c r="P48" s="362" t="s">
        <v>115</v>
      </c>
      <c r="Q48" s="363" t="s">
        <v>116</v>
      </c>
      <c r="R48" s="368" t="s">
        <v>117</v>
      </c>
      <c r="S48" s="561" t="s">
        <v>207</v>
      </c>
      <c r="T48" s="370"/>
      <c r="U48" s="370" t="s">
        <v>112</v>
      </c>
      <c r="V48" s="371" t="s">
        <v>118</v>
      </c>
      <c r="W48" s="371" t="s">
        <v>119</v>
      </c>
      <c r="X48" s="371" t="s">
        <v>114</v>
      </c>
      <c r="Y48" s="372" t="s">
        <v>113</v>
      </c>
    </row>
    <row r="49" spans="3:25" x14ac:dyDescent="0.2">
      <c r="C49" s="387">
        <f>G7</f>
        <v>42887</v>
      </c>
      <c r="D49" s="388">
        <f>($F$24*$H$24)/$G$24</f>
        <v>155314.35733333332</v>
      </c>
      <c r="E49" s="389">
        <f>P49+Q49+R49</f>
        <v>71605.789000000004</v>
      </c>
      <c r="F49" s="427">
        <f>TRUNC(IFERROR(J$24/K$24,0),8)</f>
        <v>0.95779543</v>
      </c>
      <c r="G49" s="390">
        <f>ROUND(I$24*F49*E49,4)</f>
        <v>68.583699999999993</v>
      </c>
      <c r="H49" s="391">
        <f t="shared" ref="H49:H78" si="0">SUM(D49:G49)</f>
        <v>226989.68782876333</v>
      </c>
      <c r="I49" s="324">
        <v>75296</v>
      </c>
      <c r="J49" s="325"/>
      <c r="K49" s="325"/>
      <c r="L49" s="317">
        <v>71605.789000000004</v>
      </c>
      <c r="M49" s="318"/>
      <c r="N49" s="318"/>
      <c r="O49" s="318"/>
      <c r="P49" s="389">
        <f>L49</f>
        <v>71605.789000000004</v>
      </c>
      <c r="Q49" s="389">
        <f t="shared" ref="Q49:Q78" si="1">M49+N49</f>
        <v>0</v>
      </c>
      <c r="R49" s="389">
        <f t="shared" ref="R49:R78" si="2">O49</f>
        <v>0</v>
      </c>
      <c r="S49" s="532">
        <v>62000.04</v>
      </c>
      <c r="T49" s="374"/>
      <c r="U49" s="520">
        <f>S49+T49-V49</f>
        <v>-13295.96</v>
      </c>
      <c r="V49" s="520">
        <f>I49+J49+K49</f>
        <v>75296</v>
      </c>
      <c r="W49" s="520">
        <f>(P49+Q49+R49)*1.055056</f>
        <v>75548.117319184006</v>
      </c>
      <c r="X49" s="520">
        <f>V49-W49</f>
        <v>-252.11731918400619</v>
      </c>
      <c r="Y49" s="525">
        <f>AL46+X49</f>
        <v>-252.11731918400619</v>
      </c>
    </row>
    <row r="50" spans="3:25" x14ac:dyDescent="0.2">
      <c r="C50" s="387">
        <f t="shared" ref="C50:C78" si="3">C49+1</f>
        <v>42888</v>
      </c>
      <c r="D50" s="388">
        <f t="shared" ref="D50:D78" si="4">($F$24*$H$24)/$G$24</f>
        <v>155314.35733333332</v>
      </c>
      <c r="E50" s="392">
        <f t="shared" ref="E50:E78" si="5">P50+Q50+R50</f>
        <v>71719.600000000006</v>
      </c>
      <c r="F50" s="428">
        <f t="shared" ref="F50:F78" si="6">TRUNC(IFERROR(J$24/K$24,0),8)</f>
        <v>0.95779543</v>
      </c>
      <c r="G50" s="390">
        <f t="shared" ref="G50:G78" si="7">ROUND(I$24*F50*E50,4)</f>
        <v>68.692700000000002</v>
      </c>
      <c r="H50" s="391">
        <f t="shared" si="0"/>
        <v>227103.60782876334</v>
      </c>
      <c r="I50" s="324">
        <v>75296</v>
      </c>
      <c r="J50" s="325"/>
      <c r="K50" s="325"/>
      <c r="L50" s="319">
        <v>71719.600000000006</v>
      </c>
      <c r="M50" s="320"/>
      <c r="N50" s="320"/>
      <c r="O50" s="320"/>
      <c r="P50" s="392">
        <f t="shared" ref="P50:P78" si="8">L50</f>
        <v>71719.600000000006</v>
      </c>
      <c r="Q50" s="392">
        <f t="shared" si="1"/>
        <v>0</v>
      </c>
      <c r="R50" s="392">
        <f t="shared" si="2"/>
        <v>0</v>
      </c>
      <c r="S50" s="532">
        <v>62000.04</v>
      </c>
      <c r="T50" s="374"/>
      <c r="U50" s="520">
        <f t="shared" ref="U50:U78" si="9">S50+T50-V50</f>
        <v>-13295.96</v>
      </c>
      <c r="V50" s="520">
        <f t="shared" ref="V50:V78" si="10">I50+J50+K50</f>
        <v>75296</v>
      </c>
      <c r="W50" s="520">
        <f t="shared" ref="W50:W78" si="11">(P50+Q50+R50)*1.055056</f>
        <v>75668.194297599999</v>
      </c>
      <c r="X50" s="520">
        <f t="shared" ref="X50:X78" si="12">V50-W50</f>
        <v>-372.19429759999912</v>
      </c>
      <c r="Y50" s="525">
        <f>Y49+X50</f>
        <v>-624.31161678400531</v>
      </c>
    </row>
    <row r="51" spans="3:25" x14ac:dyDescent="0.2">
      <c r="C51" s="387">
        <f t="shared" si="3"/>
        <v>42889</v>
      </c>
      <c r="D51" s="388">
        <f t="shared" si="4"/>
        <v>155314.35733333332</v>
      </c>
      <c r="E51" s="392">
        <f t="shared" si="5"/>
        <v>71911.92</v>
      </c>
      <c r="F51" s="428">
        <f t="shared" si="6"/>
        <v>0.95779543</v>
      </c>
      <c r="G51" s="390">
        <f t="shared" si="7"/>
        <v>68.876900000000006</v>
      </c>
      <c r="H51" s="391">
        <f t="shared" si="0"/>
        <v>227296.11202876334</v>
      </c>
      <c r="I51" s="324">
        <v>75000</v>
      </c>
      <c r="J51" s="325"/>
      <c r="K51" s="325"/>
      <c r="L51" s="317">
        <v>71911.92</v>
      </c>
      <c r="M51" s="318"/>
      <c r="N51" s="318"/>
      <c r="O51" s="318"/>
      <c r="P51" s="392">
        <f t="shared" si="8"/>
        <v>71911.92</v>
      </c>
      <c r="Q51" s="392">
        <f t="shared" si="1"/>
        <v>0</v>
      </c>
      <c r="R51" s="392">
        <f t="shared" si="2"/>
        <v>0</v>
      </c>
      <c r="S51" s="532">
        <v>62000.04</v>
      </c>
      <c r="T51" s="374"/>
      <c r="U51" s="520">
        <f t="shared" si="9"/>
        <v>-12999.96</v>
      </c>
      <c r="V51" s="520">
        <f t="shared" si="10"/>
        <v>75000</v>
      </c>
      <c r="W51" s="520">
        <f t="shared" si="11"/>
        <v>75871.102667519997</v>
      </c>
      <c r="X51" s="520">
        <f t="shared" si="12"/>
        <v>-871.10266751999734</v>
      </c>
      <c r="Y51" s="525">
        <f t="shared" ref="Y51:Y78" si="13">Y50+X51</f>
        <v>-1495.4142843040026</v>
      </c>
    </row>
    <row r="52" spans="3:25" x14ac:dyDescent="0.2">
      <c r="C52" s="387">
        <f t="shared" si="3"/>
        <v>42890</v>
      </c>
      <c r="D52" s="388">
        <f t="shared" si="4"/>
        <v>155314.35733333332</v>
      </c>
      <c r="E52" s="392">
        <f t="shared" si="5"/>
        <v>71992.051999999996</v>
      </c>
      <c r="F52" s="428">
        <f t="shared" si="6"/>
        <v>0.95779543</v>
      </c>
      <c r="G52" s="390">
        <f t="shared" si="7"/>
        <v>68.953699999999998</v>
      </c>
      <c r="H52" s="391">
        <f t="shared" si="0"/>
        <v>227376.32082876333</v>
      </c>
      <c r="I52" s="324">
        <v>75000</v>
      </c>
      <c r="J52" s="325"/>
      <c r="K52" s="325"/>
      <c r="L52" s="319">
        <v>71992.051999999996</v>
      </c>
      <c r="M52" s="320"/>
      <c r="N52" s="320"/>
      <c r="O52" s="320"/>
      <c r="P52" s="392">
        <f t="shared" si="8"/>
        <v>71992.051999999996</v>
      </c>
      <c r="Q52" s="392">
        <f t="shared" si="1"/>
        <v>0</v>
      </c>
      <c r="R52" s="392">
        <f t="shared" si="2"/>
        <v>0</v>
      </c>
      <c r="S52" s="532">
        <v>60000</v>
      </c>
      <c r="T52" s="374"/>
      <c r="U52" s="520">
        <f t="shared" si="9"/>
        <v>-15000</v>
      </c>
      <c r="V52" s="520">
        <f t="shared" si="10"/>
        <v>75000</v>
      </c>
      <c r="W52" s="520">
        <f t="shared" si="11"/>
        <v>75955.646414912</v>
      </c>
      <c r="X52" s="520">
        <f t="shared" si="12"/>
        <v>-955.64641491200018</v>
      </c>
      <c r="Y52" s="525">
        <f t="shared" si="13"/>
        <v>-2451.0606992160028</v>
      </c>
    </row>
    <row r="53" spans="3:25" x14ac:dyDescent="0.2">
      <c r="C53" s="387">
        <f t="shared" si="3"/>
        <v>42891</v>
      </c>
      <c r="D53" s="388">
        <f t="shared" si="4"/>
        <v>155314.35733333332</v>
      </c>
      <c r="E53" s="392">
        <f t="shared" si="5"/>
        <v>75838.97</v>
      </c>
      <c r="F53" s="428">
        <f t="shared" si="6"/>
        <v>0.95779543</v>
      </c>
      <c r="G53" s="390">
        <f t="shared" si="7"/>
        <v>72.638199999999998</v>
      </c>
      <c r="H53" s="391">
        <f t="shared" si="0"/>
        <v>231226.92332876331</v>
      </c>
      <c r="I53" s="324">
        <v>75000</v>
      </c>
      <c r="J53" s="325"/>
      <c r="K53" s="325"/>
      <c r="L53" s="317">
        <v>75838.97</v>
      </c>
      <c r="M53" s="318"/>
      <c r="N53" s="318"/>
      <c r="O53" s="318"/>
      <c r="P53" s="392">
        <f t="shared" si="8"/>
        <v>75838.97</v>
      </c>
      <c r="Q53" s="392">
        <f t="shared" si="1"/>
        <v>0</v>
      </c>
      <c r="R53" s="392">
        <f t="shared" si="2"/>
        <v>0</v>
      </c>
      <c r="S53" s="532">
        <v>60000</v>
      </c>
      <c r="T53" s="374"/>
      <c r="U53" s="520">
        <f t="shared" si="9"/>
        <v>-15000</v>
      </c>
      <c r="V53" s="520">
        <f t="shared" si="10"/>
        <v>75000</v>
      </c>
      <c r="W53" s="520">
        <f t="shared" si="11"/>
        <v>80014.360332320008</v>
      </c>
      <c r="X53" s="520">
        <f t="shared" si="12"/>
        <v>-5014.3603323200077</v>
      </c>
      <c r="Y53" s="525">
        <f t="shared" si="13"/>
        <v>-7465.4210315360106</v>
      </c>
    </row>
    <row r="54" spans="3:25" x14ac:dyDescent="0.2">
      <c r="C54" s="387">
        <f t="shared" si="3"/>
        <v>42892</v>
      </c>
      <c r="D54" s="388">
        <f t="shared" si="4"/>
        <v>155314.35733333332</v>
      </c>
      <c r="E54" s="392">
        <f t="shared" si="5"/>
        <v>75328.884999999995</v>
      </c>
      <c r="F54" s="428">
        <f t="shared" si="6"/>
        <v>0.95779543</v>
      </c>
      <c r="G54" s="390">
        <f t="shared" si="7"/>
        <v>72.149699999999996</v>
      </c>
      <c r="H54" s="391">
        <f t="shared" si="0"/>
        <v>230716.34982876331</v>
      </c>
      <c r="I54" s="324">
        <v>75000</v>
      </c>
      <c r="J54" s="325"/>
      <c r="K54" s="325"/>
      <c r="L54" s="319">
        <v>75328.884999999995</v>
      </c>
      <c r="M54" s="320"/>
      <c r="N54" s="320"/>
      <c r="O54" s="320"/>
      <c r="P54" s="392">
        <f t="shared" si="8"/>
        <v>75328.884999999995</v>
      </c>
      <c r="Q54" s="392">
        <f t="shared" si="1"/>
        <v>0</v>
      </c>
      <c r="R54" s="392">
        <f t="shared" si="2"/>
        <v>0</v>
      </c>
      <c r="S54" s="532">
        <v>60000</v>
      </c>
      <c r="T54" s="374"/>
      <c r="U54" s="520">
        <f t="shared" si="9"/>
        <v>-15000</v>
      </c>
      <c r="V54" s="520">
        <f t="shared" si="10"/>
        <v>75000</v>
      </c>
      <c r="W54" s="520">
        <f t="shared" si="11"/>
        <v>79476.192092559999</v>
      </c>
      <c r="X54" s="520">
        <f t="shared" si="12"/>
        <v>-4476.1920925599989</v>
      </c>
      <c r="Y54" s="525">
        <f t="shared" si="13"/>
        <v>-11941.613124096009</v>
      </c>
    </row>
    <row r="55" spans="3:25" x14ac:dyDescent="0.2">
      <c r="C55" s="387">
        <f t="shared" si="3"/>
        <v>42893</v>
      </c>
      <c r="D55" s="388">
        <f t="shared" si="4"/>
        <v>155314.35733333332</v>
      </c>
      <c r="E55" s="392">
        <f t="shared" si="5"/>
        <v>73853.429999999993</v>
      </c>
      <c r="F55" s="428">
        <f t="shared" si="6"/>
        <v>0.95779543</v>
      </c>
      <c r="G55" s="390">
        <f t="shared" si="7"/>
        <v>70.736500000000007</v>
      </c>
      <c r="H55" s="391">
        <f t="shared" si="0"/>
        <v>229239.48162876331</v>
      </c>
      <c r="I55" s="324">
        <v>75000</v>
      </c>
      <c r="J55" s="325"/>
      <c r="K55" s="325"/>
      <c r="L55" s="317">
        <v>73853.429999999993</v>
      </c>
      <c r="M55" s="318"/>
      <c r="N55" s="318"/>
      <c r="O55" s="318"/>
      <c r="P55" s="392">
        <f t="shared" si="8"/>
        <v>73853.429999999993</v>
      </c>
      <c r="Q55" s="392">
        <f t="shared" si="1"/>
        <v>0</v>
      </c>
      <c r="R55" s="392">
        <f t="shared" si="2"/>
        <v>0</v>
      </c>
      <c r="S55" s="532">
        <v>62000.04</v>
      </c>
      <c r="T55" s="374"/>
      <c r="U55" s="520">
        <f t="shared" si="9"/>
        <v>-12999.96</v>
      </c>
      <c r="V55" s="520">
        <f t="shared" si="10"/>
        <v>75000</v>
      </c>
      <c r="W55" s="520">
        <f t="shared" si="11"/>
        <v>77919.504442079997</v>
      </c>
      <c r="X55" s="520">
        <f t="shared" si="12"/>
        <v>-2919.5044420799968</v>
      </c>
      <c r="Y55" s="525">
        <f t="shared" si="13"/>
        <v>-14861.117566176006</v>
      </c>
    </row>
    <row r="56" spans="3:25" x14ac:dyDescent="0.2">
      <c r="C56" s="387">
        <f t="shared" si="3"/>
        <v>42894</v>
      </c>
      <c r="D56" s="388">
        <f t="shared" si="4"/>
        <v>155314.35733333332</v>
      </c>
      <c r="E56" s="392">
        <f t="shared" si="5"/>
        <v>75049.61</v>
      </c>
      <c r="F56" s="428">
        <f t="shared" si="6"/>
        <v>0.95779543</v>
      </c>
      <c r="G56" s="390">
        <f t="shared" si="7"/>
        <v>71.882199999999997</v>
      </c>
      <c r="H56" s="391">
        <f t="shared" si="0"/>
        <v>230436.80732876333</v>
      </c>
      <c r="I56" s="324">
        <v>67000</v>
      </c>
      <c r="J56" s="325"/>
      <c r="K56" s="325"/>
      <c r="L56" s="319">
        <v>75049.61</v>
      </c>
      <c r="M56" s="320"/>
      <c r="N56" s="320"/>
      <c r="O56" s="320"/>
      <c r="P56" s="392">
        <f t="shared" si="8"/>
        <v>75049.61</v>
      </c>
      <c r="Q56" s="392">
        <f t="shared" si="1"/>
        <v>0</v>
      </c>
      <c r="R56" s="392">
        <f t="shared" si="2"/>
        <v>0</v>
      </c>
      <c r="S56" s="532">
        <v>62000.04</v>
      </c>
      <c r="T56" s="374"/>
      <c r="U56" s="520">
        <f t="shared" si="9"/>
        <v>-4999.9599999999991</v>
      </c>
      <c r="V56" s="520">
        <f t="shared" si="10"/>
        <v>67000</v>
      </c>
      <c r="W56" s="520">
        <f t="shared" si="11"/>
        <v>79181.541328160005</v>
      </c>
      <c r="X56" s="520">
        <f t="shared" si="12"/>
        <v>-12181.541328160005</v>
      </c>
      <c r="Y56" s="525">
        <f t="shared" si="13"/>
        <v>-27042.658894336011</v>
      </c>
    </row>
    <row r="57" spans="3:25" x14ac:dyDescent="0.2">
      <c r="C57" s="387">
        <f t="shared" si="3"/>
        <v>42895</v>
      </c>
      <c r="D57" s="388">
        <f t="shared" si="4"/>
        <v>155314.35733333332</v>
      </c>
      <c r="E57" s="392">
        <f t="shared" si="5"/>
        <v>75371.44</v>
      </c>
      <c r="F57" s="428">
        <f t="shared" si="6"/>
        <v>0.95779543</v>
      </c>
      <c r="G57" s="390">
        <f t="shared" si="7"/>
        <v>72.190399999999997</v>
      </c>
      <c r="H57" s="391">
        <f t="shared" si="0"/>
        <v>230758.94552876332</v>
      </c>
      <c r="I57" s="324">
        <v>67000</v>
      </c>
      <c r="J57" s="325"/>
      <c r="K57" s="325"/>
      <c r="L57" s="317">
        <v>75371.44</v>
      </c>
      <c r="M57" s="318"/>
      <c r="N57" s="318"/>
      <c r="O57" s="318"/>
      <c r="P57" s="392">
        <f t="shared" si="8"/>
        <v>75371.44</v>
      </c>
      <c r="Q57" s="392">
        <f t="shared" si="1"/>
        <v>0</v>
      </c>
      <c r="R57" s="392">
        <f t="shared" si="2"/>
        <v>0</v>
      </c>
      <c r="S57" s="532">
        <v>62000.04</v>
      </c>
      <c r="T57" s="374"/>
      <c r="U57" s="520">
        <f t="shared" si="9"/>
        <v>-4999.9599999999991</v>
      </c>
      <c r="V57" s="520">
        <f t="shared" si="10"/>
        <v>67000</v>
      </c>
      <c r="W57" s="520">
        <f t="shared" si="11"/>
        <v>79521.090000640004</v>
      </c>
      <c r="X57" s="520">
        <f t="shared" si="12"/>
        <v>-12521.090000640004</v>
      </c>
      <c r="Y57" s="525">
        <f t="shared" si="13"/>
        <v>-39563.748894976015</v>
      </c>
    </row>
    <row r="58" spans="3:25" x14ac:dyDescent="0.2">
      <c r="C58" s="387">
        <f t="shared" si="3"/>
        <v>42896</v>
      </c>
      <c r="D58" s="388">
        <f t="shared" si="4"/>
        <v>155314.35733333332</v>
      </c>
      <c r="E58" s="392">
        <f t="shared" si="5"/>
        <v>75328.755000000005</v>
      </c>
      <c r="F58" s="428">
        <f t="shared" si="6"/>
        <v>0.95779543</v>
      </c>
      <c r="G58" s="390">
        <f t="shared" si="7"/>
        <v>72.149500000000003</v>
      </c>
      <c r="H58" s="391">
        <f t="shared" si="0"/>
        <v>230716.21962876333</v>
      </c>
      <c r="I58" s="324">
        <v>67000</v>
      </c>
      <c r="J58" s="325"/>
      <c r="K58" s="325"/>
      <c r="L58" s="319">
        <v>75328.755000000005</v>
      </c>
      <c r="M58" s="320"/>
      <c r="N58" s="320"/>
      <c r="O58" s="320"/>
      <c r="P58" s="392">
        <f t="shared" si="8"/>
        <v>75328.755000000005</v>
      </c>
      <c r="Q58" s="392">
        <f t="shared" si="1"/>
        <v>0</v>
      </c>
      <c r="R58" s="392">
        <f t="shared" si="2"/>
        <v>0</v>
      </c>
      <c r="S58" s="532">
        <v>62000.04</v>
      </c>
      <c r="T58" s="374"/>
      <c r="U58" s="520">
        <f t="shared" si="9"/>
        <v>-4999.9599999999991</v>
      </c>
      <c r="V58" s="520">
        <f t="shared" si="10"/>
        <v>67000</v>
      </c>
      <c r="W58" s="520">
        <f t="shared" si="11"/>
        <v>79476.054935280001</v>
      </c>
      <c r="X58" s="520">
        <f t="shared" si="12"/>
        <v>-12476.054935280001</v>
      </c>
      <c r="Y58" s="525">
        <f t="shared" si="13"/>
        <v>-52039.803830256016</v>
      </c>
    </row>
    <row r="59" spans="3:25" x14ac:dyDescent="0.2">
      <c r="C59" s="387">
        <f t="shared" si="3"/>
        <v>42897</v>
      </c>
      <c r="D59" s="388">
        <f t="shared" si="4"/>
        <v>155314.35733333332</v>
      </c>
      <c r="E59" s="392">
        <f t="shared" si="5"/>
        <v>72921.09</v>
      </c>
      <c r="F59" s="428">
        <f t="shared" si="6"/>
        <v>0.95779543</v>
      </c>
      <c r="G59" s="390">
        <f t="shared" si="7"/>
        <v>69.843500000000006</v>
      </c>
      <c r="H59" s="391">
        <f t="shared" si="0"/>
        <v>228306.24862876331</v>
      </c>
      <c r="I59" s="324">
        <v>67000</v>
      </c>
      <c r="J59" s="325"/>
      <c r="K59" s="325"/>
      <c r="L59" s="317">
        <v>72921.09</v>
      </c>
      <c r="M59" s="318"/>
      <c r="N59" s="318"/>
      <c r="O59" s="318"/>
      <c r="P59" s="392">
        <f t="shared" si="8"/>
        <v>72921.09</v>
      </c>
      <c r="Q59" s="392">
        <f t="shared" si="1"/>
        <v>0</v>
      </c>
      <c r="R59" s="392">
        <f t="shared" si="2"/>
        <v>0</v>
      </c>
      <c r="S59" s="532">
        <v>62000.04</v>
      </c>
      <c r="T59" s="374"/>
      <c r="U59" s="520">
        <f t="shared" si="9"/>
        <v>-4999.9599999999991</v>
      </c>
      <c r="V59" s="520">
        <f t="shared" si="10"/>
        <v>67000</v>
      </c>
      <c r="W59" s="520">
        <f t="shared" si="11"/>
        <v>76935.83353104</v>
      </c>
      <c r="X59" s="520">
        <f t="shared" si="12"/>
        <v>-9935.8335310399998</v>
      </c>
      <c r="Y59" s="525">
        <f t="shared" si="13"/>
        <v>-61975.637361296016</v>
      </c>
    </row>
    <row r="60" spans="3:25" x14ac:dyDescent="0.2">
      <c r="C60" s="387">
        <f t="shared" si="3"/>
        <v>42898</v>
      </c>
      <c r="D60" s="388">
        <f t="shared" si="4"/>
        <v>155314.35733333332</v>
      </c>
      <c r="E60" s="392">
        <f t="shared" si="5"/>
        <v>76152.210000000006</v>
      </c>
      <c r="F60" s="428">
        <f t="shared" si="6"/>
        <v>0.95779543</v>
      </c>
      <c r="G60" s="390">
        <f t="shared" si="7"/>
        <v>72.938199999999995</v>
      </c>
      <c r="H60" s="391">
        <f t="shared" si="0"/>
        <v>231540.46332876332</v>
      </c>
      <c r="I60" s="324">
        <v>67000</v>
      </c>
      <c r="J60" s="325"/>
      <c r="K60" s="325"/>
      <c r="L60" s="319">
        <v>76152.210000000006</v>
      </c>
      <c r="M60" s="320"/>
      <c r="N60" s="320"/>
      <c r="O60" s="320"/>
      <c r="P60" s="392">
        <f t="shared" si="8"/>
        <v>76152.210000000006</v>
      </c>
      <c r="Q60" s="392">
        <f t="shared" si="1"/>
        <v>0</v>
      </c>
      <c r="R60" s="392">
        <f t="shared" si="2"/>
        <v>0</v>
      </c>
      <c r="S60" s="532">
        <v>62000.04</v>
      </c>
      <c r="T60" s="374"/>
      <c r="U60" s="520">
        <f t="shared" si="9"/>
        <v>-4999.9599999999991</v>
      </c>
      <c r="V60" s="520">
        <f t="shared" si="10"/>
        <v>67000</v>
      </c>
      <c r="W60" s="520">
        <f t="shared" si="11"/>
        <v>80344.846073760011</v>
      </c>
      <c r="X60" s="520">
        <f t="shared" si="12"/>
        <v>-13344.846073760011</v>
      </c>
      <c r="Y60" s="525">
        <f t="shared" si="13"/>
        <v>-75320.483435056027</v>
      </c>
    </row>
    <row r="61" spans="3:25" x14ac:dyDescent="0.2">
      <c r="C61" s="387">
        <f t="shared" si="3"/>
        <v>42899</v>
      </c>
      <c r="D61" s="388">
        <f t="shared" si="4"/>
        <v>155314.35733333332</v>
      </c>
      <c r="E61" s="392">
        <f t="shared" si="5"/>
        <v>76063.05</v>
      </c>
      <c r="F61" s="428">
        <f t="shared" si="6"/>
        <v>0.95779543</v>
      </c>
      <c r="G61" s="390">
        <f t="shared" si="7"/>
        <v>72.852800000000002</v>
      </c>
      <c r="H61" s="391">
        <f t="shared" si="0"/>
        <v>231451.21792876333</v>
      </c>
      <c r="I61" s="324">
        <v>67000</v>
      </c>
      <c r="J61" s="325"/>
      <c r="K61" s="325"/>
      <c r="L61" s="317">
        <v>76063.05</v>
      </c>
      <c r="M61" s="318"/>
      <c r="N61" s="318"/>
      <c r="O61" s="318"/>
      <c r="P61" s="392">
        <f t="shared" si="8"/>
        <v>76063.05</v>
      </c>
      <c r="Q61" s="392">
        <f t="shared" si="1"/>
        <v>0</v>
      </c>
      <c r="R61" s="392">
        <f t="shared" si="2"/>
        <v>0</v>
      </c>
      <c r="S61" s="532">
        <v>62000.04</v>
      </c>
      <c r="T61" s="374"/>
      <c r="U61" s="520">
        <f t="shared" si="9"/>
        <v>-4999.9599999999991</v>
      </c>
      <c r="V61" s="520">
        <f t="shared" si="10"/>
        <v>67000</v>
      </c>
      <c r="W61" s="520">
        <f t="shared" si="11"/>
        <v>80250.777280800001</v>
      </c>
      <c r="X61" s="520">
        <f t="shared" si="12"/>
        <v>-13250.777280800001</v>
      </c>
      <c r="Y61" s="525">
        <f t="shared" si="13"/>
        <v>-88571.260715856028</v>
      </c>
    </row>
    <row r="62" spans="3:25" x14ac:dyDescent="0.2">
      <c r="C62" s="387">
        <f t="shared" si="3"/>
        <v>42900</v>
      </c>
      <c r="D62" s="388">
        <f t="shared" si="4"/>
        <v>155314.35733333332</v>
      </c>
      <c r="E62" s="392">
        <f t="shared" si="5"/>
        <v>76041.22</v>
      </c>
      <c r="F62" s="428">
        <f t="shared" si="6"/>
        <v>0.95779543</v>
      </c>
      <c r="G62" s="390">
        <f t="shared" si="7"/>
        <v>72.831900000000005</v>
      </c>
      <c r="H62" s="391">
        <f t="shared" si="0"/>
        <v>231429.36702876331</v>
      </c>
      <c r="I62" s="324">
        <v>67000</v>
      </c>
      <c r="J62" s="325"/>
      <c r="K62" s="325"/>
      <c r="L62" s="319">
        <v>76041.22</v>
      </c>
      <c r="M62" s="320"/>
      <c r="N62" s="320"/>
      <c r="O62" s="320"/>
      <c r="P62" s="392">
        <f t="shared" si="8"/>
        <v>76041.22</v>
      </c>
      <c r="Q62" s="392">
        <f t="shared" si="1"/>
        <v>0</v>
      </c>
      <c r="R62" s="392">
        <f t="shared" si="2"/>
        <v>0</v>
      </c>
      <c r="S62" s="532">
        <v>62000.04</v>
      </c>
      <c r="T62" s="374"/>
      <c r="U62" s="520">
        <f t="shared" si="9"/>
        <v>-4999.9599999999991</v>
      </c>
      <c r="V62" s="520">
        <f t="shared" si="10"/>
        <v>67000</v>
      </c>
      <c r="W62" s="520">
        <f t="shared" si="11"/>
        <v>80227.745408319999</v>
      </c>
      <c r="X62" s="520">
        <f t="shared" si="12"/>
        <v>-13227.745408319999</v>
      </c>
      <c r="Y62" s="525">
        <f t="shared" si="13"/>
        <v>-101799.00612417603</v>
      </c>
    </row>
    <row r="63" spans="3:25" x14ac:dyDescent="0.2">
      <c r="C63" s="387">
        <f t="shared" si="3"/>
        <v>42901</v>
      </c>
      <c r="D63" s="388">
        <f t="shared" si="4"/>
        <v>155314.35733333332</v>
      </c>
      <c r="E63" s="392">
        <f t="shared" si="5"/>
        <v>76177.662110999998</v>
      </c>
      <c r="F63" s="428">
        <f t="shared" si="6"/>
        <v>0.95779543</v>
      </c>
      <c r="G63" s="390">
        <f t="shared" si="7"/>
        <v>72.962599999999995</v>
      </c>
      <c r="H63" s="391">
        <f t="shared" si="0"/>
        <v>231565.93983976333</v>
      </c>
      <c r="I63" s="324">
        <v>67000</v>
      </c>
      <c r="J63" s="325"/>
      <c r="K63" s="325"/>
      <c r="L63" s="317">
        <v>76177.662110999998</v>
      </c>
      <c r="M63" s="318"/>
      <c r="N63" s="318"/>
      <c r="O63" s="318"/>
      <c r="P63" s="392">
        <f t="shared" si="8"/>
        <v>76177.662110999998</v>
      </c>
      <c r="Q63" s="392">
        <f t="shared" si="1"/>
        <v>0</v>
      </c>
      <c r="R63" s="392">
        <f t="shared" si="2"/>
        <v>0</v>
      </c>
      <c r="S63" s="532">
        <v>68000.13</v>
      </c>
      <c r="T63" s="374"/>
      <c r="U63" s="520">
        <f t="shared" si="9"/>
        <v>1000.1300000000047</v>
      </c>
      <c r="V63" s="520">
        <f t="shared" si="10"/>
        <v>67000</v>
      </c>
      <c r="W63" s="520">
        <f t="shared" si="11"/>
        <v>80371.699476183217</v>
      </c>
      <c r="X63" s="520">
        <f t="shared" si="12"/>
        <v>-13371.699476183217</v>
      </c>
      <c r="Y63" s="525">
        <f t="shared" si="13"/>
        <v>-115170.70560035924</v>
      </c>
    </row>
    <row r="64" spans="3:25" x14ac:dyDescent="0.2">
      <c r="C64" s="387">
        <f t="shared" si="3"/>
        <v>42902</v>
      </c>
      <c r="D64" s="388">
        <f t="shared" si="4"/>
        <v>155314.35733333332</v>
      </c>
      <c r="E64" s="392">
        <f t="shared" si="5"/>
        <v>76267.132813000004</v>
      </c>
      <c r="F64" s="428">
        <f t="shared" si="6"/>
        <v>0.95779543</v>
      </c>
      <c r="G64" s="390">
        <f t="shared" si="7"/>
        <v>73.048299999999998</v>
      </c>
      <c r="H64" s="391">
        <f t="shared" si="0"/>
        <v>231655.49624176332</v>
      </c>
      <c r="I64" s="324">
        <v>67000</v>
      </c>
      <c r="J64" s="325"/>
      <c r="K64" s="325"/>
      <c r="L64" s="319">
        <v>76267.132813000004</v>
      </c>
      <c r="M64" s="320"/>
      <c r="N64" s="320"/>
      <c r="O64" s="320"/>
      <c r="P64" s="392">
        <f t="shared" si="8"/>
        <v>76267.132813000004</v>
      </c>
      <c r="Q64" s="392">
        <f t="shared" si="1"/>
        <v>0</v>
      </c>
      <c r="R64" s="392">
        <f t="shared" si="2"/>
        <v>0</v>
      </c>
      <c r="S64" s="532">
        <v>68000.13</v>
      </c>
      <c r="T64" s="374"/>
      <c r="U64" s="520">
        <f t="shared" si="9"/>
        <v>1000.1300000000047</v>
      </c>
      <c r="V64" s="520">
        <f t="shared" si="10"/>
        <v>67000</v>
      </c>
      <c r="W64" s="520">
        <f t="shared" si="11"/>
        <v>80466.096077152528</v>
      </c>
      <c r="X64" s="520">
        <f t="shared" si="12"/>
        <v>-13466.096077152528</v>
      </c>
      <c r="Y64" s="525">
        <f t="shared" si="13"/>
        <v>-128636.80167751177</v>
      </c>
    </row>
    <row r="65" spans="3:38" x14ac:dyDescent="0.2">
      <c r="C65" s="387">
        <f t="shared" si="3"/>
        <v>42903</v>
      </c>
      <c r="D65" s="388">
        <f t="shared" si="4"/>
        <v>155314.35733333332</v>
      </c>
      <c r="E65" s="392">
        <f t="shared" si="5"/>
        <v>75191.71875</v>
      </c>
      <c r="F65" s="428">
        <f t="shared" si="6"/>
        <v>0.95779543</v>
      </c>
      <c r="G65" s="390">
        <f t="shared" si="7"/>
        <v>72.018299999999996</v>
      </c>
      <c r="H65" s="391">
        <f t="shared" si="0"/>
        <v>230579.05217876332</v>
      </c>
      <c r="I65" s="324">
        <v>67000</v>
      </c>
      <c r="J65" s="325"/>
      <c r="K65" s="325"/>
      <c r="L65" s="317">
        <v>75191.71875</v>
      </c>
      <c r="M65" s="318"/>
      <c r="N65" s="318"/>
      <c r="O65" s="318"/>
      <c r="P65" s="392">
        <f t="shared" si="8"/>
        <v>75191.71875</v>
      </c>
      <c r="Q65" s="392">
        <f t="shared" si="1"/>
        <v>0</v>
      </c>
      <c r="R65" s="392">
        <f t="shared" si="2"/>
        <v>0</v>
      </c>
      <c r="S65" s="532">
        <v>68000.13</v>
      </c>
      <c r="T65" s="374"/>
      <c r="U65" s="520">
        <f t="shared" si="9"/>
        <v>1000.1300000000047</v>
      </c>
      <c r="V65" s="520">
        <f t="shared" si="10"/>
        <v>67000</v>
      </c>
      <c r="W65" s="520">
        <f t="shared" si="11"/>
        <v>79331.474017500004</v>
      </c>
      <c r="X65" s="520">
        <f t="shared" si="12"/>
        <v>-12331.474017500004</v>
      </c>
      <c r="Y65" s="525">
        <f t="shared" si="13"/>
        <v>-140968.27569501178</v>
      </c>
    </row>
    <row r="66" spans="3:38" x14ac:dyDescent="0.2">
      <c r="C66" s="387">
        <f t="shared" si="3"/>
        <v>42904</v>
      </c>
      <c r="D66" s="388">
        <f t="shared" si="4"/>
        <v>155314.35733333332</v>
      </c>
      <c r="E66" s="392">
        <f t="shared" si="5"/>
        <v>74281.34375</v>
      </c>
      <c r="F66" s="428">
        <f t="shared" si="6"/>
        <v>0.95779543</v>
      </c>
      <c r="G66" s="390">
        <f t="shared" si="7"/>
        <v>71.146299999999997</v>
      </c>
      <c r="H66" s="391">
        <f t="shared" si="0"/>
        <v>229667.80517876332</v>
      </c>
      <c r="I66" s="324">
        <v>67000</v>
      </c>
      <c r="J66" s="325"/>
      <c r="K66" s="325"/>
      <c r="L66" s="319">
        <v>74281.34375</v>
      </c>
      <c r="M66" s="320"/>
      <c r="N66" s="320"/>
      <c r="O66" s="320"/>
      <c r="P66" s="392">
        <f t="shared" si="8"/>
        <v>74281.34375</v>
      </c>
      <c r="Q66" s="392">
        <f t="shared" si="1"/>
        <v>0</v>
      </c>
      <c r="R66" s="392">
        <f t="shared" si="2"/>
        <v>0</v>
      </c>
      <c r="S66" s="532">
        <v>64999.600000000006</v>
      </c>
      <c r="T66" s="374"/>
      <c r="U66" s="520">
        <f t="shared" si="9"/>
        <v>-2000.3999999999942</v>
      </c>
      <c r="V66" s="520">
        <f t="shared" si="10"/>
        <v>67000</v>
      </c>
      <c r="W66" s="520">
        <f t="shared" si="11"/>
        <v>78370.977411500004</v>
      </c>
      <c r="X66" s="520">
        <f t="shared" si="12"/>
        <v>-11370.977411500004</v>
      </c>
      <c r="Y66" s="525">
        <f t="shared" si="13"/>
        <v>-152339.25310651178</v>
      </c>
    </row>
    <row r="67" spans="3:38" x14ac:dyDescent="0.2">
      <c r="C67" s="387">
        <f t="shared" si="3"/>
        <v>42905</v>
      </c>
      <c r="D67" s="388">
        <f t="shared" si="4"/>
        <v>155314.35733333332</v>
      </c>
      <c r="E67" s="392">
        <f t="shared" si="5"/>
        <v>75618.720948999995</v>
      </c>
      <c r="F67" s="428">
        <f t="shared" si="6"/>
        <v>0.95779543</v>
      </c>
      <c r="G67" s="390">
        <f t="shared" si="7"/>
        <v>72.427300000000002</v>
      </c>
      <c r="H67" s="391">
        <f t="shared" si="0"/>
        <v>231006.46337776334</v>
      </c>
      <c r="I67" s="324">
        <v>67000</v>
      </c>
      <c r="J67" s="325"/>
      <c r="K67" s="325"/>
      <c r="L67" s="317">
        <v>75618.720948999995</v>
      </c>
      <c r="M67" s="318"/>
      <c r="N67" s="318"/>
      <c r="O67" s="318"/>
      <c r="P67" s="392">
        <f t="shared" si="8"/>
        <v>75618.720948999995</v>
      </c>
      <c r="Q67" s="392">
        <f t="shared" si="1"/>
        <v>0</v>
      </c>
      <c r="R67" s="392">
        <f t="shared" si="2"/>
        <v>0</v>
      </c>
      <c r="S67" s="532">
        <v>64999.600000000006</v>
      </c>
      <c r="T67" s="374"/>
      <c r="U67" s="520">
        <f t="shared" si="9"/>
        <v>-2000.3999999999942</v>
      </c>
      <c r="V67" s="520">
        <f t="shared" si="10"/>
        <v>67000</v>
      </c>
      <c r="W67" s="520">
        <f t="shared" si="11"/>
        <v>79781.985249568141</v>
      </c>
      <c r="X67" s="520">
        <f t="shared" si="12"/>
        <v>-12781.985249568141</v>
      </c>
      <c r="Y67" s="525">
        <f t="shared" si="13"/>
        <v>-165121.23835607991</v>
      </c>
    </row>
    <row r="68" spans="3:38" x14ac:dyDescent="0.2">
      <c r="C68" s="387">
        <f t="shared" si="3"/>
        <v>42906</v>
      </c>
      <c r="D68" s="388">
        <f t="shared" si="4"/>
        <v>155314.35733333332</v>
      </c>
      <c r="E68" s="392">
        <f t="shared" si="5"/>
        <v>75938.714112000001</v>
      </c>
      <c r="F68" s="428">
        <f t="shared" si="6"/>
        <v>0.95779543</v>
      </c>
      <c r="G68" s="390">
        <f t="shared" si="7"/>
        <v>72.733800000000002</v>
      </c>
      <c r="H68" s="391">
        <f t="shared" si="0"/>
        <v>231326.7630407633</v>
      </c>
      <c r="I68" s="324">
        <v>67000</v>
      </c>
      <c r="J68" s="325"/>
      <c r="K68" s="325"/>
      <c r="L68" s="319">
        <v>75938.714112000001</v>
      </c>
      <c r="M68" s="320"/>
      <c r="N68" s="320"/>
      <c r="O68" s="320"/>
      <c r="P68" s="392">
        <f t="shared" si="8"/>
        <v>75938.714112000001</v>
      </c>
      <c r="Q68" s="392">
        <f t="shared" si="1"/>
        <v>0</v>
      </c>
      <c r="R68" s="392">
        <f t="shared" si="2"/>
        <v>0</v>
      </c>
      <c r="S68" s="532">
        <v>64999.600000000006</v>
      </c>
      <c r="T68" s="374"/>
      <c r="U68" s="520">
        <f t="shared" si="9"/>
        <v>-2000.3999999999942</v>
      </c>
      <c r="V68" s="520">
        <f t="shared" si="10"/>
        <v>67000</v>
      </c>
      <c r="W68" s="520">
        <f t="shared" si="11"/>
        <v>80119.595956150268</v>
      </c>
      <c r="X68" s="520">
        <f t="shared" si="12"/>
        <v>-13119.595956150268</v>
      </c>
      <c r="Y68" s="525">
        <f t="shared" si="13"/>
        <v>-178240.83431223017</v>
      </c>
    </row>
    <row r="69" spans="3:38" x14ac:dyDescent="0.2">
      <c r="C69" s="387">
        <f t="shared" si="3"/>
        <v>42907</v>
      </c>
      <c r="D69" s="388">
        <f t="shared" si="4"/>
        <v>155314.35733333332</v>
      </c>
      <c r="E69" s="392">
        <f t="shared" si="5"/>
        <v>75950.03125</v>
      </c>
      <c r="F69" s="428">
        <f t="shared" si="6"/>
        <v>0.95779543</v>
      </c>
      <c r="G69" s="390">
        <f t="shared" si="7"/>
        <v>72.744600000000005</v>
      </c>
      <c r="H69" s="391">
        <f t="shared" si="0"/>
        <v>231338.09097876333</v>
      </c>
      <c r="I69" s="324">
        <v>67000</v>
      </c>
      <c r="J69" s="325"/>
      <c r="K69" s="325"/>
      <c r="L69" s="317">
        <v>75950.03125</v>
      </c>
      <c r="M69" s="318"/>
      <c r="N69" s="318"/>
      <c r="O69" s="318"/>
      <c r="P69" s="392">
        <f t="shared" si="8"/>
        <v>75950.03125</v>
      </c>
      <c r="Q69" s="392">
        <f t="shared" si="1"/>
        <v>0</v>
      </c>
      <c r="R69" s="392">
        <f t="shared" si="2"/>
        <v>0</v>
      </c>
      <c r="S69" s="532">
        <v>64999.600000000006</v>
      </c>
      <c r="T69" s="374"/>
      <c r="U69" s="520">
        <f t="shared" si="9"/>
        <v>-2000.3999999999942</v>
      </c>
      <c r="V69" s="520">
        <f t="shared" si="10"/>
        <v>67000</v>
      </c>
      <c r="W69" s="520">
        <f t="shared" si="11"/>
        <v>80131.536170499996</v>
      </c>
      <c r="X69" s="520">
        <f t="shared" si="12"/>
        <v>-13131.536170499996</v>
      </c>
      <c r="Y69" s="525">
        <f t="shared" si="13"/>
        <v>-191372.37048273016</v>
      </c>
    </row>
    <row r="70" spans="3:38" x14ac:dyDescent="0.2">
      <c r="C70" s="387">
        <f t="shared" si="3"/>
        <v>42908</v>
      </c>
      <c r="D70" s="388">
        <f t="shared" si="4"/>
        <v>155314.35733333332</v>
      </c>
      <c r="E70" s="392">
        <f t="shared" si="5"/>
        <v>76153.9375</v>
      </c>
      <c r="F70" s="428">
        <f t="shared" si="6"/>
        <v>0.95779543</v>
      </c>
      <c r="G70" s="390">
        <f t="shared" si="7"/>
        <v>72.939899999999994</v>
      </c>
      <c r="H70" s="391">
        <f t="shared" si="0"/>
        <v>231542.19252876332</v>
      </c>
      <c r="I70" s="324">
        <v>67000</v>
      </c>
      <c r="J70" s="325"/>
      <c r="K70" s="325"/>
      <c r="L70" s="319">
        <v>76153.9375</v>
      </c>
      <c r="M70" s="320"/>
      <c r="N70" s="320"/>
      <c r="O70" s="320"/>
      <c r="P70" s="392">
        <f t="shared" si="8"/>
        <v>76153.9375</v>
      </c>
      <c r="Q70" s="392">
        <f t="shared" si="1"/>
        <v>0</v>
      </c>
      <c r="R70" s="392">
        <f t="shared" si="2"/>
        <v>0</v>
      </c>
      <c r="S70" s="532">
        <v>68000.13</v>
      </c>
      <c r="T70" s="374"/>
      <c r="U70" s="520">
        <f t="shared" si="9"/>
        <v>1000.1300000000047</v>
      </c>
      <c r="V70" s="520">
        <f t="shared" si="10"/>
        <v>67000</v>
      </c>
      <c r="W70" s="520">
        <f t="shared" si="11"/>
        <v>80346.668682999996</v>
      </c>
      <c r="X70" s="520">
        <f t="shared" si="12"/>
        <v>-13346.668682999996</v>
      </c>
      <c r="Y70" s="525">
        <f t="shared" si="13"/>
        <v>-204719.03916573015</v>
      </c>
    </row>
    <row r="71" spans="3:38" x14ac:dyDescent="0.2">
      <c r="C71" s="387">
        <f t="shared" si="3"/>
        <v>42909</v>
      </c>
      <c r="D71" s="388">
        <f t="shared" si="4"/>
        <v>155314.35733333332</v>
      </c>
      <c r="E71" s="392">
        <f t="shared" si="5"/>
        <v>76180.203125</v>
      </c>
      <c r="F71" s="428">
        <f t="shared" si="6"/>
        <v>0.95779543</v>
      </c>
      <c r="G71" s="390">
        <f t="shared" si="7"/>
        <v>72.965100000000007</v>
      </c>
      <c r="H71" s="391">
        <f t="shared" si="0"/>
        <v>231568.48335376332</v>
      </c>
      <c r="I71" s="324">
        <v>67000</v>
      </c>
      <c r="J71" s="325"/>
      <c r="K71" s="325"/>
      <c r="L71" s="317">
        <v>76180.203125</v>
      </c>
      <c r="M71" s="318"/>
      <c r="N71" s="318"/>
      <c r="O71" s="318"/>
      <c r="P71" s="392">
        <f t="shared" si="8"/>
        <v>76180.203125</v>
      </c>
      <c r="Q71" s="392">
        <f t="shared" si="1"/>
        <v>0</v>
      </c>
      <c r="R71" s="392">
        <f t="shared" si="2"/>
        <v>0</v>
      </c>
      <c r="S71" s="532">
        <v>68000.13</v>
      </c>
      <c r="T71" s="374"/>
      <c r="U71" s="520">
        <f t="shared" si="9"/>
        <v>1000.1300000000047</v>
      </c>
      <c r="V71" s="520">
        <f t="shared" si="10"/>
        <v>67000</v>
      </c>
      <c r="W71" s="520">
        <f t="shared" si="11"/>
        <v>80374.380388249992</v>
      </c>
      <c r="X71" s="520">
        <f t="shared" si="12"/>
        <v>-13374.380388249992</v>
      </c>
      <c r="Y71" s="525">
        <f t="shared" si="13"/>
        <v>-218093.41955398014</v>
      </c>
    </row>
    <row r="72" spans="3:38" x14ac:dyDescent="0.2">
      <c r="C72" s="387">
        <f t="shared" si="3"/>
        <v>42910</v>
      </c>
      <c r="D72" s="388">
        <f t="shared" si="4"/>
        <v>155314.35733333332</v>
      </c>
      <c r="E72" s="392">
        <f t="shared" si="5"/>
        <v>75277.398191999993</v>
      </c>
      <c r="F72" s="428">
        <f t="shared" si="6"/>
        <v>0.95779543</v>
      </c>
      <c r="G72" s="390">
        <f t="shared" si="7"/>
        <v>72.100300000000004</v>
      </c>
      <c r="H72" s="391">
        <f t="shared" si="0"/>
        <v>230664.81362076331</v>
      </c>
      <c r="I72" s="324">
        <v>67000</v>
      </c>
      <c r="J72" s="325"/>
      <c r="K72" s="325"/>
      <c r="L72" s="319">
        <v>75277.398191999993</v>
      </c>
      <c r="M72" s="320"/>
      <c r="N72" s="320"/>
      <c r="O72" s="320"/>
      <c r="P72" s="392">
        <f t="shared" si="8"/>
        <v>75277.398191999993</v>
      </c>
      <c r="Q72" s="392">
        <f t="shared" si="1"/>
        <v>0</v>
      </c>
      <c r="R72" s="392">
        <f t="shared" si="2"/>
        <v>0</v>
      </c>
      <c r="S72" s="532">
        <v>68000.13</v>
      </c>
      <c r="T72" s="374"/>
      <c r="U72" s="520">
        <f t="shared" si="9"/>
        <v>1000.1300000000047</v>
      </c>
      <c r="V72" s="520">
        <f t="shared" si="10"/>
        <v>67000</v>
      </c>
      <c r="W72" s="520">
        <f t="shared" si="11"/>
        <v>79421.870626858741</v>
      </c>
      <c r="X72" s="520">
        <f t="shared" si="12"/>
        <v>-12421.870626858741</v>
      </c>
      <c r="Y72" s="525">
        <f t="shared" si="13"/>
        <v>-230515.2901808389</v>
      </c>
    </row>
    <row r="73" spans="3:38" x14ac:dyDescent="0.2">
      <c r="C73" s="387">
        <f t="shared" si="3"/>
        <v>42911</v>
      </c>
      <c r="D73" s="388">
        <f t="shared" si="4"/>
        <v>155314.35733333332</v>
      </c>
      <c r="E73" s="392">
        <f t="shared" si="5"/>
        <v>74245.476563000004</v>
      </c>
      <c r="F73" s="428">
        <f t="shared" si="6"/>
        <v>0.95779543</v>
      </c>
      <c r="G73" s="390">
        <f t="shared" si="7"/>
        <v>71.111999999999995</v>
      </c>
      <c r="H73" s="391">
        <f t="shared" si="0"/>
        <v>229631.90369176332</v>
      </c>
      <c r="I73" s="324">
        <v>67000</v>
      </c>
      <c r="J73" s="325"/>
      <c r="K73" s="325"/>
      <c r="L73" s="317">
        <v>74245.476563000004</v>
      </c>
      <c r="M73" s="318"/>
      <c r="N73" s="318"/>
      <c r="O73" s="318"/>
      <c r="P73" s="392">
        <f t="shared" si="8"/>
        <v>74245.476563000004</v>
      </c>
      <c r="Q73" s="392">
        <f t="shared" si="1"/>
        <v>0</v>
      </c>
      <c r="R73" s="392">
        <f t="shared" si="2"/>
        <v>0</v>
      </c>
      <c r="S73" s="532">
        <v>66999.63</v>
      </c>
      <c r="T73" s="374"/>
      <c r="U73" s="520">
        <f t="shared" si="9"/>
        <v>-0.36999999999534339</v>
      </c>
      <c r="V73" s="520">
        <f t="shared" si="10"/>
        <v>67000</v>
      </c>
      <c r="W73" s="520">
        <f t="shared" si="11"/>
        <v>78333.135520652533</v>
      </c>
      <c r="X73" s="520">
        <f t="shared" si="12"/>
        <v>-11333.135520652533</v>
      </c>
      <c r="Y73" s="525">
        <f t="shared" si="13"/>
        <v>-241848.42570149142</v>
      </c>
    </row>
    <row r="74" spans="3:38" x14ac:dyDescent="0.2">
      <c r="C74" s="387">
        <f t="shared" si="3"/>
        <v>42912</v>
      </c>
      <c r="D74" s="388">
        <f t="shared" si="4"/>
        <v>155314.35733333332</v>
      </c>
      <c r="E74" s="392">
        <f t="shared" si="5"/>
        <v>75827.382813000004</v>
      </c>
      <c r="F74" s="428">
        <f t="shared" si="6"/>
        <v>0.95779543</v>
      </c>
      <c r="G74" s="390">
        <f t="shared" si="7"/>
        <v>72.627099999999999</v>
      </c>
      <c r="H74" s="391">
        <f t="shared" si="0"/>
        <v>231215.32504176334</v>
      </c>
      <c r="I74" s="324">
        <v>67000</v>
      </c>
      <c r="J74" s="325"/>
      <c r="K74" s="325"/>
      <c r="L74" s="319">
        <v>75827.382813000004</v>
      </c>
      <c r="M74" s="320"/>
      <c r="N74" s="320"/>
      <c r="O74" s="320"/>
      <c r="P74" s="392">
        <f t="shared" si="8"/>
        <v>75827.382813000004</v>
      </c>
      <c r="Q74" s="392">
        <f t="shared" si="1"/>
        <v>0</v>
      </c>
      <c r="R74" s="392">
        <f t="shared" si="2"/>
        <v>0</v>
      </c>
      <c r="S74" s="532">
        <v>66999.63</v>
      </c>
      <c r="T74" s="374"/>
      <c r="U74" s="520">
        <f t="shared" si="9"/>
        <v>-0.36999999999534339</v>
      </c>
      <c r="V74" s="520">
        <f t="shared" si="10"/>
        <v>67000</v>
      </c>
      <c r="W74" s="520">
        <f t="shared" si="11"/>
        <v>80002.13520115253</v>
      </c>
      <c r="X74" s="520">
        <f t="shared" si="12"/>
        <v>-13002.13520115253</v>
      </c>
      <c r="Y74" s="525">
        <f t="shared" si="13"/>
        <v>-254850.56090264395</v>
      </c>
    </row>
    <row r="75" spans="3:38" x14ac:dyDescent="0.2">
      <c r="C75" s="387">
        <f t="shared" si="3"/>
        <v>42913</v>
      </c>
      <c r="D75" s="388">
        <f t="shared" si="4"/>
        <v>155314.35733333332</v>
      </c>
      <c r="E75" s="392">
        <f t="shared" si="5"/>
        <v>75618.685546000008</v>
      </c>
      <c r="F75" s="428">
        <f t="shared" si="6"/>
        <v>0.95779543</v>
      </c>
      <c r="G75" s="390">
        <f t="shared" si="7"/>
        <v>72.427199999999999</v>
      </c>
      <c r="H75" s="391">
        <f t="shared" si="0"/>
        <v>231006.42787476332</v>
      </c>
      <c r="I75" s="324">
        <v>71000</v>
      </c>
      <c r="J75" s="325"/>
      <c r="K75" s="325"/>
      <c r="L75" s="317">
        <v>75618.685546000008</v>
      </c>
      <c r="M75" s="318"/>
      <c r="N75" s="318"/>
      <c r="O75" s="318"/>
      <c r="P75" s="392">
        <f t="shared" si="8"/>
        <v>75618.685546000008</v>
      </c>
      <c r="Q75" s="392">
        <f t="shared" si="1"/>
        <v>0</v>
      </c>
      <c r="R75" s="392">
        <f t="shared" si="2"/>
        <v>0</v>
      </c>
      <c r="S75" s="532">
        <v>66999.63</v>
      </c>
      <c r="T75" s="374"/>
      <c r="U75" s="520">
        <f t="shared" si="9"/>
        <v>-4000.3699999999953</v>
      </c>
      <c r="V75" s="520">
        <f t="shared" si="10"/>
        <v>71000</v>
      </c>
      <c r="W75" s="520">
        <f t="shared" si="11"/>
        <v>79781.947897420585</v>
      </c>
      <c r="X75" s="520">
        <f t="shared" si="12"/>
        <v>-8781.9478974205849</v>
      </c>
      <c r="Y75" s="525">
        <f t="shared" si="13"/>
        <v>-263632.50880006456</v>
      </c>
    </row>
    <row r="76" spans="3:38" x14ac:dyDescent="0.2">
      <c r="C76" s="387">
        <f t="shared" si="3"/>
        <v>42914</v>
      </c>
      <c r="D76" s="388">
        <f t="shared" si="4"/>
        <v>155314.35733333332</v>
      </c>
      <c r="E76" s="392">
        <f t="shared" si="5"/>
        <v>76382.828125</v>
      </c>
      <c r="F76" s="428">
        <f t="shared" si="6"/>
        <v>0.95779543</v>
      </c>
      <c r="G76" s="390">
        <f t="shared" si="7"/>
        <v>73.159099999999995</v>
      </c>
      <c r="H76" s="391">
        <f t="shared" si="0"/>
        <v>231771.30235376331</v>
      </c>
      <c r="I76" s="324">
        <v>71000</v>
      </c>
      <c r="J76" s="325"/>
      <c r="K76" s="325"/>
      <c r="L76" s="319">
        <v>76382.828125</v>
      </c>
      <c r="M76" s="320"/>
      <c r="N76" s="320"/>
      <c r="O76" s="320"/>
      <c r="P76" s="392">
        <f t="shared" si="8"/>
        <v>76382.828125</v>
      </c>
      <c r="Q76" s="392">
        <f t="shared" si="1"/>
        <v>0</v>
      </c>
      <c r="R76" s="392">
        <f t="shared" si="2"/>
        <v>0</v>
      </c>
      <c r="S76" s="532">
        <v>72999.73000000001</v>
      </c>
      <c r="T76" s="374"/>
      <c r="U76" s="520">
        <f t="shared" si="9"/>
        <v>1999.7300000000105</v>
      </c>
      <c r="V76" s="520">
        <f t="shared" si="10"/>
        <v>71000</v>
      </c>
      <c r="W76" s="520">
        <f t="shared" si="11"/>
        <v>80588.161110250003</v>
      </c>
      <c r="X76" s="520">
        <f t="shared" si="12"/>
        <v>-9588.1611102500028</v>
      </c>
      <c r="Y76" s="525">
        <f t="shared" si="13"/>
        <v>-273220.66991031455</v>
      </c>
    </row>
    <row r="77" spans="3:38" x14ac:dyDescent="0.2">
      <c r="C77" s="387">
        <f t="shared" si="3"/>
        <v>42915</v>
      </c>
      <c r="D77" s="388">
        <f t="shared" si="4"/>
        <v>155314.35733333332</v>
      </c>
      <c r="E77" s="392">
        <f t="shared" si="5"/>
        <v>76617.990721000009</v>
      </c>
      <c r="F77" s="428">
        <f t="shared" si="6"/>
        <v>0.95779543</v>
      </c>
      <c r="G77" s="390">
        <f t="shared" si="7"/>
        <v>73.384399999999999</v>
      </c>
      <c r="H77" s="391">
        <f t="shared" si="0"/>
        <v>232006.69024976334</v>
      </c>
      <c r="I77" s="324">
        <v>71000</v>
      </c>
      <c r="J77" s="325"/>
      <c r="K77" s="325"/>
      <c r="L77" s="317">
        <v>76617.990721000009</v>
      </c>
      <c r="M77" s="318"/>
      <c r="N77" s="318"/>
      <c r="O77" s="318"/>
      <c r="P77" s="392">
        <f t="shared" si="8"/>
        <v>76617.990721000009</v>
      </c>
      <c r="Q77" s="392">
        <f t="shared" si="1"/>
        <v>0</v>
      </c>
      <c r="R77" s="392">
        <f t="shared" si="2"/>
        <v>0</v>
      </c>
      <c r="S77" s="532">
        <v>72999.73000000001</v>
      </c>
      <c r="T77" s="374"/>
      <c r="U77" s="520">
        <f t="shared" si="9"/>
        <v>1999.7300000000105</v>
      </c>
      <c r="V77" s="520">
        <f t="shared" si="10"/>
        <v>71000</v>
      </c>
      <c r="W77" s="520">
        <f t="shared" si="11"/>
        <v>80836.270818135381</v>
      </c>
      <c r="X77" s="520">
        <f t="shared" si="12"/>
        <v>-9836.270818135381</v>
      </c>
      <c r="Y77" s="525">
        <f t="shared" si="13"/>
        <v>-283056.94072844996</v>
      </c>
    </row>
    <row r="78" spans="3:38" x14ac:dyDescent="0.2">
      <c r="C78" s="387">
        <f t="shared" si="3"/>
        <v>42916</v>
      </c>
      <c r="D78" s="388">
        <f t="shared" si="4"/>
        <v>155314.35733333332</v>
      </c>
      <c r="E78" s="392">
        <f t="shared" si="5"/>
        <v>76282.539063000004</v>
      </c>
      <c r="F78" s="428">
        <f t="shared" si="6"/>
        <v>0.95779543</v>
      </c>
      <c r="G78" s="390">
        <f t="shared" si="7"/>
        <v>73.063100000000006</v>
      </c>
      <c r="H78" s="391">
        <f t="shared" si="0"/>
        <v>231670.91729176333</v>
      </c>
      <c r="I78" s="324">
        <v>71000</v>
      </c>
      <c r="J78" s="325"/>
      <c r="K78" s="325"/>
      <c r="L78" s="319">
        <v>76282.539063000004</v>
      </c>
      <c r="M78" s="320"/>
      <c r="N78" s="320"/>
      <c r="O78" s="320"/>
      <c r="P78" s="392">
        <f t="shared" si="8"/>
        <v>76282.539063000004</v>
      </c>
      <c r="Q78" s="392">
        <f t="shared" si="1"/>
        <v>0</v>
      </c>
      <c r="R78" s="392">
        <f t="shared" si="2"/>
        <v>0</v>
      </c>
      <c r="S78" s="532">
        <v>72999.73000000001</v>
      </c>
      <c r="T78" s="374"/>
      <c r="U78" s="520">
        <f t="shared" si="9"/>
        <v>1999.7300000000105</v>
      </c>
      <c r="V78" s="520">
        <f t="shared" si="10"/>
        <v>71000</v>
      </c>
      <c r="W78" s="520">
        <f t="shared" si="11"/>
        <v>80482.350533652527</v>
      </c>
      <c r="X78" s="520">
        <f t="shared" si="12"/>
        <v>-9482.3505336525268</v>
      </c>
      <c r="Y78" s="525">
        <f t="shared" si="13"/>
        <v>-292539.29126210249</v>
      </c>
    </row>
    <row r="79" spans="3:38" ht="15" thickBot="1" x14ac:dyDescent="0.25">
      <c r="C79" s="393"/>
      <c r="D79" s="394"/>
      <c r="E79" s="395"/>
      <c r="F79" s="429"/>
      <c r="G79" s="396"/>
      <c r="H79" s="397"/>
      <c r="I79" s="326"/>
      <c r="J79" s="327"/>
      <c r="K79" s="327"/>
      <c r="L79" s="321"/>
      <c r="M79" s="322"/>
      <c r="N79" s="322"/>
      <c r="O79" s="322"/>
      <c r="P79" s="395"/>
      <c r="Q79" s="395"/>
      <c r="R79" s="395"/>
      <c r="S79" s="560"/>
      <c r="T79" s="376"/>
      <c r="U79" s="528"/>
      <c r="V79" s="528"/>
      <c r="W79" s="528"/>
      <c r="X79" s="528"/>
      <c r="Y79" s="529"/>
    </row>
    <row r="80" spans="3:38" ht="15" thickBot="1" x14ac:dyDescent="0.25">
      <c r="C80" s="398"/>
      <c r="D80" s="399">
        <f>SUM(D49:D79)</f>
        <v>4659430.7199999979</v>
      </c>
      <c r="E80" s="400">
        <f>SUM(E49:E79)</f>
        <v>2251189.7863830002</v>
      </c>
      <c r="F80" s="400"/>
      <c r="G80" s="401">
        <f>SUM(G49:G79)</f>
        <v>2156.1792999999998</v>
      </c>
      <c r="H80" s="399">
        <f>SUM(H49:H79)</f>
        <v>6912805.4195458982</v>
      </c>
      <c r="I80" s="432">
        <f>SUM(I49:I79)</f>
        <v>2082592</v>
      </c>
      <c r="J80" s="432">
        <f t="shared" ref="J80:R80" si="14">SUM(J49:J79)</f>
        <v>0</v>
      </c>
      <c r="K80" s="432">
        <f t="shared" si="14"/>
        <v>0</v>
      </c>
      <c r="L80" s="432">
        <f t="shared" si="14"/>
        <v>2251189.7863830002</v>
      </c>
      <c r="M80" s="432">
        <f t="shared" si="14"/>
        <v>0</v>
      </c>
      <c r="N80" s="432">
        <f t="shared" si="14"/>
        <v>0</v>
      </c>
      <c r="O80" s="432">
        <f t="shared" si="14"/>
        <v>0</v>
      </c>
      <c r="P80" s="432">
        <f t="shared" si="14"/>
        <v>2251189.7863830002</v>
      </c>
      <c r="Q80" s="432">
        <f t="shared" si="14"/>
        <v>0</v>
      </c>
      <c r="R80" s="432">
        <f t="shared" si="14"/>
        <v>0</v>
      </c>
      <c r="S80" s="361">
        <f>SUM(S49:S79)</f>
        <v>1949997.6999999997</v>
      </c>
      <c r="U80" s="530"/>
      <c r="V80" s="328">
        <f>SUM(V49:V79)</f>
        <v>2082592</v>
      </c>
      <c r="W80" s="328">
        <f>SUM(W49:W79)</f>
        <v>2375131.2912621023</v>
      </c>
      <c r="X80" s="328">
        <f>SUM(X49:X79)</f>
        <v>-292539.29126210249</v>
      </c>
      <c r="Y80" s="323">
        <f>Y79</f>
        <v>0</v>
      </c>
      <c r="AL80" s="361">
        <f>Y79</f>
        <v>0</v>
      </c>
    </row>
    <row r="81" spans="2:14" ht="15" customHeight="1" x14ac:dyDescent="0.2">
      <c r="B81"/>
      <c r="C81"/>
      <c r="D81"/>
      <c r="E81"/>
      <c r="F81"/>
      <c r="G81"/>
      <c r="H81"/>
      <c r="I81"/>
      <c r="J81"/>
      <c r="K81"/>
      <c r="L81"/>
      <c r="N81" s="2"/>
    </row>
  </sheetData>
  <mergeCells count="12">
    <mergeCell ref="C10:D10"/>
    <mergeCell ref="C11:D11"/>
    <mergeCell ref="C3:M4"/>
    <mergeCell ref="C5:M5"/>
    <mergeCell ref="C6:M6"/>
    <mergeCell ref="G7:H7"/>
    <mergeCell ref="C9:D9"/>
    <mergeCell ref="D23:E23"/>
    <mergeCell ref="D24:E24"/>
    <mergeCell ref="C28:F28"/>
    <mergeCell ref="C39:F39"/>
    <mergeCell ref="S47:Y47"/>
  </mergeCells>
  <conditionalFormatting sqref="L49:O79">
    <cfRule type="cellIs" dxfId="120" priority="1" stopIfTrue="1" operator="equal">
      <formula>0</formula>
    </cfRule>
  </conditionalFormatting>
  <printOptions horizontalCentered="1"/>
  <pageMargins left="0" right="0.70866141732283472" top="0.15748031496062992" bottom="0.35433070866141736" header="0.31496062992125984" footer="0.31496062992125984"/>
  <pageSetup scale="80" orientation="landscape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2:AL81"/>
  <sheetViews>
    <sheetView topLeftCell="C38" workbookViewId="0"/>
  </sheetViews>
  <sheetFormatPr baseColWidth="10" defaultColWidth="11" defaultRowHeight="14.25" x14ac:dyDescent="0.2"/>
  <cols>
    <col min="1" max="1" width="11" style="2"/>
    <col min="2" max="2" width="3.875" style="2" bestFit="1" customWidth="1"/>
    <col min="3" max="3" width="16.125" style="2" customWidth="1"/>
    <col min="4" max="4" width="12.375" style="2" bestFit="1" customWidth="1"/>
    <col min="5" max="5" width="12.125" style="2" bestFit="1" customWidth="1"/>
    <col min="6" max="6" width="17.125" style="2" bestFit="1" customWidth="1"/>
    <col min="7" max="7" width="13.125" style="2" bestFit="1" customWidth="1"/>
    <col min="8" max="8" width="12.125" style="2" bestFit="1" customWidth="1"/>
    <col min="9" max="9" width="11.125" style="2" bestFit="1" customWidth="1"/>
    <col min="10" max="10" width="11.875" style="2" bestFit="1" customWidth="1"/>
    <col min="11" max="11" width="11.625" style="2" bestFit="1" customWidth="1"/>
    <col min="12" max="12" width="12.125" style="2" customWidth="1"/>
    <col min="13" max="13" width="12" style="2" bestFit="1" customWidth="1"/>
    <col min="14" max="14" width="9" style="1" customWidth="1"/>
    <col min="15" max="15" width="11.125" style="2" bestFit="1" customWidth="1"/>
    <col min="16" max="16" width="11" style="2"/>
    <col min="17" max="17" width="12.5" style="2" bestFit="1" customWidth="1"/>
    <col min="18" max="25" width="11" style="2"/>
    <col min="26" max="32" width="10.875" customWidth="1"/>
    <col min="33" max="16384" width="11" style="2"/>
  </cols>
  <sheetData>
    <row r="2" spans="2:25" x14ac:dyDescent="0.2"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2:25" ht="15" customHeight="1" x14ac:dyDescent="0.2">
      <c r="B3" s="1"/>
      <c r="C3" s="2254" t="s">
        <v>0</v>
      </c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</row>
    <row r="4" spans="2:25" ht="15" customHeight="1" x14ac:dyDescent="0.2"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</row>
    <row r="5" spans="2:25" x14ac:dyDescent="0.2">
      <c r="B5" s="1"/>
      <c r="C5" s="2257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</row>
    <row r="6" spans="2:25" ht="24.95" customHeight="1" x14ac:dyDescent="0.2">
      <c r="B6" s="1"/>
      <c r="C6" s="2254" t="s">
        <v>217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</row>
    <row r="7" spans="2:25" x14ac:dyDescent="0.2">
      <c r="B7" s="1"/>
      <c r="C7" s="600"/>
      <c r="D7" s="600"/>
      <c r="E7" s="600"/>
      <c r="F7" s="600"/>
      <c r="G7" s="2271">
        <v>42917</v>
      </c>
      <c r="H7" s="2257"/>
      <c r="I7" s="600"/>
      <c r="J7" s="600"/>
      <c r="K7" s="600"/>
      <c r="L7" s="600"/>
      <c r="M7" s="600"/>
      <c r="N7" s="18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2:25" x14ac:dyDescent="0.2">
      <c r="B8" s="1"/>
      <c r="C8" s="600"/>
      <c r="D8" s="600"/>
      <c r="E8" s="600"/>
      <c r="F8" s="600"/>
      <c r="G8" s="600"/>
      <c r="H8" s="600"/>
      <c r="I8" s="600"/>
      <c r="J8" s="600"/>
      <c r="K8" s="600"/>
      <c r="L8" s="600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2:25" ht="25.5" x14ac:dyDescent="0.2">
      <c r="B9" s="1"/>
      <c r="C9" s="2272" t="s">
        <v>6</v>
      </c>
      <c r="D9" s="2272"/>
      <c r="E9" s="601" t="s">
        <v>94</v>
      </c>
      <c r="F9" s="601" t="s">
        <v>126</v>
      </c>
      <c r="G9" s="410" t="s">
        <v>133</v>
      </c>
      <c r="H9" s="601" t="s">
        <v>127</v>
      </c>
      <c r="I9" s="601" t="s">
        <v>128</v>
      </c>
      <c r="J9" s="600"/>
      <c r="K9" s="600"/>
      <c r="L9" s="600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2:25" x14ac:dyDescent="0.2">
      <c r="B10" s="1"/>
      <c r="C10" s="2270" t="s">
        <v>131</v>
      </c>
      <c r="D10" s="2270"/>
      <c r="E10" s="433">
        <f>IF(C15=0,D15,C15)</f>
        <v>4659430.72</v>
      </c>
      <c r="F10" s="407">
        <f>E10*0.16</f>
        <v>745508.91519999993</v>
      </c>
      <c r="G10" s="407">
        <f>E10+F10</f>
        <v>5404939.6351999994</v>
      </c>
      <c r="H10" s="511" t="s">
        <v>214</v>
      </c>
      <c r="I10" s="583">
        <v>17.869599999999998</v>
      </c>
      <c r="J10" s="600"/>
      <c r="K10" s="600"/>
      <c r="L10" s="600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2:25" x14ac:dyDescent="0.2">
      <c r="B11" s="1"/>
      <c r="C11" s="2270" t="s">
        <v>132</v>
      </c>
      <c r="D11" s="2270"/>
      <c r="E11" s="433">
        <f>IF(C16=0,D16,C16)</f>
        <v>2219.3000000000002</v>
      </c>
      <c r="F11" s="407">
        <f>E11*0.16</f>
        <v>355.08800000000002</v>
      </c>
      <c r="G11" s="407">
        <f>E11+F11</f>
        <v>2574.3880000000004</v>
      </c>
      <c r="H11" s="511" t="s">
        <v>214</v>
      </c>
      <c r="I11" s="583">
        <f>M34/L34</f>
        <v>17.869599999999998</v>
      </c>
      <c r="J11" s="600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2:25" x14ac:dyDescent="0.2">
      <c r="B12" s="1"/>
      <c r="C12" s="600"/>
      <c r="D12" s="600"/>
      <c r="E12" s="600"/>
      <c r="F12" s="600"/>
      <c r="G12" s="600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2:25" ht="15" thickBot="1" x14ac:dyDescent="0.25">
      <c r="B13" s="1"/>
      <c r="C13" s="600"/>
      <c r="D13" s="600"/>
      <c r="E13" s="600"/>
      <c r="F13" s="600"/>
      <c r="G13" s="600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2:25" x14ac:dyDescent="0.2">
      <c r="B14" s="1"/>
      <c r="C14" s="440" t="s">
        <v>155</v>
      </c>
      <c r="D14" s="441" t="s">
        <v>156</v>
      </c>
      <c r="E14" s="442" t="s">
        <v>112</v>
      </c>
      <c r="F14" s="600"/>
      <c r="G14" s="600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2:25" x14ac:dyDescent="0.2">
      <c r="B15" s="1"/>
      <c r="C15" s="443">
        <v>4659430.72</v>
      </c>
      <c r="D15" s="444">
        <f>D80</f>
        <v>4659430.72</v>
      </c>
      <c r="E15" s="445">
        <f>C15-D15</f>
        <v>0</v>
      </c>
      <c r="F15" s="600"/>
      <c r="G15" s="600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2:25" ht="15" thickBot="1" x14ac:dyDescent="0.25">
      <c r="B16" s="1"/>
      <c r="C16" s="446">
        <v>2219.3000000000002</v>
      </c>
      <c r="D16" s="447">
        <f>ROUND(G80,2)</f>
        <v>2219.3000000000002</v>
      </c>
      <c r="E16" s="448">
        <f>C16-D16</f>
        <v>0</v>
      </c>
      <c r="F16" s="600"/>
      <c r="G16" s="600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2:25" x14ac:dyDescent="0.2">
      <c r="B17" s="1"/>
      <c r="C17" s="600"/>
      <c r="D17" s="600"/>
      <c r="E17" s="600"/>
      <c r="F17" s="600"/>
      <c r="G17" s="600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2:25" x14ac:dyDescent="0.2">
      <c r="B18" s="1"/>
      <c r="C18" s="600"/>
      <c r="D18" s="600"/>
      <c r="E18" s="600"/>
      <c r="F18" s="600"/>
      <c r="G18" s="600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2:25" x14ac:dyDescent="0.2">
      <c r="B19" s="1"/>
      <c r="C19" s="600"/>
      <c r="D19" s="600"/>
      <c r="E19" s="600"/>
      <c r="F19" s="600"/>
      <c r="G19" s="600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2:25" x14ac:dyDescent="0.2">
      <c r="B20" s="1"/>
      <c r="C20" s="600"/>
      <c r="D20" s="600"/>
      <c r="E20" s="600"/>
      <c r="F20" s="600"/>
      <c r="G20" s="600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2:25" x14ac:dyDescent="0.2">
      <c r="B21" s="1"/>
      <c r="C21" s="600"/>
      <c r="D21" s="600"/>
      <c r="E21" s="600"/>
      <c r="F21" s="600"/>
      <c r="G21" s="600"/>
      <c r="H21" s="1"/>
      <c r="I21" s="1"/>
      <c r="J21" s="1"/>
      <c r="K21" s="1"/>
      <c r="L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2:25" ht="15" thickBot="1" x14ac:dyDescent="0.25">
      <c r="B22" s="1"/>
      <c r="C22" s="419" t="s">
        <v>137</v>
      </c>
      <c r="D22" s="600" t="s">
        <v>138</v>
      </c>
      <c r="E22" s="600"/>
      <c r="F22" s="600" t="s">
        <v>139</v>
      </c>
      <c r="G22" s="600" t="s">
        <v>3</v>
      </c>
      <c r="H22" s="600" t="s">
        <v>143</v>
      </c>
      <c r="I22" s="600" t="s">
        <v>142</v>
      </c>
      <c r="J22" s="600" t="s">
        <v>141</v>
      </c>
      <c r="K22" s="600" t="s">
        <v>140</v>
      </c>
      <c r="L22" s="600" t="s">
        <v>144</v>
      </c>
      <c r="M22" s="600" t="s">
        <v>146</v>
      </c>
      <c r="N22" s="600"/>
      <c r="O22" s="600"/>
      <c r="P22" s="600"/>
      <c r="Q22" s="1"/>
      <c r="R22" s="1"/>
      <c r="S22" s="1"/>
      <c r="T22" s="1"/>
      <c r="U22" s="1"/>
      <c r="V22" s="1"/>
      <c r="W22" s="1"/>
      <c r="X22" s="1"/>
      <c r="Y22" s="1"/>
    </row>
    <row r="23" spans="2:25" ht="36.75" customHeight="1" x14ac:dyDescent="0.2">
      <c r="B23" s="1"/>
      <c r="C23" s="402" t="s">
        <v>134</v>
      </c>
      <c r="D23" s="2261" t="s">
        <v>135</v>
      </c>
      <c r="E23" s="2262"/>
      <c r="F23" s="602" t="s">
        <v>136</v>
      </c>
      <c r="G23" s="461" t="s">
        <v>153</v>
      </c>
      <c r="H23" s="420" t="s">
        <v>129</v>
      </c>
      <c r="I23" s="403" t="s">
        <v>130</v>
      </c>
      <c r="J23" s="422"/>
      <c r="K23" s="422"/>
      <c r="L23" s="422"/>
      <c r="M23" s="404" t="s">
        <v>158</v>
      </c>
      <c r="N23" s="600"/>
      <c r="O23" s="600"/>
      <c r="P23" s="600"/>
      <c r="Q23" s="600"/>
      <c r="R23" s="600"/>
      <c r="S23" s="600"/>
      <c r="T23" s="600"/>
      <c r="U23" s="1"/>
      <c r="V23" s="1"/>
      <c r="W23" s="1"/>
      <c r="X23" s="1"/>
      <c r="Y23" s="1"/>
    </row>
    <row r="24" spans="2:25" x14ac:dyDescent="0.2">
      <c r="B24" s="1"/>
      <c r="C24" s="405">
        <v>850</v>
      </c>
      <c r="D24" s="2263">
        <v>850</v>
      </c>
      <c r="E24" s="2264"/>
      <c r="F24" s="418">
        <v>31482640</v>
      </c>
      <c r="G24" s="462">
        <v>31</v>
      </c>
      <c r="H24" s="460">
        <f>VLOOKUP(C47,Tarifas!D4:H303,3)</f>
        <v>0.14799999999999999</v>
      </c>
      <c r="I24" s="424">
        <f>VLOOKUP(C47,Tarifas!D4:H303,5)</f>
        <v>1E-3</v>
      </c>
      <c r="J24" s="421">
        <v>193.7</v>
      </c>
      <c r="K24" s="421">
        <v>201.4</v>
      </c>
      <c r="L24" s="421">
        <f>I11</f>
        <v>17.869599999999998</v>
      </c>
      <c r="M24" s="431">
        <f>E80</f>
        <v>2307520.5287450003</v>
      </c>
      <c r="N24" s="430" t="s">
        <v>62</v>
      </c>
      <c r="O24" s="600"/>
      <c r="P24" s="600"/>
      <c r="Q24" s="600"/>
      <c r="R24" s="600"/>
      <c r="S24" s="600"/>
      <c r="T24" s="600"/>
      <c r="U24" s="1"/>
      <c r="V24" s="1"/>
      <c r="W24" s="1"/>
      <c r="X24" s="1"/>
      <c r="Y24" s="1"/>
    </row>
    <row r="25" spans="2:25" x14ac:dyDescent="0.2">
      <c r="B25" s="1"/>
      <c r="C25" s="600"/>
      <c r="D25" s="600"/>
      <c r="E25" s="600"/>
      <c r="F25" s="600"/>
      <c r="G25" s="600"/>
      <c r="H25" s="600"/>
      <c r="I25" s="600"/>
      <c r="J25" s="600"/>
      <c r="K25" s="600"/>
      <c r="L25" s="600"/>
      <c r="M25" s="600"/>
      <c r="N25" s="600"/>
      <c r="O25" s="600"/>
      <c r="P25" s="600"/>
      <c r="Q25" s="600"/>
      <c r="R25" s="600"/>
      <c r="S25" s="1"/>
      <c r="T25" s="1"/>
      <c r="U25" s="1"/>
      <c r="V25" s="1"/>
      <c r="W25" s="1"/>
      <c r="X25" s="1"/>
      <c r="Y25" s="1"/>
    </row>
    <row r="26" spans="2:25" x14ac:dyDescent="0.2">
      <c r="B26" s="1"/>
      <c r="C26" s="600"/>
      <c r="D26" s="600"/>
      <c r="E26" s="600"/>
      <c r="F26" s="600"/>
      <c r="G26" s="600"/>
      <c r="H26" s="600"/>
      <c r="I26" s="600"/>
      <c r="J26" s="600"/>
      <c r="K26" s="600"/>
      <c r="L26" s="600"/>
      <c r="M26" s="600"/>
      <c r="N26" s="600"/>
      <c r="O26" s="600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2:25" x14ac:dyDescent="0.2">
      <c r="B27" s="1"/>
      <c r="C27" s="600"/>
      <c r="D27" s="600"/>
      <c r="E27" s="600"/>
      <c r="F27" s="600"/>
      <c r="G27" s="600"/>
      <c r="H27" s="600"/>
      <c r="I27" s="600"/>
      <c r="J27" s="600"/>
      <c r="K27" s="600"/>
      <c r="L27" s="600"/>
      <c r="M27" s="600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2:25" ht="15" thickBot="1" x14ac:dyDescent="0.25">
      <c r="B28" s="1"/>
      <c r="C28" s="2265" t="s">
        <v>86</v>
      </c>
      <c r="D28" s="2265"/>
      <c r="E28" s="2265"/>
      <c r="F28" s="2265"/>
      <c r="G28" s="603"/>
      <c r="H28" s="334"/>
      <c r="I28" s="334"/>
      <c r="J28" s="334"/>
      <c r="K28" s="603"/>
      <c r="L28" s="336"/>
      <c r="M28" s="336"/>
      <c r="O28" s="530" t="s">
        <v>212</v>
      </c>
      <c r="P28" s="674">
        <v>17.645800000000001</v>
      </c>
      <c r="Q28" s="530" t="s">
        <v>213</v>
      </c>
      <c r="R28" s="1"/>
      <c r="S28" s="1"/>
      <c r="T28" s="1"/>
      <c r="U28" s="1"/>
      <c r="V28" s="1"/>
      <c r="W28" s="1"/>
      <c r="X28" s="1"/>
      <c r="Y28" s="1"/>
    </row>
    <row r="29" spans="2:25" ht="22.5" x14ac:dyDescent="0.2">
      <c r="B29" s="1"/>
      <c r="C29" s="337" t="s">
        <v>87</v>
      </c>
      <c r="D29" s="598" t="s">
        <v>88</v>
      </c>
      <c r="E29" s="598" t="s">
        <v>89</v>
      </c>
      <c r="F29" s="598" t="s">
        <v>20</v>
      </c>
      <c r="G29" s="598" t="s">
        <v>160</v>
      </c>
      <c r="H29" s="598" t="s">
        <v>90</v>
      </c>
      <c r="I29" s="598" t="s">
        <v>91</v>
      </c>
      <c r="J29" s="598" t="s">
        <v>92</v>
      </c>
      <c r="K29" s="598" t="s">
        <v>93</v>
      </c>
      <c r="L29" s="598" t="s">
        <v>94</v>
      </c>
      <c r="M29" s="599" t="s">
        <v>95</v>
      </c>
      <c r="O29" s="590" t="s">
        <v>95</v>
      </c>
      <c r="P29" s="1"/>
      <c r="Q29" s="590" t="s">
        <v>95</v>
      </c>
      <c r="R29" s="1"/>
      <c r="S29" s="1"/>
      <c r="T29" s="1"/>
      <c r="U29" s="1"/>
      <c r="V29" s="1"/>
      <c r="W29" s="1"/>
      <c r="X29" s="1"/>
      <c r="Y29" s="1"/>
    </row>
    <row r="30" spans="2:25" x14ac:dyDescent="0.2">
      <c r="B30" s="1"/>
      <c r="C30" s="338"/>
      <c r="D30" s="339"/>
      <c r="E30" s="339" t="s">
        <v>96</v>
      </c>
      <c r="F30" s="340" t="s">
        <v>97</v>
      </c>
      <c r="G30" s="340">
        <v>2201</v>
      </c>
      <c r="H30" s="339">
        <v>20823</v>
      </c>
      <c r="I30" s="341"/>
      <c r="J30" s="339">
        <v>138.15</v>
      </c>
      <c r="K30" s="342">
        <v>0</v>
      </c>
      <c r="L30" s="343">
        <f>ROUND(K30*E$10,2)</f>
        <v>0</v>
      </c>
      <c r="M30" s="344">
        <f>L30*$I$10</f>
        <v>0</v>
      </c>
      <c r="O30" s="591">
        <v>0</v>
      </c>
      <c r="P30" s="1"/>
      <c r="Q30" s="591">
        <f>M30-O30</f>
        <v>0</v>
      </c>
      <c r="R30" s="1"/>
      <c r="S30" s="1"/>
      <c r="T30" s="1"/>
      <c r="U30" s="1"/>
      <c r="V30" s="1"/>
      <c r="W30" s="1"/>
      <c r="X30" s="1"/>
      <c r="Y30" s="1"/>
    </row>
    <row r="31" spans="2:25" x14ac:dyDescent="0.2">
      <c r="B31" s="1"/>
      <c r="C31" s="338"/>
      <c r="D31" s="339"/>
      <c r="E31" s="339" t="s">
        <v>98</v>
      </c>
      <c r="F31" s="340" t="s">
        <v>97</v>
      </c>
      <c r="G31" s="340">
        <v>2201</v>
      </c>
      <c r="H31" s="339">
        <v>20824</v>
      </c>
      <c r="I31" s="341"/>
      <c r="J31" s="339">
        <v>138.15</v>
      </c>
      <c r="K31" s="342">
        <v>0</v>
      </c>
      <c r="L31" s="343">
        <f>ROUND(K31*E$10,2)</f>
        <v>0</v>
      </c>
      <c r="M31" s="344">
        <f>L31*$I$10</f>
        <v>0</v>
      </c>
      <c r="O31" s="591">
        <v>0</v>
      </c>
      <c r="P31" s="1"/>
      <c r="Q31" s="591">
        <f>M31-O31</f>
        <v>0</v>
      </c>
      <c r="R31" s="1"/>
      <c r="S31" s="1"/>
      <c r="T31" s="1"/>
      <c r="U31" s="1"/>
      <c r="V31" s="1"/>
      <c r="W31" s="1"/>
      <c r="X31" s="1"/>
      <c r="Y31" s="1"/>
    </row>
    <row r="32" spans="2:25" x14ac:dyDescent="0.2">
      <c r="B32" s="1"/>
      <c r="C32" s="338"/>
      <c r="D32" s="339"/>
      <c r="E32" s="339" t="s">
        <v>99</v>
      </c>
      <c r="F32" s="340" t="s">
        <v>100</v>
      </c>
      <c r="G32" s="340">
        <v>2230</v>
      </c>
      <c r="H32" s="339">
        <v>22228</v>
      </c>
      <c r="I32" s="341"/>
      <c r="J32" s="339">
        <v>130.80000000000001</v>
      </c>
      <c r="K32" s="342">
        <v>0</v>
      </c>
      <c r="L32" s="343">
        <f>ROUND(K32*E$10,2)</f>
        <v>0</v>
      </c>
      <c r="M32" s="344">
        <f>L32*$I$10</f>
        <v>0</v>
      </c>
      <c r="O32" s="591">
        <f>N32*$I$10</f>
        <v>0</v>
      </c>
      <c r="P32" s="1"/>
      <c r="Q32" s="591">
        <f>M32-O32</f>
        <v>0</v>
      </c>
      <c r="R32" s="1"/>
      <c r="S32" s="1"/>
      <c r="T32" s="1"/>
      <c r="U32" s="1"/>
      <c r="V32" s="1"/>
      <c r="W32" s="1"/>
      <c r="X32" s="1"/>
      <c r="Y32" s="1"/>
    </row>
    <row r="33" spans="2:25" x14ac:dyDescent="0.2">
      <c r="B33" s="1"/>
      <c r="C33" s="338">
        <v>800762390</v>
      </c>
      <c r="D33" s="339">
        <v>5</v>
      </c>
      <c r="E33" s="354" t="s">
        <v>101</v>
      </c>
      <c r="F33" s="463" t="s">
        <v>23</v>
      </c>
      <c r="G33" s="463">
        <v>2044</v>
      </c>
      <c r="H33" s="354">
        <v>591000420</v>
      </c>
      <c r="I33" s="341">
        <v>80000</v>
      </c>
      <c r="J33" s="597"/>
      <c r="K33" s="342">
        <v>0.09</v>
      </c>
      <c r="L33" s="343">
        <f>ROUND(K33*E$10,2)</f>
        <v>419348.76</v>
      </c>
      <c r="M33" s="344">
        <v>7849873.3099999996</v>
      </c>
      <c r="O33" s="591">
        <f>L33*P28</f>
        <v>7399744.349208001</v>
      </c>
      <c r="P33" s="1"/>
      <c r="Q33" s="591">
        <f>M33-O33</f>
        <v>450128.96079199854</v>
      </c>
      <c r="R33" s="1"/>
      <c r="S33" s="1"/>
      <c r="T33" s="1"/>
      <c r="U33" s="1"/>
      <c r="V33" s="1"/>
      <c r="W33" s="1"/>
      <c r="X33" s="1"/>
      <c r="Y33" s="1"/>
    </row>
    <row r="34" spans="2:25" ht="15" thickBot="1" x14ac:dyDescent="0.25">
      <c r="B34" s="1"/>
      <c r="C34" s="345">
        <v>800642440</v>
      </c>
      <c r="D34" s="346">
        <v>6</v>
      </c>
      <c r="E34" s="347" t="s">
        <v>101</v>
      </c>
      <c r="F34" s="348" t="s">
        <v>159</v>
      </c>
      <c r="G34" s="348">
        <v>2277</v>
      </c>
      <c r="H34" s="347">
        <v>22770</v>
      </c>
      <c r="I34" s="349">
        <f>850000-I30-I31-I32-I33</f>
        <v>770000</v>
      </c>
      <c r="J34" s="346"/>
      <c r="K34" s="350">
        <v>0.91</v>
      </c>
      <c r="L34" s="351">
        <f>ROUND(K34*E$10,2)</f>
        <v>4240081.96</v>
      </c>
      <c r="M34" s="352">
        <f>L34*$I$10</f>
        <v>75768568.592415988</v>
      </c>
      <c r="O34" s="592">
        <f>L34*P28</f>
        <v>74819638.249768004</v>
      </c>
      <c r="P34" s="1"/>
      <c r="Q34" s="592">
        <f>M34-O34</f>
        <v>948930.34264798462</v>
      </c>
      <c r="R34" s="1"/>
      <c r="S34" s="1"/>
      <c r="T34" s="1"/>
      <c r="U34" s="1"/>
      <c r="V34" s="1"/>
      <c r="W34" s="1"/>
      <c r="X34" s="1"/>
      <c r="Y34" s="1"/>
    </row>
    <row r="35" spans="2:25" x14ac:dyDescent="0.2">
      <c r="B35" s="1"/>
      <c r="C35" s="406">
        <v>3000623</v>
      </c>
      <c r="D35" s="353" t="s">
        <v>102</v>
      </c>
      <c r="E35" s="353"/>
      <c r="F35" s="353"/>
      <c r="G35" s="353"/>
      <c r="H35" s="354"/>
      <c r="I35" s="355">
        <f>SUM(I30:I34)</f>
        <v>850000</v>
      </c>
      <c r="J35" s="353"/>
      <c r="K35" s="356">
        <f>SUM(K30:K34)</f>
        <v>1</v>
      </c>
      <c r="L35" s="357">
        <f>SUM(L30:L34)</f>
        <v>4659430.72</v>
      </c>
      <c r="M35" s="357">
        <f>SUM(M30:M34)</f>
        <v>83618441.902415991</v>
      </c>
      <c r="O35" s="593">
        <f>SUM(O30:O34)</f>
        <v>82219382.598976001</v>
      </c>
      <c r="P35" s="1"/>
      <c r="Q35" s="593">
        <f>SUM(Q30:Q33)</f>
        <v>450128.96079199854</v>
      </c>
      <c r="R35" s="1"/>
      <c r="S35" s="1"/>
      <c r="T35" s="1"/>
      <c r="U35" s="1"/>
      <c r="V35" s="1"/>
      <c r="W35" s="1"/>
      <c r="X35" s="1"/>
      <c r="Y35" s="1"/>
    </row>
    <row r="36" spans="2:25" x14ac:dyDescent="0.2">
      <c r="B36" s="1"/>
      <c r="C36" s="336"/>
      <c r="D36" s="336"/>
      <c r="E36" s="336"/>
      <c r="F36" s="358"/>
      <c r="G36" s="358"/>
      <c r="H36" s="336"/>
      <c r="I36" s="336"/>
      <c r="J36" s="336"/>
      <c r="K36" s="336"/>
      <c r="L36" s="359"/>
      <c r="M36" s="1"/>
      <c r="O36" s="594">
        <v>0</v>
      </c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2:25" x14ac:dyDescent="0.2">
      <c r="B37" s="1"/>
      <c r="C37" s="336"/>
      <c r="D37" s="336"/>
      <c r="E37" s="336"/>
      <c r="F37" s="358"/>
      <c r="G37" s="358"/>
      <c r="H37" s="336"/>
      <c r="I37" s="336"/>
      <c r="J37" s="336"/>
      <c r="K37" s="336"/>
      <c r="L37" s="359"/>
      <c r="M37" s="1"/>
      <c r="O37" s="594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2:25" x14ac:dyDescent="0.2">
      <c r="B38" s="1"/>
      <c r="C38" s="336"/>
      <c r="D38" s="336"/>
      <c r="E38" s="336"/>
      <c r="F38" s="358"/>
      <c r="G38" s="358"/>
      <c r="H38" s="336"/>
      <c r="I38" s="336"/>
      <c r="J38" s="336"/>
      <c r="K38" s="336"/>
      <c r="L38" s="359"/>
      <c r="M38" s="1"/>
      <c r="O38" s="594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2:25" ht="15" thickBot="1" x14ac:dyDescent="0.25">
      <c r="B39" s="1"/>
      <c r="C39" s="2266" t="s">
        <v>103</v>
      </c>
      <c r="D39" s="2266"/>
      <c r="E39" s="2266"/>
      <c r="F39" s="2266"/>
      <c r="G39" s="603"/>
      <c r="H39" s="334"/>
      <c r="I39" s="334"/>
      <c r="J39" s="334"/>
      <c r="K39" s="336"/>
      <c r="L39" s="336"/>
      <c r="M39" s="360"/>
      <c r="O39" s="595"/>
      <c r="P39" s="1"/>
      <c r="Q39" s="360"/>
      <c r="R39" s="1"/>
      <c r="S39" s="1"/>
      <c r="T39" s="1"/>
      <c r="U39" s="1"/>
      <c r="V39" s="1"/>
      <c r="W39" s="1"/>
      <c r="X39" s="1"/>
      <c r="Y39" s="1"/>
    </row>
    <row r="40" spans="2:25" ht="22.5" x14ac:dyDescent="0.2">
      <c r="B40" s="1"/>
      <c r="C40" s="337" t="s">
        <v>87</v>
      </c>
      <c r="D40" s="598" t="s">
        <v>88</v>
      </c>
      <c r="E40" s="598" t="s">
        <v>89</v>
      </c>
      <c r="F40" s="598" t="s">
        <v>20</v>
      </c>
      <c r="G40" s="598"/>
      <c r="H40" s="598" t="s">
        <v>90</v>
      </c>
      <c r="I40" s="598" t="s">
        <v>104</v>
      </c>
      <c r="J40" s="598" t="s">
        <v>93</v>
      </c>
      <c r="K40" s="598" t="s">
        <v>92</v>
      </c>
      <c r="L40" s="598" t="s">
        <v>94</v>
      </c>
      <c r="M40" s="599" t="s">
        <v>95</v>
      </c>
      <c r="O40" s="596" t="s">
        <v>95</v>
      </c>
      <c r="P40" s="1"/>
      <c r="Q40" s="590" t="s">
        <v>95</v>
      </c>
      <c r="R40" s="1"/>
      <c r="S40" s="1"/>
      <c r="T40" s="1"/>
      <c r="U40" s="1"/>
      <c r="V40" s="1"/>
      <c r="W40" s="1"/>
      <c r="X40" s="1"/>
      <c r="Y40" s="1"/>
    </row>
    <row r="41" spans="2:25" x14ac:dyDescent="0.2">
      <c r="B41" s="1"/>
      <c r="C41" s="338"/>
      <c r="D41" s="339"/>
      <c r="E41" s="339" t="s">
        <v>96</v>
      </c>
      <c r="F41" s="340" t="s">
        <v>97</v>
      </c>
      <c r="G41" s="340"/>
      <c r="H41" s="339">
        <v>20823</v>
      </c>
      <c r="I41" s="341">
        <f>M80</f>
        <v>0</v>
      </c>
      <c r="J41" s="342">
        <f>I41/I$45</f>
        <v>0</v>
      </c>
      <c r="K41" s="339">
        <v>138.15</v>
      </c>
      <c r="L41" s="343">
        <f>ROUND(J41*$E$11,2)</f>
        <v>0</v>
      </c>
      <c r="M41" s="344">
        <f>L41*L24</f>
        <v>0</v>
      </c>
      <c r="O41" s="591">
        <v>0</v>
      </c>
      <c r="P41" s="1"/>
      <c r="Q41" s="591">
        <f>M41-O41</f>
        <v>0</v>
      </c>
      <c r="R41" s="1"/>
      <c r="S41" s="1"/>
      <c r="T41" s="1"/>
      <c r="U41" s="1"/>
      <c r="V41" s="1"/>
      <c r="W41" s="1"/>
      <c r="X41" s="1"/>
      <c r="Y41" s="1"/>
    </row>
    <row r="42" spans="2:25" x14ac:dyDescent="0.2">
      <c r="B42" s="1"/>
      <c r="C42" s="338"/>
      <c r="D42" s="339"/>
      <c r="E42" s="339" t="s">
        <v>98</v>
      </c>
      <c r="F42" s="340" t="s">
        <v>97</v>
      </c>
      <c r="G42" s="340"/>
      <c r="H42" s="339">
        <v>20824</v>
      </c>
      <c r="I42" s="341">
        <f>N80</f>
        <v>0</v>
      </c>
      <c r="J42" s="342">
        <f>I42/I$45</f>
        <v>0</v>
      </c>
      <c r="K42" s="339">
        <v>138.15</v>
      </c>
      <c r="L42" s="343">
        <f>ROUND(J42*$E$11,2)</f>
        <v>0</v>
      </c>
      <c r="M42" s="344">
        <f>L42*L25</f>
        <v>0</v>
      </c>
      <c r="O42" s="591">
        <v>0</v>
      </c>
      <c r="P42" s="1"/>
      <c r="Q42" s="591">
        <f>M42-O42</f>
        <v>0</v>
      </c>
      <c r="R42" s="1"/>
      <c r="S42" s="1"/>
      <c r="T42" s="1"/>
      <c r="U42" s="1"/>
      <c r="V42" s="1"/>
      <c r="W42" s="1"/>
      <c r="X42" s="1"/>
      <c r="Y42" s="1"/>
    </row>
    <row r="43" spans="2:25" x14ac:dyDescent="0.2">
      <c r="B43" s="1"/>
      <c r="C43" s="338"/>
      <c r="D43" s="339"/>
      <c r="E43" s="339" t="s">
        <v>99</v>
      </c>
      <c r="F43" s="340" t="s">
        <v>100</v>
      </c>
      <c r="G43" s="340"/>
      <c r="H43" s="339">
        <v>22228</v>
      </c>
      <c r="I43" s="341">
        <f>O80</f>
        <v>0</v>
      </c>
      <c r="J43" s="342">
        <f>I43/I$45</f>
        <v>0</v>
      </c>
      <c r="K43" s="339">
        <v>130.80000000000001</v>
      </c>
      <c r="L43" s="343">
        <f>ROUND(J43*$E$11,2)</f>
        <v>0</v>
      </c>
      <c r="M43" s="344">
        <f>L43*L26</f>
        <v>0</v>
      </c>
      <c r="O43" s="591">
        <f>N43*$I$10</f>
        <v>0</v>
      </c>
      <c r="P43" s="1"/>
      <c r="Q43" s="591">
        <f>M43-O43</f>
        <v>0</v>
      </c>
      <c r="R43" s="1"/>
      <c r="S43" s="1"/>
      <c r="T43" s="1"/>
      <c r="U43" s="1"/>
      <c r="V43" s="1"/>
      <c r="W43" s="1"/>
      <c r="X43" s="1"/>
      <c r="Y43" s="1"/>
    </row>
    <row r="44" spans="2:25" ht="15" thickBot="1" x14ac:dyDescent="0.25">
      <c r="B44" s="1">
        <v>7256</v>
      </c>
      <c r="C44" s="345">
        <v>800762390</v>
      </c>
      <c r="D44" s="346">
        <v>6</v>
      </c>
      <c r="E44" s="347" t="s">
        <v>101</v>
      </c>
      <c r="F44" s="348" t="s">
        <v>23</v>
      </c>
      <c r="G44" s="348">
        <v>2044</v>
      </c>
      <c r="H44" s="347">
        <v>591000500</v>
      </c>
      <c r="I44" s="349">
        <f>L80</f>
        <v>2307520.5287450003</v>
      </c>
      <c r="J44" s="350">
        <f>I44/I$45</f>
        <v>1</v>
      </c>
      <c r="K44" s="346">
        <v>138.15</v>
      </c>
      <c r="L44" s="351">
        <f>ROUND(J44*$E$11,2)</f>
        <v>2219.3000000000002</v>
      </c>
      <c r="M44" s="352">
        <f>L44*L24</f>
        <v>39658.003279999997</v>
      </c>
      <c r="O44" s="592">
        <f>L44*P28</f>
        <v>39161.323940000009</v>
      </c>
      <c r="P44" s="1"/>
      <c r="Q44" s="592">
        <f>M44-O44</f>
        <v>496.67933999998786</v>
      </c>
      <c r="R44" s="1"/>
      <c r="S44" s="1"/>
      <c r="T44" s="1"/>
      <c r="U44" s="1"/>
      <c r="V44" s="1"/>
      <c r="W44" s="1"/>
      <c r="X44" s="1"/>
      <c r="Y44" s="1"/>
    </row>
    <row r="45" spans="2:25" x14ac:dyDescent="0.2">
      <c r="B45" s="1"/>
      <c r="C45" s="353"/>
      <c r="D45" s="353"/>
      <c r="E45" s="353"/>
      <c r="F45" s="353"/>
      <c r="G45" s="353"/>
      <c r="H45" s="354"/>
      <c r="I45" s="449">
        <f>SUM(I41:I44)</f>
        <v>2307520.5287450003</v>
      </c>
      <c r="J45" s="355"/>
      <c r="K45" s="353"/>
      <c r="L45" s="357">
        <f>SUM(L41:L44)</f>
        <v>2219.3000000000002</v>
      </c>
      <c r="M45" s="357">
        <f>SUM(M41:M44)</f>
        <v>39658.003279999997</v>
      </c>
      <c r="O45" s="593">
        <f>SUM(O41:O44)</f>
        <v>39161.323940000009</v>
      </c>
      <c r="P45" s="1"/>
      <c r="Q45" s="593">
        <f>SUM(Q41:Q44)</f>
        <v>496.67933999998786</v>
      </c>
      <c r="R45" s="1"/>
      <c r="S45" s="1"/>
      <c r="T45" s="1"/>
      <c r="U45" s="1"/>
      <c r="V45" s="1"/>
      <c r="W45" s="1"/>
      <c r="X45" s="1"/>
      <c r="Y45" s="1"/>
    </row>
    <row r="46" spans="2:25" customFormat="1" ht="15" thickBot="1" x14ac:dyDescent="0.25">
      <c r="M46" s="450"/>
      <c r="N46" s="450"/>
      <c r="O46" s="450"/>
      <c r="P46" s="450"/>
      <c r="Q46" s="450"/>
      <c r="R46" s="450"/>
      <c r="S46" s="450"/>
      <c r="T46" s="450"/>
      <c r="U46" s="450"/>
      <c r="V46" s="450"/>
      <c r="W46" s="450"/>
      <c r="X46" s="450"/>
      <c r="Y46" s="450"/>
    </row>
    <row r="47" spans="2:25" ht="15" thickBot="1" x14ac:dyDescent="0.25">
      <c r="B47" s="434" t="s">
        <v>3</v>
      </c>
      <c r="C47" s="333">
        <f>SUMIF(Tarifas!E4:E303,'Julio - 2017'!C49,Tarifas!D4:D303)</f>
        <v>48</v>
      </c>
      <c r="D47" s="425" t="s">
        <v>147</v>
      </c>
      <c r="E47" s="426" t="s">
        <v>145</v>
      </c>
      <c r="F47" s="426" t="s">
        <v>150</v>
      </c>
      <c r="G47" s="426" t="s">
        <v>148</v>
      </c>
      <c r="H47" s="382"/>
      <c r="I47" s="331" t="s">
        <v>120</v>
      </c>
      <c r="J47" s="332"/>
      <c r="K47" s="332"/>
      <c r="L47" s="364" t="s">
        <v>105</v>
      </c>
      <c r="M47" s="365"/>
      <c r="N47" s="365"/>
      <c r="O47" s="365"/>
      <c r="P47" s="365"/>
      <c r="Q47" s="365"/>
      <c r="R47" s="366"/>
      <c r="S47" s="2267" t="s">
        <v>121</v>
      </c>
      <c r="T47" s="2268"/>
      <c r="U47" s="2268"/>
      <c r="V47" s="2268"/>
      <c r="W47" s="2268"/>
      <c r="X47" s="2268"/>
      <c r="Y47" s="2269"/>
    </row>
    <row r="48" spans="2:25" ht="33.75" x14ac:dyDescent="0.2">
      <c r="C48" s="383" t="s">
        <v>122</v>
      </c>
      <c r="D48" s="384" t="s">
        <v>125</v>
      </c>
      <c r="E48" s="385" t="s">
        <v>149</v>
      </c>
      <c r="F48" s="385" t="s">
        <v>151</v>
      </c>
      <c r="G48" s="385" t="s">
        <v>152</v>
      </c>
      <c r="H48" s="386" t="s">
        <v>123</v>
      </c>
      <c r="I48" s="329" t="s">
        <v>109</v>
      </c>
      <c r="J48" s="330" t="s">
        <v>25</v>
      </c>
      <c r="K48" s="330" t="s">
        <v>26</v>
      </c>
      <c r="L48" s="367" t="s">
        <v>115</v>
      </c>
      <c r="M48" s="362" t="s">
        <v>106</v>
      </c>
      <c r="N48" s="362" t="s">
        <v>107</v>
      </c>
      <c r="O48" s="362" t="s">
        <v>108</v>
      </c>
      <c r="P48" s="362" t="s">
        <v>115</v>
      </c>
      <c r="Q48" s="363" t="s">
        <v>116</v>
      </c>
      <c r="R48" s="368" t="s">
        <v>117</v>
      </c>
      <c r="S48" s="561" t="s">
        <v>207</v>
      </c>
      <c r="T48" s="370"/>
      <c r="U48" s="370" t="s">
        <v>112</v>
      </c>
      <c r="V48" s="371" t="s">
        <v>118</v>
      </c>
      <c r="W48" s="371" t="s">
        <v>119</v>
      </c>
      <c r="X48" s="371" t="s">
        <v>114</v>
      </c>
      <c r="Y48" s="372" t="s">
        <v>113</v>
      </c>
    </row>
    <row r="49" spans="3:25" x14ac:dyDescent="0.2">
      <c r="C49" s="387">
        <f>G7</f>
        <v>42917</v>
      </c>
      <c r="D49" s="388">
        <f>($F$24*$H$24)/$G$24</f>
        <v>150304.21677419354</v>
      </c>
      <c r="E49" s="389">
        <f>P49+Q49+R49</f>
        <v>75782.34375</v>
      </c>
      <c r="F49" s="427">
        <f>TRUNC(IFERROR(J$24/K$24,0),8)</f>
        <v>0.96176762000000005</v>
      </c>
      <c r="G49" s="390">
        <f>ROUND(I$24*F49*E49,4)</f>
        <v>72.885000000000005</v>
      </c>
      <c r="H49" s="391">
        <f t="shared" ref="H49:H78" si="0">SUM(D49:G49)</f>
        <v>226160.40729181355</v>
      </c>
      <c r="I49" s="324">
        <v>71631</v>
      </c>
      <c r="J49" s="325"/>
      <c r="K49" s="325"/>
      <c r="L49" s="317">
        <v>75782.34375</v>
      </c>
      <c r="M49" s="318"/>
      <c r="N49" s="318"/>
      <c r="O49" s="318"/>
      <c r="P49" s="389">
        <f>L49</f>
        <v>75782.34375</v>
      </c>
      <c r="Q49" s="389">
        <f t="shared" ref="Q49:Q78" si="1">M49+N49</f>
        <v>0</v>
      </c>
      <c r="R49" s="389">
        <f t="shared" ref="R49:R78" si="2">O49</f>
        <v>0</v>
      </c>
      <c r="S49" s="532">
        <v>62000.04</v>
      </c>
      <c r="T49" s="374"/>
      <c r="U49" s="520">
        <f>S49+T49-V49</f>
        <v>-9630.9599999999991</v>
      </c>
      <c r="V49" s="520">
        <f>I49+J49+K49</f>
        <v>71631</v>
      </c>
      <c r="W49" s="520">
        <f>(P49+Q49+R49)*1.055056</f>
        <v>79954.616467500004</v>
      </c>
      <c r="X49" s="520">
        <f>V49-W49</f>
        <v>-8323.6164675000036</v>
      </c>
      <c r="Y49" s="525">
        <f>AL46+X49</f>
        <v>-8323.6164675000036</v>
      </c>
    </row>
    <row r="50" spans="3:25" x14ac:dyDescent="0.2">
      <c r="C50" s="387">
        <f t="shared" ref="C50:C78" si="3">C49+1</f>
        <v>42918</v>
      </c>
      <c r="D50" s="388">
        <f t="shared" ref="D50:D79" si="4">($F$24*$H$24)/$G$24</f>
        <v>150304.21677419354</v>
      </c>
      <c r="E50" s="392">
        <f t="shared" ref="E50:E78" si="5">P50+Q50+R50</f>
        <v>75450.726563000004</v>
      </c>
      <c r="F50" s="428">
        <f t="shared" ref="F50:F78" si="6">TRUNC(IFERROR(J$24/K$24,0),8)</f>
        <v>0.96176762000000005</v>
      </c>
      <c r="G50" s="390">
        <f t="shared" ref="G50:G78" si="7">ROUND(I$24*F50*E50,4)</f>
        <v>72.566100000000006</v>
      </c>
      <c r="H50" s="391">
        <f t="shared" si="0"/>
        <v>225828.47120481354</v>
      </c>
      <c r="I50" s="324">
        <v>71631</v>
      </c>
      <c r="J50" s="325"/>
      <c r="K50" s="325"/>
      <c r="L50" s="319">
        <v>75450.726563000004</v>
      </c>
      <c r="M50" s="320"/>
      <c r="N50" s="320"/>
      <c r="O50" s="320"/>
      <c r="P50" s="392">
        <f t="shared" ref="P50:P78" si="8">L50</f>
        <v>75450.726563000004</v>
      </c>
      <c r="Q50" s="392">
        <f t="shared" si="1"/>
        <v>0</v>
      </c>
      <c r="R50" s="392">
        <f t="shared" si="2"/>
        <v>0</v>
      </c>
      <c r="S50" s="532">
        <v>62000.04</v>
      </c>
      <c r="T50" s="374"/>
      <c r="U50" s="520">
        <f t="shared" ref="U50:U78" si="9">S50+T50-V50</f>
        <v>-9630.9599999999991</v>
      </c>
      <c r="V50" s="520">
        <f t="shared" ref="V50:V78" si="10">I50+J50+K50</f>
        <v>71631</v>
      </c>
      <c r="W50" s="520">
        <f t="shared" ref="W50:W78" si="11">(P50+Q50+R50)*1.055056</f>
        <v>79604.741764652528</v>
      </c>
      <c r="X50" s="520">
        <f t="shared" ref="X50:X78" si="12">V50-W50</f>
        <v>-7973.7417646525282</v>
      </c>
      <c r="Y50" s="525">
        <f>Y49+X50</f>
        <v>-16297.358232152532</v>
      </c>
    </row>
    <row r="51" spans="3:25" x14ac:dyDescent="0.2">
      <c r="C51" s="387">
        <f t="shared" si="3"/>
        <v>42919</v>
      </c>
      <c r="D51" s="388">
        <f t="shared" si="4"/>
        <v>150304.21677419354</v>
      </c>
      <c r="E51" s="392">
        <f t="shared" si="5"/>
        <v>76304.649170000004</v>
      </c>
      <c r="F51" s="428">
        <f t="shared" si="6"/>
        <v>0.96176762000000005</v>
      </c>
      <c r="G51" s="390">
        <f t="shared" si="7"/>
        <v>73.387299999999996</v>
      </c>
      <c r="H51" s="391">
        <f t="shared" si="0"/>
        <v>226683.21501181356</v>
      </c>
      <c r="I51" s="324">
        <v>71631</v>
      </c>
      <c r="J51" s="325"/>
      <c r="K51" s="325"/>
      <c r="L51" s="317">
        <v>76304.649170000004</v>
      </c>
      <c r="M51" s="318"/>
      <c r="N51" s="318"/>
      <c r="O51" s="318"/>
      <c r="P51" s="392">
        <f t="shared" si="8"/>
        <v>76304.649170000004</v>
      </c>
      <c r="Q51" s="392">
        <f t="shared" si="1"/>
        <v>0</v>
      </c>
      <c r="R51" s="392">
        <f t="shared" si="2"/>
        <v>0</v>
      </c>
      <c r="S51" s="532">
        <v>62000.04</v>
      </c>
      <c r="T51" s="374"/>
      <c r="U51" s="520">
        <f t="shared" si="9"/>
        <v>-9630.9599999999991</v>
      </c>
      <c r="V51" s="520">
        <f t="shared" si="10"/>
        <v>71631</v>
      </c>
      <c r="W51" s="520">
        <f t="shared" si="11"/>
        <v>80505.677934703519</v>
      </c>
      <c r="X51" s="520">
        <f t="shared" si="12"/>
        <v>-8874.677934703519</v>
      </c>
      <c r="Y51" s="525">
        <f t="shared" ref="Y51:Y78" si="13">Y50+X51</f>
        <v>-25172.036166856051</v>
      </c>
    </row>
    <row r="52" spans="3:25" x14ac:dyDescent="0.2">
      <c r="C52" s="387">
        <f t="shared" si="3"/>
        <v>42920</v>
      </c>
      <c r="D52" s="388">
        <f t="shared" si="4"/>
        <v>150304.21677419354</v>
      </c>
      <c r="E52" s="392">
        <f t="shared" si="5"/>
        <v>75634.65625</v>
      </c>
      <c r="F52" s="428">
        <f t="shared" si="6"/>
        <v>0.96176762000000005</v>
      </c>
      <c r="G52" s="390">
        <f t="shared" si="7"/>
        <v>72.742999999999995</v>
      </c>
      <c r="H52" s="391">
        <f t="shared" si="0"/>
        <v>226012.57779181353</v>
      </c>
      <c r="I52" s="324">
        <v>71631</v>
      </c>
      <c r="J52" s="325"/>
      <c r="K52" s="325"/>
      <c r="L52" s="319">
        <v>75634.65625</v>
      </c>
      <c r="M52" s="320"/>
      <c r="N52" s="320"/>
      <c r="O52" s="320"/>
      <c r="P52" s="392">
        <f t="shared" si="8"/>
        <v>75634.65625</v>
      </c>
      <c r="Q52" s="392">
        <f t="shared" si="1"/>
        <v>0</v>
      </c>
      <c r="R52" s="392">
        <f t="shared" si="2"/>
        <v>0</v>
      </c>
      <c r="S52" s="532">
        <v>60000</v>
      </c>
      <c r="T52" s="374"/>
      <c r="U52" s="520">
        <f t="shared" si="9"/>
        <v>-11631</v>
      </c>
      <c r="V52" s="520">
        <f t="shared" si="10"/>
        <v>71631</v>
      </c>
      <c r="W52" s="520">
        <f t="shared" si="11"/>
        <v>79798.797884500003</v>
      </c>
      <c r="X52" s="520">
        <f t="shared" si="12"/>
        <v>-8167.7978845000034</v>
      </c>
      <c r="Y52" s="525">
        <f t="shared" si="13"/>
        <v>-33339.834051356054</v>
      </c>
    </row>
    <row r="53" spans="3:25" x14ac:dyDescent="0.2">
      <c r="C53" s="387">
        <f t="shared" si="3"/>
        <v>42921</v>
      </c>
      <c r="D53" s="388">
        <f t="shared" si="4"/>
        <v>150304.21677419354</v>
      </c>
      <c r="E53" s="392">
        <f t="shared" si="5"/>
        <v>76206.334961999994</v>
      </c>
      <c r="F53" s="428">
        <f t="shared" si="6"/>
        <v>0.96176762000000005</v>
      </c>
      <c r="G53" s="390">
        <f t="shared" si="7"/>
        <v>73.2928</v>
      </c>
      <c r="H53" s="391">
        <f t="shared" si="0"/>
        <v>226584.80630381353</v>
      </c>
      <c r="I53" s="324">
        <v>71631</v>
      </c>
      <c r="J53" s="325"/>
      <c r="K53" s="325"/>
      <c r="L53" s="317">
        <v>76206.334961999994</v>
      </c>
      <c r="M53" s="318"/>
      <c r="N53" s="318"/>
      <c r="O53" s="318"/>
      <c r="P53" s="392">
        <f t="shared" si="8"/>
        <v>76206.334961999994</v>
      </c>
      <c r="Q53" s="392">
        <f t="shared" si="1"/>
        <v>0</v>
      </c>
      <c r="R53" s="392">
        <f t="shared" si="2"/>
        <v>0</v>
      </c>
      <c r="S53" s="532">
        <v>60000</v>
      </c>
      <c r="T53" s="374"/>
      <c r="U53" s="520">
        <f t="shared" si="9"/>
        <v>-11631</v>
      </c>
      <c r="V53" s="520">
        <f t="shared" si="10"/>
        <v>71631</v>
      </c>
      <c r="W53" s="520">
        <f t="shared" si="11"/>
        <v>80401.950939667862</v>
      </c>
      <c r="X53" s="520">
        <f t="shared" si="12"/>
        <v>-8770.9509396678623</v>
      </c>
      <c r="Y53" s="525">
        <f t="shared" si="13"/>
        <v>-42110.784991023917</v>
      </c>
    </row>
    <row r="54" spans="3:25" x14ac:dyDescent="0.2">
      <c r="C54" s="387">
        <f t="shared" si="3"/>
        <v>42922</v>
      </c>
      <c r="D54" s="388">
        <f t="shared" si="4"/>
        <v>150304.21677419354</v>
      </c>
      <c r="E54" s="392">
        <f t="shared" si="5"/>
        <v>76393.771485999983</v>
      </c>
      <c r="F54" s="428">
        <f t="shared" si="6"/>
        <v>0.96176762000000005</v>
      </c>
      <c r="G54" s="390">
        <f t="shared" si="7"/>
        <v>73.473100000000002</v>
      </c>
      <c r="H54" s="391">
        <f t="shared" si="0"/>
        <v>226772.42312781353</v>
      </c>
      <c r="I54" s="324">
        <v>70000</v>
      </c>
      <c r="J54" s="325"/>
      <c r="K54" s="325"/>
      <c r="L54" s="319">
        <v>76393.771485999983</v>
      </c>
      <c r="M54" s="320"/>
      <c r="N54" s="320"/>
      <c r="O54" s="320"/>
      <c r="P54" s="392">
        <f t="shared" si="8"/>
        <v>76393.771485999983</v>
      </c>
      <c r="Q54" s="392">
        <f t="shared" si="1"/>
        <v>0</v>
      </c>
      <c r="R54" s="392">
        <f t="shared" si="2"/>
        <v>0</v>
      </c>
      <c r="S54" s="532">
        <v>60000</v>
      </c>
      <c r="T54" s="374"/>
      <c r="U54" s="520">
        <f t="shared" si="9"/>
        <v>-10000</v>
      </c>
      <c r="V54" s="520">
        <f t="shared" si="10"/>
        <v>70000</v>
      </c>
      <c r="W54" s="520">
        <f t="shared" si="11"/>
        <v>80599.706968933198</v>
      </c>
      <c r="X54" s="520">
        <f t="shared" si="12"/>
        <v>-10599.706968933198</v>
      </c>
      <c r="Y54" s="525">
        <f t="shared" si="13"/>
        <v>-52710.491959957115</v>
      </c>
    </row>
    <row r="55" spans="3:25" x14ac:dyDescent="0.2">
      <c r="C55" s="387">
        <f t="shared" si="3"/>
        <v>42923</v>
      </c>
      <c r="D55" s="388">
        <f t="shared" si="4"/>
        <v>150304.21677419354</v>
      </c>
      <c r="E55" s="392">
        <f t="shared" si="5"/>
        <v>76333.581544000015</v>
      </c>
      <c r="F55" s="428">
        <f t="shared" si="6"/>
        <v>0.96176762000000005</v>
      </c>
      <c r="G55" s="390">
        <f t="shared" si="7"/>
        <v>73.415199999999999</v>
      </c>
      <c r="H55" s="391">
        <f t="shared" si="0"/>
        <v>226712.17528581354</v>
      </c>
      <c r="I55" s="324">
        <v>68000</v>
      </c>
      <c r="J55" s="325"/>
      <c r="K55" s="325"/>
      <c r="L55" s="317">
        <v>76333.581544000015</v>
      </c>
      <c r="M55" s="318"/>
      <c r="N55" s="318"/>
      <c r="O55" s="318"/>
      <c r="P55" s="392">
        <f t="shared" si="8"/>
        <v>76333.581544000015</v>
      </c>
      <c r="Q55" s="392">
        <f t="shared" si="1"/>
        <v>0</v>
      </c>
      <c r="R55" s="392">
        <f t="shared" si="2"/>
        <v>0</v>
      </c>
      <c r="S55" s="532">
        <v>62000.04</v>
      </c>
      <c r="T55" s="374"/>
      <c r="U55" s="520">
        <f t="shared" si="9"/>
        <v>-5999.9599999999991</v>
      </c>
      <c r="V55" s="520">
        <f t="shared" si="10"/>
        <v>68000</v>
      </c>
      <c r="W55" s="520">
        <f t="shared" si="11"/>
        <v>80536.203209486484</v>
      </c>
      <c r="X55" s="520">
        <f t="shared" si="12"/>
        <v>-12536.203209486484</v>
      </c>
      <c r="Y55" s="525">
        <f t="shared" si="13"/>
        <v>-65246.695169443599</v>
      </c>
    </row>
    <row r="56" spans="3:25" x14ac:dyDescent="0.2">
      <c r="C56" s="387">
        <f t="shared" si="3"/>
        <v>42924</v>
      </c>
      <c r="D56" s="388">
        <f t="shared" si="4"/>
        <v>150304.21677419354</v>
      </c>
      <c r="E56" s="392">
        <f t="shared" si="5"/>
        <v>76428.725340999998</v>
      </c>
      <c r="F56" s="428">
        <f t="shared" si="6"/>
        <v>0.96176762000000005</v>
      </c>
      <c r="G56" s="390">
        <f t="shared" si="7"/>
        <v>73.506699999999995</v>
      </c>
      <c r="H56" s="391">
        <f t="shared" si="0"/>
        <v>226807.41058281352</v>
      </c>
      <c r="I56" s="324">
        <v>67000</v>
      </c>
      <c r="J56" s="325"/>
      <c r="K56" s="325"/>
      <c r="L56" s="319">
        <v>76428.725340999998</v>
      </c>
      <c r="M56" s="320"/>
      <c r="N56" s="320"/>
      <c r="O56" s="320"/>
      <c r="P56" s="392">
        <f t="shared" si="8"/>
        <v>76428.725340999998</v>
      </c>
      <c r="Q56" s="392">
        <f t="shared" si="1"/>
        <v>0</v>
      </c>
      <c r="R56" s="392">
        <f t="shared" si="2"/>
        <v>0</v>
      </c>
      <c r="S56" s="532">
        <v>62000.04</v>
      </c>
      <c r="T56" s="374"/>
      <c r="U56" s="520">
        <f t="shared" si="9"/>
        <v>-4999.9599999999991</v>
      </c>
      <c r="V56" s="520">
        <f t="shared" si="10"/>
        <v>67000</v>
      </c>
      <c r="W56" s="520">
        <f t="shared" si="11"/>
        <v>80636.585243374095</v>
      </c>
      <c r="X56" s="520">
        <f t="shared" si="12"/>
        <v>-13636.585243374095</v>
      </c>
      <c r="Y56" s="525">
        <f t="shared" si="13"/>
        <v>-78883.280412817694</v>
      </c>
    </row>
    <row r="57" spans="3:25" x14ac:dyDescent="0.2">
      <c r="C57" s="387">
        <f t="shared" si="3"/>
        <v>42925</v>
      </c>
      <c r="D57" s="388">
        <f t="shared" si="4"/>
        <v>150304.21677419354</v>
      </c>
      <c r="E57" s="392">
        <f t="shared" si="5"/>
        <v>73896.87280099999</v>
      </c>
      <c r="F57" s="428">
        <f t="shared" si="6"/>
        <v>0.96176762000000005</v>
      </c>
      <c r="G57" s="390">
        <f t="shared" si="7"/>
        <v>71.071600000000004</v>
      </c>
      <c r="H57" s="391">
        <f t="shared" si="0"/>
        <v>224273.12294281353</v>
      </c>
      <c r="I57" s="324">
        <v>67000</v>
      </c>
      <c r="J57" s="325"/>
      <c r="K57" s="325"/>
      <c r="L57" s="317">
        <v>73896.87280099999</v>
      </c>
      <c r="M57" s="318"/>
      <c r="N57" s="318"/>
      <c r="O57" s="318"/>
      <c r="P57" s="392">
        <f t="shared" si="8"/>
        <v>73896.87280099999</v>
      </c>
      <c r="Q57" s="392">
        <f t="shared" si="1"/>
        <v>0</v>
      </c>
      <c r="R57" s="392">
        <f t="shared" si="2"/>
        <v>0</v>
      </c>
      <c r="S57" s="532">
        <v>62000.04</v>
      </c>
      <c r="T57" s="374"/>
      <c r="U57" s="520">
        <f t="shared" si="9"/>
        <v>-4999.9599999999991</v>
      </c>
      <c r="V57" s="520">
        <f t="shared" si="10"/>
        <v>67000</v>
      </c>
      <c r="W57" s="520">
        <f t="shared" si="11"/>
        <v>77965.339029931842</v>
      </c>
      <c r="X57" s="520">
        <f t="shared" si="12"/>
        <v>-10965.339029931842</v>
      </c>
      <c r="Y57" s="525">
        <f t="shared" si="13"/>
        <v>-89848.619442749536</v>
      </c>
    </row>
    <row r="58" spans="3:25" x14ac:dyDescent="0.2">
      <c r="C58" s="387">
        <f t="shared" si="3"/>
        <v>42926</v>
      </c>
      <c r="D58" s="388">
        <f t="shared" si="4"/>
        <v>150304.21677419354</v>
      </c>
      <c r="E58" s="392">
        <f t="shared" si="5"/>
        <v>76164.862548999998</v>
      </c>
      <c r="F58" s="428">
        <f t="shared" si="6"/>
        <v>0.96176762000000005</v>
      </c>
      <c r="G58" s="390">
        <f t="shared" si="7"/>
        <v>73.252899999999997</v>
      </c>
      <c r="H58" s="391">
        <f t="shared" si="0"/>
        <v>226543.29399081352</v>
      </c>
      <c r="I58" s="324">
        <v>67000</v>
      </c>
      <c r="J58" s="325"/>
      <c r="K58" s="325"/>
      <c r="L58" s="319">
        <v>76164.862548999998</v>
      </c>
      <c r="M58" s="320"/>
      <c r="N58" s="320"/>
      <c r="O58" s="320"/>
      <c r="P58" s="392">
        <f t="shared" si="8"/>
        <v>76164.862548999998</v>
      </c>
      <c r="Q58" s="392">
        <f t="shared" si="1"/>
        <v>0</v>
      </c>
      <c r="R58" s="392">
        <f t="shared" si="2"/>
        <v>0</v>
      </c>
      <c r="S58" s="532">
        <v>62000.04</v>
      </c>
      <c r="T58" s="374"/>
      <c r="U58" s="520">
        <f t="shared" si="9"/>
        <v>-4999.9599999999991</v>
      </c>
      <c r="V58" s="520">
        <f t="shared" si="10"/>
        <v>67000</v>
      </c>
      <c r="W58" s="520">
        <f t="shared" si="11"/>
        <v>80358.195221497735</v>
      </c>
      <c r="X58" s="520">
        <f t="shared" si="12"/>
        <v>-13358.195221497735</v>
      </c>
      <c r="Y58" s="525">
        <f t="shared" si="13"/>
        <v>-103206.81466424727</v>
      </c>
    </row>
    <row r="59" spans="3:25" x14ac:dyDescent="0.2">
      <c r="C59" s="387">
        <f t="shared" si="3"/>
        <v>42927</v>
      </c>
      <c r="D59" s="388">
        <f t="shared" si="4"/>
        <v>150304.21677419354</v>
      </c>
      <c r="E59" s="392">
        <f t="shared" si="5"/>
        <v>76718.53</v>
      </c>
      <c r="F59" s="428">
        <f t="shared" si="6"/>
        <v>0.96176762000000005</v>
      </c>
      <c r="G59" s="390">
        <f t="shared" si="7"/>
        <v>73.785399999999996</v>
      </c>
      <c r="H59" s="391">
        <f t="shared" si="0"/>
        <v>227097.49394181353</v>
      </c>
      <c r="I59" s="324">
        <v>64500</v>
      </c>
      <c r="J59" s="325"/>
      <c r="K59" s="325"/>
      <c r="L59" s="317">
        <v>76718.53</v>
      </c>
      <c r="M59" s="318"/>
      <c r="N59" s="318"/>
      <c r="O59" s="318"/>
      <c r="P59" s="392">
        <f t="shared" si="8"/>
        <v>76718.53</v>
      </c>
      <c r="Q59" s="392">
        <f t="shared" si="1"/>
        <v>0</v>
      </c>
      <c r="R59" s="392">
        <f t="shared" si="2"/>
        <v>0</v>
      </c>
      <c r="S59" s="532">
        <v>62000.04</v>
      </c>
      <c r="T59" s="374"/>
      <c r="U59" s="520">
        <f t="shared" si="9"/>
        <v>-2499.9599999999991</v>
      </c>
      <c r="V59" s="520">
        <f t="shared" si="10"/>
        <v>64500</v>
      </c>
      <c r="W59" s="520">
        <f t="shared" si="11"/>
        <v>80942.345387680005</v>
      </c>
      <c r="X59" s="520">
        <f t="shared" si="12"/>
        <v>-16442.345387680005</v>
      </c>
      <c r="Y59" s="525">
        <f t="shared" si="13"/>
        <v>-119649.16005192728</v>
      </c>
    </row>
    <row r="60" spans="3:25" x14ac:dyDescent="0.2">
      <c r="C60" s="387">
        <f t="shared" si="3"/>
        <v>42928</v>
      </c>
      <c r="D60" s="388">
        <f t="shared" si="4"/>
        <v>150304.21677419354</v>
      </c>
      <c r="E60" s="392">
        <f t="shared" si="5"/>
        <v>74267.762000000002</v>
      </c>
      <c r="F60" s="428">
        <f t="shared" si="6"/>
        <v>0.96176762000000005</v>
      </c>
      <c r="G60" s="390">
        <f t="shared" si="7"/>
        <v>71.428299999999993</v>
      </c>
      <c r="H60" s="391">
        <f t="shared" si="0"/>
        <v>224644.36884181356</v>
      </c>
      <c r="I60" s="324">
        <v>68000</v>
      </c>
      <c r="J60" s="325"/>
      <c r="K60" s="325"/>
      <c r="L60" s="319">
        <v>74267.762000000002</v>
      </c>
      <c r="M60" s="320"/>
      <c r="N60" s="320"/>
      <c r="O60" s="320"/>
      <c r="P60" s="392">
        <f t="shared" si="8"/>
        <v>74267.762000000002</v>
      </c>
      <c r="Q60" s="392">
        <f t="shared" si="1"/>
        <v>0</v>
      </c>
      <c r="R60" s="392">
        <f t="shared" si="2"/>
        <v>0</v>
      </c>
      <c r="S60" s="532">
        <v>62000.04</v>
      </c>
      <c r="T60" s="374"/>
      <c r="U60" s="520">
        <f t="shared" si="9"/>
        <v>-5999.9599999999991</v>
      </c>
      <c r="V60" s="520">
        <f t="shared" si="10"/>
        <v>68000</v>
      </c>
      <c r="W60" s="520">
        <f t="shared" si="11"/>
        <v>78356.647904672005</v>
      </c>
      <c r="X60" s="520">
        <f t="shared" si="12"/>
        <v>-10356.647904672005</v>
      </c>
      <c r="Y60" s="525">
        <f t="shared" si="13"/>
        <v>-130005.80795659928</v>
      </c>
    </row>
    <row r="61" spans="3:25" x14ac:dyDescent="0.2">
      <c r="C61" s="387">
        <f t="shared" si="3"/>
        <v>42929</v>
      </c>
      <c r="D61" s="388">
        <f t="shared" si="4"/>
        <v>150304.21677419354</v>
      </c>
      <c r="E61" s="392">
        <f t="shared" si="5"/>
        <v>73462.490000000005</v>
      </c>
      <c r="F61" s="428">
        <f t="shared" si="6"/>
        <v>0.96176762000000005</v>
      </c>
      <c r="G61" s="390">
        <f t="shared" si="7"/>
        <v>70.653800000000004</v>
      </c>
      <c r="H61" s="391">
        <f t="shared" si="0"/>
        <v>223838.32234181356</v>
      </c>
      <c r="I61" s="324">
        <v>62556</v>
      </c>
      <c r="J61" s="325"/>
      <c r="K61" s="325"/>
      <c r="L61" s="317">
        <v>73462.490000000005</v>
      </c>
      <c r="M61" s="318"/>
      <c r="N61" s="318"/>
      <c r="O61" s="318"/>
      <c r="P61" s="392">
        <f t="shared" si="8"/>
        <v>73462.490000000005</v>
      </c>
      <c r="Q61" s="392">
        <f t="shared" si="1"/>
        <v>0</v>
      </c>
      <c r="R61" s="392">
        <f t="shared" si="2"/>
        <v>0</v>
      </c>
      <c r="S61" s="532">
        <v>62000.04</v>
      </c>
      <c r="T61" s="374"/>
      <c r="U61" s="520">
        <f t="shared" si="9"/>
        <v>-555.95999999999913</v>
      </c>
      <c r="V61" s="520">
        <f t="shared" si="10"/>
        <v>62556</v>
      </c>
      <c r="W61" s="520">
        <f t="shared" si="11"/>
        <v>77507.040849440004</v>
      </c>
      <c r="X61" s="520">
        <f t="shared" si="12"/>
        <v>-14951.040849440004</v>
      </c>
      <c r="Y61" s="525">
        <f t="shared" si="13"/>
        <v>-144956.84880603928</v>
      </c>
    </row>
    <row r="62" spans="3:25" x14ac:dyDescent="0.2">
      <c r="C62" s="387">
        <f t="shared" si="3"/>
        <v>42930</v>
      </c>
      <c r="D62" s="388">
        <f t="shared" si="4"/>
        <v>150304.21677419354</v>
      </c>
      <c r="E62" s="392">
        <f t="shared" si="5"/>
        <v>73216.381999999998</v>
      </c>
      <c r="F62" s="428">
        <f t="shared" si="6"/>
        <v>0.96176762000000005</v>
      </c>
      <c r="G62" s="390">
        <f t="shared" si="7"/>
        <v>70.417100000000005</v>
      </c>
      <c r="H62" s="391">
        <f t="shared" si="0"/>
        <v>223591.97764181354</v>
      </c>
      <c r="I62" s="324">
        <v>63504</v>
      </c>
      <c r="J62" s="325"/>
      <c r="K62" s="325"/>
      <c r="L62" s="319">
        <v>73216.381999999998</v>
      </c>
      <c r="M62" s="320"/>
      <c r="N62" s="320"/>
      <c r="O62" s="320"/>
      <c r="P62" s="392">
        <f t="shared" si="8"/>
        <v>73216.381999999998</v>
      </c>
      <c r="Q62" s="392">
        <f t="shared" si="1"/>
        <v>0</v>
      </c>
      <c r="R62" s="392">
        <f t="shared" si="2"/>
        <v>0</v>
      </c>
      <c r="S62" s="532">
        <v>62000.04</v>
      </c>
      <c r="T62" s="374"/>
      <c r="U62" s="520">
        <f t="shared" si="9"/>
        <v>-1503.9599999999991</v>
      </c>
      <c r="V62" s="520">
        <f t="shared" si="10"/>
        <v>63504</v>
      </c>
      <c r="W62" s="520">
        <f t="shared" si="11"/>
        <v>77247.383127391993</v>
      </c>
      <c r="X62" s="520">
        <f t="shared" si="12"/>
        <v>-13743.383127391993</v>
      </c>
      <c r="Y62" s="525">
        <f t="shared" si="13"/>
        <v>-158700.23193343129</v>
      </c>
    </row>
    <row r="63" spans="3:25" x14ac:dyDescent="0.2">
      <c r="C63" s="387">
        <f t="shared" si="3"/>
        <v>42931</v>
      </c>
      <c r="D63" s="388">
        <f t="shared" si="4"/>
        <v>150304.21677419354</v>
      </c>
      <c r="E63" s="392">
        <f t="shared" si="5"/>
        <v>72180.292967000001</v>
      </c>
      <c r="F63" s="428">
        <f t="shared" si="6"/>
        <v>0.96176762000000005</v>
      </c>
      <c r="G63" s="390">
        <f t="shared" si="7"/>
        <v>69.420699999999997</v>
      </c>
      <c r="H63" s="391">
        <f t="shared" si="0"/>
        <v>222554.89220881354</v>
      </c>
      <c r="I63" s="324">
        <v>64277</v>
      </c>
      <c r="J63" s="325"/>
      <c r="K63" s="325"/>
      <c r="L63" s="317">
        <v>72180.292967000001</v>
      </c>
      <c r="M63" s="318"/>
      <c r="N63" s="318"/>
      <c r="O63" s="318"/>
      <c r="P63" s="392">
        <f t="shared" si="8"/>
        <v>72180.292967000001</v>
      </c>
      <c r="Q63" s="392">
        <f t="shared" si="1"/>
        <v>0</v>
      </c>
      <c r="R63" s="392">
        <f t="shared" si="2"/>
        <v>0</v>
      </c>
      <c r="S63" s="532">
        <v>68000.13</v>
      </c>
      <c r="T63" s="374"/>
      <c r="U63" s="520">
        <f t="shared" si="9"/>
        <v>3723.1300000000047</v>
      </c>
      <c r="V63" s="520">
        <f t="shared" si="10"/>
        <v>64277</v>
      </c>
      <c r="W63" s="520">
        <f t="shared" si="11"/>
        <v>76154.251176591148</v>
      </c>
      <c r="X63" s="520">
        <f t="shared" si="12"/>
        <v>-11877.251176591148</v>
      </c>
      <c r="Y63" s="525">
        <f t="shared" si="13"/>
        <v>-170577.48311002244</v>
      </c>
    </row>
    <row r="64" spans="3:25" x14ac:dyDescent="0.2">
      <c r="C64" s="387">
        <f t="shared" si="3"/>
        <v>42932</v>
      </c>
      <c r="D64" s="388">
        <f t="shared" si="4"/>
        <v>150304.21677419354</v>
      </c>
      <c r="E64" s="392">
        <f t="shared" si="5"/>
        <v>71885.734375</v>
      </c>
      <c r="F64" s="428">
        <f t="shared" si="6"/>
        <v>0.96176762000000005</v>
      </c>
      <c r="G64" s="390">
        <f t="shared" si="7"/>
        <v>69.1374</v>
      </c>
      <c r="H64" s="391">
        <f t="shared" si="0"/>
        <v>222260.05031681355</v>
      </c>
      <c r="I64" s="324">
        <v>64277</v>
      </c>
      <c r="J64" s="325"/>
      <c r="K64" s="325"/>
      <c r="L64" s="319">
        <v>71885.734375</v>
      </c>
      <c r="M64" s="320"/>
      <c r="N64" s="320"/>
      <c r="O64" s="320"/>
      <c r="P64" s="392">
        <f t="shared" si="8"/>
        <v>71885.734375</v>
      </c>
      <c r="Q64" s="392">
        <f t="shared" si="1"/>
        <v>0</v>
      </c>
      <c r="R64" s="392">
        <f t="shared" si="2"/>
        <v>0</v>
      </c>
      <c r="S64" s="532">
        <v>68000.13</v>
      </c>
      <c r="T64" s="374"/>
      <c r="U64" s="520">
        <f t="shared" si="9"/>
        <v>3723.1300000000047</v>
      </c>
      <c r="V64" s="520">
        <f t="shared" si="10"/>
        <v>64277</v>
      </c>
      <c r="W64" s="520">
        <f t="shared" si="11"/>
        <v>75843.475366750004</v>
      </c>
      <c r="X64" s="520">
        <f t="shared" si="12"/>
        <v>-11566.475366750004</v>
      </c>
      <c r="Y64" s="525">
        <f t="shared" si="13"/>
        <v>-182143.95847677244</v>
      </c>
    </row>
    <row r="65" spans="3:38" x14ac:dyDescent="0.2">
      <c r="C65" s="387">
        <f t="shared" si="3"/>
        <v>42933</v>
      </c>
      <c r="D65" s="388">
        <f t="shared" si="4"/>
        <v>150304.21677419354</v>
      </c>
      <c r="E65" s="392">
        <f t="shared" si="5"/>
        <v>74087.224119999999</v>
      </c>
      <c r="F65" s="428">
        <f t="shared" si="6"/>
        <v>0.96176762000000005</v>
      </c>
      <c r="G65" s="390">
        <f t="shared" si="7"/>
        <v>71.2547</v>
      </c>
      <c r="H65" s="391">
        <f t="shared" si="0"/>
        <v>224463.65736181353</v>
      </c>
      <c r="I65" s="324">
        <v>64277</v>
      </c>
      <c r="J65" s="325"/>
      <c r="K65" s="325"/>
      <c r="L65" s="317">
        <v>74087.224119999999</v>
      </c>
      <c r="M65" s="318"/>
      <c r="N65" s="318"/>
      <c r="O65" s="318"/>
      <c r="P65" s="392">
        <f t="shared" si="8"/>
        <v>74087.224119999999</v>
      </c>
      <c r="Q65" s="392">
        <f t="shared" si="1"/>
        <v>0</v>
      </c>
      <c r="R65" s="392">
        <f t="shared" si="2"/>
        <v>0</v>
      </c>
      <c r="S65" s="532">
        <v>68000.13</v>
      </c>
      <c r="T65" s="374"/>
      <c r="U65" s="520">
        <f t="shared" si="9"/>
        <v>3723.1300000000047</v>
      </c>
      <c r="V65" s="520">
        <f t="shared" si="10"/>
        <v>64277</v>
      </c>
      <c r="W65" s="520">
        <f t="shared" si="11"/>
        <v>78166.170331150715</v>
      </c>
      <c r="X65" s="520">
        <f t="shared" si="12"/>
        <v>-13889.170331150715</v>
      </c>
      <c r="Y65" s="525">
        <f t="shared" si="13"/>
        <v>-196033.12880792317</v>
      </c>
    </row>
    <row r="66" spans="3:38" x14ac:dyDescent="0.2">
      <c r="C66" s="387">
        <f t="shared" si="3"/>
        <v>42934</v>
      </c>
      <c r="D66" s="388">
        <f t="shared" si="4"/>
        <v>150304.21677419354</v>
      </c>
      <c r="E66" s="392">
        <f t="shared" si="5"/>
        <v>73226.802978000007</v>
      </c>
      <c r="F66" s="428">
        <f t="shared" si="6"/>
        <v>0.96176762000000005</v>
      </c>
      <c r="G66" s="390">
        <f t="shared" si="7"/>
        <v>70.427199999999999</v>
      </c>
      <c r="H66" s="391">
        <f t="shared" si="0"/>
        <v>223602.40871981354</v>
      </c>
      <c r="I66" s="324">
        <v>67769</v>
      </c>
      <c r="J66" s="325"/>
      <c r="K66" s="325"/>
      <c r="L66" s="319">
        <v>73226.802978000007</v>
      </c>
      <c r="M66" s="320"/>
      <c r="N66" s="320"/>
      <c r="O66" s="320"/>
      <c r="P66" s="392">
        <f t="shared" si="8"/>
        <v>73226.802978000007</v>
      </c>
      <c r="Q66" s="392">
        <f t="shared" si="1"/>
        <v>0</v>
      </c>
      <c r="R66" s="392">
        <f t="shared" si="2"/>
        <v>0</v>
      </c>
      <c r="S66" s="532">
        <v>64999.600000000006</v>
      </c>
      <c r="T66" s="374"/>
      <c r="U66" s="520">
        <f t="shared" si="9"/>
        <v>-2769.3999999999942</v>
      </c>
      <c r="V66" s="520">
        <f t="shared" si="10"/>
        <v>67769</v>
      </c>
      <c r="W66" s="520">
        <f t="shared" si="11"/>
        <v>77258.377842756774</v>
      </c>
      <c r="X66" s="520">
        <f t="shared" si="12"/>
        <v>-9489.377842756774</v>
      </c>
      <c r="Y66" s="525">
        <f t="shared" si="13"/>
        <v>-205522.50665067995</v>
      </c>
    </row>
    <row r="67" spans="3:38" x14ac:dyDescent="0.2">
      <c r="C67" s="387">
        <f t="shared" si="3"/>
        <v>42935</v>
      </c>
      <c r="D67" s="388">
        <f t="shared" si="4"/>
        <v>150304.21677419354</v>
      </c>
      <c r="E67" s="392">
        <f t="shared" si="5"/>
        <v>73047</v>
      </c>
      <c r="F67" s="428">
        <f t="shared" si="6"/>
        <v>0.96176762000000005</v>
      </c>
      <c r="G67" s="390">
        <f t="shared" si="7"/>
        <v>70.254199999999997</v>
      </c>
      <c r="H67" s="391">
        <f t="shared" si="0"/>
        <v>223422.43274181354</v>
      </c>
      <c r="I67" s="324">
        <v>67769</v>
      </c>
      <c r="J67" s="325"/>
      <c r="K67" s="325"/>
      <c r="L67" s="317">
        <v>73047</v>
      </c>
      <c r="M67" s="318"/>
      <c r="N67" s="318"/>
      <c r="O67" s="318"/>
      <c r="P67" s="392">
        <f t="shared" si="8"/>
        <v>73047</v>
      </c>
      <c r="Q67" s="392">
        <f t="shared" si="1"/>
        <v>0</v>
      </c>
      <c r="R67" s="392">
        <f t="shared" si="2"/>
        <v>0</v>
      </c>
      <c r="S67" s="532">
        <v>64999.600000000006</v>
      </c>
      <c r="T67" s="374"/>
      <c r="U67" s="520">
        <f t="shared" si="9"/>
        <v>-2769.3999999999942</v>
      </c>
      <c r="V67" s="520">
        <f t="shared" si="10"/>
        <v>67769</v>
      </c>
      <c r="W67" s="520">
        <f t="shared" si="11"/>
        <v>77068.675631999999</v>
      </c>
      <c r="X67" s="520">
        <f t="shared" si="12"/>
        <v>-9299.6756319999986</v>
      </c>
      <c r="Y67" s="525">
        <f t="shared" si="13"/>
        <v>-214822.18228267995</v>
      </c>
    </row>
    <row r="68" spans="3:38" x14ac:dyDescent="0.2">
      <c r="C68" s="387">
        <f t="shared" si="3"/>
        <v>42936</v>
      </c>
      <c r="D68" s="388">
        <f t="shared" si="4"/>
        <v>150304.21677419354</v>
      </c>
      <c r="E68" s="392">
        <f t="shared" si="5"/>
        <v>74722.179688000004</v>
      </c>
      <c r="F68" s="428">
        <f t="shared" si="6"/>
        <v>0.96176762000000005</v>
      </c>
      <c r="G68" s="390">
        <f t="shared" si="7"/>
        <v>71.865399999999994</v>
      </c>
      <c r="H68" s="391">
        <f t="shared" si="0"/>
        <v>225099.22362981355</v>
      </c>
      <c r="I68" s="324">
        <v>65399</v>
      </c>
      <c r="J68" s="325"/>
      <c r="K68" s="325"/>
      <c r="L68" s="319">
        <v>74722.179688000004</v>
      </c>
      <c r="M68" s="320"/>
      <c r="N68" s="320"/>
      <c r="O68" s="320"/>
      <c r="P68" s="392">
        <f t="shared" si="8"/>
        <v>74722.179688000004</v>
      </c>
      <c r="Q68" s="392">
        <f t="shared" si="1"/>
        <v>0</v>
      </c>
      <c r="R68" s="392">
        <f t="shared" si="2"/>
        <v>0</v>
      </c>
      <c r="S68" s="532">
        <v>64999.600000000006</v>
      </c>
      <c r="T68" s="374"/>
      <c r="U68" s="520">
        <f t="shared" si="9"/>
        <v>-399.39999999999418</v>
      </c>
      <c r="V68" s="520">
        <f t="shared" si="10"/>
        <v>65399</v>
      </c>
      <c r="W68" s="520">
        <f t="shared" si="11"/>
        <v>78836.084012902531</v>
      </c>
      <c r="X68" s="520">
        <f t="shared" si="12"/>
        <v>-13437.084012902531</v>
      </c>
      <c r="Y68" s="525">
        <f t="shared" si="13"/>
        <v>-228259.26629558246</v>
      </c>
    </row>
    <row r="69" spans="3:38" x14ac:dyDescent="0.2">
      <c r="C69" s="387">
        <f t="shared" si="3"/>
        <v>42937</v>
      </c>
      <c r="D69" s="388">
        <f t="shared" si="4"/>
        <v>150304.21677419354</v>
      </c>
      <c r="E69" s="392">
        <f t="shared" si="5"/>
        <v>73187.28125</v>
      </c>
      <c r="F69" s="428">
        <f t="shared" si="6"/>
        <v>0.96176762000000005</v>
      </c>
      <c r="G69" s="390">
        <f t="shared" si="7"/>
        <v>70.389200000000002</v>
      </c>
      <c r="H69" s="391">
        <f t="shared" si="0"/>
        <v>223562.84899181355</v>
      </c>
      <c r="I69" s="324">
        <v>65399</v>
      </c>
      <c r="J69" s="325"/>
      <c r="K69" s="325"/>
      <c r="L69" s="317">
        <v>73187.28125</v>
      </c>
      <c r="M69" s="318"/>
      <c r="N69" s="318"/>
      <c r="O69" s="318"/>
      <c r="P69" s="392">
        <f t="shared" si="8"/>
        <v>73187.28125</v>
      </c>
      <c r="Q69" s="392">
        <f t="shared" si="1"/>
        <v>0</v>
      </c>
      <c r="R69" s="392">
        <f t="shared" si="2"/>
        <v>0</v>
      </c>
      <c r="S69" s="532">
        <v>64999.600000000006</v>
      </c>
      <c r="T69" s="374"/>
      <c r="U69" s="520">
        <f t="shared" si="9"/>
        <v>-399.39999999999418</v>
      </c>
      <c r="V69" s="520">
        <f t="shared" si="10"/>
        <v>65399</v>
      </c>
      <c r="W69" s="520">
        <f t="shared" si="11"/>
        <v>77216.680206499994</v>
      </c>
      <c r="X69" s="520">
        <f t="shared" si="12"/>
        <v>-11817.680206499994</v>
      </c>
      <c r="Y69" s="525">
        <f t="shared" si="13"/>
        <v>-240076.94650208246</v>
      </c>
    </row>
    <row r="70" spans="3:38" x14ac:dyDescent="0.2">
      <c r="C70" s="387">
        <f t="shared" si="3"/>
        <v>42938</v>
      </c>
      <c r="D70" s="388">
        <f t="shared" si="4"/>
        <v>150304.21677419354</v>
      </c>
      <c r="E70" s="392">
        <f t="shared" si="5"/>
        <v>72071.289063000004</v>
      </c>
      <c r="F70" s="428">
        <f t="shared" si="6"/>
        <v>0.96176762000000005</v>
      </c>
      <c r="G70" s="390">
        <f t="shared" si="7"/>
        <v>69.315799999999996</v>
      </c>
      <c r="H70" s="391">
        <f t="shared" si="0"/>
        <v>222445.78340481356</v>
      </c>
      <c r="I70" s="324">
        <v>64136</v>
      </c>
      <c r="J70" s="325"/>
      <c r="K70" s="325"/>
      <c r="L70" s="319">
        <v>72071.289063000004</v>
      </c>
      <c r="M70" s="320"/>
      <c r="N70" s="320"/>
      <c r="O70" s="320"/>
      <c r="P70" s="392">
        <f t="shared" si="8"/>
        <v>72071.289063000004</v>
      </c>
      <c r="Q70" s="392">
        <f t="shared" si="1"/>
        <v>0</v>
      </c>
      <c r="R70" s="392">
        <f t="shared" si="2"/>
        <v>0</v>
      </c>
      <c r="S70" s="532">
        <v>68000.13</v>
      </c>
      <c r="T70" s="374"/>
      <c r="U70" s="520">
        <f t="shared" si="9"/>
        <v>3864.1300000000047</v>
      </c>
      <c r="V70" s="520">
        <f t="shared" si="10"/>
        <v>64136</v>
      </c>
      <c r="W70" s="520">
        <f t="shared" si="11"/>
        <v>76039.245953652528</v>
      </c>
      <c r="X70" s="520">
        <f t="shared" si="12"/>
        <v>-11903.245953652528</v>
      </c>
      <c r="Y70" s="525">
        <f t="shared" si="13"/>
        <v>-251980.192455735</v>
      </c>
    </row>
    <row r="71" spans="3:38" x14ac:dyDescent="0.2">
      <c r="C71" s="387">
        <f t="shared" si="3"/>
        <v>42939</v>
      </c>
      <c r="D71" s="388">
        <f t="shared" si="4"/>
        <v>150304.21677419354</v>
      </c>
      <c r="E71" s="392">
        <f t="shared" si="5"/>
        <v>72183.109618000002</v>
      </c>
      <c r="F71" s="428">
        <f t="shared" si="6"/>
        <v>0.96176762000000005</v>
      </c>
      <c r="G71" s="390">
        <f t="shared" si="7"/>
        <v>69.423400000000001</v>
      </c>
      <c r="H71" s="391">
        <f t="shared" si="0"/>
        <v>222557.71155981356</v>
      </c>
      <c r="I71" s="324">
        <v>64136</v>
      </c>
      <c r="J71" s="325"/>
      <c r="K71" s="325"/>
      <c r="L71" s="317">
        <v>72183.109618000002</v>
      </c>
      <c r="M71" s="318"/>
      <c r="N71" s="318"/>
      <c r="O71" s="318"/>
      <c r="P71" s="392">
        <f t="shared" si="8"/>
        <v>72183.109618000002</v>
      </c>
      <c r="Q71" s="392">
        <f t="shared" si="1"/>
        <v>0</v>
      </c>
      <c r="R71" s="392">
        <f t="shared" si="2"/>
        <v>0</v>
      </c>
      <c r="S71" s="532">
        <v>68000.13</v>
      </c>
      <c r="T71" s="374"/>
      <c r="U71" s="520">
        <f t="shared" si="9"/>
        <v>3864.1300000000047</v>
      </c>
      <c r="V71" s="520">
        <f t="shared" si="10"/>
        <v>64136</v>
      </c>
      <c r="W71" s="520">
        <f t="shared" si="11"/>
        <v>76157.222901128611</v>
      </c>
      <c r="X71" s="520">
        <f t="shared" si="12"/>
        <v>-12021.222901128611</v>
      </c>
      <c r="Y71" s="525">
        <f t="shared" si="13"/>
        <v>-264001.41535686364</v>
      </c>
    </row>
    <row r="72" spans="3:38" x14ac:dyDescent="0.2">
      <c r="C72" s="387">
        <f t="shared" si="3"/>
        <v>42940</v>
      </c>
      <c r="D72" s="388">
        <f t="shared" si="4"/>
        <v>150304.21677419354</v>
      </c>
      <c r="E72" s="392">
        <f t="shared" si="5"/>
        <v>73058.28125</v>
      </c>
      <c r="F72" s="428">
        <f t="shared" si="6"/>
        <v>0.96176762000000005</v>
      </c>
      <c r="G72" s="390">
        <f t="shared" si="7"/>
        <v>70.265100000000004</v>
      </c>
      <c r="H72" s="391">
        <f t="shared" si="0"/>
        <v>223433.72489181353</v>
      </c>
      <c r="I72" s="324">
        <v>64136</v>
      </c>
      <c r="J72" s="325"/>
      <c r="K72" s="325"/>
      <c r="L72" s="319">
        <v>73058.28125</v>
      </c>
      <c r="M72" s="320"/>
      <c r="N72" s="320"/>
      <c r="O72" s="320"/>
      <c r="P72" s="392">
        <f t="shared" si="8"/>
        <v>73058.28125</v>
      </c>
      <c r="Q72" s="392">
        <f t="shared" si="1"/>
        <v>0</v>
      </c>
      <c r="R72" s="392">
        <f t="shared" si="2"/>
        <v>0</v>
      </c>
      <c r="S72" s="532">
        <v>68000.13</v>
      </c>
      <c r="T72" s="374"/>
      <c r="U72" s="520">
        <f t="shared" si="9"/>
        <v>3864.1300000000047</v>
      </c>
      <c r="V72" s="520">
        <f t="shared" si="10"/>
        <v>64136</v>
      </c>
      <c r="W72" s="520">
        <f t="shared" si="11"/>
        <v>77080.577982500006</v>
      </c>
      <c r="X72" s="520">
        <f t="shared" si="12"/>
        <v>-12944.577982500006</v>
      </c>
      <c r="Y72" s="525">
        <f t="shared" si="13"/>
        <v>-276945.99333936366</v>
      </c>
    </row>
    <row r="73" spans="3:38" x14ac:dyDescent="0.2">
      <c r="C73" s="387">
        <f t="shared" si="3"/>
        <v>42941</v>
      </c>
      <c r="D73" s="388">
        <f t="shared" si="4"/>
        <v>150304.21677419354</v>
      </c>
      <c r="E73" s="392">
        <f t="shared" si="5"/>
        <v>74990.742188000004</v>
      </c>
      <c r="F73" s="428">
        <f t="shared" si="6"/>
        <v>0.96176762000000005</v>
      </c>
      <c r="G73" s="390">
        <f t="shared" si="7"/>
        <v>72.123699999999999</v>
      </c>
      <c r="H73" s="391">
        <f t="shared" si="0"/>
        <v>225368.04442981354</v>
      </c>
      <c r="I73" s="324">
        <v>65399</v>
      </c>
      <c r="J73" s="325"/>
      <c r="K73" s="325"/>
      <c r="L73" s="317">
        <v>74990.742188000004</v>
      </c>
      <c r="M73" s="318"/>
      <c r="N73" s="318"/>
      <c r="O73" s="318"/>
      <c r="P73" s="392">
        <f t="shared" si="8"/>
        <v>74990.742188000004</v>
      </c>
      <c r="Q73" s="392">
        <f t="shared" si="1"/>
        <v>0</v>
      </c>
      <c r="R73" s="392">
        <f t="shared" si="2"/>
        <v>0</v>
      </c>
      <c r="S73" s="532">
        <v>66999.63</v>
      </c>
      <c r="T73" s="374"/>
      <c r="U73" s="520">
        <f t="shared" si="9"/>
        <v>1600.6300000000047</v>
      </c>
      <c r="V73" s="520">
        <f t="shared" si="10"/>
        <v>65399</v>
      </c>
      <c r="W73" s="520">
        <f t="shared" si="11"/>
        <v>79119.432489902538</v>
      </c>
      <c r="X73" s="520">
        <f t="shared" si="12"/>
        <v>-13720.432489902538</v>
      </c>
      <c r="Y73" s="525">
        <f t="shared" si="13"/>
        <v>-290666.4258292662</v>
      </c>
    </row>
    <row r="74" spans="3:38" x14ac:dyDescent="0.2">
      <c r="C74" s="387">
        <f t="shared" si="3"/>
        <v>42942</v>
      </c>
      <c r="D74" s="388">
        <f t="shared" si="4"/>
        <v>150304.21677419354</v>
      </c>
      <c r="E74" s="392">
        <f t="shared" si="5"/>
        <v>74133.273438000004</v>
      </c>
      <c r="F74" s="428">
        <f t="shared" si="6"/>
        <v>0.96176762000000005</v>
      </c>
      <c r="G74" s="390">
        <f t="shared" si="7"/>
        <v>71.299000000000007</v>
      </c>
      <c r="H74" s="391">
        <f t="shared" si="0"/>
        <v>224509.75097981354</v>
      </c>
      <c r="I74" s="324">
        <v>66347</v>
      </c>
      <c r="J74" s="325"/>
      <c r="K74" s="325"/>
      <c r="L74" s="319">
        <v>74133.273438000004</v>
      </c>
      <c r="M74" s="320"/>
      <c r="N74" s="320"/>
      <c r="O74" s="320"/>
      <c r="P74" s="392">
        <f t="shared" si="8"/>
        <v>74133.273438000004</v>
      </c>
      <c r="Q74" s="392">
        <f t="shared" si="1"/>
        <v>0</v>
      </c>
      <c r="R74" s="392">
        <f t="shared" si="2"/>
        <v>0</v>
      </c>
      <c r="S74" s="532">
        <v>66999.63</v>
      </c>
      <c r="T74" s="374"/>
      <c r="U74" s="520">
        <f t="shared" si="9"/>
        <v>652.63000000000466</v>
      </c>
      <c r="V74" s="520">
        <f t="shared" si="10"/>
        <v>66347</v>
      </c>
      <c r="W74" s="520">
        <f t="shared" si="11"/>
        <v>78214.754940402534</v>
      </c>
      <c r="X74" s="520">
        <f t="shared" si="12"/>
        <v>-11867.754940402534</v>
      </c>
      <c r="Y74" s="525">
        <f t="shared" si="13"/>
        <v>-302534.18076966872</v>
      </c>
    </row>
    <row r="75" spans="3:38" x14ac:dyDescent="0.2">
      <c r="C75" s="387">
        <f t="shared" si="3"/>
        <v>42943</v>
      </c>
      <c r="D75" s="388">
        <f t="shared" si="4"/>
        <v>150304.21677419354</v>
      </c>
      <c r="E75" s="392">
        <f t="shared" si="5"/>
        <v>74022.414063000004</v>
      </c>
      <c r="F75" s="428">
        <f t="shared" si="6"/>
        <v>0.96176762000000005</v>
      </c>
      <c r="G75" s="390">
        <f t="shared" si="7"/>
        <v>71.192400000000006</v>
      </c>
      <c r="H75" s="391">
        <f t="shared" si="0"/>
        <v>224398.78500481354</v>
      </c>
      <c r="I75" s="324">
        <v>66347</v>
      </c>
      <c r="J75" s="325"/>
      <c r="K75" s="325"/>
      <c r="L75" s="317">
        <v>74022.414063000004</v>
      </c>
      <c r="M75" s="318"/>
      <c r="N75" s="318"/>
      <c r="O75" s="318"/>
      <c r="P75" s="392">
        <f t="shared" si="8"/>
        <v>74022.414063000004</v>
      </c>
      <c r="Q75" s="392">
        <f t="shared" si="1"/>
        <v>0</v>
      </c>
      <c r="R75" s="392">
        <f t="shared" si="2"/>
        <v>0</v>
      </c>
      <c r="S75" s="532">
        <v>66999.63</v>
      </c>
      <c r="T75" s="374"/>
      <c r="U75" s="520">
        <f t="shared" si="9"/>
        <v>652.63000000000466</v>
      </c>
      <c r="V75" s="520">
        <f t="shared" si="10"/>
        <v>66347</v>
      </c>
      <c r="W75" s="520">
        <f t="shared" si="11"/>
        <v>78097.792091652533</v>
      </c>
      <c r="X75" s="520">
        <f t="shared" si="12"/>
        <v>-11750.792091652533</v>
      </c>
      <c r="Y75" s="525">
        <f t="shared" si="13"/>
        <v>-314284.97286132124</v>
      </c>
    </row>
    <row r="76" spans="3:38" x14ac:dyDescent="0.2">
      <c r="C76" s="387">
        <f t="shared" si="3"/>
        <v>42944</v>
      </c>
      <c r="D76" s="388">
        <f t="shared" si="4"/>
        <v>150304.21677419354</v>
      </c>
      <c r="E76" s="392">
        <f t="shared" si="5"/>
        <v>76185.71875</v>
      </c>
      <c r="F76" s="428">
        <f t="shared" si="6"/>
        <v>0.96176762000000005</v>
      </c>
      <c r="G76" s="390">
        <f t="shared" si="7"/>
        <v>73.272999999999996</v>
      </c>
      <c r="H76" s="391">
        <f t="shared" si="0"/>
        <v>226564.17029181353</v>
      </c>
      <c r="I76" s="324">
        <v>65399</v>
      </c>
      <c r="J76" s="325"/>
      <c r="K76" s="325"/>
      <c r="L76" s="319">
        <v>76185.71875</v>
      </c>
      <c r="M76" s="320"/>
      <c r="N76" s="320"/>
      <c r="O76" s="320"/>
      <c r="P76" s="392">
        <f t="shared" si="8"/>
        <v>76185.71875</v>
      </c>
      <c r="Q76" s="392">
        <f t="shared" si="1"/>
        <v>0</v>
      </c>
      <c r="R76" s="392">
        <f t="shared" si="2"/>
        <v>0</v>
      </c>
      <c r="S76" s="532">
        <v>72999.73000000001</v>
      </c>
      <c r="T76" s="374"/>
      <c r="U76" s="520">
        <f t="shared" si="9"/>
        <v>7600.7300000000105</v>
      </c>
      <c r="V76" s="520">
        <f t="shared" si="10"/>
        <v>65399</v>
      </c>
      <c r="W76" s="520">
        <f t="shared" si="11"/>
        <v>80380.199681500002</v>
      </c>
      <c r="X76" s="520">
        <f t="shared" si="12"/>
        <v>-14981.199681500002</v>
      </c>
      <c r="Y76" s="525">
        <f t="shared" si="13"/>
        <v>-329266.17254282127</v>
      </c>
    </row>
    <row r="77" spans="3:38" x14ac:dyDescent="0.2">
      <c r="C77" s="387">
        <f t="shared" si="3"/>
        <v>42945</v>
      </c>
      <c r="D77" s="388">
        <f t="shared" si="4"/>
        <v>150304.21677419354</v>
      </c>
      <c r="E77" s="392">
        <f t="shared" si="5"/>
        <v>75240.242188000004</v>
      </c>
      <c r="F77" s="428">
        <f t="shared" si="6"/>
        <v>0.96176762000000005</v>
      </c>
      <c r="G77" s="390">
        <f t="shared" si="7"/>
        <v>72.363600000000005</v>
      </c>
      <c r="H77" s="391">
        <f t="shared" si="0"/>
        <v>225617.78432981356</v>
      </c>
      <c r="I77" s="324">
        <v>68243</v>
      </c>
      <c r="J77" s="325"/>
      <c r="K77" s="325"/>
      <c r="L77" s="317">
        <v>75240.242188000004</v>
      </c>
      <c r="M77" s="318"/>
      <c r="N77" s="318"/>
      <c r="O77" s="318"/>
      <c r="P77" s="392">
        <f t="shared" si="8"/>
        <v>75240.242188000004</v>
      </c>
      <c r="Q77" s="392">
        <f t="shared" si="1"/>
        <v>0</v>
      </c>
      <c r="R77" s="392">
        <f t="shared" si="2"/>
        <v>0</v>
      </c>
      <c r="S77" s="532">
        <v>72999.73000000001</v>
      </c>
      <c r="T77" s="374"/>
      <c r="U77" s="520">
        <f t="shared" si="9"/>
        <v>4756.7300000000105</v>
      </c>
      <c r="V77" s="520">
        <f t="shared" si="10"/>
        <v>68243</v>
      </c>
      <c r="W77" s="520">
        <f t="shared" si="11"/>
        <v>79382.668961902527</v>
      </c>
      <c r="X77" s="520">
        <f t="shared" si="12"/>
        <v>-11139.668961902527</v>
      </c>
      <c r="Y77" s="525">
        <f t="shared" si="13"/>
        <v>-340405.84150472376</v>
      </c>
    </row>
    <row r="78" spans="3:38" x14ac:dyDescent="0.2">
      <c r="C78" s="387">
        <f t="shared" si="3"/>
        <v>42946</v>
      </c>
      <c r="D78" s="388">
        <f t="shared" si="4"/>
        <v>150304.21677419354</v>
      </c>
      <c r="E78" s="392">
        <f t="shared" si="5"/>
        <v>72161.98876800001</v>
      </c>
      <c r="F78" s="428">
        <f t="shared" si="6"/>
        <v>0.96176762000000005</v>
      </c>
      <c r="G78" s="390">
        <f t="shared" si="7"/>
        <v>69.403099999999995</v>
      </c>
      <c r="H78" s="391">
        <f t="shared" si="0"/>
        <v>222536.57040981355</v>
      </c>
      <c r="I78" s="324">
        <v>68243</v>
      </c>
      <c r="J78" s="325"/>
      <c r="K78" s="325"/>
      <c r="L78" s="319">
        <v>72161.98876800001</v>
      </c>
      <c r="M78" s="320"/>
      <c r="N78" s="320"/>
      <c r="O78" s="320"/>
      <c r="P78" s="392">
        <f t="shared" si="8"/>
        <v>72161.98876800001</v>
      </c>
      <c r="Q78" s="392">
        <f t="shared" si="1"/>
        <v>0</v>
      </c>
      <c r="R78" s="392">
        <f t="shared" si="2"/>
        <v>0</v>
      </c>
      <c r="S78" s="532">
        <v>72999.73000000001</v>
      </c>
      <c r="T78" s="374"/>
      <c r="U78" s="520">
        <f t="shared" si="9"/>
        <v>4756.7300000000105</v>
      </c>
      <c r="V78" s="520">
        <f t="shared" si="10"/>
        <v>68243</v>
      </c>
      <c r="W78" s="520">
        <f t="shared" si="11"/>
        <v>76134.939221611014</v>
      </c>
      <c r="X78" s="520">
        <f t="shared" si="12"/>
        <v>-7891.9392216110136</v>
      </c>
      <c r="Y78" s="525">
        <f t="shared" si="13"/>
        <v>-348297.78072633478</v>
      </c>
    </row>
    <row r="79" spans="3:38" ht="15" thickBot="1" x14ac:dyDescent="0.25">
      <c r="C79" s="393">
        <v>42947</v>
      </c>
      <c r="D79" s="388">
        <f t="shared" si="4"/>
        <v>150304.21677419354</v>
      </c>
      <c r="E79" s="392">
        <f>P79+Q79+R79</f>
        <v>74875.265625</v>
      </c>
      <c r="F79" s="428">
        <f>TRUNC(IFERROR(J$24/K$24,0),8)</f>
        <v>0.96176762000000005</v>
      </c>
      <c r="G79" s="390">
        <f>ROUND(I$24*F79*E79,4)</f>
        <v>72.012600000000006</v>
      </c>
      <c r="H79" s="391">
        <f>SUM(D79:G79)</f>
        <v>225252.45676681353</v>
      </c>
      <c r="I79" s="324">
        <v>68243</v>
      </c>
      <c r="J79" s="325"/>
      <c r="K79" s="325"/>
      <c r="L79" s="319">
        <v>74875.265625</v>
      </c>
      <c r="M79" s="320"/>
      <c r="N79" s="320"/>
      <c r="O79" s="320"/>
      <c r="P79" s="392">
        <f>L79</f>
        <v>74875.265625</v>
      </c>
      <c r="Q79" s="392">
        <f>M79+N79</f>
        <v>0</v>
      </c>
      <c r="R79" s="392">
        <f>O79</f>
        <v>0</v>
      </c>
      <c r="S79" s="532">
        <v>73000.73</v>
      </c>
      <c r="T79" s="374"/>
      <c r="U79" s="520">
        <f>S79+T79-V79</f>
        <v>4757.7299999999959</v>
      </c>
      <c r="V79" s="520">
        <f>I79+J79+K79</f>
        <v>68243</v>
      </c>
      <c r="W79" s="520">
        <f>(P79+Q79+R79)*1.055056</f>
        <v>78997.598249250004</v>
      </c>
      <c r="X79" s="520">
        <f>V79-W79</f>
        <v>-10754.598249250004</v>
      </c>
      <c r="Y79" s="525">
        <f>Y78+X79</f>
        <v>-359052.37897558475</v>
      </c>
    </row>
    <row r="80" spans="3:38" ht="15" thickBot="1" x14ac:dyDescent="0.25">
      <c r="C80" s="398"/>
      <c r="D80" s="399">
        <f>SUM(D49:D79)</f>
        <v>4659430.72</v>
      </c>
      <c r="E80" s="400">
        <f>SUM(E49:E79)</f>
        <v>2307520.5287450003</v>
      </c>
      <c r="F80" s="400"/>
      <c r="G80" s="401">
        <f>SUM(G49:G79)</f>
        <v>2219.2988</v>
      </c>
      <c r="H80" s="399">
        <f>SUM(H49:H79)</f>
        <v>6969200.3623412196</v>
      </c>
      <c r="I80" s="432">
        <f>SUM(I49:I79)</f>
        <v>2075511</v>
      </c>
      <c r="J80" s="432">
        <f t="shared" ref="J80:R80" si="14">SUM(J49:J79)</f>
        <v>0</v>
      </c>
      <c r="K80" s="432">
        <f t="shared" si="14"/>
        <v>0</v>
      </c>
      <c r="L80" s="432">
        <f t="shared" si="14"/>
        <v>2307520.5287450003</v>
      </c>
      <c r="M80" s="432">
        <f t="shared" si="14"/>
        <v>0</v>
      </c>
      <c r="N80" s="432">
        <f t="shared" si="14"/>
        <v>0</v>
      </c>
      <c r="O80" s="432">
        <f t="shared" si="14"/>
        <v>0</v>
      </c>
      <c r="P80" s="432">
        <f t="shared" si="14"/>
        <v>2307520.5287450003</v>
      </c>
      <c r="Q80" s="432">
        <f t="shared" si="14"/>
        <v>0</v>
      </c>
      <c r="R80" s="432">
        <f t="shared" si="14"/>
        <v>0</v>
      </c>
      <c r="S80" s="361">
        <f>SUM(S49:S79)</f>
        <v>2022998.4299999997</v>
      </c>
      <c r="U80" s="530"/>
      <c r="V80" s="328">
        <f>SUM(V49:V79)</f>
        <v>2075511</v>
      </c>
      <c r="W80" s="328">
        <f>SUM(W49:W79)</f>
        <v>2434563.3789755851</v>
      </c>
      <c r="X80" s="328">
        <f>SUM(X49:X79)</f>
        <v>-359052.37897558475</v>
      </c>
      <c r="Y80" s="323">
        <f>Y79</f>
        <v>-359052.37897558475</v>
      </c>
      <c r="AL80" s="361">
        <f>Y79</f>
        <v>-359052.37897558475</v>
      </c>
    </row>
    <row r="81" spans="2:14" ht="15" customHeight="1" x14ac:dyDescent="0.2">
      <c r="B81"/>
      <c r="C81"/>
      <c r="D81"/>
      <c r="E81"/>
      <c r="F81"/>
      <c r="G81"/>
      <c r="H81"/>
      <c r="I81"/>
      <c r="J81"/>
      <c r="K81"/>
      <c r="L81"/>
      <c r="N81" s="2"/>
    </row>
  </sheetData>
  <mergeCells count="12">
    <mergeCell ref="C10:D10"/>
    <mergeCell ref="C11:D11"/>
    <mergeCell ref="C3:M4"/>
    <mergeCell ref="C5:M5"/>
    <mergeCell ref="C6:M6"/>
    <mergeCell ref="G7:H7"/>
    <mergeCell ref="C9:D9"/>
    <mergeCell ref="D23:E23"/>
    <mergeCell ref="D24:E24"/>
    <mergeCell ref="C28:F28"/>
    <mergeCell ref="C39:F39"/>
    <mergeCell ref="S47:Y47"/>
  </mergeCells>
  <conditionalFormatting sqref="L49:O79">
    <cfRule type="cellIs" dxfId="119" priority="1" stopIfTrue="1" operator="equal">
      <formula>0</formula>
    </cfRule>
  </conditionalFormatting>
  <printOptions horizontalCentered="1"/>
  <pageMargins left="0" right="0.70866141732283472" top="0.15748031496062992" bottom="0.35433070866141736" header="0.31496062992125984" footer="0.31496062992125984"/>
  <pageSetup scale="81" orientation="landscape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2:AL81"/>
  <sheetViews>
    <sheetView workbookViewId="0"/>
  </sheetViews>
  <sheetFormatPr baseColWidth="10" defaultColWidth="11" defaultRowHeight="14.25" x14ac:dyDescent="0.2"/>
  <cols>
    <col min="1" max="1" width="11" style="2"/>
    <col min="2" max="2" width="3.875" style="2" bestFit="1" customWidth="1"/>
    <col min="3" max="3" width="16.125" style="2" customWidth="1"/>
    <col min="4" max="4" width="12.375" style="2" bestFit="1" customWidth="1"/>
    <col min="5" max="5" width="12.125" style="2" bestFit="1" customWidth="1"/>
    <col min="6" max="6" width="17.125" style="2" bestFit="1" customWidth="1"/>
    <col min="7" max="7" width="13.125" style="2" bestFit="1" customWidth="1"/>
    <col min="8" max="8" width="12.125" style="2" bestFit="1" customWidth="1"/>
    <col min="9" max="9" width="11.125" style="2" bestFit="1" customWidth="1"/>
    <col min="10" max="10" width="11.875" style="2" bestFit="1" customWidth="1"/>
    <col min="11" max="11" width="11.625" style="2" bestFit="1" customWidth="1"/>
    <col min="12" max="12" width="12.125" style="2" customWidth="1"/>
    <col min="13" max="13" width="12" style="2" bestFit="1" customWidth="1"/>
    <col min="14" max="14" width="9" style="1" customWidth="1"/>
    <col min="15" max="15" width="11.125" style="2" bestFit="1" customWidth="1"/>
    <col min="16" max="16" width="11" style="2"/>
    <col min="17" max="17" width="12.5" style="2" bestFit="1" customWidth="1"/>
    <col min="18" max="19" width="11" style="2"/>
    <col min="20" max="20" width="11.125" style="2" bestFit="1" customWidth="1"/>
    <col min="21" max="25" width="11" style="2"/>
    <col min="26" max="32" width="10.875" customWidth="1"/>
    <col min="33" max="16384" width="11" style="2"/>
  </cols>
  <sheetData>
    <row r="2" spans="2:25" x14ac:dyDescent="0.2"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2:25" ht="15" customHeight="1" x14ac:dyDescent="0.2">
      <c r="B3" s="1"/>
      <c r="C3" s="2254" t="s">
        <v>0</v>
      </c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</row>
    <row r="4" spans="2:25" ht="15" customHeight="1" x14ac:dyDescent="0.2"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</row>
    <row r="5" spans="2:25" x14ac:dyDescent="0.2">
      <c r="B5" s="1"/>
      <c r="C5" s="2257" t="s">
        <v>1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</row>
    <row r="6" spans="2:25" x14ac:dyDescent="0.2">
      <c r="B6" s="1"/>
      <c r="C6" s="2257" t="s">
        <v>216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</row>
    <row r="7" spans="2:25" x14ac:dyDescent="0.2">
      <c r="B7" s="1"/>
      <c r="C7" s="609"/>
      <c r="D7" s="609"/>
      <c r="E7" s="609"/>
      <c r="F7" s="609"/>
      <c r="G7" s="2271">
        <v>42948</v>
      </c>
      <c r="H7" s="2257"/>
      <c r="I7" s="609"/>
      <c r="J7" s="609"/>
      <c r="K7" s="609"/>
      <c r="L7" s="609"/>
      <c r="M7" s="609"/>
      <c r="N7" s="18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2:25" x14ac:dyDescent="0.2">
      <c r="B8" s="1"/>
      <c r="C8" s="609"/>
      <c r="D8" s="609"/>
      <c r="E8" s="609"/>
      <c r="F8" s="609"/>
      <c r="G8" s="609"/>
      <c r="H8" s="609"/>
      <c r="I8" s="609"/>
      <c r="J8" s="609"/>
      <c r="K8" s="609"/>
      <c r="L8" s="609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2:25" ht="25.5" x14ac:dyDescent="0.2">
      <c r="B9" s="1"/>
      <c r="C9" s="2272" t="s">
        <v>6</v>
      </c>
      <c r="D9" s="2272"/>
      <c r="E9" s="610" t="s">
        <v>94</v>
      </c>
      <c r="F9" s="610" t="s">
        <v>126</v>
      </c>
      <c r="G9" s="410" t="s">
        <v>133</v>
      </c>
      <c r="H9" s="610" t="s">
        <v>127</v>
      </c>
      <c r="I9" s="610" t="s">
        <v>128</v>
      </c>
      <c r="J9" s="609"/>
      <c r="K9" s="609"/>
      <c r="L9" s="609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2:25" x14ac:dyDescent="0.2">
      <c r="B10" s="1"/>
      <c r="C10" s="2270" t="s">
        <v>131</v>
      </c>
      <c r="D10" s="2270"/>
      <c r="E10" s="433">
        <f>IF(C15=0,D15,C15)</f>
        <v>4659430.72</v>
      </c>
      <c r="F10" s="407">
        <f>E10*0.16</f>
        <v>745508.91519999993</v>
      </c>
      <c r="G10" s="407">
        <f>E10+F10</f>
        <v>5404939.6351999994</v>
      </c>
      <c r="H10" s="511" t="s">
        <v>218</v>
      </c>
      <c r="I10" s="604">
        <f>M33/L33</f>
        <v>17.733100009643525</v>
      </c>
      <c r="J10" s="609"/>
      <c r="K10" s="609"/>
      <c r="L10" s="609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2:25" x14ac:dyDescent="0.2">
      <c r="B11" s="1"/>
      <c r="C11" s="2270" t="s">
        <v>132</v>
      </c>
      <c r="D11" s="2270"/>
      <c r="E11" s="433">
        <f>IF(C16=0,D16,C16)</f>
        <v>2211.94</v>
      </c>
      <c r="F11" s="407">
        <f>E11*0.16</f>
        <v>353.91040000000004</v>
      </c>
      <c r="G11" s="407">
        <f>E11+F11</f>
        <v>2565.8504000000003</v>
      </c>
      <c r="H11" s="511" t="s">
        <v>218</v>
      </c>
      <c r="I11" s="604">
        <f>I10</f>
        <v>17.733100009643525</v>
      </c>
      <c r="J11" s="609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2:25" x14ac:dyDescent="0.2">
      <c r="B12" s="1"/>
      <c r="C12" s="609"/>
      <c r="D12" s="609"/>
      <c r="E12" s="609"/>
      <c r="F12" s="609"/>
      <c r="G12" s="609"/>
      <c r="H12" s="1"/>
      <c r="I12" s="1" t="s">
        <v>219</v>
      </c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2:25" ht="15" thickBot="1" x14ac:dyDescent="0.25">
      <c r="B13" s="1"/>
      <c r="C13" s="609"/>
      <c r="D13" s="609"/>
      <c r="E13" s="609"/>
      <c r="F13" s="609"/>
      <c r="G13" s="609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2:25" x14ac:dyDescent="0.2">
      <c r="B14" s="1"/>
      <c r="C14" s="440" t="s">
        <v>155</v>
      </c>
      <c r="D14" s="441" t="s">
        <v>156</v>
      </c>
      <c r="E14" s="442" t="s">
        <v>112</v>
      </c>
      <c r="F14" s="609"/>
      <c r="G14" s="609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2:25" x14ac:dyDescent="0.2">
      <c r="B15" s="1"/>
      <c r="C15" s="443">
        <v>4659430.72</v>
      </c>
      <c r="D15" s="444">
        <f>D80</f>
        <v>4659430.72</v>
      </c>
      <c r="E15" s="445">
        <f>C15-D15</f>
        <v>0</v>
      </c>
      <c r="F15" s="609"/>
      <c r="G15" s="609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2:25" ht="15" thickBot="1" x14ac:dyDescent="0.25">
      <c r="B16" s="1"/>
      <c r="C16" s="446">
        <v>2211.94</v>
      </c>
      <c r="D16" s="447">
        <f>ROUND(G80,2)</f>
        <v>2211.94</v>
      </c>
      <c r="E16" s="448">
        <f>C16-D16</f>
        <v>0</v>
      </c>
      <c r="F16" s="609"/>
      <c r="G16" s="609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2:25" x14ac:dyDescent="0.2">
      <c r="B17" s="1"/>
      <c r="C17" s="609"/>
      <c r="D17" s="609"/>
      <c r="E17" s="609"/>
      <c r="F17" s="609"/>
      <c r="G17" s="609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2:25" x14ac:dyDescent="0.2">
      <c r="B18" s="1"/>
      <c r="C18" s="609"/>
      <c r="D18" s="609"/>
      <c r="E18" s="609"/>
      <c r="F18" s="609"/>
      <c r="G18" s="609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2:25" x14ac:dyDescent="0.2">
      <c r="B19" s="1"/>
      <c r="C19" s="609"/>
      <c r="D19" s="609"/>
      <c r="E19" s="609"/>
      <c r="F19" s="609"/>
      <c r="G19" s="609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2:25" x14ac:dyDescent="0.2">
      <c r="B20" s="1"/>
      <c r="C20" s="609"/>
      <c r="D20" s="609"/>
      <c r="E20" s="609"/>
      <c r="F20" s="609"/>
      <c r="G20" s="609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2:25" x14ac:dyDescent="0.2">
      <c r="B21" s="1"/>
      <c r="C21" s="609"/>
      <c r="D21" s="609"/>
      <c r="E21" s="609"/>
      <c r="F21" s="609"/>
      <c r="G21" s="609"/>
      <c r="H21" s="1"/>
      <c r="I21" s="1"/>
      <c r="J21" s="1"/>
      <c r="K21" s="1"/>
      <c r="L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2:25" ht="15" thickBot="1" x14ac:dyDescent="0.25">
      <c r="B22" s="1"/>
      <c r="C22" s="419" t="s">
        <v>137</v>
      </c>
      <c r="D22" s="609" t="s">
        <v>138</v>
      </c>
      <c r="E22" s="609"/>
      <c r="F22" s="609" t="s">
        <v>139</v>
      </c>
      <c r="G22" s="609" t="s">
        <v>3</v>
      </c>
      <c r="H22" s="609" t="s">
        <v>143</v>
      </c>
      <c r="I22" s="609" t="s">
        <v>142</v>
      </c>
      <c r="J22" s="609" t="s">
        <v>141</v>
      </c>
      <c r="K22" s="609" t="s">
        <v>140</v>
      </c>
      <c r="L22" s="609" t="s">
        <v>144</v>
      </c>
      <c r="M22" s="609" t="s">
        <v>146</v>
      </c>
      <c r="N22" s="609"/>
      <c r="O22" s="609"/>
      <c r="P22" s="609"/>
      <c r="Q22" s="1"/>
      <c r="R22" s="1"/>
      <c r="S22" s="1"/>
      <c r="T22" s="1"/>
      <c r="U22" s="1"/>
      <c r="V22" s="1"/>
      <c r="W22" s="1"/>
      <c r="X22" s="1"/>
      <c r="Y22" s="1"/>
    </row>
    <row r="23" spans="2:25" ht="36.75" customHeight="1" x14ac:dyDescent="0.2">
      <c r="B23" s="1"/>
      <c r="C23" s="402" t="s">
        <v>134</v>
      </c>
      <c r="D23" s="2261" t="s">
        <v>135</v>
      </c>
      <c r="E23" s="2262"/>
      <c r="F23" s="611" t="s">
        <v>136</v>
      </c>
      <c r="G23" s="461" t="s">
        <v>153</v>
      </c>
      <c r="H23" s="420" t="s">
        <v>129</v>
      </c>
      <c r="I23" s="403" t="s">
        <v>130</v>
      </c>
      <c r="J23" s="422"/>
      <c r="K23" s="422"/>
      <c r="L23" s="422"/>
      <c r="M23" s="404" t="s">
        <v>158</v>
      </c>
      <c r="N23" s="609"/>
      <c r="O23" s="609"/>
      <c r="P23" s="609"/>
      <c r="Q23" s="609"/>
      <c r="R23" s="609"/>
      <c r="S23" s="609"/>
      <c r="T23" s="609"/>
      <c r="U23" s="1"/>
      <c r="V23" s="1"/>
      <c r="W23" s="1"/>
      <c r="X23" s="1"/>
      <c r="Y23" s="1"/>
    </row>
    <row r="24" spans="2:25" x14ac:dyDescent="0.2">
      <c r="B24" s="1"/>
      <c r="C24" s="405">
        <v>850</v>
      </c>
      <c r="D24" s="2263">
        <v>850</v>
      </c>
      <c r="E24" s="2264"/>
      <c r="F24" s="418">
        <v>31482640</v>
      </c>
      <c r="G24" s="462">
        <v>31</v>
      </c>
      <c r="H24" s="460">
        <f>VLOOKUP(C47,Tarifas!D4:H303,3)</f>
        <v>0.14799999999999999</v>
      </c>
      <c r="I24" s="424">
        <f>VLOOKUP(C47,Tarifas!D4:H303,5)</f>
        <v>1E-3</v>
      </c>
      <c r="J24" s="421">
        <v>193.4</v>
      </c>
      <c r="K24" s="421">
        <v>201.4</v>
      </c>
      <c r="L24" s="421">
        <f>I10</f>
        <v>17.733100009643525</v>
      </c>
      <c r="M24" s="431">
        <v>2303435.9889000002</v>
      </c>
      <c r="N24" s="430" t="s">
        <v>62</v>
      </c>
      <c r="O24" s="609"/>
      <c r="P24" s="609"/>
      <c r="Q24" s="609"/>
      <c r="R24" s="609"/>
      <c r="S24" s="609"/>
      <c r="T24" s="609"/>
      <c r="U24" s="1"/>
      <c r="V24" s="1"/>
      <c r="W24" s="1"/>
      <c r="X24" s="1"/>
      <c r="Y24" s="1"/>
    </row>
    <row r="25" spans="2:25" x14ac:dyDescent="0.2">
      <c r="B25" s="1"/>
      <c r="C25" s="609"/>
      <c r="D25" s="609"/>
      <c r="E25" s="609"/>
      <c r="F25" s="609"/>
      <c r="G25" s="609"/>
      <c r="H25" s="609"/>
      <c r="I25" s="609"/>
      <c r="J25" s="609"/>
      <c r="K25" s="609"/>
      <c r="L25" s="609"/>
      <c r="M25" s="609"/>
      <c r="N25" s="609"/>
      <c r="O25" s="609"/>
      <c r="P25" s="609"/>
      <c r="Q25" s="609"/>
      <c r="R25" s="609"/>
      <c r="S25" s="1"/>
      <c r="T25" s="1"/>
      <c r="U25" s="1"/>
      <c r="V25" s="1"/>
      <c r="W25" s="1"/>
      <c r="X25" s="1"/>
      <c r="Y25" s="1"/>
    </row>
    <row r="26" spans="2:25" x14ac:dyDescent="0.2">
      <c r="B26" s="1"/>
      <c r="C26" s="609"/>
      <c r="D26" s="609"/>
      <c r="E26" s="609"/>
      <c r="F26" s="609"/>
      <c r="G26" s="609"/>
      <c r="H26" s="609"/>
      <c r="I26" s="609"/>
      <c r="J26" s="609"/>
      <c r="K26" s="609"/>
      <c r="L26" s="609"/>
      <c r="M26" s="609"/>
      <c r="N26" s="609"/>
      <c r="O26" s="609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2:25" x14ac:dyDescent="0.2">
      <c r="B27" s="1"/>
      <c r="C27" s="609"/>
      <c r="D27" s="609"/>
      <c r="E27" s="609"/>
      <c r="F27" s="609"/>
      <c r="G27" s="609"/>
      <c r="H27" s="609"/>
      <c r="I27" s="609"/>
      <c r="J27" s="609"/>
      <c r="K27" s="609"/>
      <c r="L27" s="609"/>
      <c r="M27" s="609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2:25" ht="15" thickBot="1" x14ac:dyDescent="0.25">
      <c r="B28" s="1"/>
      <c r="C28" s="2265" t="s">
        <v>86</v>
      </c>
      <c r="D28" s="2265"/>
      <c r="E28" s="2265"/>
      <c r="F28" s="2265"/>
      <c r="G28" s="612"/>
      <c r="H28" s="334"/>
      <c r="I28" s="334"/>
      <c r="J28" s="334"/>
      <c r="K28" s="612"/>
      <c r="L28" s="336"/>
      <c r="M28" s="336"/>
      <c r="O28" s="530" t="s">
        <v>212</v>
      </c>
      <c r="P28" s="674">
        <v>18.197900000000001</v>
      </c>
      <c r="Q28" s="530" t="s">
        <v>213</v>
      </c>
      <c r="R28" s="1"/>
      <c r="S28" s="663"/>
      <c r="T28" s="664"/>
      <c r="U28" s="1"/>
      <c r="V28" s="1"/>
      <c r="W28" s="1"/>
      <c r="X28" s="1"/>
      <c r="Y28" s="1"/>
    </row>
    <row r="29" spans="2:25" ht="22.5" x14ac:dyDescent="0.2">
      <c r="B29" s="1"/>
      <c r="C29" s="337" t="s">
        <v>87</v>
      </c>
      <c r="D29" s="607" t="s">
        <v>88</v>
      </c>
      <c r="E29" s="607" t="s">
        <v>89</v>
      </c>
      <c r="F29" s="607" t="s">
        <v>20</v>
      </c>
      <c r="G29" s="607" t="s">
        <v>160</v>
      </c>
      <c r="H29" s="607" t="s">
        <v>90</v>
      </c>
      <c r="I29" s="607" t="s">
        <v>91</v>
      </c>
      <c r="J29" s="607" t="s">
        <v>92</v>
      </c>
      <c r="K29" s="607" t="s">
        <v>93</v>
      </c>
      <c r="L29" s="607" t="s">
        <v>94</v>
      </c>
      <c r="M29" s="608" t="s">
        <v>95</v>
      </c>
      <c r="O29" s="590" t="s">
        <v>95</v>
      </c>
      <c r="P29" s="1"/>
      <c r="Q29" s="590" t="s">
        <v>95</v>
      </c>
      <c r="R29" s="1"/>
      <c r="S29" s="667"/>
      <c r="T29" s="339"/>
      <c r="U29" s="339"/>
      <c r="V29" s="1"/>
      <c r="W29" s="1"/>
      <c r="X29" s="1"/>
      <c r="Y29" s="1"/>
    </row>
    <row r="30" spans="2:25" x14ac:dyDescent="0.2">
      <c r="B30" s="1"/>
      <c r="C30" s="338"/>
      <c r="D30" s="339"/>
      <c r="E30" s="339" t="s">
        <v>96</v>
      </c>
      <c r="F30" s="340" t="s">
        <v>97</v>
      </c>
      <c r="G30" s="340"/>
      <c r="H30" s="339"/>
      <c r="I30" s="341"/>
      <c r="J30" s="339">
        <v>138.15</v>
      </c>
      <c r="K30" s="342">
        <v>0</v>
      </c>
      <c r="L30" s="343">
        <f>ROUND(K30*E$10,2)</f>
        <v>0</v>
      </c>
      <c r="M30" s="344">
        <f>L30*$I$10</f>
        <v>0</v>
      </c>
      <c r="O30" s="659" t="s">
        <v>101</v>
      </c>
      <c r="P30" s="1"/>
      <c r="Q30" s="659" t="s">
        <v>101</v>
      </c>
      <c r="R30" s="1"/>
      <c r="S30" s="208"/>
      <c r="T30" s="208"/>
      <c r="U30" s="668"/>
      <c r="V30" s="1"/>
      <c r="W30" s="1"/>
      <c r="X30" s="1"/>
      <c r="Y30" s="1"/>
    </row>
    <row r="31" spans="2:25" x14ac:dyDescent="0.2">
      <c r="B31" s="1"/>
      <c r="C31" s="338"/>
      <c r="D31" s="339"/>
      <c r="E31" s="339" t="s">
        <v>98</v>
      </c>
      <c r="F31" s="340" t="s">
        <v>97</v>
      </c>
      <c r="G31" s="340"/>
      <c r="H31" s="339"/>
      <c r="I31" s="341"/>
      <c r="J31" s="339">
        <v>138.15</v>
      </c>
      <c r="K31" s="342">
        <v>0</v>
      </c>
      <c r="L31" s="343">
        <f>ROUND(K31*E$10,2)</f>
        <v>0</v>
      </c>
      <c r="M31" s="344">
        <f>L31*$I$10</f>
        <v>0</v>
      </c>
      <c r="O31" s="659" t="s">
        <v>101</v>
      </c>
      <c r="P31" s="1"/>
      <c r="Q31" s="659" t="s">
        <v>101</v>
      </c>
      <c r="R31" s="1"/>
      <c r="S31" s="208"/>
      <c r="T31" s="208"/>
      <c r="U31" s="668"/>
      <c r="V31" s="1"/>
      <c r="W31" s="1"/>
      <c r="X31" s="1"/>
      <c r="Y31" s="1"/>
    </row>
    <row r="32" spans="2:25" x14ac:dyDescent="0.2">
      <c r="B32" s="1"/>
      <c r="C32" s="338"/>
      <c r="D32" s="339"/>
      <c r="E32" s="339" t="s">
        <v>99</v>
      </c>
      <c r="F32" s="340" t="s">
        <v>100</v>
      </c>
      <c r="G32" s="340"/>
      <c r="H32" s="339"/>
      <c r="I32" s="341"/>
      <c r="J32" s="339">
        <v>130.80000000000001</v>
      </c>
      <c r="K32" s="342">
        <v>0</v>
      </c>
      <c r="L32" s="343">
        <f>ROUND(K32*E$10,2)</f>
        <v>0</v>
      </c>
      <c r="M32" s="344">
        <f>L32*$I$10</f>
        <v>0</v>
      </c>
      <c r="O32" s="659" t="s">
        <v>101</v>
      </c>
      <c r="P32" s="1"/>
      <c r="Q32" s="659" t="s">
        <v>101</v>
      </c>
      <c r="R32" s="1"/>
      <c r="S32" s="669"/>
      <c r="T32" s="670"/>
      <c r="U32" s="671"/>
      <c r="V32" s="1"/>
      <c r="W32" s="1"/>
      <c r="X32" s="1"/>
      <c r="Y32" s="1"/>
    </row>
    <row r="33" spans="2:25" x14ac:dyDescent="0.2">
      <c r="B33" s="1"/>
      <c r="C33" s="338">
        <v>800762390</v>
      </c>
      <c r="D33" s="605">
        <v>5</v>
      </c>
      <c r="E33" s="354" t="s">
        <v>101</v>
      </c>
      <c r="F33" s="463" t="s">
        <v>23</v>
      </c>
      <c r="G33" s="463"/>
      <c r="H33" s="354"/>
      <c r="I33" s="341">
        <v>80000</v>
      </c>
      <c r="J33" s="597"/>
      <c r="K33" s="342">
        <v>0.09</v>
      </c>
      <c r="L33" s="343">
        <f>ROUND(K33*E$10,2)</f>
        <v>419348.76</v>
      </c>
      <c r="M33" s="344">
        <v>7436353.5</v>
      </c>
      <c r="O33" s="591">
        <f>P28*L33</f>
        <v>7631266.7996040005</v>
      </c>
      <c r="P33" s="1"/>
      <c r="Q33" s="591">
        <f>M33-O33</f>
        <v>-194913.29960400052</v>
      </c>
      <c r="R33" s="1"/>
      <c r="S33" s="672"/>
      <c r="T33" s="340"/>
      <c r="U33" s="667"/>
      <c r="V33" s="1"/>
      <c r="W33" s="1"/>
      <c r="X33" s="1"/>
      <c r="Y33" s="1"/>
    </row>
    <row r="34" spans="2:25" ht="15" thickBot="1" x14ac:dyDescent="0.25">
      <c r="B34" s="1"/>
      <c r="C34" s="345">
        <v>800642440</v>
      </c>
      <c r="D34" s="606">
        <v>6</v>
      </c>
      <c r="E34" s="347" t="s">
        <v>101</v>
      </c>
      <c r="F34" s="348" t="s">
        <v>159</v>
      </c>
      <c r="G34" s="348"/>
      <c r="H34" s="347"/>
      <c r="I34" s="349">
        <f>850000-I30-I31-I32-I33</f>
        <v>770000</v>
      </c>
      <c r="J34" s="346"/>
      <c r="K34" s="350">
        <v>0.91</v>
      </c>
      <c r="L34" s="351">
        <f>ROUND(K34*E$10,2)</f>
        <v>4240081.96</v>
      </c>
      <c r="M34" s="352">
        <v>75034610.409999996</v>
      </c>
      <c r="O34" s="592">
        <f>P28*L34</f>
        <v>77160587.499884009</v>
      </c>
      <c r="P34" s="1"/>
      <c r="Q34" s="592">
        <f>M34-O34</f>
        <v>-2125977.0898840129</v>
      </c>
      <c r="R34" s="1"/>
      <c r="S34" s="667"/>
      <c r="T34" s="669"/>
      <c r="U34" s="667"/>
      <c r="V34" s="1"/>
      <c r="W34" s="1"/>
      <c r="X34" s="1"/>
      <c r="Y34" s="1"/>
    </row>
    <row r="35" spans="2:25" x14ac:dyDescent="0.2">
      <c r="B35" s="1"/>
      <c r="C35" s="406">
        <v>3000623</v>
      </c>
      <c r="D35" s="353" t="s">
        <v>102</v>
      </c>
      <c r="E35" s="353"/>
      <c r="F35" s="353"/>
      <c r="G35" s="353"/>
      <c r="H35" s="354"/>
      <c r="I35" s="355">
        <f>SUM(I30:I34)</f>
        <v>850000</v>
      </c>
      <c r="J35" s="353"/>
      <c r="K35" s="356">
        <f>SUM(K30:K34)</f>
        <v>1</v>
      </c>
      <c r="L35" s="357">
        <f>SUM(L30:L34)</f>
        <v>4659430.72</v>
      </c>
      <c r="M35" s="357">
        <f>SUM(M30:M34)</f>
        <v>82470963.909999996</v>
      </c>
      <c r="O35" s="593">
        <f>SUM(O30:O34)</f>
        <v>84791854.299488008</v>
      </c>
      <c r="P35" s="1"/>
      <c r="Q35" s="593">
        <f>SUM(Q30:Q33)</f>
        <v>-194913.29960400052</v>
      </c>
      <c r="R35" s="1"/>
      <c r="S35" s="667"/>
      <c r="T35" s="667"/>
      <c r="U35" s="339"/>
      <c r="V35" s="1"/>
      <c r="W35" s="1"/>
      <c r="X35" s="1"/>
      <c r="Y35" s="1"/>
    </row>
    <row r="36" spans="2:25" x14ac:dyDescent="0.2">
      <c r="B36" s="1"/>
      <c r="C36" s="336"/>
      <c r="D36" s="336"/>
      <c r="E36" s="336"/>
      <c r="F36" s="358"/>
      <c r="G36" s="358"/>
      <c r="H36" s="336"/>
      <c r="I36" s="336"/>
      <c r="J36" s="336"/>
      <c r="K36" s="336"/>
      <c r="L36" s="359"/>
      <c r="M36" s="1"/>
      <c r="O36" s="594"/>
      <c r="P36" s="1"/>
      <c r="Q36" s="1"/>
      <c r="R36" s="1"/>
      <c r="S36" s="667"/>
      <c r="T36" s="667"/>
      <c r="U36" s="673"/>
      <c r="V36" s="1"/>
      <c r="W36" s="1"/>
      <c r="X36" s="1"/>
      <c r="Y36" s="1"/>
    </row>
    <row r="37" spans="2:25" x14ac:dyDescent="0.2">
      <c r="B37" s="1"/>
      <c r="C37" s="336"/>
      <c r="D37" s="336"/>
      <c r="E37" s="336"/>
      <c r="F37" s="358"/>
      <c r="G37" s="358"/>
      <c r="H37" s="336"/>
      <c r="I37" s="336"/>
      <c r="J37" s="336"/>
      <c r="K37" s="336"/>
      <c r="L37" s="359"/>
      <c r="M37" s="1"/>
      <c r="O37" s="594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2:25" x14ac:dyDescent="0.2">
      <c r="B38" s="1"/>
      <c r="C38" s="336"/>
      <c r="D38" s="336"/>
      <c r="E38" s="336"/>
      <c r="F38" s="358"/>
      <c r="G38" s="358"/>
      <c r="H38" s="336"/>
      <c r="I38" s="336"/>
      <c r="J38" s="336"/>
      <c r="K38" s="336"/>
      <c r="L38" s="359"/>
      <c r="M38" s="1"/>
      <c r="O38" s="594"/>
      <c r="P38" s="1"/>
      <c r="Q38" s="1"/>
      <c r="R38" s="1"/>
      <c r="S38" s="667"/>
      <c r="T38" s="339"/>
      <c r="U38" s="339"/>
      <c r="V38" s="1"/>
      <c r="W38" s="1"/>
      <c r="X38" s="1"/>
      <c r="Y38" s="1"/>
    </row>
    <row r="39" spans="2:25" ht="15" thickBot="1" x14ac:dyDescent="0.25">
      <c r="B39" s="1"/>
      <c r="C39" s="2266" t="s">
        <v>103</v>
      </c>
      <c r="D39" s="2266"/>
      <c r="E39" s="2266"/>
      <c r="F39" s="2266"/>
      <c r="G39" s="612"/>
      <c r="H39" s="334"/>
      <c r="I39" s="334"/>
      <c r="J39" s="334"/>
      <c r="K39" s="336"/>
      <c r="L39" s="336"/>
      <c r="M39" s="360"/>
      <c r="O39" s="595"/>
      <c r="P39" s="1"/>
      <c r="Q39" s="360"/>
      <c r="R39" s="1"/>
      <c r="S39" s="208"/>
      <c r="T39" s="208"/>
      <c r="U39" s="668"/>
      <c r="V39" s="1"/>
      <c r="W39" s="1"/>
      <c r="X39" s="1"/>
      <c r="Y39" s="1"/>
    </row>
    <row r="40" spans="2:25" ht="22.5" x14ac:dyDescent="0.2">
      <c r="B40" s="1"/>
      <c r="C40" s="337" t="s">
        <v>87</v>
      </c>
      <c r="D40" s="607" t="s">
        <v>88</v>
      </c>
      <c r="E40" s="607" t="s">
        <v>89</v>
      </c>
      <c r="F40" s="607" t="s">
        <v>20</v>
      </c>
      <c r="G40" s="607"/>
      <c r="H40" s="607" t="s">
        <v>90</v>
      </c>
      <c r="I40" s="607" t="s">
        <v>104</v>
      </c>
      <c r="J40" s="607" t="s">
        <v>93</v>
      </c>
      <c r="K40" s="607" t="s">
        <v>92</v>
      </c>
      <c r="L40" s="607" t="s">
        <v>94</v>
      </c>
      <c r="M40" s="608" t="s">
        <v>95</v>
      </c>
      <c r="O40" s="596" t="s">
        <v>95</v>
      </c>
      <c r="P40" s="1"/>
      <c r="Q40" s="590" t="s">
        <v>95</v>
      </c>
      <c r="R40" s="1"/>
      <c r="S40" s="669"/>
      <c r="T40" s="670"/>
      <c r="U40" s="671"/>
      <c r="V40" s="1"/>
      <c r="W40" s="1"/>
      <c r="X40" s="1"/>
      <c r="Y40" s="1"/>
    </row>
    <row r="41" spans="2:25" x14ac:dyDescent="0.2">
      <c r="B41" s="1"/>
      <c r="C41" s="338"/>
      <c r="D41" s="339"/>
      <c r="E41" s="339" t="s">
        <v>96</v>
      </c>
      <c r="F41" s="340" t="s">
        <v>97</v>
      </c>
      <c r="G41" s="340"/>
      <c r="H41" s="339">
        <v>20823</v>
      </c>
      <c r="I41" s="341">
        <f>M80</f>
        <v>0</v>
      </c>
      <c r="J41" s="342">
        <f>IFERROR(I41/I$45,0)</f>
        <v>0</v>
      </c>
      <c r="K41" s="339">
        <v>138.15</v>
      </c>
      <c r="L41" s="343">
        <f>ROUND(J41*$E$11,2)</f>
        <v>0</v>
      </c>
      <c r="M41" s="344">
        <f>L41*L24</f>
        <v>0</v>
      </c>
      <c r="O41" s="659" t="s">
        <v>101</v>
      </c>
      <c r="P41" s="1"/>
      <c r="Q41" s="659" t="s">
        <v>101</v>
      </c>
      <c r="R41" s="1"/>
      <c r="S41" s="672"/>
      <c r="T41" s="340"/>
      <c r="U41" s="667"/>
      <c r="V41" s="1"/>
      <c r="W41" s="1"/>
      <c r="X41" s="1"/>
      <c r="Y41" s="1"/>
    </row>
    <row r="42" spans="2:25" x14ac:dyDescent="0.2">
      <c r="B42" s="1"/>
      <c r="C42" s="338"/>
      <c r="D42" s="339"/>
      <c r="E42" s="339" t="s">
        <v>98</v>
      </c>
      <c r="F42" s="340" t="s">
        <v>97</v>
      </c>
      <c r="G42" s="340"/>
      <c r="H42" s="339">
        <v>20824</v>
      </c>
      <c r="I42" s="341">
        <f>N80</f>
        <v>0</v>
      </c>
      <c r="J42" s="342">
        <f>IFERROR(I42/I$45,0)</f>
        <v>0</v>
      </c>
      <c r="K42" s="339">
        <v>138.15</v>
      </c>
      <c r="L42" s="343">
        <f>ROUND(J42*$E$11,2)</f>
        <v>0</v>
      </c>
      <c r="M42" s="344">
        <f>L42*L25</f>
        <v>0</v>
      </c>
      <c r="O42" s="659" t="s">
        <v>101</v>
      </c>
      <c r="P42" s="1"/>
      <c r="Q42" s="659" t="s">
        <v>101</v>
      </c>
      <c r="R42" s="1"/>
      <c r="S42" s="667"/>
      <c r="T42" s="669"/>
      <c r="U42" s="667"/>
      <c r="V42" s="1"/>
      <c r="W42" s="1"/>
      <c r="X42" s="1"/>
      <c r="Y42" s="1"/>
    </row>
    <row r="43" spans="2:25" x14ac:dyDescent="0.2">
      <c r="B43" s="1"/>
      <c r="C43" s="338"/>
      <c r="D43" s="339"/>
      <c r="E43" s="339" t="s">
        <v>99</v>
      </c>
      <c r="F43" s="340" t="s">
        <v>100</v>
      </c>
      <c r="G43" s="340"/>
      <c r="H43" s="339">
        <v>22228</v>
      </c>
      <c r="I43" s="341">
        <f>O80</f>
        <v>0</v>
      </c>
      <c r="J43" s="342">
        <f>IFERROR(I43/I$45,0)</f>
        <v>0</v>
      </c>
      <c r="K43" s="339">
        <v>130.80000000000001</v>
      </c>
      <c r="L43" s="343">
        <f>ROUND(J43*$E$11,2)</f>
        <v>0</v>
      </c>
      <c r="M43" s="344">
        <f>L43*L26</f>
        <v>0</v>
      </c>
      <c r="O43" s="659" t="s">
        <v>101</v>
      </c>
      <c r="P43" s="1"/>
      <c r="Q43" s="659" t="s">
        <v>101</v>
      </c>
      <c r="R43" s="1"/>
      <c r="S43" s="667"/>
      <c r="T43" s="667"/>
      <c r="U43" s="339"/>
      <c r="V43" s="1"/>
      <c r="W43" s="1"/>
      <c r="X43" s="1"/>
      <c r="Y43" s="1"/>
    </row>
    <row r="44" spans="2:25" ht="15" thickBot="1" x14ac:dyDescent="0.25">
      <c r="B44" s="1"/>
      <c r="C44" s="345">
        <v>800762390</v>
      </c>
      <c r="D44" s="606">
        <v>6</v>
      </c>
      <c r="E44" s="347" t="s">
        <v>101</v>
      </c>
      <c r="F44" s="348" t="s">
        <v>23</v>
      </c>
      <c r="G44" s="348">
        <v>2044</v>
      </c>
      <c r="H44" s="347">
        <v>591000500</v>
      </c>
      <c r="I44" s="349">
        <f>L80</f>
        <v>2303435.9888890004</v>
      </c>
      <c r="J44" s="350">
        <f>IFERROR(I44/I$45,0)</f>
        <v>1</v>
      </c>
      <c r="K44" s="346">
        <v>138.15</v>
      </c>
      <c r="L44" s="351">
        <f>ROUND(J44*$E$11,2)</f>
        <v>2211.94</v>
      </c>
      <c r="M44" s="352">
        <f>L44*I10</f>
        <v>39224.553235330903</v>
      </c>
      <c r="O44" s="592">
        <f>L44*P28</f>
        <v>40252.662926000005</v>
      </c>
      <c r="P44" s="1"/>
      <c r="Q44" s="592">
        <f>M44-O44</f>
        <v>-1028.1096906691018</v>
      </c>
      <c r="R44" s="1"/>
      <c r="S44" s="667"/>
      <c r="T44" s="667"/>
      <c r="U44" s="673"/>
      <c r="V44" s="1"/>
      <c r="W44" s="1"/>
      <c r="X44" s="1"/>
      <c r="Y44" s="1"/>
    </row>
    <row r="45" spans="2:25" x14ac:dyDescent="0.2">
      <c r="B45" s="1"/>
      <c r="C45" s="353"/>
      <c r="D45" s="353"/>
      <c r="E45" s="353"/>
      <c r="F45" s="353"/>
      <c r="G45" s="353"/>
      <c r="H45" s="354"/>
      <c r="I45" s="449">
        <f>SUM(I41:I44)</f>
        <v>2303435.9888890004</v>
      </c>
      <c r="J45" s="355"/>
      <c r="K45" s="353"/>
      <c r="L45" s="357">
        <f>SUM(L41:L44)</f>
        <v>2211.94</v>
      </c>
      <c r="M45" s="357">
        <f>SUM(M41:M44)</f>
        <v>39224.553235330903</v>
      </c>
      <c r="O45" s="593">
        <f>SUM(O41:O44)</f>
        <v>40252.662926000005</v>
      </c>
      <c r="P45" s="1"/>
      <c r="Q45" s="593">
        <f>SUM(Q41:Q44)</f>
        <v>-1028.1096906691018</v>
      </c>
      <c r="R45" s="1"/>
      <c r="S45" s="1"/>
      <c r="T45" s="1"/>
      <c r="U45" s="1"/>
      <c r="V45" s="1"/>
      <c r="W45" s="1"/>
      <c r="X45" s="1"/>
      <c r="Y45" s="1"/>
    </row>
    <row r="46" spans="2:25" customFormat="1" ht="15" thickBot="1" x14ac:dyDescent="0.25">
      <c r="M46" s="450"/>
      <c r="N46" s="450"/>
      <c r="O46" s="450"/>
      <c r="P46" s="450"/>
      <c r="Q46" s="450"/>
      <c r="R46" s="450"/>
      <c r="S46" s="450"/>
      <c r="T46" s="450"/>
      <c r="U46" s="450"/>
      <c r="V46" s="450"/>
      <c r="W46" s="450"/>
      <c r="X46" s="450"/>
      <c r="Y46" s="450"/>
    </row>
    <row r="47" spans="2:25" ht="15" thickBot="1" x14ac:dyDescent="0.25">
      <c r="B47" s="434" t="s">
        <v>3</v>
      </c>
      <c r="C47" s="333">
        <f>SUMIF(Tarifas!E4:E303,'Agosto - 2017'!C49,Tarifas!D4:D303)</f>
        <v>49</v>
      </c>
      <c r="D47" s="425" t="s">
        <v>147</v>
      </c>
      <c r="E47" s="426" t="s">
        <v>145</v>
      </c>
      <c r="F47" s="426" t="s">
        <v>150</v>
      </c>
      <c r="G47" s="426" t="s">
        <v>148</v>
      </c>
      <c r="H47" s="382"/>
      <c r="I47" s="331" t="s">
        <v>120</v>
      </c>
      <c r="J47" s="332"/>
      <c r="K47" s="332"/>
      <c r="L47" s="364" t="s">
        <v>105</v>
      </c>
      <c r="M47" s="365"/>
      <c r="N47" s="365"/>
      <c r="O47" s="365"/>
      <c r="P47" s="365"/>
      <c r="Q47" s="365"/>
      <c r="R47" s="366"/>
      <c r="S47" s="2267" t="s">
        <v>121</v>
      </c>
      <c r="T47" s="2268"/>
      <c r="U47" s="2268"/>
      <c r="V47" s="2268"/>
      <c r="W47" s="2268"/>
      <c r="X47" s="2268"/>
      <c r="Y47" s="2269"/>
    </row>
    <row r="48" spans="2:25" ht="33.75" x14ac:dyDescent="0.2">
      <c r="C48" s="383" t="s">
        <v>122</v>
      </c>
      <c r="D48" s="384" t="s">
        <v>125</v>
      </c>
      <c r="E48" s="385" t="s">
        <v>149</v>
      </c>
      <c r="F48" s="385" t="s">
        <v>151</v>
      </c>
      <c r="G48" s="385" t="s">
        <v>152</v>
      </c>
      <c r="H48" s="386" t="s">
        <v>123</v>
      </c>
      <c r="I48" s="329" t="s">
        <v>109</v>
      </c>
      <c r="J48" s="330" t="s">
        <v>25</v>
      </c>
      <c r="K48" s="330" t="s">
        <v>26</v>
      </c>
      <c r="L48" s="367" t="s">
        <v>115</v>
      </c>
      <c r="M48" s="362" t="s">
        <v>106</v>
      </c>
      <c r="N48" s="362" t="s">
        <v>107</v>
      </c>
      <c r="O48" s="362" t="s">
        <v>108</v>
      </c>
      <c r="P48" s="362" t="s">
        <v>115</v>
      </c>
      <c r="Q48" s="363" t="s">
        <v>116</v>
      </c>
      <c r="R48" s="368" t="s">
        <v>117</v>
      </c>
      <c r="S48" s="561" t="s">
        <v>207</v>
      </c>
      <c r="T48" s="370"/>
      <c r="U48" s="370" t="s">
        <v>112</v>
      </c>
      <c r="V48" s="371" t="s">
        <v>118</v>
      </c>
      <c r="W48" s="371" t="s">
        <v>119</v>
      </c>
      <c r="X48" s="371" t="s">
        <v>114</v>
      </c>
      <c r="Y48" s="372" t="s">
        <v>113</v>
      </c>
    </row>
    <row r="49" spans="3:25" x14ac:dyDescent="0.2">
      <c r="C49" s="387">
        <f>G7</f>
        <v>42948</v>
      </c>
      <c r="D49" s="388">
        <f>($F$24*$H$24)/$G$24</f>
        <v>150304.21677419354</v>
      </c>
      <c r="E49" s="389">
        <f>P49+Q49+R49</f>
        <v>74794.78125</v>
      </c>
      <c r="F49" s="427">
        <f>TRUNC(IFERROR(J$24/K$24,0),8)</f>
        <v>0.96027804999999999</v>
      </c>
      <c r="G49" s="390">
        <f>ROUND(I$24*F49*E49,4)</f>
        <v>71.823800000000006</v>
      </c>
      <c r="H49" s="391">
        <f t="shared" ref="H49:H78" si="0">SUM(D49:G49)</f>
        <v>225171.78210224357</v>
      </c>
      <c r="I49" s="324">
        <v>68243</v>
      </c>
      <c r="J49" s="325"/>
      <c r="K49" s="325"/>
      <c r="L49" s="317">
        <v>74794.78125</v>
      </c>
      <c r="M49" s="318"/>
      <c r="N49" s="318"/>
      <c r="O49" s="318"/>
      <c r="P49" s="389">
        <f>L49</f>
        <v>74794.78125</v>
      </c>
      <c r="Q49" s="389">
        <f t="shared" ref="Q49:Q79" si="1">M49+N49</f>
        <v>0</v>
      </c>
      <c r="R49" s="389">
        <f t="shared" ref="R49:R79" si="2">O49</f>
        <v>0</v>
      </c>
      <c r="S49" s="532">
        <v>62000.04</v>
      </c>
      <c r="T49" s="374"/>
      <c r="U49" s="520">
        <f>S49+T49-V49</f>
        <v>-6242.9599999999991</v>
      </c>
      <c r="V49" s="520">
        <f>I49+J49+K49</f>
        <v>68243</v>
      </c>
      <c r="W49" s="520">
        <f>(P49+Q49+R49)*1.055056</f>
        <v>78912.682726500003</v>
      </c>
      <c r="X49" s="520">
        <f>V49-W49</f>
        <v>-10669.682726500003</v>
      </c>
      <c r="Y49" s="525">
        <f>AL46+X49</f>
        <v>-10669.682726500003</v>
      </c>
    </row>
    <row r="50" spans="3:25" x14ac:dyDescent="0.2">
      <c r="C50" s="387">
        <f t="shared" ref="C50:C78" si="3">C49+1</f>
        <v>42949</v>
      </c>
      <c r="D50" s="388">
        <f t="shared" ref="D50:D79" si="4">($F$24*$H$24)/$G$24</f>
        <v>150304.21677419354</v>
      </c>
      <c r="E50" s="392">
        <f t="shared" ref="E50:E79" si="5">P50+Q50+R50</f>
        <v>74883.6875</v>
      </c>
      <c r="F50" s="428">
        <f t="shared" ref="F50:F79" si="6">TRUNC(IFERROR(J$24/K$24,0),8)</f>
        <v>0.96027804999999999</v>
      </c>
      <c r="G50" s="390">
        <f t="shared" ref="G50:G79" si="7">ROUND(I$24*F50*E50,4)</f>
        <v>71.909199999999998</v>
      </c>
      <c r="H50" s="391">
        <f t="shared" si="0"/>
        <v>225260.77375224355</v>
      </c>
      <c r="I50" s="324">
        <v>66347</v>
      </c>
      <c r="J50" s="325"/>
      <c r="K50" s="325"/>
      <c r="L50" s="319">
        <v>74883.6875</v>
      </c>
      <c r="M50" s="320"/>
      <c r="N50" s="320"/>
      <c r="O50" s="320"/>
      <c r="P50" s="392">
        <f t="shared" ref="P50:P79" si="8">L50</f>
        <v>74883.6875</v>
      </c>
      <c r="Q50" s="392">
        <f t="shared" si="1"/>
        <v>0</v>
      </c>
      <c r="R50" s="392">
        <f t="shared" si="2"/>
        <v>0</v>
      </c>
      <c r="S50" s="532">
        <v>62000.04</v>
      </c>
      <c r="T50" s="374"/>
      <c r="U50" s="520">
        <f t="shared" ref="U50:U79" si="9">S50+T50-V50</f>
        <v>-4346.9599999999991</v>
      </c>
      <c r="V50" s="520">
        <f t="shared" ref="V50:V79" si="10">I50+J50+K50</f>
        <v>66347</v>
      </c>
      <c r="W50" s="520">
        <f t="shared" ref="W50:W79" si="11">(P50+Q50+R50)*1.055056</f>
        <v>79006.483798999994</v>
      </c>
      <c r="X50" s="520">
        <f t="shared" ref="X50:X79" si="12">V50-W50</f>
        <v>-12659.483798999994</v>
      </c>
      <c r="Y50" s="525">
        <f>Y49+X50</f>
        <v>-23329.166525499997</v>
      </c>
    </row>
    <row r="51" spans="3:25" x14ac:dyDescent="0.2">
      <c r="C51" s="387">
        <f t="shared" si="3"/>
        <v>42950</v>
      </c>
      <c r="D51" s="388">
        <f t="shared" si="4"/>
        <v>150304.21677419354</v>
      </c>
      <c r="E51" s="392">
        <f t="shared" si="5"/>
        <v>74920.992188000004</v>
      </c>
      <c r="F51" s="428">
        <f t="shared" si="6"/>
        <v>0.96027804999999999</v>
      </c>
      <c r="G51" s="390">
        <f t="shared" si="7"/>
        <v>71.944999999999993</v>
      </c>
      <c r="H51" s="391">
        <f t="shared" si="0"/>
        <v>225298.11424024357</v>
      </c>
      <c r="I51" s="324">
        <v>66347</v>
      </c>
      <c r="J51" s="325"/>
      <c r="K51" s="325"/>
      <c r="L51" s="317">
        <v>74920.992188000004</v>
      </c>
      <c r="M51" s="318"/>
      <c r="N51" s="318"/>
      <c r="O51" s="318"/>
      <c r="P51" s="392">
        <f t="shared" si="8"/>
        <v>74920.992188000004</v>
      </c>
      <c r="Q51" s="392">
        <f t="shared" si="1"/>
        <v>0</v>
      </c>
      <c r="R51" s="392">
        <f t="shared" si="2"/>
        <v>0</v>
      </c>
      <c r="S51" s="532">
        <v>62000.04</v>
      </c>
      <c r="T51" s="374"/>
      <c r="U51" s="520">
        <f t="shared" si="9"/>
        <v>-4346.9599999999991</v>
      </c>
      <c r="V51" s="520">
        <f t="shared" si="10"/>
        <v>66347</v>
      </c>
      <c r="W51" s="520">
        <f t="shared" si="11"/>
        <v>79045.842333902532</v>
      </c>
      <c r="X51" s="520">
        <f t="shared" si="12"/>
        <v>-12698.842333902532</v>
      </c>
      <c r="Y51" s="525">
        <f t="shared" ref="Y51:Y79" si="13">Y50+X51</f>
        <v>-36028.008859402529</v>
      </c>
    </row>
    <row r="52" spans="3:25" x14ac:dyDescent="0.2">
      <c r="C52" s="387">
        <f t="shared" si="3"/>
        <v>42951</v>
      </c>
      <c r="D52" s="388">
        <f t="shared" si="4"/>
        <v>150304.21677419354</v>
      </c>
      <c r="E52" s="392">
        <f t="shared" si="5"/>
        <v>75274.773438000004</v>
      </c>
      <c r="F52" s="428">
        <f t="shared" si="6"/>
        <v>0.96027804999999999</v>
      </c>
      <c r="G52" s="390">
        <f t="shared" si="7"/>
        <v>72.284700000000001</v>
      </c>
      <c r="H52" s="391">
        <f t="shared" si="0"/>
        <v>225652.23519024355</v>
      </c>
      <c r="I52" s="324">
        <v>67295</v>
      </c>
      <c r="J52" s="325"/>
      <c r="K52" s="325"/>
      <c r="L52" s="319">
        <v>75274.773438000004</v>
      </c>
      <c r="M52" s="320"/>
      <c r="N52" s="320"/>
      <c r="O52" s="320"/>
      <c r="P52" s="392">
        <f t="shared" si="8"/>
        <v>75274.773438000004</v>
      </c>
      <c r="Q52" s="392">
        <f t="shared" si="1"/>
        <v>0</v>
      </c>
      <c r="R52" s="392">
        <f t="shared" si="2"/>
        <v>0</v>
      </c>
      <c r="S52" s="532">
        <v>60000</v>
      </c>
      <c r="T52" s="374"/>
      <c r="U52" s="520">
        <f t="shared" si="9"/>
        <v>-7295</v>
      </c>
      <c r="V52" s="520">
        <f t="shared" si="10"/>
        <v>67295</v>
      </c>
      <c r="W52" s="520">
        <f t="shared" si="11"/>
        <v>79419.101364402537</v>
      </c>
      <c r="X52" s="520">
        <f t="shared" si="12"/>
        <v>-12124.101364402537</v>
      </c>
      <c r="Y52" s="525">
        <f t="shared" si="13"/>
        <v>-48152.110223805066</v>
      </c>
    </row>
    <row r="53" spans="3:25" x14ac:dyDescent="0.2">
      <c r="C53" s="387">
        <f t="shared" si="3"/>
        <v>42952</v>
      </c>
      <c r="D53" s="388">
        <f t="shared" si="4"/>
        <v>150304.21677419354</v>
      </c>
      <c r="E53" s="392">
        <f t="shared" si="5"/>
        <v>72946.617188000004</v>
      </c>
      <c r="F53" s="428">
        <f t="shared" si="6"/>
        <v>0.96027804999999999</v>
      </c>
      <c r="G53" s="390">
        <f t="shared" si="7"/>
        <v>70.049000000000007</v>
      </c>
      <c r="H53" s="391">
        <f t="shared" si="0"/>
        <v>223321.84324024356</v>
      </c>
      <c r="I53" s="324">
        <v>67295</v>
      </c>
      <c r="J53" s="325"/>
      <c r="K53" s="325"/>
      <c r="L53" s="317">
        <v>72946.617188000004</v>
      </c>
      <c r="M53" s="318"/>
      <c r="N53" s="318"/>
      <c r="O53" s="318"/>
      <c r="P53" s="392">
        <f t="shared" si="8"/>
        <v>72946.617188000004</v>
      </c>
      <c r="Q53" s="392">
        <f t="shared" si="1"/>
        <v>0</v>
      </c>
      <c r="R53" s="392">
        <f t="shared" si="2"/>
        <v>0</v>
      </c>
      <c r="S53" s="532">
        <v>60000</v>
      </c>
      <c r="T53" s="374"/>
      <c r="U53" s="520">
        <f t="shared" si="9"/>
        <v>-7295</v>
      </c>
      <c r="V53" s="520">
        <f t="shared" si="10"/>
        <v>67295</v>
      </c>
      <c r="W53" s="520">
        <f t="shared" si="11"/>
        <v>76962.766143902525</v>
      </c>
      <c r="X53" s="520">
        <f t="shared" si="12"/>
        <v>-9667.7661439025251</v>
      </c>
      <c r="Y53" s="525">
        <f t="shared" si="13"/>
        <v>-57819.876367707591</v>
      </c>
    </row>
    <row r="54" spans="3:25" x14ac:dyDescent="0.2">
      <c r="C54" s="387">
        <f t="shared" si="3"/>
        <v>42953</v>
      </c>
      <c r="D54" s="388">
        <f t="shared" si="4"/>
        <v>150304.21677419354</v>
      </c>
      <c r="E54" s="392">
        <f t="shared" si="5"/>
        <v>72813.593262000009</v>
      </c>
      <c r="F54" s="428">
        <f t="shared" si="6"/>
        <v>0.96027804999999999</v>
      </c>
      <c r="G54" s="390">
        <f t="shared" si="7"/>
        <v>69.921300000000002</v>
      </c>
      <c r="H54" s="391">
        <f t="shared" si="0"/>
        <v>223188.69161424355</v>
      </c>
      <c r="I54" s="324">
        <v>67295</v>
      </c>
      <c r="J54" s="325"/>
      <c r="K54" s="325"/>
      <c r="L54" s="319">
        <v>72813.593262000009</v>
      </c>
      <c r="M54" s="320"/>
      <c r="N54" s="320"/>
      <c r="O54" s="320"/>
      <c r="P54" s="392">
        <f t="shared" si="8"/>
        <v>72813.593262000009</v>
      </c>
      <c r="Q54" s="392">
        <f t="shared" si="1"/>
        <v>0</v>
      </c>
      <c r="R54" s="392">
        <f t="shared" si="2"/>
        <v>0</v>
      </c>
      <c r="S54" s="532">
        <v>60000</v>
      </c>
      <c r="T54" s="374"/>
      <c r="U54" s="520">
        <f t="shared" si="9"/>
        <v>-7295</v>
      </c>
      <c r="V54" s="520">
        <f t="shared" si="10"/>
        <v>67295</v>
      </c>
      <c r="W54" s="520">
        <f t="shared" si="11"/>
        <v>76822.418452632686</v>
      </c>
      <c r="X54" s="520">
        <f t="shared" si="12"/>
        <v>-9527.4184526326862</v>
      </c>
      <c r="Y54" s="525">
        <f t="shared" si="13"/>
        <v>-67347.294820340278</v>
      </c>
    </row>
    <row r="55" spans="3:25" x14ac:dyDescent="0.2">
      <c r="C55" s="387">
        <f t="shared" si="3"/>
        <v>42954</v>
      </c>
      <c r="D55" s="388">
        <f t="shared" si="4"/>
        <v>150304.21677419354</v>
      </c>
      <c r="E55" s="392">
        <f t="shared" si="5"/>
        <v>75005.320313000004</v>
      </c>
      <c r="F55" s="428">
        <f t="shared" si="6"/>
        <v>0.96027804999999999</v>
      </c>
      <c r="G55" s="390">
        <f t="shared" si="7"/>
        <v>72.025999999999996</v>
      </c>
      <c r="H55" s="391">
        <f t="shared" si="0"/>
        <v>225382.52336524357</v>
      </c>
      <c r="I55" s="324">
        <v>67295</v>
      </c>
      <c r="J55" s="325"/>
      <c r="K55" s="325"/>
      <c r="L55" s="317">
        <v>75005.320313000004</v>
      </c>
      <c r="M55" s="318"/>
      <c r="N55" s="318"/>
      <c r="O55" s="318"/>
      <c r="P55" s="392">
        <f t="shared" si="8"/>
        <v>75005.320313000004</v>
      </c>
      <c r="Q55" s="392">
        <f t="shared" si="1"/>
        <v>0</v>
      </c>
      <c r="R55" s="392">
        <f t="shared" si="2"/>
        <v>0</v>
      </c>
      <c r="S55" s="532">
        <v>62000.04</v>
      </c>
      <c r="T55" s="374"/>
      <c r="U55" s="520">
        <f t="shared" si="9"/>
        <v>-5294.9599999999991</v>
      </c>
      <c r="V55" s="520">
        <f t="shared" si="10"/>
        <v>67295</v>
      </c>
      <c r="W55" s="520">
        <f t="shared" si="11"/>
        <v>79134.813228152532</v>
      </c>
      <c r="X55" s="520">
        <f t="shared" si="12"/>
        <v>-11839.813228152532</v>
      </c>
      <c r="Y55" s="525">
        <f t="shared" si="13"/>
        <v>-79187.10804849281</v>
      </c>
    </row>
    <row r="56" spans="3:25" x14ac:dyDescent="0.2">
      <c r="C56" s="387">
        <f t="shared" si="3"/>
        <v>42955</v>
      </c>
      <c r="D56" s="388">
        <f t="shared" si="4"/>
        <v>150304.21677419354</v>
      </c>
      <c r="E56" s="392">
        <f t="shared" si="5"/>
        <v>75155.984375</v>
      </c>
      <c r="F56" s="428">
        <f t="shared" si="6"/>
        <v>0.96027804999999999</v>
      </c>
      <c r="G56" s="390">
        <f t="shared" si="7"/>
        <v>72.170599999999993</v>
      </c>
      <c r="H56" s="391">
        <f t="shared" si="0"/>
        <v>225533.33202724357</v>
      </c>
      <c r="I56" s="324">
        <v>70138</v>
      </c>
      <c r="J56" s="325"/>
      <c r="K56" s="325"/>
      <c r="L56" s="319">
        <v>75155.984375</v>
      </c>
      <c r="M56" s="320"/>
      <c r="N56" s="320"/>
      <c r="O56" s="320"/>
      <c r="P56" s="392">
        <f t="shared" si="8"/>
        <v>75155.984375</v>
      </c>
      <c r="Q56" s="392">
        <f t="shared" si="1"/>
        <v>0</v>
      </c>
      <c r="R56" s="392">
        <f t="shared" si="2"/>
        <v>0</v>
      </c>
      <c r="S56" s="532">
        <v>62000.04</v>
      </c>
      <c r="T56" s="374"/>
      <c r="U56" s="520">
        <f t="shared" si="9"/>
        <v>-8137.9599999999991</v>
      </c>
      <c r="V56" s="520">
        <f t="shared" si="10"/>
        <v>70138</v>
      </c>
      <c r="W56" s="520">
        <f t="shared" si="11"/>
        <v>79293.77225075</v>
      </c>
      <c r="X56" s="520">
        <f t="shared" si="12"/>
        <v>-9155.7722507500002</v>
      </c>
      <c r="Y56" s="525">
        <f t="shared" si="13"/>
        <v>-88342.88029924281</v>
      </c>
    </row>
    <row r="57" spans="3:25" x14ac:dyDescent="0.2">
      <c r="C57" s="387">
        <f t="shared" si="3"/>
        <v>42956</v>
      </c>
      <c r="D57" s="388">
        <f t="shared" si="4"/>
        <v>150304.21677419354</v>
      </c>
      <c r="E57" s="392">
        <f t="shared" si="5"/>
        <v>75064.734375</v>
      </c>
      <c r="F57" s="428">
        <f t="shared" si="6"/>
        <v>0.96027804999999999</v>
      </c>
      <c r="G57" s="390">
        <f t="shared" si="7"/>
        <v>72.082999999999998</v>
      </c>
      <c r="H57" s="391">
        <f t="shared" si="0"/>
        <v>225441.99442724357</v>
      </c>
      <c r="I57" s="324">
        <v>72034</v>
      </c>
      <c r="J57" s="325"/>
      <c r="K57" s="325"/>
      <c r="L57" s="317">
        <v>75064.734375</v>
      </c>
      <c r="M57" s="318"/>
      <c r="N57" s="318"/>
      <c r="O57" s="318"/>
      <c r="P57" s="392">
        <f t="shared" si="8"/>
        <v>75064.734375</v>
      </c>
      <c r="Q57" s="392">
        <f t="shared" si="1"/>
        <v>0</v>
      </c>
      <c r="R57" s="392">
        <f t="shared" si="2"/>
        <v>0</v>
      </c>
      <c r="S57" s="532">
        <v>62000.04</v>
      </c>
      <c r="T57" s="374"/>
      <c r="U57" s="520">
        <f t="shared" si="9"/>
        <v>-10033.959999999999</v>
      </c>
      <c r="V57" s="520">
        <f t="shared" si="10"/>
        <v>72034</v>
      </c>
      <c r="W57" s="520">
        <f t="shared" si="11"/>
        <v>79197.498390749999</v>
      </c>
      <c r="X57" s="520">
        <f t="shared" si="12"/>
        <v>-7163.4983907499991</v>
      </c>
      <c r="Y57" s="525">
        <f t="shared" si="13"/>
        <v>-95506.378689992809</v>
      </c>
    </row>
    <row r="58" spans="3:25" x14ac:dyDescent="0.2">
      <c r="C58" s="387">
        <f t="shared" si="3"/>
        <v>42957</v>
      </c>
      <c r="D58" s="388">
        <f t="shared" si="4"/>
        <v>150304.21677419354</v>
      </c>
      <c r="E58" s="392">
        <f t="shared" si="5"/>
        <v>76282.039999999994</v>
      </c>
      <c r="F58" s="428">
        <f t="shared" si="6"/>
        <v>0.96027804999999999</v>
      </c>
      <c r="G58" s="390">
        <f t="shared" si="7"/>
        <v>73.251999999999995</v>
      </c>
      <c r="H58" s="391">
        <f t="shared" si="0"/>
        <v>226660.46905224357</v>
      </c>
      <c r="I58" s="324">
        <v>71086</v>
      </c>
      <c r="J58" s="325"/>
      <c r="K58" s="325"/>
      <c r="L58" s="319">
        <v>76282.039999999994</v>
      </c>
      <c r="M58" s="320"/>
      <c r="N58" s="320"/>
      <c r="O58" s="320"/>
      <c r="P58" s="392">
        <f t="shared" si="8"/>
        <v>76282.039999999994</v>
      </c>
      <c r="Q58" s="392">
        <f t="shared" si="1"/>
        <v>0</v>
      </c>
      <c r="R58" s="392">
        <f t="shared" si="2"/>
        <v>0</v>
      </c>
      <c r="S58" s="532">
        <v>62000.04</v>
      </c>
      <c r="T58" s="374"/>
      <c r="U58" s="520">
        <f t="shared" si="9"/>
        <v>-9085.9599999999991</v>
      </c>
      <c r="V58" s="520">
        <f t="shared" si="10"/>
        <v>71086</v>
      </c>
      <c r="W58" s="520">
        <f t="shared" si="11"/>
        <v>80481.823994239996</v>
      </c>
      <c r="X58" s="520">
        <f t="shared" si="12"/>
        <v>-9395.823994239996</v>
      </c>
      <c r="Y58" s="525">
        <f t="shared" si="13"/>
        <v>-104902.20268423281</v>
      </c>
    </row>
    <row r="59" spans="3:25" x14ac:dyDescent="0.2">
      <c r="C59" s="387">
        <f t="shared" si="3"/>
        <v>42958</v>
      </c>
      <c r="D59" s="388">
        <f t="shared" si="4"/>
        <v>150304.21677419354</v>
      </c>
      <c r="E59" s="392">
        <f t="shared" si="5"/>
        <v>76743.88</v>
      </c>
      <c r="F59" s="428">
        <f t="shared" si="6"/>
        <v>0.96027804999999999</v>
      </c>
      <c r="G59" s="390">
        <f t="shared" si="7"/>
        <v>73.695499999999996</v>
      </c>
      <c r="H59" s="391">
        <f t="shared" si="0"/>
        <v>227122.75255224356</v>
      </c>
      <c r="I59" s="324">
        <v>71086</v>
      </c>
      <c r="J59" s="325"/>
      <c r="K59" s="325"/>
      <c r="L59" s="317">
        <v>76743.88</v>
      </c>
      <c r="M59" s="318"/>
      <c r="N59" s="318"/>
      <c r="O59" s="318"/>
      <c r="P59" s="392">
        <f t="shared" si="8"/>
        <v>76743.88</v>
      </c>
      <c r="Q59" s="392">
        <f t="shared" si="1"/>
        <v>0</v>
      </c>
      <c r="R59" s="392">
        <f t="shared" si="2"/>
        <v>0</v>
      </c>
      <c r="S59" s="532">
        <v>62000.04</v>
      </c>
      <c r="T59" s="374"/>
      <c r="U59" s="520">
        <f t="shared" si="9"/>
        <v>-9085.9599999999991</v>
      </c>
      <c r="V59" s="520">
        <f t="shared" si="10"/>
        <v>71086</v>
      </c>
      <c r="W59" s="520">
        <f t="shared" si="11"/>
        <v>80969.091057280006</v>
      </c>
      <c r="X59" s="520">
        <f t="shared" si="12"/>
        <v>-9883.0910572800058</v>
      </c>
      <c r="Y59" s="525">
        <f t="shared" si="13"/>
        <v>-114785.29374151281</v>
      </c>
    </row>
    <row r="60" spans="3:25" x14ac:dyDescent="0.2">
      <c r="C60" s="387">
        <f t="shared" si="3"/>
        <v>42959</v>
      </c>
      <c r="D60" s="388">
        <f t="shared" si="4"/>
        <v>150304.21677419354</v>
      </c>
      <c r="E60" s="392">
        <f t="shared" si="5"/>
        <v>73507.990999999995</v>
      </c>
      <c r="F60" s="428">
        <f t="shared" si="6"/>
        <v>0.96027804999999999</v>
      </c>
      <c r="G60" s="390">
        <f t="shared" si="7"/>
        <v>70.588099999999997</v>
      </c>
      <c r="H60" s="391">
        <f t="shared" si="0"/>
        <v>223883.75615224356</v>
      </c>
      <c r="I60" s="324">
        <v>71402</v>
      </c>
      <c r="J60" s="325"/>
      <c r="K60" s="325"/>
      <c r="L60" s="319">
        <v>73507.990999999995</v>
      </c>
      <c r="M60" s="320"/>
      <c r="N60" s="320"/>
      <c r="O60" s="320"/>
      <c r="P60" s="392">
        <f t="shared" si="8"/>
        <v>73507.990999999995</v>
      </c>
      <c r="Q60" s="392">
        <f t="shared" si="1"/>
        <v>0</v>
      </c>
      <c r="R60" s="392">
        <f t="shared" si="2"/>
        <v>0</v>
      </c>
      <c r="S60" s="532">
        <v>62000.04</v>
      </c>
      <c r="T60" s="374"/>
      <c r="U60" s="520">
        <f t="shared" si="9"/>
        <v>-9401.9599999999991</v>
      </c>
      <c r="V60" s="520">
        <f t="shared" si="10"/>
        <v>71402</v>
      </c>
      <c r="W60" s="520">
        <f t="shared" si="11"/>
        <v>77555.046952495992</v>
      </c>
      <c r="X60" s="520">
        <f t="shared" si="12"/>
        <v>-6153.0469524959917</v>
      </c>
      <c r="Y60" s="525">
        <f t="shared" si="13"/>
        <v>-120938.3406940088</v>
      </c>
    </row>
    <row r="61" spans="3:25" x14ac:dyDescent="0.2">
      <c r="C61" s="387">
        <f t="shared" si="3"/>
        <v>42960</v>
      </c>
      <c r="D61" s="388">
        <f t="shared" si="4"/>
        <v>150304.21677419354</v>
      </c>
      <c r="E61" s="392">
        <f t="shared" si="5"/>
        <v>72868.789999999994</v>
      </c>
      <c r="F61" s="428">
        <f t="shared" si="6"/>
        <v>0.96027804999999999</v>
      </c>
      <c r="G61" s="390">
        <f t="shared" si="7"/>
        <v>69.974299999999999</v>
      </c>
      <c r="H61" s="391">
        <f t="shared" si="0"/>
        <v>223243.94135224356</v>
      </c>
      <c r="I61" s="324">
        <v>71402</v>
      </c>
      <c r="J61" s="325"/>
      <c r="K61" s="325"/>
      <c r="L61" s="317">
        <v>72868.789999999994</v>
      </c>
      <c r="M61" s="318"/>
      <c r="N61" s="318"/>
      <c r="O61" s="318"/>
      <c r="P61" s="392">
        <f t="shared" si="8"/>
        <v>72868.789999999994</v>
      </c>
      <c r="Q61" s="392">
        <f t="shared" si="1"/>
        <v>0</v>
      </c>
      <c r="R61" s="392">
        <f t="shared" si="2"/>
        <v>0</v>
      </c>
      <c r="S61" s="532">
        <v>62000.04</v>
      </c>
      <c r="T61" s="374"/>
      <c r="U61" s="520">
        <f t="shared" si="9"/>
        <v>-9401.9599999999991</v>
      </c>
      <c r="V61" s="520">
        <f t="shared" si="10"/>
        <v>71402</v>
      </c>
      <c r="W61" s="520">
        <f t="shared" si="11"/>
        <v>76880.654102239991</v>
      </c>
      <c r="X61" s="520">
        <f t="shared" si="12"/>
        <v>-5478.6541022399906</v>
      </c>
      <c r="Y61" s="525">
        <f t="shared" si="13"/>
        <v>-126416.99479624879</v>
      </c>
    </row>
    <row r="62" spans="3:25" x14ac:dyDescent="0.2">
      <c r="C62" s="387">
        <f t="shared" si="3"/>
        <v>42961</v>
      </c>
      <c r="D62" s="388">
        <f t="shared" si="4"/>
        <v>150304.21677419354</v>
      </c>
      <c r="E62" s="392">
        <f t="shared" si="5"/>
        <v>75085.320000000007</v>
      </c>
      <c r="F62" s="428">
        <f t="shared" si="6"/>
        <v>0.96027804999999999</v>
      </c>
      <c r="G62" s="390">
        <f t="shared" si="7"/>
        <v>72.102800000000002</v>
      </c>
      <c r="H62" s="391">
        <f t="shared" si="0"/>
        <v>225462.59985224355</v>
      </c>
      <c r="I62" s="324">
        <v>71402</v>
      </c>
      <c r="J62" s="325"/>
      <c r="K62" s="325"/>
      <c r="L62" s="319">
        <v>75085.320000000007</v>
      </c>
      <c r="M62" s="320"/>
      <c r="N62" s="320"/>
      <c r="O62" s="320"/>
      <c r="P62" s="392">
        <f t="shared" si="8"/>
        <v>75085.320000000007</v>
      </c>
      <c r="Q62" s="392">
        <f t="shared" si="1"/>
        <v>0</v>
      </c>
      <c r="R62" s="392">
        <f t="shared" si="2"/>
        <v>0</v>
      </c>
      <c r="S62" s="532">
        <v>62000.04</v>
      </c>
      <c r="T62" s="374"/>
      <c r="U62" s="520">
        <f t="shared" si="9"/>
        <v>-9401.9599999999991</v>
      </c>
      <c r="V62" s="520">
        <f t="shared" si="10"/>
        <v>71402</v>
      </c>
      <c r="W62" s="520">
        <f t="shared" si="11"/>
        <v>79219.217377920009</v>
      </c>
      <c r="X62" s="520">
        <f t="shared" si="12"/>
        <v>-7817.2173779200093</v>
      </c>
      <c r="Y62" s="525">
        <f t="shared" si="13"/>
        <v>-134234.21217416879</v>
      </c>
    </row>
    <row r="63" spans="3:25" x14ac:dyDescent="0.2">
      <c r="C63" s="387">
        <f t="shared" si="3"/>
        <v>42962</v>
      </c>
      <c r="D63" s="388">
        <f t="shared" si="4"/>
        <v>150304.21677419354</v>
      </c>
      <c r="E63" s="392">
        <f t="shared" si="5"/>
        <v>74732.320000000007</v>
      </c>
      <c r="F63" s="428">
        <f t="shared" si="6"/>
        <v>0.96027804999999999</v>
      </c>
      <c r="G63" s="390">
        <f t="shared" si="7"/>
        <v>71.763800000000003</v>
      </c>
      <c r="H63" s="391">
        <f t="shared" si="0"/>
        <v>225109.26085224355</v>
      </c>
      <c r="I63" s="324">
        <v>72034</v>
      </c>
      <c r="J63" s="325"/>
      <c r="K63" s="325"/>
      <c r="L63" s="317">
        <v>74732.320000000007</v>
      </c>
      <c r="M63" s="318"/>
      <c r="N63" s="318"/>
      <c r="O63" s="318"/>
      <c r="P63" s="392">
        <f t="shared" si="8"/>
        <v>74732.320000000007</v>
      </c>
      <c r="Q63" s="392">
        <f t="shared" si="1"/>
        <v>0</v>
      </c>
      <c r="R63" s="392">
        <f t="shared" si="2"/>
        <v>0</v>
      </c>
      <c r="S63" s="532">
        <v>68000.13</v>
      </c>
      <c r="T63" s="374"/>
      <c r="U63" s="520">
        <f t="shared" si="9"/>
        <v>-4033.8699999999953</v>
      </c>
      <c r="V63" s="520">
        <f t="shared" si="10"/>
        <v>72034</v>
      </c>
      <c r="W63" s="520">
        <f t="shared" si="11"/>
        <v>78846.782609920003</v>
      </c>
      <c r="X63" s="520">
        <f t="shared" si="12"/>
        <v>-6812.7826099200029</v>
      </c>
      <c r="Y63" s="525">
        <f t="shared" si="13"/>
        <v>-141046.99478408881</v>
      </c>
    </row>
    <row r="64" spans="3:25" x14ac:dyDescent="0.2">
      <c r="C64" s="387">
        <f t="shared" si="3"/>
        <v>42963</v>
      </c>
      <c r="D64" s="388">
        <f t="shared" si="4"/>
        <v>150304.21677419354</v>
      </c>
      <c r="E64" s="392">
        <f t="shared" si="5"/>
        <v>74750.17</v>
      </c>
      <c r="F64" s="428">
        <f t="shared" si="6"/>
        <v>0.96027804999999999</v>
      </c>
      <c r="G64" s="390">
        <f t="shared" si="7"/>
        <v>71.780900000000003</v>
      </c>
      <c r="H64" s="391">
        <f t="shared" si="0"/>
        <v>225127.12795224358</v>
      </c>
      <c r="I64" s="324">
        <v>71086</v>
      </c>
      <c r="J64" s="325"/>
      <c r="K64" s="325"/>
      <c r="L64" s="319">
        <v>74750.17</v>
      </c>
      <c r="M64" s="320"/>
      <c r="N64" s="320"/>
      <c r="O64" s="320"/>
      <c r="P64" s="392">
        <f t="shared" si="8"/>
        <v>74750.17</v>
      </c>
      <c r="Q64" s="392">
        <f t="shared" si="1"/>
        <v>0</v>
      </c>
      <c r="R64" s="392">
        <f t="shared" si="2"/>
        <v>0</v>
      </c>
      <c r="S64" s="532">
        <v>68000.13</v>
      </c>
      <c r="T64" s="374"/>
      <c r="U64" s="520">
        <f t="shared" si="9"/>
        <v>-3085.8699999999953</v>
      </c>
      <c r="V64" s="520">
        <f t="shared" si="10"/>
        <v>71086</v>
      </c>
      <c r="W64" s="520">
        <f t="shared" si="11"/>
        <v>78865.615359520001</v>
      </c>
      <c r="X64" s="520">
        <f t="shared" si="12"/>
        <v>-7779.6153595200012</v>
      </c>
      <c r="Y64" s="525">
        <f t="shared" si="13"/>
        <v>-148826.61014360882</v>
      </c>
    </row>
    <row r="65" spans="3:38" x14ac:dyDescent="0.2">
      <c r="C65" s="387">
        <f t="shared" si="3"/>
        <v>42964</v>
      </c>
      <c r="D65" s="388">
        <f t="shared" si="4"/>
        <v>150304.21677419354</v>
      </c>
      <c r="E65" s="392">
        <f t="shared" si="5"/>
        <v>74758.8</v>
      </c>
      <c r="F65" s="428">
        <f t="shared" si="6"/>
        <v>0.96027804999999999</v>
      </c>
      <c r="G65" s="390">
        <f t="shared" si="7"/>
        <v>71.789199999999994</v>
      </c>
      <c r="H65" s="391">
        <f t="shared" si="0"/>
        <v>225135.76625224357</v>
      </c>
      <c r="I65" s="324">
        <v>71086</v>
      </c>
      <c r="J65" s="325"/>
      <c r="K65" s="325"/>
      <c r="L65" s="317">
        <v>74758.8</v>
      </c>
      <c r="M65" s="318"/>
      <c r="N65" s="318"/>
      <c r="O65" s="318"/>
      <c r="P65" s="392">
        <f t="shared" si="8"/>
        <v>74758.8</v>
      </c>
      <c r="Q65" s="392">
        <f t="shared" si="1"/>
        <v>0</v>
      </c>
      <c r="R65" s="392">
        <f t="shared" si="2"/>
        <v>0</v>
      </c>
      <c r="S65" s="532">
        <v>68000.13</v>
      </c>
      <c r="T65" s="374"/>
      <c r="U65" s="520">
        <f t="shared" si="9"/>
        <v>-3085.8699999999953</v>
      </c>
      <c r="V65" s="520">
        <f t="shared" si="10"/>
        <v>71086</v>
      </c>
      <c r="W65" s="520">
        <f t="shared" si="11"/>
        <v>78874.720492799999</v>
      </c>
      <c r="X65" s="520">
        <f t="shared" si="12"/>
        <v>-7788.7204927999992</v>
      </c>
      <c r="Y65" s="525">
        <f t="shared" si="13"/>
        <v>-156615.33063640882</v>
      </c>
    </row>
    <row r="66" spans="3:38" x14ac:dyDescent="0.2">
      <c r="C66" s="387">
        <f t="shared" si="3"/>
        <v>42965</v>
      </c>
      <c r="D66" s="388">
        <f t="shared" si="4"/>
        <v>150304.21677419354</v>
      </c>
      <c r="E66" s="392">
        <f t="shared" si="5"/>
        <v>74782.850000000006</v>
      </c>
      <c r="F66" s="428">
        <f t="shared" si="6"/>
        <v>0.96027804999999999</v>
      </c>
      <c r="G66" s="390">
        <f t="shared" si="7"/>
        <v>71.812299999999993</v>
      </c>
      <c r="H66" s="391">
        <f t="shared" si="0"/>
        <v>225159.83935224355</v>
      </c>
      <c r="I66" s="324">
        <v>70612</v>
      </c>
      <c r="J66" s="325"/>
      <c r="K66" s="325"/>
      <c r="L66" s="319">
        <v>74782.850000000006</v>
      </c>
      <c r="M66" s="320"/>
      <c r="N66" s="320"/>
      <c r="O66" s="320"/>
      <c r="P66" s="392">
        <f t="shared" si="8"/>
        <v>74782.850000000006</v>
      </c>
      <c r="Q66" s="392">
        <f t="shared" si="1"/>
        <v>0</v>
      </c>
      <c r="R66" s="392">
        <f t="shared" si="2"/>
        <v>0</v>
      </c>
      <c r="S66" s="532">
        <v>64999.600000000006</v>
      </c>
      <c r="T66" s="374"/>
      <c r="U66" s="520">
        <f t="shared" si="9"/>
        <v>-5612.3999999999942</v>
      </c>
      <c r="V66" s="520">
        <f t="shared" si="10"/>
        <v>70612</v>
      </c>
      <c r="W66" s="520">
        <f t="shared" si="11"/>
        <v>78900.094589600005</v>
      </c>
      <c r="X66" s="520">
        <f t="shared" si="12"/>
        <v>-8288.0945896000048</v>
      </c>
      <c r="Y66" s="525">
        <f t="shared" si="13"/>
        <v>-164903.42522600881</v>
      </c>
    </row>
    <row r="67" spans="3:38" x14ac:dyDescent="0.2">
      <c r="C67" s="387">
        <f t="shared" si="3"/>
        <v>42966</v>
      </c>
      <c r="D67" s="388">
        <f t="shared" si="4"/>
        <v>150304.21677419354</v>
      </c>
      <c r="E67" s="392">
        <f t="shared" si="5"/>
        <v>72570.210000000006</v>
      </c>
      <c r="F67" s="428">
        <f t="shared" si="6"/>
        <v>0.96027804999999999</v>
      </c>
      <c r="G67" s="390">
        <f t="shared" si="7"/>
        <v>69.687600000000003</v>
      </c>
      <c r="H67" s="391">
        <f t="shared" si="0"/>
        <v>222945.07465224355</v>
      </c>
      <c r="I67" s="324">
        <v>69506</v>
      </c>
      <c r="J67" s="325"/>
      <c r="K67" s="325"/>
      <c r="L67" s="317">
        <v>72570.210000000006</v>
      </c>
      <c r="M67" s="318"/>
      <c r="N67" s="318"/>
      <c r="O67" s="318"/>
      <c r="P67" s="392">
        <f t="shared" si="8"/>
        <v>72570.210000000006</v>
      </c>
      <c r="Q67" s="392">
        <f t="shared" si="1"/>
        <v>0</v>
      </c>
      <c r="R67" s="392">
        <f t="shared" si="2"/>
        <v>0</v>
      </c>
      <c r="S67" s="532">
        <v>64999.600000000006</v>
      </c>
      <c r="T67" s="374"/>
      <c r="U67" s="520">
        <f t="shared" si="9"/>
        <v>-4506.3999999999942</v>
      </c>
      <c r="V67" s="520">
        <f t="shared" si="10"/>
        <v>69506</v>
      </c>
      <c r="W67" s="520">
        <f t="shared" si="11"/>
        <v>76565.635481760008</v>
      </c>
      <c r="X67" s="520">
        <f t="shared" si="12"/>
        <v>-7059.6354817600077</v>
      </c>
      <c r="Y67" s="525">
        <f t="shared" si="13"/>
        <v>-171963.06070776883</v>
      </c>
    </row>
    <row r="68" spans="3:38" x14ac:dyDescent="0.2">
      <c r="C68" s="387">
        <f t="shared" si="3"/>
        <v>42967</v>
      </c>
      <c r="D68" s="388">
        <f t="shared" si="4"/>
        <v>150304.21677419354</v>
      </c>
      <c r="E68" s="392">
        <f t="shared" si="5"/>
        <v>71817.19</v>
      </c>
      <c r="F68" s="428">
        <f t="shared" si="6"/>
        <v>0.96027804999999999</v>
      </c>
      <c r="G68" s="390">
        <f t="shared" si="7"/>
        <v>68.964500000000001</v>
      </c>
      <c r="H68" s="391">
        <f t="shared" si="0"/>
        <v>222191.33155224356</v>
      </c>
      <c r="I68" s="324">
        <v>69506</v>
      </c>
      <c r="J68" s="325"/>
      <c r="K68" s="325"/>
      <c r="L68" s="319">
        <v>71817.19</v>
      </c>
      <c r="M68" s="320"/>
      <c r="N68" s="320"/>
      <c r="O68" s="320"/>
      <c r="P68" s="392">
        <f t="shared" si="8"/>
        <v>71817.19</v>
      </c>
      <c r="Q68" s="392">
        <f t="shared" si="1"/>
        <v>0</v>
      </c>
      <c r="R68" s="392">
        <f t="shared" si="2"/>
        <v>0</v>
      </c>
      <c r="S68" s="532">
        <v>64999.600000000006</v>
      </c>
      <c r="T68" s="374"/>
      <c r="U68" s="520">
        <f t="shared" si="9"/>
        <v>-4506.3999999999942</v>
      </c>
      <c r="V68" s="520">
        <f t="shared" si="10"/>
        <v>69506</v>
      </c>
      <c r="W68" s="520">
        <f t="shared" si="11"/>
        <v>75771.157212639999</v>
      </c>
      <c r="X68" s="520">
        <f t="shared" si="12"/>
        <v>-6265.1572126399988</v>
      </c>
      <c r="Y68" s="525">
        <f t="shared" si="13"/>
        <v>-178228.21792040882</v>
      </c>
    </row>
    <row r="69" spans="3:38" x14ac:dyDescent="0.2">
      <c r="C69" s="387">
        <f t="shared" si="3"/>
        <v>42968</v>
      </c>
      <c r="D69" s="388">
        <f t="shared" si="4"/>
        <v>150304.21677419354</v>
      </c>
      <c r="E69" s="392">
        <f t="shared" si="5"/>
        <v>72289.351999999999</v>
      </c>
      <c r="F69" s="428">
        <f t="shared" si="6"/>
        <v>0.96027804999999999</v>
      </c>
      <c r="G69" s="390">
        <f t="shared" si="7"/>
        <v>69.417900000000003</v>
      </c>
      <c r="H69" s="391">
        <f t="shared" si="0"/>
        <v>222663.94695224354</v>
      </c>
      <c r="I69" s="324">
        <v>69506</v>
      </c>
      <c r="J69" s="325"/>
      <c r="K69" s="325"/>
      <c r="L69" s="317">
        <v>72289.351999999999</v>
      </c>
      <c r="M69" s="318"/>
      <c r="N69" s="318"/>
      <c r="O69" s="318"/>
      <c r="P69" s="392">
        <f t="shared" si="8"/>
        <v>72289.351999999999</v>
      </c>
      <c r="Q69" s="392">
        <f t="shared" si="1"/>
        <v>0</v>
      </c>
      <c r="R69" s="392">
        <f t="shared" si="2"/>
        <v>0</v>
      </c>
      <c r="S69" s="532">
        <v>64999.600000000006</v>
      </c>
      <c r="T69" s="374"/>
      <c r="U69" s="520">
        <f t="shared" si="9"/>
        <v>-4506.3999999999942</v>
      </c>
      <c r="V69" s="520">
        <f t="shared" si="10"/>
        <v>69506</v>
      </c>
      <c r="W69" s="520">
        <f t="shared" si="11"/>
        <v>76269.314563712003</v>
      </c>
      <c r="X69" s="520">
        <f t="shared" si="12"/>
        <v>-6763.3145637120033</v>
      </c>
      <c r="Y69" s="525">
        <f t="shared" si="13"/>
        <v>-184991.53248412081</v>
      </c>
    </row>
    <row r="70" spans="3:38" x14ac:dyDescent="0.2">
      <c r="C70" s="387">
        <f t="shared" si="3"/>
        <v>42969</v>
      </c>
      <c r="D70" s="388">
        <f t="shared" si="4"/>
        <v>150304.21677419354</v>
      </c>
      <c r="E70" s="392">
        <f t="shared" si="5"/>
        <v>73778.48</v>
      </c>
      <c r="F70" s="428">
        <f t="shared" si="6"/>
        <v>0.96027804999999999</v>
      </c>
      <c r="G70" s="390">
        <f t="shared" si="7"/>
        <v>70.847899999999996</v>
      </c>
      <c r="H70" s="391">
        <f t="shared" si="0"/>
        <v>224154.50495224356</v>
      </c>
      <c r="I70" s="324">
        <v>70138</v>
      </c>
      <c r="J70" s="325"/>
      <c r="K70" s="325"/>
      <c r="L70" s="319">
        <v>73778.48</v>
      </c>
      <c r="M70" s="320"/>
      <c r="N70" s="320"/>
      <c r="O70" s="320"/>
      <c r="P70" s="392">
        <f t="shared" si="8"/>
        <v>73778.48</v>
      </c>
      <c r="Q70" s="392">
        <f t="shared" si="1"/>
        <v>0</v>
      </c>
      <c r="R70" s="392">
        <f t="shared" si="2"/>
        <v>0</v>
      </c>
      <c r="S70" s="532">
        <v>68000.13</v>
      </c>
      <c r="T70" s="374"/>
      <c r="U70" s="520">
        <f t="shared" si="9"/>
        <v>-2137.8699999999953</v>
      </c>
      <c r="V70" s="520">
        <f t="shared" si="10"/>
        <v>70138</v>
      </c>
      <c r="W70" s="520">
        <f t="shared" si="11"/>
        <v>77840.427994879996</v>
      </c>
      <c r="X70" s="520">
        <f t="shared" si="12"/>
        <v>-7702.4279948799958</v>
      </c>
      <c r="Y70" s="525">
        <f t="shared" si="13"/>
        <v>-192693.96047900082</v>
      </c>
    </row>
    <row r="71" spans="3:38" x14ac:dyDescent="0.2">
      <c r="C71" s="387">
        <f t="shared" si="3"/>
        <v>42970</v>
      </c>
      <c r="D71" s="388">
        <f t="shared" si="4"/>
        <v>150304.21677419354</v>
      </c>
      <c r="E71" s="392">
        <f t="shared" si="5"/>
        <v>74667.34</v>
      </c>
      <c r="F71" s="428">
        <f t="shared" si="6"/>
        <v>0.96027804999999999</v>
      </c>
      <c r="G71" s="390">
        <f t="shared" si="7"/>
        <v>71.701400000000007</v>
      </c>
      <c r="H71" s="391">
        <f t="shared" si="0"/>
        <v>225044.21845224354</v>
      </c>
      <c r="I71" s="324">
        <v>71086</v>
      </c>
      <c r="J71" s="325"/>
      <c r="K71" s="325"/>
      <c r="L71" s="317">
        <v>74667.34</v>
      </c>
      <c r="M71" s="318"/>
      <c r="N71" s="318"/>
      <c r="O71" s="318"/>
      <c r="P71" s="392">
        <f t="shared" si="8"/>
        <v>74667.34</v>
      </c>
      <c r="Q71" s="392">
        <f t="shared" si="1"/>
        <v>0</v>
      </c>
      <c r="R71" s="392">
        <f t="shared" si="2"/>
        <v>0</v>
      </c>
      <c r="S71" s="532">
        <v>68000.13</v>
      </c>
      <c r="T71" s="374"/>
      <c r="U71" s="520">
        <f t="shared" si="9"/>
        <v>-3085.8699999999953</v>
      </c>
      <c r="V71" s="520">
        <f t="shared" si="10"/>
        <v>71086</v>
      </c>
      <c r="W71" s="520">
        <f t="shared" si="11"/>
        <v>78778.225071039997</v>
      </c>
      <c r="X71" s="520">
        <f t="shared" si="12"/>
        <v>-7692.2250710399967</v>
      </c>
      <c r="Y71" s="525">
        <f t="shared" si="13"/>
        <v>-200386.1855500408</v>
      </c>
    </row>
    <row r="72" spans="3:38" x14ac:dyDescent="0.2">
      <c r="C72" s="387">
        <f t="shared" si="3"/>
        <v>42971</v>
      </c>
      <c r="D72" s="388">
        <f t="shared" si="4"/>
        <v>150304.21677419354</v>
      </c>
      <c r="E72" s="392">
        <f t="shared" si="5"/>
        <v>74777.86</v>
      </c>
      <c r="F72" s="428">
        <f t="shared" si="6"/>
        <v>0.96027804999999999</v>
      </c>
      <c r="G72" s="390">
        <f t="shared" si="7"/>
        <v>71.807500000000005</v>
      </c>
      <c r="H72" s="391">
        <f t="shared" si="0"/>
        <v>225154.84455224356</v>
      </c>
      <c r="I72" s="324">
        <v>70138</v>
      </c>
      <c r="J72" s="325"/>
      <c r="K72" s="325"/>
      <c r="L72" s="319">
        <v>74777.86</v>
      </c>
      <c r="M72" s="320"/>
      <c r="N72" s="320"/>
      <c r="O72" s="320"/>
      <c r="P72" s="392">
        <f t="shared" si="8"/>
        <v>74777.86</v>
      </c>
      <c r="Q72" s="392">
        <f t="shared" si="1"/>
        <v>0</v>
      </c>
      <c r="R72" s="392">
        <f t="shared" si="2"/>
        <v>0</v>
      </c>
      <c r="S72" s="532">
        <v>68000.13</v>
      </c>
      <c r="T72" s="374"/>
      <c r="U72" s="520">
        <f t="shared" si="9"/>
        <v>-2137.8699999999953</v>
      </c>
      <c r="V72" s="520">
        <f t="shared" si="10"/>
        <v>70138</v>
      </c>
      <c r="W72" s="520">
        <f t="shared" si="11"/>
        <v>78894.829860159996</v>
      </c>
      <c r="X72" s="520">
        <f t="shared" si="12"/>
        <v>-8756.8298601599963</v>
      </c>
      <c r="Y72" s="525">
        <f t="shared" si="13"/>
        <v>-209143.01541020081</v>
      </c>
    </row>
    <row r="73" spans="3:38" x14ac:dyDescent="0.2">
      <c r="C73" s="387">
        <f t="shared" si="3"/>
        <v>42972</v>
      </c>
      <c r="D73" s="388">
        <f t="shared" si="4"/>
        <v>150304.21677419354</v>
      </c>
      <c r="E73" s="392">
        <f t="shared" si="5"/>
        <v>74744.94</v>
      </c>
      <c r="F73" s="428">
        <f t="shared" si="6"/>
        <v>0.96027804999999999</v>
      </c>
      <c r="G73" s="390">
        <f t="shared" si="7"/>
        <v>71.775899999999993</v>
      </c>
      <c r="H73" s="391">
        <f t="shared" si="0"/>
        <v>225121.89295224356</v>
      </c>
      <c r="I73" s="324">
        <v>70138</v>
      </c>
      <c r="J73" s="325"/>
      <c r="K73" s="325"/>
      <c r="L73" s="317">
        <v>74744.94</v>
      </c>
      <c r="M73" s="318"/>
      <c r="N73" s="318"/>
      <c r="O73" s="318"/>
      <c r="P73" s="392">
        <f t="shared" si="8"/>
        <v>74744.94</v>
      </c>
      <c r="Q73" s="392">
        <f t="shared" si="1"/>
        <v>0</v>
      </c>
      <c r="R73" s="392">
        <f t="shared" si="2"/>
        <v>0</v>
      </c>
      <c r="S73" s="532">
        <v>66999.63</v>
      </c>
      <c r="T73" s="374"/>
      <c r="U73" s="520">
        <f t="shared" si="9"/>
        <v>-3138.3699999999953</v>
      </c>
      <c r="V73" s="520">
        <f t="shared" si="10"/>
        <v>70138</v>
      </c>
      <c r="W73" s="520">
        <f t="shared" si="11"/>
        <v>78860.097416639997</v>
      </c>
      <c r="X73" s="520">
        <f t="shared" si="12"/>
        <v>-8722.0974166399974</v>
      </c>
      <c r="Y73" s="525">
        <f t="shared" si="13"/>
        <v>-217865.11282684081</v>
      </c>
    </row>
    <row r="74" spans="3:38" x14ac:dyDescent="0.2">
      <c r="C74" s="387">
        <f t="shared" si="3"/>
        <v>42973</v>
      </c>
      <c r="D74" s="388">
        <f t="shared" si="4"/>
        <v>150304.21677419354</v>
      </c>
      <c r="E74" s="392">
        <f t="shared" si="5"/>
        <v>72765.52</v>
      </c>
      <c r="F74" s="428">
        <f t="shared" si="6"/>
        <v>0.96027804999999999</v>
      </c>
      <c r="G74" s="390">
        <f t="shared" si="7"/>
        <v>69.875100000000003</v>
      </c>
      <c r="H74" s="391">
        <f t="shared" si="0"/>
        <v>223140.57215224355</v>
      </c>
      <c r="I74" s="324">
        <v>69547</v>
      </c>
      <c r="J74" s="325"/>
      <c r="K74" s="325"/>
      <c r="L74" s="319">
        <v>72765.52</v>
      </c>
      <c r="M74" s="320"/>
      <c r="N74" s="320"/>
      <c r="O74" s="320"/>
      <c r="P74" s="392">
        <f t="shared" si="8"/>
        <v>72765.52</v>
      </c>
      <c r="Q74" s="392">
        <f t="shared" si="1"/>
        <v>0</v>
      </c>
      <c r="R74" s="392">
        <f t="shared" si="2"/>
        <v>0</v>
      </c>
      <c r="S74" s="532">
        <v>66999.63</v>
      </c>
      <c r="T74" s="374"/>
      <c r="U74" s="520">
        <f t="shared" si="9"/>
        <v>-2547.3699999999953</v>
      </c>
      <c r="V74" s="520">
        <f t="shared" si="10"/>
        <v>69547</v>
      </c>
      <c r="W74" s="520">
        <f t="shared" si="11"/>
        <v>76771.698469120005</v>
      </c>
      <c r="X74" s="520">
        <f t="shared" si="12"/>
        <v>-7224.698469120005</v>
      </c>
      <c r="Y74" s="525">
        <f t="shared" si="13"/>
        <v>-225089.8112959608</v>
      </c>
    </row>
    <row r="75" spans="3:38" x14ac:dyDescent="0.2">
      <c r="C75" s="387">
        <f t="shared" si="3"/>
        <v>42974</v>
      </c>
      <c r="D75" s="388">
        <f t="shared" si="4"/>
        <v>150304.21677419354</v>
      </c>
      <c r="E75" s="392">
        <f t="shared" si="5"/>
        <v>72973.77</v>
      </c>
      <c r="F75" s="428">
        <f t="shared" si="6"/>
        <v>0.96027804999999999</v>
      </c>
      <c r="G75" s="390">
        <f t="shared" si="7"/>
        <v>70.075100000000006</v>
      </c>
      <c r="H75" s="391">
        <f t="shared" si="0"/>
        <v>223349.02215224353</v>
      </c>
      <c r="I75" s="324">
        <v>69547</v>
      </c>
      <c r="J75" s="325"/>
      <c r="K75" s="325"/>
      <c r="L75" s="317">
        <v>72973.77</v>
      </c>
      <c r="M75" s="318"/>
      <c r="N75" s="318"/>
      <c r="O75" s="318"/>
      <c r="P75" s="392">
        <f t="shared" si="8"/>
        <v>72973.77</v>
      </c>
      <c r="Q75" s="392">
        <f t="shared" si="1"/>
        <v>0</v>
      </c>
      <c r="R75" s="392">
        <f t="shared" si="2"/>
        <v>0</v>
      </c>
      <c r="S75" s="532">
        <v>66999.63</v>
      </c>
      <c r="T75" s="374"/>
      <c r="U75" s="520">
        <f t="shared" si="9"/>
        <v>-2547.3699999999953</v>
      </c>
      <c r="V75" s="520">
        <f t="shared" si="10"/>
        <v>69547</v>
      </c>
      <c r="W75" s="520">
        <f t="shared" si="11"/>
        <v>76991.41388112001</v>
      </c>
      <c r="X75" s="520">
        <f t="shared" si="12"/>
        <v>-7444.41388112001</v>
      </c>
      <c r="Y75" s="525">
        <f t="shared" si="13"/>
        <v>-232534.22517708081</v>
      </c>
    </row>
    <row r="76" spans="3:38" x14ac:dyDescent="0.2">
      <c r="C76" s="387">
        <f t="shared" si="3"/>
        <v>42975</v>
      </c>
      <c r="D76" s="388">
        <f t="shared" si="4"/>
        <v>150304.21677419354</v>
      </c>
      <c r="E76" s="392">
        <f t="shared" si="5"/>
        <v>74637.22</v>
      </c>
      <c r="F76" s="428">
        <f t="shared" si="6"/>
        <v>0.96027804999999999</v>
      </c>
      <c r="G76" s="390">
        <f t="shared" si="7"/>
        <v>71.672499999999999</v>
      </c>
      <c r="H76" s="391">
        <f t="shared" si="0"/>
        <v>225014.06955224354</v>
      </c>
      <c r="I76" s="324">
        <v>69547</v>
      </c>
      <c r="J76" s="325"/>
      <c r="K76" s="325"/>
      <c r="L76" s="319">
        <v>74637.22</v>
      </c>
      <c r="M76" s="320"/>
      <c r="N76" s="320"/>
      <c r="O76" s="320"/>
      <c r="P76" s="392">
        <f t="shared" si="8"/>
        <v>74637.22</v>
      </c>
      <c r="Q76" s="392">
        <f t="shared" si="1"/>
        <v>0</v>
      </c>
      <c r="R76" s="392">
        <f t="shared" si="2"/>
        <v>0</v>
      </c>
      <c r="S76" s="532">
        <v>72999.73000000001</v>
      </c>
      <c r="T76" s="374"/>
      <c r="U76" s="520">
        <f t="shared" si="9"/>
        <v>3452.7300000000105</v>
      </c>
      <c r="V76" s="520">
        <f t="shared" si="10"/>
        <v>69547</v>
      </c>
      <c r="W76" s="520">
        <f t="shared" si="11"/>
        <v>78746.446784319996</v>
      </c>
      <c r="X76" s="520">
        <f t="shared" si="12"/>
        <v>-9199.4467843199964</v>
      </c>
      <c r="Y76" s="525">
        <f t="shared" si="13"/>
        <v>-241733.6719614008</v>
      </c>
    </row>
    <row r="77" spans="3:38" x14ac:dyDescent="0.2">
      <c r="C77" s="387">
        <f t="shared" si="3"/>
        <v>42976</v>
      </c>
      <c r="D77" s="388">
        <f t="shared" si="4"/>
        <v>150304.21677419354</v>
      </c>
      <c r="E77" s="392">
        <f t="shared" si="5"/>
        <v>74378.710000000006</v>
      </c>
      <c r="F77" s="428">
        <f t="shared" si="6"/>
        <v>0.96027804999999999</v>
      </c>
      <c r="G77" s="390">
        <f t="shared" si="7"/>
        <v>71.424199999999999</v>
      </c>
      <c r="H77" s="391">
        <f t="shared" si="0"/>
        <v>224755.31125224355</v>
      </c>
      <c r="I77" s="324">
        <v>70138</v>
      </c>
      <c r="J77" s="325"/>
      <c r="K77" s="325"/>
      <c r="L77" s="317">
        <v>74378.710000000006</v>
      </c>
      <c r="M77" s="318"/>
      <c r="N77" s="318"/>
      <c r="O77" s="318"/>
      <c r="P77" s="392">
        <f t="shared" si="8"/>
        <v>74378.710000000006</v>
      </c>
      <c r="Q77" s="392">
        <f t="shared" si="1"/>
        <v>0</v>
      </c>
      <c r="R77" s="392">
        <f t="shared" si="2"/>
        <v>0</v>
      </c>
      <c r="S77" s="532">
        <v>72999.73000000001</v>
      </c>
      <c r="T77" s="374"/>
      <c r="U77" s="520">
        <f t="shared" si="9"/>
        <v>2861.7300000000105</v>
      </c>
      <c r="V77" s="520">
        <f t="shared" si="10"/>
        <v>70138</v>
      </c>
      <c r="W77" s="520">
        <f t="shared" si="11"/>
        <v>78473.704257760008</v>
      </c>
      <c r="X77" s="520">
        <f t="shared" si="12"/>
        <v>-8335.7042577600077</v>
      </c>
      <c r="Y77" s="525">
        <f t="shared" si="13"/>
        <v>-250069.3762191608</v>
      </c>
    </row>
    <row r="78" spans="3:38" x14ac:dyDescent="0.2">
      <c r="C78" s="387">
        <f t="shared" si="3"/>
        <v>42977</v>
      </c>
      <c r="D78" s="388">
        <f t="shared" si="4"/>
        <v>150304.21677419354</v>
      </c>
      <c r="E78" s="392">
        <f t="shared" si="5"/>
        <v>74725.741999999998</v>
      </c>
      <c r="F78" s="428">
        <f t="shared" si="6"/>
        <v>0.96027804999999999</v>
      </c>
      <c r="G78" s="390">
        <f t="shared" si="7"/>
        <v>71.757499999999993</v>
      </c>
      <c r="H78" s="391">
        <f t="shared" si="0"/>
        <v>225102.67655224356</v>
      </c>
      <c r="I78" s="324">
        <v>70138</v>
      </c>
      <c r="J78" s="325"/>
      <c r="K78" s="325"/>
      <c r="L78" s="319">
        <v>74725.741999999998</v>
      </c>
      <c r="M78" s="320"/>
      <c r="N78" s="320"/>
      <c r="O78" s="320"/>
      <c r="P78" s="392">
        <f t="shared" si="8"/>
        <v>74725.741999999998</v>
      </c>
      <c r="Q78" s="392">
        <f t="shared" si="1"/>
        <v>0</v>
      </c>
      <c r="R78" s="392">
        <f t="shared" si="2"/>
        <v>0</v>
      </c>
      <c r="S78" s="532">
        <v>72999.73000000001</v>
      </c>
      <c r="T78" s="374"/>
      <c r="U78" s="520">
        <f t="shared" si="9"/>
        <v>2861.7300000000105</v>
      </c>
      <c r="V78" s="520">
        <f t="shared" si="10"/>
        <v>70138</v>
      </c>
      <c r="W78" s="520">
        <f t="shared" si="11"/>
        <v>78839.842451552002</v>
      </c>
      <c r="X78" s="520">
        <f t="shared" si="12"/>
        <v>-8701.8424515520019</v>
      </c>
      <c r="Y78" s="525">
        <f t="shared" si="13"/>
        <v>-258771.21867071278</v>
      </c>
    </row>
    <row r="79" spans="3:38" ht="15" thickBot="1" x14ac:dyDescent="0.25">
      <c r="C79" s="393">
        <v>42947</v>
      </c>
      <c r="D79" s="388">
        <f t="shared" si="4"/>
        <v>150304.21677419354</v>
      </c>
      <c r="E79" s="392">
        <f t="shared" si="5"/>
        <v>74937.009999999995</v>
      </c>
      <c r="F79" s="428">
        <f t="shared" si="6"/>
        <v>0.96027804999999999</v>
      </c>
      <c r="G79" s="390">
        <f t="shared" si="7"/>
        <v>71.960400000000007</v>
      </c>
      <c r="H79" s="391">
        <f>SUM(D79:G79)</f>
        <v>225314.14745224355</v>
      </c>
      <c r="I79" s="324">
        <v>70138</v>
      </c>
      <c r="J79" s="325"/>
      <c r="K79" s="325"/>
      <c r="L79" s="319">
        <v>74937.009999999995</v>
      </c>
      <c r="M79" s="320"/>
      <c r="N79" s="320"/>
      <c r="O79" s="320"/>
      <c r="P79" s="392">
        <f t="shared" si="8"/>
        <v>74937.009999999995</v>
      </c>
      <c r="Q79" s="392">
        <f t="shared" si="1"/>
        <v>0</v>
      </c>
      <c r="R79" s="392">
        <f t="shared" si="2"/>
        <v>0</v>
      </c>
      <c r="S79" s="532">
        <v>73000.73</v>
      </c>
      <c r="T79" s="374"/>
      <c r="U79" s="520">
        <f t="shared" si="9"/>
        <v>2862.7299999999959</v>
      </c>
      <c r="V79" s="520">
        <f t="shared" si="10"/>
        <v>70138</v>
      </c>
      <c r="W79" s="520">
        <f t="shared" si="11"/>
        <v>79062.742022559993</v>
      </c>
      <c r="X79" s="520">
        <f t="shared" si="12"/>
        <v>-8924.7420225599926</v>
      </c>
      <c r="Y79" s="525">
        <f t="shared" si="13"/>
        <v>-267695.96069327276</v>
      </c>
    </row>
    <row r="80" spans="3:38" ht="15" thickBot="1" x14ac:dyDescent="0.25">
      <c r="C80" s="398"/>
      <c r="D80" s="399">
        <f>SUM(D49:D79)</f>
        <v>4659430.72</v>
      </c>
      <c r="E80" s="400">
        <f>SUM(E49:E79)</f>
        <v>2303435.9888890004</v>
      </c>
      <c r="F80" s="400"/>
      <c r="G80" s="401">
        <f>SUM(G49:G79)</f>
        <v>2211.9389999999999</v>
      </c>
      <c r="H80" s="399">
        <f>SUM(H49:H79)</f>
        <v>6965108.4165085498</v>
      </c>
      <c r="I80" s="432">
        <f>SUM(I49:I79)</f>
        <v>2162558</v>
      </c>
      <c r="J80" s="432">
        <f t="shared" ref="J80:R80" si="14">SUM(J49:J79)</f>
        <v>0</v>
      </c>
      <c r="K80" s="432">
        <f t="shared" si="14"/>
        <v>0</v>
      </c>
      <c r="L80" s="432">
        <f t="shared" si="14"/>
        <v>2303435.9888890004</v>
      </c>
      <c r="M80" s="432">
        <f t="shared" si="14"/>
        <v>0</v>
      </c>
      <c r="N80" s="432">
        <f t="shared" si="14"/>
        <v>0</v>
      </c>
      <c r="O80" s="432">
        <f t="shared" si="14"/>
        <v>0</v>
      </c>
      <c r="P80" s="432">
        <f t="shared" si="14"/>
        <v>2303435.9888890004</v>
      </c>
      <c r="Q80" s="432">
        <f t="shared" si="14"/>
        <v>0</v>
      </c>
      <c r="R80" s="432">
        <f t="shared" si="14"/>
        <v>0</v>
      </c>
      <c r="S80" s="361">
        <f>SUM(S49:S79)</f>
        <v>2022998.4299999997</v>
      </c>
      <c r="U80" s="530"/>
      <c r="V80" s="328">
        <f>SUM(V49:V79)</f>
        <v>2162558</v>
      </c>
      <c r="W80" s="328">
        <f>SUM(W49:W79)</f>
        <v>2430253.9606932728</v>
      </c>
      <c r="X80" s="328">
        <f>SUM(X49:X79)</f>
        <v>-267695.96069327276</v>
      </c>
      <c r="Y80" s="323">
        <f>Y79</f>
        <v>-267695.96069327276</v>
      </c>
      <c r="AL80" s="361">
        <f>Y79</f>
        <v>-267695.96069327276</v>
      </c>
    </row>
    <row r="81" spans="2:14" ht="15" customHeight="1" x14ac:dyDescent="0.2">
      <c r="B81"/>
      <c r="C81"/>
      <c r="D81"/>
      <c r="E81"/>
      <c r="F81"/>
      <c r="G81"/>
      <c r="H81"/>
      <c r="I81"/>
      <c r="J81"/>
      <c r="K81"/>
      <c r="L81"/>
      <c r="N81" s="2"/>
    </row>
  </sheetData>
  <mergeCells count="12">
    <mergeCell ref="C10:D10"/>
    <mergeCell ref="C11:D11"/>
    <mergeCell ref="C3:M4"/>
    <mergeCell ref="C5:M5"/>
    <mergeCell ref="C6:M6"/>
    <mergeCell ref="G7:H7"/>
    <mergeCell ref="C9:D9"/>
    <mergeCell ref="D23:E23"/>
    <mergeCell ref="D24:E24"/>
    <mergeCell ref="C28:F28"/>
    <mergeCell ref="C39:F39"/>
    <mergeCell ref="S47:Y47"/>
  </mergeCells>
  <conditionalFormatting sqref="L49:O79">
    <cfRule type="cellIs" dxfId="118" priority="1" stopIfTrue="1" operator="equal">
      <formula>0</formula>
    </cfRule>
  </conditionalFormatting>
  <printOptions horizontalCentered="1"/>
  <pageMargins left="0" right="0.70866141732283472" top="0.15748031496062992" bottom="0.35433070866141736" header="0.31496062992125984" footer="0.31496062992125984"/>
  <pageSetup scale="81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2:AL81"/>
  <sheetViews>
    <sheetView workbookViewId="0"/>
  </sheetViews>
  <sheetFormatPr baseColWidth="10" defaultColWidth="11" defaultRowHeight="14.25" x14ac:dyDescent="0.2"/>
  <cols>
    <col min="1" max="1" width="11" style="2"/>
    <col min="2" max="2" width="3.875" style="2" bestFit="1" customWidth="1"/>
    <col min="3" max="3" width="16.125" style="2" customWidth="1"/>
    <col min="4" max="4" width="12.375" style="2" bestFit="1" customWidth="1"/>
    <col min="5" max="5" width="12.125" style="2" bestFit="1" customWidth="1"/>
    <col min="6" max="6" width="17.125" style="2" bestFit="1" customWidth="1"/>
    <col min="7" max="7" width="13.125" style="2" bestFit="1" customWidth="1"/>
    <col min="8" max="8" width="12.125" style="2" bestFit="1" customWidth="1"/>
    <col min="9" max="9" width="11.125" style="2" bestFit="1" customWidth="1"/>
    <col min="10" max="10" width="11.875" style="2" bestFit="1" customWidth="1"/>
    <col min="11" max="11" width="11.625" style="2" bestFit="1" customWidth="1"/>
    <col min="12" max="12" width="12.125" style="2" customWidth="1"/>
    <col min="13" max="13" width="13.125" style="2" bestFit="1" customWidth="1"/>
    <col min="14" max="14" width="9" style="1" customWidth="1"/>
    <col min="15" max="15" width="15.875" style="2" bestFit="1" customWidth="1"/>
    <col min="16" max="16" width="11" style="2"/>
    <col min="17" max="17" width="12.5" style="2" bestFit="1" customWidth="1"/>
    <col min="18" max="20" width="11" style="2"/>
    <col min="21" max="21" width="11" style="2" customWidth="1"/>
    <col min="22" max="25" width="11" style="2"/>
    <col min="26" max="32" width="10.875" customWidth="1"/>
    <col min="33" max="16384" width="11" style="2"/>
  </cols>
  <sheetData>
    <row r="2" spans="2:25" x14ac:dyDescent="0.2"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2:25" ht="15" customHeight="1" x14ac:dyDescent="0.2">
      <c r="B3" s="1"/>
      <c r="C3" s="2254"/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</row>
    <row r="4" spans="2:25" ht="15" customHeight="1" x14ac:dyDescent="0.2"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</row>
    <row r="5" spans="2:25" x14ac:dyDescent="0.2">
      <c r="B5" s="1"/>
      <c r="C5" s="2257">
        <v>4326979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</row>
    <row r="6" spans="2:25" x14ac:dyDescent="0.2">
      <c r="B6" s="1"/>
      <c r="C6" s="2257" t="s">
        <v>216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</row>
    <row r="7" spans="2:25" x14ac:dyDescent="0.2">
      <c r="B7" s="1"/>
      <c r="C7" s="609"/>
      <c r="D7" s="609"/>
      <c r="E7" s="609"/>
      <c r="F7" s="609"/>
      <c r="G7" s="2271">
        <v>42979</v>
      </c>
      <c r="H7" s="2257"/>
      <c r="I7" s="609"/>
      <c r="J7" s="609"/>
      <c r="K7" s="609"/>
      <c r="L7" s="609"/>
      <c r="M7" s="609"/>
      <c r="N7" s="18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2:25" x14ac:dyDescent="0.2">
      <c r="B8" s="1"/>
      <c r="C8" s="609"/>
      <c r="D8" s="609"/>
      <c r="E8" s="609"/>
      <c r="F8" s="609"/>
      <c r="G8" s="609"/>
      <c r="H8" s="609"/>
      <c r="I8" s="609"/>
      <c r="J8" s="609"/>
      <c r="K8" s="609"/>
      <c r="L8" s="609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2:25" ht="25.5" x14ac:dyDescent="0.2">
      <c r="B9" s="1"/>
      <c r="C9" s="2272" t="s">
        <v>6</v>
      </c>
      <c r="D9" s="2272"/>
      <c r="E9" s="610" t="s">
        <v>94</v>
      </c>
      <c r="F9" s="610" t="s">
        <v>126</v>
      </c>
      <c r="G9" s="410" t="s">
        <v>133</v>
      </c>
      <c r="H9" s="610" t="s">
        <v>127</v>
      </c>
      <c r="I9" s="610" t="s">
        <v>128</v>
      </c>
      <c r="J9" s="609"/>
      <c r="K9" s="609"/>
      <c r="L9" s="609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2:25" x14ac:dyDescent="0.2">
      <c r="B10" s="1"/>
      <c r="C10" s="2270" t="s">
        <v>131</v>
      </c>
      <c r="D10" s="2270"/>
      <c r="E10" s="433">
        <f>IF(C15=0,D15,C15)</f>
        <v>4659430.72</v>
      </c>
      <c r="F10" s="407">
        <f>E10*0.16</f>
        <v>745508.91519999993</v>
      </c>
      <c r="G10" s="407">
        <f>E10+F10</f>
        <v>5404939.6351999994</v>
      </c>
      <c r="H10" s="511" t="s">
        <v>220</v>
      </c>
      <c r="I10" s="604">
        <f>M33/L33</f>
        <v>18.211299992874665</v>
      </c>
      <c r="J10" s="609"/>
      <c r="K10" s="609"/>
      <c r="L10" s="609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2:25" x14ac:dyDescent="0.2">
      <c r="B11" s="1"/>
      <c r="C11" s="2270" t="s">
        <v>132</v>
      </c>
      <c r="D11" s="2270"/>
      <c r="E11" s="433">
        <f>IF(C16=0,D16,C16)</f>
        <v>1540.1</v>
      </c>
      <c r="F11" s="407">
        <f>E11*0.16</f>
        <v>246.416</v>
      </c>
      <c r="G11" s="407">
        <f>E11+F11</f>
        <v>1786.5159999999998</v>
      </c>
      <c r="H11" s="511" t="s">
        <v>220</v>
      </c>
      <c r="I11" s="604">
        <f>I10</f>
        <v>18.211299992874665</v>
      </c>
      <c r="J11" s="609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2:25" x14ac:dyDescent="0.2">
      <c r="B12" s="1"/>
      <c r="C12" s="609"/>
      <c r="D12" s="609"/>
      <c r="E12" s="609"/>
      <c r="F12" s="609"/>
      <c r="G12" s="609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2:25" ht="15" thickBot="1" x14ac:dyDescent="0.25">
      <c r="B13" s="1"/>
      <c r="C13" s="609"/>
      <c r="D13" s="609"/>
      <c r="E13" s="609"/>
      <c r="F13" s="609"/>
      <c r="G13" s="609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2:25" x14ac:dyDescent="0.2">
      <c r="B14" s="1"/>
      <c r="C14" s="440" t="s">
        <v>155</v>
      </c>
      <c r="D14" s="441" t="s">
        <v>156</v>
      </c>
      <c r="E14" s="442" t="s">
        <v>112</v>
      </c>
      <c r="F14" s="609"/>
      <c r="G14" s="609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2:25" x14ac:dyDescent="0.2">
      <c r="B15" s="1"/>
      <c r="C15" s="443">
        <v>4659430.72</v>
      </c>
      <c r="D15" s="444">
        <f>D80</f>
        <v>4659430.7199999979</v>
      </c>
      <c r="E15" s="445">
        <f>C15-D15</f>
        <v>0</v>
      </c>
      <c r="F15" s="609"/>
      <c r="G15" s="609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2:25" ht="15" thickBot="1" x14ac:dyDescent="0.25">
      <c r="B16" s="1"/>
      <c r="C16" s="446">
        <v>1540.1</v>
      </c>
      <c r="D16" s="447">
        <f>ROUND(G80,2)</f>
        <v>1540.1</v>
      </c>
      <c r="E16" s="448">
        <f>C16-D16</f>
        <v>0</v>
      </c>
      <c r="F16" s="609"/>
      <c r="G16" s="609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2:25" x14ac:dyDescent="0.2">
      <c r="B17" s="1"/>
      <c r="C17" s="609"/>
      <c r="D17" s="609"/>
      <c r="E17" s="609"/>
      <c r="F17" s="609"/>
      <c r="G17" s="609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2:25" x14ac:dyDescent="0.2">
      <c r="B18" s="1"/>
      <c r="C18" s="609"/>
      <c r="D18" s="609"/>
      <c r="E18" s="609"/>
      <c r="F18" s="609"/>
      <c r="G18" s="609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2:25" x14ac:dyDescent="0.2">
      <c r="B19" s="1"/>
      <c r="C19" s="609"/>
      <c r="D19" s="609"/>
      <c r="E19" s="609"/>
      <c r="F19" s="609"/>
      <c r="G19" s="609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2:25" x14ac:dyDescent="0.2">
      <c r="B20" s="1"/>
      <c r="C20" s="609"/>
      <c r="D20" s="609"/>
      <c r="E20" s="609"/>
      <c r="F20" s="609"/>
      <c r="G20" s="609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2:25" x14ac:dyDescent="0.2">
      <c r="B21" s="1"/>
      <c r="C21" s="609"/>
      <c r="D21" s="609"/>
      <c r="E21" s="609"/>
      <c r="F21" s="609"/>
      <c r="G21" s="609"/>
      <c r="H21" s="1"/>
      <c r="I21" s="1"/>
      <c r="J21" s="1"/>
      <c r="K21" s="1"/>
      <c r="L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2:25" ht="15" thickBot="1" x14ac:dyDescent="0.25">
      <c r="B22" s="1"/>
      <c r="C22" s="419" t="s">
        <v>137</v>
      </c>
      <c r="D22" s="609" t="s">
        <v>138</v>
      </c>
      <c r="E22" s="609"/>
      <c r="F22" s="609" t="s">
        <v>139</v>
      </c>
      <c r="G22" s="609" t="s">
        <v>3</v>
      </c>
      <c r="H22" s="609" t="s">
        <v>143</v>
      </c>
      <c r="I22" s="609" t="s">
        <v>142</v>
      </c>
      <c r="J22" s="609" t="s">
        <v>141</v>
      </c>
      <c r="K22" s="609" t="s">
        <v>140</v>
      </c>
      <c r="L22" s="609" t="s">
        <v>144</v>
      </c>
      <c r="M22" s="609" t="s">
        <v>146</v>
      </c>
      <c r="N22" s="609"/>
      <c r="O22" s="609"/>
      <c r="P22" s="609"/>
      <c r="Q22" s="1"/>
      <c r="R22" s="1"/>
      <c r="S22" s="1"/>
      <c r="T22" s="1"/>
      <c r="U22" s="1"/>
      <c r="V22" s="1"/>
      <c r="W22" s="1"/>
      <c r="X22" s="1"/>
      <c r="Y22" s="1"/>
    </row>
    <row r="23" spans="2:25" ht="36.75" customHeight="1" x14ac:dyDescent="0.2">
      <c r="B23" s="1"/>
      <c r="C23" s="402" t="s">
        <v>134</v>
      </c>
      <c r="D23" s="2261" t="s">
        <v>135</v>
      </c>
      <c r="E23" s="2262"/>
      <c r="F23" s="611" t="s">
        <v>136</v>
      </c>
      <c r="G23" s="461" t="s">
        <v>153</v>
      </c>
      <c r="H23" s="420" t="s">
        <v>129</v>
      </c>
      <c r="I23" s="403" t="s">
        <v>130</v>
      </c>
      <c r="J23" s="422"/>
      <c r="K23" s="422"/>
      <c r="L23" s="422"/>
      <c r="M23" s="404" t="s">
        <v>158</v>
      </c>
      <c r="N23" s="609"/>
      <c r="O23" s="609"/>
      <c r="P23" s="609"/>
      <c r="Q23" s="609"/>
      <c r="R23" s="609"/>
      <c r="S23" s="609"/>
      <c r="T23" s="609"/>
      <c r="U23" s="1"/>
      <c r="V23" s="1"/>
      <c r="W23" s="1"/>
      <c r="X23" s="1"/>
      <c r="Y23" s="1"/>
    </row>
    <row r="24" spans="2:25" x14ac:dyDescent="0.2">
      <c r="B24" s="1"/>
      <c r="C24" s="405">
        <v>850</v>
      </c>
      <c r="D24" s="2263">
        <v>850</v>
      </c>
      <c r="E24" s="2264"/>
      <c r="F24" s="418">
        <v>31482640</v>
      </c>
      <c r="G24" s="462">
        <v>30</v>
      </c>
      <c r="H24" s="460">
        <f>VLOOKUP(C47,Tarifas!D4:H303,3)</f>
        <v>0.14799999999999999</v>
      </c>
      <c r="I24" s="424">
        <f>VLOOKUP(C47,Tarifas!D4:H303,5)</f>
        <v>1E-3</v>
      </c>
      <c r="J24" s="421">
        <v>193.7</v>
      </c>
      <c r="K24" s="421">
        <v>201.4</v>
      </c>
      <c r="L24" s="421">
        <f>I11</f>
        <v>18.211299992874665</v>
      </c>
      <c r="M24" s="431">
        <f>E80</f>
        <v>1601323.7840000002</v>
      </c>
      <c r="N24" s="430" t="s">
        <v>62</v>
      </c>
      <c r="O24" s="609"/>
      <c r="P24" s="609"/>
      <c r="Q24" s="609"/>
      <c r="R24" s="609"/>
      <c r="S24" s="609"/>
      <c r="T24" s="609"/>
      <c r="U24" s="1"/>
      <c r="V24" s="1"/>
      <c r="W24" s="1"/>
      <c r="X24" s="1"/>
      <c r="Y24" s="1"/>
    </row>
    <row r="25" spans="2:25" x14ac:dyDescent="0.2">
      <c r="B25" s="1"/>
      <c r="C25" s="609"/>
      <c r="D25" s="609"/>
      <c r="E25" s="609"/>
      <c r="F25" s="609"/>
      <c r="G25" s="609"/>
      <c r="H25" s="609"/>
      <c r="I25" s="609"/>
      <c r="J25" s="609"/>
      <c r="K25" s="609"/>
      <c r="L25" s="609"/>
      <c r="M25" s="609"/>
      <c r="N25" s="609"/>
      <c r="O25" s="609"/>
      <c r="P25" s="609"/>
      <c r="Q25" s="609"/>
      <c r="R25" s="609"/>
      <c r="S25" s="1"/>
      <c r="T25" s="1"/>
      <c r="U25" s="1"/>
      <c r="V25" s="1"/>
      <c r="W25" s="1"/>
      <c r="X25" s="1"/>
      <c r="Y25" s="1"/>
    </row>
    <row r="26" spans="2:25" x14ac:dyDescent="0.2">
      <c r="B26" s="1"/>
      <c r="C26" s="609"/>
      <c r="D26" s="609"/>
      <c r="E26" s="609"/>
      <c r="F26" s="609"/>
      <c r="G26" s="609"/>
      <c r="H26" s="609"/>
      <c r="I26" s="609"/>
      <c r="J26" s="609"/>
      <c r="K26" s="609"/>
      <c r="L26" s="609"/>
      <c r="M26" s="609"/>
      <c r="N26" s="609"/>
      <c r="O26" s="609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2:25" x14ac:dyDescent="0.2">
      <c r="B27" s="1"/>
      <c r="C27" s="609"/>
      <c r="D27" s="609"/>
      <c r="E27" s="609"/>
      <c r="F27" s="609"/>
      <c r="G27" s="609"/>
      <c r="H27" s="609"/>
      <c r="I27" s="609"/>
      <c r="J27" s="609"/>
      <c r="K27" s="609"/>
      <c r="L27" s="609"/>
      <c r="M27" s="609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2:25" ht="15" thickBot="1" x14ac:dyDescent="0.25">
      <c r="B28" s="1"/>
      <c r="C28" s="2265" t="s">
        <v>86</v>
      </c>
      <c r="D28" s="2265"/>
      <c r="E28" s="2265"/>
      <c r="F28" s="2265"/>
      <c r="G28" s="612"/>
      <c r="H28" s="334"/>
      <c r="I28" s="334"/>
      <c r="J28" s="334"/>
      <c r="K28" s="612"/>
      <c r="L28" s="336"/>
      <c r="M28" s="336"/>
      <c r="O28" s="530" t="s">
        <v>212</v>
      </c>
      <c r="P28" s="675">
        <v>19.007999999999999</v>
      </c>
      <c r="Q28" s="530" t="s">
        <v>213</v>
      </c>
      <c r="R28" s="1"/>
      <c r="S28" s="663"/>
      <c r="T28" s="664"/>
      <c r="U28" s="1"/>
      <c r="V28" s="1"/>
      <c r="W28" s="1"/>
      <c r="X28" s="1"/>
      <c r="Y28" s="1"/>
    </row>
    <row r="29" spans="2:25" ht="22.5" x14ac:dyDescent="0.2">
      <c r="B29" s="1"/>
      <c r="C29" s="337" t="s">
        <v>87</v>
      </c>
      <c r="D29" s="657" t="s">
        <v>88</v>
      </c>
      <c r="E29" s="657" t="s">
        <v>89</v>
      </c>
      <c r="F29" s="657" t="s">
        <v>20</v>
      </c>
      <c r="G29" s="657" t="s">
        <v>160</v>
      </c>
      <c r="H29" s="657" t="s">
        <v>90</v>
      </c>
      <c r="I29" s="657" t="s">
        <v>91</v>
      </c>
      <c r="J29" s="657" t="s">
        <v>92</v>
      </c>
      <c r="K29" s="657" t="s">
        <v>93</v>
      </c>
      <c r="L29" s="657" t="s">
        <v>94</v>
      </c>
      <c r="M29" s="658" t="s">
        <v>95</v>
      </c>
      <c r="O29" s="590" t="s">
        <v>95</v>
      </c>
      <c r="P29" s="1"/>
      <c r="Q29" s="590" t="s">
        <v>95</v>
      </c>
      <c r="R29" s="1"/>
      <c r="S29" s="667"/>
      <c r="T29" s="339"/>
      <c r="U29" s="339"/>
      <c r="V29" s="1"/>
      <c r="W29" s="1"/>
      <c r="X29" s="1"/>
      <c r="Y29" s="1"/>
    </row>
    <row r="30" spans="2:25" x14ac:dyDescent="0.2">
      <c r="B30" s="1"/>
      <c r="C30" s="660" t="s">
        <v>101</v>
      </c>
      <c r="D30" s="661" t="s">
        <v>101</v>
      </c>
      <c r="E30" s="339" t="s">
        <v>96</v>
      </c>
      <c r="F30" s="340" t="s">
        <v>97</v>
      </c>
      <c r="G30" s="339" t="s">
        <v>101</v>
      </c>
      <c r="H30" s="339" t="s">
        <v>101</v>
      </c>
      <c r="I30" s="341">
        <v>0</v>
      </c>
      <c r="J30" s="339">
        <v>138.15</v>
      </c>
      <c r="K30" s="342">
        <v>0</v>
      </c>
      <c r="L30" s="343">
        <f>ROUND(K30*E$10,2)</f>
        <v>0</v>
      </c>
      <c r="M30" s="344">
        <f>L30*$I$10</f>
        <v>0</v>
      </c>
      <c r="O30" s="591">
        <f>IF(P$28=0,M30,L30*P$28)</f>
        <v>0</v>
      </c>
      <c r="P30" s="1"/>
      <c r="Q30" s="591">
        <f>M30-O30</f>
        <v>0</v>
      </c>
      <c r="R30" s="1"/>
      <c r="S30" s="208"/>
      <c r="T30" s="208"/>
      <c r="U30" s="668"/>
      <c r="V30" s="1"/>
      <c r="W30" s="1"/>
      <c r="X30" s="1"/>
      <c r="Y30" s="1"/>
    </row>
    <row r="31" spans="2:25" x14ac:dyDescent="0.2">
      <c r="B31" s="1"/>
      <c r="C31" s="660" t="s">
        <v>101</v>
      </c>
      <c r="D31" s="661" t="s">
        <v>101</v>
      </c>
      <c r="E31" s="339" t="s">
        <v>98</v>
      </c>
      <c r="F31" s="340" t="s">
        <v>97</v>
      </c>
      <c r="G31" s="339" t="s">
        <v>101</v>
      </c>
      <c r="H31" s="339" t="s">
        <v>101</v>
      </c>
      <c r="I31" s="341">
        <v>0</v>
      </c>
      <c r="J31" s="339">
        <v>138.15</v>
      </c>
      <c r="K31" s="342">
        <v>0</v>
      </c>
      <c r="L31" s="343">
        <f>ROUND(K31*E$10,2)</f>
        <v>0</v>
      </c>
      <c r="M31" s="344">
        <f>L31*$I$10</f>
        <v>0</v>
      </c>
      <c r="O31" s="591">
        <f>IF(P$28=0,M31,L31*P$28)</f>
        <v>0</v>
      </c>
      <c r="P31" s="1"/>
      <c r="Q31" s="591">
        <f>M31-O31</f>
        <v>0</v>
      </c>
      <c r="R31" s="1"/>
      <c r="S31" s="208"/>
      <c r="T31" s="208"/>
      <c r="U31" s="668"/>
      <c r="V31" s="1"/>
      <c r="W31" s="1"/>
      <c r="X31" s="1"/>
      <c r="Y31" s="1"/>
    </row>
    <row r="32" spans="2:25" x14ac:dyDescent="0.2">
      <c r="B32" s="1"/>
      <c r="C32" s="660" t="s">
        <v>101</v>
      </c>
      <c r="D32" s="661" t="s">
        <v>101</v>
      </c>
      <c r="E32" s="339" t="s">
        <v>99</v>
      </c>
      <c r="F32" s="340" t="s">
        <v>100</v>
      </c>
      <c r="G32" s="339" t="s">
        <v>101</v>
      </c>
      <c r="H32" s="339" t="s">
        <v>101</v>
      </c>
      <c r="I32" s="341">
        <v>0</v>
      </c>
      <c r="J32" s="339">
        <v>130.80000000000001</v>
      </c>
      <c r="K32" s="342">
        <v>0</v>
      </c>
      <c r="L32" s="343">
        <f>ROUND(K32*E$10,2)</f>
        <v>0</v>
      </c>
      <c r="M32" s="344">
        <f>L32*$I$10</f>
        <v>0</v>
      </c>
      <c r="O32" s="591">
        <f>IF(P$28=0,M32,L32*P$28)</f>
        <v>0</v>
      </c>
      <c r="P32" s="1"/>
      <c r="Q32" s="591">
        <f>M32-O32</f>
        <v>0</v>
      </c>
      <c r="R32" s="1"/>
      <c r="S32" s="669"/>
      <c r="T32" s="670"/>
      <c r="U32" s="671"/>
      <c r="V32" s="1"/>
      <c r="W32" s="1"/>
      <c r="X32" s="1"/>
      <c r="Y32" s="1"/>
    </row>
    <row r="33" spans="2:25" x14ac:dyDescent="0.2">
      <c r="B33" s="1"/>
      <c r="C33" s="338">
        <v>800832451</v>
      </c>
      <c r="D33" s="605">
        <v>1</v>
      </c>
      <c r="E33" s="354" t="s">
        <v>101</v>
      </c>
      <c r="F33" s="463" t="s">
        <v>23</v>
      </c>
      <c r="G33" s="354" t="s">
        <v>221</v>
      </c>
      <c r="H33" s="354" t="s">
        <v>222</v>
      </c>
      <c r="I33" s="341">
        <v>80000</v>
      </c>
      <c r="J33" s="339">
        <v>0</v>
      </c>
      <c r="K33" s="342">
        <v>0.09</v>
      </c>
      <c r="L33" s="343">
        <f>ROUND(K33*E$10,2)</f>
        <v>419348.76</v>
      </c>
      <c r="M33" s="344">
        <v>7636886.0700000003</v>
      </c>
      <c r="O33" s="591">
        <f>IF(P$28=0,M33,L33*P$28)</f>
        <v>7970981.2300800001</v>
      </c>
      <c r="P33" s="1"/>
      <c r="Q33" s="591">
        <f>M33-O33</f>
        <v>-334095.16007999983</v>
      </c>
      <c r="R33" s="1"/>
      <c r="S33" s="672"/>
      <c r="T33" s="340"/>
      <c r="U33" s="667"/>
      <c r="V33" s="1"/>
      <c r="W33" s="1"/>
      <c r="X33" s="1"/>
      <c r="Y33" s="1"/>
    </row>
    <row r="34" spans="2:25" ht="15" thickBot="1" x14ac:dyDescent="0.25">
      <c r="B34" s="1"/>
      <c r="C34" s="345">
        <v>800832451</v>
      </c>
      <c r="D34" s="606">
        <v>1</v>
      </c>
      <c r="E34" s="347" t="s">
        <v>101</v>
      </c>
      <c r="F34" s="348" t="s">
        <v>159</v>
      </c>
      <c r="G34" s="347" t="s">
        <v>221</v>
      </c>
      <c r="H34" s="347" t="s">
        <v>222</v>
      </c>
      <c r="I34" s="349">
        <f>850000-I30-I31-I32-I33</f>
        <v>770000</v>
      </c>
      <c r="J34" s="346">
        <v>0</v>
      </c>
      <c r="K34" s="350">
        <v>0.91</v>
      </c>
      <c r="L34" s="351">
        <f>ROUND(K34*E$10,2)</f>
        <v>4240081.96</v>
      </c>
      <c r="M34" s="352">
        <v>77217404.599999994</v>
      </c>
      <c r="O34" s="592">
        <f>IF(P$28=0,M34,L34*P$28)</f>
        <v>80595477.895679995</v>
      </c>
      <c r="P34" s="1"/>
      <c r="Q34" s="592">
        <f>M34-O34</f>
        <v>-3378073.2956800014</v>
      </c>
      <c r="R34" s="1"/>
      <c r="S34" s="667"/>
      <c r="T34" s="669"/>
      <c r="U34" s="667"/>
      <c r="V34" s="1"/>
      <c r="W34" s="1"/>
      <c r="X34" s="1"/>
      <c r="Y34" s="1"/>
    </row>
    <row r="35" spans="2:25" x14ac:dyDescent="0.2">
      <c r="B35" s="1"/>
      <c r="C35" s="406">
        <v>3000623</v>
      </c>
      <c r="D35" s="353" t="s">
        <v>102</v>
      </c>
      <c r="E35" s="353"/>
      <c r="F35" s="353"/>
      <c r="G35" s="353"/>
      <c r="H35" s="354"/>
      <c r="I35" s="355">
        <f>SUM(I30:I34)</f>
        <v>850000</v>
      </c>
      <c r="J35" s="353"/>
      <c r="K35" s="356">
        <f>SUM(K30:K34)</f>
        <v>1</v>
      </c>
      <c r="L35" s="357">
        <f>SUM(L30:L34)</f>
        <v>4659430.72</v>
      </c>
      <c r="M35" s="357">
        <f>SUM(M30:M34)</f>
        <v>84854290.669999987</v>
      </c>
      <c r="O35" s="593">
        <f>SUM(O30:O34)</f>
        <v>88566459.125759989</v>
      </c>
      <c r="P35" s="1"/>
      <c r="Q35" s="593">
        <f>SUM(Q30:Q33)</f>
        <v>-334095.16007999983</v>
      </c>
      <c r="R35" s="1"/>
      <c r="S35" s="667"/>
      <c r="T35" s="667"/>
      <c r="U35" s="339"/>
      <c r="V35" s="1"/>
      <c r="W35" s="1"/>
      <c r="X35" s="1"/>
      <c r="Y35" s="1"/>
    </row>
    <row r="36" spans="2:25" x14ac:dyDescent="0.2">
      <c r="B36" s="1"/>
      <c r="C36" s="336"/>
      <c r="D36" s="336"/>
      <c r="E36" s="336"/>
      <c r="F36" s="358"/>
      <c r="G36" s="358"/>
      <c r="H36" s="336"/>
      <c r="I36" s="336"/>
      <c r="J36" s="336"/>
      <c r="K36" s="336"/>
      <c r="L36" s="359"/>
      <c r="M36" s="1"/>
      <c r="O36" s="594"/>
      <c r="P36" s="1"/>
      <c r="Q36" s="1"/>
      <c r="R36" s="1"/>
      <c r="S36" s="667"/>
      <c r="T36" s="667"/>
      <c r="U36" s="673"/>
      <c r="V36" s="1"/>
      <c r="W36" s="1"/>
      <c r="X36" s="1"/>
      <c r="Y36" s="1"/>
    </row>
    <row r="37" spans="2:25" x14ac:dyDescent="0.2">
      <c r="B37" s="1"/>
      <c r="C37" s="336"/>
      <c r="D37" s="336"/>
      <c r="E37" s="336"/>
      <c r="F37" s="358"/>
      <c r="G37" s="358"/>
      <c r="H37" s="336"/>
      <c r="I37" s="336"/>
      <c r="J37" s="336"/>
      <c r="K37" s="336"/>
      <c r="L37" s="359"/>
      <c r="M37" s="1"/>
      <c r="O37" s="594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2:25" x14ac:dyDescent="0.2">
      <c r="B38" s="1"/>
      <c r="C38" s="336"/>
      <c r="D38" s="336"/>
      <c r="E38" s="336"/>
      <c r="F38" s="358"/>
      <c r="G38" s="358"/>
      <c r="H38" s="336"/>
      <c r="I38" s="336"/>
      <c r="J38" s="336"/>
      <c r="K38" s="336"/>
      <c r="L38" s="359"/>
      <c r="M38" s="1"/>
      <c r="O38" s="594"/>
      <c r="P38" s="1"/>
      <c r="Q38" s="1"/>
      <c r="R38" s="1"/>
      <c r="S38" s="667"/>
      <c r="T38" s="339"/>
      <c r="U38" s="339"/>
      <c r="V38" s="1"/>
      <c r="W38" s="1"/>
      <c r="X38" s="1"/>
      <c r="Y38" s="1"/>
    </row>
    <row r="39" spans="2:25" ht="15" thickBot="1" x14ac:dyDescent="0.25">
      <c r="B39" s="1"/>
      <c r="C39" s="2266" t="s">
        <v>103</v>
      </c>
      <c r="D39" s="2266"/>
      <c r="E39" s="2266"/>
      <c r="F39" s="2266"/>
      <c r="G39" s="612"/>
      <c r="H39" s="334"/>
      <c r="I39" s="334"/>
      <c r="J39" s="334"/>
      <c r="K39" s="336"/>
      <c r="L39" s="336"/>
      <c r="M39" s="360"/>
      <c r="O39" s="595"/>
      <c r="P39" s="675">
        <v>19.007999999999999</v>
      </c>
      <c r="Q39" s="360"/>
      <c r="R39" s="1"/>
      <c r="S39" s="208"/>
      <c r="T39" s="208"/>
      <c r="U39" s="668"/>
      <c r="V39" s="1"/>
      <c r="W39" s="1"/>
      <c r="X39" s="1"/>
      <c r="Y39" s="1"/>
    </row>
    <row r="40" spans="2:25" ht="22.5" x14ac:dyDescent="0.2">
      <c r="B40" s="1"/>
      <c r="C40" s="337" t="s">
        <v>87</v>
      </c>
      <c r="D40" s="607" t="s">
        <v>88</v>
      </c>
      <c r="E40" s="607" t="s">
        <v>89</v>
      </c>
      <c r="F40" s="607" t="s">
        <v>20</v>
      </c>
      <c r="G40" s="607"/>
      <c r="H40" s="607" t="s">
        <v>90</v>
      </c>
      <c r="I40" s="607" t="s">
        <v>104</v>
      </c>
      <c r="J40" s="607" t="s">
        <v>93</v>
      </c>
      <c r="K40" s="607" t="s">
        <v>92</v>
      </c>
      <c r="L40" s="607" t="s">
        <v>94</v>
      </c>
      <c r="M40" s="608" t="s">
        <v>95</v>
      </c>
      <c r="O40" s="596" t="s">
        <v>95</v>
      </c>
      <c r="P40" s="1"/>
      <c r="Q40" s="590" t="s">
        <v>95</v>
      </c>
      <c r="R40" s="1"/>
      <c r="S40" s="669"/>
      <c r="T40" s="670"/>
      <c r="U40" s="671"/>
      <c r="V40" s="1"/>
      <c r="W40" s="1"/>
      <c r="X40" s="1"/>
      <c r="Y40" s="1"/>
    </row>
    <row r="41" spans="2:25" x14ac:dyDescent="0.2">
      <c r="B41" s="1"/>
      <c r="C41" s="338"/>
      <c r="D41" s="339"/>
      <c r="E41" s="339" t="s">
        <v>96</v>
      </c>
      <c r="F41" s="340" t="s">
        <v>97</v>
      </c>
      <c r="G41" s="340"/>
      <c r="H41" s="339">
        <v>20823</v>
      </c>
      <c r="I41" s="341">
        <f>M80</f>
        <v>0</v>
      </c>
      <c r="J41" s="342">
        <f>IFERROR(I41/I$45,0)</f>
        <v>0</v>
      </c>
      <c r="K41" s="339">
        <v>138.15</v>
      </c>
      <c r="L41" s="343">
        <f>ROUND(J41*$E$11,2)</f>
        <v>0</v>
      </c>
      <c r="M41" s="344">
        <f>L41*L24</f>
        <v>0</v>
      </c>
      <c r="O41" s="591">
        <f>IF(P$28=0,M41,L41*P$28)</f>
        <v>0</v>
      </c>
      <c r="P41" s="1"/>
      <c r="Q41" s="591">
        <f>M41-O41</f>
        <v>0</v>
      </c>
      <c r="R41" s="1"/>
      <c r="S41" s="672"/>
      <c r="T41" s="340"/>
      <c r="U41" s="667"/>
      <c r="V41" s="1"/>
      <c r="W41" s="1"/>
      <c r="X41" s="1"/>
      <c r="Y41" s="1"/>
    </row>
    <row r="42" spans="2:25" x14ac:dyDescent="0.2">
      <c r="B42" s="1"/>
      <c r="C42" s="338"/>
      <c r="D42" s="339"/>
      <c r="E42" s="339" t="s">
        <v>98</v>
      </c>
      <c r="F42" s="340" t="s">
        <v>97</v>
      </c>
      <c r="G42" s="340"/>
      <c r="H42" s="339">
        <v>20824</v>
      </c>
      <c r="I42" s="341">
        <f>N80</f>
        <v>0</v>
      </c>
      <c r="J42" s="342">
        <f>IFERROR(I42/I$45,0)</f>
        <v>0</v>
      </c>
      <c r="K42" s="339">
        <v>138.15</v>
      </c>
      <c r="L42" s="343">
        <f>ROUND(J42*$E$11,2)</f>
        <v>0</v>
      </c>
      <c r="M42" s="344">
        <f>L42*L25</f>
        <v>0</v>
      </c>
      <c r="O42" s="591">
        <f>IF(P$28=0,M42,L42*P$28)</f>
        <v>0</v>
      </c>
      <c r="P42" s="1"/>
      <c r="Q42" s="591">
        <f>M42-O42</f>
        <v>0</v>
      </c>
      <c r="R42" s="1"/>
      <c r="S42" s="667"/>
      <c r="T42" s="669"/>
      <c r="U42" s="667"/>
      <c r="V42" s="1"/>
      <c r="W42" s="1"/>
      <c r="X42" s="1"/>
      <c r="Y42" s="1"/>
    </row>
    <row r="43" spans="2:25" x14ac:dyDescent="0.2">
      <c r="B43" s="1"/>
      <c r="C43" s="338"/>
      <c r="D43" s="339"/>
      <c r="E43" s="339" t="s">
        <v>99</v>
      </c>
      <c r="F43" s="340" t="s">
        <v>100</v>
      </c>
      <c r="G43" s="340"/>
      <c r="H43" s="339">
        <v>22228</v>
      </c>
      <c r="I43" s="341">
        <f>O80</f>
        <v>0</v>
      </c>
      <c r="J43" s="342">
        <f>IFERROR(I43/I$45,0)</f>
        <v>0</v>
      </c>
      <c r="K43" s="339">
        <v>130.80000000000001</v>
      </c>
      <c r="L43" s="343">
        <f>ROUND(J43*$E$11,2)</f>
        <v>0</v>
      </c>
      <c r="M43" s="344">
        <f>L43*L26</f>
        <v>0</v>
      </c>
      <c r="O43" s="591">
        <f>IF(P$28=0,M43,L43*P$28)</f>
        <v>0</v>
      </c>
      <c r="P43" s="1"/>
      <c r="Q43" s="591">
        <f>M43-O43</f>
        <v>0</v>
      </c>
      <c r="R43" s="1"/>
      <c r="S43" s="667"/>
      <c r="T43" s="667"/>
      <c r="U43" s="339"/>
      <c r="V43" s="1"/>
      <c r="W43" s="1"/>
      <c r="X43" s="1"/>
      <c r="Y43" s="1"/>
    </row>
    <row r="44" spans="2:25" ht="15" thickBot="1" x14ac:dyDescent="0.25">
      <c r="B44" s="1"/>
      <c r="C44" s="345">
        <v>800832773</v>
      </c>
      <c r="D44" s="606">
        <v>1</v>
      </c>
      <c r="E44" s="662" t="s">
        <v>101</v>
      </c>
      <c r="F44" s="348" t="s">
        <v>23</v>
      </c>
      <c r="G44" s="348" t="s">
        <v>221</v>
      </c>
      <c r="H44" s="347" t="s">
        <v>222</v>
      </c>
      <c r="I44" s="349">
        <f>L80</f>
        <v>1601323.7840000002</v>
      </c>
      <c r="J44" s="350">
        <f>IFERROR(I44/I$45,0)</f>
        <v>1</v>
      </c>
      <c r="K44" s="346">
        <v>138.15</v>
      </c>
      <c r="L44" s="351">
        <f>ROUND(J44*$E$11,2)</f>
        <v>1540.1</v>
      </c>
      <c r="M44" s="352">
        <v>28047.22</v>
      </c>
      <c r="O44" s="592">
        <f>IF(P$28=0,M44,L44*P$28)</f>
        <v>29274.220799999996</v>
      </c>
      <c r="P44" s="1"/>
      <c r="Q44" s="592">
        <f>M44-O44</f>
        <v>-1227.0007999999943</v>
      </c>
      <c r="R44" s="1"/>
      <c r="S44" s="667"/>
      <c r="T44" s="667"/>
      <c r="U44" s="673"/>
      <c r="V44" s="1"/>
      <c r="W44" s="1"/>
      <c r="X44" s="1"/>
      <c r="Y44" s="1"/>
    </row>
    <row r="45" spans="2:25" x14ac:dyDescent="0.2">
      <c r="B45" s="1"/>
      <c r="C45" s="353"/>
      <c r="D45" s="353"/>
      <c r="E45" s="353"/>
      <c r="F45" s="353"/>
      <c r="G45" s="353"/>
      <c r="H45" s="354"/>
      <c r="I45" s="449">
        <f>SUM(I41:I44)</f>
        <v>1601323.7840000002</v>
      </c>
      <c r="J45" s="355"/>
      <c r="K45" s="353"/>
      <c r="L45" s="357">
        <f>SUM(L41:L44)</f>
        <v>1540.1</v>
      </c>
      <c r="M45" s="357">
        <f>SUM(M41:M44)</f>
        <v>28047.22</v>
      </c>
      <c r="O45" s="593">
        <f>SUM(O41:O44)</f>
        <v>29274.220799999996</v>
      </c>
      <c r="P45" s="1"/>
      <c r="Q45" s="593">
        <f>SUM(Q41:Q44)</f>
        <v>-1227.0007999999943</v>
      </c>
      <c r="R45" s="1"/>
      <c r="V45" s="1"/>
      <c r="W45" s="1"/>
      <c r="X45" s="1"/>
      <c r="Y45" s="1"/>
    </row>
    <row r="46" spans="2:25" customFormat="1" ht="15" thickBot="1" x14ac:dyDescent="0.25">
      <c r="M46" s="450"/>
      <c r="N46" s="450"/>
      <c r="O46" s="450"/>
      <c r="P46" s="450"/>
      <c r="Q46" s="450"/>
      <c r="R46" s="450"/>
      <c r="S46" s="450"/>
      <c r="T46" s="450"/>
      <c r="U46" s="450"/>
      <c r="V46" s="450"/>
      <c r="W46" s="450"/>
      <c r="X46" s="450"/>
      <c r="Y46" s="450"/>
    </row>
    <row r="47" spans="2:25" ht="15" thickBot="1" x14ac:dyDescent="0.25">
      <c r="B47" s="434" t="s">
        <v>3</v>
      </c>
      <c r="C47" s="333">
        <f>SUMIF(Tarifas!E4:E303,'Septiembre - 2017'!C49,Tarifas!D4:D303)</f>
        <v>50</v>
      </c>
      <c r="D47" s="425" t="s">
        <v>147</v>
      </c>
      <c r="E47" s="426" t="s">
        <v>145</v>
      </c>
      <c r="F47" s="426" t="s">
        <v>150</v>
      </c>
      <c r="G47" s="426" t="s">
        <v>148</v>
      </c>
      <c r="H47" s="382"/>
      <c r="I47" s="331" t="s">
        <v>120</v>
      </c>
      <c r="J47" s="332"/>
      <c r="K47" s="332"/>
      <c r="L47" s="364" t="s">
        <v>105</v>
      </c>
      <c r="M47" s="365"/>
      <c r="N47" s="365"/>
      <c r="O47" s="365"/>
      <c r="P47" s="365"/>
      <c r="Q47" s="365"/>
      <c r="R47" s="366"/>
      <c r="S47" s="2267" t="s">
        <v>121</v>
      </c>
      <c r="T47" s="2268"/>
      <c r="U47" s="2268"/>
      <c r="V47" s="2268"/>
      <c r="W47" s="2268"/>
      <c r="X47" s="2268"/>
      <c r="Y47" s="2269"/>
    </row>
    <row r="48" spans="2:25" ht="33.75" x14ac:dyDescent="0.2">
      <c r="C48" s="383" t="s">
        <v>122</v>
      </c>
      <c r="D48" s="384" t="s">
        <v>125</v>
      </c>
      <c r="E48" s="385" t="s">
        <v>149</v>
      </c>
      <c r="F48" s="385" t="s">
        <v>151</v>
      </c>
      <c r="G48" s="385" t="s">
        <v>152</v>
      </c>
      <c r="H48" s="386" t="s">
        <v>123</v>
      </c>
      <c r="I48" s="329" t="s">
        <v>109</v>
      </c>
      <c r="J48" s="330" t="s">
        <v>25</v>
      </c>
      <c r="K48" s="330" t="s">
        <v>26</v>
      </c>
      <c r="L48" s="367" t="s">
        <v>115</v>
      </c>
      <c r="M48" s="362" t="s">
        <v>106</v>
      </c>
      <c r="N48" s="362" t="s">
        <v>107</v>
      </c>
      <c r="O48" s="362" t="s">
        <v>108</v>
      </c>
      <c r="P48" s="362" t="s">
        <v>115</v>
      </c>
      <c r="Q48" s="363" t="s">
        <v>116</v>
      </c>
      <c r="R48" s="368" t="s">
        <v>117</v>
      </c>
      <c r="S48" s="561" t="s">
        <v>207</v>
      </c>
      <c r="T48" s="370"/>
      <c r="U48" s="370" t="s">
        <v>112</v>
      </c>
      <c r="V48" s="371" t="s">
        <v>118</v>
      </c>
      <c r="W48" s="371" t="s">
        <v>119</v>
      </c>
      <c r="X48" s="371" t="s">
        <v>114</v>
      </c>
      <c r="Y48" s="372" t="s">
        <v>113</v>
      </c>
    </row>
    <row r="49" spans="3:25" x14ac:dyDescent="0.2">
      <c r="C49" s="387">
        <f>G7</f>
        <v>42979</v>
      </c>
      <c r="D49" s="388">
        <f>($F$24*$H$24)/$G$24</f>
        <v>155314.35733333332</v>
      </c>
      <c r="E49" s="389">
        <f>P49+Q49+R49</f>
        <v>75247.210000000006</v>
      </c>
      <c r="F49" s="427">
        <f>TRUNC(IFERROR(J$24/K$24,0),8)</f>
        <v>0.96176762000000005</v>
      </c>
      <c r="G49" s="390">
        <f>ROUND(I$24*F49*E49,4)</f>
        <v>72.3703</v>
      </c>
      <c r="H49" s="391">
        <f t="shared" ref="H49:H78" si="0">SUM(D49:G49)</f>
        <v>230634.89940095332</v>
      </c>
      <c r="I49" s="324">
        <v>71086</v>
      </c>
      <c r="J49" s="325"/>
      <c r="K49" s="325"/>
      <c r="L49" s="317">
        <v>75247.210000000006</v>
      </c>
      <c r="M49" s="318"/>
      <c r="N49" s="318"/>
      <c r="O49" s="318"/>
      <c r="P49" s="389">
        <f>L49</f>
        <v>75247.210000000006</v>
      </c>
      <c r="Q49" s="389">
        <f t="shared" ref="Q49:Q78" si="1">M49+N49</f>
        <v>0</v>
      </c>
      <c r="R49" s="389">
        <f t="shared" ref="R49:R78" si="2">O49</f>
        <v>0</v>
      </c>
      <c r="S49" s="532">
        <v>62000.04</v>
      </c>
      <c r="T49" s="374"/>
      <c r="U49" s="520">
        <f t="shared" ref="U49:U78" si="3">S49+T49-V49</f>
        <v>-9085.9599999999991</v>
      </c>
      <c r="V49" s="520">
        <f>I49+J49+K49</f>
        <v>71086</v>
      </c>
      <c r="W49" s="520">
        <f>(P49+Q49+R49)*1.055056</f>
        <v>79390.020393760002</v>
      </c>
      <c r="X49" s="520">
        <f>V49-W49</f>
        <v>-8304.0203937600018</v>
      </c>
      <c r="Y49" s="525">
        <f>AL46+X49</f>
        <v>-8304.0203937600018</v>
      </c>
    </row>
    <row r="50" spans="3:25" x14ac:dyDescent="0.2">
      <c r="C50" s="387">
        <f t="shared" ref="C50:C78" si="4">C49+1</f>
        <v>42980</v>
      </c>
      <c r="D50" s="388">
        <f t="shared" ref="D50:D78" si="5">($F$24*$H$24)/$G$24</f>
        <v>155314.35733333332</v>
      </c>
      <c r="E50" s="392">
        <f t="shared" ref="E50:E78" si="6">P50+Q50+R50</f>
        <v>73124.05</v>
      </c>
      <c r="F50" s="428">
        <f t="shared" ref="F50:F78" si="7">TRUNC(IFERROR(J$24/K$24,0),8)</f>
        <v>0.96176762000000005</v>
      </c>
      <c r="G50" s="390">
        <f t="shared" ref="G50:G78" si="8">ROUND(I$24*F50*E50,4)</f>
        <v>70.328299999999999</v>
      </c>
      <c r="H50" s="391">
        <f t="shared" si="0"/>
        <v>228509.69740095333</v>
      </c>
      <c r="I50" s="324">
        <v>69664</v>
      </c>
      <c r="J50" s="325"/>
      <c r="K50" s="325"/>
      <c r="L50" s="319">
        <v>73124.05</v>
      </c>
      <c r="M50" s="320"/>
      <c r="N50" s="320"/>
      <c r="O50" s="320"/>
      <c r="P50" s="392">
        <f t="shared" ref="P50:P78" si="9">L50</f>
        <v>73124.05</v>
      </c>
      <c r="Q50" s="392">
        <f t="shared" si="1"/>
        <v>0</v>
      </c>
      <c r="R50" s="392">
        <f t="shared" si="2"/>
        <v>0</v>
      </c>
      <c r="S50" s="532">
        <v>62000.04</v>
      </c>
      <c r="T50" s="374"/>
      <c r="U50" s="520">
        <f t="shared" si="3"/>
        <v>-7663.9599999999991</v>
      </c>
      <c r="V50" s="520">
        <f t="shared" ref="V50:V78" si="10">I50+J50+K50</f>
        <v>69664</v>
      </c>
      <c r="W50" s="520">
        <f t="shared" ref="W50:W78" si="11">(P50+Q50+R50)*1.055056</f>
        <v>77149.967696799999</v>
      </c>
      <c r="X50" s="520">
        <f t="shared" ref="X50:X78" si="12">V50-W50</f>
        <v>-7485.9676967999985</v>
      </c>
      <c r="Y50" s="525">
        <f>Y49+X50</f>
        <v>-15789.98809056</v>
      </c>
    </row>
    <row r="51" spans="3:25" x14ac:dyDescent="0.2">
      <c r="C51" s="387">
        <f t="shared" si="4"/>
        <v>42981</v>
      </c>
      <c r="D51" s="388">
        <f t="shared" si="5"/>
        <v>155314.35733333332</v>
      </c>
      <c r="E51" s="392">
        <f t="shared" si="6"/>
        <v>72690.245999999999</v>
      </c>
      <c r="F51" s="428">
        <f t="shared" si="7"/>
        <v>0.96176762000000005</v>
      </c>
      <c r="G51" s="390">
        <f t="shared" si="8"/>
        <v>69.911100000000005</v>
      </c>
      <c r="H51" s="391">
        <f t="shared" si="0"/>
        <v>228075.47620095333</v>
      </c>
      <c r="I51" s="324">
        <v>69664</v>
      </c>
      <c r="J51" s="325"/>
      <c r="K51" s="325"/>
      <c r="L51" s="317">
        <v>72690.245999999999</v>
      </c>
      <c r="M51" s="318"/>
      <c r="N51" s="318"/>
      <c r="O51" s="318"/>
      <c r="P51" s="392">
        <f t="shared" si="9"/>
        <v>72690.245999999999</v>
      </c>
      <c r="Q51" s="392">
        <f t="shared" si="1"/>
        <v>0</v>
      </c>
      <c r="R51" s="392">
        <f t="shared" si="2"/>
        <v>0</v>
      </c>
      <c r="S51" s="532">
        <v>62000.04</v>
      </c>
      <c r="T51" s="374"/>
      <c r="U51" s="520">
        <f t="shared" si="3"/>
        <v>-7663.9599999999991</v>
      </c>
      <c r="V51" s="520">
        <f t="shared" si="10"/>
        <v>69664</v>
      </c>
      <c r="W51" s="520">
        <f t="shared" si="11"/>
        <v>76692.280183776005</v>
      </c>
      <c r="X51" s="520">
        <f t="shared" si="12"/>
        <v>-7028.2801837760053</v>
      </c>
      <c r="Y51" s="525">
        <f t="shared" ref="Y51:Y78" si="13">Y50+X51</f>
        <v>-22818.268274336006</v>
      </c>
    </row>
    <row r="52" spans="3:25" x14ac:dyDescent="0.2">
      <c r="C52" s="387">
        <f t="shared" si="4"/>
        <v>42982</v>
      </c>
      <c r="D52" s="388">
        <f t="shared" si="5"/>
        <v>155314.35733333332</v>
      </c>
      <c r="E52" s="392">
        <f t="shared" si="6"/>
        <v>74354.69</v>
      </c>
      <c r="F52" s="428">
        <f t="shared" si="7"/>
        <v>0.96176762000000005</v>
      </c>
      <c r="G52" s="390">
        <f t="shared" si="8"/>
        <v>71.511899999999997</v>
      </c>
      <c r="H52" s="391">
        <f t="shared" si="0"/>
        <v>229741.52100095333</v>
      </c>
      <c r="I52" s="324">
        <v>69664</v>
      </c>
      <c r="J52" s="325"/>
      <c r="K52" s="325"/>
      <c r="L52" s="319">
        <v>74354.69</v>
      </c>
      <c r="M52" s="320"/>
      <c r="N52" s="320"/>
      <c r="O52" s="320"/>
      <c r="P52" s="392">
        <f t="shared" si="9"/>
        <v>74354.69</v>
      </c>
      <c r="Q52" s="392">
        <f t="shared" si="1"/>
        <v>0</v>
      </c>
      <c r="R52" s="392">
        <f t="shared" si="2"/>
        <v>0</v>
      </c>
      <c r="S52" s="532">
        <v>60000</v>
      </c>
      <c r="T52" s="374"/>
      <c r="U52" s="520">
        <f t="shared" si="3"/>
        <v>-9664</v>
      </c>
      <c r="V52" s="520">
        <f t="shared" si="10"/>
        <v>69664</v>
      </c>
      <c r="W52" s="520">
        <f t="shared" si="11"/>
        <v>78448.361812639996</v>
      </c>
      <c r="X52" s="520">
        <f t="shared" si="12"/>
        <v>-8784.3618126399961</v>
      </c>
      <c r="Y52" s="525">
        <f t="shared" si="13"/>
        <v>-31602.630086976002</v>
      </c>
    </row>
    <row r="53" spans="3:25" x14ac:dyDescent="0.2">
      <c r="C53" s="387">
        <f t="shared" si="4"/>
        <v>42983</v>
      </c>
      <c r="D53" s="388">
        <f t="shared" si="5"/>
        <v>155314.35733333332</v>
      </c>
      <c r="E53" s="392">
        <f t="shared" si="6"/>
        <v>75761.399999999994</v>
      </c>
      <c r="F53" s="428">
        <f t="shared" si="7"/>
        <v>0.96176762000000005</v>
      </c>
      <c r="G53" s="390">
        <f t="shared" si="8"/>
        <v>72.864900000000006</v>
      </c>
      <c r="H53" s="391">
        <f t="shared" si="0"/>
        <v>231149.5840009533</v>
      </c>
      <c r="I53" s="324">
        <v>69664</v>
      </c>
      <c r="J53" s="325"/>
      <c r="K53" s="325"/>
      <c r="L53" s="317">
        <v>75761.399999999994</v>
      </c>
      <c r="M53" s="318"/>
      <c r="N53" s="318"/>
      <c r="O53" s="318"/>
      <c r="P53" s="392">
        <f t="shared" si="9"/>
        <v>75761.399999999994</v>
      </c>
      <c r="Q53" s="392">
        <f t="shared" si="1"/>
        <v>0</v>
      </c>
      <c r="R53" s="392">
        <f t="shared" si="2"/>
        <v>0</v>
      </c>
      <c r="S53" s="532">
        <v>60000</v>
      </c>
      <c r="T53" s="374"/>
      <c r="U53" s="520">
        <f t="shared" si="3"/>
        <v>-9664</v>
      </c>
      <c r="V53" s="520">
        <f t="shared" si="10"/>
        <v>69664</v>
      </c>
      <c r="W53" s="520">
        <f t="shared" si="11"/>
        <v>79932.519638399986</v>
      </c>
      <c r="X53" s="520">
        <f t="shared" si="12"/>
        <v>-10268.519638399986</v>
      </c>
      <c r="Y53" s="525">
        <f t="shared" si="13"/>
        <v>-41871.149725375988</v>
      </c>
    </row>
    <row r="54" spans="3:25" x14ac:dyDescent="0.2">
      <c r="C54" s="387">
        <f t="shared" si="4"/>
        <v>42984</v>
      </c>
      <c r="D54" s="388">
        <f t="shared" si="5"/>
        <v>155314.35733333332</v>
      </c>
      <c r="E54" s="392">
        <f t="shared" si="6"/>
        <v>75944.7</v>
      </c>
      <c r="F54" s="428">
        <f t="shared" si="7"/>
        <v>0.96176762000000005</v>
      </c>
      <c r="G54" s="390">
        <f t="shared" si="8"/>
        <v>73.041200000000003</v>
      </c>
      <c r="H54" s="391">
        <f t="shared" si="0"/>
        <v>231333.06030095331</v>
      </c>
      <c r="I54" s="324">
        <v>69547</v>
      </c>
      <c r="J54" s="325"/>
      <c r="K54" s="325"/>
      <c r="L54" s="319">
        <v>75944.7</v>
      </c>
      <c r="M54" s="320"/>
      <c r="N54" s="320"/>
      <c r="O54" s="320"/>
      <c r="P54" s="392">
        <f t="shared" si="9"/>
        <v>75944.7</v>
      </c>
      <c r="Q54" s="392">
        <f t="shared" si="1"/>
        <v>0</v>
      </c>
      <c r="R54" s="392">
        <f t="shared" si="2"/>
        <v>0</v>
      </c>
      <c r="S54" s="532">
        <v>60000</v>
      </c>
      <c r="T54" s="374"/>
      <c r="U54" s="520">
        <f t="shared" si="3"/>
        <v>-9547</v>
      </c>
      <c r="V54" s="520">
        <f t="shared" si="10"/>
        <v>69547</v>
      </c>
      <c r="W54" s="520">
        <f t="shared" si="11"/>
        <v>80125.911403199992</v>
      </c>
      <c r="X54" s="520">
        <f t="shared" si="12"/>
        <v>-10578.911403199992</v>
      </c>
      <c r="Y54" s="525">
        <f t="shared" si="13"/>
        <v>-52450.061128575981</v>
      </c>
    </row>
    <row r="55" spans="3:25" x14ac:dyDescent="0.2">
      <c r="C55" s="387">
        <f t="shared" si="4"/>
        <v>42985</v>
      </c>
      <c r="D55" s="388">
        <f t="shared" si="5"/>
        <v>155314.35733333332</v>
      </c>
      <c r="E55" s="392">
        <f t="shared" si="6"/>
        <v>74401.27</v>
      </c>
      <c r="F55" s="428">
        <f t="shared" si="7"/>
        <v>0.96176762000000005</v>
      </c>
      <c r="G55" s="390">
        <f t="shared" si="8"/>
        <v>71.556700000000006</v>
      </c>
      <c r="H55" s="391">
        <f t="shared" si="0"/>
        <v>229788.14580095329</v>
      </c>
      <c r="I55" s="324">
        <v>69190</v>
      </c>
      <c r="J55" s="325"/>
      <c r="K55" s="325"/>
      <c r="L55" s="317">
        <v>74401.27</v>
      </c>
      <c r="M55" s="318"/>
      <c r="N55" s="318"/>
      <c r="O55" s="318"/>
      <c r="P55" s="392">
        <f t="shared" si="9"/>
        <v>74401.27</v>
      </c>
      <c r="Q55" s="392">
        <f t="shared" si="1"/>
        <v>0</v>
      </c>
      <c r="R55" s="392">
        <f t="shared" si="2"/>
        <v>0</v>
      </c>
      <c r="S55" s="532">
        <v>62000.04</v>
      </c>
      <c r="T55" s="374"/>
      <c r="U55" s="520">
        <f t="shared" si="3"/>
        <v>-7189.9599999999991</v>
      </c>
      <c r="V55" s="520">
        <f t="shared" si="10"/>
        <v>69190</v>
      </c>
      <c r="W55" s="520">
        <f t="shared" si="11"/>
        <v>78497.506321120003</v>
      </c>
      <c r="X55" s="520">
        <f t="shared" si="12"/>
        <v>-9307.5063211200031</v>
      </c>
      <c r="Y55" s="525">
        <f t="shared" si="13"/>
        <v>-61757.567449695984</v>
      </c>
    </row>
    <row r="56" spans="3:25" x14ac:dyDescent="0.2">
      <c r="C56" s="387">
        <f t="shared" si="4"/>
        <v>42986</v>
      </c>
      <c r="D56" s="388">
        <f t="shared" si="5"/>
        <v>155314.35733333332</v>
      </c>
      <c r="E56" s="392">
        <f t="shared" si="6"/>
        <v>74379.91</v>
      </c>
      <c r="F56" s="428">
        <f t="shared" si="7"/>
        <v>0.96176762000000005</v>
      </c>
      <c r="G56" s="390">
        <f t="shared" si="8"/>
        <v>71.536199999999994</v>
      </c>
      <c r="H56" s="391">
        <f t="shared" si="0"/>
        <v>229766.76530095332</v>
      </c>
      <c r="I56" s="324">
        <v>70612</v>
      </c>
      <c r="J56" s="325"/>
      <c r="K56" s="325"/>
      <c r="L56" s="319">
        <v>74379.91</v>
      </c>
      <c r="M56" s="320"/>
      <c r="N56" s="320"/>
      <c r="O56" s="320"/>
      <c r="P56" s="392">
        <f t="shared" si="9"/>
        <v>74379.91</v>
      </c>
      <c r="Q56" s="392">
        <f t="shared" si="1"/>
        <v>0</v>
      </c>
      <c r="R56" s="392">
        <f t="shared" si="2"/>
        <v>0</v>
      </c>
      <c r="S56" s="532">
        <v>62000.04</v>
      </c>
      <c r="T56" s="374"/>
      <c r="U56" s="520">
        <f t="shared" si="3"/>
        <v>-8611.9599999999991</v>
      </c>
      <c r="V56" s="520">
        <f t="shared" si="10"/>
        <v>70612</v>
      </c>
      <c r="W56" s="520">
        <f t="shared" si="11"/>
        <v>78474.970324959999</v>
      </c>
      <c r="X56" s="520">
        <f t="shared" si="12"/>
        <v>-7862.9703249599988</v>
      </c>
      <c r="Y56" s="525">
        <f t="shared" si="13"/>
        <v>-69620.537774655983</v>
      </c>
    </row>
    <row r="57" spans="3:25" x14ac:dyDescent="0.2">
      <c r="C57" s="387">
        <f t="shared" si="4"/>
        <v>42987</v>
      </c>
      <c r="D57" s="388">
        <f t="shared" si="5"/>
        <v>155314.35733333332</v>
      </c>
      <c r="E57" s="392">
        <f t="shared" si="6"/>
        <v>73634.039999999994</v>
      </c>
      <c r="F57" s="428">
        <f t="shared" si="7"/>
        <v>0.96176762000000005</v>
      </c>
      <c r="G57" s="390">
        <f t="shared" si="8"/>
        <v>70.818799999999996</v>
      </c>
      <c r="H57" s="391">
        <f t="shared" si="0"/>
        <v>229020.17790095333</v>
      </c>
      <c r="I57" s="324">
        <v>69348</v>
      </c>
      <c r="J57" s="325"/>
      <c r="K57" s="325"/>
      <c r="L57" s="317">
        <v>73634.039999999994</v>
      </c>
      <c r="M57" s="318"/>
      <c r="N57" s="318"/>
      <c r="O57" s="318"/>
      <c r="P57" s="392">
        <f t="shared" si="9"/>
        <v>73634.039999999994</v>
      </c>
      <c r="Q57" s="392">
        <f t="shared" si="1"/>
        <v>0</v>
      </c>
      <c r="R57" s="392">
        <f t="shared" si="2"/>
        <v>0</v>
      </c>
      <c r="S57" s="532">
        <v>62000.04</v>
      </c>
      <c r="T57" s="374"/>
      <c r="U57" s="520">
        <f t="shared" si="3"/>
        <v>-7347.9599999999991</v>
      </c>
      <c r="V57" s="520">
        <f t="shared" si="10"/>
        <v>69348</v>
      </c>
      <c r="W57" s="520">
        <f t="shared" si="11"/>
        <v>77688.03570624</v>
      </c>
      <c r="X57" s="520">
        <f t="shared" si="12"/>
        <v>-8340.0357062399999</v>
      </c>
      <c r="Y57" s="525">
        <f t="shared" si="13"/>
        <v>-77960.573480895982</v>
      </c>
    </row>
    <row r="58" spans="3:25" x14ac:dyDescent="0.2">
      <c r="C58" s="387">
        <f t="shared" si="4"/>
        <v>42988</v>
      </c>
      <c r="D58" s="388">
        <f t="shared" si="5"/>
        <v>155314.35733333332</v>
      </c>
      <c r="E58" s="392">
        <f t="shared" si="6"/>
        <v>72658.27</v>
      </c>
      <c r="F58" s="428">
        <f t="shared" si="7"/>
        <v>0.96176762000000005</v>
      </c>
      <c r="G58" s="390">
        <f t="shared" si="8"/>
        <v>69.880399999999995</v>
      </c>
      <c r="H58" s="391">
        <f t="shared" si="0"/>
        <v>228043.4695009533</v>
      </c>
      <c r="I58" s="324">
        <v>69348</v>
      </c>
      <c r="J58" s="325"/>
      <c r="K58" s="325"/>
      <c r="L58" s="319">
        <v>72658.27</v>
      </c>
      <c r="M58" s="320"/>
      <c r="N58" s="320"/>
      <c r="O58" s="320"/>
      <c r="P58" s="392">
        <f t="shared" si="9"/>
        <v>72658.27</v>
      </c>
      <c r="Q58" s="392">
        <f t="shared" si="1"/>
        <v>0</v>
      </c>
      <c r="R58" s="392">
        <f t="shared" si="2"/>
        <v>0</v>
      </c>
      <c r="S58" s="532">
        <v>62000.04</v>
      </c>
      <c r="T58" s="374"/>
      <c r="U58" s="520">
        <f t="shared" si="3"/>
        <v>-7347.9599999999991</v>
      </c>
      <c r="V58" s="520">
        <f t="shared" si="10"/>
        <v>69348</v>
      </c>
      <c r="W58" s="520">
        <f t="shared" si="11"/>
        <v>76658.543713120001</v>
      </c>
      <c r="X58" s="520">
        <f t="shared" si="12"/>
        <v>-7310.5437131200015</v>
      </c>
      <c r="Y58" s="525">
        <f t="shared" si="13"/>
        <v>-85271.117194015984</v>
      </c>
    </row>
    <row r="59" spans="3:25" x14ac:dyDescent="0.2">
      <c r="C59" s="387">
        <f t="shared" si="4"/>
        <v>42989</v>
      </c>
      <c r="D59" s="388">
        <f t="shared" si="5"/>
        <v>155314.35733333332</v>
      </c>
      <c r="E59" s="392">
        <f t="shared" si="6"/>
        <v>73824.11</v>
      </c>
      <c r="F59" s="428">
        <f t="shared" si="7"/>
        <v>0.96176762000000005</v>
      </c>
      <c r="G59" s="390">
        <f t="shared" si="8"/>
        <v>71.001599999999996</v>
      </c>
      <c r="H59" s="391">
        <f t="shared" si="0"/>
        <v>229210.43070095332</v>
      </c>
      <c r="I59" s="324">
        <v>69348</v>
      </c>
      <c r="J59" s="325"/>
      <c r="K59" s="325"/>
      <c r="L59" s="317">
        <v>73824.11</v>
      </c>
      <c r="M59" s="318"/>
      <c r="N59" s="318"/>
      <c r="O59" s="318"/>
      <c r="P59" s="392">
        <f t="shared" si="9"/>
        <v>73824.11</v>
      </c>
      <c r="Q59" s="392">
        <f t="shared" si="1"/>
        <v>0</v>
      </c>
      <c r="R59" s="392">
        <f t="shared" si="2"/>
        <v>0</v>
      </c>
      <c r="S59" s="532">
        <v>62000.04</v>
      </c>
      <c r="T59" s="374"/>
      <c r="U59" s="520">
        <f t="shared" si="3"/>
        <v>-7347.9599999999991</v>
      </c>
      <c r="V59" s="520">
        <f t="shared" si="10"/>
        <v>69348</v>
      </c>
      <c r="W59" s="520">
        <f t="shared" si="11"/>
        <v>77888.57020016</v>
      </c>
      <c r="X59" s="520">
        <f t="shared" si="12"/>
        <v>-8540.5702001600002</v>
      </c>
      <c r="Y59" s="525">
        <f t="shared" si="13"/>
        <v>-93811.687394175984</v>
      </c>
    </row>
    <row r="60" spans="3:25" x14ac:dyDescent="0.2">
      <c r="C60" s="387">
        <f t="shared" si="4"/>
        <v>42990</v>
      </c>
      <c r="D60" s="388">
        <f t="shared" si="5"/>
        <v>155314.35733333332</v>
      </c>
      <c r="E60" s="392">
        <f t="shared" si="6"/>
        <v>74324.990000000005</v>
      </c>
      <c r="F60" s="428">
        <f t="shared" si="7"/>
        <v>0.96176762000000005</v>
      </c>
      <c r="G60" s="390">
        <f t="shared" si="8"/>
        <v>71.483400000000003</v>
      </c>
      <c r="H60" s="391">
        <f t="shared" si="0"/>
        <v>229711.79250095334</v>
      </c>
      <c r="I60" s="324">
        <v>68716</v>
      </c>
      <c r="J60" s="325"/>
      <c r="K60" s="325"/>
      <c r="L60" s="319">
        <v>74324.990000000005</v>
      </c>
      <c r="M60" s="320"/>
      <c r="N60" s="320"/>
      <c r="O60" s="320"/>
      <c r="P60" s="392">
        <f t="shared" si="9"/>
        <v>74324.990000000005</v>
      </c>
      <c r="Q60" s="392">
        <f t="shared" si="1"/>
        <v>0</v>
      </c>
      <c r="R60" s="392">
        <f t="shared" si="2"/>
        <v>0</v>
      </c>
      <c r="S60" s="532">
        <v>62000.04</v>
      </c>
      <c r="T60" s="374"/>
      <c r="U60" s="520">
        <f t="shared" si="3"/>
        <v>-6715.9599999999991</v>
      </c>
      <c r="V60" s="520">
        <f t="shared" si="10"/>
        <v>68716</v>
      </c>
      <c r="W60" s="520">
        <f t="shared" si="11"/>
        <v>78417.026649439998</v>
      </c>
      <c r="X60" s="520">
        <f t="shared" si="12"/>
        <v>-9701.0266494399984</v>
      </c>
      <c r="Y60" s="525">
        <f t="shared" si="13"/>
        <v>-103512.71404361598</v>
      </c>
    </row>
    <row r="61" spans="3:25" x14ac:dyDescent="0.2">
      <c r="C61" s="387">
        <f t="shared" si="4"/>
        <v>42991</v>
      </c>
      <c r="D61" s="388">
        <f t="shared" si="5"/>
        <v>155314.35733333332</v>
      </c>
      <c r="E61" s="392">
        <f t="shared" si="6"/>
        <v>74066.944000000003</v>
      </c>
      <c r="F61" s="428">
        <f t="shared" si="7"/>
        <v>0.96176762000000005</v>
      </c>
      <c r="G61" s="390">
        <f t="shared" si="8"/>
        <v>71.235200000000006</v>
      </c>
      <c r="H61" s="391">
        <f t="shared" si="0"/>
        <v>229453.4983009533</v>
      </c>
      <c r="I61" s="324">
        <v>69190</v>
      </c>
      <c r="J61" s="325"/>
      <c r="K61" s="325"/>
      <c r="L61" s="317">
        <v>74066.944000000003</v>
      </c>
      <c r="M61" s="318"/>
      <c r="N61" s="318"/>
      <c r="O61" s="318"/>
      <c r="P61" s="392">
        <f t="shared" si="9"/>
        <v>74066.944000000003</v>
      </c>
      <c r="Q61" s="392">
        <f t="shared" si="1"/>
        <v>0</v>
      </c>
      <c r="R61" s="392">
        <f t="shared" si="2"/>
        <v>0</v>
      </c>
      <c r="S61" s="532">
        <v>62000.04</v>
      </c>
      <c r="T61" s="374"/>
      <c r="U61" s="520">
        <f t="shared" si="3"/>
        <v>-7189.9599999999991</v>
      </c>
      <c r="V61" s="520">
        <f t="shared" si="10"/>
        <v>69190</v>
      </c>
      <c r="W61" s="520">
        <f t="shared" si="11"/>
        <v>78144.773668864</v>
      </c>
      <c r="X61" s="520">
        <f t="shared" si="12"/>
        <v>-8954.7736688639998</v>
      </c>
      <c r="Y61" s="525">
        <f t="shared" si="13"/>
        <v>-112467.48771247998</v>
      </c>
    </row>
    <row r="62" spans="3:25" x14ac:dyDescent="0.2">
      <c r="C62" s="387">
        <f t="shared" si="4"/>
        <v>42992</v>
      </c>
      <c r="D62" s="388">
        <f t="shared" si="5"/>
        <v>155314.35733333332</v>
      </c>
      <c r="E62" s="392">
        <f t="shared" si="6"/>
        <v>75695.23</v>
      </c>
      <c r="F62" s="428">
        <f t="shared" si="7"/>
        <v>0.96176762000000005</v>
      </c>
      <c r="G62" s="390">
        <f t="shared" si="8"/>
        <v>72.801199999999994</v>
      </c>
      <c r="H62" s="391">
        <f t="shared" si="0"/>
        <v>231083.35030095332</v>
      </c>
      <c r="I62" s="324">
        <v>70138</v>
      </c>
      <c r="J62" s="325"/>
      <c r="K62" s="325"/>
      <c r="L62" s="319">
        <v>75695.23</v>
      </c>
      <c r="M62" s="320"/>
      <c r="N62" s="320"/>
      <c r="O62" s="320"/>
      <c r="P62" s="392">
        <f t="shared" si="9"/>
        <v>75695.23</v>
      </c>
      <c r="Q62" s="392">
        <f t="shared" si="1"/>
        <v>0</v>
      </c>
      <c r="R62" s="392">
        <f t="shared" si="2"/>
        <v>0</v>
      </c>
      <c r="S62" s="532">
        <v>62000.04</v>
      </c>
      <c r="T62" s="374"/>
      <c r="U62" s="520">
        <f t="shared" si="3"/>
        <v>-8137.9599999999991</v>
      </c>
      <c r="V62" s="520">
        <f t="shared" si="10"/>
        <v>70138</v>
      </c>
      <c r="W62" s="520">
        <f t="shared" si="11"/>
        <v>79862.706582879997</v>
      </c>
      <c r="X62" s="520">
        <f t="shared" si="12"/>
        <v>-9724.7065828799969</v>
      </c>
      <c r="Y62" s="525">
        <f t="shared" si="13"/>
        <v>-122192.19429535998</v>
      </c>
    </row>
    <row r="63" spans="3:25" x14ac:dyDescent="0.2">
      <c r="C63" s="387">
        <f t="shared" si="4"/>
        <v>42993</v>
      </c>
      <c r="D63" s="388">
        <f t="shared" si="5"/>
        <v>155314.35733333332</v>
      </c>
      <c r="E63" s="392">
        <f t="shared" si="6"/>
        <v>75140.05</v>
      </c>
      <c r="F63" s="428">
        <f t="shared" si="7"/>
        <v>0.96176762000000005</v>
      </c>
      <c r="G63" s="390">
        <f t="shared" si="8"/>
        <v>72.267300000000006</v>
      </c>
      <c r="H63" s="391">
        <f t="shared" si="0"/>
        <v>230527.63640095334</v>
      </c>
      <c r="I63" s="324">
        <v>68953</v>
      </c>
      <c r="J63" s="325"/>
      <c r="K63" s="325"/>
      <c r="L63" s="317">
        <v>75140.05</v>
      </c>
      <c r="M63" s="318"/>
      <c r="N63" s="318"/>
      <c r="O63" s="318"/>
      <c r="P63" s="392">
        <f t="shared" si="9"/>
        <v>75140.05</v>
      </c>
      <c r="Q63" s="392">
        <f t="shared" si="1"/>
        <v>0</v>
      </c>
      <c r="R63" s="392">
        <f t="shared" si="2"/>
        <v>0</v>
      </c>
      <c r="S63" s="532">
        <v>68000.13</v>
      </c>
      <c r="T63" s="374"/>
      <c r="U63" s="520">
        <f t="shared" si="3"/>
        <v>-952.86999999999534</v>
      </c>
      <c r="V63" s="520">
        <f t="shared" si="10"/>
        <v>68953</v>
      </c>
      <c r="W63" s="520">
        <f t="shared" si="11"/>
        <v>79276.960592800009</v>
      </c>
      <c r="X63" s="520">
        <f t="shared" si="12"/>
        <v>-10323.960592800009</v>
      </c>
      <c r="Y63" s="525">
        <f t="shared" si="13"/>
        <v>-132516.15488816</v>
      </c>
    </row>
    <row r="64" spans="3:25" x14ac:dyDescent="0.2">
      <c r="C64" s="387">
        <f t="shared" si="4"/>
        <v>42994</v>
      </c>
      <c r="D64" s="388">
        <f t="shared" si="5"/>
        <v>155314.35733333332</v>
      </c>
      <c r="E64" s="392">
        <f t="shared" si="6"/>
        <v>72549.660999999993</v>
      </c>
      <c r="F64" s="428">
        <f t="shared" si="7"/>
        <v>0.96176762000000005</v>
      </c>
      <c r="G64" s="390">
        <f t="shared" si="8"/>
        <v>69.775899999999993</v>
      </c>
      <c r="H64" s="391">
        <f t="shared" si="0"/>
        <v>227934.75600095332</v>
      </c>
      <c r="I64" s="324">
        <v>68953</v>
      </c>
      <c r="J64" s="325"/>
      <c r="K64" s="325"/>
      <c r="L64" s="319">
        <v>72549.660999999993</v>
      </c>
      <c r="M64" s="320"/>
      <c r="N64" s="320"/>
      <c r="O64" s="320"/>
      <c r="P64" s="392">
        <f t="shared" si="9"/>
        <v>72549.660999999993</v>
      </c>
      <c r="Q64" s="392">
        <f t="shared" si="1"/>
        <v>0</v>
      </c>
      <c r="R64" s="392">
        <f t="shared" si="2"/>
        <v>0</v>
      </c>
      <c r="S64" s="532">
        <v>68000.13</v>
      </c>
      <c r="T64" s="374"/>
      <c r="U64" s="520">
        <f t="shared" si="3"/>
        <v>-952.86999999999534</v>
      </c>
      <c r="V64" s="520">
        <f t="shared" si="10"/>
        <v>68953</v>
      </c>
      <c r="W64" s="520">
        <f t="shared" si="11"/>
        <v>76543.955136015997</v>
      </c>
      <c r="X64" s="520">
        <f t="shared" si="12"/>
        <v>-7590.9551360159967</v>
      </c>
      <c r="Y64" s="525">
        <f t="shared" si="13"/>
        <v>-140107.11002417601</v>
      </c>
    </row>
    <row r="65" spans="3:38" x14ac:dyDescent="0.2">
      <c r="C65" s="387">
        <f t="shared" si="4"/>
        <v>42995</v>
      </c>
      <c r="D65" s="388">
        <f t="shared" si="5"/>
        <v>155314.35733333332</v>
      </c>
      <c r="E65" s="392">
        <f t="shared" si="6"/>
        <v>73009.259999999995</v>
      </c>
      <c r="F65" s="428">
        <f t="shared" si="7"/>
        <v>0.96176762000000005</v>
      </c>
      <c r="G65" s="390">
        <f t="shared" si="8"/>
        <v>70.2179</v>
      </c>
      <c r="H65" s="391">
        <f t="shared" si="0"/>
        <v>228394.79700095329</v>
      </c>
      <c r="I65" s="324">
        <v>68953</v>
      </c>
      <c r="J65" s="325"/>
      <c r="K65" s="325"/>
      <c r="L65" s="317">
        <v>73009.259999999995</v>
      </c>
      <c r="M65" s="318"/>
      <c r="N65" s="318"/>
      <c r="O65" s="318"/>
      <c r="P65" s="392">
        <f t="shared" si="9"/>
        <v>73009.259999999995</v>
      </c>
      <c r="Q65" s="392">
        <f t="shared" si="1"/>
        <v>0</v>
      </c>
      <c r="R65" s="392">
        <f t="shared" si="2"/>
        <v>0</v>
      </c>
      <c r="S65" s="532">
        <v>68000.13</v>
      </c>
      <c r="T65" s="374"/>
      <c r="U65" s="520">
        <f t="shared" si="3"/>
        <v>-952.86999999999534</v>
      </c>
      <c r="V65" s="520">
        <f t="shared" si="10"/>
        <v>68953</v>
      </c>
      <c r="W65" s="520">
        <f t="shared" si="11"/>
        <v>77028.857818559991</v>
      </c>
      <c r="X65" s="520">
        <f t="shared" si="12"/>
        <v>-8075.8578185599908</v>
      </c>
      <c r="Y65" s="525">
        <f t="shared" si="13"/>
        <v>-148182.96784273599</v>
      </c>
    </row>
    <row r="66" spans="3:38" x14ac:dyDescent="0.2">
      <c r="C66" s="387">
        <f t="shared" si="4"/>
        <v>42996</v>
      </c>
      <c r="D66" s="388">
        <f t="shared" si="5"/>
        <v>155314.35733333332</v>
      </c>
      <c r="E66" s="392">
        <f t="shared" si="6"/>
        <v>72782.95</v>
      </c>
      <c r="F66" s="428">
        <f t="shared" si="7"/>
        <v>0.96176762000000005</v>
      </c>
      <c r="G66" s="390">
        <f t="shared" si="8"/>
        <v>70.000299999999996</v>
      </c>
      <c r="H66" s="391">
        <f t="shared" si="0"/>
        <v>228168.26940095332</v>
      </c>
      <c r="I66" s="324">
        <v>68953</v>
      </c>
      <c r="J66" s="325"/>
      <c r="K66" s="325"/>
      <c r="L66" s="319">
        <v>72782.95</v>
      </c>
      <c r="M66" s="320"/>
      <c r="N66" s="320"/>
      <c r="O66" s="320"/>
      <c r="P66" s="392">
        <f t="shared" si="9"/>
        <v>72782.95</v>
      </c>
      <c r="Q66" s="392">
        <f t="shared" si="1"/>
        <v>0</v>
      </c>
      <c r="R66" s="392">
        <f t="shared" si="2"/>
        <v>0</v>
      </c>
      <c r="S66" s="532">
        <v>64999.600000000006</v>
      </c>
      <c r="T66" s="374"/>
      <c r="U66" s="520">
        <f t="shared" si="3"/>
        <v>-3953.3999999999942</v>
      </c>
      <c r="V66" s="520">
        <f t="shared" si="10"/>
        <v>68953</v>
      </c>
      <c r="W66" s="520">
        <f t="shared" si="11"/>
        <v>76790.088095200001</v>
      </c>
      <c r="X66" s="520">
        <f t="shared" si="12"/>
        <v>-7837.0880952000007</v>
      </c>
      <c r="Y66" s="525">
        <f t="shared" si="13"/>
        <v>-156020.05593793601</v>
      </c>
    </row>
    <row r="67" spans="3:38" x14ac:dyDescent="0.2">
      <c r="C67" s="387">
        <f t="shared" si="4"/>
        <v>42997</v>
      </c>
      <c r="D67" s="388">
        <f t="shared" si="5"/>
        <v>155314.35733333332</v>
      </c>
      <c r="E67" s="392">
        <f t="shared" si="6"/>
        <v>74300.89</v>
      </c>
      <c r="F67" s="428">
        <f t="shared" si="7"/>
        <v>0.96176762000000005</v>
      </c>
      <c r="G67" s="390">
        <f t="shared" si="8"/>
        <v>71.4602</v>
      </c>
      <c r="H67" s="391">
        <f t="shared" si="0"/>
        <v>229687.6693009533</v>
      </c>
      <c r="I67" s="324">
        <v>39006</v>
      </c>
      <c r="J67" s="325"/>
      <c r="K67" s="325"/>
      <c r="L67" s="317">
        <v>74300.89</v>
      </c>
      <c r="M67" s="318"/>
      <c r="N67" s="318"/>
      <c r="O67" s="318"/>
      <c r="P67" s="392">
        <f t="shared" si="9"/>
        <v>74300.89</v>
      </c>
      <c r="Q67" s="392">
        <f t="shared" si="1"/>
        <v>0</v>
      </c>
      <c r="R67" s="392">
        <f t="shared" si="2"/>
        <v>0</v>
      </c>
      <c r="S67" s="532">
        <v>64999.600000000006</v>
      </c>
      <c r="T67" s="374"/>
      <c r="U67" s="520">
        <f t="shared" si="3"/>
        <v>25993.600000000006</v>
      </c>
      <c r="V67" s="520">
        <f t="shared" si="10"/>
        <v>39006</v>
      </c>
      <c r="W67" s="520">
        <f t="shared" si="11"/>
        <v>78391.599799839998</v>
      </c>
      <c r="X67" s="520">
        <f t="shared" si="12"/>
        <v>-39385.599799839998</v>
      </c>
      <c r="Y67" s="525">
        <f t="shared" si="13"/>
        <v>-195405.65573777602</v>
      </c>
    </row>
    <row r="68" spans="3:38" x14ac:dyDescent="0.2">
      <c r="C68" s="387">
        <f t="shared" si="4"/>
        <v>42998</v>
      </c>
      <c r="D68" s="388">
        <f t="shared" si="5"/>
        <v>155314.35733333332</v>
      </c>
      <c r="E68" s="392">
        <f t="shared" si="6"/>
        <v>74003.743000000002</v>
      </c>
      <c r="F68" s="428">
        <f t="shared" si="7"/>
        <v>0.96176762000000005</v>
      </c>
      <c r="G68" s="390">
        <f t="shared" si="8"/>
        <v>71.174400000000006</v>
      </c>
      <c r="H68" s="391">
        <f t="shared" si="0"/>
        <v>229390.2365009533</v>
      </c>
      <c r="I68" s="324">
        <v>69364</v>
      </c>
      <c r="J68" s="325"/>
      <c r="K68" s="325"/>
      <c r="L68" s="319">
        <v>74003.743000000002</v>
      </c>
      <c r="M68" s="320"/>
      <c r="N68" s="320"/>
      <c r="O68" s="320"/>
      <c r="P68" s="392">
        <f t="shared" si="9"/>
        <v>74003.743000000002</v>
      </c>
      <c r="Q68" s="392">
        <f t="shared" si="1"/>
        <v>0</v>
      </c>
      <c r="R68" s="392">
        <f t="shared" si="2"/>
        <v>0</v>
      </c>
      <c r="S68" s="532">
        <v>64999.600000000006</v>
      </c>
      <c r="T68" s="374"/>
      <c r="U68" s="520">
        <f t="shared" si="3"/>
        <v>-4364.3999999999942</v>
      </c>
      <c r="V68" s="520">
        <f t="shared" si="10"/>
        <v>69364</v>
      </c>
      <c r="W68" s="520">
        <f t="shared" si="11"/>
        <v>78078.093074607998</v>
      </c>
      <c r="X68" s="520">
        <f t="shared" si="12"/>
        <v>-8714.0930746079976</v>
      </c>
      <c r="Y68" s="525">
        <f t="shared" si="13"/>
        <v>-204119.74881238403</v>
      </c>
    </row>
    <row r="69" spans="3:38" x14ac:dyDescent="0.2">
      <c r="C69" s="387">
        <f t="shared" si="4"/>
        <v>42999</v>
      </c>
      <c r="D69" s="388">
        <f t="shared" si="5"/>
        <v>155314.35733333332</v>
      </c>
      <c r="E69" s="392">
        <f t="shared" si="6"/>
        <v>68387.05</v>
      </c>
      <c r="F69" s="428">
        <f t="shared" si="7"/>
        <v>0.96176762000000005</v>
      </c>
      <c r="G69" s="390">
        <f t="shared" si="8"/>
        <v>65.772499999999994</v>
      </c>
      <c r="H69" s="391">
        <f t="shared" si="0"/>
        <v>223768.14160095333</v>
      </c>
      <c r="I69" s="324">
        <v>69670</v>
      </c>
      <c r="J69" s="325"/>
      <c r="K69" s="325"/>
      <c r="L69" s="317">
        <v>68387.05</v>
      </c>
      <c r="M69" s="318"/>
      <c r="N69" s="318"/>
      <c r="O69" s="318"/>
      <c r="P69" s="392">
        <f t="shared" si="9"/>
        <v>68387.05</v>
      </c>
      <c r="Q69" s="392">
        <f t="shared" si="1"/>
        <v>0</v>
      </c>
      <c r="R69" s="392">
        <f t="shared" si="2"/>
        <v>0</v>
      </c>
      <c r="S69" s="532">
        <v>64999.600000000006</v>
      </c>
      <c r="T69" s="374"/>
      <c r="U69" s="520">
        <f t="shared" si="3"/>
        <v>-4670.3999999999942</v>
      </c>
      <c r="V69" s="520">
        <f t="shared" si="10"/>
        <v>69670</v>
      </c>
      <c r="W69" s="520">
        <f t="shared" si="11"/>
        <v>72152.167424800005</v>
      </c>
      <c r="X69" s="520">
        <f t="shared" si="12"/>
        <v>-2482.1674248000054</v>
      </c>
      <c r="Y69" s="525">
        <f t="shared" si="13"/>
        <v>-206601.91623718402</v>
      </c>
    </row>
    <row r="70" spans="3:38" x14ac:dyDescent="0.2">
      <c r="C70" s="387">
        <f t="shared" si="4"/>
        <v>43000</v>
      </c>
      <c r="D70" s="388">
        <f t="shared" si="5"/>
        <v>155314.35733333332</v>
      </c>
      <c r="E70" s="392">
        <f t="shared" si="6"/>
        <v>51043.12</v>
      </c>
      <c r="F70" s="428">
        <f t="shared" si="7"/>
        <v>0.96176762000000005</v>
      </c>
      <c r="G70" s="390">
        <f t="shared" si="8"/>
        <v>49.0916</v>
      </c>
      <c r="H70" s="391">
        <f t="shared" si="0"/>
        <v>206407.53070095333</v>
      </c>
      <c r="I70" s="324">
        <v>43997</v>
      </c>
      <c r="J70" s="325"/>
      <c r="K70" s="325"/>
      <c r="L70" s="319">
        <v>51043.12</v>
      </c>
      <c r="M70" s="320"/>
      <c r="N70" s="320"/>
      <c r="O70" s="320"/>
      <c r="P70" s="392">
        <f t="shared" si="9"/>
        <v>51043.12</v>
      </c>
      <c r="Q70" s="392">
        <f t="shared" si="1"/>
        <v>0</v>
      </c>
      <c r="R70" s="392">
        <f t="shared" si="2"/>
        <v>0</v>
      </c>
      <c r="S70" s="532">
        <v>68000.13</v>
      </c>
      <c r="T70" s="374"/>
      <c r="U70" s="520">
        <f t="shared" si="3"/>
        <v>24003.130000000005</v>
      </c>
      <c r="V70" s="520">
        <f t="shared" si="10"/>
        <v>43997</v>
      </c>
      <c r="W70" s="520">
        <f t="shared" si="11"/>
        <v>53853.350014720003</v>
      </c>
      <c r="X70" s="520">
        <f t="shared" si="12"/>
        <v>-9856.3500147200029</v>
      </c>
      <c r="Y70" s="525">
        <f t="shared" si="13"/>
        <v>-216458.26625190402</v>
      </c>
    </row>
    <row r="71" spans="3:38" x14ac:dyDescent="0.2">
      <c r="C71" s="387">
        <f t="shared" si="4"/>
        <v>43001</v>
      </c>
      <c r="D71" s="388">
        <f t="shared" si="5"/>
        <v>155314.35733333332</v>
      </c>
      <c r="E71" s="392">
        <f t="shared" si="6"/>
        <v>0</v>
      </c>
      <c r="F71" s="428">
        <f t="shared" si="7"/>
        <v>0.96176762000000005</v>
      </c>
      <c r="G71" s="390">
        <f t="shared" si="8"/>
        <v>0</v>
      </c>
      <c r="H71" s="391">
        <f t="shared" si="0"/>
        <v>155315.31910095332</v>
      </c>
      <c r="I71" s="324">
        <v>0</v>
      </c>
      <c r="J71" s="325"/>
      <c r="K71" s="325"/>
      <c r="L71" s="317">
        <v>0</v>
      </c>
      <c r="M71" s="318"/>
      <c r="N71" s="318"/>
      <c r="O71" s="318"/>
      <c r="P71" s="392">
        <f t="shared" si="9"/>
        <v>0</v>
      </c>
      <c r="Q71" s="392">
        <f t="shared" si="1"/>
        <v>0</v>
      </c>
      <c r="R71" s="392">
        <f t="shared" si="2"/>
        <v>0</v>
      </c>
      <c r="S71" s="532">
        <v>68000.13</v>
      </c>
      <c r="T71" s="374"/>
      <c r="U71" s="520">
        <f t="shared" si="3"/>
        <v>68000.13</v>
      </c>
      <c r="V71" s="520">
        <f t="shared" si="10"/>
        <v>0</v>
      </c>
      <c r="W71" s="520">
        <f t="shared" si="11"/>
        <v>0</v>
      </c>
      <c r="X71" s="520">
        <f t="shared" si="12"/>
        <v>0</v>
      </c>
      <c r="Y71" s="525">
        <f t="shared" si="13"/>
        <v>-216458.26625190402</v>
      </c>
    </row>
    <row r="72" spans="3:38" x14ac:dyDescent="0.2">
      <c r="C72" s="387">
        <f t="shared" si="4"/>
        <v>43002</v>
      </c>
      <c r="D72" s="388">
        <f t="shared" si="5"/>
        <v>155314.35733333332</v>
      </c>
      <c r="E72" s="392">
        <f t="shared" si="6"/>
        <v>0</v>
      </c>
      <c r="F72" s="428">
        <f t="shared" si="7"/>
        <v>0.96176762000000005</v>
      </c>
      <c r="G72" s="390">
        <f t="shared" si="8"/>
        <v>0</v>
      </c>
      <c r="H72" s="391">
        <f t="shared" si="0"/>
        <v>155315.31910095332</v>
      </c>
      <c r="I72" s="324">
        <v>0</v>
      </c>
      <c r="J72" s="325"/>
      <c r="K72" s="325"/>
      <c r="L72" s="319">
        <v>0</v>
      </c>
      <c r="M72" s="320"/>
      <c r="N72" s="320"/>
      <c r="O72" s="320"/>
      <c r="P72" s="392">
        <f t="shared" si="9"/>
        <v>0</v>
      </c>
      <c r="Q72" s="392">
        <f t="shared" si="1"/>
        <v>0</v>
      </c>
      <c r="R72" s="392">
        <f t="shared" si="2"/>
        <v>0</v>
      </c>
      <c r="S72" s="532">
        <v>68000.13</v>
      </c>
      <c r="T72" s="374"/>
      <c r="U72" s="520">
        <f t="shared" si="3"/>
        <v>68000.13</v>
      </c>
      <c r="V72" s="520">
        <f t="shared" si="10"/>
        <v>0</v>
      </c>
      <c r="W72" s="520">
        <f t="shared" si="11"/>
        <v>0</v>
      </c>
      <c r="X72" s="520">
        <f t="shared" si="12"/>
        <v>0</v>
      </c>
      <c r="Y72" s="525">
        <f t="shared" si="13"/>
        <v>-216458.26625190402</v>
      </c>
    </row>
    <row r="73" spans="3:38" x14ac:dyDescent="0.2">
      <c r="C73" s="387">
        <f t="shared" si="4"/>
        <v>43003</v>
      </c>
      <c r="D73" s="388">
        <f t="shared" si="5"/>
        <v>155314.35733333332</v>
      </c>
      <c r="E73" s="392">
        <f t="shared" si="6"/>
        <v>0</v>
      </c>
      <c r="F73" s="428">
        <f t="shared" si="7"/>
        <v>0.96176762000000005</v>
      </c>
      <c r="G73" s="390">
        <f t="shared" si="8"/>
        <v>0</v>
      </c>
      <c r="H73" s="391">
        <f t="shared" si="0"/>
        <v>155315.31910095332</v>
      </c>
      <c r="I73" s="324">
        <v>0</v>
      </c>
      <c r="J73" s="325"/>
      <c r="K73" s="325"/>
      <c r="L73" s="317">
        <v>0</v>
      </c>
      <c r="M73" s="318"/>
      <c r="N73" s="318"/>
      <c r="O73" s="318"/>
      <c r="P73" s="392">
        <f t="shared" si="9"/>
        <v>0</v>
      </c>
      <c r="Q73" s="392">
        <f t="shared" si="1"/>
        <v>0</v>
      </c>
      <c r="R73" s="392">
        <f t="shared" si="2"/>
        <v>0</v>
      </c>
      <c r="S73" s="532">
        <v>66999.63</v>
      </c>
      <c r="T73" s="374"/>
      <c r="U73" s="520">
        <f t="shared" si="3"/>
        <v>66999.63</v>
      </c>
      <c r="V73" s="520">
        <f t="shared" si="10"/>
        <v>0</v>
      </c>
      <c r="W73" s="520">
        <f t="shared" si="11"/>
        <v>0</v>
      </c>
      <c r="X73" s="520">
        <f t="shared" si="12"/>
        <v>0</v>
      </c>
      <c r="Y73" s="525">
        <f t="shared" si="13"/>
        <v>-216458.26625190402</v>
      </c>
    </row>
    <row r="74" spans="3:38" x14ac:dyDescent="0.2">
      <c r="C74" s="387">
        <f t="shared" si="4"/>
        <v>43004</v>
      </c>
      <c r="D74" s="388">
        <f t="shared" si="5"/>
        <v>155314.35733333332</v>
      </c>
      <c r="E74" s="392">
        <f t="shared" si="6"/>
        <v>0</v>
      </c>
      <c r="F74" s="428">
        <f t="shared" si="7"/>
        <v>0.96176762000000005</v>
      </c>
      <c r="G74" s="390">
        <f t="shared" si="8"/>
        <v>0</v>
      </c>
      <c r="H74" s="391">
        <f t="shared" si="0"/>
        <v>155315.31910095332</v>
      </c>
      <c r="I74" s="324">
        <v>0</v>
      </c>
      <c r="J74" s="325"/>
      <c r="K74" s="325"/>
      <c r="L74" s="319">
        <v>0</v>
      </c>
      <c r="M74" s="320"/>
      <c r="N74" s="320"/>
      <c r="O74" s="320"/>
      <c r="P74" s="392">
        <f t="shared" si="9"/>
        <v>0</v>
      </c>
      <c r="Q74" s="392">
        <f t="shared" si="1"/>
        <v>0</v>
      </c>
      <c r="R74" s="392">
        <f t="shared" si="2"/>
        <v>0</v>
      </c>
      <c r="S74" s="532">
        <v>66999.63</v>
      </c>
      <c r="T74" s="374"/>
      <c r="U74" s="520">
        <f t="shared" si="3"/>
        <v>66999.63</v>
      </c>
      <c r="V74" s="520">
        <f t="shared" si="10"/>
        <v>0</v>
      </c>
      <c r="W74" s="520">
        <f t="shared" si="11"/>
        <v>0</v>
      </c>
      <c r="X74" s="520">
        <f t="shared" si="12"/>
        <v>0</v>
      </c>
      <c r="Y74" s="525">
        <f t="shared" si="13"/>
        <v>-216458.26625190402</v>
      </c>
    </row>
    <row r="75" spans="3:38" x14ac:dyDescent="0.2">
      <c r="C75" s="387">
        <f t="shared" si="4"/>
        <v>43005</v>
      </c>
      <c r="D75" s="388">
        <f t="shared" si="5"/>
        <v>155314.35733333332</v>
      </c>
      <c r="E75" s="392">
        <f t="shared" si="6"/>
        <v>0</v>
      </c>
      <c r="F75" s="428">
        <f t="shared" si="7"/>
        <v>0.96176762000000005</v>
      </c>
      <c r="G75" s="390">
        <f t="shared" si="8"/>
        <v>0</v>
      </c>
      <c r="H75" s="391">
        <f t="shared" si="0"/>
        <v>155315.31910095332</v>
      </c>
      <c r="I75" s="324">
        <v>0</v>
      </c>
      <c r="J75" s="325"/>
      <c r="K75" s="325"/>
      <c r="L75" s="317">
        <v>0</v>
      </c>
      <c r="M75" s="318"/>
      <c r="N75" s="318"/>
      <c r="O75" s="318"/>
      <c r="P75" s="392">
        <f t="shared" si="9"/>
        <v>0</v>
      </c>
      <c r="Q75" s="392">
        <f t="shared" si="1"/>
        <v>0</v>
      </c>
      <c r="R75" s="392">
        <f t="shared" si="2"/>
        <v>0</v>
      </c>
      <c r="S75" s="532">
        <v>66999.63</v>
      </c>
      <c r="T75" s="374"/>
      <c r="U75" s="520">
        <f t="shared" si="3"/>
        <v>66999.63</v>
      </c>
      <c r="V75" s="520">
        <f t="shared" si="10"/>
        <v>0</v>
      </c>
      <c r="W75" s="520">
        <f t="shared" si="11"/>
        <v>0</v>
      </c>
      <c r="X75" s="520">
        <f t="shared" si="12"/>
        <v>0</v>
      </c>
      <c r="Y75" s="525">
        <f t="shared" si="13"/>
        <v>-216458.26625190402</v>
      </c>
    </row>
    <row r="76" spans="3:38" x14ac:dyDescent="0.2">
      <c r="C76" s="387">
        <f t="shared" si="4"/>
        <v>43006</v>
      </c>
      <c r="D76" s="388">
        <f t="shared" si="5"/>
        <v>155314.35733333332</v>
      </c>
      <c r="E76" s="392">
        <f t="shared" si="6"/>
        <v>0</v>
      </c>
      <c r="F76" s="428">
        <f t="shared" si="7"/>
        <v>0.96176762000000005</v>
      </c>
      <c r="G76" s="390">
        <f t="shared" si="8"/>
        <v>0</v>
      </c>
      <c r="H76" s="391">
        <f t="shared" si="0"/>
        <v>155315.31910095332</v>
      </c>
      <c r="I76" s="324">
        <v>0</v>
      </c>
      <c r="J76" s="325"/>
      <c r="K76" s="325"/>
      <c r="L76" s="319">
        <v>0</v>
      </c>
      <c r="M76" s="320"/>
      <c r="N76" s="320"/>
      <c r="O76" s="320"/>
      <c r="P76" s="392">
        <f t="shared" si="9"/>
        <v>0</v>
      </c>
      <c r="Q76" s="392">
        <f t="shared" si="1"/>
        <v>0</v>
      </c>
      <c r="R76" s="392">
        <f t="shared" si="2"/>
        <v>0</v>
      </c>
      <c r="S76" s="532">
        <v>72999.73000000001</v>
      </c>
      <c r="T76" s="374"/>
      <c r="U76" s="520">
        <f t="shared" si="3"/>
        <v>72999.73000000001</v>
      </c>
      <c r="V76" s="520">
        <f t="shared" si="10"/>
        <v>0</v>
      </c>
      <c r="W76" s="520">
        <f t="shared" si="11"/>
        <v>0</v>
      </c>
      <c r="X76" s="520">
        <f t="shared" si="12"/>
        <v>0</v>
      </c>
      <c r="Y76" s="525">
        <f t="shared" si="13"/>
        <v>-216458.26625190402</v>
      </c>
    </row>
    <row r="77" spans="3:38" x14ac:dyDescent="0.2">
      <c r="C77" s="387">
        <f t="shared" si="4"/>
        <v>43007</v>
      </c>
      <c r="D77" s="388">
        <f t="shared" si="5"/>
        <v>155314.35733333332</v>
      </c>
      <c r="E77" s="392">
        <f t="shared" si="6"/>
        <v>0</v>
      </c>
      <c r="F77" s="428">
        <f t="shared" si="7"/>
        <v>0.96176762000000005</v>
      </c>
      <c r="G77" s="390">
        <f t="shared" si="8"/>
        <v>0</v>
      </c>
      <c r="H77" s="391">
        <f t="shared" si="0"/>
        <v>155315.31910095332</v>
      </c>
      <c r="I77" s="324">
        <v>0</v>
      </c>
      <c r="J77" s="325"/>
      <c r="K77" s="325"/>
      <c r="L77" s="317">
        <v>0</v>
      </c>
      <c r="M77" s="318"/>
      <c r="N77" s="318"/>
      <c r="O77" s="318"/>
      <c r="P77" s="392">
        <f t="shared" si="9"/>
        <v>0</v>
      </c>
      <c r="Q77" s="392">
        <f t="shared" si="1"/>
        <v>0</v>
      </c>
      <c r="R77" s="392">
        <f t="shared" si="2"/>
        <v>0</v>
      </c>
      <c r="S77" s="532">
        <v>72999.73000000001</v>
      </c>
      <c r="T77" s="374"/>
      <c r="U77" s="520">
        <f t="shared" si="3"/>
        <v>72999.73000000001</v>
      </c>
      <c r="V77" s="520">
        <f t="shared" si="10"/>
        <v>0</v>
      </c>
      <c r="W77" s="520">
        <f t="shared" si="11"/>
        <v>0</v>
      </c>
      <c r="X77" s="520">
        <f t="shared" si="12"/>
        <v>0</v>
      </c>
      <c r="Y77" s="525">
        <f t="shared" si="13"/>
        <v>-216458.26625190402</v>
      </c>
    </row>
    <row r="78" spans="3:38" x14ac:dyDescent="0.2">
      <c r="C78" s="387">
        <f t="shared" si="4"/>
        <v>43008</v>
      </c>
      <c r="D78" s="388">
        <f t="shared" si="5"/>
        <v>155314.35733333332</v>
      </c>
      <c r="E78" s="392">
        <f t="shared" si="6"/>
        <v>0</v>
      </c>
      <c r="F78" s="428">
        <f t="shared" si="7"/>
        <v>0.96176762000000005</v>
      </c>
      <c r="G78" s="390">
        <f t="shared" si="8"/>
        <v>0</v>
      </c>
      <c r="H78" s="391">
        <f t="shared" si="0"/>
        <v>155315.31910095332</v>
      </c>
      <c r="I78" s="324">
        <v>0</v>
      </c>
      <c r="J78" s="325"/>
      <c r="K78" s="325"/>
      <c r="L78" s="319">
        <v>0</v>
      </c>
      <c r="M78" s="320"/>
      <c r="N78" s="320"/>
      <c r="O78" s="320"/>
      <c r="P78" s="392">
        <f t="shared" si="9"/>
        <v>0</v>
      </c>
      <c r="Q78" s="392">
        <f t="shared" si="1"/>
        <v>0</v>
      </c>
      <c r="R78" s="392">
        <f t="shared" si="2"/>
        <v>0</v>
      </c>
      <c r="S78" s="532">
        <v>72999.73000000001</v>
      </c>
      <c r="T78" s="374"/>
      <c r="U78" s="520">
        <f t="shared" si="3"/>
        <v>72999.73000000001</v>
      </c>
      <c r="V78" s="520">
        <f t="shared" si="10"/>
        <v>0</v>
      </c>
      <c r="W78" s="520">
        <f t="shared" si="11"/>
        <v>0</v>
      </c>
      <c r="X78" s="520">
        <f t="shared" si="12"/>
        <v>0</v>
      </c>
      <c r="Y78" s="525">
        <f t="shared" si="13"/>
        <v>-216458.26625190402</v>
      </c>
    </row>
    <row r="79" spans="3:38" ht="15" thickBot="1" x14ac:dyDescent="0.25">
      <c r="C79" s="393"/>
      <c r="D79" s="388"/>
      <c r="E79" s="392"/>
      <c r="F79" s="428"/>
      <c r="G79" s="390"/>
      <c r="H79" s="391"/>
      <c r="I79" s="324"/>
      <c r="J79" s="325"/>
      <c r="K79" s="325"/>
      <c r="L79" s="319"/>
      <c r="M79" s="320"/>
      <c r="N79" s="320"/>
      <c r="O79" s="320"/>
      <c r="P79" s="392"/>
      <c r="Q79" s="392"/>
      <c r="R79" s="392"/>
      <c r="S79" s="532"/>
      <c r="T79" s="374"/>
      <c r="U79" s="520"/>
      <c r="V79" s="520"/>
      <c r="W79" s="520"/>
      <c r="X79" s="520"/>
      <c r="Y79" s="525"/>
    </row>
    <row r="80" spans="3:38" ht="15" thickBot="1" x14ac:dyDescent="0.25">
      <c r="C80" s="398"/>
      <c r="D80" s="399">
        <f>SUM(D49:D79)</f>
        <v>4659430.7199999979</v>
      </c>
      <c r="E80" s="400">
        <f>SUM(E49:E79)</f>
        <v>1601323.7840000002</v>
      </c>
      <c r="F80" s="400"/>
      <c r="G80" s="401">
        <f>SUM(G49:G79)</f>
        <v>1540.1013000000003</v>
      </c>
      <c r="H80" s="399">
        <f>SUM(H49:H79)</f>
        <v>6262323.4583286019</v>
      </c>
      <c r="I80" s="432">
        <f>SUM(I49:I79)</f>
        <v>1473028</v>
      </c>
      <c r="J80" s="432">
        <f t="shared" ref="J80:R80" si="14">SUM(J49:J79)</f>
        <v>0</v>
      </c>
      <c r="K80" s="432">
        <f t="shared" si="14"/>
        <v>0</v>
      </c>
      <c r="L80" s="432">
        <f>SUM(L49:L79)</f>
        <v>1601323.7840000002</v>
      </c>
      <c r="M80" s="432">
        <f t="shared" si="14"/>
        <v>0</v>
      </c>
      <c r="N80" s="432">
        <f t="shared" si="14"/>
        <v>0</v>
      </c>
      <c r="O80" s="432">
        <f t="shared" si="14"/>
        <v>0</v>
      </c>
      <c r="P80" s="432">
        <f t="shared" si="14"/>
        <v>1601323.7840000002</v>
      </c>
      <c r="Q80" s="432">
        <f t="shared" si="14"/>
        <v>0</v>
      </c>
      <c r="R80" s="432">
        <f t="shared" si="14"/>
        <v>0</v>
      </c>
      <c r="S80" s="656">
        <f>SUM(S49:S79)</f>
        <v>1949997.6999999997</v>
      </c>
      <c r="U80" s="530"/>
      <c r="V80" s="328">
        <f>SUM(V49:V79)</f>
        <v>1473028</v>
      </c>
      <c r="W80" s="328">
        <f>SUM(W49:W79)</f>
        <v>1689486.2662519044</v>
      </c>
      <c r="X80" s="328">
        <f>SUM(X49:X79)</f>
        <v>-216458.26625190402</v>
      </c>
      <c r="Y80" s="323">
        <f>Y79</f>
        <v>0</v>
      </c>
      <c r="AL80" s="361">
        <f>Y79</f>
        <v>0</v>
      </c>
    </row>
    <row r="81" spans="2:14" ht="15" customHeight="1" x14ac:dyDescent="0.2">
      <c r="B81"/>
      <c r="C81"/>
      <c r="D81"/>
      <c r="E81"/>
      <c r="F81"/>
      <c r="G81"/>
      <c r="H81"/>
      <c r="I81"/>
      <c r="J81"/>
      <c r="K81"/>
      <c r="L81"/>
      <c r="N81" s="2"/>
    </row>
  </sheetData>
  <mergeCells count="12">
    <mergeCell ref="C10:D10"/>
    <mergeCell ref="C11:D11"/>
    <mergeCell ref="C3:M4"/>
    <mergeCell ref="C5:M5"/>
    <mergeCell ref="C6:M6"/>
    <mergeCell ref="G7:H7"/>
    <mergeCell ref="C9:D9"/>
    <mergeCell ref="D23:E23"/>
    <mergeCell ref="D24:E24"/>
    <mergeCell ref="C28:F28"/>
    <mergeCell ref="C39:F39"/>
    <mergeCell ref="S47:Y47"/>
  </mergeCells>
  <conditionalFormatting sqref="L49:O79">
    <cfRule type="cellIs" dxfId="117" priority="1" stopIfTrue="1" operator="equal">
      <formula>0</formula>
    </cfRule>
  </conditionalFormatting>
  <printOptions horizontalCentered="1"/>
  <pageMargins left="0" right="0.70866141732283472" top="0.15748031496062992" bottom="0.35433070866141736" header="0.31496062992125984" footer="0.31496062992125984"/>
  <pageSetup scale="80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2:AL81"/>
  <sheetViews>
    <sheetView workbookViewId="0"/>
  </sheetViews>
  <sheetFormatPr baseColWidth="10" defaultColWidth="11" defaultRowHeight="14.25" x14ac:dyDescent="0.2"/>
  <cols>
    <col min="1" max="1" width="11" style="2"/>
    <col min="2" max="2" width="3.875" style="2" bestFit="1" customWidth="1"/>
    <col min="3" max="3" width="16.125" style="2" customWidth="1"/>
    <col min="4" max="4" width="13" style="2" bestFit="1" customWidth="1"/>
    <col min="5" max="5" width="12.125" style="2" bestFit="1" customWidth="1"/>
    <col min="6" max="6" width="17.125" style="2" bestFit="1" customWidth="1"/>
    <col min="7" max="7" width="13.125" style="2" bestFit="1" customWidth="1"/>
    <col min="8" max="8" width="12.125" style="2" bestFit="1" customWidth="1"/>
    <col min="9" max="9" width="11.125" style="2" bestFit="1" customWidth="1"/>
    <col min="10" max="10" width="11.875" style="2" bestFit="1" customWidth="1"/>
    <col min="11" max="11" width="11.625" style="2" bestFit="1" customWidth="1"/>
    <col min="12" max="12" width="12.125" style="2" customWidth="1"/>
    <col min="13" max="13" width="13.125" style="2" bestFit="1" customWidth="1"/>
    <col min="14" max="14" width="9" style="1" customWidth="1"/>
    <col min="15" max="15" width="14.5" style="2" bestFit="1" customWidth="1"/>
    <col min="16" max="16" width="11" style="2"/>
    <col min="17" max="17" width="12.5" style="2" bestFit="1" customWidth="1"/>
    <col min="18" max="25" width="11" style="2"/>
    <col min="26" max="32" width="10.875" customWidth="1"/>
    <col min="33" max="16384" width="11" style="2"/>
  </cols>
  <sheetData>
    <row r="2" spans="2:25" x14ac:dyDescent="0.2"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2:25" ht="15" customHeight="1" x14ac:dyDescent="0.2">
      <c r="B3" s="1"/>
      <c r="C3" s="679"/>
      <c r="D3" s="679"/>
      <c r="E3" s="679"/>
      <c r="F3" s="679"/>
      <c r="G3" s="679"/>
      <c r="H3" s="679"/>
      <c r="I3" s="679"/>
      <c r="J3" s="679"/>
      <c r="K3" s="679"/>
      <c r="L3" s="679"/>
      <c r="M3" s="679"/>
      <c r="N3" s="18"/>
    </row>
    <row r="4" spans="2:25" ht="15" customHeight="1" x14ac:dyDescent="0.2">
      <c r="B4" s="1"/>
      <c r="C4" s="679"/>
      <c r="D4" s="679"/>
      <c r="E4" s="679"/>
      <c r="F4" s="679"/>
      <c r="G4" s="679"/>
      <c r="H4" s="679"/>
      <c r="I4" s="679"/>
      <c r="J4" s="679"/>
      <c r="K4" s="679"/>
      <c r="L4" s="679"/>
      <c r="M4" s="679"/>
      <c r="N4" s="18"/>
    </row>
    <row r="5" spans="2:25" x14ac:dyDescent="0.2">
      <c r="B5" s="1"/>
      <c r="C5" s="2257">
        <v>4326979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</row>
    <row r="6" spans="2:25" x14ac:dyDescent="0.2">
      <c r="B6" s="1"/>
      <c r="C6" s="2257" t="s">
        <v>216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</row>
    <row r="7" spans="2:25" x14ac:dyDescent="0.2">
      <c r="B7" s="1"/>
      <c r="C7" s="609"/>
      <c r="D7" s="609"/>
      <c r="E7" s="609"/>
      <c r="F7" s="609"/>
      <c r="G7" s="2271">
        <v>43009</v>
      </c>
      <c r="H7" s="2257"/>
      <c r="I7" s="609"/>
      <c r="J7" s="609"/>
      <c r="K7" s="609"/>
      <c r="L7" s="609"/>
      <c r="M7" s="609"/>
      <c r="N7" s="18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2:25" x14ac:dyDescent="0.2">
      <c r="B8" s="1"/>
      <c r="C8" s="609"/>
      <c r="D8" s="609"/>
      <c r="E8" s="609"/>
      <c r="F8" s="609"/>
      <c r="G8" s="609"/>
      <c r="H8" s="609"/>
      <c r="I8" s="609"/>
      <c r="J8" s="609"/>
      <c r="K8" s="609"/>
      <c r="L8" s="609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2:25" ht="25.5" x14ac:dyDescent="0.2">
      <c r="B9" s="1"/>
      <c r="C9" s="2272" t="s">
        <v>6</v>
      </c>
      <c r="D9" s="2272"/>
      <c r="E9" s="610" t="s">
        <v>94</v>
      </c>
      <c r="F9" s="610" t="s">
        <v>126</v>
      </c>
      <c r="G9" s="410" t="s">
        <v>133</v>
      </c>
      <c r="H9" s="610" t="s">
        <v>127</v>
      </c>
      <c r="I9" s="610" t="s">
        <v>128</v>
      </c>
      <c r="J9" s="609"/>
      <c r="K9" s="609"/>
      <c r="L9" s="609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2:25" x14ac:dyDescent="0.2">
      <c r="B10" s="1"/>
      <c r="C10" s="2270" t="s">
        <v>131</v>
      </c>
      <c r="D10" s="2270"/>
      <c r="E10" s="433">
        <f>IF(C15=0,D15,C15)</f>
        <v>4659430.72</v>
      </c>
      <c r="F10" s="407">
        <f>E10*0.16</f>
        <v>745508.91519999993</v>
      </c>
      <c r="G10" s="407">
        <f>E10+F10</f>
        <v>5404939.6351999994</v>
      </c>
      <c r="H10" s="511" t="s">
        <v>224</v>
      </c>
      <c r="I10" s="604">
        <v>19.09</v>
      </c>
      <c r="J10" s="609"/>
      <c r="K10" s="609"/>
      <c r="L10" s="609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2:25" x14ac:dyDescent="0.2">
      <c r="B11" s="1"/>
      <c r="C11" s="2270" t="s">
        <v>132</v>
      </c>
      <c r="D11" s="2270"/>
      <c r="E11" s="433">
        <f>IF(C16=0,D16,C16)</f>
        <v>716.9</v>
      </c>
      <c r="F11" s="407">
        <f>E11*0.16</f>
        <v>114.70399999999999</v>
      </c>
      <c r="G11" s="407">
        <f>E11+F11</f>
        <v>831.60399999999993</v>
      </c>
      <c r="H11" s="511" t="s">
        <v>224</v>
      </c>
      <c r="I11" s="604">
        <v>19.09</v>
      </c>
      <c r="J11" s="609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2:25" x14ac:dyDescent="0.2">
      <c r="B12" s="1"/>
      <c r="C12" s="609"/>
      <c r="D12" s="609"/>
      <c r="E12" s="609"/>
      <c r="F12" s="609"/>
      <c r="G12" s="609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2:25" ht="15" thickBot="1" x14ac:dyDescent="0.25">
      <c r="B13" s="1"/>
      <c r="C13" s="609"/>
      <c r="D13" s="609"/>
      <c r="E13" s="609"/>
      <c r="F13" s="609"/>
      <c r="G13" s="609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2:25" x14ac:dyDescent="0.2">
      <c r="B14" s="1"/>
      <c r="C14" s="440" t="s">
        <v>155</v>
      </c>
      <c r="D14" s="441" t="s">
        <v>156</v>
      </c>
      <c r="E14" s="442" t="s">
        <v>112</v>
      </c>
      <c r="F14" s="609"/>
      <c r="G14" s="609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2:25" x14ac:dyDescent="0.2">
      <c r="B15" s="1"/>
      <c r="C15" s="443">
        <v>4659430.72</v>
      </c>
      <c r="D15" s="444">
        <f>D80</f>
        <v>4659430.72</v>
      </c>
      <c r="E15" s="445">
        <f>C15-D15</f>
        <v>0</v>
      </c>
      <c r="F15" s="609"/>
      <c r="G15" s="609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2:25" ht="15" thickBot="1" x14ac:dyDescent="0.25">
      <c r="B16" s="1"/>
      <c r="C16" s="446">
        <v>716.9</v>
      </c>
      <c r="D16" s="447">
        <f>ROUND(G80,2)</f>
        <v>756.37</v>
      </c>
      <c r="E16" s="448">
        <f>C16-D16</f>
        <v>-39.470000000000027</v>
      </c>
      <c r="F16" s="609"/>
      <c r="G16" s="609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2:25" x14ac:dyDescent="0.2">
      <c r="B17" s="1"/>
      <c r="C17" s="609"/>
      <c r="D17" s="609"/>
      <c r="E17" s="609"/>
      <c r="F17" s="609"/>
      <c r="G17" s="609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2:25" x14ac:dyDescent="0.2">
      <c r="B18" s="1"/>
      <c r="C18" s="609"/>
      <c r="D18" s="609"/>
      <c r="E18" s="609"/>
      <c r="F18" s="609"/>
      <c r="G18" s="609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2:25" x14ac:dyDescent="0.2">
      <c r="B19" s="1"/>
      <c r="C19" s="609"/>
      <c r="D19" s="609"/>
      <c r="E19" s="609"/>
      <c r="F19" s="609"/>
      <c r="G19" s="609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2:25" x14ac:dyDescent="0.2">
      <c r="B20" s="1"/>
      <c r="C20" s="609"/>
      <c r="D20" s="609"/>
      <c r="E20" s="609"/>
      <c r="F20" s="609"/>
      <c r="G20" s="609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2:25" x14ac:dyDescent="0.2">
      <c r="B21" s="1"/>
      <c r="C21" s="609"/>
      <c r="D21" s="609"/>
      <c r="E21" s="609"/>
      <c r="F21" s="609"/>
      <c r="G21" s="609"/>
      <c r="H21" s="1"/>
      <c r="I21" s="1"/>
      <c r="J21" s="1"/>
      <c r="K21" s="1"/>
      <c r="L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2:25" ht="15" thickBot="1" x14ac:dyDescent="0.25">
      <c r="B22" s="1"/>
      <c r="C22" s="419" t="s">
        <v>137</v>
      </c>
      <c r="D22" s="609" t="s">
        <v>138</v>
      </c>
      <c r="E22" s="609"/>
      <c r="F22" s="609" t="s">
        <v>139</v>
      </c>
      <c r="G22" s="609" t="s">
        <v>3</v>
      </c>
      <c r="H22" s="609" t="s">
        <v>143</v>
      </c>
      <c r="I22" s="609" t="s">
        <v>142</v>
      </c>
      <c r="J22" s="609" t="s">
        <v>141</v>
      </c>
      <c r="K22" s="609" t="s">
        <v>140</v>
      </c>
      <c r="L22" s="609" t="s">
        <v>144</v>
      </c>
      <c r="M22" s="609" t="s">
        <v>146</v>
      </c>
      <c r="N22" s="609"/>
      <c r="O22" s="609"/>
      <c r="P22" s="609"/>
      <c r="Q22" s="1"/>
      <c r="R22" s="1"/>
      <c r="S22" s="1"/>
      <c r="T22" s="1"/>
      <c r="U22" s="1"/>
      <c r="V22" s="1"/>
      <c r="W22" s="1"/>
      <c r="X22" s="1"/>
      <c r="Y22" s="1"/>
    </row>
    <row r="23" spans="2:25" ht="36.75" customHeight="1" x14ac:dyDescent="0.2">
      <c r="B23" s="1"/>
      <c r="C23" s="402" t="s">
        <v>134</v>
      </c>
      <c r="D23" s="2261" t="s">
        <v>135</v>
      </c>
      <c r="E23" s="2262"/>
      <c r="F23" s="611" t="s">
        <v>136</v>
      </c>
      <c r="G23" s="461" t="s">
        <v>153</v>
      </c>
      <c r="H23" s="420" t="s">
        <v>129</v>
      </c>
      <c r="I23" s="403" t="s">
        <v>130</v>
      </c>
      <c r="J23" s="422"/>
      <c r="K23" s="422"/>
      <c r="L23" s="422"/>
      <c r="M23" s="404" t="s">
        <v>158</v>
      </c>
      <c r="N23" s="609"/>
      <c r="O23" s="609"/>
      <c r="P23" s="609"/>
      <c r="Q23" s="609"/>
      <c r="R23" s="609"/>
      <c r="S23" s="609"/>
      <c r="T23" s="609"/>
      <c r="U23" s="1"/>
      <c r="V23" s="1"/>
      <c r="W23" s="1"/>
      <c r="X23" s="1"/>
      <c r="Y23" s="1"/>
    </row>
    <row r="24" spans="2:25" x14ac:dyDescent="0.2">
      <c r="B24" s="1"/>
      <c r="C24" s="405">
        <v>850</v>
      </c>
      <c r="D24" s="2263">
        <v>850</v>
      </c>
      <c r="E24" s="2264"/>
      <c r="F24" s="418">
        <v>31482640</v>
      </c>
      <c r="G24" s="462">
        <v>31</v>
      </c>
      <c r="H24" s="460">
        <f>VLOOKUP(C47,Tarifas!D4:H303,3)</f>
        <v>0.14799999999999999</v>
      </c>
      <c r="I24" s="424">
        <f>VLOOKUP(C47,Tarifas!D4:H303,5)</f>
        <v>1E-3</v>
      </c>
      <c r="J24" s="421">
        <v>194.5</v>
      </c>
      <c r="K24" s="421">
        <v>201.4</v>
      </c>
      <c r="L24" s="421">
        <f>I11</f>
        <v>19.09</v>
      </c>
      <c r="M24" s="431">
        <f>E80</f>
        <v>783199.85099800001</v>
      </c>
      <c r="N24" s="536" t="s">
        <v>62</v>
      </c>
      <c r="O24" s="609"/>
      <c r="P24" s="609"/>
      <c r="Q24" s="609"/>
      <c r="R24" s="609"/>
      <c r="S24" s="609"/>
      <c r="T24" s="609"/>
      <c r="U24" s="1"/>
      <c r="V24" s="1"/>
      <c r="W24" s="1"/>
      <c r="X24" s="1"/>
      <c r="Y24" s="1"/>
    </row>
    <row r="25" spans="2:25" x14ac:dyDescent="0.2">
      <c r="B25" s="1"/>
      <c r="C25" s="609"/>
      <c r="D25" s="609"/>
      <c r="E25" s="609"/>
      <c r="F25" s="609"/>
      <c r="G25" s="609"/>
      <c r="H25" s="609"/>
      <c r="I25" s="609"/>
      <c r="J25" s="609"/>
      <c r="K25" s="609"/>
      <c r="L25" s="609"/>
      <c r="M25" s="609"/>
      <c r="N25" s="609"/>
      <c r="O25" s="609"/>
      <c r="P25" s="609"/>
      <c r="Q25" s="609"/>
      <c r="R25" s="609"/>
      <c r="S25" s="1"/>
      <c r="T25" s="1"/>
      <c r="U25" s="1"/>
      <c r="V25" s="1"/>
      <c r="W25" s="1"/>
      <c r="X25" s="1"/>
      <c r="Y25" s="1"/>
    </row>
    <row r="26" spans="2:25" x14ac:dyDescent="0.2">
      <c r="B26" s="1"/>
      <c r="C26" s="609"/>
      <c r="D26" s="609"/>
      <c r="E26" s="609"/>
      <c r="F26" s="609"/>
      <c r="G26" s="609"/>
      <c r="H26" s="609"/>
      <c r="I26" s="609"/>
      <c r="J26" s="609"/>
      <c r="K26" s="609"/>
      <c r="L26" s="609"/>
      <c r="M26" s="609"/>
      <c r="N26" s="609"/>
      <c r="O26" s="609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2:25" x14ac:dyDescent="0.2">
      <c r="B27" s="1"/>
      <c r="C27" s="609"/>
      <c r="D27" s="609"/>
      <c r="E27" s="609"/>
      <c r="F27" s="609"/>
      <c r="G27" s="609"/>
      <c r="H27" s="609"/>
      <c r="I27" s="609"/>
      <c r="J27" s="609"/>
      <c r="K27" s="609"/>
      <c r="L27" s="609"/>
      <c r="M27" s="609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2:25" ht="15" thickBot="1" x14ac:dyDescent="0.25">
      <c r="B28" s="1"/>
      <c r="C28" s="2265" t="s">
        <v>86</v>
      </c>
      <c r="D28" s="2265"/>
      <c r="E28" s="2265"/>
      <c r="F28" s="2265"/>
      <c r="G28" s="612"/>
      <c r="H28" s="334"/>
      <c r="I28" s="334"/>
      <c r="J28" s="334"/>
      <c r="K28" s="612"/>
      <c r="L28" s="336"/>
      <c r="M28" s="336"/>
      <c r="O28" s="530" t="s">
        <v>212</v>
      </c>
      <c r="P28" s="675">
        <v>18.584800000000001</v>
      </c>
      <c r="Q28" s="530" t="s">
        <v>213</v>
      </c>
      <c r="R28" s="1"/>
      <c r="S28" s="1"/>
      <c r="T28" s="1"/>
      <c r="U28" s="1"/>
      <c r="V28" s="1"/>
      <c r="W28" s="1"/>
      <c r="X28" s="1"/>
      <c r="Y28" s="1"/>
    </row>
    <row r="29" spans="2:25" ht="22.5" x14ac:dyDescent="0.2">
      <c r="B29" s="1"/>
      <c r="C29" s="337" t="s">
        <v>87</v>
      </c>
      <c r="D29" s="607" t="s">
        <v>88</v>
      </c>
      <c r="E29" s="607" t="s">
        <v>89</v>
      </c>
      <c r="F29" s="607" t="s">
        <v>20</v>
      </c>
      <c r="G29" s="607" t="s">
        <v>160</v>
      </c>
      <c r="H29" s="607" t="s">
        <v>90</v>
      </c>
      <c r="I29" s="607" t="s">
        <v>91</v>
      </c>
      <c r="J29" s="607" t="s">
        <v>92</v>
      </c>
      <c r="K29" s="607" t="s">
        <v>93</v>
      </c>
      <c r="L29" s="607" t="s">
        <v>94</v>
      </c>
      <c r="M29" s="608" t="s">
        <v>95</v>
      </c>
      <c r="O29" s="590" t="s">
        <v>95</v>
      </c>
      <c r="P29" s="1"/>
      <c r="Q29" s="590" t="s">
        <v>95</v>
      </c>
      <c r="R29" s="1"/>
      <c r="S29" s="1"/>
      <c r="T29" s="1"/>
      <c r="U29" s="1"/>
      <c r="V29" s="1"/>
      <c r="W29" s="1"/>
      <c r="X29" s="1"/>
      <c r="Y29" s="1"/>
    </row>
    <row r="30" spans="2:25" x14ac:dyDescent="0.2">
      <c r="B30" s="1"/>
      <c r="C30" s="338" t="s">
        <v>101</v>
      </c>
      <c r="D30" s="339" t="s">
        <v>101</v>
      </c>
      <c r="E30" s="339" t="s">
        <v>96</v>
      </c>
      <c r="F30" s="340" t="s">
        <v>97</v>
      </c>
      <c r="G30" s="340" t="s">
        <v>101</v>
      </c>
      <c r="H30" s="339" t="s">
        <v>101</v>
      </c>
      <c r="I30" s="341">
        <v>0</v>
      </c>
      <c r="J30" s="339">
        <v>138.15</v>
      </c>
      <c r="K30" s="342">
        <v>0</v>
      </c>
      <c r="L30" s="343">
        <f>ROUND(K30*E$10,2)</f>
        <v>0</v>
      </c>
      <c r="M30" s="344">
        <f>L30*$I$10</f>
        <v>0</v>
      </c>
      <c r="O30" s="591">
        <f>IF(P$28=0,M30,L30*P$28)</f>
        <v>0</v>
      </c>
      <c r="P30" s="1"/>
      <c r="Q30" s="591">
        <f>M30-O30</f>
        <v>0</v>
      </c>
      <c r="R30" s="1"/>
      <c r="S30" s="1"/>
      <c r="T30" s="1"/>
      <c r="U30" s="1"/>
      <c r="V30" s="1"/>
      <c r="W30" s="1"/>
      <c r="X30" s="1"/>
      <c r="Y30" s="1"/>
    </row>
    <row r="31" spans="2:25" x14ac:dyDescent="0.2">
      <c r="B31" s="1"/>
      <c r="C31" s="338" t="s">
        <v>101</v>
      </c>
      <c r="D31" s="339" t="s">
        <v>101</v>
      </c>
      <c r="E31" s="339" t="s">
        <v>98</v>
      </c>
      <c r="F31" s="340" t="s">
        <v>97</v>
      </c>
      <c r="G31" s="340" t="s">
        <v>101</v>
      </c>
      <c r="H31" s="339" t="s">
        <v>101</v>
      </c>
      <c r="I31" s="341">
        <v>0</v>
      </c>
      <c r="J31" s="339">
        <v>138.15</v>
      </c>
      <c r="K31" s="342">
        <v>0</v>
      </c>
      <c r="L31" s="343">
        <f>ROUND(K31*E$10,2)</f>
        <v>0</v>
      </c>
      <c r="M31" s="344">
        <f>L31*$I$10</f>
        <v>0</v>
      </c>
      <c r="O31" s="591">
        <f>IF(P$28=0,M31,L31*P$28)</f>
        <v>0</v>
      </c>
      <c r="P31" s="1"/>
      <c r="Q31" s="591">
        <f>M31-O31</f>
        <v>0</v>
      </c>
      <c r="R31" s="1"/>
      <c r="S31" s="1"/>
      <c r="T31" s="1"/>
      <c r="U31" s="1"/>
      <c r="V31" s="1"/>
      <c r="W31" s="1"/>
      <c r="X31" s="1"/>
      <c r="Y31" s="1"/>
    </row>
    <row r="32" spans="2:25" x14ac:dyDescent="0.2">
      <c r="B32" s="1"/>
      <c r="C32" s="338" t="s">
        <v>101</v>
      </c>
      <c r="D32" s="339" t="s">
        <v>101</v>
      </c>
      <c r="E32" s="339" t="s">
        <v>99</v>
      </c>
      <c r="F32" s="340" t="s">
        <v>100</v>
      </c>
      <c r="G32" s="340" t="s">
        <v>101</v>
      </c>
      <c r="H32" s="339" t="s">
        <v>101</v>
      </c>
      <c r="I32" s="341">
        <v>0</v>
      </c>
      <c r="J32" s="339">
        <v>130.80000000000001</v>
      </c>
      <c r="K32" s="342">
        <v>0</v>
      </c>
      <c r="L32" s="343">
        <f>ROUND(K32*E$10,2)</f>
        <v>0</v>
      </c>
      <c r="M32" s="344">
        <f>L32*$I$10</f>
        <v>0</v>
      </c>
      <c r="O32" s="591">
        <f>IF(P$28=0,M32,L32*P$28)</f>
        <v>0</v>
      </c>
      <c r="P32" s="1"/>
      <c r="Q32" s="591">
        <f>M32-O32</f>
        <v>0</v>
      </c>
      <c r="R32" s="1"/>
      <c r="S32" s="1"/>
      <c r="T32" s="1"/>
      <c r="U32" s="1"/>
      <c r="V32" s="1"/>
      <c r="W32" s="1"/>
      <c r="X32" s="1"/>
      <c r="Y32" s="1"/>
    </row>
    <row r="33" spans="2:25" x14ac:dyDescent="0.2">
      <c r="B33" s="1"/>
      <c r="C33" s="338">
        <v>800832451</v>
      </c>
      <c r="D33" s="605">
        <v>2</v>
      </c>
      <c r="E33" s="354" t="s">
        <v>101</v>
      </c>
      <c r="F33" s="463" t="s">
        <v>23</v>
      </c>
      <c r="G33" s="463" t="s">
        <v>221</v>
      </c>
      <c r="H33" s="354" t="s">
        <v>222</v>
      </c>
      <c r="I33" s="341">
        <v>80000</v>
      </c>
      <c r="J33" s="597">
        <v>0</v>
      </c>
      <c r="K33" s="342">
        <v>0.09</v>
      </c>
      <c r="L33" s="343">
        <f>ROUND(K33*E$10,2)</f>
        <v>419348.76</v>
      </c>
      <c r="M33" s="344">
        <f>L33*I10</f>
        <v>8005367.8284</v>
      </c>
      <c r="O33" s="591">
        <f>IF(P$28=0,M33,L33*P$28)</f>
        <v>7793512.8348480007</v>
      </c>
      <c r="P33" s="1"/>
      <c r="Q33" s="591">
        <f>M33-O33</f>
        <v>211854.99355199933</v>
      </c>
      <c r="R33" s="1"/>
      <c r="S33" s="1"/>
      <c r="T33" s="1"/>
      <c r="U33" s="1"/>
      <c r="V33" s="1"/>
      <c r="W33" s="1"/>
      <c r="X33" s="1"/>
      <c r="Y33" s="1"/>
    </row>
    <row r="34" spans="2:25" ht="15" thickBot="1" x14ac:dyDescent="0.25">
      <c r="B34" s="1"/>
      <c r="C34" s="345">
        <v>800832451</v>
      </c>
      <c r="D34" s="606">
        <v>2</v>
      </c>
      <c r="E34" s="347" t="s">
        <v>101</v>
      </c>
      <c r="F34" s="348" t="s">
        <v>159</v>
      </c>
      <c r="G34" s="348" t="s">
        <v>221</v>
      </c>
      <c r="H34" s="347" t="s">
        <v>222</v>
      </c>
      <c r="I34" s="349">
        <v>770000</v>
      </c>
      <c r="J34" s="346">
        <v>0</v>
      </c>
      <c r="K34" s="350">
        <v>0.91</v>
      </c>
      <c r="L34" s="351">
        <f>ROUND(K34*E$10,2)</f>
        <v>4240081.96</v>
      </c>
      <c r="M34" s="352">
        <f>L34*I10</f>
        <v>80943164.616400003</v>
      </c>
      <c r="O34" s="592">
        <f>IF(P$28=0,M34,L34*P$28)</f>
        <v>78801075.210207999</v>
      </c>
      <c r="P34" s="1"/>
      <c r="Q34" s="592">
        <f>M34-O34</f>
        <v>2142089.4061920047</v>
      </c>
      <c r="R34" s="1"/>
      <c r="S34" s="1"/>
      <c r="T34" s="1"/>
      <c r="U34" s="1"/>
      <c r="V34" s="1"/>
      <c r="W34" s="1"/>
      <c r="X34" s="1"/>
      <c r="Y34" s="1"/>
    </row>
    <row r="35" spans="2:25" x14ac:dyDescent="0.2">
      <c r="B35" s="1"/>
      <c r="C35" s="406">
        <v>3000623</v>
      </c>
      <c r="D35" s="353" t="s">
        <v>102</v>
      </c>
      <c r="E35" s="353"/>
      <c r="F35" s="353"/>
      <c r="G35" s="353"/>
      <c r="H35" s="354"/>
      <c r="I35" s="355">
        <f>SUM(I30:I34)</f>
        <v>850000</v>
      </c>
      <c r="J35" s="353"/>
      <c r="K35" s="356">
        <f>SUM(K30:K34)</f>
        <v>1</v>
      </c>
      <c r="L35" s="357">
        <f>SUM(L30:L34)</f>
        <v>4659430.72</v>
      </c>
      <c r="M35" s="357">
        <f>SUM(M30:M34)</f>
        <v>88948532.444800004</v>
      </c>
      <c r="O35" s="593">
        <f>SUM(O30:O34)</f>
        <v>86594588.045056</v>
      </c>
      <c r="P35" s="1"/>
      <c r="Q35" s="593">
        <f>SUM(Q30:Q33)</f>
        <v>211854.99355199933</v>
      </c>
      <c r="R35" s="1"/>
      <c r="S35" s="1"/>
      <c r="T35" s="1"/>
      <c r="U35" s="1"/>
      <c r="V35" s="1"/>
      <c r="W35" s="1"/>
      <c r="X35" s="1"/>
      <c r="Y35" s="1"/>
    </row>
    <row r="36" spans="2:25" x14ac:dyDescent="0.2">
      <c r="B36" s="1"/>
      <c r="C36" s="336"/>
      <c r="D36" s="336"/>
      <c r="E36" s="336"/>
      <c r="F36" s="358"/>
      <c r="G36" s="358"/>
      <c r="H36" s="336"/>
      <c r="I36" s="336"/>
      <c r="J36" s="336"/>
      <c r="K36" s="336"/>
      <c r="L36" s="359"/>
      <c r="M36" s="1"/>
      <c r="O36" s="594">
        <v>0</v>
      </c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2:25" x14ac:dyDescent="0.2">
      <c r="B37" s="1"/>
      <c r="C37" s="336"/>
      <c r="D37" s="336"/>
      <c r="E37" s="336"/>
      <c r="F37" s="358"/>
      <c r="G37" s="358"/>
      <c r="H37" s="336"/>
      <c r="I37" s="336"/>
      <c r="J37" s="336"/>
      <c r="K37" s="336"/>
      <c r="L37" s="359"/>
      <c r="M37" s="1"/>
      <c r="O37" s="594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2:25" x14ac:dyDescent="0.2">
      <c r="B38" s="1"/>
      <c r="C38" s="336"/>
      <c r="D38" s="336"/>
      <c r="E38" s="336"/>
      <c r="F38" s="358"/>
      <c r="G38" s="358"/>
      <c r="H38" s="336"/>
      <c r="I38" s="336"/>
      <c r="J38" s="336"/>
      <c r="K38" s="336"/>
      <c r="L38" s="359"/>
      <c r="M38" s="1"/>
      <c r="O38" s="594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2:25" ht="15" thickBot="1" x14ac:dyDescent="0.25">
      <c r="B39" s="1"/>
      <c r="C39" s="2266" t="s">
        <v>103</v>
      </c>
      <c r="D39" s="2266"/>
      <c r="E39" s="2266"/>
      <c r="F39" s="2266"/>
      <c r="G39" s="612"/>
      <c r="H39" s="334"/>
      <c r="I39" s="334"/>
      <c r="J39" s="334"/>
      <c r="K39" s="336"/>
      <c r="L39" s="336"/>
      <c r="M39" s="360"/>
      <c r="O39" s="595"/>
      <c r="P39" s="675">
        <v>18.584800000000001</v>
      </c>
      <c r="Q39" s="360"/>
      <c r="R39" s="1"/>
      <c r="S39" s="1"/>
      <c r="T39" s="1"/>
      <c r="U39" s="1"/>
      <c r="V39" s="1"/>
      <c r="W39" s="1"/>
      <c r="X39" s="1"/>
      <c r="Y39" s="1"/>
    </row>
    <row r="40" spans="2:25" ht="22.5" x14ac:dyDescent="0.2">
      <c r="B40" s="1"/>
      <c r="C40" s="337" t="s">
        <v>87</v>
      </c>
      <c r="D40" s="607" t="s">
        <v>88</v>
      </c>
      <c r="E40" s="607" t="s">
        <v>89</v>
      </c>
      <c r="F40" s="607" t="s">
        <v>20</v>
      </c>
      <c r="G40" s="607"/>
      <c r="H40" s="607" t="s">
        <v>90</v>
      </c>
      <c r="I40" s="607" t="s">
        <v>104</v>
      </c>
      <c r="J40" s="607" t="s">
        <v>93</v>
      </c>
      <c r="K40" s="607" t="s">
        <v>92</v>
      </c>
      <c r="L40" s="607" t="s">
        <v>94</v>
      </c>
      <c r="M40" s="608" t="s">
        <v>95</v>
      </c>
      <c r="O40" s="596" t="s">
        <v>95</v>
      </c>
      <c r="P40" s="1"/>
      <c r="Q40" s="590" t="s">
        <v>95</v>
      </c>
      <c r="R40" s="1"/>
      <c r="S40" s="1"/>
      <c r="T40" s="1"/>
      <c r="U40" s="1"/>
      <c r="V40" s="1"/>
      <c r="W40" s="1"/>
      <c r="X40" s="1"/>
      <c r="Y40" s="1"/>
    </row>
    <row r="41" spans="2:25" x14ac:dyDescent="0.2">
      <c r="B41" s="1"/>
      <c r="C41" s="338"/>
      <c r="D41" s="339"/>
      <c r="E41" s="339" t="s">
        <v>96</v>
      </c>
      <c r="F41" s="340" t="s">
        <v>97</v>
      </c>
      <c r="G41" s="340"/>
      <c r="H41" s="339">
        <v>20823</v>
      </c>
      <c r="I41" s="341">
        <v>0</v>
      </c>
      <c r="J41" s="342">
        <v>0</v>
      </c>
      <c r="K41" s="339">
        <v>138.15</v>
      </c>
      <c r="L41" s="343">
        <f>ROUND(J41*$E$11,2)</f>
        <v>0</v>
      </c>
      <c r="M41" s="344">
        <f>L41*L24</f>
        <v>0</v>
      </c>
      <c r="O41" s="591">
        <f>IF(P$28=0,M41,L41*P$28)</f>
        <v>0</v>
      </c>
      <c r="P41" s="1"/>
      <c r="Q41" s="591">
        <f>M41-O41</f>
        <v>0</v>
      </c>
      <c r="R41" s="1"/>
      <c r="S41" s="1"/>
      <c r="T41" s="1"/>
      <c r="U41" s="1"/>
      <c r="V41" s="1"/>
      <c r="W41" s="1"/>
      <c r="X41" s="1"/>
      <c r="Y41" s="1"/>
    </row>
    <row r="42" spans="2:25" x14ac:dyDescent="0.2">
      <c r="B42" s="1"/>
      <c r="C42" s="338"/>
      <c r="D42" s="339"/>
      <c r="E42" s="339" t="s">
        <v>98</v>
      </c>
      <c r="F42" s="340" t="s">
        <v>97</v>
      </c>
      <c r="G42" s="340"/>
      <c r="H42" s="339">
        <v>20824</v>
      </c>
      <c r="I42" s="341">
        <v>0</v>
      </c>
      <c r="J42" s="342">
        <v>0</v>
      </c>
      <c r="K42" s="339">
        <v>138.15</v>
      </c>
      <c r="L42" s="343">
        <f>ROUND(J42*$E$11,2)</f>
        <v>0</v>
      </c>
      <c r="M42" s="344">
        <f>L42*L25</f>
        <v>0</v>
      </c>
      <c r="O42" s="591">
        <f>IF(P$28=0,M42,L42*P$28)</f>
        <v>0</v>
      </c>
      <c r="P42" s="1"/>
      <c r="Q42" s="591">
        <f>M42-O42</f>
        <v>0</v>
      </c>
      <c r="R42" s="1"/>
      <c r="S42" s="1"/>
      <c r="T42" s="1"/>
      <c r="U42" s="1"/>
      <c r="V42" s="1"/>
      <c r="W42" s="1"/>
      <c r="X42" s="1"/>
      <c r="Y42" s="1"/>
    </row>
    <row r="43" spans="2:25" x14ac:dyDescent="0.2">
      <c r="B43" s="1"/>
      <c r="C43" s="338"/>
      <c r="D43" s="339"/>
      <c r="E43" s="339" t="s">
        <v>99</v>
      </c>
      <c r="F43" s="340" t="s">
        <v>100</v>
      </c>
      <c r="G43" s="340"/>
      <c r="H43" s="339">
        <v>22228</v>
      </c>
      <c r="I43" s="341">
        <v>0</v>
      </c>
      <c r="J43" s="342">
        <v>0</v>
      </c>
      <c r="K43" s="339">
        <v>130.80000000000001</v>
      </c>
      <c r="L43" s="343">
        <f>ROUND(J43*$E$11,2)</f>
        <v>0</v>
      </c>
      <c r="M43" s="344">
        <f>L43*L26</f>
        <v>0</v>
      </c>
      <c r="O43" s="591">
        <f>IF(P$28=0,M43,L43*P$28)</f>
        <v>0</v>
      </c>
      <c r="P43" s="1"/>
      <c r="Q43" s="591">
        <f>M43-O43</f>
        <v>0</v>
      </c>
      <c r="R43" s="1"/>
      <c r="S43" s="1"/>
      <c r="T43" s="1"/>
      <c r="U43" s="1"/>
      <c r="V43" s="1"/>
      <c r="W43" s="1"/>
      <c r="X43" s="1"/>
      <c r="Y43" s="1"/>
    </row>
    <row r="44" spans="2:25" ht="15" thickBot="1" x14ac:dyDescent="0.25">
      <c r="B44" s="1"/>
      <c r="C44" s="345">
        <v>800832773</v>
      </c>
      <c r="D44" s="606">
        <v>2</v>
      </c>
      <c r="E44" s="347" t="s">
        <v>101</v>
      </c>
      <c r="F44" s="348" t="s">
        <v>23</v>
      </c>
      <c r="G44" s="348" t="s">
        <v>221</v>
      </c>
      <c r="H44" s="347" t="s">
        <v>222</v>
      </c>
      <c r="I44" s="349">
        <f>L80</f>
        <v>783199.85099800001</v>
      </c>
      <c r="J44" s="350">
        <v>1</v>
      </c>
      <c r="K44" s="346">
        <v>138.15</v>
      </c>
      <c r="L44" s="351">
        <f>ROUND(J44*$E$11,2)</f>
        <v>716.9</v>
      </c>
      <c r="M44" s="352">
        <f>L44*I10</f>
        <v>13685.620999999999</v>
      </c>
      <c r="O44" s="592">
        <f>IF(P$28=0,M44,L44*P$28)</f>
        <v>13323.44312</v>
      </c>
      <c r="P44" s="1"/>
      <c r="Q44" s="592">
        <f>M44-O44</f>
        <v>362.17787999999928</v>
      </c>
      <c r="R44" s="1"/>
      <c r="S44" s="1"/>
      <c r="T44" s="1"/>
      <c r="U44" s="1"/>
      <c r="V44" s="1"/>
      <c r="W44" s="1"/>
      <c r="X44" s="1"/>
      <c r="Y44" s="1"/>
    </row>
    <row r="45" spans="2:25" x14ac:dyDescent="0.2">
      <c r="B45" s="1"/>
      <c r="C45" s="353"/>
      <c r="D45" s="353"/>
      <c r="E45" s="353"/>
      <c r="F45" s="353"/>
      <c r="G45" s="353"/>
      <c r="H45" s="354"/>
      <c r="I45" s="449">
        <f>SUM(I41:I44)</f>
        <v>783199.85099800001</v>
      </c>
      <c r="J45" s="355"/>
      <c r="K45" s="353"/>
      <c r="L45" s="357">
        <f>SUM(L41:L44)</f>
        <v>716.9</v>
      </c>
      <c r="M45" s="357">
        <f>SUM(M41:M44)</f>
        <v>13685.620999999999</v>
      </c>
      <c r="O45" s="676">
        <f>IF(P$28=0,M45,L45*P$28)</f>
        <v>13323.44312</v>
      </c>
      <c r="P45" s="1"/>
      <c r="Q45" s="593">
        <f>SUM(Q41:Q44)</f>
        <v>362.17787999999928</v>
      </c>
      <c r="R45" s="1"/>
      <c r="S45" s="1"/>
      <c r="T45" s="1"/>
      <c r="U45" s="1"/>
      <c r="V45" s="1"/>
      <c r="W45" s="1"/>
      <c r="X45" s="1"/>
      <c r="Y45" s="1"/>
    </row>
    <row r="46" spans="2:25" customFormat="1" ht="15" thickBot="1" x14ac:dyDescent="0.25">
      <c r="M46" s="450"/>
      <c r="N46" s="450"/>
      <c r="O46" s="450"/>
      <c r="P46" s="450"/>
      <c r="Q46" s="450"/>
      <c r="R46" s="450"/>
      <c r="S46" s="450"/>
      <c r="T46" s="450"/>
      <c r="U46" s="450"/>
      <c r="V46" s="450"/>
      <c r="W46" s="450"/>
      <c r="X46" s="450"/>
      <c r="Y46" s="450"/>
    </row>
    <row r="47" spans="2:25" ht="15" thickBot="1" x14ac:dyDescent="0.25">
      <c r="B47" s="434" t="s">
        <v>3</v>
      </c>
      <c r="C47" s="333">
        <f>SUMIF(Tarifas!E4:E303,'Octubre - 2017'!C49,Tarifas!D4:D303)</f>
        <v>51</v>
      </c>
      <c r="D47" s="690" t="s">
        <v>147</v>
      </c>
      <c r="E47" s="691" t="s">
        <v>145</v>
      </c>
      <c r="F47" s="691" t="s">
        <v>150</v>
      </c>
      <c r="G47" s="691" t="s">
        <v>148</v>
      </c>
      <c r="H47" s="692"/>
      <c r="I47" s="693" t="s">
        <v>120</v>
      </c>
      <c r="J47" s="694"/>
      <c r="K47" s="694"/>
      <c r="L47" s="364" t="s">
        <v>105</v>
      </c>
      <c r="M47" s="365"/>
      <c r="N47" s="365"/>
      <c r="O47" s="365"/>
      <c r="P47" s="365"/>
      <c r="Q47" s="365"/>
      <c r="R47" s="366"/>
      <c r="S47" s="2267" t="s">
        <v>121</v>
      </c>
      <c r="T47" s="2268"/>
      <c r="U47" s="2268"/>
      <c r="V47" s="2268"/>
      <c r="W47" s="2268"/>
      <c r="X47" s="2268"/>
      <c r="Y47" s="2269"/>
    </row>
    <row r="48" spans="2:25" ht="34.5" thickBot="1" x14ac:dyDescent="0.25">
      <c r="C48" s="1427" t="s">
        <v>122</v>
      </c>
      <c r="D48" s="1428" t="s">
        <v>125</v>
      </c>
      <c r="E48" s="1429" t="s">
        <v>149</v>
      </c>
      <c r="F48" s="1429" t="s">
        <v>151</v>
      </c>
      <c r="G48" s="1429" t="s">
        <v>152</v>
      </c>
      <c r="H48" s="1430" t="s">
        <v>123</v>
      </c>
      <c r="I48" s="1340" t="s">
        <v>109</v>
      </c>
      <c r="J48" s="1341" t="s">
        <v>25</v>
      </c>
      <c r="K48" s="1341" t="s">
        <v>26</v>
      </c>
      <c r="L48" s="1431" t="s">
        <v>115</v>
      </c>
      <c r="M48" s="1337" t="s">
        <v>106</v>
      </c>
      <c r="N48" s="1337" t="s">
        <v>107</v>
      </c>
      <c r="O48" s="1337" t="s">
        <v>108</v>
      </c>
      <c r="P48" s="1337" t="s">
        <v>115</v>
      </c>
      <c r="Q48" s="1338" t="s">
        <v>116</v>
      </c>
      <c r="R48" s="1339" t="s">
        <v>117</v>
      </c>
      <c r="S48" s="1343" t="s">
        <v>207</v>
      </c>
      <c r="T48" s="1344"/>
      <c r="U48" s="1344" t="s">
        <v>112</v>
      </c>
      <c r="V48" s="1345" t="s">
        <v>118</v>
      </c>
      <c r="W48" s="1345" t="s">
        <v>119</v>
      </c>
      <c r="X48" s="1345" t="s">
        <v>114</v>
      </c>
      <c r="Y48" s="1346" t="s">
        <v>113</v>
      </c>
    </row>
    <row r="49" spans="3:25" x14ac:dyDescent="0.2">
      <c r="C49" s="387">
        <f>G7</f>
        <v>43009</v>
      </c>
      <c r="D49" s="388">
        <f>($F$24*$H$24)/$G$24</f>
        <v>150304.21677419354</v>
      </c>
      <c r="E49" s="389">
        <f>P49+Q49+R49</f>
        <v>0</v>
      </c>
      <c r="F49" s="427">
        <f>TRUNC(IFERROR(J$24/K$24,0),8)</f>
        <v>0.96573982000000003</v>
      </c>
      <c r="G49" s="390">
        <f>ROUND(I$24*F49*E49,4)</f>
        <v>0</v>
      </c>
      <c r="H49" s="391">
        <f t="shared" ref="H49:H78" si="0">SUM(D49:G49)</f>
        <v>150305.18251401355</v>
      </c>
      <c r="I49" s="1369">
        <v>0</v>
      </c>
      <c r="J49" s="325"/>
      <c r="K49" s="325"/>
      <c r="L49" s="1369">
        <v>0</v>
      </c>
      <c r="M49" s="318"/>
      <c r="N49" s="318"/>
      <c r="O49" s="318"/>
      <c r="P49" s="389">
        <f>L49</f>
        <v>0</v>
      </c>
      <c r="Q49" s="389">
        <f t="shared" ref="Q49:Q79" si="1">M49+N49</f>
        <v>0</v>
      </c>
      <c r="R49" s="389">
        <f t="shared" ref="R49:R79" si="2">O49</f>
        <v>0</v>
      </c>
      <c r="S49" s="532">
        <v>62000.04</v>
      </c>
      <c r="T49" s="374"/>
      <c r="U49" s="520">
        <f>S49+T49-V49</f>
        <v>62000.04</v>
      </c>
      <c r="V49" s="520">
        <f>I49+J49+K49</f>
        <v>0</v>
      </c>
      <c r="W49" s="520">
        <f>(P49+Q49+R49)*1.055056</f>
        <v>0</v>
      </c>
      <c r="X49" s="520">
        <f>V49-W49</f>
        <v>0</v>
      </c>
      <c r="Y49" s="525">
        <f>AL46+X49</f>
        <v>0</v>
      </c>
    </row>
    <row r="50" spans="3:25" x14ac:dyDescent="0.2">
      <c r="C50" s="387">
        <f t="shared" ref="C50:C79" si="3">C49+1</f>
        <v>43010</v>
      </c>
      <c r="D50" s="388">
        <f t="shared" ref="D50:D79" si="4">($F$24*$H$24)/$G$24</f>
        <v>150304.21677419354</v>
      </c>
      <c r="E50" s="392">
        <f t="shared" ref="E50:E79" si="5">P50+Q50+R50</f>
        <v>0</v>
      </c>
      <c r="F50" s="428">
        <f t="shared" ref="F50:F79" si="6">TRUNC(IFERROR(J$24/K$24,0),8)</f>
        <v>0.96573982000000003</v>
      </c>
      <c r="G50" s="390">
        <f t="shared" ref="G50:G79" si="7">ROUND(I$24*F50*E50,4)</f>
        <v>0</v>
      </c>
      <c r="H50" s="391">
        <f t="shared" si="0"/>
        <v>150305.18251401355</v>
      </c>
      <c r="I50" s="1369">
        <v>0</v>
      </c>
      <c r="J50" s="325"/>
      <c r="K50" s="325"/>
      <c r="L50" s="1369">
        <v>0</v>
      </c>
      <c r="M50" s="320"/>
      <c r="N50" s="320"/>
      <c r="O50" s="320"/>
      <c r="P50" s="392">
        <f t="shared" ref="P50:P79" si="8">L50</f>
        <v>0</v>
      </c>
      <c r="Q50" s="392">
        <f t="shared" si="1"/>
        <v>0</v>
      </c>
      <c r="R50" s="392">
        <f t="shared" si="2"/>
        <v>0</v>
      </c>
      <c r="S50" s="532">
        <v>62000.04</v>
      </c>
      <c r="T50" s="374"/>
      <c r="U50" s="520">
        <f t="shared" ref="U50:U79" si="9">S50+T50-V50</f>
        <v>62000.04</v>
      </c>
      <c r="V50" s="520">
        <f t="shared" ref="V50:V79" si="10">I50+J50+K50</f>
        <v>0</v>
      </c>
      <c r="W50" s="520">
        <f t="shared" ref="W50:W79" si="11">(P50+Q50+R50)*1.055056</f>
        <v>0</v>
      </c>
      <c r="X50" s="520">
        <f t="shared" ref="X50:X79" si="12">V50-W50</f>
        <v>0</v>
      </c>
      <c r="Y50" s="525">
        <f>Y49+X50</f>
        <v>0</v>
      </c>
    </row>
    <row r="51" spans="3:25" x14ac:dyDescent="0.2">
      <c r="C51" s="387">
        <f t="shared" si="3"/>
        <v>43011</v>
      </c>
      <c r="D51" s="388">
        <f t="shared" si="4"/>
        <v>150304.21677419354</v>
      </c>
      <c r="E51" s="392">
        <f t="shared" si="5"/>
        <v>0</v>
      </c>
      <c r="F51" s="428">
        <f t="shared" si="6"/>
        <v>0.96573982000000003</v>
      </c>
      <c r="G51" s="390">
        <f t="shared" si="7"/>
        <v>0</v>
      </c>
      <c r="H51" s="391">
        <f t="shared" si="0"/>
        <v>150305.18251401355</v>
      </c>
      <c r="I51" s="1369">
        <v>0</v>
      </c>
      <c r="J51" s="325"/>
      <c r="K51" s="325"/>
      <c r="L51" s="1369">
        <v>0</v>
      </c>
      <c r="M51" s="318"/>
      <c r="N51" s="318"/>
      <c r="O51" s="318"/>
      <c r="P51" s="392">
        <f t="shared" si="8"/>
        <v>0</v>
      </c>
      <c r="Q51" s="392">
        <f t="shared" si="1"/>
        <v>0</v>
      </c>
      <c r="R51" s="392">
        <f t="shared" si="2"/>
        <v>0</v>
      </c>
      <c r="S51" s="532">
        <v>62000.04</v>
      </c>
      <c r="T51" s="374"/>
      <c r="U51" s="520">
        <f t="shared" si="9"/>
        <v>62000.04</v>
      </c>
      <c r="V51" s="520">
        <f t="shared" si="10"/>
        <v>0</v>
      </c>
      <c r="W51" s="520">
        <f t="shared" si="11"/>
        <v>0</v>
      </c>
      <c r="X51" s="520">
        <f t="shared" si="12"/>
        <v>0</v>
      </c>
      <c r="Y51" s="525">
        <f t="shared" ref="Y51:Y79" si="13">Y50+X51</f>
        <v>0</v>
      </c>
    </row>
    <row r="52" spans="3:25" x14ac:dyDescent="0.2">
      <c r="C52" s="387">
        <f t="shared" si="3"/>
        <v>43012</v>
      </c>
      <c r="D52" s="388">
        <f t="shared" si="4"/>
        <v>150304.21677419354</v>
      </c>
      <c r="E52" s="392">
        <f t="shared" si="5"/>
        <v>0</v>
      </c>
      <c r="F52" s="428">
        <f t="shared" si="6"/>
        <v>0.96573982000000003</v>
      </c>
      <c r="G52" s="390">
        <f t="shared" si="7"/>
        <v>0</v>
      </c>
      <c r="H52" s="391">
        <f t="shared" si="0"/>
        <v>150305.18251401355</v>
      </c>
      <c r="I52" s="1369">
        <v>0</v>
      </c>
      <c r="J52" s="325"/>
      <c r="K52" s="325"/>
      <c r="L52" s="1369">
        <v>0</v>
      </c>
      <c r="M52" s="320"/>
      <c r="N52" s="320"/>
      <c r="O52" s="320"/>
      <c r="P52" s="392">
        <f t="shared" si="8"/>
        <v>0</v>
      </c>
      <c r="Q52" s="392">
        <f t="shared" si="1"/>
        <v>0</v>
      </c>
      <c r="R52" s="392">
        <f t="shared" si="2"/>
        <v>0</v>
      </c>
      <c r="S52" s="532">
        <v>60000</v>
      </c>
      <c r="T52" s="374"/>
      <c r="U52" s="520">
        <f t="shared" si="9"/>
        <v>60000</v>
      </c>
      <c r="V52" s="520">
        <f t="shared" si="10"/>
        <v>0</v>
      </c>
      <c r="W52" s="520">
        <f t="shared" si="11"/>
        <v>0</v>
      </c>
      <c r="X52" s="520">
        <f t="shared" si="12"/>
        <v>0</v>
      </c>
      <c r="Y52" s="525">
        <f t="shared" si="13"/>
        <v>0</v>
      </c>
    </row>
    <row r="53" spans="3:25" x14ac:dyDescent="0.2">
      <c r="C53" s="387">
        <f t="shared" si="3"/>
        <v>43013</v>
      </c>
      <c r="D53" s="388">
        <f t="shared" si="4"/>
        <v>150304.21677419354</v>
      </c>
      <c r="E53" s="392">
        <f t="shared" si="5"/>
        <v>0</v>
      </c>
      <c r="F53" s="428">
        <f t="shared" si="6"/>
        <v>0.96573982000000003</v>
      </c>
      <c r="G53" s="390">
        <f t="shared" si="7"/>
        <v>0</v>
      </c>
      <c r="H53" s="391">
        <f t="shared" si="0"/>
        <v>150305.18251401355</v>
      </c>
      <c r="I53" s="1369">
        <v>0</v>
      </c>
      <c r="J53" s="325"/>
      <c r="K53" s="325"/>
      <c r="L53" s="1369">
        <v>0</v>
      </c>
      <c r="M53" s="318"/>
      <c r="N53" s="318"/>
      <c r="O53" s="318"/>
      <c r="P53" s="392">
        <f t="shared" si="8"/>
        <v>0</v>
      </c>
      <c r="Q53" s="392">
        <f t="shared" si="1"/>
        <v>0</v>
      </c>
      <c r="R53" s="392">
        <f t="shared" si="2"/>
        <v>0</v>
      </c>
      <c r="S53" s="532">
        <v>60000</v>
      </c>
      <c r="T53" s="374"/>
      <c r="U53" s="520">
        <f t="shared" si="9"/>
        <v>60000</v>
      </c>
      <c r="V53" s="520">
        <f t="shared" si="10"/>
        <v>0</v>
      </c>
      <c r="W53" s="520">
        <f t="shared" si="11"/>
        <v>0</v>
      </c>
      <c r="X53" s="520">
        <f t="shared" si="12"/>
        <v>0</v>
      </c>
      <c r="Y53" s="525">
        <f t="shared" si="13"/>
        <v>0</v>
      </c>
    </row>
    <row r="54" spans="3:25" x14ac:dyDescent="0.2">
      <c r="C54" s="387">
        <f t="shared" si="3"/>
        <v>43014</v>
      </c>
      <c r="D54" s="388">
        <f t="shared" si="4"/>
        <v>150304.21677419354</v>
      </c>
      <c r="E54" s="392">
        <f t="shared" si="5"/>
        <v>0</v>
      </c>
      <c r="F54" s="428">
        <f t="shared" si="6"/>
        <v>0.96573982000000003</v>
      </c>
      <c r="G54" s="390">
        <f t="shared" si="7"/>
        <v>0</v>
      </c>
      <c r="H54" s="391">
        <f t="shared" si="0"/>
        <v>150305.18251401355</v>
      </c>
      <c r="I54" s="1369">
        <v>0</v>
      </c>
      <c r="J54" s="325"/>
      <c r="K54" s="325"/>
      <c r="L54" s="1369">
        <v>0</v>
      </c>
      <c r="M54" s="320"/>
      <c r="N54" s="320"/>
      <c r="O54" s="320"/>
      <c r="P54" s="392">
        <f t="shared" si="8"/>
        <v>0</v>
      </c>
      <c r="Q54" s="392">
        <f t="shared" si="1"/>
        <v>0</v>
      </c>
      <c r="R54" s="392">
        <f t="shared" si="2"/>
        <v>0</v>
      </c>
      <c r="S54" s="532">
        <v>60000</v>
      </c>
      <c r="T54" s="374"/>
      <c r="U54" s="520">
        <f t="shared" si="9"/>
        <v>60000</v>
      </c>
      <c r="V54" s="520">
        <f t="shared" si="10"/>
        <v>0</v>
      </c>
      <c r="W54" s="520">
        <f t="shared" si="11"/>
        <v>0</v>
      </c>
      <c r="X54" s="520">
        <f t="shared" si="12"/>
        <v>0</v>
      </c>
      <c r="Y54" s="525">
        <f t="shared" si="13"/>
        <v>0</v>
      </c>
    </row>
    <row r="55" spans="3:25" x14ac:dyDescent="0.2">
      <c r="C55" s="387">
        <f t="shared" si="3"/>
        <v>43015</v>
      </c>
      <c r="D55" s="388">
        <f t="shared" si="4"/>
        <v>150304.21677419354</v>
      </c>
      <c r="E55" s="392">
        <f t="shared" si="5"/>
        <v>0</v>
      </c>
      <c r="F55" s="428">
        <f t="shared" si="6"/>
        <v>0.96573982000000003</v>
      </c>
      <c r="G55" s="390">
        <f t="shared" si="7"/>
        <v>0</v>
      </c>
      <c r="H55" s="391">
        <f t="shared" si="0"/>
        <v>150305.18251401355</v>
      </c>
      <c r="I55" s="1369">
        <v>0</v>
      </c>
      <c r="J55" s="325"/>
      <c r="K55" s="325"/>
      <c r="L55" s="1369">
        <v>0</v>
      </c>
      <c r="M55" s="318"/>
      <c r="N55" s="318"/>
      <c r="O55" s="318"/>
      <c r="P55" s="392">
        <f t="shared" si="8"/>
        <v>0</v>
      </c>
      <c r="Q55" s="392">
        <f t="shared" si="1"/>
        <v>0</v>
      </c>
      <c r="R55" s="392">
        <f t="shared" si="2"/>
        <v>0</v>
      </c>
      <c r="S55" s="532">
        <v>62000.04</v>
      </c>
      <c r="T55" s="374"/>
      <c r="U55" s="520">
        <f t="shared" si="9"/>
        <v>62000.04</v>
      </c>
      <c r="V55" s="520">
        <f t="shared" si="10"/>
        <v>0</v>
      </c>
      <c r="W55" s="520">
        <f t="shared" si="11"/>
        <v>0</v>
      </c>
      <c r="X55" s="520">
        <f t="shared" si="12"/>
        <v>0</v>
      </c>
      <c r="Y55" s="525">
        <f t="shared" si="13"/>
        <v>0</v>
      </c>
    </row>
    <row r="56" spans="3:25" x14ac:dyDescent="0.2">
      <c r="C56" s="387">
        <f t="shared" si="3"/>
        <v>43016</v>
      </c>
      <c r="D56" s="388">
        <f t="shared" si="4"/>
        <v>150304.21677419354</v>
      </c>
      <c r="E56" s="392">
        <f t="shared" si="5"/>
        <v>0</v>
      </c>
      <c r="F56" s="428">
        <f t="shared" si="6"/>
        <v>0.96573982000000003</v>
      </c>
      <c r="G56" s="390">
        <f t="shared" si="7"/>
        <v>0</v>
      </c>
      <c r="H56" s="391">
        <f t="shared" si="0"/>
        <v>150305.18251401355</v>
      </c>
      <c r="I56" s="1369">
        <v>0</v>
      </c>
      <c r="J56" s="325"/>
      <c r="K56" s="325"/>
      <c r="L56" s="1369">
        <v>0</v>
      </c>
      <c r="M56" s="320"/>
      <c r="N56" s="320"/>
      <c r="O56" s="320"/>
      <c r="P56" s="392">
        <f t="shared" si="8"/>
        <v>0</v>
      </c>
      <c r="Q56" s="392">
        <f t="shared" si="1"/>
        <v>0</v>
      </c>
      <c r="R56" s="392">
        <f t="shared" si="2"/>
        <v>0</v>
      </c>
      <c r="S56" s="532">
        <v>62000.04</v>
      </c>
      <c r="T56" s="374"/>
      <c r="U56" s="520">
        <f t="shared" si="9"/>
        <v>62000.04</v>
      </c>
      <c r="V56" s="520">
        <f t="shared" si="10"/>
        <v>0</v>
      </c>
      <c r="W56" s="520">
        <f t="shared" si="11"/>
        <v>0</v>
      </c>
      <c r="X56" s="520">
        <f t="shared" si="12"/>
        <v>0</v>
      </c>
      <c r="Y56" s="525">
        <f t="shared" si="13"/>
        <v>0</v>
      </c>
    </row>
    <row r="57" spans="3:25" x14ac:dyDescent="0.2">
      <c r="C57" s="387">
        <f t="shared" si="3"/>
        <v>43017</v>
      </c>
      <c r="D57" s="388">
        <f t="shared" si="4"/>
        <v>150304.21677419354</v>
      </c>
      <c r="E57" s="392">
        <f t="shared" si="5"/>
        <v>47.495998</v>
      </c>
      <c r="F57" s="428">
        <f t="shared" si="6"/>
        <v>0.96573982000000003</v>
      </c>
      <c r="G57" s="390">
        <f t="shared" si="7"/>
        <v>4.5900000000000003E-2</v>
      </c>
      <c r="H57" s="391">
        <f t="shared" si="0"/>
        <v>150352.72441201354</v>
      </c>
      <c r="I57" s="1369">
        <v>0</v>
      </c>
      <c r="J57" s="325"/>
      <c r="K57" s="325"/>
      <c r="L57" s="317">
        <v>47.495998</v>
      </c>
      <c r="M57" s="318"/>
      <c r="N57" s="318"/>
      <c r="O57" s="318"/>
      <c r="P57" s="392">
        <f t="shared" si="8"/>
        <v>47.495998</v>
      </c>
      <c r="Q57" s="392">
        <f t="shared" si="1"/>
        <v>0</v>
      </c>
      <c r="R57" s="392">
        <f t="shared" si="2"/>
        <v>0</v>
      </c>
      <c r="S57" s="532">
        <v>62000.04</v>
      </c>
      <c r="T57" s="374"/>
      <c r="U57" s="520">
        <f t="shared" si="9"/>
        <v>62000.04</v>
      </c>
      <c r="V57" s="520">
        <f t="shared" si="10"/>
        <v>0</v>
      </c>
      <c r="W57" s="520">
        <f t="shared" si="11"/>
        <v>50.110937665888002</v>
      </c>
      <c r="X57" s="520">
        <f t="shared" si="12"/>
        <v>-50.110937665888002</v>
      </c>
      <c r="Y57" s="525">
        <f t="shared" si="13"/>
        <v>-50.110937665888002</v>
      </c>
    </row>
    <row r="58" spans="3:25" x14ac:dyDescent="0.2">
      <c r="C58" s="387">
        <f t="shared" si="3"/>
        <v>43018</v>
      </c>
      <c r="D58" s="388">
        <f t="shared" si="4"/>
        <v>150304.21677419354</v>
      </c>
      <c r="E58" s="392">
        <f t="shared" si="5"/>
        <v>0</v>
      </c>
      <c r="F58" s="428">
        <f t="shared" si="6"/>
        <v>0.96573982000000003</v>
      </c>
      <c r="G58" s="390">
        <f t="shared" si="7"/>
        <v>0</v>
      </c>
      <c r="H58" s="391">
        <f t="shared" si="0"/>
        <v>150305.18251401355</v>
      </c>
      <c r="I58" s="1369">
        <v>7582</v>
      </c>
      <c r="J58" s="325"/>
      <c r="K58" s="325"/>
      <c r="L58" s="1369">
        <v>0</v>
      </c>
      <c r="M58" s="320"/>
      <c r="N58" s="320"/>
      <c r="O58" s="320"/>
      <c r="P58" s="392">
        <f t="shared" si="8"/>
        <v>0</v>
      </c>
      <c r="Q58" s="392">
        <f t="shared" si="1"/>
        <v>0</v>
      </c>
      <c r="R58" s="392">
        <f t="shared" si="2"/>
        <v>0</v>
      </c>
      <c r="S58" s="532">
        <v>62000.04</v>
      </c>
      <c r="T58" s="374"/>
      <c r="U58" s="520">
        <f t="shared" si="9"/>
        <v>54418.04</v>
      </c>
      <c r="V58" s="520">
        <f t="shared" si="10"/>
        <v>7582</v>
      </c>
      <c r="W58" s="520">
        <f t="shared" si="11"/>
        <v>0</v>
      </c>
      <c r="X58" s="520">
        <f t="shared" si="12"/>
        <v>7582</v>
      </c>
      <c r="Y58" s="525">
        <f t="shared" si="13"/>
        <v>7531.8890623341122</v>
      </c>
    </row>
    <row r="59" spans="3:25" x14ac:dyDescent="0.2">
      <c r="C59" s="387">
        <f t="shared" si="3"/>
        <v>43019</v>
      </c>
      <c r="D59" s="388">
        <f t="shared" si="4"/>
        <v>150304.21677419354</v>
      </c>
      <c r="E59" s="392">
        <f t="shared" si="5"/>
        <v>92.155000000000001</v>
      </c>
      <c r="F59" s="428">
        <f t="shared" si="6"/>
        <v>0.96573982000000003</v>
      </c>
      <c r="G59" s="390">
        <f t="shared" si="7"/>
        <v>8.8999999999999996E-2</v>
      </c>
      <c r="H59" s="391">
        <f t="shared" si="0"/>
        <v>150397.42651401355</v>
      </c>
      <c r="I59" s="1369">
        <v>22748</v>
      </c>
      <c r="J59" s="325"/>
      <c r="K59" s="325"/>
      <c r="L59" s="317">
        <v>92.155000000000001</v>
      </c>
      <c r="M59" s="318"/>
      <c r="N59" s="318"/>
      <c r="O59" s="318"/>
      <c r="P59" s="392">
        <f t="shared" si="8"/>
        <v>92.155000000000001</v>
      </c>
      <c r="Q59" s="392">
        <f t="shared" si="1"/>
        <v>0</v>
      </c>
      <c r="R59" s="392">
        <f t="shared" si="2"/>
        <v>0</v>
      </c>
      <c r="S59" s="532">
        <v>62000.04</v>
      </c>
      <c r="T59" s="374"/>
      <c r="U59" s="520">
        <f t="shared" si="9"/>
        <v>39252.04</v>
      </c>
      <c r="V59" s="520">
        <f t="shared" si="10"/>
        <v>22748</v>
      </c>
      <c r="W59" s="520">
        <f t="shared" si="11"/>
        <v>97.228685679999998</v>
      </c>
      <c r="X59" s="520">
        <f t="shared" si="12"/>
        <v>22650.771314320002</v>
      </c>
      <c r="Y59" s="525">
        <f t="shared" si="13"/>
        <v>30182.660376654116</v>
      </c>
    </row>
    <row r="60" spans="3:25" x14ac:dyDescent="0.2">
      <c r="C60" s="387">
        <f t="shared" si="3"/>
        <v>43020</v>
      </c>
      <c r="D60" s="388">
        <f t="shared" si="4"/>
        <v>150304.21677419354</v>
      </c>
      <c r="E60" s="392">
        <f t="shared" si="5"/>
        <v>151.50399999999999</v>
      </c>
      <c r="F60" s="428">
        <f t="shared" si="6"/>
        <v>0.96573982000000003</v>
      </c>
      <c r="G60" s="390">
        <f t="shared" si="7"/>
        <v>0.14630000000000001</v>
      </c>
      <c r="H60" s="391">
        <f t="shared" si="0"/>
        <v>150456.83281401353</v>
      </c>
      <c r="I60" s="1369">
        <v>34121</v>
      </c>
      <c r="J60" s="325"/>
      <c r="K60" s="325"/>
      <c r="L60" s="319">
        <v>151.50399999999999</v>
      </c>
      <c r="M60" s="320"/>
      <c r="N60" s="320"/>
      <c r="O60" s="320"/>
      <c r="P60" s="392">
        <f t="shared" si="8"/>
        <v>151.50399999999999</v>
      </c>
      <c r="Q60" s="392">
        <f t="shared" si="1"/>
        <v>0</v>
      </c>
      <c r="R60" s="392">
        <f t="shared" si="2"/>
        <v>0</v>
      </c>
      <c r="S60" s="532">
        <v>62000.04</v>
      </c>
      <c r="T60" s="374"/>
      <c r="U60" s="520">
        <f t="shared" si="9"/>
        <v>27879.040000000001</v>
      </c>
      <c r="V60" s="520">
        <f t="shared" si="10"/>
        <v>34121</v>
      </c>
      <c r="W60" s="520">
        <f t="shared" si="11"/>
        <v>159.84520422399999</v>
      </c>
      <c r="X60" s="520">
        <f t="shared" si="12"/>
        <v>33961.154795775998</v>
      </c>
      <c r="Y60" s="525">
        <f t="shared" si="13"/>
        <v>64143.815172430113</v>
      </c>
    </row>
    <row r="61" spans="3:25" x14ac:dyDescent="0.2">
      <c r="C61" s="387">
        <f t="shared" si="3"/>
        <v>43021</v>
      </c>
      <c r="D61" s="388">
        <f t="shared" si="4"/>
        <v>150304.21677419354</v>
      </c>
      <c r="E61" s="392">
        <f t="shared" si="5"/>
        <v>16269.89</v>
      </c>
      <c r="F61" s="428">
        <f t="shared" si="6"/>
        <v>0.96573982000000003</v>
      </c>
      <c r="G61" s="390">
        <f t="shared" si="7"/>
        <v>15.7125</v>
      </c>
      <c r="H61" s="391">
        <f t="shared" si="0"/>
        <v>166590.78501401353</v>
      </c>
      <c r="I61" s="1369">
        <v>25591</v>
      </c>
      <c r="J61" s="325"/>
      <c r="K61" s="325"/>
      <c r="L61" s="317">
        <v>16269.89</v>
      </c>
      <c r="M61" s="318"/>
      <c r="N61" s="318"/>
      <c r="O61" s="318"/>
      <c r="P61" s="392">
        <f t="shared" si="8"/>
        <v>16269.89</v>
      </c>
      <c r="Q61" s="392">
        <f t="shared" si="1"/>
        <v>0</v>
      </c>
      <c r="R61" s="392">
        <f t="shared" si="2"/>
        <v>0</v>
      </c>
      <c r="S61" s="532">
        <v>62000.04</v>
      </c>
      <c r="T61" s="374"/>
      <c r="U61" s="520">
        <f t="shared" si="9"/>
        <v>36409.040000000001</v>
      </c>
      <c r="V61" s="520">
        <f t="shared" si="10"/>
        <v>25591</v>
      </c>
      <c r="W61" s="520">
        <f t="shared" si="11"/>
        <v>17165.645063839998</v>
      </c>
      <c r="X61" s="520">
        <f t="shared" si="12"/>
        <v>8425.3549361600017</v>
      </c>
      <c r="Y61" s="525">
        <f t="shared" si="13"/>
        <v>72569.170108590115</v>
      </c>
    </row>
    <row r="62" spans="3:25" x14ac:dyDescent="0.2">
      <c r="C62" s="387">
        <f t="shared" si="3"/>
        <v>43022</v>
      </c>
      <c r="D62" s="388">
        <f t="shared" si="4"/>
        <v>150304.21677419354</v>
      </c>
      <c r="E62" s="392">
        <f t="shared" si="5"/>
        <v>12382.665999999999</v>
      </c>
      <c r="F62" s="428">
        <f t="shared" si="6"/>
        <v>0.96573982000000003</v>
      </c>
      <c r="G62" s="390">
        <f t="shared" si="7"/>
        <v>11.958399999999999</v>
      </c>
      <c r="H62" s="391">
        <f t="shared" si="0"/>
        <v>162699.80691401355</v>
      </c>
      <c r="I62" s="1369">
        <v>11374</v>
      </c>
      <c r="J62" s="325"/>
      <c r="K62" s="325"/>
      <c r="L62" s="319">
        <v>12382.665999999999</v>
      </c>
      <c r="M62" s="320"/>
      <c r="N62" s="320"/>
      <c r="O62" s="320"/>
      <c r="P62" s="392">
        <f t="shared" si="8"/>
        <v>12382.665999999999</v>
      </c>
      <c r="Q62" s="392">
        <f t="shared" si="1"/>
        <v>0</v>
      </c>
      <c r="R62" s="392">
        <f t="shared" si="2"/>
        <v>0</v>
      </c>
      <c r="S62" s="532">
        <v>62000.04</v>
      </c>
      <c r="T62" s="374"/>
      <c r="U62" s="520">
        <f t="shared" si="9"/>
        <v>50626.04</v>
      </c>
      <c r="V62" s="520">
        <f t="shared" si="10"/>
        <v>11374</v>
      </c>
      <c r="W62" s="520">
        <f t="shared" si="11"/>
        <v>13064.406059296</v>
      </c>
      <c r="X62" s="520">
        <f t="shared" si="12"/>
        <v>-1690.4060592959995</v>
      </c>
      <c r="Y62" s="525">
        <f t="shared" si="13"/>
        <v>70878.764049294114</v>
      </c>
    </row>
    <row r="63" spans="3:25" x14ac:dyDescent="0.2">
      <c r="C63" s="387">
        <f t="shared" si="3"/>
        <v>43023</v>
      </c>
      <c r="D63" s="388">
        <f t="shared" si="4"/>
        <v>150304.21677419354</v>
      </c>
      <c r="E63" s="392">
        <f t="shared" si="5"/>
        <v>38735.379999999997</v>
      </c>
      <c r="F63" s="428">
        <f t="shared" si="6"/>
        <v>0.96573982000000003</v>
      </c>
      <c r="G63" s="390">
        <f t="shared" si="7"/>
        <v>37.408299999999997</v>
      </c>
      <c r="H63" s="391">
        <f t="shared" si="0"/>
        <v>189077.97081401356</v>
      </c>
      <c r="I63" s="1369">
        <v>11374</v>
      </c>
      <c r="J63" s="325"/>
      <c r="K63" s="325"/>
      <c r="L63" s="317">
        <v>38735.379999999997</v>
      </c>
      <c r="M63" s="318"/>
      <c r="N63" s="318"/>
      <c r="O63" s="318"/>
      <c r="P63" s="392">
        <f t="shared" si="8"/>
        <v>38735.379999999997</v>
      </c>
      <c r="Q63" s="392">
        <f t="shared" si="1"/>
        <v>0</v>
      </c>
      <c r="R63" s="392">
        <f t="shared" si="2"/>
        <v>0</v>
      </c>
      <c r="S63" s="532">
        <v>68000.13</v>
      </c>
      <c r="T63" s="374"/>
      <c r="U63" s="520">
        <f t="shared" si="9"/>
        <v>56626.130000000005</v>
      </c>
      <c r="V63" s="520">
        <f t="shared" si="10"/>
        <v>11374</v>
      </c>
      <c r="W63" s="520">
        <f t="shared" si="11"/>
        <v>40867.995081279994</v>
      </c>
      <c r="X63" s="520">
        <f t="shared" si="12"/>
        <v>-29493.995081279994</v>
      </c>
      <c r="Y63" s="525">
        <f t="shared" si="13"/>
        <v>41384.768968014119</v>
      </c>
    </row>
    <row r="64" spans="3:25" x14ac:dyDescent="0.2">
      <c r="C64" s="387">
        <f t="shared" si="3"/>
        <v>43024</v>
      </c>
      <c r="D64" s="388">
        <f t="shared" si="4"/>
        <v>150304.21677419354</v>
      </c>
      <c r="E64" s="392">
        <f t="shared" si="5"/>
        <v>38532</v>
      </c>
      <c r="F64" s="428">
        <f t="shared" si="6"/>
        <v>0.96573982000000003</v>
      </c>
      <c r="G64" s="390">
        <f t="shared" si="7"/>
        <v>37.2119</v>
      </c>
      <c r="H64" s="391">
        <f t="shared" si="0"/>
        <v>188874.39441401354</v>
      </c>
      <c r="I64" s="1369">
        <v>11374</v>
      </c>
      <c r="J64" s="325"/>
      <c r="K64" s="325"/>
      <c r="L64" s="319">
        <v>38532</v>
      </c>
      <c r="M64" s="320"/>
      <c r="N64" s="320"/>
      <c r="O64" s="320"/>
      <c r="P64" s="392">
        <f t="shared" si="8"/>
        <v>38532</v>
      </c>
      <c r="Q64" s="392">
        <f t="shared" si="1"/>
        <v>0</v>
      </c>
      <c r="R64" s="392">
        <f t="shared" si="2"/>
        <v>0</v>
      </c>
      <c r="S64" s="532">
        <v>68000.13</v>
      </c>
      <c r="T64" s="374"/>
      <c r="U64" s="520">
        <f t="shared" si="9"/>
        <v>56626.130000000005</v>
      </c>
      <c r="V64" s="520">
        <f t="shared" si="10"/>
        <v>11374</v>
      </c>
      <c r="W64" s="520">
        <f t="shared" si="11"/>
        <v>40653.417792</v>
      </c>
      <c r="X64" s="520">
        <f t="shared" si="12"/>
        <v>-29279.417792</v>
      </c>
      <c r="Y64" s="525">
        <f t="shared" si="13"/>
        <v>12105.351176014119</v>
      </c>
    </row>
    <row r="65" spans="3:38" x14ac:dyDescent="0.2">
      <c r="C65" s="387">
        <f t="shared" si="3"/>
        <v>43025</v>
      </c>
      <c r="D65" s="388">
        <f t="shared" si="4"/>
        <v>150304.21677419354</v>
      </c>
      <c r="E65" s="392">
        <f t="shared" si="5"/>
        <v>38589.699999999997</v>
      </c>
      <c r="F65" s="428">
        <f t="shared" si="6"/>
        <v>0.96573982000000003</v>
      </c>
      <c r="G65" s="390">
        <f t="shared" si="7"/>
        <v>37.267600000000002</v>
      </c>
      <c r="H65" s="391">
        <f t="shared" si="0"/>
        <v>188932.15011401352</v>
      </c>
      <c r="I65" s="1369">
        <v>11374</v>
      </c>
      <c r="J65" s="325"/>
      <c r="K65" s="325"/>
      <c r="L65" s="317">
        <v>38589.699999999997</v>
      </c>
      <c r="M65" s="318"/>
      <c r="N65" s="318"/>
      <c r="O65" s="318"/>
      <c r="P65" s="392">
        <f t="shared" si="8"/>
        <v>38589.699999999997</v>
      </c>
      <c r="Q65" s="392">
        <f t="shared" si="1"/>
        <v>0</v>
      </c>
      <c r="R65" s="392">
        <f t="shared" si="2"/>
        <v>0</v>
      </c>
      <c r="S65" s="532">
        <v>68000.13</v>
      </c>
      <c r="T65" s="374"/>
      <c r="U65" s="520">
        <f t="shared" si="9"/>
        <v>56626.130000000005</v>
      </c>
      <c r="V65" s="520">
        <f t="shared" si="10"/>
        <v>11374</v>
      </c>
      <c r="W65" s="520">
        <f t="shared" si="11"/>
        <v>40714.294523199998</v>
      </c>
      <c r="X65" s="520">
        <f t="shared" si="12"/>
        <v>-29340.294523199998</v>
      </c>
      <c r="Y65" s="525">
        <f t="shared" si="13"/>
        <v>-17234.943347185879</v>
      </c>
    </row>
    <row r="66" spans="3:38" x14ac:dyDescent="0.2">
      <c r="C66" s="387">
        <f t="shared" si="3"/>
        <v>43026</v>
      </c>
      <c r="D66" s="388">
        <f t="shared" si="4"/>
        <v>150304.21677419354</v>
      </c>
      <c r="E66" s="392">
        <f t="shared" si="5"/>
        <v>38543.165999999997</v>
      </c>
      <c r="F66" s="428">
        <f t="shared" si="6"/>
        <v>0.96573982000000003</v>
      </c>
      <c r="G66" s="390">
        <f t="shared" si="7"/>
        <v>37.222700000000003</v>
      </c>
      <c r="H66" s="391">
        <f t="shared" si="0"/>
        <v>188885.57121401356</v>
      </c>
      <c r="I66" s="1369">
        <v>35070</v>
      </c>
      <c r="J66" s="325"/>
      <c r="K66" s="325"/>
      <c r="L66" s="319">
        <v>38543.165999999997</v>
      </c>
      <c r="M66" s="320"/>
      <c r="N66" s="320"/>
      <c r="O66" s="320"/>
      <c r="P66" s="392">
        <f t="shared" si="8"/>
        <v>38543.165999999997</v>
      </c>
      <c r="Q66" s="392">
        <f t="shared" si="1"/>
        <v>0</v>
      </c>
      <c r="R66" s="392">
        <f t="shared" si="2"/>
        <v>0</v>
      </c>
      <c r="S66" s="532">
        <v>64999.600000000006</v>
      </c>
      <c r="T66" s="374"/>
      <c r="U66" s="520">
        <f t="shared" si="9"/>
        <v>29929.600000000006</v>
      </c>
      <c r="V66" s="520">
        <f t="shared" si="10"/>
        <v>35070</v>
      </c>
      <c r="W66" s="520">
        <f t="shared" si="11"/>
        <v>40665.198547296</v>
      </c>
      <c r="X66" s="520">
        <f t="shared" si="12"/>
        <v>-5595.1985472960005</v>
      </c>
      <c r="Y66" s="525">
        <f t="shared" si="13"/>
        <v>-22830.14189448188</v>
      </c>
    </row>
    <row r="67" spans="3:38" x14ac:dyDescent="0.2">
      <c r="C67" s="387">
        <f t="shared" si="3"/>
        <v>43027</v>
      </c>
      <c r="D67" s="388">
        <f t="shared" si="4"/>
        <v>150304.21677419354</v>
      </c>
      <c r="E67" s="392">
        <f t="shared" si="5"/>
        <v>38780.269999999997</v>
      </c>
      <c r="F67" s="428">
        <f t="shared" si="6"/>
        <v>0.96573982000000003</v>
      </c>
      <c r="G67" s="390">
        <f t="shared" si="7"/>
        <v>37.451700000000002</v>
      </c>
      <c r="H67" s="391">
        <f t="shared" si="0"/>
        <v>189122.90421401354</v>
      </c>
      <c r="I67" s="1369">
        <v>36017</v>
      </c>
      <c r="J67" s="325"/>
      <c r="K67" s="325"/>
      <c r="L67" s="317">
        <v>38780.269999999997</v>
      </c>
      <c r="M67" s="318"/>
      <c r="N67" s="318"/>
      <c r="O67" s="318"/>
      <c r="P67" s="392">
        <f t="shared" si="8"/>
        <v>38780.269999999997</v>
      </c>
      <c r="Q67" s="392">
        <f t="shared" si="1"/>
        <v>0</v>
      </c>
      <c r="R67" s="392">
        <f t="shared" si="2"/>
        <v>0</v>
      </c>
      <c r="S67" s="532">
        <v>64999.600000000006</v>
      </c>
      <c r="T67" s="374"/>
      <c r="U67" s="520">
        <f t="shared" si="9"/>
        <v>28982.600000000006</v>
      </c>
      <c r="V67" s="520">
        <f t="shared" si="10"/>
        <v>36017</v>
      </c>
      <c r="W67" s="520">
        <f t="shared" si="11"/>
        <v>40915.356545119997</v>
      </c>
      <c r="X67" s="520">
        <f t="shared" si="12"/>
        <v>-4898.3565451199975</v>
      </c>
      <c r="Y67" s="525">
        <f t="shared" si="13"/>
        <v>-27728.498439601877</v>
      </c>
    </row>
    <row r="68" spans="3:38" x14ac:dyDescent="0.2">
      <c r="C68" s="387">
        <f t="shared" si="3"/>
        <v>43028</v>
      </c>
      <c r="D68" s="388">
        <f t="shared" si="4"/>
        <v>150304.21677419354</v>
      </c>
      <c r="E68" s="392">
        <f t="shared" si="5"/>
        <v>38801.69</v>
      </c>
      <c r="F68" s="428">
        <f t="shared" si="6"/>
        <v>0.96573982000000003</v>
      </c>
      <c r="G68" s="390">
        <f t="shared" si="7"/>
        <v>37.472299999999997</v>
      </c>
      <c r="H68" s="391">
        <f t="shared" si="0"/>
        <v>189144.34481401354</v>
      </c>
      <c r="I68" s="1369">
        <v>35543</v>
      </c>
      <c r="J68" s="325"/>
      <c r="K68" s="325"/>
      <c r="L68" s="319">
        <v>38801.69</v>
      </c>
      <c r="M68" s="320"/>
      <c r="N68" s="320"/>
      <c r="O68" s="320"/>
      <c r="P68" s="392">
        <f t="shared" si="8"/>
        <v>38801.69</v>
      </c>
      <c r="Q68" s="392">
        <f t="shared" si="1"/>
        <v>0</v>
      </c>
      <c r="R68" s="392">
        <f t="shared" si="2"/>
        <v>0</v>
      </c>
      <c r="S68" s="532">
        <v>64999.600000000006</v>
      </c>
      <c r="T68" s="374"/>
      <c r="U68" s="520">
        <f t="shared" si="9"/>
        <v>29456.600000000006</v>
      </c>
      <c r="V68" s="520">
        <f t="shared" si="10"/>
        <v>35543</v>
      </c>
      <c r="W68" s="520">
        <f t="shared" si="11"/>
        <v>40937.955844640004</v>
      </c>
      <c r="X68" s="520">
        <f t="shared" si="12"/>
        <v>-5394.9558446400042</v>
      </c>
      <c r="Y68" s="525">
        <f t="shared" si="13"/>
        <v>-33123.454284241881</v>
      </c>
    </row>
    <row r="69" spans="3:38" x14ac:dyDescent="0.2">
      <c r="C69" s="387">
        <f t="shared" si="3"/>
        <v>43029</v>
      </c>
      <c r="D69" s="388">
        <f t="shared" si="4"/>
        <v>150304.21677419354</v>
      </c>
      <c r="E69" s="392">
        <f t="shared" si="5"/>
        <v>24354.2</v>
      </c>
      <c r="F69" s="428">
        <f t="shared" si="6"/>
        <v>0.96573982000000003</v>
      </c>
      <c r="G69" s="390">
        <f t="shared" si="7"/>
        <v>23.5198</v>
      </c>
      <c r="H69" s="391">
        <f t="shared" si="0"/>
        <v>174682.90231401357</v>
      </c>
      <c r="I69" s="1369">
        <v>48338</v>
      </c>
      <c r="J69" s="325"/>
      <c r="K69" s="325"/>
      <c r="L69" s="317">
        <v>24354.2</v>
      </c>
      <c r="M69" s="318"/>
      <c r="N69" s="318"/>
      <c r="O69" s="318"/>
      <c r="P69" s="392">
        <f t="shared" si="8"/>
        <v>24354.2</v>
      </c>
      <c r="Q69" s="392">
        <f t="shared" si="1"/>
        <v>0</v>
      </c>
      <c r="R69" s="392">
        <f t="shared" si="2"/>
        <v>0</v>
      </c>
      <c r="S69" s="532">
        <v>64999.600000000006</v>
      </c>
      <c r="T69" s="374"/>
      <c r="U69" s="520">
        <f t="shared" si="9"/>
        <v>16661.600000000006</v>
      </c>
      <c r="V69" s="520">
        <f t="shared" si="10"/>
        <v>48338</v>
      </c>
      <c r="W69" s="520">
        <f t="shared" si="11"/>
        <v>25695.044835200002</v>
      </c>
      <c r="X69" s="520">
        <f t="shared" si="12"/>
        <v>22642.955164799998</v>
      </c>
      <c r="Y69" s="525">
        <f t="shared" si="13"/>
        <v>-10480.499119441884</v>
      </c>
    </row>
    <row r="70" spans="3:38" x14ac:dyDescent="0.2">
      <c r="C70" s="387">
        <f t="shared" si="3"/>
        <v>43030</v>
      </c>
      <c r="D70" s="388">
        <f t="shared" si="4"/>
        <v>150304.21677419354</v>
      </c>
      <c r="E70" s="392">
        <f t="shared" si="5"/>
        <v>36869.050000000003</v>
      </c>
      <c r="F70" s="428">
        <f t="shared" si="6"/>
        <v>0.96573982000000003</v>
      </c>
      <c r="G70" s="390">
        <f t="shared" si="7"/>
        <v>35.605899999999998</v>
      </c>
      <c r="H70" s="391">
        <f t="shared" si="0"/>
        <v>187209.83841401356</v>
      </c>
      <c r="I70" s="1369">
        <v>48338</v>
      </c>
      <c r="J70" s="325"/>
      <c r="K70" s="325"/>
      <c r="L70" s="319">
        <v>36869.050000000003</v>
      </c>
      <c r="M70" s="320"/>
      <c r="N70" s="320"/>
      <c r="O70" s="320"/>
      <c r="P70" s="392">
        <f t="shared" si="8"/>
        <v>36869.050000000003</v>
      </c>
      <c r="Q70" s="392">
        <f t="shared" si="1"/>
        <v>0</v>
      </c>
      <c r="R70" s="392">
        <f t="shared" si="2"/>
        <v>0</v>
      </c>
      <c r="S70" s="532">
        <v>68000.13</v>
      </c>
      <c r="T70" s="374"/>
      <c r="U70" s="520">
        <f t="shared" si="9"/>
        <v>19662.130000000005</v>
      </c>
      <c r="V70" s="520">
        <f t="shared" si="10"/>
        <v>48338</v>
      </c>
      <c r="W70" s="520">
        <f t="shared" si="11"/>
        <v>38898.912416800005</v>
      </c>
      <c r="X70" s="520">
        <f t="shared" si="12"/>
        <v>9439.0875831999947</v>
      </c>
      <c r="Y70" s="525">
        <f t="shared" si="13"/>
        <v>-1041.4115362418888</v>
      </c>
    </row>
    <row r="71" spans="3:38" x14ac:dyDescent="0.2">
      <c r="C71" s="387">
        <f t="shared" si="3"/>
        <v>43031</v>
      </c>
      <c r="D71" s="388">
        <f t="shared" si="4"/>
        <v>150304.21677419354</v>
      </c>
      <c r="E71" s="392">
        <f t="shared" si="5"/>
        <v>13058.15</v>
      </c>
      <c r="F71" s="428">
        <f t="shared" si="6"/>
        <v>0.96573982000000003</v>
      </c>
      <c r="G71" s="390">
        <f t="shared" si="7"/>
        <v>12.610799999999999</v>
      </c>
      <c r="H71" s="391">
        <f t="shared" si="0"/>
        <v>163375.94331401354</v>
      </c>
      <c r="I71" s="1369">
        <v>48338</v>
      </c>
      <c r="J71" s="325"/>
      <c r="K71" s="325"/>
      <c r="L71" s="317">
        <v>13058.15</v>
      </c>
      <c r="M71" s="318"/>
      <c r="N71" s="318"/>
      <c r="O71" s="318"/>
      <c r="P71" s="392">
        <f t="shared" si="8"/>
        <v>13058.15</v>
      </c>
      <c r="Q71" s="392">
        <f t="shared" si="1"/>
        <v>0</v>
      </c>
      <c r="R71" s="392">
        <f t="shared" si="2"/>
        <v>0</v>
      </c>
      <c r="S71" s="532">
        <v>68000.13</v>
      </c>
      <c r="T71" s="374"/>
      <c r="U71" s="520">
        <f t="shared" si="9"/>
        <v>19662.130000000005</v>
      </c>
      <c r="V71" s="520">
        <f t="shared" si="10"/>
        <v>48338</v>
      </c>
      <c r="W71" s="520">
        <f t="shared" si="11"/>
        <v>13777.079506399999</v>
      </c>
      <c r="X71" s="520">
        <f t="shared" si="12"/>
        <v>34560.920493600002</v>
      </c>
      <c r="Y71" s="525">
        <f t="shared" si="13"/>
        <v>33519.508957358114</v>
      </c>
    </row>
    <row r="72" spans="3:38" x14ac:dyDescent="0.2">
      <c r="C72" s="387">
        <f t="shared" si="3"/>
        <v>43032</v>
      </c>
      <c r="D72" s="388">
        <f t="shared" si="4"/>
        <v>150304.21677419354</v>
      </c>
      <c r="E72" s="392">
        <f t="shared" si="5"/>
        <v>4066.1080000000002</v>
      </c>
      <c r="F72" s="428">
        <f t="shared" si="6"/>
        <v>0.96573982000000003</v>
      </c>
      <c r="G72" s="390">
        <f t="shared" si="7"/>
        <v>3.9268000000000001</v>
      </c>
      <c r="H72" s="391">
        <f t="shared" si="0"/>
        <v>154375.21731401354</v>
      </c>
      <c r="I72" s="1369">
        <v>64072</v>
      </c>
      <c r="J72" s="325"/>
      <c r="K72" s="325"/>
      <c r="L72" s="319">
        <v>4066.1080000000002</v>
      </c>
      <c r="M72" s="320"/>
      <c r="N72" s="320"/>
      <c r="O72" s="320"/>
      <c r="P72" s="392">
        <f t="shared" si="8"/>
        <v>4066.1080000000002</v>
      </c>
      <c r="Q72" s="392">
        <f t="shared" si="1"/>
        <v>0</v>
      </c>
      <c r="R72" s="392">
        <f t="shared" si="2"/>
        <v>0</v>
      </c>
      <c r="S72" s="532">
        <v>68000.13</v>
      </c>
      <c r="T72" s="374"/>
      <c r="U72" s="520">
        <f t="shared" si="9"/>
        <v>3928.1300000000047</v>
      </c>
      <c r="V72" s="520">
        <f t="shared" si="10"/>
        <v>64072</v>
      </c>
      <c r="W72" s="520">
        <f t="shared" si="11"/>
        <v>4289.9716420479999</v>
      </c>
      <c r="X72" s="520">
        <f t="shared" si="12"/>
        <v>59782.028357952004</v>
      </c>
      <c r="Y72" s="525">
        <f t="shared" si="13"/>
        <v>93301.537315310125</v>
      </c>
    </row>
    <row r="73" spans="3:38" x14ac:dyDescent="0.2">
      <c r="C73" s="387">
        <f t="shared" si="3"/>
        <v>43033</v>
      </c>
      <c r="D73" s="388">
        <f t="shared" si="4"/>
        <v>150304.21677419354</v>
      </c>
      <c r="E73" s="392">
        <f t="shared" si="5"/>
        <v>13145.58</v>
      </c>
      <c r="F73" s="428">
        <f t="shared" si="6"/>
        <v>0.96573982000000003</v>
      </c>
      <c r="G73" s="390">
        <f t="shared" si="7"/>
        <v>12.6952</v>
      </c>
      <c r="H73" s="391">
        <f t="shared" si="0"/>
        <v>163463.45771401352</v>
      </c>
      <c r="I73" s="1369">
        <v>35543</v>
      </c>
      <c r="J73" s="325"/>
      <c r="K73" s="325"/>
      <c r="L73" s="317">
        <v>13145.58</v>
      </c>
      <c r="M73" s="318"/>
      <c r="N73" s="318"/>
      <c r="O73" s="318"/>
      <c r="P73" s="392">
        <f t="shared" si="8"/>
        <v>13145.58</v>
      </c>
      <c r="Q73" s="392">
        <f t="shared" si="1"/>
        <v>0</v>
      </c>
      <c r="R73" s="392">
        <f t="shared" si="2"/>
        <v>0</v>
      </c>
      <c r="S73" s="532">
        <v>66999.63</v>
      </c>
      <c r="T73" s="374"/>
      <c r="U73" s="520">
        <f t="shared" si="9"/>
        <v>31456.630000000005</v>
      </c>
      <c r="V73" s="520">
        <f t="shared" si="10"/>
        <v>35543</v>
      </c>
      <c r="W73" s="520">
        <f t="shared" si="11"/>
        <v>13869.32305248</v>
      </c>
      <c r="X73" s="520">
        <f t="shared" si="12"/>
        <v>21673.676947519998</v>
      </c>
      <c r="Y73" s="525">
        <f t="shared" si="13"/>
        <v>114975.21426283012</v>
      </c>
    </row>
    <row r="74" spans="3:38" x14ac:dyDescent="0.2">
      <c r="C74" s="387">
        <f t="shared" si="3"/>
        <v>43034</v>
      </c>
      <c r="D74" s="388">
        <f t="shared" si="4"/>
        <v>150304.21677419354</v>
      </c>
      <c r="E74" s="392">
        <f t="shared" si="5"/>
        <v>48589.98</v>
      </c>
      <c r="F74" s="428">
        <f t="shared" si="6"/>
        <v>0.96573982000000003</v>
      </c>
      <c r="G74" s="390">
        <f t="shared" si="7"/>
        <v>46.9253</v>
      </c>
      <c r="H74" s="391">
        <f t="shared" si="0"/>
        <v>198942.08781401356</v>
      </c>
      <c r="I74" s="1369">
        <v>0</v>
      </c>
      <c r="J74" s="325"/>
      <c r="K74" s="325"/>
      <c r="L74" s="319">
        <v>48589.98</v>
      </c>
      <c r="M74" s="320"/>
      <c r="N74" s="320"/>
      <c r="O74" s="320"/>
      <c r="P74" s="392">
        <f t="shared" si="8"/>
        <v>48589.98</v>
      </c>
      <c r="Q74" s="392">
        <f t="shared" si="1"/>
        <v>0</v>
      </c>
      <c r="R74" s="392">
        <f t="shared" si="2"/>
        <v>0</v>
      </c>
      <c r="S74" s="532">
        <v>66999.63</v>
      </c>
      <c r="T74" s="374"/>
      <c r="U74" s="520">
        <f t="shared" si="9"/>
        <v>66999.63</v>
      </c>
      <c r="V74" s="520">
        <f t="shared" si="10"/>
        <v>0</v>
      </c>
      <c r="W74" s="520">
        <f t="shared" si="11"/>
        <v>51265.14993888</v>
      </c>
      <c r="X74" s="520">
        <f t="shared" si="12"/>
        <v>-51265.14993888</v>
      </c>
      <c r="Y74" s="525">
        <f t="shared" si="13"/>
        <v>63710.064323950122</v>
      </c>
    </row>
    <row r="75" spans="3:38" x14ac:dyDescent="0.2">
      <c r="C75" s="387">
        <f t="shared" si="3"/>
        <v>43035</v>
      </c>
      <c r="D75" s="388">
        <f t="shared" si="4"/>
        <v>150304.21677419354</v>
      </c>
      <c r="E75" s="392">
        <f t="shared" si="5"/>
        <v>75751.38</v>
      </c>
      <c r="F75" s="428">
        <f t="shared" si="6"/>
        <v>0.96573982000000003</v>
      </c>
      <c r="G75" s="390">
        <f t="shared" si="7"/>
        <v>73.156099999999995</v>
      </c>
      <c r="H75" s="391">
        <f t="shared" si="0"/>
        <v>226129.71861401355</v>
      </c>
      <c r="I75" s="1369">
        <v>67441</v>
      </c>
      <c r="J75" s="325"/>
      <c r="K75" s="325"/>
      <c r="L75" s="317">
        <v>75751.38</v>
      </c>
      <c r="M75" s="318"/>
      <c r="N75" s="318"/>
      <c r="O75" s="318"/>
      <c r="P75" s="392">
        <f t="shared" si="8"/>
        <v>75751.38</v>
      </c>
      <c r="Q75" s="392">
        <f t="shared" si="1"/>
        <v>0</v>
      </c>
      <c r="R75" s="392">
        <f t="shared" si="2"/>
        <v>0</v>
      </c>
      <c r="S75" s="532">
        <v>66999.63</v>
      </c>
      <c r="T75" s="374"/>
      <c r="U75" s="520">
        <f t="shared" si="9"/>
        <v>-441.36999999999534</v>
      </c>
      <c r="V75" s="520">
        <f t="shared" si="10"/>
        <v>67441</v>
      </c>
      <c r="W75" s="520">
        <f t="shared" si="11"/>
        <v>79921.947977280011</v>
      </c>
      <c r="X75" s="520">
        <f t="shared" si="12"/>
        <v>-12480.947977280011</v>
      </c>
      <c r="Y75" s="525">
        <f t="shared" si="13"/>
        <v>51229.116346670111</v>
      </c>
    </row>
    <row r="76" spans="3:38" x14ac:dyDescent="0.2">
      <c r="C76" s="387">
        <f t="shared" si="3"/>
        <v>43036</v>
      </c>
      <c r="D76" s="388">
        <f t="shared" si="4"/>
        <v>150304.21677419354</v>
      </c>
      <c r="E76" s="392">
        <f t="shared" si="5"/>
        <v>75782.98</v>
      </c>
      <c r="F76" s="428">
        <f t="shared" si="6"/>
        <v>0.96573982000000003</v>
      </c>
      <c r="G76" s="390">
        <f t="shared" si="7"/>
        <v>73.186599999999999</v>
      </c>
      <c r="H76" s="391">
        <f t="shared" si="0"/>
        <v>226161.34911401354</v>
      </c>
      <c r="I76" s="1369">
        <v>65557</v>
      </c>
      <c r="J76" s="325"/>
      <c r="K76" s="325"/>
      <c r="L76" s="319">
        <v>75782.98</v>
      </c>
      <c r="M76" s="320"/>
      <c r="N76" s="320"/>
      <c r="O76" s="320"/>
      <c r="P76" s="392">
        <f t="shared" si="8"/>
        <v>75782.98</v>
      </c>
      <c r="Q76" s="392">
        <f t="shared" si="1"/>
        <v>0</v>
      </c>
      <c r="R76" s="392">
        <f t="shared" si="2"/>
        <v>0</v>
      </c>
      <c r="S76" s="532">
        <v>72999.73000000001</v>
      </c>
      <c r="T76" s="374"/>
      <c r="U76" s="520">
        <f t="shared" si="9"/>
        <v>7442.7300000000105</v>
      </c>
      <c r="V76" s="520">
        <f t="shared" si="10"/>
        <v>65557</v>
      </c>
      <c r="W76" s="520">
        <f t="shared" si="11"/>
        <v>79955.28774688</v>
      </c>
      <c r="X76" s="520">
        <f t="shared" si="12"/>
        <v>-14398.28774688</v>
      </c>
      <c r="Y76" s="525">
        <f t="shared" si="13"/>
        <v>36830.828599790111</v>
      </c>
    </row>
    <row r="77" spans="3:38" x14ac:dyDescent="0.2">
      <c r="C77" s="387">
        <f t="shared" si="3"/>
        <v>43037</v>
      </c>
      <c r="D77" s="388">
        <f t="shared" si="4"/>
        <v>150304.21677419354</v>
      </c>
      <c r="E77" s="392">
        <f t="shared" si="5"/>
        <v>78882.47</v>
      </c>
      <c r="F77" s="428">
        <f t="shared" si="6"/>
        <v>0.96573982000000003</v>
      </c>
      <c r="G77" s="390">
        <f t="shared" si="7"/>
        <v>76.179900000000004</v>
      </c>
      <c r="H77" s="391">
        <f t="shared" si="0"/>
        <v>229263.83241401354</v>
      </c>
      <c r="I77" s="1369">
        <v>65557</v>
      </c>
      <c r="J77" s="325"/>
      <c r="K77" s="325"/>
      <c r="L77" s="317">
        <v>78882.47</v>
      </c>
      <c r="M77" s="318"/>
      <c r="N77" s="318"/>
      <c r="O77" s="318"/>
      <c r="P77" s="392">
        <f t="shared" si="8"/>
        <v>78882.47</v>
      </c>
      <c r="Q77" s="392">
        <f t="shared" si="1"/>
        <v>0</v>
      </c>
      <c r="R77" s="392">
        <f t="shared" si="2"/>
        <v>0</v>
      </c>
      <c r="S77" s="532">
        <v>72999.73000000001</v>
      </c>
      <c r="T77" s="374"/>
      <c r="U77" s="520">
        <f t="shared" si="9"/>
        <v>7442.7300000000105</v>
      </c>
      <c r="V77" s="520">
        <f t="shared" si="10"/>
        <v>65557</v>
      </c>
      <c r="W77" s="520">
        <f t="shared" si="11"/>
        <v>83225.423268319995</v>
      </c>
      <c r="X77" s="520">
        <f t="shared" si="12"/>
        <v>-17668.423268319995</v>
      </c>
      <c r="Y77" s="525">
        <f t="shared" si="13"/>
        <v>19162.405331470116</v>
      </c>
    </row>
    <row r="78" spans="3:38" x14ac:dyDescent="0.2">
      <c r="C78" s="387">
        <f t="shared" si="3"/>
        <v>43038</v>
      </c>
      <c r="D78" s="388">
        <f t="shared" si="4"/>
        <v>150304.21677419354</v>
      </c>
      <c r="E78" s="392">
        <f t="shared" si="5"/>
        <v>76003.686000000002</v>
      </c>
      <c r="F78" s="428">
        <f t="shared" si="6"/>
        <v>0.96573982000000003</v>
      </c>
      <c r="G78" s="390">
        <f t="shared" si="7"/>
        <v>73.399799999999999</v>
      </c>
      <c r="H78" s="391">
        <f t="shared" si="0"/>
        <v>226382.26831401358</v>
      </c>
      <c r="I78" s="1369">
        <v>65557</v>
      </c>
      <c r="J78" s="325"/>
      <c r="K78" s="325"/>
      <c r="L78" s="319">
        <v>76003.686000000002</v>
      </c>
      <c r="M78" s="320"/>
      <c r="N78" s="320"/>
      <c r="O78" s="320"/>
      <c r="P78" s="392">
        <f t="shared" si="8"/>
        <v>76003.686000000002</v>
      </c>
      <c r="Q78" s="392">
        <f t="shared" si="1"/>
        <v>0</v>
      </c>
      <c r="R78" s="392">
        <f t="shared" si="2"/>
        <v>0</v>
      </c>
      <c r="S78" s="532">
        <v>72999.73000000001</v>
      </c>
      <c r="T78" s="374"/>
      <c r="U78" s="520">
        <f t="shared" si="9"/>
        <v>7442.7300000000105</v>
      </c>
      <c r="V78" s="520">
        <f t="shared" si="10"/>
        <v>65557</v>
      </c>
      <c r="W78" s="520">
        <f t="shared" si="11"/>
        <v>80188.144936416007</v>
      </c>
      <c r="X78" s="520">
        <f t="shared" si="12"/>
        <v>-14631.144936416007</v>
      </c>
      <c r="Y78" s="525">
        <f t="shared" si="13"/>
        <v>4531.2603950541088</v>
      </c>
    </row>
    <row r="79" spans="3:38" ht="15" thickBot="1" x14ac:dyDescent="0.25">
      <c r="C79" s="393">
        <f t="shared" si="3"/>
        <v>43039</v>
      </c>
      <c r="D79" s="394">
        <f t="shared" si="4"/>
        <v>150304.21677419354</v>
      </c>
      <c r="E79" s="395">
        <f t="shared" si="5"/>
        <v>75770.350000000006</v>
      </c>
      <c r="F79" s="429">
        <f t="shared" si="6"/>
        <v>0.96573982000000003</v>
      </c>
      <c r="G79" s="396">
        <f t="shared" si="7"/>
        <v>73.174400000000006</v>
      </c>
      <c r="H79" s="397">
        <f>SUM(D79:G79)</f>
        <v>226148.70691401354</v>
      </c>
      <c r="I79" s="1377">
        <v>69665</v>
      </c>
      <c r="J79" s="327"/>
      <c r="K79" s="327"/>
      <c r="L79" s="688">
        <v>75770.350000000006</v>
      </c>
      <c r="M79" s="750"/>
      <c r="N79" s="750"/>
      <c r="O79" s="750"/>
      <c r="P79" s="395">
        <f t="shared" si="8"/>
        <v>75770.350000000006</v>
      </c>
      <c r="Q79" s="395">
        <f t="shared" si="1"/>
        <v>0</v>
      </c>
      <c r="R79" s="395">
        <f t="shared" si="2"/>
        <v>0</v>
      </c>
      <c r="S79" s="560">
        <v>73000.73</v>
      </c>
      <c r="T79" s="376"/>
      <c r="U79" s="528">
        <f t="shared" si="9"/>
        <v>3335.7299999999959</v>
      </c>
      <c r="V79" s="528">
        <f t="shared" si="10"/>
        <v>69665</v>
      </c>
      <c r="W79" s="528">
        <f t="shared" si="11"/>
        <v>79941.962389600012</v>
      </c>
      <c r="X79" s="528">
        <f t="shared" si="12"/>
        <v>-10276.962389600012</v>
      </c>
      <c r="Y79" s="529">
        <f t="shared" si="13"/>
        <v>-5745.7019945459033</v>
      </c>
    </row>
    <row r="80" spans="3:38" ht="15" thickBot="1" x14ac:dyDescent="0.25">
      <c r="C80" s="398"/>
      <c r="D80" s="399">
        <f>SUM(D49:D79)</f>
        <v>4659430.72</v>
      </c>
      <c r="E80" s="400">
        <f>SUM(E49:E79)</f>
        <v>783199.85099800001</v>
      </c>
      <c r="F80" s="400"/>
      <c r="G80" s="401">
        <f>SUM(G49:G79)</f>
        <v>756.36720000000003</v>
      </c>
      <c r="H80" s="399">
        <f>SUM(H49:H79)</f>
        <v>5443416.8761324193</v>
      </c>
      <c r="I80" s="432">
        <f>SUM(I49:I79)</f>
        <v>820574</v>
      </c>
      <c r="J80" s="432">
        <f t="shared" ref="J80:R80" si="14">SUM(J49:J79)</f>
        <v>0</v>
      </c>
      <c r="K80" s="432">
        <f>SUM(K49:K79)</f>
        <v>0</v>
      </c>
      <c r="L80" s="677">
        <f>SUM(L49:L79)</f>
        <v>783199.85099800001</v>
      </c>
      <c r="M80" s="432">
        <f t="shared" si="14"/>
        <v>0</v>
      </c>
      <c r="N80" s="432">
        <f t="shared" si="14"/>
        <v>0</v>
      </c>
      <c r="O80" s="432">
        <f t="shared" si="14"/>
        <v>0</v>
      </c>
      <c r="P80" s="432">
        <f t="shared" si="14"/>
        <v>783199.85099800001</v>
      </c>
      <c r="Q80" s="432">
        <f t="shared" si="14"/>
        <v>0</v>
      </c>
      <c r="R80" s="432">
        <f t="shared" si="14"/>
        <v>0</v>
      </c>
      <c r="S80" s="361">
        <f>SUM(S49:S79)</f>
        <v>2022998.4299999997</v>
      </c>
      <c r="U80" s="530"/>
      <c r="V80" s="328">
        <f>SUM(V49:V79)</f>
        <v>820574</v>
      </c>
      <c r="W80" s="328">
        <f>SUM(W49:W79)</f>
        <v>826319.70199454599</v>
      </c>
      <c r="X80" s="328">
        <f>SUM(X49:X79)</f>
        <v>-5745.7019945459033</v>
      </c>
      <c r="Y80" s="323">
        <f>Y79</f>
        <v>-5745.7019945459033</v>
      </c>
      <c r="AL80" s="361">
        <f>Y79</f>
        <v>-5745.7019945459033</v>
      </c>
    </row>
    <row r="81" spans="2:14" ht="15" customHeight="1" x14ac:dyDescent="0.2">
      <c r="B81"/>
      <c r="C81"/>
      <c r="D81"/>
      <c r="E81"/>
      <c r="F81"/>
      <c r="G81"/>
      <c r="H81"/>
      <c r="I81"/>
      <c r="J81"/>
      <c r="K81"/>
      <c r="L81"/>
      <c r="N81" s="2"/>
    </row>
  </sheetData>
  <mergeCells count="11">
    <mergeCell ref="C28:F28"/>
    <mergeCell ref="C39:F39"/>
    <mergeCell ref="S47:Y47"/>
    <mergeCell ref="C5:M5"/>
    <mergeCell ref="C6:M6"/>
    <mergeCell ref="G7:H7"/>
    <mergeCell ref="C9:D9"/>
    <mergeCell ref="C10:D10"/>
    <mergeCell ref="C11:D11"/>
    <mergeCell ref="D23:E23"/>
    <mergeCell ref="D24:E24"/>
  </mergeCells>
  <conditionalFormatting sqref="L57:O57 M49:O56 L59:O79 M58:O58">
    <cfRule type="cellIs" dxfId="116" priority="1" stopIfTrue="1" operator="equal">
      <formula>0</formula>
    </cfRule>
  </conditionalFormatting>
  <hyperlinks>
    <hyperlink ref="N24" r:id="rId1"/>
  </hyperlinks>
  <printOptions horizontalCentered="1"/>
  <pageMargins left="0" right="0.70866141732283472" top="0.15748031496062992" bottom="0.35433070866141736" header="0.31496062992125984" footer="0.31496062992125984"/>
  <pageSetup scale="80" orientation="landscape" r:id="rId2"/>
  <legacyDrawing r:id="rId3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2:AL81"/>
  <sheetViews>
    <sheetView workbookViewId="0"/>
  </sheetViews>
  <sheetFormatPr baseColWidth="10" defaultColWidth="11" defaultRowHeight="14.25" x14ac:dyDescent="0.2"/>
  <cols>
    <col min="1" max="1" width="11" style="2"/>
    <col min="2" max="2" width="3.875" style="2" bestFit="1" customWidth="1"/>
    <col min="3" max="3" width="16.125" style="2" customWidth="1"/>
    <col min="4" max="4" width="12.375" style="2" bestFit="1" customWidth="1"/>
    <col min="5" max="5" width="12.125" style="2" bestFit="1" customWidth="1"/>
    <col min="6" max="6" width="17.125" style="2" bestFit="1" customWidth="1"/>
    <col min="7" max="7" width="14.125" style="2" customWidth="1"/>
    <col min="8" max="8" width="12.125" style="2" bestFit="1" customWidth="1"/>
    <col min="9" max="9" width="11.125" style="2" bestFit="1" customWidth="1"/>
    <col min="10" max="10" width="11.875" style="2" bestFit="1" customWidth="1"/>
    <col min="11" max="11" width="11.625" style="2" bestFit="1" customWidth="1"/>
    <col min="12" max="12" width="12.125" style="2" customWidth="1"/>
    <col min="13" max="13" width="12" style="2" bestFit="1" customWidth="1"/>
    <col min="14" max="14" width="9" style="1" customWidth="1"/>
    <col min="15" max="15" width="13.625" style="2" bestFit="1" customWidth="1"/>
    <col min="16" max="16" width="11" style="2"/>
    <col min="17" max="17" width="12.5" style="2" bestFit="1" customWidth="1"/>
    <col min="18" max="25" width="11" style="2"/>
    <col min="26" max="32" width="10.875" customWidth="1"/>
    <col min="33" max="16384" width="11" style="2"/>
  </cols>
  <sheetData>
    <row r="2" spans="2:25" x14ac:dyDescent="0.2"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2:25" ht="15" customHeight="1" x14ac:dyDescent="0.2">
      <c r="B3" s="1"/>
      <c r="C3" s="2254"/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</row>
    <row r="4" spans="2:25" ht="15" customHeight="1" x14ac:dyDescent="0.2"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</row>
    <row r="5" spans="2:25" x14ac:dyDescent="0.2">
      <c r="B5" s="1"/>
      <c r="C5" s="2257">
        <v>4326979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</row>
    <row r="6" spans="2:25" x14ac:dyDescent="0.2">
      <c r="B6" s="1"/>
      <c r="C6" s="2257" t="s">
        <v>216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</row>
    <row r="7" spans="2:25" x14ac:dyDescent="0.2">
      <c r="B7" s="1"/>
      <c r="C7" s="609"/>
      <c r="D7" s="609"/>
      <c r="E7" s="609"/>
      <c r="F7" s="609"/>
      <c r="G7" s="2271">
        <v>43040</v>
      </c>
      <c r="H7" s="2257"/>
      <c r="I7" s="609"/>
      <c r="J7" s="609"/>
      <c r="K7" s="609"/>
      <c r="L7" s="609"/>
      <c r="M7" s="609"/>
      <c r="N7" s="18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2:25" x14ac:dyDescent="0.2">
      <c r="B8" s="1"/>
      <c r="C8" s="609"/>
      <c r="D8" s="609"/>
      <c r="E8" s="609"/>
      <c r="F8" s="609"/>
      <c r="G8" s="609"/>
      <c r="H8" s="609"/>
      <c r="I8" s="609"/>
      <c r="J8" s="609"/>
      <c r="K8" s="609"/>
      <c r="L8" s="609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2:25" ht="25.5" x14ac:dyDescent="0.2">
      <c r="B9" s="1"/>
      <c r="C9" s="2272" t="s">
        <v>6</v>
      </c>
      <c r="D9" s="2272"/>
      <c r="E9" s="610" t="s">
        <v>94</v>
      </c>
      <c r="F9" s="610" t="s">
        <v>126</v>
      </c>
      <c r="G9" s="410" t="s">
        <v>133</v>
      </c>
      <c r="H9" s="610" t="s">
        <v>127</v>
      </c>
      <c r="I9" s="610" t="s">
        <v>128</v>
      </c>
      <c r="J9" s="609"/>
      <c r="K9" s="609"/>
      <c r="L9" s="609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2:25" x14ac:dyDescent="0.2">
      <c r="B10" s="1"/>
      <c r="C10" s="2270" t="s">
        <v>131</v>
      </c>
      <c r="D10" s="2270"/>
      <c r="E10" s="433">
        <f>IF(C15=0,D15,C15)</f>
        <v>4659430.72</v>
      </c>
      <c r="F10" s="407">
        <f>E10*0.16</f>
        <v>745508.91519999993</v>
      </c>
      <c r="G10" s="407">
        <f>E10+F10</f>
        <v>5404939.6351999994</v>
      </c>
      <c r="H10" s="511" t="s">
        <v>225</v>
      </c>
      <c r="I10" s="604">
        <v>18.9315</v>
      </c>
      <c r="J10" s="609"/>
      <c r="K10" s="609"/>
      <c r="L10" s="609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2:25" x14ac:dyDescent="0.2">
      <c r="B11" s="1"/>
      <c r="C11" s="2270" t="s">
        <v>132</v>
      </c>
      <c r="D11" s="2270"/>
      <c r="E11" s="433">
        <f>IF(C16=0,D16,C16)</f>
        <v>2094.02</v>
      </c>
      <c r="F11" s="407">
        <f>E11*0.16</f>
        <v>335.04320000000001</v>
      </c>
      <c r="G11" s="407">
        <f>E11+F11</f>
        <v>2429.0632000000001</v>
      </c>
      <c r="H11" s="511" t="s">
        <v>225</v>
      </c>
      <c r="I11" s="604">
        <v>18.9315</v>
      </c>
      <c r="J11" s="609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2:25" ht="18" customHeight="1" x14ac:dyDescent="0.2">
      <c r="B12" s="1"/>
      <c r="C12" s="609"/>
      <c r="D12" s="609"/>
      <c r="E12" s="678">
        <f>SUM(E10:E11)</f>
        <v>4661524.7399999993</v>
      </c>
      <c r="F12" s="444">
        <f>SUM(F10:F11)</f>
        <v>745843.95839999989</v>
      </c>
      <c r="G12" s="444">
        <f>SUM(G10:G11)</f>
        <v>5407368.6983999992</v>
      </c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2:25" ht="15" thickBot="1" x14ac:dyDescent="0.25">
      <c r="B13" s="1"/>
      <c r="C13" s="609"/>
      <c r="D13" s="609"/>
      <c r="E13" s="609"/>
      <c r="F13" s="609"/>
      <c r="G13" s="609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2:25" x14ac:dyDescent="0.2">
      <c r="B14" s="1"/>
      <c r="C14" s="440" t="s">
        <v>155</v>
      </c>
      <c r="D14" s="441" t="s">
        <v>156</v>
      </c>
      <c r="E14" s="442" t="s">
        <v>112</v>
      </c>
      <c r="F14" s="609"/>
      <c r="G14" s="609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2:25" x14ac:dyDescent="0.2">
      <c r="B15" s="1"/>
      <c r="C15" s="443">
        <v>4659430.72</v>
      </c>
      <c r="D15" s="444">
        <f>D80</f>
        <v>4659430.7199999979</v>
      </c>
      <c r="E15" s="445">
        <f>C15-D15</f>
        <v>0</v>
      </c>
      <c r="F15" s="609"/>
      <c r="G15" s="609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2:25" ht="15" thickBot="1" x14ac:dyDescent="0.25">
      <c r="B16" s="1"/>
      <c r="C16" s="446">
        <v>2094.02</v>
      </c>
      <c r="D16" s="447">
        <f>ROUND(G80,2)</f>
        <v>2094.02</v>
      </c>
      <c r="E16" s="448">
        <f>C16-D16</f>
        <v>0</v>
      </c>
      <c r="F16" s="609"/>
      <c r="G16" s="609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2:25" x14ac:dyDescent="0.2">
      <c r="B17" s="1"/>
      <c r="C17" s="609"/>
      <c r="D17" s="609"/>
      <c r="E17" s="609"/>
      <c r="F17" s="609"/>
      <c r="G17" s="609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2:25" x14ac:dyDescent="0.2">
      <c r="B18" s="1"/>
      <c r="C18" s="609"/>
      <c r="D18" s="609"/>
      <c r="E18" s="609"/>
      <c r="F18" s="609"/>
      <c r="G18" s="609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2:25" x14ac:dyDescent="0.2">
      <c r="B19" s="1"/>
      <c r="C19" s="609"/>
      <c r="D19" s="609"/>
      <c r="E19" s="609"/>
      <c r="F19" s="609"/>
      <c r="G19" s="609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2:25" x14ac:dyDescent="0.2">
      <c r="B20" s="1"/>
      <c r="C20" s="609"/>
      <c r="D20" s="609"/>
      <c r="E20" s="609"/>
      <c r="F20" s="609"/>
      <c r="G20" s="609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2:25" x14ac:dyDescent="0.2">
      <c r="B21" s="1"/>
      <c r="C21" s="609"/>
      <c r="D21" s="609"/>
      <c r="E21" s="609"/>
      <c r="F21" s="609"/>
      <c r="G21" s="609"/>
      <c r="H21" s="1"/>
      <c r="I21" s="1"/>
      <c r="J21" s="1"/>
      <c r="K21" s="1"/>
      <c r="L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2:25" ht="15" thickBot="1" x14ac:dyDescent="0.25">
      <c r="B22" s="1"/>
      <c r="C22" s="419" t="s">
        <v>137</v>
      </c>
      <c r="D22" s="609" t="s">
        <v>138</v>
      </c>
      <c r="E22" s="609"/>
      <c r="F22" s="609" t="s">
        <v>139</v>
      </c>
      <c r="G22" s="609" t="s">
        <v>3</v>
      </c>
      <c r="H22" s="609" t="s">
        <v>143</v>
      </c>
      <c r="I22" s="609" t="s">
        <v>142</v>
      </c>
      <c r="J22" s="609" t="s">
        <v>141</v>
      </c>
      <c r="K22" s="609" t="s">
        <v>140</v>
      </c>
      <c r="L22" s="609" t="s">
        <v>144</v>
      </c>
      <c r="M22" s="609" t="s">
        <v>146</v>
      </c>
      <c r="N22" s="609"/>
      <c r="O22" s="609"/>
      <c r="P22" s="609"/>
      <c r="Q22" s="1"/>
      <c r="R22" s="1"/>
      <c r="S22" s="1"/>
      <c r="T22" s="1"/>
      <c r="U22" s="1"/>
      <c r="V22" s="1"/>
      <c r="W22" s="1"/>
      <c r="X22" s="1"/>
      <c r="Y22" s="1"/>
    </row>
    <row r="23" spans="2:25" ht="36.75" customHeight="1" x14ac:dyDescent="0.2">
      <c r="B23" s="1"/>
      <c r="C23" s="402" t="s">
        <v>134</v>
      </c>
      <c r="D23" s="2261" t="s">
        <v>135</v>
      </c>
      <c r="E23" s="2262"/>
      <c r="F23" s="611" t="s">
        <v>136</v>
      </c>
      <c r="G23" s="461" t="s">
        <v>153</v>
      </c>
      <c r="H23" s="420" t="s">
        <v>129</v>
      </c>
      <c r="I23" s="403" t="s">
        <v>130</v>
      </c>
      <c r="J23" s="422"/>
      <c r="K23" s="422"/>
      <c r="L23" s="422"/>
      <c r="M23" s="404" t="s">
        <v>158</v>
      </c>
      <c r="N23" s="609"/>
      <c r="O23" s="609"/>
      <c r="P23" s="609"/>
      <c r="Q23" s="609"/>
      <c r="R23" s="609"/>
      <c r="S23" s="609"/>
      <c r="T23" s="609"/>
      <c r="U23" s="1"/>
      <c r="V23" s="1"/>
      <c r="W23" s="1"/>
      <c r="X23" s="1"/>
      <c r="Y23" s="1"/>
    </row>
    <row r="24" spans="2:25" x14ac:dyDescent="0.2">
      <c r="B24" s="1"/>
      <c r="C24" s="405">
        <v>850</v>
      </c>
      <c r="D24" s="2263">
        <v>850</v>
      </c>
      <c r="E24" s="2264"/>
      <c r="F24" s="418">
        <v>31482640</v>
      </c>
      <c r="G24" s="462">
        <v>30</v>
      </c>
      <c r="H24" s="460">
        <f>VLOOKUP(C47,Tarifas!D4:H303,3)</f>
        <v>0.14799999999999999</v>
      </c>
      <c r="I24" s="424">
        <f>VLOOKUP(C47,Tarifas!D4:H303,5)</f>
        <v>1E-3</v>
      </c>
      <c r="J24" s="421">
        <v>194.8</v>
      </c>
      <c r="K24" s="421">
        <v>201.4</v>
      </c>
      <c r="L24" s="421">
        <f>I11</f>
        <v>18.9315</v>
      </c>
      <c r="M24" s="431">
        <f>E80</f>
        <v>2164967.34</v>
      </c>
      <c r="N24" s="430" t="s">
        <v>62</v>
      </c>
      <c r="O24" s="609"/>
      <c r="P24" s="609"/>
      <c r="Q24" s="609"/>
      <c r="R24" s="609"/>
      <c r="S24" s="609"/>
      <c r="T24" s="609"/>
      <c r="U24" s="1"/>
      <c r="V24" s="1"/>
      <c r="W24" s="1"/>
      <c r="X24" s="1"/>
      <c r="Y24" s="1"/>
    </row>
    <row r="25" spans="2:25" x14ac:dyDescent="0.2">
      <c r="B25" s="1"/>
      <c r="C25" s="609"/>
      <c r="D25" s="609"/>
      <c r="E25" s="609"/>
      <c r="F25" s="609"/>
      <c r="G25" s="609"/>
      <c r="H25" s="609"/>
      <c r="I25" s="609"/>
      <c r="J25" s="609"/>
      <c r="K25" s="609"/>
      <c r="L25" s="609"/>
      <c r="M25" s="609"/>
      <c r="N25" s="609"/>
      <c r="O25" s="609"/>
      <c r="P25" s="609"/>
      <c r="Q25" s="609"/>
      <c r="R25" s="609"/>
      <c r="S25" s="1"/>
      <c r="T25" s="1"/>
      <c r="U25" s="1"/>
      <c r="V25" s="1"/>
      <c r="W25" s="1"/>
      <c r="X25" s="1"/>
      <c r="Y25" s="1"/>
    </row>
    <row r="26" spans="2:25" x14ac:dyDescent="0.2">
      <c r="B26" s="1"/>
      <c r="C26" s="609"/>
      <c r="D26" s="609"/>
      <c r="E26" s="609"/>
      <c r="F26" s="609"/>
      <c r="G26" s="609"/>
      <c r="H26" s="609"/>
      <c r="I26" s="609"/>
      <c r="J26" s="609"/>
      <c r="K26" s="609"/>
      <c r="L26" s="609"/>
      <c r="M26" s="609"/>
      <c r="N26" s="609"/>
      <c r="O26" s="609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2:25" x14ac:dyDescent="0.2">
      <c r="B27" s="1"/>
      <c r="C27" s="609"/>
      <c r="D27" s="609"/>
      <c r="E27" s="609"/>
      <c r="F27" s="609"/>
      <c r="G27" s="609"/>
      <c r="H27" s="609"/>
      <c r="I27" s="609"/>
      <c r="J27" s="609"/>
      <c r="K27" s="609"/>
      <c r="L27" s="609"/>
      <c r="M27" s="609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2:25" ht="15" thickBot="1" x14ac:dyDescent="0.25">
      <c r="B28" s="1"/>
      <c r="C28" s="2265" t="s">
        <v>86</v>
      </c>
      <c r="D28" s="2265"/>
      <c r="E28" s="2265"/>
      <c r="F28" s="2265"/>
      <c r="G28" s="612"/>
      <c r="H28" s="334"/>
      <c r="I28" s="334"/>
      <c r="J28" s="334"/>
      <c r="K28" s="612"/>
      <c r="L28" s="336"/>
      <c r="M28" s="336"/>
      <c r="O28" s="530" t="s">
        <v>212</v>
      </c>
      <c r="P28" s="675">
        <v>19.229099999999999</v>
      </c>
      <c r="Q28" s="530" t="s">
        <v>213</v>
      </c>
      <c r="R28" s="1"/>
      <c r="S28" s="1"/>
      <c r="T28" s="1"/>
      <c r="U28" s="1"/>
      <c r="V28" s="1"/>
      <c r="W28" s="1"/>
      <c r="X28" s="1"/>
      <c r="Y28" s="1"/>
    </row>
    <row r="29" spans="2:25" ht="22.5" x14ac:dyDescent="0.2">
      <c r="B29" s="1"/>
      <c r="C29" s="337" t="s">
        <v>87</v>
      </c>
      <c r="D29" s="607" t="s">
        <v>88</v>
      </c>
      <c r="E29" s="607" t="s">
        <v>89</v>
      </c>
      <c r="F29" s="607" t="s">
        <v>20</v>
      </c>
      <c r="G29" s="607" t="s">
        <v>160</v>
      </c>
      <c r="H29" s="607" t="s">
        <v>90</v>
      </c>
      <c r="I29" s="607" t="s">
        <v>91</v>
      </c>
      <c r="J29" s="607" t="s">
        <v>92</v>
      </c>
      <c r="K29" s="607" t="s">
        <v>93</v>
      </c>
      <c r="L29" s="607" t="s">
        <v>94</v>
      </c>
      <c r="M29" s="608" t="s">
        <v>95</v>
      </c>
      <c r="O29" s="590" t="s">
        <v>95</v>
      </c>
      <c r="P29" s="1"/>
      <c r="Q29" s="590" t="s">
        <v>95</v>
      </c>
      <c r="R29" s="1"/>
      <c r="S29" s="1"/>
      <c r="T29" s="1"/>
      <c r="U29" s="1"/>
      <c r="V29" s="1"/>
      <c r="W29" s="1"/>
      <c r="X29" s="1"/>
      <c r="Y29" s="1"/>
    </row>
    <row r="30" spans="2:25" x14ac:dyDescent="0.2">
      <c r="B30" s="1"/>
      <c r="C30" s="338" t="s">
        <v>101</v>
      </c>
      <c r="D30" s="339" t="s">
        <v>101</v>
      </c>
      <c r="E30" s="339" t="s">
        <v>96</v>
      </c>
      <c r="F30" s="340" t="s">
        <v>97</v>
      </c>
      <c r="G30" s="340" t="s">
        <v>101</v>
      </c>
      <c r="H30" s="339" t="s">
        <v>101</v>
      </c>
      <c r="I30" s="341">
        <v>0</v>
      </c>
      <c r="J30" s="339">
        <v>138.15</v>
      </c>
      <c r="K30" s="342">
        <v>0</v>
      </c>
      <c r="L30" s="343">
        <f>ROUND(K30*E$10,2)</f>
        <v>0</v>
      </c>
      <c r="M30" s="344">
        <f>L30*$I$10</f>
        <v>0</v>
      </c>
      <c r="O30" s="591">
        <f>IF(P28=0,M30,(L30*P28))</f>
        <v>0</v>
      </c>
      <c r="P30" s="1"/>
      <c r="Q30" s="591">
        <f>M30-O30</f>
        <v>0</v>
      </c>
      <c r="R30" s="1"/>
      <c r="S30" s="1"/>
      <c r="T30" s="1"/>
      <c r="U30" s="1"/>
      <c r="V30" s="1"/>
      <c r="W30" s="1"/>
      <c r="X30" s="1"/>
      <c r="Y30" s="1"/>
    </row>
    <row r="31" spans="2:25" x14ac:dyDescent="0.2">
      <c r="B31" s="1"/>
      <c r="C31" s="338" t="s">
        <v>101</v>
      </c>
      <c r="D31" s="339" t="s">
        <v>101</v>
      </c>
      <c r="E31" s="339" t="s">
        <v>98</v>
      </c>
      <c r="F31" s="340" t="s">
        <v>97</v>
      </c>
      <c r="G31" s="340" t="s">
        <v>101</v>
      </c>
      <c r="H31" s="339" t="s">
        <v>101</v>
      </c>
      <c r="I31" s="341">
        <v>0</v>
      </c>
      <c r="J31" s="339">
        <v>138.15</v>
      </c>
      <c r="K31" s="342">
        <v>0</v>
      </c>
      <c r="L31" s="343">
        <f>ROUND(K31*E$10,2)</f>
        <v>0</v>
      </c>
      <c r="M31" s="344">
        <f>L31*$I$10</f>
        <v>0</v>
      </c>
      <c r="O31" s="591">
        <f>IF(P29=0,M31,(L31*P29))</f>
        <v>0</v>
      </c>
      <c r="P31" s="1"/>
      <c r="Q31" s="591">
        <f>M31-O31</f>
        <v>0</v>
      </c>
      <c r="R31" s="1"/>
      <c r="S31" s="1"/>
      <c r="T31" s="1"/>
      <c r="U31" s="1"/>
      <c r="V31" s="1"/>
      <c r="W31" s="1"/>
      <c r="X31" s="1"/>
      <c r="Y31" s="1"/>
    </row>
    <row r="32" spans="2:25" x14ac:dyDescent="0.2">
      <c r="B32" s="1"/>
      <c r="C32" s="338" t="s">
        <v>101</v>
      </c>
      <c r="D32" s="339" t="s">
        <v>101</v>
      </c>
      <c r="E32" s="339" t="s">
        <v>99</v>
      </c>
      <c r="F32" s="340" t="s">
        <v>100</v>
      </c>
      <c r="G32" s="340" t="s">
        <v>101</v>
      </c>
      <c r="H32" s="339" t="s">
        <v>101</v>
      </c>
      <c r="I32" s="341">
        <v>0</v>
      </c>
      <c r="J32" s="339">
        <v>130.80000000000001</v>
      </c>
      <c r="K32" s="342">
        <v>0</v>
      </c>
      <c r="L32" s="343">
        <f>ROUND(K32*E$10,2)</f>
        <v>0</v>
      </c>
      <c r="M32" s="344">
        <f>L32*$I$10</f>
        <v>0</v>
      </c>
      <c r="O32" s="591">
        <f>IF(P30=0,M32,(L32*P30))</f>
        <v>0</v>
      </c>
      <c r="P32" s="1"/>
      <c r="Q32" s="591">
        <f>M32-O32</f>
        <v>0</v>
      </c>
      <c r="R32" s="1"/>
      <c r="S32" s="1"/>
      <c r="T32" s="1"/>
      <c r="U32" s="1"/>
      <c r="V32" s="1"/>
      <c r="W32" s="1"/>
      <c r="X32" s="1"/>
      <c r="Y32" s="1"/>
    </row>
    <row r="33" spans="2:25" x14ac:dyDescent="0.2">
      <c r="B33" s="1"/>
      <c r="C33" s="338">
        <v>800832451</v>
      </c>
      <c r="D33" s="605">
        <v>3</v>
      </c>
      <c r="E33" s="354" t="s">
        <v>101</v>
      </c>
      <c r="F33" s="463" t="s">
        <v>23</v>
      </c>
      <c r="G33" s="463" t="s">
        <v>221</v>
      </c>
      <c r="H33" s="354" t="s">
        <v>222</v>
      </c>
      <c r="I33" s="341">
        <v>80000</v>
      </c>
      <c r="J33" s="597">
        <v>0</v>
      </c>
      <c r="K33" s="342">
        <v>0.09</v>
      </c>
      <c r="L33" s="343">
        <f>ROUND(K33*E$10,2)</f>
        <v>419348.76</v>
      </c>
      <c r="M33" s="344">
        <f>L33*I10</f>
        <v>7938901.0499400003</v>
      </c>
      <c r="O33" s="591">
        <f>IF(P28=0,M33,(L33*P28))</f>
        <v>8063699.2409159997</v>
      </c>
      <c r="P33" s="1"/>
      <c r="Q33" s="591">
        <f>M33-O33</f>
        <v>-124798.19097599946</v>
      </c>
      <c r="R33" s="1"/>
      <c r="S33" s="1"/>
      <c r="T33" s="1"/>
      <c r="U33" s="1"/>
      <c r="V33" s="1"/>
      <c r="W33" s="1"/>
      <c r="X33" s="1"/>
      <c r="Y33" s="1"/>
    </row>
    <row r="34" spans="2:25" ht="15" thickBot="1" x14ac:dyDescent="0.25">
      <c r="B34" s="1"/>
      <c r="C34" s="345">
        <v>800832451</v>
      </c>
      <c r="D34" s="606">
        <v>3</v>
      </c>
      <c r="E34" s="347" t="s">
        <v>101</v>
      </c>
      <c r="F34" s="348" t="s">
        <v>159</v>
      </c>
      <c r="G34" s="348" t="s">
        <v>221</v>
      </c>
      <c r="H34" s="347" t="s">
        <v>222</v>
      </c>
      <c r="I34" s="349">
        <v>770000</v>
      </c>
      <c r="J34" s="346">
        <v>0</v>
      </c>
      <c r="K34" s="350">
        <v>0.91</v>
      </c>
      <c r="L34" s="351">
        <f>ROUND(K34*E$10,2)</f>
        <v>4240081.96</v>
      </c>
      <c r="M34" s="352">
        <f>L34*I10</f>
        <v>80271111.625739992</v>
      </c>
      <c r="O34" s="592">
        <f>IF(P28=0,M34,(L34*P28))</f>
        <v>81532960.017035991</v>
      </c>
      <c r="P34" s="1"/>
      <c r="Q34" s="592">
        <f>M34-O34</f>
        <v>-1261848.3912959993</v>
      </c>
      <c r="R34" s="1"/>
      <c r="S34" s="1"/>
      <c r="T34" s="1"/>
      <c r="U34" s="1"/>
      <c r="V34" s="1"/>
      <c r="W34" s="1"/>
      <c r="X34" s="1"/>
      <c r="Y34" s="1"/>
    </row>
    <row r="35" spans="2:25" x14ac:dyDescent="0.2">
      <c r="B35" s="1"/>
      <c r="C35" s="406">
        <v>3000623</v>
      </c>
      <c r="D35" s="353" t="s">
        <v>102</v>
      </c>
      <c r="E35" s="353"/>
      <c r="F35" s="353"/>
      <c r="G35" s="353"/>
      <c r="H35" s="354"/>
      <c r="I35" s="355">
        <f>SUM(I30:I34)</f>
        <v>850000</v>
      </c>
      <c r="J35" s="353"/>
      <c r="K35" s="356">
        <f>SUM(K30:K34)</f>
        <v>1</v>
      </c>
      <c r="L35" s="357">
        <f>SUM(L30:L34)</f>
        <v>4659430.72</v>
      </c>
      <c r="M35" s="357">
        <f>SUM(M30:M34)</f>
        <v>88210012.675679997</v>
      </c>
      <c r="O35" s="593">
        <f>SUM(O30:O34)</f>
        <v>89596659.25795199</v>
      </c>
      <c r="P35" s="1"/>
      <c r="Q35" s="593">
        <f>SUM(Q30:Q33)</f>
        <v>-124798.19097599946</v>
      </c>
      <c r="R35" s="1"/>
      <c r="S35" s="1"/>
      <c r="T35" s="1"/>
      <c r="U35" s="1"/>
      <c r="V35" s="1"/>
      <c r="W35" s="1"/>
      <c r="X35" s="1"/>
      <c r="Y35" s="1"/>
    </row>
    <row r="36" spans="2:25" x14ac:dyDescent="0.2">
      <c r="B36" s="1"/>
      <c r="C36" s="336"/>
      <c r="D36" s="336"/>
      <c r="E36" s="336"/>
      <c r="F36" s="358"/>
      <c r="G36" s="358"/>
      <c r="H36" s="336"/>
      <c r="I36" s="336"/>
      <c r="J36" s="336"/>
      <c r="K36" s="336"/>
      <c r="L36" s="359"/>
      <c r="M36" s="1"/>
      <c r="O36" s="594">
        <v>0</v>
      </c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2:25" x14ac:dyDescent="0.2">
      <c r="B37" s="1"/>
      <c r="C37" s="336"/>
      <c r="D37" s="336"/>
      <c r="E37" s="336"/>
      <c r="F37" s="358"/>
      <c r="G37" s="358"/>
      <c r="H37" s="336"/>
      <c r="I37" s="336"/>
      <c r="J37" s="336"/>
      <c r="K37" s="336"/>
      <c r="L37" s="359"/>
      <c r="M37" s="1"/>
      <c r="O37" s="594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2:25" x14ac:dyDescent="0.2">
      <c r="B38" s="1"/>
      <c r="C38" s="336"/>
      <c r="D38" s="336"/>
      <c r="E38" s="336"/>
      <c r="F38" s="358"/>
      <c r="G38" s="358"/>
      <c r="H38" s="336"/>
      <c r="I38" s="336"/>
      <c r="J38" s="336"/>
      <c r="K38" s="336"/>
      <c r="L38" s="359"/>
      <c r="M38" s="1"/>
      <c r="O38" s="594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2:25" ht="15" thickBot="1" x14ac:dyDescent="0.25">
      <c r="B39" s="1"/>
      <c r="C39" s="2266" t="s">
        <v>103</v>
      </c>
      <c r="D39" s="2266"/>
      <c r="E39" s="2266"/>
      <c r="F39" s="2266"/>
      <c r="G39" s="612"/>
      <c r="H39" s="334"/>
      <c r="I39" s="334"/>
      <c r="J39" s="334"/>
      <c r="K39" s="336"/>
      <c r="L39" s="336"/>
      <c r="M39" s="360"/>
      <c r="O39" s="595"/>
      <c r="P39" s="675">
        <f>P28</f>
        <v>19.229099999999999</v>
      </c>
      <c r="Q39" s="360"/>
      <c r="R39" s="1"/>
      <c r="S39" s="1"/>
      <c r="T39" s="1"/>
      <c r="U39" s="1"/>
      <c r="V39" s="1"/>
      <c r="W39" s="1"/>
      <c r="X39" s="1"/>
      <c r="Y39" s="1"/>
    </row>
    <row r="40" spans="2:25" ht="22.5" x14ac:dyDescent="0.2">
      <c r="B40" s="1"/>
      <c r="C40" s="337" t="s">
        <v>87</v>
      </c>
      <c r="D40" s="607" t="s">
        <v>88</v>
      </c>
      <c r="E40" s="607" t="s">
        <v>89</v>
      </c>
      <c r="F40" s="607" t="s">
        <v>20</v>
      </c>
      <c r="G40" s="607"/>
      <c r="H40" s="607" t="s">
        <v>90</v>
      </c>
      <c r="I40" s="607" t="s">
        <v>104</v>
      </c>
      <c r="J40" s="607" t="s">
        <v>93</v>
      </c>
      <c r="K40" s="607" t="s">
        <v>92</v>
      </c>
      <c r="L40" s="607" t="s">
        <v>94</v>
      </c>
      <c r="M40" s="608" t="s">
        <v>95</v>
      </c>
      <c r="O40" s="596" t="s">
        <v>95</v>
      </c>
      <c r="P40" s="1"/>
      <c r="Q40" s="590" t="s">
        <v>95</v>
      </c>
      <c r="R40" s="1"/>
      <c r="S40" s="1"/>
      <c r="T40" s="1"/>
      <c r="U40" s="1"/>
      <c r="V40" s="1"/>
      <c r="W40" s="1"/>
      <c r="X40" s="1"/>
      <c r="Y40" s="1"/>
    </row>
    <row r="41" spans="2:25" x14ac:dyDescent="0.2">
      <c r="B41" s="1"/>
      <c r="C41" s="338"/>
      <c r="D41" s="339"/>
      <c r="E41" s="339" t="s">
        <v>96</v>
      </c>
      <c r="F41" s="340" t="s">
        <v>97</v>
      </c>
      <c r="G41" s="340"/>
      <c r="H41" s="339">
        <v>20823</v>
      </c>
      <c r="I41" s="341">
        <v>0</v>
      </c>
      <c r="J41" s="342">
        <v>0</v>
      </c>
      <c r="K41" s="339">
        <v>138.15</v>
      </c>
      <c r="L41" s="343">
        <f>ROUND(J41*$E$11,2)</f>
        <v>0</v>
      </c>
      <c r="M41" s="344">
        <f>L41*L24</f>
        <v>0</v>
      </c>
      <c r="O41" s="591">
        <f>IF(P39=0,M41,(L41*P39))</f>
        <v>0</v>
      </c>
      <c r="P41" s="1"/>
      <c r="Q41" s="591">
        <f>M41-O41</f>
        <v>0</v>
      </c>
      <c r="R41" s="1"/>
      <c r="S41" s="1"/>
      <c r="T41" s="1"/>
      <c r="U41" s="1"/>
      <c r="V41" s="1"/>
      <c r="W41" s="1"/>
      <c r="X41" s="1"/>
      <c r="Y41" s="1"/>
    </row>
    <row r="42" spans="2:25" x14ac:dyDescent="0.2">
      <c r="B42" s="1"/>
      <c r="C42" s="338"/>
      <c r="D42" s="339"/>
      <c r="E42" s="339" t="s">
        <v>98</v>
      </c>
      <c r="F42" s="340" t="s">
        <v>97</v>
      </c>
      <c r="G42" s="340"/>
      <c r="H42" s="339">
        <v>20824</v>
      </c>
      <c r="I42" s="341">
        <v>0</v>
      </c>
      <c r="J42" s="342">
        <v>0</v>
      </c>
      <c r="K42" s="339">
        <v>138.15</v>
      </c>
      <c r="L42" s="343">
        <f>ROUND(J42*$E$11,2)</f>
        <v>0</v>
      </c>
      <c r="M42" s="344">
        <f>L42*L25</f>
        <v>0</v>
      </c>
      <c r="O42" s="591">
        <f>IF(P40=0,M42,(L42*P40))</f>
        <v>0</v>
      </c>
      <c r="P42" s="1"/>
      <c r="Q42" s="591">
        <f>M42-O42</f>
        <v>0</v>
      </c>
      <c r="R42" s="1"/>
      <c r="S42" s="1"/>
      <c r="T42" s="1"/>
      <c r="U42" s="1"/>
      <c r="V42" s="1"/>
      <c r="W42" s="1"/>
      <c r="X42" s="1"/>
      <c r="Y42" s="1"/>
    </row>
    <row r="43" spans="2:25" x14ac:dyDescent="0.2">
      <c r="B43" s="1"/>
      <c r="C43" s="338"/>
      <c r="D43" s="339"/>
      <c r="E43" s="339" t="s">
        <v>99</v>
      </c>
      <c r="F43" s="340" t="s">
        <v>100</v>
      </c>
      <c r="G43" s="340"/>
      <c r="H43" s="339">
        <v>22228</v>
      </c>
      <c r="I43" s="341">
        <v>0</v>
      </c>
      <c r="J43" s="342">
        <v>0</v>
      </c>
      <c r="K43" s="339">
        <v>130.80000000000001</v>
      </c>
      <c r="L43" s="343">
        <f>ROUND(J43*$E$11,2)</f>
        <v>0</v>
      </c>
      <c r="M43" s="344">
        <f>L43*L26</f>
        <v>0</v>
      </c>
      <c r="O43" s="591">
        <f>IF(P41=0,M43,(L43*P41))</f>
        <v>0</v>
      </c>
      <c r="P43" s="1"/>
      <c r="Q43" s="591">
        <f>M43-O43</f>
        <v>0</v>
      </c>
      <c r="R43" s="1"/>
      <c r="S43" s="1"/>
      <c r="T43" s="1"/>
      <c r="U43" s="1"/>
      <c r="V43" s="1"/>
      <c r="W43" s="1"/>
      <c r="X43" s="1"/>
      <c r="Y43" s="1"/>
    </row>
    <row r="44" spans="2:25" ht="15" thickBot="1" x14ac:dyDescent="0.25">
      <c r="B44" s="1"/>
      <c r="C44" s="345">
        <v>800832773</v>
      </c>
      <c r="D44" s="606">
        <v>3</v>
      </c>
      <c r="E44" s="347" t="s">
        <v>101</v>
      </c>
      <c r="F44" s="348" t="s">
        <v>23</v>
      </c>
      <c r="G44" s="348" t="s">
        <v>221</v>
      </c>
      <c r="H44" s="347" t="s">
        <v>222</v>
      </c>
      <c r="I44" s="349">
        <f>L80</f>
        <v>2164967.34</v>
      </c>
      <c r="J44" s="350">
        <v>1</v>
      </c>
      <c r="K44" s="346">
        <v>138.15</v>
      </c>
      <c r="L44" s="351">
        <f>ROUND(J44*$E$11,2)</f>
        <v>2094.02</v>
      </c>
      <c r="M44" s="352">
        <f>L44*I10</f>
        <v>39642.939630000001</v>
      </c>
      <c r="O44" s="592">
        <f>IF(P28=0,M44,(L44*P28))</f>
        <v>40266.119981999997</v>
      </c>
      <c r="P44" s="1"/>
      <c r="Q44" s="592">
        <f>M44-O44</f>
        <v>-623.18035199999576</v>
      </c>
      <c r="R44" s="1"/>
      <c r="S44" s="1"/>
      <c r="T44" s="1"/>
      <c r="U44" s="1"/>
      <c r="V44" s="1"/>
      <c r="W44" s="1"/>
      <c r="X44" s="1"/>
      <c r="Y44" s="1"/>
    </row>
    <row r="45" spans="2:25" x14ac:dyDescent="0.2">
      <c r="B45" s="1"/>
      <c r="C45" s="353"/>
      <c r="D45" s="353"/>
      <c r="E45" s="353"/>
      <c r="F45" s="353"/>
      <c r="G45" s="353"/>
      <c r="H45" s="354"/>
      <c r="I45" s="449">
        <f>SUM(I41:I44)</f>
        <v>2164967.34</v>
      </c>
      <c r="J45" s="355"/>
      <c r="K45" s="353"/>
      <c r="L45" s="357">
        <f>SUM(L41:L44)</f>
        <v>2094.02</v>
      </c>
      <c r="M45" s="357">
        <f>SUM(M41:M44)</f>
        <v>39642.939630000001</v>
      </c>
      <c r="O45" s="593">
        <f>SUM(O41:O44)</f>
        <v>40266.119981999997</v>
      </c>
      <c r="P45" s="1"/>
      <c r="Q45" s="593">
        <f>SUM(Q41:Q44)</f>
        <v>-623.18035199999576</v>
      </c>
      <c r="R45" s="1"/>
      <c r="S45" s="1"/>
      <c r="T45" s="1"/>
      <c r="U45" s="1"/>
      <c r="V45" s="1"/>
      <c r="W45" s="1"/>
      <c r="X45" s="1"/>
      <c r="Y45" s="1"/>
    </row>
    <row r="46" spans="2:25" customFormat="1" ht="15" thickBot="1" x14ac:dyDescent="0.25">
      <c r="M46" s="450"/>
      <c r="N46" s="450"/>
      <c r="O46" s="450"/>
      <c r="P46" s="450"/>
      <c r="Q46" s="450"/>
      <c r="R46" s="450"/>
      <c r="S46" s="450"/>
      <c r="T46" s="450"/>
      <c r="U46" s="450"/>
      <c r="V46" s="450"/>
      <c r="W46" s="450"/>
      <c r="X46" s="450"/>
      <c r="Y46" s="450"/>
    </row>
    <row r="47" spans="2:25" ht="15" thickBot="1" x14ac:dyDescent="0.25">
      <c r="B47" s="434" t="s">
        <v>3</v>
      </c>
      <c r="C47" s="333">
        <f>SUMIF(Tarifas!E4:E303,'Noviembre - 2017'!C49,Tarifas!D4:D303)</f>
        <v>52</v>
      </c>
      <c r="D47" s="690" t="s">
        <v>147</v>
      </c>
      <c r="E47" s="691" t="s">
        <v>145</v>
      </c>
      <c r="F47" s="691" t="s">
        <v>150</v>
      </c>
      <c r="G47" s="691" t="s">
        <v>148</v>
      </c>
      <c r="H47" s="692"/>
      <c r="I47" s="693" t="s">
        <v>120</v>
      </c>
      <c r="J47" s="694"/>
      <c r="K47" s="694"/>
      <c r="L47" s="364" t="s">
        <v>105</v>
      </c>
      <c r="M47" s="365"/>
      <c r="N47" s="365"/>
      <c r="O47" s="365"/>
      <c r="P47" s="365"/>
      <c r="Q47" s="365"/>
      <c r="R47" s="366"/>
      <c r="S47" s="2267" t="s">
        <v>121</v>
      </c>
      <c r="T47" s="2268"/>
      <c r="U47" s="2268"/>
      <c r="V47" s="2268"/>
      <c r="W47" s="2268"/>
      <c r="X47" s="2268"/>
      <c r="Y47" s="2269"/>
    </row>
    <row r="48" spans="2:25" ht="34.5" thickBot="1" x14ac:dyDescent="0.25">
      <c r="C48" s="383" t="s">
        <v>122</v>
      </c>
      <c r="D48" s="1428" t="s">
        <v>125</v>
      </c>
      <c r="E48" s="1429" t="s">
        <v>149</v>
      </c>
      <c r="F48" s="1429" t="s">
        <v>151</v>
      </c>
      <c r="G48" s="1429" t="s">
        <v>152</v>
      </c>
      <c r="H48" s="1430" t="s">
        <v>123</v>
      </c>
      <c r="I48" s="1340" t="s">
        <v>109</v>
      </c>
      <c r="J48" s="1341" t="s">
        <v>25</v>
      </c>
      <c r="K48" s="1341" t="s">
        <v>26</v>
      </c>
      <c r="L48" s="1431" t="s">
        <v>115</v>
      </c>
      <c r="M48" s="1337" t="s">
        <v>106</v>
      </c>
      <c r="N48" s="1337" t="s">
        <v>107</v>
      </c>
      <c r="O48" s="1337" t="s">
        <v>108</v>
      </c>
      <c r="P48" s="1337" t="s">
        <v>115</v>
      </c>
      <c r="Q48" s="1338" t="s">
        <v>116</v>
      </c>
      <c r="R48" s="1339" t="s">
        <v>117</v>
      </c>
      <c r="S48" s="1343" t="s">
        <v>207</v>
      </c>
      <c r="T48" s="1344"/>
      <c r="U48" s="1344" t="s">
        <v>112</v>
      </c>
      <c r="V48" s="1345" t="s">
        <v>118</v>
      </c>
      <c r="W48" s="1345" t="s">
        <v>119</v>
      </c>
      <c r="X48" s="1345" t="s">
        <v>114</v>
      </c>
      <c r="Y48" s="1346" t="s">
        <v>113</v>
      </c>
    </row>
    <row r="49" spans="3:25" x14ac:dyDescent="0.2">
      <c r="C49" s="387">
        <f>G7</f>
        <v>43040</v>
      </c>
      <c r="D49" s="388">
        <f>($F$24*$H$24)/$G$24</f>
        <v>155314.35733333332</v>
      </c>
      <c r="E49" s="389">
        <f>P49+Q49+R49</f>
        <v>75428.88</v>
      </c>
      <c r="F49" s="427">
        <f>TRUNC(IFERROR(J$24/K$24,0),8)</f>
        <v>0.96722938999999997</v>
      </c>
      <c r="G49" s="390">
        <f>ROUND(I$24*F49*E49,4)</f>
        <v>72.956999999999994</v>
      </c>
      <c r="H49" s="391">
        <f t="shared" ref="H49:H78" si="0">SUM(D49:G49)</f>
        <v>230817.16156272331</v>
      </c>
      <c r="I49" s="324">
        <v>72982</v>
      </c>
      <c r="J49" s="325"/>
      <c r="K49" s="325"/>
      <c r="L49" s="317">
        <v>75428.88</v>
      </c>
      <c r="M49" s="318"/>
      <c r="N49" s="318"/>
      <c r="O49" s="318"/>
      <c r="P49" s="389">
        <f>L49</f>
        <v>75428.88</v>
      </c>
      <c r="Q49" s="389">
        <f t="shared" ref="Q49:Q78" si="1">M49+N49</f>
        <v>0</v>
      </c>
      <c r="R49" s="389">
        <f t="shared" ref="R49:R78" si="2">O49</f>
        <v>0</v>
      </c>
      <c r="S49" s="532">
        <v>62000.04</v>
      </c>
      <c r="T49" s="374"/>
      <c r="U49" s="520">
        <f>S49+T49-V49</f>
        <v>-10981.96</v>
      </c>
      <c r="V49" s="520">
        <f>I49+J49+K49</f>
        <v>72982</v>
      </c>
      <c r="W49" s="520">
        <f>(P49+Q49+R49)*1.055056</f>
        <v>79581.692417280006</v>
      </c>
      <c r="X49" s="520">
        <f>V49-W49</f>
        <v>-6599.6924172800063</v>
      </c>
      <c r="Y49" s="525">
        <f>AL46+X49</f>
        <v>-6599.6924172800063</v>
      </c>
    </row>
    <row r="50" spans="3:25" x14ac:dyDescent="0.2">
      <c r="C50" s="387">
        <f t="shared" ref="C50:C78" si="3">C49+1</f>
        <v>43041</v>
      </c>
      <c r="D50" s="388">
        <f t="shared" ref="D50:D78" si="4">($F$24*$H$24)/$G$24</f>
        <v>155314.35733333332</v>
      </c>
      <c r="E50" s="392">
        <f t="shared" ref="E50:E78" si="5">P50+Q50+R50</f>
        <v>75304.41</v>
      </c>
      <c r="F50" s="428">
        <f t="shared" ref="F50:F78" si="6">TRUNC(IFERROR(J$24/K$24,0),8)</f>
        <v>0.96722938999999997</v>
      </c>
      <c r="G50" s="390">
        <f t="shared" ref="G50:G78" si="7">ROUND(I$24*F50*E50,4)</f>
        <v>72.836600000000004</v>
      </c>
      <c r="H50" s="391">
        <f t="shared" si="0"/>
        <v>230692.57116272332</v>
      </c>
      <c r="I50" s="324">
        <v>71086</v>
      </c>
      <c r="J50" s="325"/>
      <c r="K50" s="325"/>
      <c r="L50" s="319">
        <v>75304.41</v>
      </c>
      <c r="M50" s="320"/>
      <c r="N50" s="320"/>
      <c r="O50" s="320"/>
      <c r="P50" s="392">
        <f t="shared" ref="P50:P78" si="8">L50</f>
        <v>75304.41</v>
      </c>
      <c r="Q50" s="392">
        <f t="shared" si="1"/>
        <v>0</v>
      </c>
      <c r="R50" s="392">
        <f t="shared" si="2"/>
        <v>0</v>
      </c>
      <c r="S50" s="532">
        <v>62000.04</v>
      </c>
      <c r="T50" s="374"/>
      <c r="U50" s="520">
        <f t="shared" ref="U50:U78" si="9">S50+T50-V50</f>
        <v>-9085.9599999999991</v>
      </c>
      <c r="V50" s="520">
        <f t="shared" ref="V50:V78" si="10">I50+J50+K50</f>
        <v>71086</v>
      </c>
      <c r="W50" s="520">
        <f t="shared" ref="W50:W78" si="11">(P50+Q50+R50)*1.055056</f>
        <v>79450.369596960008</v>
      </c>
      <c r="X50" s="520">
        <f t="shared" ref="X50:X78" si="12">V50-W50</f>
        <v>-8364.3695969600085</v>
      </c>
      <c r="Y50" s="525">
        <f>Y49+X50</f>
        <v>-14964.062014240015</v>
      </c>
    </row>
    <row r="51" spans="3:25" x14ac:dyDescent="0.2">
      <c r="C51" s="387">
        <f t="shared" si="3"/>
        <v>43042</v>
      </c>
      <c r="D51" s="388">
        <f t="shared" si="4"/>
        <v>155314.35733333332</v>
      </c>
      <c r="E51" s="392">
        <f t="shared" si="5"/>
        <v>75394.61</v>
      </c>
      <c r="F51" s="428">
        <f t="shared" si="6"/>
        <v>0.96722938999999997</v>
      </c>
      <c r="G51" s="390">
        <f t="shared" si="7"/>
        <v>72.923900000000003</v>
      </c>
      <c r="H51" s="391">
        <f t="shared" si="0"/>
        <v>230782.85846272332</v>
      </c>
      <c r="I51" s="324">
        <v>71086</v>
      </c>
      <c r="J51" s="325"/>
      <c r="K51" s="325"/>
      <c r="L51" s="317">
        <v>75394.61</v>
      </c>
      <c r="M51" s="318"/>
      <c r="N51" s="318"/>
      <c r="O51" s="318"/>
      <c r="P51" s="392">
        <f t="shared" si="8"/>
        <v>75394.61</v>
      </c>
      <c r="Q51" s="392">
        <f t="shared" si="1"/>
        <v>0</v>
      </c>
      <c r="R51" s="392">
        <f t="shared" si="2"/>
        <v>0</v>
      </c>
      <c r="S51" s="532">
        <v>62000.04</v>
      </c>
      <c r="T51" s="374"/>
      <c r="U51" s="520">
        <f t="shared" si="9"/>
        <v>-9085.9599999999991</v>
      </c>
      <c r="V51" s="520">
        <f t="shared" si="10"/>
        <v>71086</v>
      </c>
      <c r="W51" s="520">
        <f t="shared" si="11"/>
        <v>79545.535648160003</v>
      </c>
      <c r="X51" s="520">
        <f t="shared" si="12"/>
        <v>-8459.5356481600029</v>
      </c>
      <c r="Y51" s="525">
        <f t="shared" ref="Y51:Y78" si="13">Y50+X51</f>
        <v>-23423.597662400018</v>
      </c>
    </row>
    <row r="52" spans="3:25" x14ac:dyDescent="0.2">
      <c r="C52" s="387">
        <f t="shared" si="3"/>
        <v>43043</v>
      </c>
      <c r="D52" s="388">
        <f t="shared" si="4"/>
        <v>155314.35733333332</v>
      </c>
      <c r="E52" s="392">
        <f t="shared" si="5"/>
        <v>75397.350000000006</v>
      </c>
      <c r="F52" s="428">
        <f t="shared" si="6"/>
        <v>0.96722938999999997</v>
      </c>
      <c r="G52" s="390">
        <f t="shared" si="7"/>
        <v>72.926500000000004</v>
      </c>
      <c r="H52" s="391">
        <f t="shared" si="0"/>
        <v>230785.60106272332</v>
      </c>
      <c r="I52" s="324">
        <v>70770</v>
      </c>
      <c r="J52" s="325"/>
      <c r="K52" s="325"/>
      <c r="L52" s="319">
        <v>75397.350000000006</v>
      </c>
      <c r="M52" s="320"/>
      <c r="N52" s="320"/>
      <c r="O52" s="320"/>
      <c r="P52" s="392">
        <f t="shared" si="8"/>
        <v>75397.350000000006</v>
      </c>
      <c r="Q52" s="392">
        <f t="shared" si="1"/>
        <v>0</v>
      </c>
      <c r="R52" s="392">
        <f t="shared" si="2"/>
        <v>0</v>
      </c>
      <c r="S52" s="532">
        <v>60000</v>
      </c>
      <c r="T52" s="374"/>
      <c r="U52" s="520">
        <f t="shared" si="9"/>
        <v>-10770</v>
      </c>
      <c r="V52" s="520">
        <f t="shared" si="10"/>
        <v>70770</v>
      </c>
      <c r="W52" s="520">
        <f t="shared" si="11"/>
        <v>79548.426501599999</v>
      </c>
      <c r="X52" s="520">
        <f t="shared" si="12"/>
        <v>-8778.426501599999</v>
      </c>
      <c r="Y52" s="525">
        <f t="shared" si="13"/>
        <v>-32202.024164000017</v>
      </c>
    </row>
    <row r="53" spans="3:25" x14ac:dyDescent="0.2">
      <c r="C53" s="387">
        <f t="shared" si="3"/>
        <v>43044</v>
      </c>
      <c r="D53" s="388">
        <f t="shared" si="4"/>
        <v>155314.35733333332</v>
      </c>
      <c r="E53" s="392">
        <f t="shared" si="5"/>
        <v>75342.47</v>
      </c>
      <c r="F53" s="428">
        <f t="shared" si="6"/>
        <v>0.96722938999999997</v>
      </c>
      <c r="G53" s="390">
        <f t="shared" si="7"/>
        <v>72.873500000000007</v>
      </c>
      <c r="H53" s="391">
        <f t="shared" si="0"/>
        <v>230730.6680627233</v>
      </c>
      <c r="I53" s="324">
        <v>70770</v>
      </c>
      <c r="J53" s="325"/>
      <c r="K53" s="325"/>
      <c r="L53" s="317">
        <v>75342.47</v>
      </c>
      <c r="M53" s="318"/>
      <c r="N53" s="318"/>
      <c r="O53" s="318"/>
      <c r="P53" s="392">
        <f t="shared" si="8"/>
        <v>75342.47</v>
      </c>
      <c r="Q53" s="392">
        <f t="shared" si="1"/>
        <v>0</v>
      </c>
      <c r="R53" s="392">
        <f t="shared" si="2"/>
        <v>0</v>
      </c>
      <c r="S53" s="532">
        <v>60000</v>
      </c>
      <c r="T53" s="374"/>
      <c r="U53" s="520">
        <f t="shared" si="9"/>
        <v>-10770</v>
      </c>
      <c r="V53" s="520">
        <f t="shared" si="10"/>
        <v>70770</v>
      </c>
      <c r="W53" s="520">
        <f t="shared" si="11"/>
        <v>79490.52502832</v>
      </c>
      <c r="X53" s="520">
        <f t="shared" si="12"/>
        <v>-8720.5250283200003</v>
      </c>
      <c r="Y53" s="525">
        <f t="shared" si="13"/>
        <v>-40922.549192320017</v>
      </c>
    </row>
    <row r="54" spans="3:25" x14ac:dyDescent="0.2">
      <c r="C54" s="387">
        <f t="shared" si="3"/>
        <v>43045</v>
      </c>
      <c r="D54" s="388">
        <f t="shared" si="4"/>
        <v>155314.35733333332</v>
      </c>
      <c r="E54" s="392">
        <f t="shared" si="5"/>
        <v>75376.59</v>
      </c>
      <c r="F54" s="428">
        <f t="shared" si="6"/>
        <v>0.96722938999999997</v>
      </c>
      <c r="G54" s="390">
        <f t="shared" si="7"/>
        <v>72.906499999999994</v>
      </c>
      <c r="H54" s="391">
        <f t="shared" si="0"/>
        <v>230764.82106272332</v>
      </c>
      <c r="I54" s="324">
        <v>70770</v>
      </c>
      <c r="J54" s="325"/>
      <c r="K54" s="325"/>
      <c r="L54" s="319">
        <v>75376.59</v>
      </c>
      <c r="M54" s="320"/>
      <c r="N54" s="320"/>
      <c r="O54" s="320"/>
      <c r="P54" s="392">
        <f t="shared" si="8"/>
        <v>75376.59</v>
      </c>
      <c r="Q54" s="392">
        <f t="shared" si="1"/>
        <v>0</v>
      </c>
      <c r="R54" s="392">
        <f t="shared" si="2"/>
        <v>0</v>
      </c>
      <c r="S54" s="532">
        <v>60000</v>
      </c>
      <c r="T54" s="374"/>
      <c r="U54" s="520">
        <f t="shared" si="9"/>
        <v>-10770</v>
      </c>
      <c r="V54" s="520">
        <f t="shared" si="10"/>
        <v>70770</v>
      </c>
      <c r="W54" s="520">
        <f t="shared" si="11"/>
        <v>79526.52353903999</v>
      </c>
      <c r="X54" s="520">
        <f t="shared" si="12"/>
        <v>-8756.5235390399903</v>
      </c>
      <c r="Y54" s="525">
        <f t="shared" si="13"/>
        <v>-49679.072731360007</v>
      </c>
    </row>
    <row r="55" spans="3:25" x14ac:dyDescent="0.2">
      <c r="C55" s="387">
        <f t="shared" si="3"/>
        <v>43046</v>
      </c>
      <c r="D55" s="388">
        <f t="shared" si="4"/>
        <v>155314.35733333332</v>
      </c>
      <c r="E55" s="392">
        <f t="shared" si="5"/>
        <v>70219.66</v>
      </c>
      <c r="F55" s="428">
        <f t="shared" si="6"/>
        <v>0.96722938999999997</v>
      </c>
      <c r="G55" s="390">
        <f t="shared" si="7"/>
        <v>67.918499999999995</v>
      </c>
      <c r="H55" s="391">
        <f t="shared" si="0"/>
        <v>225602.90306272332</v>
      </c>
      <c r="I55" s="324">
        <v>70896</v>
      </c>
      <c r="J55" s="325"/>
      <c r="K55" s="325"/>
      <c r="L55" s="317">
        <v>70219.66</v>
      </c>
      <c r="M55" s="318"/>
      <c r="N55" s="318"/>
      <c r="O55" s="318"/>
      <c r="P55" s="392">
        <f t="shared" si="8"/>
        <v>70219.66</v>
      </c>
      <c r="Q55" s="392">
        <f t="shared" si="1"/>
        <v>0</v>
      </c>
      <c r="R55" s="392">
        <f t="shared" si="2"/>
        <v>0</v>
      </c>
      <c r="S55" s="532">
        <v>62000.04</v>
      </c>
      <c r="T55" s="374"/>
      <c r="U55" s="520">
        <f t="shared" si="9"/>
        <v>-8895.9599999999991</v>
      </c>
      <c r="V55" s="520">
        <f t="shared" si="10"/>
        <v>70896</v>
      </c>
      <c r="W55" s="520">
        <f t="shared" si="11"/>
        <v>74085.673600959999</v>
      </c>
      <c r="X55" s="520">
        <f t="shared" si="12"/>
        <v>-3189.673600959999</v>
      </c>
      <c r="Y55" s="525">
        <f t="shared" si="13"/>
        <v>-52868.746332320006</v>
      </c>
    </row>
    <row r="56" spans="3:25" x14ac:dyDescent="0.2">
      <c r="C56" s="387">
        <f t="shared" si="3"/>
        <v>43047</v>
      </c>
      <c r="D56" s="388">
        <f t="shared" si="4"/>
        <v>155314.35733333332</v>
      </c>
      <c r="E56" s="392">
        <f t="shared" si="5"/>
        <v>71025.05</v>
      </c>
      <c r="F56" s="428">
        <f t="shared" si="6"/>
        <v>0.96722938999999997</v>
      </c>
      <c r="G56" s="390">
        <f t="shared" si="7"/>
        <v>68.697500000000005</v>
      </c>
      <c r="H56" s="391">
        <f t="shared" si="0"/>
        <v>226409.07206272334</v>
      </c>
      <c r="I56" s="324">
        <v>70138</v>
      </c>
      <c r="J56" s="325"/>
      <c r="K56" s="325"/>
      <c r="L56" s="319">
        <v>71025.05</v>
      </c>
      <c r="M56" s="320"/>
      <c r="N56" s="320"/>
      <c r="O56" s="320"/>
      <c r="P56" s="392">
        <f t="shared" si="8"/>
        <v>71025.05</v>
      </c>
      <c r="Q56" s="392">
        <f t="shared" si="1"/>
        <v>0</v>
      </c>
      <c r="R56" s="392">
        <f t="shared" si="2"/>
        <v>0</v>
      </c>
      <c r="S56" s="532">
        <v>62000.04</v>
      </c>
      <c r="T56" s="374"/>
      <c r="U56" s="520">
        <f t="shared" si="9"/>
        <v>-8137.9599999999991</v>
      </c>
      <c r="V56" s="520">
        <f t="shared" si="10"/>
        <v>70138</v>
      </c>
      <c r="W56" s="520">
        <f t="shared" si="11"/>
        <v>74935.405152799998</v>
      </c>
      <c r="X56" s="520">
        <f t="shared" si="12"/>
        <v>-4797.4051527999982</v>
      </c>
      <c r="Y56" s="525">
        <f t="shared" si="13"/>
        <v>-57666.151485120005</v>
      </c>
    </row>
    <row r="57" spans="3:25" x14ac:dyDescent="0.2">
      <c r="C57" s="387">
        <f t="shared" si="3"/>
        <v>43048</v>
      </c>
      <c r="D57" s="388">
        <f t="shared" si="4"/>
        <v>155314.35733333332</v>
      </c>
      <c r="E57" s="392">
        <f t="shared" si="5"/>
        <v>71055.039999999994</v>
      </c>
      <c r="F57" s="428">
        <f t="shared" si="6"/>
        <v>0.96722938999999997</v>
      </c>
      <c r="G57" s="390">
        <f t="shared" si="7"/>
        <v>68.726500000000001</v>
      </c>
      <c r="H57" s="391">
        <f t="shared" si="0"/>
        <v>226439.09106272331</v>
      </c>
      <c r="I57" s="324">
        <v>70138</v>
      </c>
      <c r="J57" s="325"/>
      <c r="K57" s="325"/>
      <c r="L57" s="317">
        <v>71055.039999999994</v>
      </c>
      <c r="M57" s="318"/>
      <c r="N57" s="318"/>
      <c r="O57" s="318"/>
      <c r="P57" s="392">
        <f t="shared" si="8"/>
        <v>71055.039999999994</v>
      </c>
      <c r="Q57" s="392">
        <f t="shared" si="1"/>
        <v>0</v>
      </c>
      <c r="R57" s="392">
        <f t="shared" si="2"/>
        <v>0</v>
      </c>
      <c r="S57" s="532">
        <v>62000.04</v>
      </c>
      <c r="T57" s="374"/>
      <c r="U57" s="520">
        <f t="shared" si="9"/>
        <v>-8137.9599999999991</v>
      </c>
      <c r="V57" s="520">
        <f t="shared" si="10"/>
        <v>70138</v>
      </c>
      <c r="W57" s="520">
        <f t="shared" si="11"/>
        <v>74967.046282239986</v>
      </c>
      <c r="X57" s="520">
        <f t="shared" si="12"/>
        <v>-4829.0462822399859</v>
      </c>
      <c r="Y57" s="525">
        <f t="shared" si="13"/>
        <v>-62495.19776735999</v>
      </c>
    </row>
    <row r="58" spans="3:25" x14ac:dyDescent="0.2">
      <c r="C58" s="387">
        <f t="shared" si="3"/>
        <v>43049</v>
      </c>
      <c r="D58" s="388">
        <f t="shared" si="4"/>
        <v>155314.35733333332</v>
      </c>
      <c r="E58" s="392">
        <f t="shared" si="5"/>
        <v>71196.12</v>
      </c>
      <c r="F58" s="428">
        <f t="shared" si="6"/>
        <v>0.96722938999999997</v>
      </c>
      <c r="G58" s="390">
        <f t="shared" si="7"/>
        <v>68.863</v>
      </c>
      <c r="H58" s="391">
        <f t="shared" si="0"/>
        <v>226580.30756272332</v>
      </c>
      <c r="I58" s="324">
        <v>67295</v>
      </c>
      <c r="J58" s="325"/>
      <c r="K58" s="325"/>
      <c r="L58" s="319">
        <v>71196.12</v>
      </c>
      <c r="M58" s="320"/>
      <c r="N58" s="320"/>
      <c r="O58" s="320"/>
      <c r="P58" s="392">
        <f t="shared" si="8"/>
        <v>71196.12</v>
      </c>
      <c r="Q58" s="392">
        <f t="shared" si="1"/>
        <v>0</v>
      </c>
      <c r="R58" s="392">
        <f t="shared" si="2"/>
        <v>0</v>
      </c>
      <c r="S58" s="532">
        <v>62000.04</v>
      </c>
      <c r="T58" s="374"/>
      <c r="U58" s="520">
        <f t="shared" si="9"/>
        <v>-5294.9599999999991</v>
      </c>
      <c r="V58" s="520">
        <f t="shared" si="10"/>
        <v>67295</v>
      </c>
      <c r="W58" s="520">
        <f t="shared" si="11"/>
        <v>75115.893582719989</v>
      </c>
      <c r="X58" s="520">
        <f t="shared" si="12"/>
        <v>-7820.8935827199894</v>
      </c>
      <c r="Y58" s="525">
        <f t="shared" si="13"/>
        <v>-70316.09135007998</v>
      </c>
    </row>
    <row r="59" spans="3:25" x14ac:dyDescent="0.2">
      <c r="C59" s="387">
        <f t="shared" si="3"/>
        <v>43050</v>
      </c>
      <c r="D59" s="388">
        <f t="shared" si="4"/>
        <v>155314.35733333332</v>
      </c>
      <c r="E59" s="392">
        <f t="shared" si="5"/>
        <v>71149.09</v>
      </c>
      <c r="F59" s="428">
        <f t="shared" si="6"/>
        <v>0.96722938999999997</v>
      </c>
      <c r="G59" s="390">
        <f t="shared" si="7"/>
        <v>68.817499999999995</v>
      </c>
      <c r="H59" s="391">
        <f t="shared" si="0"/>
        <v>226533.23206272331</v>
      </c>
      <c r="I59" s="324">
        <v>68716</v>
      </c>
      <c r="J59" s="325"/>
      <c r="K59" s="325"/>
      <c r="L59" s="317">
        <v>71149.09</v>
      </c>
      <c r="M59" s="318"/>
      <c r="N59" s="318"/>
      <c r="O59" s="318"/>
      <c r="P59" s="392">
        <f t="shared" si="8"/>
        <v>71149.09</v>
      </c>
      <c r="Q59" s="392">
        <f t="shared" si="1"/>
        <v>0</v>
      </c>
      <c r="R59" s="392">
        <f t="shared" si="2"/>
        <v>0</v>
      </c>
      <c r="S59" s="532">
        <v>62000.04</v>
      </c>
      <c r="T59" s="374"/>
      <c r="U59" s="520">
        <f t="shared" si="9"/>
        <v>-6715.9599999999991</v>
      </c>
      <c r="V59" s="520">
        <f t="shared" si="10"/>
        <v>68716</v>
      </c>
      <c r="W59" s="520">
        <f t="shared" si="11"/>
        <v>75066.27429904</v>
      </c>
      <c r="X59" s="520">
        <f t="shared" si="12"/>
        <v>-6350.2742990400002</v>
      </c>
      <c r="Y59" s="525">
        <f t="shared" si="13"/>
        <v>-76666.36564911998</v>
      </c>
    </row>
    <row r="60" spans="3:25" x14ac:dyDescent="0.2">
      <c r="C60" s="387">
        <f t="shared" si="3"/>
        <v>43051</v>
      </c>
      <c r="D60" s="388">
        <f t="shared" si="4"/>
        <v>155314.35733333332</v>
      </c>
      <c r="E60" s="392">
        <f t="shared" si="5"/>
        <v>71015.55</v>
      </c>
      <c r="F60" s="428">
        <f t="shared" si="6"/>
        <v>0.96722938999999997</v>
      </c>
      <c r="G60" s="390">
        <f t="shared" si="7"/>
        <v>68.688299999999998</v>
      </c>
      <c r="H60" s="391">
        <f t="shared" si="0"/>
        <v>226399.56286272334</v>
      </c>
      <c r="I60" s="324">
        <v>68716</v>
      </c>
      <c r="J60" s="325"/>
      <c r="K60" s="325"/>
      <c r="L60" s="319">
        <v>71015.55</v>
      </c>
      <c r="M60" s="320"/>
      <c r="N60" s="320"/>
      <c r="O60" s="320"/>
      <c r="P60" s="392">
        <f t="shared" si="8"/>
        <v>71015.55</v>
      </c>
      <c r="Q60" s="392">
        <f t="shared" si="1"/>
        <v>0</v>
      </c>
      <c r="R60" s="392">
        <f t="shared" si="2"/>
        <v>0</v>
      </c>
      <c r="S60" s="532">
        <v>62000.04</v>
      </c>
      <c r="T60" s="374"/>
      <c r="U60" s="520">
        <f t="shared" si="9"/>
        <v>-6715.9599999999991</v>
      </c>
      <c r="V60" s="520">
        <f t="shared" si="10"/>
        <v>68716</v>
      </c>
      <c r="W60" s="520">
        <f t="shared" si="11"/>
        <v>74925.382120800001</v>
      </c>
      <c r="X60" s="520">
        <f t="shared" si="12"/>
        <v>-6209.3821208000008</v>
      </c>
      <c r="Y60" s="525">
        <f t="shared" si="13"/>
        <v>-82875.747769919981</v>
      </c>
    </row>
    <row r="61" spans="3:25" x14ac:dyDescent="0.2">
      <c r="C61" s="387">
        <f t="shared" si="3"/>
        <v>43052</v>
      </c>
      <c r="D61" s="388">
        <f t="shared" si="4"/>
        <v>155314.35733333332</v>
      </c>
      <c r="E61" s="392">
        <f t="shared" si="5"/>
        <v>71013.13</v>
      </c>
      <c r="F61" s="428">
        <f t="shared" si="6"/>
        <v>0.96722938999999997</v>
      </c>
      <c r="G61" s="390">
        <f t="shared" si="7"/>
        <v>68.686000000000007</v>
      </c>
      <c r="H61" s="391">
        <f t="shared" si="0"/>
        <v>226397.1405627233</v>
      </c>
      <c r="I61" s="324">
        <v>68176</v>
      </c>
      <c r="J61" s="325"/>
      <c r="K61" s="325"/>
      <c r="L61" s="317">
        <v>71013.13</v>
      </c>
      <c r="M61" s="318"/>
      <c r="N61" s="318"/>
      <c r="O61" s="318"/>
      <c r="P61" s="392">
        <f t="shared" si="8"/>
        <v>71013.13</v>
      </c>
      <c r="Q61" s="392">
        <f t="shared" si="1"/>
        <v>0</v>
      </c>
      <c r="R61" s="392">
        <f t="shared" si="2"/>
        <v>0</v>
      </c>
      <c r="S61" s="532">
        <v>62000.04</v>
      </c>
      <c r="T61" s="374"/>
      <c r="U61" s="520">
        <f t="shared" si="9"/>
        <v>-6175.9599999999991</v>
      </c>
      <c r="V61" s="520">
        <f t="shared" si="10"/>
        <v>68176</v>
      </c>
      <c r="W61" s="520">
        <f t="shared" si="11"/>
        <v>74922.828885280003</v>
      </c>
      <c r="X61" s="520">
        <f t="shared" si="12"/>
        <v>-6746.8288852800033</v>
      </c>
      <c r="Y61" s="525">
        <f t="shared" si="13"/>
        <v>-89622.576655199984</v>
      </c>
    </row>
    <row r="62" spans="3:25" x14ac:dyDescent="0.2">
      <c r="C62" s="387">
        <f t="shared" si="3"/>
        <v>43053</v>
      </c>
      <c r="D62" s="388">
        <f t="shared" si="4"/>
        <v>155314.35733333332</v>
      </c>
      <c r="E62" s="392">
        <f t="shared" si="5"/>
        <v>70911.03</v>
      </c>
      <c r="F62" s="428">
        <f t="shared" si="6"/>
        <v>0.96722938999999997</v>
      </c>
      <c r="G62" s="390">
        <f t="shared" si="7"/>
        <v>68.587199999999996</v>
      </c>
      <c r="H62" s="391">
        <f t="shared" si="0"/>
        <v>226294.94176272332</v>
      </c>
      <c r="I62" s="324">
        <v>66347</v>
      </c>
      <c r="J62" s="325"/>
      <c r="K62" s="325"/>
      <c r="L62" s="319">
        <v>70911.03</v>
      </c>
      <c r="M62" s="320"/>
      <c r="N62" s="320"/>
      <c r="O62" s="320"/>
      <c r="P62" s="392">
        <f t="shared" si="8"/>
        <v>70911.03</v>
      </c>
      <c r="Q62" s="392">
        <f t="shared" si="1"/>
        <v>0</v>
      </c>
      <c r="R62" s="392">
        <f t="shared" si="2"/>
        <v>0</v>
      </c>
      <c r="S62" s="532">
        <v>62000.04</v>
      </c>
      <c r="T62" s="374"/>
      <c r="U62" s="520">
        <f t="shared" si="9"/>
        <v>-4346.9599999999991</v>
      </c>
      <c r="V62" s="520">
        <f t="shared" si="10"/>
        <v>66347</v>
      </c>
      <c r="W62" s="520">
        <f t="shared" si="11"/>
        <v>74815.10766768</v>
      </c>
      <c r="X62" s="520">
        <f t="shared" si="12"/>
        <v>-8468.1076676800003</v>
      </c>
      <c r="Y62" s="525">
        <f t="shared" si="13"/>
        <v>-98090.684322879984</v>
      </c>
    </row>
    <row r="63" spans="3:25" x14ac:dyDescent="0.2">
      <c r="C63" s="387">
        <f t="shared" si="3"/>
        <v>43054</v>
      </c>
      <c r="D63" s="388">
        <f t="shared" si="4"/>
        <v>155314.35733333332</v>
      </c>
      <c r="E63" s="392">
        <f t="shared" si="5"/>
        <v>70930.509999999995</v>
      </c>
      <c r="F63" s="428">
        <f t="shared" si="6"/>
        <v>0.96722938999999997</v>
      </c>
      <c r="G63" s="390">
        <f t="shared" si="7"/>
        <v>68.606099999999998</v>
      </c>
      <c r="H63" s="391">
        <f t="shared" si="0"/>
        <v>226314.4406627233</v>
      </c>
      <c r="I63" s="324">
        <v>66821</v>
      </c>
      <c r="J63" s="325"/>
      <c r="K63" s="325"/>
      <c r="L63" s="317">
        <v>70930.509999999995</v>
      </c>
      <c r="M63" s="318"/>
      <c r="N63" s="318"/>
      <c r="O63" s="318"/>
      <c r="P63" s="392">
        <f t="shared" si="8"/>
        <v>70930.509999999995</v>
      </c>
      <c r="Q63" s="392">
        <f t="shared" si="1"/>
        <v>0</v>
      </c>
      <c r="R63" s="392">
        <f t="shared" si="2"/>
        <v>0</v>
      </c>
      <c r="S63" s="532">
        <v>68000.13</v>
      </c>
      <c r="T63" s="374"/>
      <c r="U63" s="520">
        <f t="shared" si="9"/>
        <v>1179.1300000000047</v>
      </c>
      <c r="V63" s="520">
        <f t="shared" si="10"/>
        <v>66821</v>
      </c>
      <c r="W63" s="520">
        <f t="shared" si="11"/>
        <v>74835.66015856</v>
      </c>
      <c r="X63" s="520">
        <f t="shared" si="12"/>
        <v>-8014.6601585600001</v>
      </c>
      <c r="Y63" s="525">
        <f t="shared" si="13"/>
        <v>-106105.34448143998</v>
      </c>
    </row>
    <row r="64" spans="3:25" x14ac:dyDescent="0.2">
      <c r="C64" s="387">
        <f t="shared" si="3"/>
        <v>43055</v>
      </c>
      <c r="D64" s="388">
        <f t="shared" si="4"/>
        <v>155314.35733333332</v>
      </c>
      <c r="E64" s="392">
        <f t="shared" si="5"/>
        <v>71094</v>
      </c>
      <c r="F64" s="428">
        <f t="shared" si="6"/>
        <v>0.96722938999999997</v>
      </c>
      <c r="G64" s="390">
        <f t="shared" si="7"/>
        <v>68.764200000000002</v>
      </c>
      <c r="H64" s="391">
        <f t="shared" si="0"/>
        <v>226478.08876272332</v>
      </c>
      <c r="I64" s="324">
        <v>66631</v>
      </c>
      <c r="J64" s="325"/>
      <c r="K64" s="325"/>
      <c r="L64" s="319">
        <v>71094</v>
      </c>
      <c r="M64" s="320"/>
      <c r="N64" s="320"/>
      <c r="O64" s="320"/>
      <c r="P64" s="392">
        <f t="shared" si="8"/>
        <v>71094</v>
      </c>
      <c r="Q64" s="392">
        <f t="shared" si="1"/>
        <v>0</v>
      </c>
      <c r="R64" s="392">
        <f t="shared" si="2"/>
        <v>0</v>
      </c>
      <c r="S64" s="532">
        <v>68000.13</v>
      </c>
      <c r="T64" s="374"/>
      <c r="U64" s="520">
        <f t="shared" si="9"/>
        <v>1369.1300000000047</v>
      </c>
      <c r="V64" s="520">
        <f t="shared" si="10"/>
        <v>66631</v>
      </c>
      <c r="W64" s="520">
        <f t="shared" si="11"/>
        <v>75008.151264</v>
      </c>
      <c r="X64" s="520">
        <f t="shared" si="12"/>
        <v>-8377.1512640000001</v>
      </c>
      <c r="Y64" s="525">
        <f t="shared" si="13"/>
        <v>-114482.49574543998</v>
      </c>
    </row>
    <row r="65" spans="3:38" x14ac:dyDescent="0.2">
      <c r="C65" s="387">
        <f t="shared" si="3"/>
        <v>43056</v>
      </c>
      <c r="D65" s="388">
        <f t="shared" si="4"/>
        <v>155314.35733333332</v>
      </c>
      <c r="E65" s="392">
        <f t="shared" si="5"/>
        <v>70820.160000000003</v>
      </c>
      <c r="F65" s="428">
        <f t="shared" si="6"/>
        <v>0.96722938999999997</v>
      </c>
      <c r="G65" s="390">
        <f t="shared" si="7"/>
        <v>68.499300000000005</v>
      </c>
      <c r="H65" s="391">
        <f t="shared" si="0"/>
        <v>226203.98386272331</v>
      </c>
      <c r="I65" s="324">
        <v>66537</v>
      </c>
      <c r="J65" s="325"/>
      <c r="K65" s="325"/>
      <c r="L65" s="317">
        <v>70820.160000000003</v>
      </c>
      <c r="M65" s="318"/>
      <c r="N65" s="318"/>
      <c r="O65" s="318"/>
      <c r="P65" s="392">
        <f t="shared" si="8"/>
        <v>70820.160000000003</v>
      </c>
      <c r="Q65" s="392">
        <f t="shared" si="1"/>
        <v>0</v>
      </c>
      <c r="R65" s="392">
        <f t="shared" si="2"/>
        <v>0</v>
      </c>
      <c r="S65" s="532">
        <v>68000.13</v>
      </c>
      <c r="T65" s="374"/>
      <c r="U65" s="520">
        <f t="shared" si="9"/>
        <v>1463.1300000000047</v>
      </c>
      <c r="V65" s="520">
        <f t="shared" si="10"/>
        <v>66537</v>
      </c>
      <c r="W65" s="520">
        <f t="shared" si="11"/>
        <v>74719.23472896</v>
      </c>
      <c r="X65" s="520">
        <f t="shared" si="12"/>
        <v>-8182.2347289600002</v>
      </c>
      <c r="Y65" s="525">
        <f t="shared" si="13"/>
        <v>-122664.73047439998</v>
      </c>
    </row>
    <row r="66" spans="3:38" x14ac:dyDescent="0.2">
      <c r="C66" s="387">
        <f t="shared" si="3"/>
        <v>43057</v>
      </c>
      <c r="D66" s="388">
        <f t="shared" si="4"/>
        <v>155314.35733333332</v>
      </c>
      <c r="E66" s="392">
        <f t="shared" si="5"/>
        <v>71057.91</v>
      </c>
      <c r="F66" s="428">
        <f t="shared" si="6"/>
        <v>0.96722938999999997</v>
      </c>
      <c r="G66" s="390">
        <f t="shared" si="7"/>
        <v>68.729299999999995</v>
      </c>
      <c r="H66" s="391">
        <f t="shared" si="0"/>
        <v>226441.96386272332</v>
      </c>
      <c r="I66" s="324">
        <v>66821</v>
      </c>
      <c r="J66" s="325"/>
      <c r="K66" s="325"/>
      <c r="L66" s="319">
        <v>71057.91</v>
      </c>
      <c r="M66" s="320"/>
      <c r="N66" s="320"/>
      <c r="O66" s="320"/>
      <c r="P66" s="392">
        <f t="shared" si="8"/>
        <v>71057.91</v>
      </c>
      <c r="Q66" s="392">
        <f t="shared" si="1"/>
        <v>0</v>
      </c>
      <c r="R66" s="392">
        <f t="shared" si="2"/>
        <v>0</v>
      </c>
      <c r="S66" s="532">
        <v>64999.600000000006</v>
      </c>
      <c r="T66" s="374"/>
      <c r="U66" s="520">
        <f t="shared" si="9"/>
        <v>-1821.3999999999942</v>
      </c>
      <c r="V66" s="520">
        <f t="shared" si="10"/>
        <v>66821</v>
      </c>
      <c r="W66" s="520">
        <f t="shared" si="11"/>
        <v>74970.074292960009</v>
      </c>
      <c r="X66" s="520">
        <f t="shared" si="12"/>
        <v>-8149.0742929600092</v>
      </c>
      <c r="Y66" s="525">
        <f t="shared" si="13"/>
        <v>-130813.80476735999</v>
      </c>
    </row>
    <row r="67" spans="3:38" x14ac:dyDescent="0.2">
      <c r="C67" s="387">
        <f t="shared" si="3"/>
        <v>43058</v>
      </c>
      <c r="D67" s="388">
        <f t="shared" si="4"/>
        <v>155314.35733333332</v>
      </c>
      <c r="E67" s="392">
        <f t="shared" si="5"/>
        <v>71160.160000000003</v>
      </c>
      <c r="F67" s="428">
        <f t="shared" si="6"/>
        <v>0.96722938999999997</v>
      </c>
      <c r="G67" s="390">
        <f t="shared" si="7"/>
        <v>68.828199999999995</v>
      </c>
      <c r="H67" s="391">
        <f t="shared" si="0"/>
        <v>226544.3127627233</v>
      </c>
      <c r="I67" s="324">
        <v>66821</v>
      </c>
      <c r="J67" s="325"/>
      <c r="K67" s="325"/>
      <c r="L67" s="317">
        <v>71160.160000000003</v>
      </c>
      <c r="M67" s="318"/>
      <c r="N67" s="318"/>
      <c r="O67" s="318"/>
      <c r="P67" s="392">
        <f t="shared" si="8"/>
        <v>71160.160000000003</v>
      </c>
      <c r="Q67" s="392">
        <f t="shared" si="1"/>
        <v>0</v>
      </c>
      <c r="R67" s="392">
        <f t="shared" si="2"/>
        <v>0</v>
      </c>
      <c r="S67" s="532">
        <v>64999.600000000006</v>
      </c>
      <c r="T67" s="374"/>
      <c r="U67" s="520">
        <f t="shared" si="9"/>
        <v>-1821.3999999999942</v>
      </c>
      <c r="V67" s="520">
        <f t="shared" si="10"/>
        <v>66821</v>
      </c>
      <c r="W67" s="520">
        <f t="shared" si="11"/>
        <v>75077.953768959997</v>
      </c>
      <c r="X67" s="520">
        <f t="shared" si="12"/>
        <v>-8256.9537689599965</v>
      </c>
      <c r="Y67" s="525">
        <f t="shared" si="13"/>
        <v>-139070.75853632001</v>
      </c>
    </row>
    <row r="68" spans="3:38" x14ac:dyDescent="0.2">
      <c r="C68" s="387">
        <f t="shared" si="3"/>
        <v>43059</v>
      </c>
      <c r="D68" s="388">
        <f t="shared" si="4"/>
        <v>155314.35733333332</v>
      </c>
      <c r="E68" s="392">
        <f t="shared" si="5"/>
        <v>71119.06</v>
      </c>
      <c r="F68" s="428">
        <f t="shared" si="6"/>
        <v>0.96722938999999997</v>
      </c>
      <c r="G68" s="390">
        <f t="shared" si="7"/>
        <v>68.788399999999996</v>
      </c>
      <c r="H68" s="391">
        <f t="shared" si="0"/>
        <v>226503.1729627233</v>
      </c>
      <c r="I68" s="324">
        <v>66821</v>
      </c>
      <c r="J68" s="325"/>
      <c r="K68" s="325"/>
      <c r="L68" s="319">
        <v>71119.06</v>
      </c>
      <c r="M68" s="320"/>
      <c r="N68" s="320"/>
      <c r="O68" s="320"/>
      <c r="P68" s="392">
        <f t="shared" si="8"/>
        <v>71119.06</v>
      </c>
      <c r="Q68" s="392">
        <f t="shared" si="1"/>
        <v>0</v>
      </c>
      <c r="R68" s="392">
        <f t="shared" si="2"/>
        <v>0</v>
      </c>
      <c r="S68" s="532">
        <v>64999.600000000006</v>
      </c>
      <c r="T68" s="374"/>
      <c r="U68" s="520">
        <f t="shared" si="9"/>
        <v>-1821.3999999999942</v>
      </c>
      <c r="V68" s="520">
        <f t="shared" si="10"/>
        <v>66821</v>
      </c>
      <c r="W68" s="520">
        <f t="shared" si="11"/>
        <v>75034.590967359996</v>
      </c>
      <c r="X68" s="520">
        <f t="shared" si="12"/>
        <v>-8213.5909673599963</v>
      </c>
      <c r="Y68" s="525">
        <f t="shared" si="13"/>
        <v>-147284.34950368002</v>
      </c>
    </row>
    <row r="69" spans="3:38" x14ac:dyDescent="0.2">
      <c r="C69" s="387">
        <f t="shared" si="3"/>
        <v>43060</v>
      </c>
      <c r="D69" s="388">
        <f t="shared" si="4"/>
        <v>155314.35733333332</v>
      </c>
      <c r="E69" s="392">
        <f t="shared" si="5"/>
        <v>70999.02</v>
      </c>
      <c r="F69" s="428">
        <f t="shared" si="6"/>
        <v>0.96722938999999997</v>
      </c>
      <c r="G69" s="390">
        <f t="shared" si="7"/>
        <v>68.672300000000007</v>
      </c>
      <c r="H69" s="391">
        <f t="shared" si="0"/>
        <v>226383.01686272331</v>
      </c>
      <c r="I69" s="324">
        <v>67295</v>
      </c>
      <c r="J69" s="325"/>
      <c r="K69" s="325"/>
      <c r="L69" s="317">
        <v>70999.02</v>
      </c>
      <c r="M69" s="318"/>
      <c r="N69" s="318"/>
      <c r="O69" s="318"/>
      <c r="P69" s="392">
        <f t="shared" si="8"/>
        <v>70999.02</v>
      </c>
      <c r="Q69" s="392">
        <f t="shared" si="1"/>
        <v>0</v>
      </c>
      <c r="R69" s="392">
        <f t="shared" si="2"/>
        <v>0</v>
      </c>
      <c r="S69" s="532">
        <v>64999.600000000006</v>
      </c>
      <c r="T69" s="374"/>
      <c r="U69" s="520">
        <f t="shared" si="9"/>
        <v>-2295.3999999999942</v>
      </c>
      <c r="V69" s="520">
        <f t="shared" si="10"/>
        <v>67295</v>
      </c>
      <c r="W69" s="520">
        <f t="shared" si="11"/>
        <v>74907.942045119999</v>
      </c>
      <c r="X69" s="520">
        <f t="shared" si="12"/>
        <v>-7612.9420451199985</v>
      </c>
      <c r="Y69" s="525">
        <f t="shared" si="13"/>
        <v>-154897.29154880001</v>
      </c>
    </row>
    <row r="70" spans="3:38" x14ac:dyDescent="0.2">
      <c r="C70" s="387">
        <f t="shared" si="3"/>
        <v>43061</v>
      </c>
      <c r="D70" s="388">
        <f t="shared" si="4"/>
        <v>155314.35733333332</v>
      </c>
      <c r="E70" s="392">
        <f t="shared" si="5"/>
        <v>70944.98</v>
      </c>
      <c r="F70" s="428">
        <f t="shared" si="6"/>
        <v>0.96722938999999997</v>
      </c>
      <c r="G70" s="390">
        <f t="shared" si="7"/>
        <v>68.620099999999994</v>
      </c>
      <c r="H70" s="391">
        <f t="shared" si="0"/>
        <v>226328.92466272332</v>
      </c>
      <c r="I70" s="324">
        <v>66821</v>
      </c>
      <c r="J70" s="325"/>
      <c r="K70" s="325"/>
      <c r="L70" s="319">
        <v>70944.98</v>
      </c>
      <c r="M70" s="320"/>
      <c r="N70" s="320"/>
      <c r="O70" s="320"/>
      <c r="P70" s="392">
        <f t="shared" si="8"/>
        <v>70944.98</v>
      </c>
      <c r="Q70" s="392">
        <f t="shared" si="1"/>
        <v>0</v>
      </c>
      <c r="R70" s="392">
        <f t="shared" si="2"/>
        <v>0</v>
      </c>
      <c r="S70" s="532">
        <v>68000.13</v>
      </c>
      <c r="T70" s="374"/>
      <c r="U70" s="520">
        <f t="shared" si="9"/>
        <v>1179.1300000000047</v>
      </c>
      <c r="V70" s="520">
        <f t="shared" si="10"/>
        <v>66821</v>
      </c>
      <c r="W70" s="520">
        <f t="shared" si="11"/>
        <v>74850.926818879991</v>
      </c>
      <c r="X70" s="520">
        <f t="shared" si="12"/>
        <v>-8029.9268188799906</v>
      </c>
      <c r="Y70" s="525">
        <f t="shared" si="13"/>
        <v>-162927.21836768001</v>
      </c>
    </row>
    <row r="71" spans="3:38" x14ac:dyDescent="0.2">
      <c r="C71" s="387">
        <f t="shared" si="3"/>
        <v>43062</v>
      </c>
      <c r="D71" s="388">
        <f t="shared" si="4"/>
        <v>155314.35733333332</v>
      </c>
      <c r="E71" s="392">
        <f t="shared" si="5"/>
        <v>71903.58</v>
      </c>
      <c r="F71" s="428">
        <f t="shared" si="6"/>
        <v>0.96722938999999997</v>
      </c>
      <c r="G71" s="390">
        <f t="shared" si="7"/>
        <v>69.547300000000007</v>
      </c>
      <c r="H71" s="391">
        <f t="shared" si="0"/>
        <v>227288.4518627233</v>
      </c>
      <c r="I71" s="324">
        <v>66821</v>
      </c>
      <c r="J71" s="325"/>
      <c r="K71" s="325"/>
      <c r="L71" s="317">
        <v>71903.58</v>
      </c>
      <c r="M71" s="318"/>
      <c r="N71" s="318"/>
      <c r="O71" s="318"/>
      <c r="P71" s="392">
        <f t="shared" si="8"/>
        <v>71903.58</v>
      </c>
      <c r="Q71" s="392">
        <f t="shared" si="1"/>
        <v>0</v>
      </c>
      <c r="R71" s="392">
        <f t="shared" si="2"/>
        <v>0</v>
      </c>
      <c r="S71" s="532">
        <v>68000.13</v>
      </c>
      <c r="T71" s="374"/>
      <c r="U71" s="520">
        <f t="shared" si="9"/>
        <v>1179.1300000000047</v>
      </c>
      <c r="V71" s="520">
        <f t="shared" si="10"/>
        <v>66821</v>
      </c>
      <c r="W71" s="520">
        <f t="shared" si="11"/>
        <v>75862.303500480004</v>
      </c>
      <c r="X71" s="520">
        <f t="shared" si="12"/>
        <v>-9041.303500480004</v>
      </c>
      <c r="Y71" s="525">
        <f t="shared" si="13"/>
        <v>-171968.52186815999</v>
      </c>
    </row>
    <row r="72" spans="3:38" x14ac:dyDescent="0.2">
      <c r="C72" s="387">
        <f t="shared" si="3"/>
        <v>43063</v>
      </c>
      <c r="D72" s="388">
        <f t="shared" si="4"/>
        <v>155314.35733333332</v>
      </c>
      <c r="E72" s="392">
        <f t="shared" si="5"/>
        <v>72517.89</v>
      </c>
      <c r="F72" s="428">
        <f t="shared" si="6"/>
        <v>0.96722938999999997</v>
      </c>
      <c r="G72" s="390">
        <f t="shared" si="7"/>
        <v>70.141400000000004</v>
      </c>
      <c r="H72" s="391">
        <f t="shared" si="0"/>
        <v>227903.35596272329</v>
      </c>
      <c r="I72" s="324">
        <v>66821</v>
      </c>
      <c r="J72" s="325"/>
      <c r="K72" s="325"/>
      <c r="L72" s="319">
        <v>72517.89</v>
      </c>
      <c r="M72" s="320"/>
      <c r="N72" s="320"/>
      <c r="O72" s="320"/>
      <c r="P72" s="392">
        <f t="shared" si="8"/>
        <v>72517.89</v>
      </c>
      <c r="Q72" s="392">
        <f t="shared" si="1"/>
        <v>0</v>
      </c>
      <c r="R72" s="392">
        <f t="shared" si="2"/>
        <v>0</v>
      </c>
      <c r="S72" s="532">
        <v>68000.13</v>
      </c>
      <c r="T72" s="374"/>
      <c r="U72" s="520">
        <f t="shared" si="9"/>
        <v>1179.1300000000047</v>
      </c>
      <c r="V72" s="520">
        <f t="shared" si="10"/>
        <v>66821</v>
      </c>
      <c r="W72" s="520">
        <f t="shared" si="11"/>
        <v>76510.434951839998</v>
      </c>
      <c r="X72" s="520">
        <f t="shared" si="12"/>
        <v>-9689.4349518399977</v>
      </c>
      <c r="Y72" s="525">
        <f t="shared" si="13"/>
        <v>-181657.95681999999</v>
      </c>
    </row>
    <row r="73" spans="3:38" x14ac:dyDescent="0.2">
      <c r="C73" s="387">
        <f t="shared" si="3"/>
        <v>43064</v>
      </c>
      <c r="D73" s="388">
        <f t="shared" si="4"/>
        <v>155314.35733333332</v>
      </c>
      <c r="E73" s="392">
        <f t="shared" si="5"/>
        <v>72317.179999999993</v>
      </c>
      <c r="F73" s="428">
        <f t="shared" si="6"/>
        <v>0.96722938999999997</v>
      </c>
      <c r="G73" s="390">
        <f t="shared" si="7"/>
        <v>69.947299999999998</v>
      </c>
      <c r="H73" s="391">
        <f t="shared" si="0"/>
        <v>227702.4518627233</v>
      </c>
      <c r="I73" s="324">
        <v>66821</v>
      </c>
      <c r="J73" s="325"/>
      <c r="K73" s="325"/>
      <c r="L73" s="317">
        <v>72317.179999999993</v>
      </c>
      <c r="M73" s="318"/>
      <c r="N73" s="318"/>
      <c r="O73" s="318"/>
      <c r="P73" s="392">
        <f t="shared" si="8"/>
        <v>72317.179999999993</v>
      </c>
      <c r="Q73" s="392">
        <f t="shared" si="1"/>
        <v>0</v>
      </c>
      <c r="R73" s="392">
        <f t="shared" si="2"/>
        <v>0</v>
      </c>
      <c r="S73" s="532">
        <v>66999.63</v>
      </c>
      <c r="T73" s="374"/>
      <c r="U73" s="520">
        <f t="shared" si="9"/>
        <v>178.63000000000466</v>
      </c>
      <c r="V73" s="520">
        <f t="shared" si="10"/>
        <v>66821</v>
      </c>
      <c r="W73" s="520">
        <f t="shared" si="11"/>
        <v>76298.674662079997</v>
      </c>
      <c r="X73" s="520">
        <f t="shared" si="12"/>
        <v>-9477.6746620799968</v>
      </c>
      <c r="Y73" s="525">
        <f t="shared" si="13"/>
        <v>-191135.63148207997</v>
      </c>
    </row>
    <row r="74" spans="3:38" x14ac:dyDescent="0.2">
      <c r="C74" s="387">
        <f t="shared" si="3"/>
        <v>43065</v>
      </c>
      <c r="D74" s="388">
        <f t="shared" si="4"/>
        <v>155314.35733333332</v>
      </c>
      <c r="E74" s="392">
        <f t="shared" si="5"/>
        <v>72750.67</v>
      </c>
      <c r="F74" s="428">
        <f t="shared" si="6"/>
        <v>0.96722938999999997</v>
      </c>
      <c r="G74" s="390">
        <f t="shared" si="7"/>
        <v>70.366600000000005</v>
      </c>
      <c r="H74" s="391">
        <f t="shared" si="0"/>
        <v>228136.36116272333</v>
      </c>
      <c r="I74" s="324">
        <v>66821</v>
      </c>
      <c r="J74" s="325"/>
      <c r="K74" s="325"/>
      <c r="L74" s="319">
        <v>72750.67</v>
      </c>
      <c r="M74" s="320"/>
      <c r="N74" s="320"/>
      <c r="O74" s="320"/>
      <c r="P74" s="392">
        <f t="shared" si="8"/>
        <v>72750.67</v>
      </c>
      <c r="Q74" s="392">
        <f t="shared" si="1"/>
        <v>0</v>
      </c>
      <c r="R74" s="392">
        <f t="shared" si="2"/>
        <v>0</v>
      </c>
      <c r="S74" s="532">
        <v>66999.63</v>
      </c>
      <c r="T74" s="374"/>
      <c r="U74" s="520">
        <f t="shared" si="9"/>
        <v>178.63000000000466</v>
      </c>
      <c r="V74" s="520">
        <f t="shared" si="10"/>
        <v>66821</v>
      </c>
      <c r="W74" s="520">
        <f t="shared" si="11"/>
        <v>76756.030887519999</v>
      </c>
      <c r="X74" s="520">
        <f t="shared" si="12"/>
        <v>-9935.0308875199989</v>
      </c>
      <c r="Y74" s="525">
        <f t="shared" si="13"/>
        <v>-201070.66236959997</v>
      </c>
    </row>
    <row r="75" spans="3:38" x14ac:dyDescent="0.2">
      <c r="C75" s="387">
        <f t="shared" si="3"/>
        <v>43066</v>
      </c>
      <c r="D75" s="388">
        <f t="shared" si="4"/>
        <v>155314.35733333332</v>
      </c>
      <c r="E75" s="392">
        <f t="shared" si="5"/>
        <v>73323.12</v>
      </c>
      <c r="F75" s="428">
        <f t="shared" si="6"/>
        <v>0.96722938999999997</v>
      </c>
      <c r="G75" s="390">
        <f t="shared" si="7"/>
        <v>70.920299999999997</v>
      </c>
      <c r="H75" s="391">
        <f t="shared" si="0"/>
        <v>228709.36486272331</v>
      </c>
      <c r="I75" s="324">
        <v>66821</v>
      </c>
      <c r="J75" s="325"/>
      <c r="K75" s="325"/>
      <c r="L75" s="317">
        <v>73323.12</v>
      </c>
      <c r="M75" s="318"/>
      <c r="N75" s="318"/>
      <c r="O75" s="318"/>
      <c r="P75" s="392">
        <f t="shared" si="8"/>
        <v>73323.12</v>
      </c>
      <c r="Q75" s="392">
        <f t="shared" si="1"/>
        <v>0</v>
      </c>
      <c r="R75" s="392">
        <f t="shared" si="2"/>
        <v>0</v>
      </c>
      <c r="S75" s="532">
        <v>66999.63</v>
      </c>
      <c r="T75" s="374"/>
      <c r="U75" s="520">
        <f t="shared" si="9"/>
        <v>178.63000000000466</v>
      </c>
      <c r="V75" s="520">
        <f t="shared" si="10"/>
        <v>66821</v>
      </c>
      <c r="W75" s="520">
        <f t="shared" si="11"/>
        <v>77359.99769471999</v>
      </c>
      <c r="X75" s="520">
        <f t="shared" si="12"/>
        <v>-10538.99769471999</v>
      </c>
      <c r="Y75" s="525">
        <f t="shared" si="13"/>
        <v>-211609.66006431996</v>
      </c>
    </row>
    <row r="76" spans="3:38" x14ac:dyDescent="0.2">
      <c r="C76" s="387">
        <f t="shared" si="3"/>
        <v>43067</v>
      </c>
      <c r="D76" s="388">
        <f t="shared" si="4"/>
        <v>155314.35733333332</v>
      </c>
      <c r="E76" s="392">
        <f t="shared" si="5"/>
        <v>71857.820000000007</v>
      </c>
      <c r="F76" s="428">
        <f t="shared" si="6"/>
        <v>0.96722938999999997</v>
      </c>
      <c r="G76" s="390">
        <f t="shared" si="7"/>
        <v>69.503</v>
      </c>
      <c r="H76" s="391">
        <f t="shared" si="0"/>
        <v>227242.64756272332</v>
      </c>
      <c r="I76" s="324">
        <v>66821</v>
      </c>
      <c r="J76" s="325"/>
      <c r="K76" s="325"/>
      <c r="L76" s="319">
        <v>71857.820000000007</v>
      </c>
      <c r="M76" s="320"/>
      <c r="N76" s="320"/>
      <c r="O76" s="320"/>
      <c r="P76" s="392">
        <f t="shared" si="8"/>
        <v>71857.820000000007</v>
      </c>
      <c r="Q76" s="392">
        <f t="shared" si="1"/>
        <v>0</v>
      </c>
      <c r="R76" s="392">
        <f t="shared" si="2"/>
        <v>0</v>
      </c>
      <c r="S76" s="532">
        <v>72999.73000000001</v>
      </c>
      <c r="T76" s="374"/>
      <c r="U76" s="520">
        <f t="shared" si="9"/>
        <v>6178.7300000000105</v>
      </c>
      <c r="V76" s="520">
        <f t="shared" si="10"/>
        <v>66821</v>
      </c>
      <c r="W76" s="520">
        <f t="shared" si="11"/>
        <v>75814.024137920002</v>
      </c>
      <c r="X76" s="520">
        <f t="shared" si="12"/>
        <v>-8993.0241379200015</v>
      </c>
      <c r="Y76" s="525">
        <f t="shared" si="13"/>
        <v>-220602.68420223997</v>
      </c>
    </row>
    <row r="77" spans="3:38" x14ac:dyDescent="0.2">
      <c r="C77" s="387">
        <f t="shared" si="3"/>
        <v>43068</v>
      </c>
      <c r="D77" s="388">
        <f t="shared" si="4"/>
        <v>155314.35733333332</v>
      </c>
      <c r="E77" s="392">
        <f t="shared" si="5"/>
        <v>71256.320000000007</v>
      </c>
      <c r="F77" s="428">
        <f t="shared" si="6"/>
        <v>0.96722938999999997</v>
      </c>
      <c r="G77" s="390">
        <f t="shared" si="7"/>
        <v>68.921199999999999</v>
      </c>
      <c r="H77" s="391">
        <f t="shared" si="0"/>
        <v>226640.56576272333</v>
      </c>
      <c r="I77" s="324">
        <v>66347</v>
      </c>
      <c r="J77" s="325"/>
      <c r="K77" s="325"/>
      <c r="L77" s="317">
        <v>71256.320000000007</v>
      </c>
      <c r="M77" s="318"/>
      <c r="N77" s="318"/>
      <c r="O77" s="318"/>
      <c r="P77" s="392">
        <f t="shared" si="8"/>
        <v>71256.320000000007</v>
      </c>
      <c r="Q77" s="392">
        <f t="shared" si="1"/>
        <v>0</v>
      </c>
      <c r="R77" s="392">
        <f t="shared" si="2"/>
        <v>0</v>
      </c>
      <c r="S77" s="532">
        <v>72999.73000000001</v>
      </c>
      <c r="T77" s="374"/>
      <c r="U77" s="520">
        <f t="shared" si="9"/>
        <v>6652.7300000000105</v>
      </c>
      <c r="V77" s="520">
        <f t="shared" si="10"/>
        <v>66347</v>
      </c>
      <c r="W77" s="520">
        <f t="shared" si="11"/>
        <v>75179.407953920003</v>
      </c>
      <c r="X77" s="520">
        <f t="shared" si="12"/>
        <v>-8832.4079539200029</v>
      </c>
      <c r="Y77" s="525">
        <f t="shared" si="13"/>
        <v>-229435.09215615998</v>
      </c>
    </row>
    <row r="78" spans="3:38" x14ac:dyDescent="0.2">
      <c r="C78" s="387">
        <f t="shared" si="3"/>
        <v>43069</v>
      </c>
      <c r="D78" s="388">
        <f t="shared" si="4"/>
        <v>155314.35733333332</v>
      </c>
      <c r="E78" s="392">
        <f t="shared" si="5"/>
        <v>71085.98</v>
      </c>
      <c r="F78" s="428">
        <f t="shared" si="6"/>
        <v>0.96722938999999997</v>
      </c>
      <c r="G78" s="390">
        <f t="shared" si="7"/>
        <v>68.756399999999999</v>
      </c>
      <c r="H78" s="391">
        <f t="shared" si="0"/>
        <v>226470.06096272334</v>
      </c>
      <c r="I78" s="324">
        <v>66347</v>
      </c>
      <c r="J78" s="325"/>
      <c r="K78" s="325"/>
      <c r="L78" s="319">
        <v>71085.98</v>
      </c>
      <c r="M78" s="320"/>
      <c r="N78" s="320"/>
      <c r="O78" s="320"/>
      <c r="P78" s="392">
        <f t="shared" si="8"/>
        <v>71085.98</v>
      </c>
      <c r="Q78" s="392">
        <f t="shared" si="1"/>
        <v>0</v>
      </c>
      <c r="R78" s="392">
        <f t="shared" si="2"/>
        <v>0</v>
      </c>
      <c r="S78" s="532">
        <v>72999.73000000001</v>
      </c>
      <c r="T78" s="374"/>
      <c r="U78" s="520">
        <f t="shared" si="9"/>
        <v>6652.7300000000105</v>
      </c>
      <c r="V78" s="520">
        <f t="shared" si="10"/>
        <v>66347</v>
      </c>
      <c r="W78" s="520">
        <f t="shared" si="11"/>
        <v>74999.689714879991</v>
      </c>
      <c r="X78" s="520">
        <f t="shared" si="12"/>
        <v>-8652.6897148799908</v>
      </c>
      <c r="Y78" s="525">
        <f t="shared" si="13"/>
        <v>-238087.78187103997</v>
      </c>
    </row>
    <row r="79" spans="3:38" ht="15" thickBot="1" x14ac:dyDescent="0.25">
      <c r="C79" s="393"/>
      <c r="D79" s="394"/>
      <c r="E79" s="395"/>
      <c r="F79" s="429"/>
      <c r="G79" s="396"/>
      <c r="H79" s="397"/>
      <c r="I79" s="326"/>
      <c r="J79" s="327"/>
      <c r="K79" s="327"/>
      <c r="L79" s="688"/>
      <c r="M79" s="750"/>
      <c r="N79" s="750"/>
      <c r="O79" s="750"/>
      <c r="P79" s="395"/>
      <c r="Q79" s="395"/>
      <c r="R79" s="395"/>
      <c r="S79" s="560"/>
      <c r="T79" s="376"/>
      <c r="U79" s="528"/>
      <c r="V79" s="528"/>
      <c r="W79" s="528"/>
      <c r="X79" s="528"/>
      <c r="Y79" s="529"/>
    </row>
    <row r="80" spans="3:38" ht="15" thickBot="1" x14ac:dyDescent="0.25">
      <c r="C80" s="398"/>
      <c r="D80" s="399">
        <f>SUM(D49:D79)</f>
        <v>4659430.7199999979</v>
      </c>
      <c r="E80" s="400">
        <f>SUM(E49:E79)</f>
        <v>2164967.34</v>
      </c>
      <c r="F80" s="400"/>
      <c r="G80" s="401">
        <f>SUM(G49:G79)</f>
        <v>2094.0198999999998</v>
      </c>
      <c r="H80" s="399">
        <f>SUM(H49:H79)</f>
        <v>6826521.0967817008</v>
      </c>
      <c r="I80" s="432">
        <f>SUM(I49:I79)</f>
        <v>2046074</v>
      </c>
      <c r="J80" s="432">
        <f t="shared" ref="J80:R80" si="14">SUM(J49:J79)</f>
        <v>0</v>
      </c>
      <c r="K80" s="432">
        <f t="shared" si="14"/>
        <v>0</v>
      </c>
      <c r="L80" s="432">
        <f t="shared" si="14"/>
        <v>2164967.34</v>
      </c>
      <c r="M80" s="432">
        <f t="shared" si="14"/>
        <v>0</v>
      </c>
      <c r="N80" s="432">
        <f t="shared" si="14"/>
        <v>0</v>
      </c>
      <c r="O80" s="432">
        <f t="shared" si="14"/>
        <v>0</v>
      </c>
      <c r="P80" s="432">
        <f t="shared" si="14"/>
        <v>2164967.34</v>
      </c>
      <c r="Q80" s="432">
        <f t="shared" si="14"/>
        <v>0</v>
      </c>
      <c r="R80" s="432">
        <f t="shared" si="14"/>
        <v>0</v>
      </c>
      <c r="S80" s="361">
        <f>SUM(S49:S79)</f>
        <v>1949997.6999999997</v>
      </c>
      <c r="U80" s="530"/>
      <c r="V80" s="328">
        <f>SUM(V49:V79)</f>
        <v>2046074</v>
      </c>
      <c r="W80" s="328">
        <f>SUM(W49:W79)</f>
        <v>2284161.7818710399</v>
      </c>
      <c r="X80" s="328">
        <f>SUM(X49:X79)</f>
        <v>-238087.78187103997</v>
      </c>
      <c r="Y80" s="323">
        <f>Y79</f>
        <v>0</v>
      </c>
      <c r="AL80" s="361">
        <f>Y79</f>
        <v>0</v>
      </c>
    </row>
    <row r="81" spans="2:14" ht="15" customHeight="1" x14ac:dyDescent="0.2">
      <c r="B81"/>
      <c r="C81"/>
      <c r="D81"/>
      <c r="E81"/>
      <c r="F81"/>
      <c r="G81"/>
      <c r="H81"/>
      <c r="I81"/>
      <c r="J81"/>
      <c r="K81"/>
      <c r="L81"/>
      <c r="N81" s="2"/>
    </row>
  </sheetData>
  <mergeCells count="12">
    <mergeCell ref="C10:D10"/>
    <mergeCell ref="C11:D11"/>
    <mergeCell ref="C3:M4"/>
    <mergeCell ref="C5:M5"/>
    <mergeCell ref="C6:M6"/>
    <mergeCell ref="G7:H7"/>
    <mergeCell ref="C9:D9"/>
    <mergeCell ref="D23:E23"/>
    <mergeCell ref="D24:E24"/>
    <mergeCell ref="C28:F28"/>
    <mergeCell ref="C39:F39"/>
    <mergeCell ref="S47:Y47"/>
  </mergeCells>
  <conditionalFormatting sqref="L49:O79">
    <cfRule type="cellIs" dxfId="115" priority="1" stopIfTrue="1" operator="equal">
      <formula>0</formula>
    </cfRule>
  </conditionalFormatting>
  <printOptions horizontalCentered="1"/>
  <pageMargins left="0" right="0.70866141732283472" top="0.15748031496062992" bottom="0.35433070866141736" header="0.31496062992125984" footer="0.31496062992125984"/>
  <pageSetup scale="81" orientation="landscape" r:id="rId1"/>
  <ignoredErrors>
    <ignoredError sqref="O33" formula="1"/>
  </ignoredErrors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2:AL81"/>
  <sheetViews>
    <sheetView topLeftCell="C26" workbookViewId="0"/>
  </sheetViews>
  <sheetFormatPr baseColWidth="10" defaultColWidth="11" defaultRowHeight="14.25" x14ac:dyDescent="0.2"/>
  <cols>
    <col min="1" max="1" width="11" style="2"/>
    <col min="2" max="2" width="3.875" style="2" bestFit="1" customWidth="1"/>
    <col min="3" max="3" width="16.125" style="2" customWidth="1"/>
    <col min="4" max="4" width="12.375" style="2" bestFit="1" customWidth="1"/>
    <col min="5" max="5" width="12.125" style="2" bestFit="1" customWidth="1"/>
    <col min="6" max="6" width="17.125" style="2" bestFit="1" customWidth="1"/>
    <col min="7" max="7" width="14.125" style="2" customWidth="1"/>
    <col min="8" max="8" width="12.125" style="2" bestFit="1" customWidth="1"/>
    <col min="9" max="9" width="11.125" style="2" bestFit="1" customWidth="1"/>
    <col min="10" max="10" width="11.875" style="2" bestFit="1" customWidth="1"/>
    <col min="11" max="11" width="11.625" style="2" bestFit="1" customWidth="1"/>
    <col min="12" max="12" width="12.125" style="2" customWidth="1"/>
    <col min="13" max="13" width="12" style="2" bestFit="1" customWidth="1"/>
    <col min="14" max="14" width="9" style="1" customWidth="1"/>
    <col min="15" max="15" width="13.625" style="2" bestFit="1" customWidth="1"/>
    <col min="16" max="16" width="11" style="2"/>
    <col min="17" max="17" width="12.5" style="2" bestFit="1" customWidth="1"/>
    <col min="18" max="25" width="11" style="2"/>
    <col min="26" max="32" width="10.875" customWidth="1"/>
    <col min="33" max="16384" width="11" style="2"/>
  </cols>
  <sheetData>
    <row r="2" spans="2:25" x14ac:dyDescent="0.2"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2:25" ht="15" customHeight="1" x14ac:dyDescent="0.2">
      <c r="B3" s="1"/>
      <c r="C3" s="2254"/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</row>
    <row r="4" spans="2:25" ht="15" customHeight="1" x14ac:dyDescent="0.2"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</row>
    <row r="5" spans="2:25" x14ac:dyDescent="0.2">
      <c r="B5" s="1"/>
      <c r="C5" s="2257">
        <v>4326979</v>
      </c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</row>
    <row r="6" spans="2:25" x14ac:dyDescent="0.2">
      <c r="B6" s="1"/>
      <c r="C6" s="2257" t="s">
        <v>216</v>
      </c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</row>
    <row r="7" spans="2:25" x14ac:dyDescent="0.2">
      <c r="B7" s="1"/>
      <c r="C7" s="682"/>
      <c r="D7" s="682"/>
      <c r="E7" s="682"/>
      <c r="F7" s="682"/>
      <c r="G7" s="2271">
        <v>43070</v>
      </c>
      <c r="H7" s="2257"/>
      <c r="I7" s="682"/>
      <c r="J7" s="682"/>
      <c r="K7" s="682"/>
      <c r="L7" s="682"/>
      <c r="M7" s="682"/>
      <c r="N7" s="18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2:25" x14ac:dyDescent="0.2">
      <c r="B8" s="1"/>
      <c r="C8" s="682"/>
      <c r="D8" s="682"/>
      <c r="E8" s="682"/>
      <c r="F8" s="682"/>
      <c r="G8" s="682"/>
      <c r="H8" s="682"/>
      <c r="I8" s="682"/>
      <c r="J8" s="682"/>
      <c r="K8" s="682"/>
      <c r="L8" s="682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2:25" ht="25.5" x14ac:dyDescent="0.2">
      <c r="B9" s="1"/>
      <c r="C9" s="2272" t="s">
        <v>6</v>
      </c>
      <c r="D9" s="2272"/>
      <c r="E9" s="683" t="s">
        <v>94</v>
      </c>
      <c r="F9" s="683" t="s">
        <v>126</v>
      </c>
      <c r="G9" s="410" t="s">
        <v>133</v>
      </c>
      <c r="H9" s="683" t="s">
        <v>127</v>
      </c>
      <c r="I9" s="683" t="s">
        <v>128</v>
      </c>
      <c r="J9" s="682"/>
      <c r="K9" s="682"/>
      <c r="L9" s="682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2:25" x14ac:dyDescent="0.2">
      <c r="B10" s="1"/>
      <c r="C10" s="2270" t="s">
        <v>131</v>
      </c>
      <c r="D10" s="2270"/>
      <c r="E10" s="433">
        <f>IF(C15=0,D15,C15)</f>
        <v>4659430.72</v>
      </c>
      <c r="F10" s="407">
        <f>E10*0.16</f>
        <v>745508.91519999993</v>
      </c>
      <c r="G10" s="407">
        <f>E10+F10</f>
        <v>5404939.6351999994</v>
      </c>
      <c r="H10" s="511" t="s">
        <v>226</v>
      </c>
      <c r="I10" s="604">
        <v>18.7118</v>
      </c>
      <c r="J10" s="682"/>
      <c r="K10" s="682"/>
      <c r="L10" s="682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2:25" x14ac:dyDescent="0.2">
      <c r="B11" s="1"/>
      <c r="C11" s="2270" t="s">
        <v>132</v>
      </c>
      <c r="D11" s="2270"/>
      <c r="E11" s="433">
        <f>IF(C16=0,D16,C16)</f>
        <v>2109.21</v>
      </c>
      <c r="F11" s="407">
        <f>E11*0.16</f>
        <v>337.47360000000003</v>
      </c>
      <c r="G11" s="407">
        <f>E11+F11</f>
        <v>2446.6836000000003</v>
      </c>
      <c r="H11" s="511" t="s">
        <v>226</v>
      </c>
      <c r="I11" s="604">
        <v>18.7118</v>
      </c>
      <c r="J11" s="682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2:25" ht="18" customHeight="1" x14ac:dyDescent="0.2">
      <c r="B12" s="1"/>
      <c r="C12" s="682"/>
      <c r="D12" s="682"/>
      <c r="E12" s="678">
        <f>SUM(E10:E11)</f>
        <v>4661539.93</v>
      </c>
      <c r="F12" s="444">
        <f>SUM(F10:F11)</f>
        <v>745846.38879999996</v>
      </c>
      <c r="G12" s="444">
        <f>SUM(G10:G11)</f>
        <v>5407386.3187999995</v>
      </c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2:25" ht="15" thickBot="1" x14ac:dyDescent="0.25">
      <c r="B13" s="1"/>
      <c r="C13" s="682"/>
      <c r="D13" s="682"/>
      <c r="E13" s="682"/>
      <c r="F13" s="682"/>
      <c r="G13" s="682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2:25" x14ac:dyDescent="0.2">
      <c r="B14" s="1"/>
      <c r="C14" s="440" t="s">
        <v>155</v>
      </c>
      <c r="D14" s="441" t="s">
        <v>156</v>
      </c>
      <c r="E14" s="442" t="s">
        <v>112</v>
      </c>
      <c r="F14" s="682"/>
      <c r="G14" s="682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2:25" x14ac:dyDescent="0.2">
      <c r="B15" s="1"/>
      <c r="C15" s="443">
        <v>4659430.72</v>
      </c>
      <c r="D15" s="444">
        <f>D80</f>
        <v>4659430.72</v>
      </c>
      <c r="E15" s="445">
        <f>C15-D15</f>
        <v>0</v>
      </c>
      <c r="F15" s="682"/>
      <c r="G15" s="682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2:25" ht="15" thickBot="1" x14ac:dyDescent="0.25">
      <c r="B16" s="1"/>
      <c r="C16" s="446">
        <v>2109.21</v>
      </c>
      <c r="D16" s="447">
        <f>ROUND(G80,2)</f>
        <v>2109.21</v>
      </c>
      <c r="E16" s="448">
        <f>C16-D16</f>
        <v>0</v>
      </c>
      <c r="F16" s="682"/>
      <c r="G16" s="682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2:25" x14ac:dyDescent="0.2">
      <c r="B17" s="1"/>
      <c r="C17" s="682"/>
      <c r="D17" s="682"/>
      <c r="E17" s="682"/>
      <c r="F17" s="682"/>
      <c r="G17" s="682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2:25" x14ac:dyDescent="0.2">
      <c r="B18" s="1"/>
      <c r="C18" s="682"/>
      <c r="D18" s="682"/>
      <c r="E18" s="682"/>
      <c r="F18" s="682"/>
      <c r="G18" s="682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2:25" x14ac:dyDescent="0.2">
      <c r="B19" s="1"/>
      <c r="C19" s="682"/>
      <c r="D19" s="682"/>
      <c r="E19" s="682"/>
      <c r="F19" s="682"/>
      <c r="G19" s="682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2:25" x14ac:dyDescent="0.2">
      <c r="B20" s="1"/>
      <c r="C20" s="682"/>
      <c r="D20" s="682"/>
      <c r="E20" s="682"/>
      <c r="F20" s="682"/>
      <c r="G20" s="682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2:25" x14ac:dyDescent="0.2">
      <c r="B21" s="1"/>
      <c r="C21" s="682"/>
      <c r="D21" s="682"/>
      <c r="E21" s="682"/>
      <c r="F21" s="682"/>
      <c r="G21" s="682"/>
      <c r="H21" s="1"/>
      <c r="I21" s="1"/>
      <c r="J21" s="1"/>
      <c r="K21" s="1"/>
      <c r="L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2:25" ht="15" thickBot="1" x14ac:dyDescent="0.25">
      <c r="B22" s="1"/>
      <c r="C22" s="419" t="s">
        <v>137</v>
      </c>
      <c r="D22" s="682" t="s">
        <v>138</v>
      </c>
      <c r="E22" s="682"/>
      <c r="F22" s="682" t="s">
        <v>139</v>
      </c>
      <c r="G22" s="682" t="s">
        <v>3</v>
      </c>
      <c r="H22" s="682" t="s">
        <v>143</v>
      </c>
      <c r="I22" s="682" t="s">
        <v>142</v>
      </c>
      <c r="J22" s="682" t="s">
        <v>141</v>
      </c>
      <c r="K22" s="682" t="s">
        <v>140</v>
      </c>
      <c r="L22" s="682" t="s">
        <v>144</v>
      </c>
      <c r="M22" s="682" t="s">
        <v>146</v>
      </c>
      <c r="N22" s="682"/>
      <c r="O22" s="682"/>
      <c r="P22" s="682"/>
      <c r="Q22" s="1"/>
      <c r="R22" s="1"/>
      <c r="S22" s="1"/>
      <c r="T22" s="1"/>
      <c r="U22" s="1"/>
      <c r="V22" s="1"/>
      <c r="W22" s="1"/>
      <c r="X22" s="1"/>
      <c r="Y22" s="1"/>
    </row>
    <row r="23" spans="2:25" ht="36.75" customHeight="1" x14ac:dyDescent="0.2">
      <c r="B23" s="1"/>
      <c r="C23" s="402" t="s">
        <v>134</v>
      </c>
      <c r="D23" s="2261" t="s">
        <v>135</v>
      </c>
      <c r="E23" s="2262"/>
      <c r="F23" s="684" t="s">
        <v>136</v>
      </c>
      <c r="G23" s="461" t="s">
        <v>153</v>
      </c>
      <c r="H23" s="420" t="s">
        <v>129</v>
      </c>
      <c r="I23" s="403" t="s">
        <v>130</v>
      </c>
      <c r="J23" s="422"/>
      <c r="K23" s="422"/>
      <c r="L23" s="422"/>
      <c r="M23" s="404" t="s">
        <v>158</v>
      </c>
      <c r="N23" s="682"/>
      <c r="O23" s="682"/>
      <c r="P23" s="682"/>
      <c r="Q23" s="682"/>
      <c r="R23" s="682"/>
      <c r="S23" s="682"/>
      <c r="T23" s="682"/>
      <c r="U23" s="1"/>
      <c r="V23" s="1"/>
      <c r="W23" s="1"/>
      <c r="X23" s="1"/>
      <c r="Y23" s="1"/>
    </row>
    <row r="24" spans="2:25" x14ac:dyDescent="0.2">
      <c r="B24" s="1"/>
      <c r="C24" s="405">
        <v>850</v>
      </c>
      <c r="D24" s="2263">
        <v>850</v>
      </c>
      <c r="E24" s="2264"/>
      <c r="F24" s="418">
        <v>31482640</v>
      </c>
      <c r="G24" s="462">
        <v>31</v>
      </c>
      <c r="H24" s="460">
        <f>VLOOKUP(C47,Tarifas!D4:H303,3)</f>
        <v>0.14799999999999999</v>
      </c>
      <c r="I24" s="424">
        <f>VLOOKUP(C47,Tarifas!D4:H303,5)</f>
        <v>1E-3</v>
      </c>
      <c r="J24" s="421">
        <v>195.8</v>
      </c>
      <c r="K24" s="421">
        <v>201.4</v>
      </c>
      <c r="L24" s="421">
        <f>I11</f>
        <v>18.7118</v>
      </c>
      <c r="M24" s="431">
        <f>E80</f>
        <v>2169532.8396550003</v>
      </c>
      <c r="N24" s="430" t="s">
        <v>62</v>
      </c>
      <c r="O24" s="682"/>
      <c r="P24" s="682"/>
      <c r="Q24" s="682"/>
      <c r="R24" s="682"/>
      <c r="S24" s="682"/>
      <c r="T24" s="682"/>
      <c r="U24" s="1"/>
      <c r="V24" s="1"/>
      <c r="W24" s="1"/>
      <c r="X24" s="1"/>
      <c r="Y24" s="1"/>
    </row>
    <row r="25" spans="2:25" x14ac:dyDescent="0.2">
      <c r="B25" s="1"/>
      <c r="C25" s="682"/>
      <c r="D25" s="682"/>
      <c r="E25" s="682"/>
      <c r="F25" s="682"/>
      <c r="G25" s="682"/>
      <c r="H25" s="682"/>
      <c r="I25" s="682"/>
      <c r="J25" s="682"/>
      <c r="K25" s="682"/>
      <c r="L25" s="682"/>
      <c r="M25" s="682"/>
      <c r="N25" s="682"/>
      <c r="O25" s="682"/>
      <c r="P25" s="682"/>
      <c r="Q25" s="682"/>
      <c r="R25" s="682"/>
      <c r="S25" s="1"/>
      <c r="T25" s="1"/>
      <c r="U25" s="1"/>
      <c r="V25" s="1"/>
      <c r="W25" s="1"/>
      <c r="X25" s="1"/>
      <c r="Y25" s="1"/>
    </row>
    <row r="26" spans="2:25" x14ac:dyDescent="0.2">
      <c r="B26" s="1"/>
      <c r="C26" s="682"/>
      <c r="D26" s="682"/>
      <c r="E26" s="682"/>
      <c r="F26" s="682"/>
      <c r="G26" s="682"/>
      <c r="H26" s="682"/>
      <c r="I26" s="682"/>
      <c r="J26" s="682"/>
      <c r="K26" s="682"/>
      <c r="L26" s="682"/>
      <c r="M26" s="682"/>
      <c r="N26" s="682"/>
      <c r="O26" s="682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2:25" x14ac:dyDescent="0.2">
      <c r="B27" s="1"/>
      <c r="C27" s="682"/>
      <c r="D27" s="682"/>
      <c r="E27" s="682"/>
      <c r="F27" s="682"/>
      <c r="G27" s="682"/>
      <c r="H27" s="682"/>
      <c r="I27" s="682"/>
      <c r="J27" s="682"/>
      <c r="K27" s="682"/>
      <c r="L27" s="682"/>
      <c r="M27" s="682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2:25" ht="15" thickBot="1" x14ac:dyDescent="0.25">
      <c r="B28" s="1"/>
      <c r="C28" s="2265" t="s">
        <v>86</v>
      </c>
      <c r="D28" s="2265"/>
      <c r="E28" s="2265"/>
      <c r="F28" s="2265"/>
      <c r="G28" s="685"/>
      <c r="H28" s="334"/>
      <c r="I28" s="334"/>
      <c r="J28" s="334"/>
      <c r="K28" s="685"/>
      <c r="L28" s="336"/>
      <c r="M28" s="336"/>
      <c r="O28" s="530" t="s">
        <v>212</v>
      </c>
      <c r="P28" s="675">
        <v>18.7118</v>
      </c>
      <c r="Q28" s="530" t="s">
        <v>213</v>
      </c>
      <c r="R28" s="1"/>
      <c r="S28" s="1"/>
      <c r="T28" s="1"/>
      <c r="U28" s="1"/>
      <c r="V28" s="1"/>
      <c r="W28" s="1"/>
      <c r="X28" s="1"/>
      <c r="Y28" s="1"/>
    </row>
    <row r="29" spans="2:25" ht="22.5" x14ac:dyDescent="0.2">
      <c r="B29" s="1"/>
      <c r="C29" s="337" t="s">
        <v>87</v>
      </c>
      <c r="D29" s="680" t="s">
        <v>88</v>
      </c>
      <c r="E29" s="680" t="s">
        <v>89</v>
      </c>
      <c r="F29" s="680" t="s">
        <v>20</v>
      </c>
      <c r="G29" s="680" t="s">
        <v>160</v>
      </c>
      <c r="H29" s="680" t="s">
        <v>90</v>
      </c>
      <c r="I29" s="680" t="s">
        <v>91</v>
      </c>
      <c r="J29" s="680" t="s">
        <v>92</v>
      </c>
      <c r="K29" s="680" t="s">
        <v>93</v>
      </c>
      <c r="L29" s="680" t="s">
        <v>94</v>
      </c>
      <c r="M29" s="681" t="s">
        <v>95</v>
      </c>
      <c r="O29" s="590" t="s">
        <v>95</v>
      </c>
      <c r="P29" s="1"/>
      <c r="Q29" s="590" t="s">
        <v>95</v>
      </c>
      <c r="R29" s="1"/>
      <c r="S29" s="1"/>
      <c r="T29" s="1"/>
      <c r="U29" s="1"/>
      <c r="V29" s="1"/>
      <c r="W29" s="1"/>
      <c r="X29" s="1"/>
      <c r="Y29" s="1"/>
    </row>
    <row r="30" spans="2:25" x14ac:dyDescent="0.2">
      <c r="B30" s="1"/>
      <c r="C30" s="338" t="s">
        <v>101</v>
      </c>
      <c r="D30" s="339" t="s">
        <v>101</v>
      </c>
      <c r="E30" s="339" t="s">
        <v>96</v>
      </c>
      <c r="F30" s="340" t="s">
        <v>97</v>
      </c>
      <c r="G30" s="340" t="s">
        <v>101</v>
      </c>
      <c r="H30" s="339" t="s">
        <v>101</v>
      </c>
      <c r="I30" s="341">
        <v>0</v>
      </c>
      <c r="J30" s="339">
        <v>138.15</v>
      </c>
      <c r="K30" s="342">
        <v>0</v>
      </c>
      <c r="L30" s="343">
        <f>ROUND(K30*E$10,2)</f>
        <v>0</v>
      </c>
      <c r="M30" s="344">
        <f>L30*$I$10</f>
        <v>0</v>
      </c>
      <c r="O30" s="591">
        <f>IF(P28=0,M30,(L30*P28))</f>
        <v>0</v>
      </c>
      <c r="P30" s="1"/>
      <c r="Q30" s="591">
        <f>M30-O30</f>
        <v>0</v>
      </c>
      <c r="R30" s="1"/>
      <c r="S30" s="1"/>
      <c r="T30" s="1"/>
      <c r="U30" s="1"/>
      <c r="V30" s="1"/>
      <c r="W30" s="1"/>
      <c r="X30" s="1"/>
      <c r="Y30" s="1"/>
    </row>
    <row r="31" spans="2:25" x14ac:dyDescent="0.2">
      <c r="B31" s="1"/>
      <c r="C31" s="338" t="s">
        <v>101</v>
      </c>
      <c r="D31" s="339" t="s">
        <v>101</v>
      </c>
      <c r="E31" s="339" t="s">
        <v>98</v>
      </c>
      <c r="F31" s="340" t="s">
        <v>97</v>
      </c>
      <c r="G31" s="340" t="s">
        <v>101</v>
      </c>
      <c r="H31" s="339" t="s">
        <v>101</v>
      </c>
      <c r="I31" s="341">
        <v>0</v>
      </c>
      <c r="J31" s="339">
        <v>138.15</v>
      </c>
      <c r="K31" s="342">
        <v>0</v>
      </c>
      <c r="L31" s="343">
        <f>ROUND(K31*E$10,2)</f>
        <v>0</v>
      </c>
      <c r="M31" s="344">
        <f>L31*$I$10</f>
        <v>0</v>
      </c>
      <c r="O31" s="591">
        <f>IF(P29=0,M31,(L31*P29))</f>
        <v>0</v>
      </c>
      <c r="P31" s="1"/>
      <c r="Q31" s="591">
        <f>M31-O31</f>
        <v>0</v>
      </c>
      <c r="R31" s="1"/>
      <c r="S31" s="1"/>
      <c r="T31" s="1"/>
      <c r="U31" s="1"/>
      <c r="V31" s="1"/>
      <c r="W31" s="1"/>
      <c r="X31" s="1"/>
      <c r="Y31" s="1"/>
    </row>
    <row r="32" spans="2:25" x14ac:dyDescent="0.2">
      <c r="B32" s="1"/>
      <c r="C32" s="338" t="s">
        <v>101</v>
      </c>
      <c r="D32" s="339" t="s">
        <v>101</v>
      </c>
      <c r="E32" s="339" t="s">
        <v>99</v>
      </c>
      <c r="F32" s="340" t="s">
        <v>100</v>
      </c>
      <c r="G32" s="340" t="s">
        <v>101</v>
      </c>
      <c r="H32" s="339" t="s">
        <v>101</v>
      </c>
      <c r="I32" s="341">
        <v>0</v>
      </c>
      <c r="J32" s="339">
        <v>130.80000000000001</v>
      </c>
      <c r="K32" s="342">
        <v>0</v>
      </c>
      <c r="L32" s="343">
        <f>ROUND(K32*E$10,2)</f>
        <v>0</v>
      </c>
      <c r="M32" s="344">
        <f>L32*$I$10</f>
        <v>0</v>
      </c>
      <c r="O32" s="591">
        <f>IF(P30=0,M32,(L32*P30))</f>
        <v>0</v>
      </c>
      <c r="P32" s="1"/>
      <c r="Q32" s="591">
        <f>M32-O32</f>
        <v>0</v>
      </c>
      <c r="R32" s="1"/>
      <c r="S32" s="1"/>
      <c r="T32" s="1"/>
      <c r="U32" s="1"/>
      <c r="V32" s="1"/>
      <c r="W32" s="1"/>
      <c r="X32" s="1"/>
      <c r="Y32" s="1"/>
    </row>
    <row r="33" spans="2:25" x14ac:dyDescent="0.2">
      <c r="B33" s="1"/>
      <c r="C33" s="338">
        <v>800832451</v>
      </c>
      <c r="D33" s="605">
        <v>4</v>
      </c>
      <c r="E33" s="354" t="s">
        <v>101</v>
      </c>
      <c r="F33" s="463" t="s">
        <v>23</v>
      </c>
      <c r="G33" s="463" t="s">
        <v>221</v>
      </c>
      <c r="H33" s="354" t="s">
        <v>222</v>
      </c>
      <c r="I33" s="341">
        <v>80000</v>
      </c>
      <c r="J33" s="597">
        <v>0</v>
      </c>
      <c r="K33" s="342">
        <v>0.09</v>
      </c>
      <c r="L33" s="343">
        <f>ROUND(K33*E$10,2)</f>
        <v>419348.76</v>
      </c>
      <c r="M33" s="344">
        <f>L33*I10</f>
        <v>7846770.1273680003</v>
      </c>
      <c r="O33" s="591">
        <f>IF(P28=0,M33,(L33*P28))</f>
        <v>7846770.1273680003</v>
      </c>
      <c r="P33" s="1"/>
      <c r="Q33" s="591">
        <f>M33-O33</f>
        <v>0</v>
      </c>
      <c r="R33" s="1"/>
      <c r="S33" s="1"/>
      <c r="T33" s="1"/>
      <c r="U33" s="1"/>
      <c r="V33" s="1"/>
      <c r="W33" s="1"/>
      <c r="X33" s="1"/>
      <c r="Y33" s="1"/>
    </row>
    <row r="34" spans="2:25" ht="15" thickBot="1" x14ac:dyDescent="0.25">
      <c r="B34" s="1"/>
      <c r="C34" s="345">
        <v>800832451</v>
      </c>
      <c r="D34" s="606">
        <v>4</v>
      </c>
      <c r="E34" s="347" t="s">
        <v>101</v>
      </c>
      <c r="F34" s="348" t="s">
        <v>159</v>
      </c>
      <c r="G34" s="348" t="s">
        <v>221</v>
      </c>
      <c r="H34" s="347" t="s">
        <v>222</v>
      </c>
      <c r="I34" s="349">
        <v>770000</v>
      </c>
      <c r="J34" s="346">
        <v>0</v>
      </c>
      <c r="K34" s="350">
        <v>0.91</v>
      </c>
      <c r="L34" s="351">
        <f>ROUND(K34*E$10,2)</f>
        <v>4240081.96</v>
      </c>
      <c r="M34" s="352">
        <f>L34*I10</f>
        <v>79339565.619128004</v>
      </c>
      <c r="O34" s="592">
        <f>IF(P28=0,M34,(L34*P28))</f>
        <v>79339565.619128004</v>
      </c>
      <c r="P34" s="1"/>
      <c r="Q34" s="592">
        <f>M34-O34</f>
        <v>0</v>
      </c>
      <c r="R34" s="1"/>
      <c r="S34" s="1"/>
      <c r="T34" s="1"/>
      <c r="U34" s="1"/>
      <c r="V34" s="1"/>
      <c r="W34" s="1"/>
      <c r="X34" s="1"/>
      <c r="Y34" s="1"/>
    </row>
    <row r="35" spans="2:25" x14ac:dyDescent="0.2">
      <c r="B35" s="1"/>
      <c r="C35" s="406">
        <v>3000623</v>
      </c>
      <c r="D35" s="353" t="s">
        <v>102</v>
      </c>
      <c r="E35" s="353"/>
      <c r="F35" s="353"/>
      <c r="G35" s="353"/>
      <c r="H35" s="354"/>
      <c r="I35" s="355">
        <f>SUM(I30:I34)</f>
        <v>850000</v>
      </c>
      <c r="J35" s="353"/>
      <c r="K35" s="356">
        <f>SUM(K30:K34)</f>
        <v>1</v>
      </c>
      <c r="L35" s="357">
        <f>SUM(L30:L34)</f>
        <v>4659430.72</v>
      </c>
      <c r="M35" s="357">
        <f>SUM(M30:M34)</f>
        <v>87186335.746496007</v>
      </c>
      <c r="O35" s="593">
        <f>SUM(O30:O34)</f>
        <v>87186335.746496007</v>
      </c>
      <c r="P35" s="1"/>
      <c r="Q35" s="593">
        <f>SUM(Q30:Q33)</f>
        <v>0</v>
      </c>
      <c r="R35" s="1"/>
      <c r="S35" s="1"/>
      <c r="T35" s="1"/>
      <c r="U35" s="1"/>
      <c r="V35" s="1"/>
      <c r="W35" s="1"/>
      <c r="X35" s="1"/>
      <c r="Y35" s="1"/>
    </row>
    <row r="36" spans="2:25" x14ac:dyDescent="0.2">
      <c r="B36" s="1"/>
      <c r="C36" s="336"/>
      <c r="D36" s="336"/>
      <c r="E36" s="336"/>
      <c r="F36" s="358"/>
      <c r="G36" s="358"/>
      <c r="H36" s="336"/>
      <c r="I36" s="336"/>
      <c r="J36" s="336"/>
      <c r="K36" s="336"/>
      <c r="L36" s="359"/>
      <c r="M36" s="1"/>
      <c r="O36" s="594">
        <v>0</v>
      </c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2:25" x14ac:dyDescent="0.2">
      <c r="B37" s="1"/>
      <c r="C37" s="336"/>
      <c r="D37" s="336"/>
      <c r="E37" s="336"/>
      <c r="F37" s="358"/>
      <c r="G37" s="358"/>
      <c r="H37" s="336"/>
      <c r="I37" s="336"/>
      <c r="J37" s="336"/>
      <c r="K37" s="336"/>
      <c r="L37" s="359"/>
      <c r="M37" s="1"/>
      <c r="O37" s="594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2:25" x14ac:dyDescent="0.2">
      <c r="B38" s="1"/>
      <c r="C38" s="336"/>
      <c r="D38" s="336"/>
      <c r="E38" s="336"/>
      <c r="F38" s="358"/>
      <c r="G38" s="358"/>
      <c r="H38" s="336"/>
      <c r="I38" s="336"/>
      <c r="J38" s="336"/>
      <c r="K38" s="336"/>
      <c r="L38" s="359"/>
      <c r="M38" s="1"/>
      <c r="O38" s="594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2:25" ht="15" thickBot="1" x14ac:dyDescent="0.25">
      <c r="B39" s="1"/>
      <c r="C39" s="2266" t="s">
        <v>103</v>
      </c>
      <c r="D39" s="2266"/>
      <c r="E39" s="2266"/>
      <c r="F39" s="2266"/>
      <c r="G39" s="685"/>
      <c r="H39" s="334"/>
      <c r="I39" s="334"/>
      <c r="J39" s="334"/>
      <c r="K39" s="336"/>
      <c r="L39" s="336"/>
      <c r="M39" s="360"/>
      <c r="O39" s="595"/>
      <c r="P39" s="675">
        <f>P28</f>
        <v>18.7118</v>
      </c>
      <c r="Q39" s="360"/>
      <c r="R39" s="1"/>
      <c r="S39" s="1"/>
      <c r="T39" s="1"/>
      <c r="U39" s="1"/>
      <c r="V39" s="1"/>
      <c r="W39" s="1"/>
      <c r="X39" s="1"/>
      <c r="Y39" s="1"/>
    </row>
    <row r="40" spans="2:25" ht="22.5" x14ac:dyDescent="0.2">
      <c r="B40" s="1"/>
      <c r="C40" s="337" t="s">
        <v>87</v>
      </c>
      <c r="D40" s="680" t="s">
        <v>88</v>
      </c>
      <c r="E40" s="680" t="s">
        <v>89</v>
      </c>
      <c r="F40" s="680" t="s">
        <v>20</v>
      </c>
      <c r="G40" s="680"/>
      <c r="H40" s="680" t="s">
        <v>90</v>
      </c>
      <c r="I40" s="680" t="s">
        <v>104</v>
      </c>
      <c r="J40" s="680" t="s">
        <v>93</v>
      </c>
      <c r="K40" s="680" t="s">
        <v>92</v>
      </c>
      <c r="L40" s="680" t="s">
        <v>94</v>
      </c>
      <c r="M40" s="681" t="s">
        <v>95</v>
      </c>
      <c r="O40" s="596" t="s">
        <v>95</v>
      </c>
      <c r="P40" s="1"/>
      <c r="Q40" s="590" t="s">
        <v>95</v>
      </c>
      <c r="R40" s="1"/>
      <c r="S40" s="1"/>
      <c r="T40" s="1"/>
      <c r="U40" s="1"/>
      <c r="V40" s="1"/>
      <c r="W40" s="1"/>
      <c r="X40" s="1"/>
      <c r="Y40" s="1"/>
    </row>
    <row r="41" spans="2:25" x14ac:dyDescent="0.2">
      <c r="B41" s="1"/>
      <c r="C41" s="338"/>
      <c r="D41" s="339"/>
      <c r="E41" s="339" t="s">
        <v>96</v>
      </c>
      <c r="F41" s="340" t="s">
        <v>97</v>
      </c>
      <c r="G41" s="340"/>
      <c r="H41" s="339">
        <v>20823</v>
      </c>
      <c r="I41" s="341">
        <v>0</v>
      </c>
      <c r="J41" s="342">
        <v>0</v>
      </c>
      <c r="K41" s="339">
        <v>138.15</v>
      </c>
      <c r="L41" s="343">
        <f>ROUND(J41*$E$11,2)</f>
        <v>0</v>
      </c>
      <c r="M41" s="344">
        <f>L41*L24</f>
        <v>0</v>
      </c>
      <c r="O41" s="591">
        <f>IF(P39=0,M41,(L41*P39))</f>
        <v>0</v>
      </c>
      <c r="P41" s="1"/>
      <c r="Q41" s="591">
        <f>M41-O41</f>
        <v>0</v>
      </c>
      <c r="R41" s="1"/>
      <c r="S41" s="1"/>
      <c r="T41" s="1"/>
      <c r="U41" s="1"/>
      <c r="V41" s="1"/>
      <c r="W41" s="1"/>
      <c r="X41" s="1"/>
      <c r="Y41" s="1"/>
    </row>
    <row r="42" spans="2:25" x14ac:dyDescent="0.2">
      <c r="B42" s="1"/>
      <c r="C42" s="338"/>
      <c r="D42" s="339"/>
      <c r="E42" s="339" t="s">
        <v>98</v>
      </c>
      <c r="F42" s="340" t="s">
        <v>97</v>
      </c>
      <c r="G42" s="340"/>
      <c r="H42" s="339">
        <v>20824</v>
      </c>
      <c r="I42" s="341">
        <v>0</v>
      </c>
      <c r="J42" s="342">
        <v>0</v>
      </c>
      <c r="K42" s="339">
        <v>138.15</v>
      </c>
      <c r="L42" s="343">
        <f>ROUND(J42*$E$11,2)</f>
        <v>0</v>
      </c>
      <c r="M42" s="344">
        <f>L42*L25</f>
        <v>0</v>
      </c>
      <c r="O42" s="591">
        <f>IF(P40=0,M42,(L42*P40))</f>
        <v>0</v>
      </c>
      <c r="P42" s="1"/>
      <c r="Q42" s="591">
        <f>M42-O42</f>
        <v>0</v>
      </c>
      <c r="R42" s="1"/>
      <c r="S42" s="1"/>
      <c r="T42" s="1"/>
      <c r="U42" s="1"/>
      <c r="V42" s="1"/>
      <c r="W42" s="1"/>
      <c r="X42" s="1"/>
      <c r="Y42" s="1"/>
    </row>
    <row r="43" spans="2:25" x14ac:dyDescent="0.2">
      <c r="B43" s="1"/>
      <c r="C43" s="338"/>
      <c r="D43" s="339"/>
      <c r="E43" s="339" t="s">
        <v>99</v>
      </c>
      <c r="F43" s="340" t="s">
        <v>100</v>
      </c>
      <c r="G43" s="340"/>
      <c r="H43" s="339">
        <v>22228</v>
      </c>
      <c r="I43" s="341">
        <v>0</v>
      </c>
      <c r="J43" s="342">
        <v>0</v>
      </c>
      <c r="K43" s="339">
        <v>130.80000000000001</v>
      </c>
      <c r="L43" s="343">
        <f>ROUND(J43*$E$11,2)</f>
        <v>0</v>
      </c>
      <c r="M43" s="344">
        <f>L43*L26</f>
        <v>0</v>
      </c>
      <c r="O43" s="591">
        <f>IF(P41=0,M43,(L43*P41))</f>
        <v>0</v>
      </c>
      <c r="P43" s="1"/>
      <c r="Q43" s="591">
        <f>M43-O43</f>
        <v>0</v>
      </c>
      <c r="R43" s="1"/>
      <c r="S43" s="1"/>
      <c r="T43" s="1"/>
      <c r="U43" s="1"/>
      <c r="V43" s="1"/>
      <c r="W43" s="1"/>
      <c r="X43" s="1"/>
      <c r="Y43" s="1"/>
    </row>
    <row r="44" spans="2:25" ht="15" thickBot="1" x14ac:dyDescent="0.25">
      <c r="B44" s="1"/>
      <c r="C44" s="345">
        <v>800832773</v>
      </c>
      <c r="D44" s="606">
        <v>4</v>
      </c>
      <c r="E44" s="347" t="s">
        <v>101</v>
      </c>
      <c r="F44" s="348" t="s">
        <v>23</v>
      </c>
      <c r="G44" s="348" t="s">
        <v>221</v>
      </c>
      <c r="H44" s="347" t="s">
        <v>222</v>
      </c>
      <c r="I44" s="349">
        <f>L80</f>
        <v>2169532.8396550003</v>
      </c>
      <c r="J44" s="350">
        <v>1</v>
      </c>
      <c r="K44" s="346">
        <v>138.15</v>
      </c>
      <c r="L44" s="351">
        <f>ROUND(J44*$E$11,2)</f>
        <v>2109.21</v>
      </c>
      <c r="M44" s="352">
        <f>L44*I10</f>
        <v>39467.115678000002</v>
      </c>
      <c r="O44" s="592">
        <f>IF(P28=0,M44,(L44*P28))</f>
        <v>39467.115678000002</v>
      </c>
      <c r="P44" s="1"/>
      <c r="Q44" s="592">
        <f>M44-O44</f>
        <v>0</v>
      </c>
      <c r="R44" s="1"/>
      <c r="S44" s="1"/>
      <c r="T44" s="1"/>
      <c r="U44" s="1"/>
      <c r="V44" s="1"/>
      <c r="W44" s="1"/>
      <c r="X44" s="1"/>
      <c r="Y44" s="1"/>
    </row>
    <row r="45" spans="2:25" x14ac:dyDescent="0.2">
      <c r="B45" s="1"/>
      <c r="C45" s="353"/>
      <c r="D45" s="353"/>
      <c r="E45" s="353"/>
      <c r="F45" s="353"/>
      <c r="G45" s="353"/>
      <c r="H45" s="354"/>
      <c r="I45" s="449">
        <f>SUM(I41:I44)</f>
        <v>2169532.8396550003</v>
      </c>
      <c r="J45" s="355"/>
      <c r="K45" s="353"/>
      <c r="L45" s="357">
        <f>SUM(L41:L44)</f>
        <v>2109.21</v>
      </c>
      <c r="M45" s="357">
        <f>SUM(M41:M44)</f>
        <v>39467.115678000002</v>
      </c>
      <c r="O45" s="593">
        <f>SUM(O41:O44)</f>
        <v>39467.115678000002</v>
      </c>
      <c r="P45" s="1"/>
      <c r="Q45" s="593">
        <f>SUM(Q41:Q44)</f>
        <v>0</v>
      </c>
      <c r="R45" s="1"/>
      <c r="S45" s="1"/>
      <c r="T45" s="1"/>
      <c r="U45" s="1"/>
      <c r="V45" s="1"/>
      <c r="W45" s="1"/>
      <c r="X45" s="1"/>
      <c r="Y45" s="1"/>
    </row>
    <row r="46" spans="2:25" customFormat="1" ht="15" thickBot="1" x14ac:dyDescent="0.25">
      <c r="M46" s="450"/>
      <c r="N46" s="450"/>
      <c r="O46" s="450"/>
      <c r="P46" s="450"/>
      <c r="Q46" s="450"/>
      <c r="R46" s="450"/>
      <c r="S46" s="450"/>
      <c r="T46" s="450"/>
      <c r="U46" s="450"/>
      <c r="V46" s="450"/>
      <c r="W46" s="450"/>
      <c r="X46" s="450"/>
      <c r="Y46" s="450"/>
    </row>
    <row r="47" spans="2:25" ht="15" thickBot="1" x14ac:dyDescent="0.25">
      <c r="B47" s="434" t="s">
        <v>3</v>
      </c>
      <c r="C47" s="333">
        <f>SUMIF(Tarifas!E4:E303,'Diciembre - 2017'!C49,Tarifas!D4:D303)</f>
        <v>53</v>
      </c>
      <c r="D47" s="690" t="s">
        <v>147</v>
      </c>
      <c r="E47" s="691" t="s">
        <v>145</v>
      </c>
      <c r="F47" s="691" t="s">
        <v>150</v>
      </c>
      <c r="G47" s="691" t="s">
        <v>148</v>
      </c>
      <c r="H47" s="692"/>
      <c r="I47" s="693" t="s">
        <v>120</v>
      </c>
      <c r="J47" s="694"/>
      <c r="K47" s="694"/>
      <c r="L47" s="364" t="s">
        <v>105</v>
      </c>
      <c r="M47" s="365"/>
      <c r="N47" s="365"/>
      <c r="O47" s="365"/>
      <c r="P47" s="365"/>
      <c r="Q47" s="365"/>
      <c r="R47" s="366"/>
      <c r="S47" s="2267" t="s">
        <v>121</v>
      </c>
      <c r="T47" s="2268"/>
      <c r="U47" s="2268"/>
      <c r="V47" s="2268"/>
      <c r="W47" s="2268"/>
      <c r="X47" s="2268"/>
      <c r="Y47" s="2269"/>
    </row>
    <row r="48" spans="2:25" ht="34.5" thickBot="1" x14ac:dyDescent="0.25">
      <c r="C48" s="383" t="s">
        <v>122</v>
      </c>
      <c r="D48" s="384" t="s">
        <v>125</v>
      </c>
      <c r="E48" s="385" t="s">
        <v>149</v>
      </c>
      <c r="F48" s="385" t="s">
        <v>151</v>
      </c>
      <c r="G48" s="385" t="s">
        <v>152</v>
      </c>
      <c r="H48" s="386" t="s">
        <v>123</v>
      </c>
      <c r="I48" s="329" t="s">
        <v>109</v>
      </c>
      <c r="J48" s="330" t="s">
        <v>25</v>
      </c>
      <c r="K48" s="686" t="s">
        <v>26</v>
      </c>
      <c r="L48" s="696" t="s">
        <v>115</v>
      </c>
      <c r="M48" s="697" t="s">
        <v>106</v>
      </c>
      <c r="N48" s="697" t="s">
        <v>107</v>
      </c>
      <c r="O48" s="697" t="s">
        <v>108</v>
      </c>
      <c r="P48" s="697" t="s">
        <v>115</v>
      </c>
      <c r="Q48" s="698" t="s">
        <v>116</v>
      </c>
      <c r="R48" s="699" t="s">
        <v>117</v>
      </c>
      <c r="S48" s="700" t="s">
        <v>207</v>
      </c>
      <c r="T48" s="701"/>
      <c r="U48" s="701" t="s">
        <v>112</v>
      </c>
      <c r="V48" s="702" t="s">
        <v>118</v>
      </c>
      <c r="W48" s="702" t="s">
        <v>119</v>
      </c>
      <c r="X48" s="702" t="s">
        <v>114</v>
      </c>
      <c r="Y48" s="703" t="s">
        <v>113</v>
      </c>
    </row>
    <row r="49" spans="3:25" x14ac:dyDescent="0.2">
      <c r="C49" s="1402">
        <f>G7</f>
        <v>43070</v>
      </c>
      <c r="D49" s="1354">
        <f>($F$24*$H$24)/$G$24</f>
        <v>150304.21677419354</v>
      </c>
      <c r="E49" s="1327">
        <f>P49+Q49+R49</f>
        <v>71558.880000000005</v>
      </c>
      <c r="F49" s="1432">
        <f>TRUNC(IFERROR(J$24/K$24,0),8)</f>
        <v>0.97219462999999995</v>
      </c>
      <c r="G49" s="1357">
        <f>ROUND(I$24*F49*E49,4)</f>
        <v>69.569199999999995</v>
      </c>
      <c r="H49" s="1358">
        <f t="shared" ref="H49:H78" si="0">SUM(D49:G49)</f>
        <v>221933.63816882356</v>
      </c>
      <c r="I49" s="1324">
        <v>67295</v>
      </c>
      <c r="J49" s="1433"/>
      <c r="K49" s="1434"/>
      <c r="L49" s="1435">
        <v>71558.880000000005</v>
      </c>
      <c r="M49" s="1436"/>
      <c r="N49" s="1436"/>
      <c r="O49" s="1436"/>
      <c r="P49" s="1327">
        <f>L49</f>
        <v>71558.880000000005</v>
      </c>
      <c r="Q49" s="1327">
        <f t="shared" ref="Q49:Q78" si="1">M49+N49</f>
        <v>0</v>
      </c>
      <c r="R49" s="1328">
        <f t="shared" ref="R49:R78" si="2">O49</f>
        <v>0</v>
      </c>
      <c r="S49" s="1329">
        <v>62000.04</v>
      </c>
      <c r="T49" s="1330"/>
      <c r="U49" s="1331">
        <f>S49+T49-V49</f>
        <v>-5294.9599999999991</v>
      </c>
      <c r="V49" s="1331">
        <f>I49+J49+K49</f>
        <v>67295</v>
      </c>
      <c r="W49" s="1331">
        <f>(P49+Q49+R49)*1.055056</f>
        <v>75498.625697280004</v>
      </c>
      <c r="X49" s="1331">
        <f>V49-W49</f>
        <v>-8203.6256972800038</v>
      </c>
      <c r="Y49" s="1332">
        <f>AL46+X49</f>
        <v>-8203.6256972800038</v>
      </c>
    </row>
    <row r="50" spans="3:25" x14ac:dyDescent="0.2">
      <c r="C50" s="387">
        <f t="shared" ref="C50:C79" si="3">C49+1</f>
        <v>43071</v>
      </c>
      <c r="D50" s="388">
        <f t="shared" ref="D50:D79" si="4">($F$24*$H$24)/$G$24</f>
        <v>150304.21677419354</v>
      </c>
      <c r="E50" s="392">
        <f t="shared" ref="E50:E78" si="5">P50+Q50+R50</f>
        <v>71478.42</v>
      </c>
      <c r="F50" s="428">
        <f t="shared" ref="F50:F78" si="6">TRUNC(IFERROR(J$24/K$24,0),8)</f>
        <v>0.97219462999999995</v>
      </c>
      <c r="G50" s="390">
        <f t="shared" ref="G50:G78" si="7">ROUND(I$24*F50*E50,4)</f>
        <v>69.490899999999996</v>
      </c>
      <c r="H50" s="391">
        <f t="shared" si="0"/>
        <v>221853.09986882357</v>
      </c>
      <c r="I50" s="324">
        <v>66663</v>
      </c>
      <c r="J50" s="706"/>
      <c r="K50" s="707"/>
      <c r="L50" s="319">
        <v>71478.42</v>
      </c>
      <c r="M50" s="704"/>
      <c r="N50" s="704"/>
      <c r="O50" s="704"/>
      <c r="P50" s="392">
        <f t="shared" ref="P50:P78" si="8">L50</f>
        <v>71478.42</v>
      </c>
      <c r="Q50" s="392">
        <f t="shared" si="1"/>
        <v>0</v>
      </c>
      <c r="R50" s="687">
        <f t="shared" si="2"/>
        <v>0</v>
      </c>
      <c r="S50" s="532">
        <v>62000.04</v>
      </c>
      <c r="T50" s="374"/>
      <c r="U50" s="520">
        <f t="shared" ref="U50:U78" si="9">S50+T50-V50</f>
        <v>-4662.9599999999991</v>
      </c>
      <c r="V50" s="520">
        <f t="shared" ref="V50:V78" si="10">I50+J50+K50</f>
        <v>66663</v>
      </c>
      <c r="W50" s="520">
        <f t="shared" ref="W50:W78" si="11">(P50+Q50+R50)*1.055056</f>
        <v>75413.735891520002</v>
      </c>
      <c r="X50" s="520">
        <f t="shared" ref="X50:X78" si="12">V50-W50</f>
        <v>-8750.735891520002</v>
      </c>
      <c r="Y50" s="525">
        <f>Y49+X50</f>
        <v>-16954.361588800006</v>
      </c>
    </row>
    <row r="51" spans="3:25" x14ac:dyDescent="0.2">
      <c r="C51" s="387">
        <f t="shared" si="3"/>
        <v>43072</v>
      </c>
      <c r="D51" s="388">
        <f t="shared" si="4"/>
        <v>150304.21677419354</v>
      </c>
      <c r="E51" s="392">
        <f t="shared" si="5"/>
        <v>71311.64</v>
      </c>
      <c r="F51" s="428">
        <f t="shared" si="6"/>
        <v>0.97219462999999995</v>
      </c>
      <c r="G51" s="390">
        <f t="shared" si="7"/>
        <v>69.328800000000001</v>
      </c>
      <c r="H51" s="391">
        <f t="shared" si="0"/>
        <v>221686.15776882353</v>
      </c>
      <c r="I51" s="324">
        <v>66663</v>
      </c>
      <c r="J51" s="706"/>
      <c r="K51" s="707"/>
      <c r="L51" s="317">
        <v>71311.64</v>
      </c>
      <c r="M51" s="704"/>
      <c r="N51" s="704"/>
      <c r="O51" s="704"/>
      <c r="P51" s="392">
        <f t="shared" si="8"/>
        <v>71311.64</v>
      </c>
      <c r="Q51" s="392">
        <f t="shared" si="1"/>
        <v>0</v>
      </c>
      <c r="R51" s="687">
        <f t="shared" si="2"/>
        <v>0</v>
      </c>
      <c r="S51" s="532">
        <v>62000.04</v>
      </c>
      <c r="T51" s="374"/>
      <c r="U51" s="520">
        <f t="shared" si="9"/>
        <v>-4662.9599999999991</v>
      </c>
      <c r="V51" s="520">
        <f t="shared" si="10"/>
        <v>66663</v>
      </c>
      <c r="W51" s="520">
        <f t="shared" si="11"/>
        <v>75237.773651840005</v>
      </c>
      <c r="X51" s="520">
        <f t="shared" si="12"/>
        <v>-8574.7736518400052</v>
      </c>
      <c r="Y51" s="525">
        <f t="shared" ref="Y51:Y78" si="13">Y50+X51</f>
        <v>-25529.135240640011</v>
      </c>
    </row>
    <row r="52" spans="3:25" x14ac:dyDescent="0.2">
      <c r="C52" s="387">
        <f t="shared" si="3"/>
        <v>43073</v>
      </c>
      <c r="D52" s="388">
        <f t="shared" si="4"/>
        <v>150304.21677419354</v>
      </c>
      <c r="E52" s="392">
        <f t="shared" si="5"/>
        <v>71492.009999999995</v>
      </c>
      <c r="F52" s="428">
        <f t="shared" si="6"/>
        <v>0.97219462999999995</v>
      </c>
      <c r="G52" s="390">
        <f t="shared" si="7"/>
        <v>69.504099999999994</v>
      </c>
      <c r="H52" s="391">
        <f t="shared" si="0"/>
        <v>221866.70306882352</v>
      </c>
      <c r="I52" s="324">
        <v>66663</v>
      </c>
      <c r="J52" s="706"/>
      <c r="K52" s="707"/>
      <c r="L52" s="319">
        <v>71492.009999999995</v>
      </c>
      <c r="M52" s="704"/>
      <c r="N52" s="704"/>
      <c r="O52" s="704"/>
      <c r="P52" s="392">
        <f t="shared" si="8"/>
        <v>71492.009999999995</v>
      </c>
      <c r="Q52" s="392">
        <f t="shared" si="1"/>
        <v>0</v>
      </c>
      <c r="R52" s="687">
        <f t="shared" si="2"/>
        <v>0</v>
      </c>
      <c r="S52" s="532">
        <v>60000</v>
      </c>
      <c r="T52" s="374"/>
      <c r="U52" s="520">
        <f t="shared" si="9"/>
        <v>-6663</v>
      </c>
      <c r="V52" s="520">
        <f t="shared" si="10"/>
        <v>66663</v>
      </c>
      <c r="W52" s="520">
        <f t="shared" si="11"/>
        <v>75428.07410256</v>
      </c>
      <c r="X52" s="520">
        <f t="shared" si="12"/>
        <v>-8765.07410256</v>
      </c>
      <c r="Y52" s="525">
        <f t="shared" si="13"/>
        <v>-34294.209343200011</v>
      </c>
    </row>
    <row r="53" spans="3:25" x14ac:dyDescent="0.2">
      <c r="C53" s="387">
        <f t="shared" si="3"/>
        <v>43074</v>
      </c>
      <c r="D53" s="388">
        <f t="shared" si="4"/>
        <v>150304.21677419354</v>
      </c>
      <c r="E53" s="392">
        <f t="shared" si="5"/>
        <v>71244.55</v>
      </c>
      <c r="F53" s="428">
        <f t="shared" si="6"/>
        <v>0.97219462999999995</v>
      </c>
      <c r="G53" s="390">
        <f t="shared" si="7"/>
        <v>69.263599999999997</v>
      </c>
      <c r="H53" s="391">
        <f t="shared" si="0"/>
        <v>221619.00256882358</v>
      </c>
      <c r="I53" s="324">
        <v>66347</v>
      </c>
      <c r="J53" s="706"/>
      <c r="K53" s="707"/>
      <c r="L53" s="317">
        <v>71244.55</v>
      </c>
      <c r="M53" s="704"/>
      <c r="N53" s="704"/>
      <c r="O53" s="704"/>
      <c r="P53" s="392">
        <f t="shared" si="8"/>
        <v>71244.55</v>
      </c>
      <c r="Q53" s="392">
        <f t="shared" si="1"/>
        <v>0</v>
      </c>
      <c r="R53" s="687">
        <f t="shared" si="2"/>
        <v>0</v>
      </c>
      <c r="S53" s="532">
        <v>60000</v>
      </c>
      <c r="T53" s="374"/>
      <c r="U53" s="520">
        <f t="shared" si="9"/>
        <v>-6347</v>
      </c>
      <c r="V53" s="520">
        <f t="shared" si="10"/>
        <v>66347</v>
      </c>
      <c r="W53" s="520">
        <f t="shared" si="11"/>
        <v>75166.989944800007</v>
      </c>
      <c r="X53" s="520">
        <f t="shared" si="12"/>
        <v>-8819.9899448000069</v>
      </c>
      <c r="Y53" s="525">
        <f t="shared" si="13"/>
        <v>-43114.199288000018</v>
      </c>
    </row>
    <row r="54" spans="3:25" x14ac:dyDescent="0.2">
      <c r="C54" s="387">
        <f t="shared" si="3"/>
        <v>43075</v>
      </c>
      <c r="D54" s="388">
        <f t="shared" si="4"/>
        <v>150304.21677419354</v>
      </c>
      <c r="E54" s="392">
        <f t="shared" si="5"/>
        <v>71464.039999999994</v>
      </c>
      <c r="F54" s="428">
        <f t="shared" si="6"/>
        <v>0.97219462999999995</v>
      </c>
      <c r="G54" s="390">
        <f t="shared" si="7"/>
        <v>69.477000000000004</v>
      </c>
      <c r="H54" s="391">
        <f t="shared" si="0"/>
        <v>221838.70596882357</v>
      </c>
      <c r="I54" s="324">
        <v>66821</v>
      </c>
      <c r="J54" s="706"/>
      <c r="K54" s="707"/>
      <c r="L54" s="319">
        <v>71464.039999999994</v>
      </c>
      <c r="M54" s="704"/>
      <c r="N54" s="704"/>
      <c r="O54" s="704"/>
      <c r="P54" s="392">
        <f t="shared" si="8"/>
        <v>71464.039999999994</v>
      </c>
      <c r="Q54" s="392">
        <f t="shared" si="1"/>
        <v>0</v>
      </c>
      <c r="R54" s="687">
        <f t="shared" si="2"/>
        <v>0</v>
      </c>
      <c r="S54" s="532">
        <v>60000</v>
      </c>
      <c r="T54" s="374"/>
      <c r="U54" s="520">
        <f t="shared" si="9"/>
        <v>-6821</v>
      </c>
      <c r="V54" s="520">
        <f t="shared" si="10"/>
        <v>66821</v>
      </c>
      <c r="W54" s="520">
        <f t="shared" si="11"/>
        <v>75398.564186239993</v>
      </c>
      <c r="X54" s="520">
        <f t="shared" si="12"/>
        <v>-8577.5641862399934</v>
      </c>
      <c r="Y54" s="525">
        <f t="shared" si="13"/>
        <v>-51691.763474240011</v>
      </c>
    </row>
    <row r="55" spans="3:25" x14ac:dyDescent="0.2">
      <c r="C55" s="387">
        <f t="shared" si="3"/>
        <v>43076</v>
      </c>
      <c r="D55" s="388">
        <f t="shared" si="4"/>
        <v>150304.21677419354</v>
      </c>
      <c r="E55" s="392">
        <f t="shared" si="5"/>
        <v>56032.55</v>
      </c>
      <c r="F55" s="428">
        <f t="shared" si="6"/>
        <v>0.97219462999999995</v>
      </c>
      <c r="G55" s="390">
        <f t="shared" si="7"/>
        <v>54.474499999999999</v>
      </c>
      <c r="H55" s="391">
        <f t="shared" si="0"/>
        <v>206392.21346882358</v>
      </c>
      <c r="I55" s="324">
        <v>66347</v>
      </c>
      <c r="J55" s="706"/>
      <c r="K55" s="707"/>
      <c r="L55" s="317">
        <v>56032.55</v>
      </c>
      <c r="M55" s="704"/>
      <c r="N55" s="704"/>
      <c r="O55" s="704"/>
      <c r="P55" s="392">
        <f t="shared" si="8"/>
        <v>56032.55</v>
      </c>
      <c r="Q55" s="392">
        <f t="shared" si="1"/>
        <v>0</v>
      </c>
      <c r="R55" s="687">
        <f t="shared" si="2"/>
        <v>0</v>
      </c>
      <c r="S55" s="532">
        <v>62000.04</v>
      </c>
      <c r="T55" s="374"/>
      <c r="U55" s="520">
        <f t="shared" si="9"/>
        <v>-4346.9599999999991</v>
      </c>
      <c r="V55" s="520">
        <f t="shared" si="10"/>
        <v>66347</v>
      </c>
      <c r="W55" s="520">
        <f t="shared" si="11"/>
        <v>59117.478072800004</v>
      </c>
      <c r="X55" s="520">
        <f t="shared" si="12"/>
        <v>7229.5219271999958</v>
      </c>
      <c r="Y55" s="525">
        <f t="shared" si="13"/>
        <v>-44462.241547040016</v>
      </c>
    </row>
    <row r="56" spans="3:25" x14ac:dyDescent="0.2">
      <c r="C56" s="387">
        <f t="shared" si="3"/>
        <v>43077</v>
      </c>
      <c r="D56" s="388">
        <f t="shared" si="4"/>
        <v>150304.21677419354</v>
      </c>
      <c r="E56" s="392">
        <f t="shared" si="5"/>
        <v>50859.58</v>
      </c>
      <c r="F56" s="428">
        <f t="shared" si="6"/>
        <v>0.97219462999999995</v>
      </c>
      <c r="G56" s="390">
        <f t="shared" si="7"/>
        <v>49.445399999999999</v>
      </c>
      <c r="H56" s="391">
        <f t="shared" si="0"/>
        <v>201214.21436882354</v>
      </c>
      <c r="I56" s="324">
        <v>66347</v>
      </c>
      <c r="J56" s="706"/>
      <c r="K56" s="707"/>
      <c r="L56" s="319">
        <v>50859.58</v>
      </c>
      <c r="M56" s="704"/>
      <c r="N56" s="704"/>
      <c r="O56" s="704"/>
      <c r="P56" s="392">
        <f t="shared" si="8"/>
        <v>50859.58</v>
      </c>
      <c r="Q56" s="392">
        <f t="shared" si="1"/>
        <v>0</v>
      </c>
      <c r="R56" s="687">
        <f t="shared" si="2"/>
        <v>0</v>
      </c>
      <c r="S56" s="532">
        <v>62000.04</v>
      </c>
      <c r="T56" s="374"/>
      <c r="U56" s="520">
        <f t="shared" si="9"/>
        <v>-4346.9599999999991</v>
      </c>
      <c r="V56" s="520">
        <f t="shared" si="10"/>
        <v>66347</v>
      </c>
      <c r="W56" s="520">
        <f t="shared" si="11"/>
        <v>53659.705036480002</v>
      </c>
      <c r="X56" s="520">
        <f t="shared" si="12"/>
        <v>12687.294963519998</v>
      </c>
      <c r="Y56" s="525">
        <f t="shared" si="13"/>
        <v>-31774.946583520017</v>
      </c>
    </row>
    <row r="57" spans="3:25" x14ac:dyDescent="0.2">
      <c r="C57" s="387">
        <f t="shared" si="3"/>
        <v>43078</v>
      </c>
      <c r="D57" s="388">
        <f t="shared" si="4"/>
        <v>150304.21677419354</v>
      </c>
      <c r="E57" s="392">
        <f t="shared" si="5"/>
        <v>72042.880000000005</v>
      </c>
      <c r="F57" s="428">
        <f t="shared" si="6"/>
        <v>0.97219462999999995</v>
      </c>
      <c r="G57" s="390">
        <f t="shared" si="7"/>
        <v>70.039699999999996</v>
      </c>
      <c r="H57" s="391">
        <f t="shared" si="0"/>
        <v>222418.10866882355</v>
      </c>
      <c r="I57" s="324">
        <v>66979</v>
      </c>
      <c r="J57" s="706"/>
      <c r="K57" s="707"/>
      <c r="L57" s="317">
        <v>72042.880000000005</v>
      </c>
      <c r="M57" s="704"/>
      <c r="N57" s="704"/>
      <c r="O57" s="704"/>
      <c r="P57" s="392">
        <f t="shared" si="8"/>
        <v>72042.880000000005</v>
      </c>
      <c r="Q57" s="392">
        <f t="shared" si="1"/>
        <v>0</v>
      </c>
      <c r="R57" s="687">
        <f t="shared" si="2"/>
        <v>0</v>
      </c>
      <c r="S57" s="532">
        <v>62000.04</v>
      </c>
      <c r="T57" s="374"/>
      <c r="U57" s="520">
        <f t="shared" si="9"/>
        <v>-4978.9599999999991</v>
      </c>
      <c r="V57" s="520">
        <f t="shared" si="10"/>
        <v>66979</v>
      </c>
      <c r="W57" s="520">
        <f t="shared" si="11"/>
        <v>76009.272801280007</v>
      </c>
      <c r="X57" s="520">
        <f t="shared" si="12"/>
        <v>-9030.2728012800071</v>
      </c>
      <c r="Y57" s="525">
        <f t="shared" si="13"/>
        <v>-40805.219384800024</v>
      </c>
    </row>
    <row r="58" spans="3:25" x14ac:dyDescent="0.2">
      <c r="C58" s="387">
        <f t="shared" si="3"/>
        <v>43079</v>
      </c>
      <c r="D58" s="388">
        <f t="shared" si="4"/>
        <v>150304.21677419354</v>
      </c>
      <c r="E58" s="392">
        <f t="shared" si="5"/>
        <v>72056.73</v>
      </c>
      <c r="F58" s="428">
        <f t="shared" si="6"/>
        <v>0.97219462999999995</v>
      </c>
      <c r="G58" s="390">
        <f t="shared" si="7"/>
        <v>70.053200000000004</v>
      </c>
      <c r="H58" s="391">
        <f t="shared" si="0"/>
        <v>222431.97216882356</v>
      </c>
      <c r="I58" s="324">
        <v>66979</v>
      </c>
      <c r="J58" s="706"/>
      <c r="K58" s="707"/>
      <c r="L58" s="319">
        <v>72056.73</v>
      </c>
      <c r="M58" s="704"/>
      <c r="N58" s="704"/>
      <c r="O58" s="704"/>
      <c r="P58" s="392">
        <f t="shared" si="8"/>
        <v>72056.73</v>
      </c>
      <c r="Q58" s="392">
        <f t="shared" si="1"/>
        <v>0</v>
      </c>
      <c r="R58" s="687">
        <f t="shared" si="2"/>
        <v>0</v>
      </c>
      <c r="S58" s="532">
        <v>62000.04</v>
      </c>
      <c r="T58" s="374"/>
      <c r="U58" s="520">
        <f t="shared" si="9"/>
        <v>-4978.9599999999991</v>
      </c>
      <c r="V58" s="520">
        <f t="shared" si="10"/>
        <v>66979</v>
      </c>
      <c r="W58" s="520">
        <f t="shared" si="11"/>
        <v>76023.885326880001</v>
      </c>
      <c r="X58" s="520">
        <f t="shared" si="12"/>
        <v>-9044.8853268800012</v>
      </c>
      <c r="Y58" s="525">
        <f t="shared" si="13"/>
        <v>-49850.104711680026</v>
      </c>
    </row>
    <row r="59" spans="3:25" x14ac:dyDescent="0.2">
      <c r="C59" s="387">
        <f t="shared" si="3"/>
        <v>43080</v>
      </c>
      <c r="D59" s="388">
        <f t="shared" si="4"/>
        <v>150304.21677419354</v>
      </c>
      <c r="E59" s="392">
        <f t="shared" si="5"/>
        <v>71927.33</v>
      </c>
      <c r="F59" s="428">
        <f t="shared" si="6"/>
        <v>0.97219462999999995</v>
      </c>
      <c r="G59" s="390">
        <f t="shared" si="7"/>
        <v>69.927400000000006</v>
      </c>
      <c r="H59" s="391">
        <f t="shared" si="0"/>
        <v>222302.44636882353</v>
      </c>
      <c r="I59" s="324">
        <v>66979</v>
      </c>
      <c r="J59" s="706"/>
      <c r="K59" s="707"/>
      <c r="L59" s="317">
        <v>71927.33</v>
      </c>
      <c r="M59" s="704"/>
      <c r="N59" s="704"/>
      <c r="O59" s="704"/>
      <c r="P59" s="392">
        <f t="shared" si="8"/>
        <v>71927.33</v>
      </c>
      <c r="Q59" s="392">
        <f t="shared" si="1"/>
        <v>0</v>
      </c>
      <c r="R59" s="687">
        <f t="shared" si="2"/>
        <v>0</v>
      </c>
      <c r="S59" s="532">
        <v>62000.04</v>
      </c>
      <c r="T59" s="374"/>
      <c r="U59" s="520">
        <f t="shared" si="9"/>
        <v>-4978.9599999999991</v>
      </c>
      <c r="V59" s="520">
        <f t="shared" si="10"/>
        <v>66979</v>
      </c>
      <c r="W59" s="520">
        <f t="shared" si="11"/>
        <v>75887.361080479997</v>
      </c>
      <c r="X59" s="520">
        <f t="shared" si="12"/>
        <v>-8908.3610804799973</v>
      </c>
      <c r="Y59" s="525">
        <f t="shared" si="13"/>
        <v>-58758.465792160023</v>
      </c>
    </row>
    <row r="60" spans="3:25" x14ac:dyDescent="0.2">
      <c r="C60" s="387">
        <f t="shared" si="3"/>
        <v>43081</v>
      </c>
      <c r="D60" s="388">
        <f t="shared" si="4"/>
        <v>150304.21677419354</v>
      </c>
      <c r="E60" s="392">
        <f t="shared" si="5"/>
        <v>71679.42</v>
      </c>
      <c r="F60" s="428">
        <f t="shared" si="6"/>
        <v>0.97219462999999995</v>
      </c>
      <c r="G60" s="390">
        <f t="shared" si="7"/>
        <v>69.686300000000003</v>
      </c>
      <c r="H60" s="391">
        <f t="shared" si="0"/>
        <v>222054.29526882357</v>
      </c>
      <c r="I60" s="324">
        <v>67295</v>
      </c>
      <c r="J60" s="706"/>
      <c r="K60" s="707"/>
      <c r="L60" s="319">
        <v>71679.42</v>
      </c>
      <c r="M60" s="704"/>
      <c r="N60" s="704"/>
      <c r="O60" s="704"/>
      <c r="P60" s="392">
        <f t="shared" si="8"/>
        <v>71679.42</v>
      </c>
      <c r="Q60" s="392">
        <f t="shared" si="1"/>
        <v>0</v>
      </c>
      <c r="R60" s="687">
        <f t="shared" si="2"/>
        <v>0</v>
      </c>
      <c r="S60" s="532">
        <v>62000.04</v>
      </c>
      <c r="T60" s="374"/>
      <c r="U60" s="520">
        <f t="shared" si="9"/>
        <v>-5294.9599999999991</v>
      </c>
      <c r="V60" s="520">
        <f t="shared" si="10"/>
        <v>67295</v>
      </c>
      <c r="W60" s="520">
        <f t="shared" si="11"/>
        <v>75625.802147519993</v>
      </c>
      <c r="X60" s="520">
        <f t="shared" si="12"/>
        <v>-8330.802147519993</v>
      </c>
      <c r="Y60" s="525">
        <f t="shared" si="13"/>
        <v>-67089.267939680023</v>
      </c>
    </row>
    <row r="61" spans="3:25" x14ac:dyDescent="0.2">
      <c r="C61" s="387">
        <f t="shared" si="3"/>
        <v>43082</v>
      </c>
      <c r="D61" s="388">
        <f t="shared" si="4"/>
        <v>150304.21677419354</v>
      </c>
      <c r="E61" s="392">
        <f t="shared" si="5"/>
        <v>71501.23</v>
      </c>
      <c r="F61" s="428">
        <f t="shared" si="6"/>
        <v>0.97219462999999995</v>
      </c>
      <c r="G61" s="390">
        <f t="shared" si="7"/>
        <v>69.513099999999994</v>
      </c>
      <c r="H61" s="391">
        <f t="shared" si="0"/>
        <v>221875.93206882357</v>
      </c>
      <c r="I61" s="324">
        <v>66347</v>
      </c>
      <c r="J61" s="706"/>
      <c r="K61" s="707"/>
      <c r="L61" s="317">
        <v>71501.23</v>
      </c>
      <c r="M61" s="704"/>
      <c r="N61" s="704"/>
      <c r="O61" s="704"/>
      <c r="P61" s="392">
        <f t="shared" si="8"/>
        <v>71501.23</v>
      </c>
      <c r="Q61" s="392">
        <f t="shared" si="1"/>
        <v>0</v>
      </c>
      <c r="R61" s="687">
        <f t="shared" si="2"/>
        <v>0</v>
      </c>
      <c r="S61" s="532">
        <v>62000.04</v>
      </c>
      <c r="T61" s="374"/>
      <c r="U61" s="520">
        <f t="shared" si="9"/>
        <v>-4346.9599999999991</v>
      </c>
      <c r="V61" s="520">
        <f t="shared" si="10"/>
        <v>66347</v>
      </c>
      <c r="W61" s="520">
        <f t="shared" si="11"/>
        <v>75437.80171888</v>
      </c>
      <c r="X61" s="520">
        <f t="shared" si="12"/>
        <v>-9090.8017188800004</v>
      </c>
      <c r="Y61" s="525">
        <f t="shared" si="13"/>
        <v>-76180.069658560024</v>
      </c>
    </row>
    <row r="62" spans="3:25" x14ac:dyDescent="0.2">
      <c r="C62" s="387">
        <f t="shared" si="3"/>
        <v>43083</v>
      </c>
      <c r="D62" s="388">
        <f t="shared" si="4"/>
        <v>150304.21677419354</v>
      </c>
      <c r="E62" s="392">
        <f t="shared" si="5"/>
        <v>71477.34</v>
      </c>
      <c r="F62" s="428">
        <f t="shared" si="6"/>
        <v>0.97219462999999995</v>
      </c>
      <c r="G62" s="390">
        <f t="shared" si="7"/>
        <v>69.489900000000006</v>
      </c>
      <c r="H62" s="391">
        <f t="shared" si="0"/>
        <v>221852.01886882354</v>
      </c>
      <c r="I62" s="324">
        <v>66821</v>
      </c>
      <c r="J62" s="706"/>
      <c r="K62" s="707"/>
      <c r="L62" s="319">
        <v>71477.34</v>
      </c>
      <c r="M62" s="704"/>
      <c r="N62" s="704"/>
      <c r="O62" s="704"/>
      <c r="P62" s="392">
        <f t="shared" si="8"/>
        <v>71477.34</v>
      </c>
      <c r="Q62" s="392">
        <f t="shared" si="1"/>
        <v>0</v>
      </c>
      <c r="R62" s="687">
        <f t="shared" si="2"/>
        <v>0</v>
      </c>
      <c r="S62" s="532">
        <v>62000.04</v>
      </c>
      <c r="T62" s="374"/>
      <c r="U62" s="520">
        <f t="shared" si="9"/>
        <v>-4820.9599999999991</v>
      </c>
      <c r="V62" s="520">
        <f t="shared" si="10"/>
        <v>66821</v>
      </c>
      <c r="W62" s="520">
        <f t="shared" si="11"/>
        <v>75412.596431040001</v>
      </c>
      <c r="X62" s="520">
        <f t="shared" si="12"/>
        <v>-8591.5964310400013</v>
      </c>
      <c r="Y62" s="525">
        <f t="shared" si="13"/>
        <v>-84771.666089600025</v>
      </c>
    </row>
    <row r="63" spans="3:25" x14ac:dyDescent="0.2">
      <c r="C63" s="387">
        <f t="shared" si="3"/>
        <v>43084</v>
      </c>
      <c r="D63" s="388">
        <f t="shared" si="4"/>
        <v>150304.21677419354</v>
      </c>
      <c r="E63" s="392">
        <f t="shared" si="5"/>
        <v>71968.800000000003</v>
      </c>
      <c r="F63" s="428">
        <f t="shared" si="6"/>
        <v>0.97219462999999995</v>
      </c>
      <c r="G63" s="390">
        <f t="shared" si="7"/>
        <v>69.967699999999994</v>
      </c>
      <c r="H63" s="391">
        <f t="shared" si="0"/>
        <v>222343.95666882358</v>
      </c>
      <c r="I63" s="324">
        <v>67611</v>
      </c>
      <c r="J63" s="706"/>
      <c r="K63" s="707"/>
      <c r="L63" s="317">
        <v>71968.800000000003</v>
      </c>
      <c r="M63" s="704"/>
      <c r="N63" s="704"/>
      <c r="O63" s="704"/>
      <c r="P63" s="392">
        <f t="shared" si="8"/>
        <v>71968.800000000003</v>
      </c>
      <c r="Q63" s="392">
        <f t="shared" si="1"/>
        <v>0</v>
      </c>
      <c r="R63" s="687">
        <f t="shared" si="2"/>
        <v>0</v>
      </c>
      <c r="S63" s="532">
        <v>68000.13</v>
      </c>
      <c r="T63" s="374"/>
      <c r="U63" s="520">
        <f t="shared" si="9"/>
        <v>389.13000000000466</v>
      </c>
      <c r="V63" s="520">
        <f t="shared" si="10"/>
        <v>67611</v>
      </c>
      <c r="W63" s="520">
        <f t="shared" si="11"/>
        <v>75931.114252800005</v>
      </c>
      <c r="X63" s="520">
        <f t="shared" si="12"/>
        <v>-8320.1142528000055</v>
      </c>
      <c r="Y63" s="525">
        <f t="shared" si="13"/>
        <v>-93091.78034240003</v>
      </c>
    </row>
    <row r="64" spans="3:25" x14ac:dyDescent="0.2">
      <c r="C64" s="387">
        <f t="shared" si="3"/>
        <v>43085</v>
      </c>
      <c r="D64" s="388">
        <f t="shared" si="4"/>
        <v>150304.21677419354</v>
      </c>
      <c r="E64" s="392">
        <f t="shared" si="5"/>
        <v>71579.490000000005</v>
      </c>
      <c r="F64" s="428">
        <f t="shared" si="6"/>
        <v>0.97219462999999995</v>
      </c>
      <c r="G64" s="390">
        <f t="shared" si="7"/>
        <v>69.589200000000005</v>
      </c>
      <c r="H64" s="391">
        <f t="shared" si="0"/>
        <v>221954.26816882356</v>
      </c>
      <c r="I64" s="324">
        <v>67611</v>
      </c>
      <c r="J64" s="706"/>
      <c r="K64" s="707"/>
      <c r="L64" s="319">
        <v>71579.490000000005</v>
      </c>
      <c r="M64" s="704"/>
      <c r="N64" s="704"/>
      <c r="O64" s="704"/>
      <c r="P64" s="392">
        <f t="shared" si="8"/>
        <v>71579.490000000005</v>
      </c>
      <c r="Q64" s="392">
        <f t="shared" si="1"/>
        <v>0</v>
      </c>
      <c r="R64" s="687">
        <f t="shared" si="2"/>
        <v>0</v>
      </c>
      <c r="S64" s="532">
        <v>68000.13</v>
      </c>
      <c r="T64" s="374"/>
      <c r="U64" s="520">
        <f t="shared" si="9"/>
        <v>389.13000000000466</v>
      </c>
      <c r="V64" s="520">
        <f t="shared" si="10"/>
        <v>67611</v>
      </c>
      <c r="W64" s="520">
        <f t="shared" si="11"/>
        <v>75520.370401439999</v>
      </c>
      <c r="X64" s="520">
        <f t="shared" si="12"/>
        <v>-7909.3704014399991</v>
      </c>
      <c r="Y64" s="525">
        <f t="shared" si="13"/>
        <v>-101001.15074384003</v>
      </c>
    </row>
    <row r="65" spans="3:38" x14ac:dyDescent="0.2">
      <c r="C65" s="387">
        <f t="shared" si="3"/>
        <v>43086</v>
      </c>
      <c r="D65" s="388">
        <f t="shared" si="4"/>
        <v>150304.21677419354</v>
      </c>
      <c r="E65" s="392">
        <f t="shared" si="5"/>
        <v>71609.679999999993</v>
      </c>
      <c r="F65" s="428">
        <f t="shared" si="6"/>
        <v>0.97219462999999995</v>
      </c>
      <c r="G65" s="390">
        <f t="shared" si="7"/>
        <v>69.618499999999997</v>
      </c>
      <c r="H65" s="391">
        <f t="shared" si="0"/>
        <v>221984.48746882356</v>
      </c>
      <c r="I65" s="324">
        <v>67611</v>
      </c>
      <c r="J65" s="706"/>
      <c r="K65" s="707"/>
      <c r="L65" s="317">
        <v>71609.679999999993</v>
      </c>
      <c r="M65" s="704"/>
      <c r="N65" s="704"/>
      <c r="O65" s="704"/>
      <c r="P65" s="392">
        <f t="shared" si="8"/>
        <v>71609.679999999993</v>
      </c>
      <c r="Q65" s="392">
        <f t="shared" si="1"/>
        <v>0</v>
      </c>
      <c r="R65" s="687">
        <f t="shared" si="2"/>
        <v>0</v>
      </c>
      <c r="S65" s="532">
        <v>68000.13</v>
      </c>
      <c r="T65" s="374"/>
      <c r="U65" s="520">
        <f t="shared" si="9"/>
        <v>389.13000000000466</v>
      </c>
      <c r="V65" s="520">
        <f t="shared" si="10"/>
        <v>67611</v>
      </c>
      <c r="W65" s="520">
        <f t="shared" si="11"/>
        <v>75552.222542079995</v>
      </c>
      <c r="X65" s="520">
        <f t="shared" si="12"/>
        <v>-7941.222542079995</v>
      </c>
      <c r="Y65" s="525">
        <f t="shared" si="13"/>
        <v>-108942.37328592002</v>
      </c>
    </row>
    <row r="66" spans="3:38" x14ac:dyDescent="0.2">
      <c r="C66" s="387">
        <f t="shared" si="3"/>
        <v>43087</v>
      </c>
      <c r="D66" s="388">
        <f t="shared" si="4"/>
        <v>150304.21677419354</v>
      </c>
      <c r="E66" s="392">
        <f t="shared" si="5"/>
        <v>71224.03</v>
      </c>
      <c r="F66" s="428">
        <f t="shared" si="6"/>
        <v>0.97219462999999995</v>
      </c>
      <c r="G66" s="390">
        <f t="shared" si="7"/>
        <v>69.243600000000001</v>
      </c>
      <c r="H66" s="391">
        <f t="shared" si="0"/>
        <v>221598.46256882354</v>
      </c>
      <c r="I66" s="324">
        <v>67611</v>
      </c>
      <c r="J66" s="706"/>
      <c r="K66" s="707"/>
      <c r="L66" s="319">
        <v>71224.03</v>
      </c>
      <c r="M66" s="704"/>
      <c r="N66" s="704"/>
      <c r="O66" s="704"/>
      <c r="P66" s="392">
        <f t="shared" si="8"/>
        <v>71224.03</v>
      </c>
      <c r="Q66" s="392">
        <f t="shared" si="1"/>
        <v>0</v>
      </c>
      <c r="R66" s="687">
        <f t="shared" si="2"/>
        <v>0</v>
      </c>
      <c r="S66" s="532">
        <v>64999.600000000006</v>
      </c>
      <c r="T66" s="374"/>
      <c r="U66" s="520">
        <f t="shared" si="9"/>
        <v>-2611.3999999999942</v>
      </c>
      <c r="V66" s="520">
        <f t="shared" si="10"/>
        <v>67611</v>
      </c>
      <c r="W66" s="520">
        <f t="shared" si="11"/>
        <v>75145.340195679993</v>
      </c>
      <c r="X66" s="520">
        <f t="shared" si="12"/>
        <v>-7534.3401956799935</v>
      </c>
      <c r="Y66" s="525">
        <f t="shared" si="13"/>
        <v>-116476.71348160002</v>
      </c>
    </row>
    <row r="67" spans="3:38" x14ac:dyDescent="0.2">
      <c r="C67" s="387">
        <f t="shared" si="3"/>
        <v>43088</v>
      </c>
      <c r="D67" s="388">
        <f t="shared" si="4"/>
        <v>150304.21677419354</v>
      </c>
      <c r="E67" s="392">
        <f t="shared" si="5"/>
        <v>71308.479999999996</v>
      </c>
      <c r="F67" s="428">
        <f t="shared" si="6"/>
        <v>0.97219462999999995</v>
      </c>
      <c r="G67" s="390">
        <f t="shared" si="7"/>
        <v>69.325699999999998</v>
      </c>
      <c r="H67" s="391">
        <f t="shared" si="0"/>
        <v>221682.99466882355</v>
      </c>
      <c r="I67" s="324">
        <v>67295</v>
      </c>
      <c r="J67" s="706"/>
      <c r="K67" s="707"/>
      <c r="L67" s="317">
        <v>71308.479999999996</v>
      </c>
      <c r="M67" s="704"/>
      <c r="N67" s="704"/>
      <c r="O67" s="704"/>
      <c r="P67" s="392">
        <f t="shared" si="8"/>
        <v>71308.479999999996</v>
      </c>
      <c r="Q67" s="392">
        <f t="shared" si="1"/>
        <v>0</v>
      </c>
      <c r="R67" s="687">
        <f t="shared" si="2"/>
        <v>0</v>
      </c>
      <c r="S67" s="532">
        <v>64999.600000000006</v>
      </c>
      <c r="T67" s="374"/>
      <c r="U67" s="520">
        <f t="shared" si="9"/>
        <v>-2295.3999999999942</v>
      </c>
      <c r="V67" s="520">
        <f t="shared" si="10"/>
        <v>67295</v>
      </c>
      <c r="W67" s="520">
        <f t="shared" si="11"/>
        <v>75234.439674879992</v>
      </c>
      <c r="X67" s="520">
        <f t="shared" si="12"/>
        <v>-7939.4396748799918</v>
      </c>
      <c r="Y67" s="525">
        <f t="shared" si="13"/>
        <v>-124416.15315648001</v>
      </c>
    </row>
    <row r="68" spans="3:38" x14ac:dyDescent="0.2">
      <c r="C68" s="387">
        <f t="shared" si="3"/>
        <v>43089</v>
      </c>
      <c r="D68" s="388">
        <f t="shared" si="4"/>
        <v>150304.21677419354</v>
      </c>
      <c r="E68" s="392">
        <f t="shared" si="5"/>
        <v>71096.156000000003</v>
      </c>
      <c r="F68" s="428">
        <f t="shared" si="6"/>
        <v>0.97219462999999995</v>
      </c>
      <c r="G68" s="390">
        <f t="shared" si="7"/>
        <v>69.119299999999996</v>
      </c>
      <c r="H68" s="391">
        <f t="shared" si="0"/>
        <v>221470.46426882353</v>
      </c>
      <c r="I68" s="324">
        <v>66821</v>
      </c>
      <c r="J68" s="706"/>
      <c r="K68" s="707"/>
      <c r="L68" s="319">
        <v>71096.156000000003</v>
      </c>
      <c r="M68" s="704"/>
      <c r="N68" s="704"/>
      <c r="O68" s="704"/>
      <c r="P68" s="392">
        <f t="shared" si="8"/>
        <v>71096.156000000003</v>
      </c>
      <c r="Q68" s="392">
        <f t="shared" si="1"/>
        <v>0</v>
      </c>
      <c r="R68" s="687">
        <f t="shared" si="2"/>
        <v>0</v>
      </c>
      <c r="S68" s="532">
        <v>64999.600000000006</v>
      </c>
      <c r="T68" s="374"/>
      <c r="U68" s="520">
        <f t="shared" si="9"/>
        <v>-1821.3999999999942</v>
      </c>
      <c r="V68" s="520">
        <f t="shared" si="10"/>
        <v>66821</v>
      </c>
      <c r="W68" s="520">
        <f t="shared" si="11"/>
        <v>75010.425964736001</v>
      </c>
      <c r="X68" s="520">
        <f t="shared" si="12"/>
        <v>-8189.4259647360013</v>
      </c>
      <c r="Y68" s="525">
        <f t="shared" si="13"/>
        <v>-132605.57912121603</v>
      </c>
    </row>
    <row r="69" spans="3:38" x14ac:dyDescent="0.2">
      <c r="C69" s="387">
        <f t="shared" si="3"/>
        <v>43090</v>
      </c>
      <c r="D69" s="388">
        <f t="shared" si="4"/>
        <v>150304.21677419354</v>
      </c>
      <c r="E69" s="392">
        <f t="shared" si="5"/>
        <v>71224.11</v>
      </c>
      <c r="F69" s="428">
        <f t="shared" si="6"/>
        <v>0.97219462999999995</v>
      </c>
      <c r="G69" s="390">
        <f t="shared" si="7"/>
        <v>69.243700000000004</v>
      </c>
      <c r="H69" s="391">
        <f t="shared" si="0"/>
        <v>221598.54266882356</v>
      </c>
      <c r="I69" s="324">
        <v>66821</v>
      </c>
      <c r="J69" s="706"/>
      <c r="K69" s="707"/>
      <c r="L69" s="317">
        <v>71224.11</v>
      </c>
      <c r="M69" s="704"/>
      <c r="N69" s="704"/>
      <c r="O69" s="704"/>
      <c r="P69" s="392">
        <f t="shared" si="8"/>
        <v>71224.11</v>
      </c>
      <c r="Q69" s="392">
        <f t="shared" si="1"/>
        <v>0</v>
      </c>
      <c r="R69" s="687">
        <f t="shared" si="2"/>
        <v>0</v>
      </c>
      <c r="S69" s="532">
        <v>64999.600000000006</v>
      </c>
      <c r="T69" s="374"/>
      <c r="U69" s="520">
        <f t="shared" si="9"/>
        <v>-1821.3999999999942</v>
      </c>
      <c r="V69" s="520">
        <f t="shared" si="10"/>
        <v>66821</v>
      </c>
      <c r="W69" s="520">
        <f t="shared" si="11"/>
        <v>75145.424600159997</v>
      </c>
      <c r="X69" s="520">
        <f t="shared" si="12"/>
        <v>-8324.4246001599968</v>
      </c>
      <c r="Y69" s="525">
        <f t="shared" si="13"/>
        <v>-140930.00372137601</v>
      </c>
    </row>
    <row r="70" spans="3:38" x14ac:dyDescent="0.2">
      <c r="C70" s="387">
        <f t="shared" si="3"/>
        <v>43091</v>
      </c>
      <c r="D70" s="388">
        <f t="shared" si="4"/>
        <v>150304.21677419354</v>
      </c>
      <c r="E70" s="392">
        <f t="shared" si="5"/>
        <v>71342.851563000004</v>
      </c>
      <c r="F70" s="428">
        <f t="shared" si="6"/>
        <v>0.97219462999999995</v>
      </c>
      <c r="G70" s="390">
        <f t="shared" si="7"/>
        <v>69.359099999999998</v>
      </c>
      <c r="H70" s="391">
        <f t="shared" si="0"/>
        <v>221717.39963182356</v>
      </c>
      <c r="I70" s="324">
        <v>66794</v>
      </c>
      <c r="J70" s="706"/>
      <c r="K70" s="707"/>
      <c r="L70" s="319">
        <v>71342.851563000004</v>
      </c>
      <c r="M70" s="704"/>
      <c r="N70" s="704"/>
      <c r="O70" s="704"/>
      <c r="P70" s="392">
        <f t="shared" si="8"/>
        <v>71342.851563000004</v>
      </c>
      <c r="Q70" s="392">
        <f t="shared" si="1"/>
        <v>0</v>
      </c>
      <c r="R70" s="687">
        <f t="shared" si="2"/>
        <v>0</v>
      </c>
      <c r="S70" s="532">
        <v>68000.13</v>
      </c>
      <c r="T70" s="374"/>
      <c r="U70" s="520">
        <f t="shared" si="9"/>
        <v>1206.1300000000047</v>
      </c>
      <c r="V70" s="520">
        <f t="shared" si="10"/>
        <v>66794</v>
      </c>
      <c r="W70" s="520">
        <f t="shared" si="11"/>
        <v>75270.70359865253</v>
      </c>
      <c r="X70" s="520">
        <f t="shared" si="12"/>
        <v>-8476.7035986525298</v>
      </c>
      <c r="Y70" s="525">
        <f t="shared" si="13"/>
        <v>-149406.70732002854</v>
      </c>
    </row>
    <row r="71" spans="3:38" x14ac:dyDescent="0.2">
      <c r="C71" s="387">
        <f t="shared" si="3"/>
        <v>43092</v>
      </c>
      <c r="D71" s="388">
        <f t="shared" si="4"/>
        <v>150304.21677419354</v>
      </c>
      <c r="E71" s="392">
        <f t="shared" si="5"/>
        <v>71324.40625</v>
      </c>
      <c r="F71" s="428">
        <f t="shared" si="6"/>
        <v>0.97219462999999995</v>
      </c>
      <c r="G71" s="390">
        <f t="shared" si="7"/>
        <v>69.341200000000001</v>
      </c>
      <c r="H71" s="391">
        <f t="shared" si="0"/>
        <v>221698.93641882355</v>
      </c>
      <c r="I71" s="324">
        <v>66110</v>
      </c>
      <c r="J71" s="706"/>
      <c r="K71" s="707"/>
      <c r="L71" s="317">
        <v>71324.40625</v>
      </c>
      <c r="M71" s="704"/>
      <c r="N71" s="704"/>
      <c r="O71" s="704"/>
      <c r="P71" s="392">
        <f t="shared" si="8"/>
        <v>71324.40625</v>
      </c>
      <c r="Q71" s="392">
        <f t="shared" si="1"/>
        <v>0</v>
      </c>
      <c r="R71" s="687">
        <f t="shared" si="2"/>
        <v>0</v>
      </c>
      <c r="S71" s="532">
        <v>68000.13</v>
      </c>
      <c r="T71" s="374"/>
      <c r="U71" s="520">
        <f t="shared" si="9"/>
        <v>1890.1300000000047</v>
      </c>
      <c r="V71" s="520">
        <f t="shared" si="10"/>
        <v>66110</v>
      </c>
      <c r="W71" s="520">
        <f t="shared" si="11"/>
        <v>75251.242760499998</v>
      </c>
      <c r="X71" s="520">
        <f t="shared" si="12"/>
        <v>-9141.2427604999975</v>
      </c>
      <c r="Y71" s="525">
        <f t="shared" si="13"/>
        <v>-158547.95008052854</v>
      </c>
    </row>
    <row r="72" spans="3:38" x14ac:dyDescent="0.2">
      <c r="C72" s="387">
        <f t="shared" si="3"/>
        <v>43093</v>
      </c>
      <c r="D72" s="388">
        <f t="shared" si="4"/>
        <v>150304.21677419354</v>
      </c>
      <c r="E72" s="392">
        <f t="shared" si="5"/>
        <v>69326.695313000004</v>
      </c>
      <c r="F72" s="428">
        <f t="shared" si="6"/>
        <v>0.97219462999999995</v>
      </c>
      <c r="G72" s="390">
        <f t="shared" si="7"/>
        <v>67.399000000000001</v>
      </c>
      <c r="H72" s="391">
        <f t="shared" si="0"/>
        <v>219699.28328182356</v>
      </c>
      <c r="I72" s="324">
        <v>66110</v>
      </c>
      <c r="J72" s="706"/>
      <c r="K72" s="707"/>
      <c r="L72" s="319">
        <v>69326.695313000004</v>
      </c>
      <c r="M72" s="704"/>
      <c r="N72" s="704"/>
      <c r="O72" s="704"/>
      <c r="P72" s="392">
        <f t="shared" si="8"/>
        <v>69326.695313000004</v>
      </c>
      <c r="Q72" s="392">
        <f t="shared" si="1"/>
        <v>0</v>
      </c>
      <c r="R72" s="687">
        <f t="shared" si="2"/>
        <v>0</v>
      </c>
      <c r="S72" s="532">
        <v>68000.13</v>
      </c>
      <c r="T72" s="374"/>
      <c r="U72" s="520">
        <f t="shared" si="9"/>
        <v>1890.1300000000047</v>
      </c>
      <c r="V72" s="520">
        <f t="shared" si="10"/>
        <v>66110</v>
      </c>
      <c r="W72" s="520">
        <f t="shared" si="11"/>
        <v>73143.545850152528</v>
      </c>
      <c r="X72" s="520">
        <f t="shared" si="12"/>
        <v>-7033.5458501525281</v>
      </c>
      <c r="Y72" s="525">
        <f t="shared" si="13"/>
        <v>-165581.49593068106</v>
      </c>
    </row>
    <row r="73" spans="3:38" x14ac:dyDescent="0.2">
      <c r="C73" s="387">
        <f t="shared" si="3"/>
        <v>43094</v>
      </c>
      <c r="D73" s="388">
        <f t="shared" si="4"/>
        <v>150304.21677419354</v>
      </c>
      <c r="E73" s="392">
        <f t="shared" si="5"/>
        <v>71443.127685999978</v>
      </c>
      <c r="F73" s="428">
        <f t="shared" si="6"/>
        <v>0.97219462999999995</v>
      </c>
      <c r="G73" s="390">
        <f t="shared" si="7"/>
        <v>69.456599999999995</v>
      </c>
      <c r="H73" s="391">
        <f t="shared" si="0"/>
        <v>221817.77325482355</v>
      </c>
      <c r="I73" s="324">
        <v>66110</v>
      </c>
      <c r="J73" s="706"/>
      <c r="K73" s="707"/>
      <c r="L73" s="317">
        <v>71443.127685999978</v>
      </c>
      <c r="M73" s="704"/>
      <c r="N73" s="704"/>
      <c r="O73" s="704"/>
      <c r="P73" s="392">
        <f t="shared" si="8"/>
        <v>71443.127685999978</v>
      </c>
      <c r="Q73" s="392">
        <f t="shared" si="1"/>
        <v>0</v>
      </c>
      <c r="R73" s="687">
        <f t="shared" si="2"/>
        <v>0</v>
      </c>
      <c r="S73" s="532">
        <v>66999.63</v>
      </c>
      <c r="T73" s="374"/>
      <c r="U73" s="520">
        <f t="shared" si="9"/>
        <v>889.63000000000466</v>
      </c>
      <c r="V73" s="520">
        <f t="shared" si="10"/>
        <v>66110</v>
      </c>
      <c r="W73" s="520">
        <f t="shared" si="11"/>
        <v>75376.500523880386</v>
      </c>
      <c r="X73" s="520">
        <f t="shared" si="12"/>
        <v>-9266.500523880386</v>
      </c>
      <c r="Y73" s="525">
        <f t="shared" si="13"/>
        <v>-174847.99645456145</v>
      </c>
    </row>
    <row r="74" spans="3:38" x14ac:dyDescent="0.2">
      <c r="C74" s="387">
        <f t="shared" si="3"/>
        <v>43095</v>
      </c>
      <c r="D74" s="388">
        <f t="shared" si="4"/>
        <v>150304.21677419354</v>
      </c>
      <c r="E74" s="392">
        <f t="shared" si="5"/>
        <v>71102.28125</v>
      </c>
      <c r="F74" s="428">
        <f t="shared" si="6"/>
        <v>0.97219462999999995</v>
      </c>
      <c r="G74" s="390">
        <f t="shared" si="7"/>
        <v>69.125299999999996</v>
      </c>
      <c r="H74" s="391">
        <f t="shared" si="0"/>
        <v>221476.59551882357</v>
      </c>
      <c r="I74" s="324">
        <v>66110</v>
      </c>
      <c r="J74" s="706"/>
      <c r="K74" s="707"/>
      <c r="L74" s="319">
        <v>71102.28125</v>
      </c>
      <c r="M74" s="704"/>
      <c r="N74" s="704"/>
      <c r="O74" s="704"/>
      <c r="P74" s="392">
        <f t="shared" si="8"/>
        <v>71102.28125</v>
      </c>
      <c r="Q74" s="392">
        <f t="shared" si="1"/>
        <v>0</v>
      </c>
      <c r="R74" s="687">
        <f t="shared" si="2"/>
        <v>0</v>
      </c>
      <c r="S74" s="532">
        <v>66999.63</v>
      </c>
      <c r="T74" s="374"/>
      <c r="U74" s="520">
        <f t="shared" si="9"/>
        <v>889.63000000000466</v>
      </c>
      <c r="V74" s="520">
        <f t="shared" si="10"/>
        <v>66110</v>
      </c>
      <c r="W74" s="520">
        <f t="shared" si="11"/>
        <v>75016.888446500001</v>
      </c>
      <c r="X74" s="520">
        <f t="shared" si="12"/>
        <v>-8906.888446500001</v>
      </c>
      <c r="Y74" s="525">
        <f t="shared" si="13"/>
        <v>-183754.88490106145</v>
      </c>
    </row>
    <row r="75" spans="3:38" x14ac:dyDescent="0.2">
      <c r="C75" s="387">
        <f t="shared" si="3"/>
        <v>43096</v>
      </c>
      <c r="D75" s="388">
        <f t="shared" si="4"/>
        <v>150304.21677419354</v>
      </c>
      <c r="E75" s="392">
        <f t="shared" si="5"/>
        <v>71184.742188000004</v>
      </c>
      <c r="F75" s="428">
        <f t="shared" si="6"/>
        <v>0.97219462999999995</v>
      </c>
      <c r="G75" s="390">
        <f t="shared" si="7"/>
        <v>69.205399999999997</v>
      </c>
      <c r="H75" s="391">
        <f t="shared" si="0"/>
        <v>221559.13655682356</v>
      </c>
      <c r="I75" s="324">
        <v>66821</v>
      </c>
      <c r="J75" s="706"/>
      <c r="K75" s="707"/>
      <c r="L75" s="317">
        <v>71184.742188000004</v>
      </c>
      <c r="M75" s="704"/>
      <c r="N75" s="704"/>
      <c r="O75" s="704"/>
      <c r="P75" s="392">
        <f t="shared" si="8"/>
        <v>71184.742188000004</v>
      </c>
      <c r="Q75" s="392">
        <f t="shared" si="1"/>
        <v>0</v>
      </c>
      <c r="R75" s="687">
        <f t="shared" si="2"/>
        <v>0</v>
      </c>
      <c r="S75" s="532">
        <v>66999.63</v>
      </c>
      <c r="T75" s="374"/>
      <c r="U75" s="520">
        <f t="shared" si="9"/>
        <v>178.63000000000466</v>
      </c>
      <c r="V75" s="520">
        <f t="shared" si="10"/>
        <v>66821</v>
      </c>
      <c r="W75" s="520">
        <f t="shared" si="11"/>
        <v>75103.88935390253</v>
      </c>
      <c r="X75" s="520">
        <f t="shared" si="12"/>
        <v>-8282.8893539025303</v>
      </c>
      <c r="Y75" s="525">
        <f t="shared" si="13"/>
        <v>-192037.77425496397</v>
      </c>
    </row>
    <row r="76" spans="3:38" x14ac:dyDescent="0.2">
      <c r="C76" s="387">
        <f t="shared" si="3"/>
        <v>43097</v>
      </c>
      <c r="D76" s="388">
        <f t="shared" si="4"/>
        <v>150304.21677419354</v>
      </c>
      <c r="E76" s="392">
        <f t="shared" si="5"/>
        <v>71300.742188000004</v>
      </c>
      <c r="F76" s="428">
        <f t="shared" si="6"/>
        <v>0.97219462999999995</v>
      </c>
      <c r="G76" s="390">
        <f t="shared" si="7"/>
        <v>69.318200000000004</v>
      </c>
      <c r="H76" s="391">
        <f t="shared" si="0"/>
        <v>221675.24935682357</v>
      </c>
      <c r="I76" s="324">
        <v>66821</v>
      </c>
      <c r="J76" s="706"/>
      <c r="K76" s="707"/>
      <c r="L76" s="319">
        <v>71300.742188000004</v>
      </c>
      <c r="M76" s="704"/>
      <c r="N76" s="704"/>
      <c r="O76" s="704"/>
      <c r="P76" s="392">
        <f t="shared" si="8"/>
        <v>71300.742188000004</v>
      </c>
      <c r="Q76" s="392">
        <f t="shared" si="1"/>
        <v>0</v>
      </c>
      <c r="R76" s="687">
        <f t="shared" si="2"/>
        <v>0</v>
      </c>
      <c r="S76" s="532">
        <v>72999.73000000001</v>
      </c>
      <c r="T76" s="374"/>
      <c r="U76" s="520">
        <f t="shared" si="9"/>
        <v>6178.7300000000105</v>
      </c>
      <c r="V76" s="520">
        <f t="shared" si="10"/>
        <v>66821</v>
      </c>
      <c r="W76" s="520">
        <f t="shared" si="11"/>
        <v>75226.275849902537</v>
      </c>
      <c r="X76" s="520">
        <f t="shared" si="12"/>
        <v>-8405.2758499025367</v>
      </c>
      <c r="Y76" s="525">
        <f t="shared" si="13"/>
        <v>-200443.0501048665</v>
      </c>
    </row>
    <row r="77" spans="3:38" x14ac:dyDescent="0.2">
      <c r="C77" s="387">
        <f t="shared" si="3"/>
        <v>43098</v>
      </c>
      <c r="D77" s="388">
        <f t="shared" si="4"/>
        <v>150304.21677419354</v>
      </c>
      <c r="E77" s="392">
        <f t="shared" si="5"/>
        <v>71136.390625</v>
      </c>
      <c r="F77" s="428">
        <f t="shared" si="6"/>
        <v>0.97219462999999995</v>
      </c>
      <c r="G77" s="390">
        <f t="shared" si="7"/>
        <v>69.1584</v>
      </c>
      <c r="H77" s="391">
        <f t="shared" si="0"/>
        <v>221510.73799382354</v>
      </c>
      <c r="I77" s="324">
        <v>66189</v>
      </c>
      <c r="J77" s="706"/>
      <c r="K77" s="707"/>
      <c r="L77" s="317">
        <v>71136.390625</v>
      </c>
      <c r="M77" s="704"/>
      <c r="N77" s="704"/>
      <c r="O77" s="704"/>
      <c r="P77" s="392">
        <f t="shared" si="8"/>
        <v>71136.390625</v>
      </c>
      <c r="Q77" s="392">
        <f t="shared" si="1"/>
        <v>0</v>
      </c>
      <c r="R77" s="687">
        <f t="shared" si="2"/>
        <v>0</v>
      </c>
      <c r="S77" s="532">
        <v>72999.73000000001</v>
      </c>
      <c r="T77" s="374"/>
      <c r="U77" s="520">
        <f t="shared" si="9"/>
        <v>6810.7300000000105</v>
      </c>
      <c r="V77" s="520">
        <f t="shared" si="10"/>
        <v>66189</v>
      </c>
      <c r="W77" s="520">
        <f t="shared" si="11"/>
        <v>75052.87574725</v>
      </c>
      <c r="X77" s="520">
        <f t="shared" si="12"/>
        <v>-8863.8757472500001</v>
      </c>
      <c r="Y77" s="525">
        <f t="shared" si="13"/>
        <v>-209306.92585211649</v>
      </c>
    </row>
    <row r="78" spans="3:38" x14ac:dyDescent="0.2">
      <c r="C78" s="387">
        <f t="shared" si="3"/>
        <v>43099</v>
      </c>
      <c r="D78" s="388">
        <f t="shared" si="4"/>
        <v>150304.21677419354</v>
      </c>
      <c r="E78" s="392">
        <f t="shared" si="5"/>
        <v>69537.52221700002</v>
      </c>
      <c r="F78" s="428">
        <f t="shared" si="6"/>
        <v>0.97219462999999995</v>
      </c>
      <c r="G78" s="390">
        <f t="shared" si="7"/>
        <v>67.603999999999999</v>
      </c>
      <c r="H78" s="391">
        <f t="shared" si="0"/>
        <v>219910.31518582357</v>
      </c>
      <c r="I78" s="324">
        <v>66189</v>
      </c>
      <c r="J78" s="706"/>
      <c r="K78" s="707"/>
      <c r="L78" s="319">
        <v>69537.52221700002</v>
      </c>
      <c r="M78" s="704"/>
      <c r="N78" s="704"/>
      <c r="O78" s="704"/>
      <c r="P78" s="392">
        <f t="shared" si="8"/>
        <v>69537.52221700002</v>
      </c>
      <c r="Q78" s="392">
        <f t="shared" si="1"/>
        <v>0</v>
      </c>
      <c r="R78" s="687">
        <f t="shared" si="2"/>
        <v>0</v>
      </c>
      <c r="S78" s="532">
        <v>72999.73000000001</v>
      </c>
      <c r="T78" s="374"/>
      <c r="U78" s="520">
        <f t="shared" si="9"/>
        <v>6810.7300000000105</v>
      </c>
      <c r="V78" s="520">
        <f t="shared" si="10"/>
        <v>66189</v>
      </c>
      <c r="W78" s="520">
        <f t="shared" si="11"/>
        <v>73365.980040179173</v>
      </c>
      <c r="X78" s="520">
        <f t="shared" si="12"/>
        <v>-7176.9800401791726</v>
      </c>
      <c r="Y78" s="525">
        <f t="shared" si="13"/>
        <v>-216483.90589229565</v>
      </c>
    </row>
    <row r="79" spans="3:38" ht="15" thickBot="1" x14ac:dyDescent="0.25">
      <c r="C79" s="393">
        <f t="shared" si="3"/>
        <v>43100</v>
      </c>
      <c r="D79" s="394">
        <f t="shared" si="4"/>
        <v>150304.21677419354</v>
      </c>
      <c r="E79" s="395">
        <f>P79+Q79+R79</f>
        <v>65696.734375</v>
      </c>
      <c r="F79" s="429">
        <f>TRUNC(IFERROR(J$24/K$24,0),8)</f>
        <v>0.97219462999999995</v>
      </c>
      <c r="G79" s="396">
        <f>ROUND(I$24*F79*E79,4)</f>
        <v>63.87</v>
      </c>
      <c r="H79" s="397">
        <f>SUM(D79:G79)</f>
        <v>216065.79334382355</v>
      </c>
      <c r="I79" s="326">
        <v>66189</v>
      </c>
      <c r="J79" s="708"/>
      <c r="K79" s="709"/>
      <c r="L79" s="688">
        <v>65696.734375</v>
      </c>
      <c r="M79" s="705"/>
      <c r="N79" s="705"/>
      <c r="O79" s="705"/>
      <c r="P79" s="395">
        <f>L79</f>
        <v>65696.734375</v>
      </c>
      <c r="Q79" s="395">
        <f>M79+N79</f>
        <v>0</v>
      </c>
      <c r="R79" s="689">
        <f>O79</f>
        <v>0</v>
      </c>
      <c r="S79" s="560">
        <v>73000.73</v>
      </c>
      <c r="T79" s="376"/>
      <c r="U79" s="528">
        <f>S79+T79-V79</f>
        <v>6811.7299999999959</v>
      </c>
      <c r="V79" s="528">
        <f>I79+J79+K79</f>
        <v>66189</v>
      </c>
      <c r="W79" s="528">
        <f>(P79+Q79+R79)*1.055056</f>
        <v>69313.733782750001</v>
      </c>
      <c r="X79" s="528">
        <f>V79-W79</f>
        <v>-3124.7337827500014</v>
      </c>
      <c r="Y79" s="529">
        <f>Y78+X79</f>
        <v>-219608.63967504565</v>
      </c>
    </row>
    <row r="80" spans="3:38" ht="15" thickBot="1" x14ac:dyDescent="0.25">
      <c r="C80" s="398"/>
      <c r="D80" s="399">
        <f>SUM(D49:D79)</f>
        <v>4659430.72</v>
      </c>
      <c r="E80" s="400">
        <f>SUM(E49:E79)</f>
        <v>2169532.8396550003</v>
      </c>
      <c r="F80" s="400"/>
      <c r="G80" s="401">
        <f>SUM(G49:G79)</f>
        <v>2109.2080000000005</v>
      </c>
      <c r="H80" s="399">
        <f>SUM(H49:H79)</f>
        <v>6831102.9056885308</v>
      </c>
      <c r="I80" s="432">
        <f>SUM(I49:I79)</f>
        <v>2069370</v>
      </c>
      <c r="J80" s="432">
        <f t="shared" ref="J80:R80" si="14">SUM(J49:J79)</f>
        <v>0</v>
      </c>
      <c r="K80" s="432">
        <f t="shared" si="14"/>
        <v>0</v>
      </c>
      <c r="L80" s="432">
        <f t="shared" si="14"/>
        <v>2169532.8396550003</v>
      </c>
      <c r="M80" s="432">
        <f t="shared" si="14"/>
        <v>0</v>
      </c>
      <c r="N80" s="432">
        <f t="shared" si="14"/>
        <v>0</v>
      </c>
      <c r="O80" s="432">
        <f t="shared" si="14"/>
        <v>0</v>
      </c>
      <c r="P80" s="432">
        <f t="shared" si="14"/>
        <v>2169532.8396550003</v>
      </c>
      <c r="Q80" s="432">
        <f t="shared" si="14"/>
        <v>0</v>
      </c>
      <c r="R80" s="432">
        <f t="shared" si="14"/>
        <v>0</v>
      </c>
      <c r="S80" s="361">
        <f>SUM(S49:S79)</f>
        <v>2022998.4299999997</v>
      </c>
      <c r="U80" s="530"/>
      <c r="V80" s="328">
        <f>SUM(V49:V79)</f>
        <v>2069370</v>
      </c>
      <c r="W80" s="328">
        <f>SUM(W49:W79)</f>
        <v>2288978.6396750459</v>
      </c>
      <c r="X80" s="328">
        <f>SUM(X49:X79)</f>
        <v>-219608.63967504565</v>
      </c>
      <c r="Y80" s="695">
        <f>Y79</f>
        <v>-219608.63967504565</v>
      </c>
      <c r="AL80" s="361">
        <f>Y79</f>
        <v>-219608.63967504565</v>
      </c>
    </row>
    <row r="81" spans="2:14" ht="15" customHeight="1" x14ac:dyDescent="0.2">
      <c r="B81"/>
      <c r="C81"/>
      <c r="D81"/>
      <c r="E81"/>
      <c r="F81"/>
      <c r="G81"/>
      <c r="H81"/>
      <c r="I81"/>
      <c r="J81"/>
      <c r="K81"/>
      <c r="L81"/>
      <c r="N81" s="2"/>
    </row>
  </sheetData>
  <mergeCells count="12">
    <mergeCell ref="C10:D10"/>
    <mergeCell ref="C11:D11"/>
    <mergeCell ref="C3:M4"/>
    <mergeCell ref="C5:M5"/>
    <mergeCell ref="C6:M6"/>
    <mergeCell ref="G7:H7"/>
    <mergeCell ref="C9:D9"/>
    <mergeCell ref="D23:E23"/>
    <mergeCell ref="D24:E24"/>
    <mergeCell ref="C28:F28"/>
    <mergeCell ref="C39:F39"/>
    <mergeCell ref="S47:Y47"/>
  </mergeCells>
  <conditionalFormatting sqref="L49:O79">
    <cfRule type="cellIs" dxfId="114" priority="1" stopIfTrue="1" operator="equal">
      <formula>0</formula>
    </cfRule>
  </conditionalFormatting>
  <printOptions horizontalCentered="1"/>
  <pageMargins left="0" right="0.70866141732283472" top="0.15748031496062992" bottom="0.35433070866141736" header="0.31496062992125984" footer="0.31496062992125984"/>
  <pageSetup scale="81" orientation="landscape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2:AL93"/>
  <sheetViews>
    <sheetView topLeftCell="A5" workbookViewId="0"/>
  </sheetViews>
  <sheetFormatPr baseColWidth="10" defaultColWidth="11" defaultRowHeight="12" x14ac:dyDescent="0.2"/>
  <cols>
    <col min="1" max="1" width="11" style="1178"/>
    <col min="2" max="2" width="3.875" style="1178" bestFit="1" customWidth="1"/>
    <col min="3" max="3" width="16.125" style="1178" customWidth="1"/>
    <col min="4" max="4" width="12.5" style="1178" bestFit="1" customWidth="1"/>
    <col min="5" max="5" width="12.125" style="1178" customWidth="1"/>
    <col min="6" max="6" width="17.125" style="1178" bestFit="1" customWidth="1"/>
    <col min="7" max="7" width="13.125" style="1178" bestFit="1" customWidth="1"/>
    <col min="8" max="8" width="12.125" style="1178" bestFit="1" customWidth="1"/>
    <col min="9" max="9" width="21.625" style="1178" customWidth="1"/>
    <col min="10" max="10" width="13.125" style="1178" customWidth="1"/>
    <col min="11" max="11" width="11.625" style="1178" bestFit="1" customWidth="1"/>
    <col min="12" max="12" width="16" style="1178" customWidth="1"/>
    <col min="13" max="13" width="14.125" style="1178" bestFit="1" customWidth="1"/>
    <col min="14" max="14" width="15.125" style="1176" bestFit="1" customWidth="1"/>
    <col min="15" max="16" width="11.125" style="1178" bestFit="1" customWidth="1"/>
    <col min="17" max="17" width="12.625" style="1178" bestFit="1" customWidth="1"/>
    <col min="18" max="18" width="10.875" style="1178" customWidth="1"/>
    <col min="19" max="19" width="11.625" style="1178" bestFit="1" customWidth="1"/>
    <col min="20" max="20" width="11.125" style="1178" bestFit="1" customWidth="1"/>
    <col min="21" max="21" width="14.125" style="1178" customWidth="1"/>
    <col min="22" max="23" width="11.125" style="1178" bestFit="1" customWidth="1"/>
    <col min="24" max="24" width="13.625" style="1178" bestFit="1" customWidth="1"/>
    <col min="25" max="25" width="12.625" style="1178" bestFit="1" customWidth="1"/>
    <col min="26" max="26" width="11.125" style="1179" bestFit="1" customWidth="1"/>
    <col min="27" max="32" width="11" style="1179"/>
    <col min="33" max="37" width="11" style="1178"/>
    <col min="38" max="38" width="11.125" style="1178" bestFit="1" customWidth="1"/>
    <col min="39" max="16384" width="11" style="1178"/>
  </cols>
  <sheetData>
    <row r="2" spans="2:25" x14ac:dyDescent="0.2">
      <c r="B2" s="1176"/>
      <c r="C2" s="1177"/>
      <c r="D2" s="1177"/>
      <c r="E2" s="1177"/>
      <c r="F2" s="1177"/>
      <c r="G2" s="1177"/>
      <c r="H2" s="1177"/>
      <c r="I2" s="1177"/>
      <c r="J2" s="1177"/>
      <c r="K2" s="1177"/>
      <c r="L2" s="1177"/>
      <c r="M2" s="1177"/>
      <c r="N2" s="1177"/>
    </row>
    <row r="3" spans="2:25" ht="15" customHeight="1" x14ac:dyDescent="0.2">
      <c r="B3" s="1176"/>
      <c r="C3" s="2287"/>
      <c r="D3" s="2287"/>
      <c r="E3" s="2287"/>
      <c r="F3" s="2287"/>
      <c r="G3" s="2287"/>
      <c r="H3" s="2287"/>
      <c r="I3" s="2287"/>
      <c r="J3" s="2287"/>
      <c r="K3" s="2287"/>
      <c r="L3" s="2287"/>
      <c r="M3" s="2287"/>
      <c r="N3" s="1177"/>
    </row>
    <row r="4" spans="2:25" ht="15" customHeight="1" x14ac:dyDescent="0.2">
      <c r="B4" s="1176"/>
      <c r="C4" s="2287"/>
      <c r="D4" s="2287"/>
      <c r="E4" s="2287"/>
      <c r="F4" s="2287"/>
      <c r="G4" s="2287"/>
      <c r="H4" s="2287"/>
      <c r="I4" s="2287"/>
      <c r="J4" s="2287"/>
      <c r="K4" s="2287"/>
      <c r="L4" s="2287"/>
      <c r="M4" s="2287"/>
      <c r="N4" s="1177"/>
    </row>
    <row r="5" spans="2:25" x14ac:dyDescent="0.2">
      <c r="B5" s="1176"/>
      <c r="C5" s="2288"/>
      <c r="D5" s="2288"/>
      <c r="E5" s="2288"/>
      <c r="F5" s="2288"/>
      <c r="G5" s="2288"/>
      <c r="H5" s="2288"/>
      <c r="I5" s="2288"/>
      <c r="J5" s="2288"/>
      <c r="K5" s="2288"/>
      <c r="L5" s="2288"/>
      <c r="M5" s="2288"/>
      <c r="N5" s="1177"/>
    </row>
    <row r="6" spans="2:25" x14ac:dyDescent="0.2">
      <c r="B6" s="1176"/>
      <c r="C6" s="2288"/>
      <c r="D6" s="2288"/>
      <c r="E6" s="2288"/>
      <c r="F6" s="2288"/>
      <c r="G6" s="2288"/>
      <c r="H6" s="2288"/>
      <c r="I6" s="2288"/>
      <c r="J6" s="2288"/>
      <c r="K6" s="2288"/>
      <c r="L6" s="2288"/>
      <c r="M6" s="2288"/>
      <c r="N6" s="1177"/>
    </row>
    <row r="7" spans="2:25" x14ac:dyDescent="0.2">
      <c r="B7" s="1176"/>
      <c r="C7" s="1180">
        <v>43101</v>
      </c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76"/>
      <c r="S7" s="1176"/>
      <c r="T7" s="1176"/>
      <c r="U7" s="1176"/>
      <c r="V7" s="1176"/>
      <c r="W7" s="1176"/>
      <c r="X7" s="1176"/>
      <c r="Y7" s="1176"/>
    </row>
    <row r="8" spans="2:25" ht="19.5" customHeight="1" x14ac:dyDescent="0.2">
      <c r="B8" s="1176"/>
      <c r="C8" s="1181"/>
      <c r="D8" s="1181"/>
      <c r="E8" s="1181"/>
      <c r="F8" s="1181"/>
      <c r="G8" s="1181"/>
      <c r="H8" s="1181"/>
      <c r="I8" s="1181"/>
      <c r="J8" s="1181"/>
      <c r="K8" s="1181"/>
      <c r="L8" s="1181"/>
      <c r="M8" s="1177"/>
      <c r="N8" s="1177"/>
      <c r="O8" s="1176"/>
      <c r="P8" s="1176"/>
      <c r="Q8" s="1176"/>
      <c r="R8" s="1176"/>
      <c r="S8" s="1176"/>
      <c r="T8" s="1176"/>
      <c r="U8" s="1176"/>
      <c r="V8" s="1176"/>
      <c r="W8" s="1176"/>
      <c r="X8" s="1176"/>
      <c r="Y8" s="1176"/>
    </row>
    <row r="9" spans="2:25" ht="19.5" customHeight="1" x14ac:dyDescent="0.2">
      <c r="B9" s="1176"/>
      <c r="C9" s="1181"/>
      <c r="D9" s="1181"/>
      <c r="E9" s="1181"/>
      <c r="F9" s="1181"/>
      <c r="G9" s="1181"/>
      <c r="H9" s="1181"/>
      <c r="I9" s="1181"/>
      <c r="J9" s="1181"/>
      <c r="K9" s="1181"/>
      <c r="L9" s="1181"/>
      <c r="M9" s="1177"/>
      <c r="N9" s="1177"/>
      <c r="O9" s="1176"/>
      <c r="P9" s="1176"/>
      <c r="Q9" s="1176"/>
      <c r="R9" s="1176"/>
      <c r="S9" s="1176"/>
      <c r="T9" s="1176"/>
      <c r="U9" s="1176"/>
      <c r="V9" s="1176"/>
      <c r="W9" s="1176"/>
      <c r="X9" s="1176"/>
      <c r="Y9" s="1176"/>
    </row>
    <row r="10" spans="2:25" ht="19.5" customHeight="1" x14ac:dyDescent="0.2">
      <c r="B10" s="1176"/>
      <c r="C10" s="1181"/>
      <c r="D10" s="1181"/>
      <c r="E10" s="1181"/>
      <c r="F10" s="1181"/>
      <c r="G10" s="1181"/>
      <c r="H10" s="1181"/>
      <c r="I10" s="1181"/>
      <c r="J10" s="1181"/>
      <c r="K10" s="1181"/>
      <c r="L10" s="1181"/>
      <c r="M10" s="1177"/>
      <c r="N10" s="1177"/>
      <c r="O10" s="1176"/>
      <c r="P10" s="1176"/>
      <c r="Q10" s="1176"/>
      <c r="R10" s="1176"/>
      <c r="S10" s="1176"/>
      <c r="T10" s="1176"/>
      <c r="U10" s="1176"/>
      <c r="V10" s="1176"/>
      <c r="W10" s="1176"/>
      <c r="X10" s="1176"/>
      <c r="Y10" s="1176"/>
    </row>
    <row r="11" spans="2:25" ht="19.5" customHeight="1" x14ac:dyDescent="0.2">
      <c r="B11" s="1176"/>
      <c r="C11" s="1181"/>
      <c r="D11" s="1181"/>
      <c r="E11" s="1181"/>
      <c r="F11" s="1181"/>
      <c r="G11" s="1181"/>
      <c r="H11" s="1181"/>
      <c r="I11" s="1181"/>
      <c r="J11" s="1181"/>
      <c r="K11" s="1181"/>
      <c r="L11" s="1181"/>
      <c r="M11" s="1177"/>
      <c r="N11" s="1177"/>
      <c r="O11" s="1176"/>
      <c r="P11" s="1176"/>
      <c r="Q11" s="1176"/>
      <c r="R11" s="1176"/>
      <c r="S11" s="1176"/>
      <c r="T11" s="1176"/>
      <c r="U11" s="1176"/>
      <c r="V11" s="1176"/>
      <c r="W11" s="1176"/>
      <c r="X11" s="1176"/>
      <c r="Y11" s="1176"/>
    </row>
    <row r="12" spans="2:25" ht="19.5" customHeight="1" x14ac:dyDescent="0.2">
      <c r="B12" s="1176"/>
      <c r="C12" s="1181"/>
      <c r="D12" s="1181"/>
      <c r="E12" s="1181"/>
      <c r="F12" s="1181"/>
      <c r="G12" s="1181"/>
      <c r="H12" s="1181"/>
      <c r="I12" s="1181"/>
      <c r="J12" s="1181"/>
      <c r="K12" s="1181"/>
      <c r="L12" s="1181"/>
      <c r="M12" s="1177"/>
      <c r="N12" s="1177"/>
      <c r="O12" s="1176"/>
      <c r="P12" s="1176"/>
      <c r="Q12" s="1176"/>
      <c r="R12" s="1176"/>
      <c r="S12" s="1176"/>
      <c r="T12" s="1176"/>
      <c r="U12" s="1176"/>
      <c r="V12" s="1176"/>
      <c r="W12" s="1176"/>
      <c r="X12" s="1176"/>
      <c r="Y12" s="1176"/>
    </row>
    <row r="13" spans="2:25" ht="19.5" customHeight="1" thickBot="1" x14ac:dyDescent="0.25">
      <c r="B13" s="1176"/>
      <c r="C13" s="1181"/>
      <c r="D13" s="1181"/>
      <c r="E13" s="1181"/>
      <c r="F13" s="1181"/>
      <c r="G13" s="1181"/>
      <c r="H13" s="1181"/>
      <c r="I13" s="1181"/>
      <c r="J13" s="1181"/>
      <c r="K13" s="1181"/>
      <c r="L13" s="1181"/>
      <c r="M13" s="1177"/>
      <c r="N13" s="1177"/>
      <c r="O13" s="1176"/>
      <c r="P13" s="1176"/>
      <c r="Q13" s="1176"/>
      <c r="R13" s="1176"/>
      <c r="S13" s="1176"/>
      <c r="T13" s="1176"/>
      <c r="U13" s="1176"/>
      <c r="V13" s="1176"/>
      <c r="W13" s="1176"/>
      <c r="X13" s="1176"/>
      <c r="Y13" s="1176"/>
    </row>
    <row r="14" spans="2:25" ht="24.75" thickBot="1" x14ac:dyDescent="0.25">
      <c r="B14" s="1176"/>
      <c r="C14" s="2289" t="s">
        <v>6</v>
      </c>
      <c r="D14" s="2290"/>
      <c r="E14" s="2291"/>
      <c r="F14" s="1182" t="s">
        <v>227</v>
      </c>
      <c r="G14" s="1182" t="s">
        <v>230</v>
      </c>
      <c r="H14" s="1182" t="s">
        <v>228</v>
      </c>
      <c r="I14" s="1182" t="s">
        <v>229</v>
      </c>
      <c r="J14" s="1183" t="s">
        <v>126</v>
      </c>
      <c r="K14" s="1183" t="s">
        <v>133</v>
      </c>
      <c r="L14" s="1182" t="s">
        <v>127</v>
      </c>
      <c r="M14" s="1182" t="s">
        <v>128</v>
      </c>
      <c r="N14" s="1177"/>
      <c r="O14" s="1176"/>
      <c r="P14" s="1176"/>
      <c r="Q14" s="1176"/>
      <c r="R14" s="1176"/>
      <c r="S14" s="1176"/>
      <c r="T14" s="1176"/>
      <c r="U14" s="1176"/>
      <c r="V14" s="1176"/>
      <c r="W14" s="1176"/>
      <c r="X14" s="1176"/>
      <c r="Y14" s="1176"/>
    </row>
    <row r="15" spans="2:25" ht="12.75" thickBot="1" x14ac:dyDescent="0.25">
      <c r="B15" s="1176"/>
      <c r="C15" s="2283" t="s">
        <v>131</v>
      </c>
      <c r="D15" s="2283"/>
      <c r="E15" s="2283"/>
      <c r="F15" s="1184"/>
      <c r="G15" s="1185" t="s">
        <v>165</v>
      </c>
      <c r="H15" s="1186"/>
      <c r="I15" s="1187">
        <f>IF(D92=0,E92,D92)</f>
        <v>4659430.72</v>
      </c>
      <c r="J15" s="1188">
        <f>I15*0.16</f>
        <v>745508.91519999993</v>
      </c>
      <c r="K15" s="1188">
        <f>I15+J15</f>
        <v>5404939.6351999994</v>
      </c>
      <c r="L15" s="1189" t="s">
        <v>231</v>
      </c>
      <c r="M15" s="1739">
        <v>18.565899999999999</v>
      </c>
      <c r="O15" s="1176"/>
      <c r="P15" s="1176"/>
      <c r="Q15" s="1176"/>
      <c r="R15" s="1176"/>
      <c r="S15" s="1176"/>
      <c r="T15" s="1176"/>
      <c r="U15" s="1176"/>
      <c r="V15" s="1176"/>
      <c r="W15" s="1176"/>
      <c r="X15" s="1176"/>
      <c r="Y15" s="1176"/>
    </row>
    <row r="16" spans="2:25" ht="14.25" customHeight="1" thickBot="1" x14ac:dyDescent="0.25">
      <c r="B16" s="1176"/>
      <c r="C16" s="2283" t="s">
        <v>132</v>
      </c>
      <c r="D16" s="2283"/>
      <c r="E16" s="2283"/>
      <c r="F16" s="1184"/>
      <c r="G16" s="1185" t="s">
        <v>165</v>
      </c>
      <c r="H16" s="1186"/>
      <c r="I16" s="1187">
        <f>IF(D93=0,E93,D93)</f>
        <v>2063.1999999999998</v>
      </c>
      <c r="J16" s="1188">
        <f>I16*0.16</f>
        <v>330.11199999999997</v>
      </c>
      <c r="K16" s="1188">
        <f>I16+J16</f>
        <v>2393.3119999999999</v>
      </c>
      <c r="L16" s="1189" t="s">
        <v>231</v>
      </c>
      <c r="M16" s="1739">
        <v>18.565899999999999</v>
      </c>
      <c r="O16" s="1176"/>
      <c r="P16" s="1176"/>
      <c r="Q16" s="1176"/>
      <c r="R16" s="1176"/>
      <c r="S16" s="1176"/>
      <c r="T16" s="1176"/>
      <c r="U16" s="1176"/>
      <c r="V16" s="1176"/>
      <c r="W16" s="1176"/>
      <c r="X16" s="1176"/>
      <c r="Y16" s="1176"/>
    </row>
    <row r="17" spans="2:32" x14ac:dyDescent="0.2">
      <c r="B17" s="1176"/>
      <c r="C17" s="1181"/>
      <c r="D17" s="1181"/>
      <c r="E17" s="1181"/>
      <c r="F17" s="1181"/>
      <c r="G17" s="1181"/>
      <c r="H17" s="1176"/>
      <c r="I17" s="1176"/>
      <c r="J17" s="1176"/>
      <c r="K17" s="1176"/>
      <c r="L17" s="1176"/>
      <c r="M17" s="1176"/>
      <c r="O17" s="1176"/>
      <c r="P17" s="1176"/>
      <c r="Q17" s="1176"/>
      <c r="R17" s="1176"/>
      <c r="S17" s="1176"/>
      <c r="T17" s="1176"/>
      <c r="U17" s="1176"/>
      <c r="V17" s="1176"/>
      <c r="W17" s="1176"/>
      <c r="X17" s="1176"/>
      <c r="Y17" s="1176"/>
    </row>
    <row r="18" spans="2:32" x14ac:dyDescent="0.2">
      <c r="B18" s="1176"/>
      <c r="C18" s="1181"/>
      <c r="D18" s="1181"/>
      <c r="E18" s="1181"/>
      <c r="F18" s="1181"/>
      <c r="G18" s="1181"/>
      <c r="H18" s="1176"/>
      <c r="I18" s="1176"/>
      <c r="J18" s="1176"/>
      <c r="K18" s="1176"/>
      <c r="L18" s="1176"/>
      <c r="O18" s="1176"/>
      <c r="P18" s="1176"/>
      <c r="Q18" s="1176"/>
      <c r="R18" s="1176"/>
      <c r="S18" s="1176"/>
      <c r="T18" s="1176"/>
      <c r="U18" s="1176"/>
      <c r="V18" s="1176"/>
      <c r="W18" s="1176"/>
      <c r="X18" s="1176"/>
      <c r="Y18" s="1176"/>
    </row>
    <row r="19" spans="2:32" ht="12.75" thickBot="1" x14ac:dyDescent="0.25">
      <c r="B19" s="1176"/>
      <c r="C19" s="1190" t="s">
        <v>137</v>
      </c>
      <c r="D19" s="1181" t="s">
        <v>138</v>
      </c>
      <c r="E19" s="1181"/>
      <c r="F19" s="1181" t="s">
        <v>139</v>
      </c>
      <c r="G19" s="1181" t="s">
        <v>3</v>
      </c>
      <c r="H19" s="1181" t="s">
        <v>364</v>
      </c>
      <c r="I19" s="1181" t="s">
        <v>365</v>
      </c>
      <c r="J19" s="1181" t="s">
        <v>245</v>
      </c>
      <c r="K19" s="1181" t="s">
        <v>246</v>
      </c>
      <c r="L19" s="1181" t="s">
        <v>247</v>
      </c>
      <c r="M19" s="1181" t="s">
        <v>145</v>
      </c>
      <c r="N19" s="1181"/>
      <c r="O19" s="1181"/>
      <c r="P19" s="1181"/>
      <c r="Q19" s="1176"/>
      <c r="R19" s="1176"/>
      <c r="S19" s="1176"/>
      <c r="T19" s="1176"/>
      <c r="U19" s="1176"/>
      <c r="V19" s="1176"/>
      <c r="W19" s="1176"/>
      <c r="X19" s="1176"/>
      <c r="Y19" s="1176"/>
    </row>
    <row r="20" spans="2:32" ht="48.75" thickBot="1" x14ac:dyDescent="0.25">
      <c r="B20" s="1176"/>
      <c r="C20" s="1191" t="s">
        <v>134</v>
      </c>
      <c r="D20" s="1191" t="s">
        <v>135</v>
      </c>
      <c r="E20" s="1191"/>
      <c r="F20" s="1191" t="s">
        <v>136</v>
      </c>
      <c r="G20" s="1191" t="s">
        <v>153</v>
      </c>
      <c r="H20" s="1191" t="s">
        <v>129</v>
      </c>
      <c r="I20" s="1191" t="s">
        <v>130</v>
      </c>
      <c r="J20" s="1191"/>
      <c r="K20" s="1191"/>
      <c r="L20" s="1191"/>
      <c r="M20" s="1191" t="s">
        <v>158</v>
      </c>
      <c r="N20" s="1181"/>
      <c r="O20" s="1181"/>
      <c r="P20" s="1181"/>
      <c r="Q20" s="1181"/>
      <c r="R20" s="1181"/>
      <c r="S20" s="1181"/>
      <c r="T20" s="1181"/>
      <c r="U20" s="1176"/>
      <c r="V20" s="1176"/>
      <c r="W20" s="1176"/>
      <c r="X20" s="1176"/>
      <c r="Y20" s="1176"/>
    </row>
    <row r="21" spans="2:32" ht="12.75" thickBot="1" x14ac:dyDescent="0.25">
      <c r="B21" s="1176"/>
      <c r="C21" s="1192">
        <v>850</v>
      </c>
      <c r="D21" s="1192">
        <v>850</v>
      </c>
      <c r="E21" s="1192"/>
      <c r="F21" s="1193">
        <v>31482640</v>
      </c>
      <c r="G21" s="1194">
        <v>31</v>
      </c>
      <c r="H21" s="1737">
        <f>VLOOKUP(C56,Tarifas!D4:H303,3)</f>
        <v>0.14799999999999999</v>
      </c>
      <c r="I21" s="1738">
        <f>VLOOKUP(C56,Tarifas!D4:H303,5)</f>
        <v>1E-3</v>
      </c>
      <c r="J21" s="1737">
        <v>196.4</v>
      </c>
      <c r="K21" s="1737">
        <v>201.4</v>
      </c>
      <c r="L21" s="1194"/>
      <c r="M21" s="1195">
        <f>E89</f>
        <v>2116351.3299999996</v>
      </c>
      <c r="N21" s="1196"/>
      <c r="O21" s="1196"/>
      <c r="P21" s="1181"/>
      <c r="Q21" s="1181"/>
      <c r="R21" s="1181"/>
      <c r="S21" s="1181"/>
      <c r="T21" s="1181"/>
      <c r="U21" s="1176"/>
      <c r="V21" s="1176"/>
      <c r="W21" s="1176"/>
      <c r="X21" s="1176"/>
      <c r="Y21" s="1176"/>
    </row>
    <row r="22" spans="2:32" x14ac:dyDescent="0.2">
      <c r="B22" s="1176"/>
      <c r="C22" s="1181"/>
      <c r="D22" s="1181"/>
      <c r="E22" s="1181"/>
      <c r="F22" s="1181"/>
      <c r="G22" s="1181"/>
      <c r="H22" s="1181"/>
      <c r="I22" s="1181"/>
      <c r="J22" s="1197" t="s">
        <v>62</v>
      </c>
      <c r="K22" s="1181"/>
      <c r="L22" s="1181"/>
      <c r="M22" s="1181"/>
      <c r="N22" s="1181"/>
      <c r="O22" s="1181"/>
      <c r="P22" s="1181"/>
      <c r="Q22" s="1181"/>
      <c r="R22" s="1181"/>
      <c r="S22" s="1176"/>
      <c r="T22" s="1176"/>
      <c r="U22" s="1176"/>
      <c r="V22" s="1176"/>
      <c r="W22" s="1176"/>
      <c r="X22" s="1176"/>
      <c r="Y22" s="1176"/>
    </row>
    <row r="23" spans="2:32" x14ac:dyDescent="0.2">
      <c r="B23" s="1176"/>
      <c r="C23" s="1181"/>
      <c r="D23" s="1181"/>
      <c r="E23" s="1181"/>
      <c r="F23" s="1181"/>
      <c r="G23" s="1181"/>
      <c r="H23" s="1181"/>
      <c r="I23" s="1181"/>
      <c r="J23" s="1181"/>
      <c r="K23" s="1181"/>
      <c r="L23" s="1181"/>
      <c r="M23" s="1181"/>
      <c r="N23" s="1181"/>
      <c r="O23" s="1181"/>
      <c r="P23" s="1176"/>
      <c r="Q23" s="1176"/>
      <c r="R23" s="1176"/>
      <c r="S23" s="1176"/>
      <c r="T23" s="1176"/>
      <c r="U23" s="1176"/>
      <c r="V23" s="1176"/>
      <c r="W23" s="1176"/>
      <c r="X23" s="1176"/>
      <c r="Y23" s="1176"/>
    </row>
    <row r="24" spans="2:32" x14ac:dyDescent="0.2">
      <c r="B24" s="1176"/>
      <c r="C24" s="1181"/>
      <c r="D24" s="1181"/>
      <c r="E24" s="1181"/>
      <c r="F24" s="1181"/>
      <c r="G24" s="1181"/>
      <c r="H24" s="1181"/>
      <c r="I24" s="1181"/>
      <c r="J24" s="1181"/>
      <c r="K24" s="1181"/>
      <c r="L24" s="1181"/>
      <c r="M24" s="1181"/>
      <c r="N24" s="1181"/>
      <c r="O24" s="1176"/>
      <c r="P24" s="1176"/>
      <c r="Q24" s="1198" t="s">
        <v>235</v>
      </c>
      <c r="R24" s="1176"/>
      <c r="S24" s="1176"/>
      <c r="T24" s="1176"/>
      <c r="U24" s="1176"/>
      <c r="V24" s="1176"/>
      <c r="W24" s="1176"/>
      <c r="X24" s="1179"/>
      <c r="Y24" s="1179"/>
      <c r="AE24" s="1178"/>
      <c r="AF24" s="1178"/>
    </row>
    <row r="25" spans="2:32" ht="12.75" thickBot="1" x14ac:dyDescent="0.25">
      <c r="B25" s="1176"/>
      <c r="C25" s="1199" t="s">
        <v>86</v>
      </c>
      <c r="D25" s="1199"/>
      <c r="E25" s="1199"/>
      <c r="F25" s="1199"/>
      <c r="G25" s="1199"/>
      <c r="H25" s="1200"/>
      <c r="I25" s="1199"/>
      <c r="J25" s="1199"/>
      <c r="K25" s="1199"/>
      <c r="L25" s="1200"/>
      <c r="M25" s="1201"/>
      <c r="N25" s="1202"/>
      <c r="P25" s="1199" t="s">
        <v>86</v>
      </c>
      <c r="Q25" s="1176"/>
      <c r="R25" s="1176"/>
      <c r="S25" s="1176"/>
      <c r="T25" s="1176"/>
      <c r="U25" s="1176"/>
      <c r="V25" s="1176"/>
      <c r="W25" s="1176"/>
      <c r="X25" s="1179"/>
      <c r="Y25" s="1179"/>
      <c r="Z25" s="1203">
        <v>0</v>
      </c>
      <c r="AE25" s="1178"/>
      <c r="AF25" s="1178"/>
    </row>
    <row r="26" spans="2:32" ht="24.75" thickBot="1" x14ac:dyDescent="0.25">
      <c r="B26" s="1176"/>
      <c r="C26" s="1191" t="s">
        <v>87</v>
      </c>
      <c r="D26" s="1182" t="s">
        <v>88</v>
      </c>
      <c r="E26" s="1182" t="s">
        <v>237</v>
      </c>
      <c r="F26" s="1183" t="s">
        <v>160</v>
      </c>
      <c r="G26" s="1182" t="s">
        <v>236</v>
      </c>
      <c r="H26" s="1183" t="s">
        <v>232</v>
      </c>
      <c r="I26" s="1183" t="s">
        <v>233</v>
      </c>
      <c r="J26" s="1183" t="s">
        <v>20</v>
      </c>
      <c r="K26" s="1191" t="s">
        <v>91</v>
      </c>
      <c r="L26" s="1182" t="s">
        <v>93</v>
      </c>
      <c r="M26" s="1182" t="s">
        <v>94</v>
      </c>
      <c r="N26" s="1183" t="s">
        <v>95</v>
      </c>
      <c r="P26" s="1182" t="s">
        <v>237</v>
      </c>
      <c r="Q26" s="1183" t="s">
        <v>160</v>
      </c>
      <c r="R26" s="1182" t="s">
        <v>236</v>
      </c>
      <c r="S26" s="1183" t="s">
        <v>232</v>
      </c>
      <c r="T26" s="1183" t="s">
        <v>233</v>
      </c>
      <c r="U26" s="1183" t="s">
        <v>20</v>
      </c>
      <c r="V26" s="1191" t="s">
        <v>91</v>
      </c>
      <c r="W26" s="1182" t="s">
        <v>93</v>
      </c>
      <c r="X26" s="1182" t="s">
        <v>94</v>
      </c>
      <c r="Y26" s="1182" t="s">
        <v>95</v>
      </c>
      <c r="Z26" s="1202"/>
      <c r="AE26" s="1178"/>
      <c r="AF26" s="1178"/>
    </row>
    <row r="27" spans="2:32" ht="20.100000000000001" customHeight="1" thickBot="1" x14ac:dyDescent="0.25">
      <c r="B27" s="1176"/>
      <c r="C27" s="1192" t="s">
        <v>101</v>
      </c>
      <c r="D27" s="1192" t="s">
        <v>101</v>
      </c>
      <c r="E27" s="1192"/>
      <c r="F27" s="1192" t="s">
        <v>101</v>
      </c>
      <c r="G27" s="1192" t="s">
        <v>101</v>
      </c>
      <c r="H27" s="1192"/>
      <c r="I27" s="1192"/>
      <c r="J27" s="1204" t="s">
        <v>97</v>
      </c>
      <c r="K27" s="1193">
        <v>0</v>
      </c>
      <c r="L27" s="1205">
        <v>0</v>
      </c>
      <c r="M27" s="1216">
        <f>ROUND(L27*H$15,2)</f>
        <v>0</v>
      </c>
      <c r="N27" s="1216">
        <f>M27*$M$15</f>
        <v>0</v>
      </c>
      <c r="P27" s="1192"/>
      <c r="Q27" s="1192" t="s">
        <v>101</v>
      </c>
      <c r="R27" s="1192" t="s">
        <v>101</v>
      </c>
      <c r="S27" s="1192"/>
      <c r="T27" s="1192"/>
      <c r="U27" s="1204" t="s">
        <v>97</v>
      </c>
      <c r="V27" s="1193">
        <v>80000</v>
      </c>
      <c r="W27" s="1205">
        <v>0</v>
      </c>
      <c r="X27" s="1216">
        <f>ROUND(W27*V$15,2)</f>
        <v>0</v>
      </c>
      <c r="Y27" s="1216">
        <f>IF(Z25=0,N27,(M27*Z25))</f>
        <v>0</v>
      </c>
      <c r="Z27" s="1201"/>
      <c r="AE27" s="1178"/>
      <c r="AF27" s="1178"/>
    </row>
    <row r="28" spans="2:32" ht="20.100000000000001" customHeight="1" thickBot="1" x14ac:dyDescent="0.25">
      <c r="B28" s="1176"/>
      <c r="C28" s="1192" t="s">
        <v>101</v>
      </c>
      <c r="D28" s="1192" t="s">
        <v>101</v>
      </c>
      <c r="E28" s="1192"/>
      <c r="F28" s="1192" t="s">
        <v>101</v>
      </c>
      <c r="G28" s="1192" t="s">
        <v>101</v>
      </c>
      <c r="H28" s="1192"/>
      <c r="I28" s="1192"/>
      <c r="J28" s="1204" t="s">
        <v>97</v>
      </c>
      <c r="K28" s="1193">
        <v>0</v>
      </c>
      <c r="L28" s="1205">
        <v>0</v>
      </c>
      <c r="M28" s="1216">
        <f>ROUND(L28*H$15,2)</f>
        <v>0</v>
      </c>
      <c r="N28" s="1216">
        <f>M28*$M$15</f>
        <v>0</v>
      </c>
      <c r="P28" s="1192"/>
      <c r="Q28" s="1192" t="s">
        <v>101</v>
      </c>
      <c r="R28" s="1192" t="s">
        <v>101</v>
      </c>
      <c r="S28" s="1192"/>
      <c r="T28" s="1192"/>
      <c r="U28" s="1204" t="s">
        <v>97</v>
      </c>
      <c r="V28" s="1193">
        <v>40000</v>
      </c>
      <c r="W28" s="1205">
        <v>0</v>
      </c>
      <c r="X28" s="1216">
        <f>ROUND(W28*V$15,2)</f>
        <v>0</v>
      </c>
      <c r="Y28" s="1216">
        <f>IF(Z26=0,N28,(M28*Z26))</f>
        <v>0</v>
      </c>
      <c r="Z28" s="1201"/>
      <c r="AE28" s="1178"/>
      <c r="AF28" s="1178"/>
    </row>
    <row r="29" spans="2:32" ht="26.1" customHeight="1" thickBot="1" x14ac:dyDescent="0.25">
      <c r="B29" s="1176"/>
      <c r="C29" s="1192" t="s">
        <v>101</v>
      </c>
      <c r="D29" s="1192" t="s">
        <v>101</v>
      </c>
      <c r="E29" s="1192"/>
      <c r="F29" s="1192" t="s">
        <v>101</v>
      </c>
      <c r="G29" s="1192" t="s">
        <v>101</v>
      </c>
      <c r="H29" s="1192"/>
      <c r="I29" s="1192"/>
      <c r="J29" s="1204" t="s">
        <v>100</v>
      </c>
      <c r="K29" s="1193">
        <v>0</v>
      </c>
      <c r="L29" s="1205">
        <v>0</v>
      </c>
      <c r="M29" s="1216">
        <f>ROUND(L29*H$15,2)</f>
        <v>0</v>
      </c>
      <c r="N29" s="1216">
        <f>M29*$M$15</f>
        <v>0</v>
      </c>
      <c r="P29" s="1192"/>
      <c r="Q29" s="1192" t="s">
        <v>101</v>
      </c>
      <c r="R29" s="1192" t="s">
        <v>101</v>
      </c>
      <c r="S29" s="1192"/>
      <c r="T29" s="1192"/>
      <c r="U29" s="1204" t="s">
        <v>100</v>
      </c>
      <c r="V29" s="1193">
        <v>0</v>
      </c>
      <c r="W29" s="1205">
        <v>0</v>
      </c>
      <c r="X29" s="1216">
        <f>ROUND(W29*V$15,2)</f>
        <v>0</v>
      </c>
      <c r="Y29" s="1216">
        <f>IF(Z27=0,N29,(M29*Z27))</f>
        <v>0</v>
      </c>
      <c r="Z29" s="1201"/>
      <c r="AE29" s="1178"/>
      <c r="AF29" s="1178"/>
    </row>
    <row r="30" spans="2:32" ht="20.100000000000001" customHeight="1" thickBot="1" x14ac:dyDescent="0.25">
      <c r="B30" s="1176"/>
      <c r="C30" s="1192" t="s">
        <v>404</v>
      </c>
      <c r="D30" s="1194">
        <v>5</v>
      </c>
      <c r="E30" s="1194" t="s">
        <v>242</v>
      </c>
      <c r="F30" s="1192" t="s">
        <v>221</v>
      </c>
      <c r="G30" s="1192" t="s">
        <v>222</v>
      </c>
      <c r="H30" s="1192">
        <v>2233</v>
      </c>
      <c r="I30" s="1192">
        <v>453882</v>
      </c>
      <c r="J30" s="1204" t="s">
        <v>23</v>
      </c>
      <c r="K30" s="1193">
        <v>80000</v>
      </c>
      <c r="L30" s="1205">
        <v>0.09</v>
      </c>
      <c r="M30" s="1216">
        <f>ROUND(L30*I$15,2)</f>
        <v>419348.76</v>
      </c>
      <c r="N30" s="1216">
        <f>M30*M15</f>
        <v>7785587.1432839995</v>
      </c>
      <c r="P30" s="1206" t="s">
        <v>239</v>
      </c>
      <c r="Q30" s="1206" t="s">
        <v>238</v>
      </c>
      <c r="R30" s="1206">
        <v>100887241</v>
      </c>
      <c r="S30" s="1206">
        <v>7249</v>
      </c>
      <c r="T30" s="1206">
        <v>468079</v>
      </c>
      <c r="U30" s="1207" t="s">
        <v>23</v>
      </c>
      <c r="V30" s="1208">
        <v>80000</v>
      </c>
      <c r="W30" s="1209">
        <v>0.09</v>
      </c>
      <c r="X30" s="1725">
        <f>W30*I15</f>
        <v>419348.76479999995</v>
      </c>
      <c r="Y30" s="1725">
        <f>I15*M15*W30</f>
        <v>7785587.2324003195</v>
      </c>
      <c r="Z30" s="1201"/>
      <c r="AE30" s="1178"/>
      <c r="AF30" s="1178"/>
    </row>
    <row r="31" spans="2:32" ht="20.100000000000001" customHeight="1" thickBot="1" x14ac:dyDescent="0.25">
      <c r="B31" s="1176"/>
      <c r="C31" s="1192">
        <v>800832451</v>
      </c>
      <c r="D31" s="1194">
        <v>5</v>
      </c>
      <c r="E31" s="1194" t="s">
        <v>242</v>
      </c>
      <c r="F31" s="1192" t="s">
        <v>221</v>
      </c>
      <c r="G31" s="1192" t="s">
        <v>222</v>
      </c>
      <c r="H31" s="1192">
        <v>2233</v>
      </c>
      <c r="I31" s="1192">
        <v>453882</v>
      </c>
      <c r="J31" s="1204" t="s">
        <v>159</v>
      </c>
      <c r="K31" s="1193">
        <v>770000</v>
      </c>
      <c r="L31" s="1205">
        <v>0.91</v>
      </c>
      <c r="M31" s="1216">
        <f>ROUND(L31*I$15,2)</f>
        <v>4240081.96</v>
      </c>
      <c r="N31" s="1216">
        <f>M31*M15</f>
        <v>78720937.661164001</v>
      </c>
      <c r="P31" s="1194" t="s">
        <v>242</v>
      </c>
      <c r="Q31" s="1192" t="s">
        <v>221</v>
      </c>
      <c r="R31" s="1192" t="s">
        <v>222</v>
      </c>
      <c r="S31" s="1206">
        <v>2233</v>
      </c>
      <c r="T31" s="1206">
        <v>453851</v>
      </c>
      <c r="U31" s="1204" t="s">
        <v>159</v>
      </c>
      <c r="V31" s="1193">
        <v>770000</v>
      </c>
      <c r="W31" s="1205">
        <v>0.91</v>
      </c>
      <c r="X31" s="1216">
        <f>W31*I15</f>
        <v>4240081.9551999997</v>
      </c>
      <c r="Y31" s="1216">
        <f>I15*M15*W31</f>
        <v>78720937.572047681</v>
      </c>
      <c r="Z31" s="1201"/>
      <c r="AE31" s="1178"/>
      <c r="AF31" s="1178"/>
    </row>
    <row r="32" spans="2:32" ht="20.100000000000001" customHeight="1" x14ac:dyDescent="0.2">
      <c r="B32" s="1176"/>
      <c r="C32" s="1210">
        <v>3000623</v>
      </c>
      <c r="D32" s="1211" t="s">
        <v>102</v>
      </c>
      <c r="E32" s="1211"/>
      <c r="F32" s="1211"/>
      <c r="G32" s="1211"/>
      <c r="H32" s="1211"/>
      <c r="I32" s="1212"/>
      <c r="J32" s="1212"/>
      <c r="K32" s="1213">
        <f>SUM(K27:K31)</f>
        <v>850000</v>
      </c>
      <c r="L32" s="1214">
        <f>SUM(L27:L31)</f>
        <v>1</v>
      </c>
      <c r="M32" s="1726">
        <f>SUM(M27:M31)</f>
        <v>4659430.72</v>
      </c>
      <c r="N32" s="1726">
        <f>SUM(N27:N31)</f>
        <v>86506524.804447994</v>
      </c>
      <c r="P32" s="1211"/>
      <c r="Q32" s="1211"/>
      <c r="R32" s="1211"/>
      <c r="S32" s="1211"/>
      <c r="T32" s="1212"/>
      <c r="U32" s="1212"/>
      <c r="V32" s="1213">
        <f>SUM(V27:V31)</f>
        <v>970000</v>
      </c>
      <c r="W32" s="1214">
        <f>SUM(W27:W31)</f>
        <v>1</v>
      </c>
      <c r="X32" s="1726">
        <f>SUM(X27:X31)</f>
        <v>4659430.72</v>
      </c>
      <c r="Y32" s="1726">
        <f>SUM(Y27:Y31)</f>
        <v>86506524.804447994</v>
      </c>
      <c r="Z32" s="1176"/>
      <c r="AE32" s="1178"/>
      <c r="AF32" s="1178"/>
    </row>
    <row r="33" spans="2:32" ht="20.100000000000001" customHeight="1" x14ac:dyDescent="0.2">
      <c r="B33" s="1176"/>
      <c r="C33" s="1201"/>
      <c r="D33" s="1201"/>
      <c r="E33" s="1201"/>
      <c r="F33" s="1201"/>
      <c r="G33" s="1215"/>
      <c r="H33" s="1215"/>
      <c r="I33" s="1201"/>
      <c r="J33" s="1201"/>
      <c r="K33" s="1201"/>
      <c r="L33" s="1201"/>
      <c r="M33" s="1727"/>
      <c r="N33" s="1732"/>
      <c r="P33" s="1201"/>
      <c r="Q33" s="1201"/>
      <c r="R33" s="1215"/>
      <c r="S33" s="1215"/>
      <c r="T33" s="1201"/>
      <c r="U33" s="1201"/>
      <c r="V33" s="1201"/>
      <c r="W33" s="1201"/>
      <c r="X33" s="1727"/>
      <c r="Y33" s="1728">
        <v>0</v>
      </c>
      <c r="Z33" s="1176"/>
      <c r="AE33" s="1178"/>
      <c r="AF33" s="1178"/>
    </row>
    <row r="34" spans="2:32" ht="20.100000000000001" customHeight="1" x14ac:dyDescent="0.2">
      <c r="B34" s="1176"/>
      <c r="C34" s="1201"/>
      <c r="D34" s="1201"/>
      <c r="E34" s="1201"/>
      <c r="F34" s="1201"/>
      <c r="G34" s="1215"/>
      <c r="H34" s="1215"/>
      <c r="I34" s="1201"/>
      <c r="J34" s="1201"/>
      <c r="K34" s="1201"/>
      <c r="L34" s="1201"/>
      <c r="M34" s="1727"/>
      <c r="N34" s="1732"/>
      <c r="P34" s="1201"/>
      <c r="Q34" s="1201"/>
      <c r="R34" s="1215"/>
      <c r="S34" s="1215"/>
      <c r="T34" s="1201"/>
      <c r="U34" s="1201"/>
      <c r="V34" s="1201"/>
      <c r="W34" s="1201"/>
      <c r="X34" s="1727"/>
      <c r="Y34" s="1728"/>
      <c r="Z34" s="1176"/>
      <c r="AE34" s="1178"/>
      <c r="AF34" s="1178"/>
    </row>
    <row r="35" spans="2:32" ht="20.100000000000001" customHeight="1" thickBot="1" x14ac:dyDescent="0.25">
      <c r="B35" s="1176"/>
      <c r="C35" s="1199" t="s">
        <v>103</v>
      </c>
      <c r="D35" s="1199"/>
      <c r="E35" s="1199"/>
      <c r="F35" s="1199"/>
      <c r="G35" s="1199"/>
      <c r="H35" s="1200"/>
      <c r="I35" s="1199"/>
      <c r="J35" s="1199"/>
      <c r="K35" s="1199"/>
      <c r="L35" s="1201"/>
      <c r="M35" s="1729"/>
      <c r="N35" s="1733"/>
      <c r="P35" s="1199" t="s">
        <v>103</v>
      </c>
      <c r="Q35" s="1199"/>
      <c r="R35" s="1199"/>
      <c r="S35" s="1200"/>
      <c r="T35" s="1199"/>
      <c r="U35" s="1199"/>
      <c r="V35" s="1199"/>
      <c r="W35" s="1201"/>
      <c r="X35" s="1729"/>
      <c r="Y35" s="1730"/>
      <c r="Z35" s="1203">
        <v>0</v>
      </c>
      <c r="AE35" s="1178"/>
      <c r="AF35" s="1178"/>
    </row>
    <row r="36" spans="2:32" ht="24.75" thickBot="1" x14ac:dyDescent="0.25">
      <c r="B36" s="1176"/>
      <c r="C36" s="1191" t="s">
        <v>87</v>
      </c>
      <c r="D36" s="1182" t="s">
        <v>88</v>
      </c>
      <c r="E36" s="1182" t="s">
        <v>237</v>
      </c>
      <c r="F36" s="1183" t="s">
        <v>160</v>
      </c>
      <c r="G36" s="1182" t="s">
        <v>90</v>
      </c>
      <c r="H36" s="1183" t="s">
        <v>232</v>
      </c>
      <c r="I36" s="1183" t="s">
        <v>233</v>
      </c>
      <c r="J36" s="1183" t="s">
        <v>20</v>
      </c>
      <c r="K36" s="1191" t="s">
        <v>234</v>
      </c>
      <c r="L36" s="1182" t="s">
        <v>93</v>
      </c>
      <c r="M36" s="1731" t="s">
        <v>94</v>
      </c>
      <c r="N36" s="1734" t="s">
        <v>95</v>
      </c>
      <c r="P36" s="1182" t="s">
        <v>237</v>
      </c>
      <c r="Q36" s="1183" t="s">
        <v>160</v>
      </c>
      <c r="R36" s="1182" t="s">
        <v>90</v>
      </c>
      <c r="S36" s="1183" t="s">
        <v>232</v>
      </c>
      <c r="T36" s="1183" t="s">
        <v>233</v>
      </c>
      <c r="U36" s="1183" t="s">
        <v>20</v>
      </c>
      <c r="V36" s="1191" t="s">
        <v>234</v>
      </c>
      <c r="W36" s="1182" t="s">
        <v>93</v>
      </c>
      <c r="X36" s="1731" t="s">
        <v>94</v>
      </c>
      <c r="Y36" s="1731" t="s">
        <v>95</v>
      </c>
      <c r="Z36" s="1202"/>
      <c r="AE36" s="1178"/>
      <c r="AF36" s="1178"/>
    </row>
    <row r="37" spans="2:32" ht="20.100000000000001" customHeight="1" thickBot="1" x14ac:dyDescent="0.25">
      <c r="B37" s="1176"/>
      <c r="C37" s="1192"/>
      <c r="D37" s="1192"/>
      <c r="E37" s="1192"/>
      <c r="F37" s="1192"/>
      <c r="G37" s="1192">
        <v>20823</v>
      </c>
      <c r="H37" s="1192"/>
      <c r="I37" s="1192"/>
      <c r="J37" s="1204" t="s">
        <v>382</v>
      </c>
      <c r="K37" s="1193">
        <f>M89</f>
        <v>0</v>
      </c>
      <c r="L37" s="1205">
        <f>IFERROR(K37/K$41,0)</f>
        <v>0</v>
      </c>
      <c r="M37" s="1216">
        <f>IFERROR(ROUND(K37*$I$16,2),0)</f>
        <v>0</v>
      </c>
      <c r="N37" s="1216">
        <f>M37*M16</f>
        <v>0</v>
      </c>
      <c r="P37" s="1192"/>
      <c r="Q37" s="1192"/>
      <c r="R37" s="1192">
        <v>20823</v>
      </c>
      <c r="S37" s="1192"/>
      <c r="T37" s="1192"/>
      <c r="U37" s="1204" t="s">
        <v>97</v>
      </c>
      <c r="V37" s="1193">
        <f>AA89</f>
        <v>0</v>
      </c>
      <c r="W37" s="1205">
        <f>IFERROR(V37/V$41,0)</f>
        <v>0</v>
      </c>
      <c r="X37" s="1216">
        <f>IFERROR(ROUND(V37*$I$16,2),0)</f>
        <v>0</v>
      </c>
      <c r="Y37" s="1216">
        <f>IF(Z35=0,N37,(M37*Z35))</f>
        <v>0</v>
      </c>
      <c r="AE37" s="1178"/>
      <c r="AF37" s="1178"/>
    </row>
    <row r="38" spans="2:32" ht="20.100000000000001" customHeight="1" thickBot="1" x14ac:dyDescent="0.25">
      <c r="B38" s="1176"/>
      <c r="C38" s="1192"/>
      <c r="D38" s="1192"/>
      <c r="E38" s="1192"/>
      <c r="F38" s="1192"/>
      <c r="G38" s="1192">
        <v>20824</v>
      </c>
      <c r="H38" s="1192"/>
      <c r="I38" s="1192"/>
      <c r="J38" s="1204" t="s">
        <v>97</v>
      </c>
      <c r="K38" s="1193">
        <f>N89</f>
        <v>0</v>
      </c>
      <c r="L38" s="1205">
        <f>IFERROR(K38/K$41,0)</f>
        <v>0</v>
      </c>
      <c r="M38" s="1216">
        <f>ROUND(K38*$I$16,2)</f>
        <v>0</v>
      </c>
      <c r="N38" s="1216">
        <f>M38*M16</f>
        <v>0</v>
      </c>
      <c r="P38" s="1192"/>
      <c r="Q38" s="1192"/>
      <c r="R38" s="1192">
        <v>20824</v>
      </c>
      <c r="S38" s="1192"/>
      <c r="T38" s="1192"/>
      <c r="U38" s="1204" t="s">
        <v>97</v>
      </c>
      <c r="V38" s="1193">
        <f>AB89</f>
        <v>0</v>
      </c>
      <c r="W38" s="1205">
        <f>IFERROR(V38/V$41,0)</f>
        <v>0</v>
      </c>
      <c r="X38" s="1216">
        <f>ROUND(V38*$I$16,2)</f>
        <v>0</v>
      </c>
      <c r="Y38" s="1216">
        <f>IF(Z36=0,N38,(M38*Z36))</f>
        <v>0</v>
      </c>
      <c r="AE38" s="1178"/>
      <c r="AF38" s="1178"/>
    </row>
    <row r="39" spans="2:32" ht="20.100000000000001" customHeight="1" thickBot="1" x14ac:dyDescent="0.25">
      <c r="B39" s="1176"/>
      <c r="C39" s="1192"/>
      <c r="D39" s="1192"/>
      <c r="E39" s="1192"/>
      <c r="F39" s="1192"/>
      <c r="G39" s="1192">
        <v>22228</v>
      </c>
      <c r="H39" s="1192"/>
      <c r="I39" s="1192"/>
      <c r="J39" s="1204" t="s">
        <v>100</v>
      </c>
      <c r="K39" s="1193">
        <f>O89</f>
        <v>0</v>
      </c>
      <c r="L39" s="1205">
        <f>IFERROR(K39/K$41,0)</f>
        <v>0</v>
      </c>
      <c r="M39" s="1216">
        <f>ROUND(K39*$I$16,2)</f>
        <v>0</v>
      </c>
      <c r="N39" s="1216">
        <f>M39*M16</f>
        <v>0</v>
      </c>
      <c r="P39" s="1192"/>
      <c r="Q39" s="1192"/>
      <c r="R39" s="1192">
        <v>22228</v>
      </c>
      <c r="S39" s="1192"/>
      <c r="T39" s="1192"/>
      <c r="U39" s="1204" t="s">
        <v>100</v>
      </c>
      <c r="V39" s="1193">
        <f>AC89</f>
        <v>0</v>
      </c>
      <c r="W39" s="1205">
        <f>IFERROR(V39/V$41,0)</f>
        <v>0</v>
      </c>
      <c r="X39" s="1216">
        <f>ROUND(V39*$I$16,2)</f>
        <v>0</v>
      </c>
      <c r="Y39" s="1216">
        <f>IF(Z37=0,N39,(M39*Z37))</f>
        <v>0</v>
      </c>
      <c r="AE39" s="1178"/>
      <c r="AF39" s="1178"/>
    </row>
    <row r="40" spans="2:32" ht="20.100000000000001" customHeight="1" thickBot="1" x14ac:dyDescent="0.25">
      <c r="B40" s="1176"/>
      <c r="C40" s="1192">
        <v>800832773</v>
      </c>
      <c r="D40" s="1194">
        <v>5</v>
      </c>
      <c r="E40" s="1194" t="s">
        <v>242</v>
      </c>
      <c r="F40" s="1192" t="s">
        <v>221</v>
      </c>
      <c r="G40" s="1192" t="s">
        <v>222</v>
      </c>
      <c r="H40" s="1192">
        <v>2233</v>
      </c>
      <c r="I40" s="1192">
        <v>453888</v>
      </c>
      <c r="J40" s="1204" t="s">
        <v>23</v>
      </c>
      <c r="K40" s="1193">
        <f>L89</f>
        <v>2116351.3299999996</v>
      </c>
      <c r="L40" s="1205">
        <v>1</v>
      </c>
      <c r="M40" s="1216">
        <f>I16</f>
        <v>2063.1999999999998</v>
      </c>
      <c r="N40" s="1216">
        <f>M40*M16</f>
        <v>38305.164879999997</v>
      </c>
      <c r="P40" s="1206" t="s">
        <v>239</v>
      </c>
      <c r="Q40" s="1206" t="s">
        <v>238</v>
      </c>
      <c r="R40" s="1206">
        <v>100887241</v>
      </c>
      <c r="S40" s="1206">
        <v>7249</v>
      </c>
      <c r="T40" s="1206">
        <v>468079</v>
      </c>
      <c r="U40" s="1207" t="s">
        <v>23</v>
      </c>
      <c r="V40" s="1208">
        <f>Z89</f>
        <v>0</v>
      </c>
      <c r="W40" s="1209">
        <v>1</v>
      </c>
      <c r="X40" s="1725">
        <f>R93</f>
        <v>0</v>
      </c>
      <c r="Y40" s="1725">
        <f>I16*M16*W40</f>
        <v>38305.164879999997</v>
      </c>
      <c r="AE40" s="1178"/>
      <c r="AF40" s="1178"/>
    </row>
    <row r="41" spans="2:32" ht="12.75" thickBot="1" x14ac:dyDescent="0.25">
      <c r="B41" s="1176"/>
      <c r="C41" s="1217"/>
      <c r="D41" s="1217"/>
      <c r="E41" s="1217"/>
      <c r="F41" s="1218"/>
      <c r="G41" s="1218"/>
      <c r="H41" s="1218"/>
      <c r="I41" s="1218"/>
      <c r="J41" s="1218"/>
      <c r="K41" s="1213">
        <f>SUM(K37:K40)</f>
        <v>2116351.3299999996</v>
      </c>
      <c r="L41" s="1219">
        <f>SUM(L37:L40)</f>
        <v>1</v>
      </c>
      <c r="M41" s="1735">
        <f>SUM(M37:M40)</f>
        <v>2063.1999999999998</v>
      </c>
      <c r="N41" s="1735">
        <f>SUM(N37:N40)</f>
        <v>38305.164879999997</v>
      </c>
      <c r="O41" s="1179"/>
      <c r="P41" s="1179"/>
      <c r="Q41" s="1176"/>
      <c r="R41" s="1176"/>
      <c r="S41" s="1176"/>
      <c r="T41" s="1176"/>
      <c r="U41" s="1176"/>
      <c r="V41" s="1213">
        <f>SUM(V36:V40)</f>
        <v>0</v>
      </c>
      <c r="W41" s="1214">
        <f>SUM(W36:W40)</f>
        <v>1</v>
      </c>
      <c r="X41" s="1726">
        <f>SUM(X36:X40)</f>
        <v>0</v>
      </c>
      <c r="Y41" s="1736">
        <f>SUM(Y37:Y40)</f>
        <v>38305.164879999997</v>
      </c>
      <c r="AE41" s="1178"/>
      <c r="AF41" s="1178"/>
    </row>
    <row r="42" spans="2:32" x14ac:dyDescent="0.2">
      <c r="B42" s="1176"/>
      <c r="C42" s="1220"/>
      <c r="D42" s="1220"/>
      <c r="E42" s="1220"/>
      <c r="F42" s="1220"/>
      <c r="G42" s="1220"/>
      <c r="H42" s="1220"/>
      <c r="I42" s="1220"/>
      <c r="J42" s="1220"/>
      <c r="K42" s="1220"/>
      <c r="L42" s="1220"/>
      <c r="M42" s="1221"/>
      <c r="N42" s="1221"/>
      <c r="O42" s="1179"/>
      <c r="P42" s="1179"/>
      <c r="Q42" s="1176"/>
      <c r="R42" s="1176"/>
      <c r="S42" s="1176"/>
      <c r="T42" s="1176"/>
      <c r="U42" s="1176"/>
      <c r="V42" s="1176"/>
      <c r="W42" s="1176"/>
      <c r="X42" s="1179"/>
      <c r="Y42" s="1179"/>
      <c r="AE42" s="1178"/>
      <c r="AF42" s="1178"/>
    </row>
    <row r="43" spans="2:32" x14ac:dyDescent="0.2">
      <c r="B43" s="1176"/>
      <c r="C43" s="1220"/>
      <c r="D43" s="1220"/>
      <c r="E43" s="1220"/>
      <c r="F43" s="1220"/>
      <c r="G43" s="1220"/>
      <c r="H43" s="1220"/>
      <c r="I43" s="1220"/>
      <c r="J43" s="1220"/>
      <c r="K43" s="1220"/>
      <c r="L43" s="1221"/>
      <c r="M43" s="1221"/>
      <c r="N43" s="1179"/>
      <c r="O43" s="1176"/>
      <c r="P43" s="1176"/>
      <c r="Q43" s="1176"/>
      <c r="R43" s="1176"/>
      <c r="S43" s="1176"/>
      <c r="T43" s="1176"/>
      <c r="U43" s="1176"/>
      <c r="V43" s="1179"/>
      <c r="W43" s="1179"/>
      <c r="X43" s="1179"/>
      <c r="Y43" s="1179"/>
      <c r="AC43" s="1178"/>
      <c r="AD43" s="1178"/>
      <c r="AE43" s="1178"/>
      <c r="AF43" s="1178"/>
    </row>
    <row r="44" spans="2:32" x14ac:dyDescent="0.2">
      <c r="B44" s="1176"/>
      <c r="C44" s="1220"/>
      <c r="D44" s="1220"/>
      <c r="E44" s="1220"/>
      <c r="F44" s="1220"/>
      <c r="G44" s="1220"/>
      <c r="H44" s="1220"/>
      <c r="I44" s="1220"/>
      <c r="J44" s="1220"/>
      <c r="K44" s="1220"/>
      <c r="L44" s="1221"/>
      <c r="M44" s="1221"/>
      <c r="N44" s="1179"/>
      <c r="O44" s="1179"/>
      <c r="P44" s="1176"/>
      <c r="Q44" s="1176"/>
      <c r="R44" s="1176"/>
      <c r="S44" s="1176"/>
      <c r="T44" s="1176"/>
      <c r="U44" s="1176"/>
      <c r="V44" s="1176"/>
      <c r="W44" s="1179"/>
      <c r="X44" s="1179"/>
      <c r="Y44" s="1179"/>
      <c r="AD44" s="1178"/>
      <c r="AE44" s="1178"/>
      <c r="AF44" s="1178"/>
    </row>
    <row r="45" spans="2:32" x14ac:dyDescent="0.2">
      <c r="B45" s="1176"/>
      <c r="C45" s="1220"/>
      <c r="D45" s="1220"/>
      <c r="E45" s="1220"/>
      <c r="F45" s="1220"/>
      <c r="G45" s="1220"/>
      <c r="H45" s="1220"/>
      <c r="I45" s="1220"/>
      <c r="J45" s="1220"/>
      <c r="K45" s="1220"/>
      <c r="L45" s="1221"/>
      <c r="M45" s="1221"/>
      <c r="N45" s="1179"/>
      <c r="O45" s="1221"/>
      <c r="P45" s="1179"/>
      <c r="Q45" s="1221"/>
      <c r="R45" s="1176"/>
      <c r="S45" s="1176"/>
      <c r="T45" s="1176"/>
      <c r="U45" s="1176"/>
      <c r="V45" s="1176"/>
      <c r="W45" s="1176"/>
      <c r="X45" s="1176"/>
      <c r="Y45" s="1176"/>
    </row>
    <row r="46" spans="2:32" x14ac:dyDescent="0.2">
      <c r="B46" s="1176"/>
      <c r="C46" s="1220"/>
      <c r="D46" s="1220"/>
      <c r="E46" s="1220"/>
      <c r="F46" s="1220"/>
      <c r="G46" s="1220"/>
      <c r="H46" s="1220"/>
      <c r="I46" s="1220"/>
      <c r="J46" s="1220"/>
      <c r="K46" s="1220"/>
      <c r="L46" s="1221"/>
      <c r="M46" s="1221"/>
      <c r="N46" s="1179"/>
      <c r="O46" s="1221"/>
      <c r="P46" s="1179"/>
      <c r="Q46" s="1221"/>
      <c r="R46" s="1176"/>
      <c r="S46" s="1176"/>
      <c r="T46" s="1176"/>
      <c r="U46" s="1176"/>
      <c r="V46" s="1176"/>
      <c r="W46" s="1176"/>
      <c r="X46" s="1176"/>
      <c r="Y46" s="1176"/>
    </row>
    <row r="47" spans="2:32" x14ac:dyDescent="0.2">
      <c r="B47" s="1176"/>
      <c r="C47" s="1220"/>
      <c r="D47" s="1220"/>
      <c r="E47" s="1220"/>
      <c r="F47" s="1220"/>
      <c r="G47" s="1220"/>
      <c r="H47" s="1220"/>
      <c r="I47" s="1220"/>
      <c r="J47" s="1220"/>
      <c r="K47" s="1220"/>
      <c r="L47" s="1221"/>
      <c r="M47" s="1221"/>
      <c r="N47" s="1179"/>
      <c r="O47" s="1221"/>
      <c r="P47" s="1179"/>
      <c r="Q47" s="1221"/>
      <c r="R47" s="1176"/>
      <c r="S47" s="1176"/>
      <c r="T47" s="1176"/>
      <c r="U47" s="1176"/>
      <c r="V47" s="1176"/>
      <c r="W47" s="1176"/>
      <c r="X47" s="1176"/>
      <c r="Y47" s="1176"/>
    </row>
    <row r="48" spans="2:32" x14ac:dyDescent="0.2">
      <c r="B48" s="1176"/>
      <c r="C48" s="1220"/>
      <c r="D48" s="1220"/>
      <c r="E48" s="1220"/>
      <c r="F48" s="1220"/>
      <c r="G48" s="1220"/>
      <c r="H48" s="1220"/>
      <c r="I48" s="1220"/>
      <c r="J48" s="1220"/>
      <c r="K48" s="1220"/>
      <c r="L48" s="1221"/>
      <c r="M48" s="1221"/>
      <c r="N48" s="1179"/>
      <c r="O48" s="1221"/>
      <c r="P48" s="1179"/>
      <c r="Q48" s="1221"/>
      <c r="R48" s="1176"/>
      <c r="S48" s="1176"/>
      <c r="T48" s="1176"/>
      <c r="U48" s="1176"/>
      <c r="V48" s="1176"/>
      <c r="W48" s="1176"/>
      <c r="X48" s="1176"/>
      <c r="Y48" s="1176"/>
    </row>
    <row r="49" spans="2:25" x14ac:dyDescent="0.2">
      <c r="B49" s="1176"/>
      <c r="C49" s="1220"/>
      <c r="D49" s="1220"/>
      <c r="E49" s="1220"/>
      <c r="F49" s="1220"/>
      <c r="G49" s="1220"/>
      <c r="H49" s="1220"/>
      <c r="I49" s="1220"/>
      <c r="J49" s="1220"/>
      <c r="K49" s="1220"/>
      <c r="L49" s="1221"/>
      <c r="M49" s="1221"/>
      <c r="N49" s="1179"/>
      <c r="O49" s="1221"/>
      <c r="P49" s="1179"/>
      <c r="Q49" s="1221"/>
      <c r="R49" s="1176"/>
      <c r="S49" s="1176"/>
      <c r="T49" s="1176"/>
      <c r="U49" s="1176"/>
      <c r="V49" s="1176"/>
      <c r="W49" s="1176"/>
      <c r="X49" s="1176"/>
      <c r="Y49" s="1176"/>
    </row>
    <row r="50" spans="2:25" x14ac:dyDescent="0.2">
      <c r="B50" s="1176"/>
      <c r="C50" s="1220"/>
      <c r="D50" s="1220"/>
      <c r="E50" s="1220"/>
      <c r="F50" s="1220"/>
      <c r="G50" s="1220"/>
      <c r="H50" s="1220"/>
      <c r="I50" s="1220"/>
      <c r="J50" s="1220"/>
      <c r="K50" s="1220"/>
      <c r="L50" s="1221"/>
      <c r="M50" s="1221"/>
      <c r="N50" s="1179"/>
      <c r="O50" s="1221"/>
      <c r="P50" s="1179"/>
      <c r="Q50" s="1221"/>
      <c r="R50" s="1176"/>
      <c r="S50" s="1176"/>
      <c r="T50" s="1176"/>
      <c r="U50" s="1176"/>
      <c r="V50" s="1176"/>
      <c r="W50" s="1176"/>
      <c r="X50" s="1176"/>
      <c r="Y50" s="1176"/>
    </row>
    <row r="51" spans="2:25" x14ac:dyDescent="0.2">
      <c r="B51" s="1176"/>
      <c r="C51" s="1220"/>
      <c r="D51" s="1220"/>
      <c r="E51" s="1220"/>
      <c r="F51" s="1220"/>
      <c r="G51" s="1220"/>
      <c r="H51" s="1220"/>
      <c r="I51" s="1220"/>
      <c r="J51" s="1220"/>
      <c r="K51" s="1220"/>
      <c r="L51" s="1221"/>
      <c r="M51" s="1221"/>
      <c r="N51" s="1179"/>
      <c r="O51" s="1221"/>
      <c r="P51" s="1179"/>
      <c r="Q51" s="1221"/>
      <c r="R51" s="1176"/>
      <c r="S51" s="1176"/>
      <c r="T51" s="1176"/>
      <c r="U51" s="1176"/>
      <c r="V51" s="1176"/>
      <c r="W51" s="1176"/>
      <c r="X51" s="1176"/>
      <c r="Y51" s="1176"/>
    </row>
    <row r="52" spans="2:25" x14ac:dyDescent="0.2">
      <c r="B52" s="1176"/>
      <c r="C52" s="1220"/>
      <c r="D52" s="1220"/>
      <c r="E52" s="1220"/>
      <c r="F52" s="1220"/>
      <c r="G52" s="1220"/>
      <c r="H52" s="1220"/>
      <c r="I52" s="1220"/>
      <c r="J52" s="1220"/>
      <c r="K52" s="1220"/>
      <c r="L52" s="1221"/>
      <c r="M52" s="1221"/>
      <c r="N52" s="1179"/>
      <c r="O52" s="1221"/>
      <c r="P52" s="1179"/>
      <c r="Q52" s="1221"/>
      <c r="R52" s="1176"/>
      <c r="S52" s="1176"/>
      <c r="T52" s="1176"/>
      <c r="U52" s="1176"/>
      <c r="V52" s="1176"/>
      <c r="W52" s="1176"/>
      <c r="X52" s="1176"/>
      <c r="Y52" s="1176"/>
    </row>
    <row r="53" spans="2:25" x14ac:dyDescent="0.2">
      <c r="B53" s="1176"/>
      <c r="C53" s="1220"/>
      <c r="D53" s="1220"/>
      <c r="E53" s="1220"/>
      <c r="F53" s="1220"/>
      <c r="G53" s="1220"/>
      <c r="H53" s="1220"/>
      <c r="I53" s="1220"/>
      <c r="J53" s="1220"/>
      <c r="K53" s="1220"/>
      <c r="L53" s="1221"/>
      <c r="M53" s="1221"/>
      <c r="N53" s="1179"/>
      <c r="O53" s="1221"/>
      <c r="P53" s="1179"/>
      <c r="Q53" s="1221"/>
      <c r="R53" s="1176"/>
      <c r="S53" s="1176"/>
      <c r="T53" s="1176"/>
      <c r="U53" s="1176"/>
      <c r="V53" s="1176"/>
      <c r="W53" s="1176"/>
      <c r="X53" s="1176"/>
      <c r="Y53" s="1176"/>
    </row>
    <row r="54" spans="2:25" x14ac:dyDescent="0.2">
      <c r="B54" s="1176"/>
      <c r="C54" s="1220"/>
      <c r="D54" s="1220"/>
      <c r="E54" s="1220"/>
      <c r="F54" s="1220"/>
      <c r="G54" s="1220"/>
      <c r="H54" s="1220"/>
      <c r="I54" s="1220"/>
      <c r="J54" s="1220"/>
      <c r="K54" s="1220"/>
      <c r="L54" s="1221"/>
      <c r="M54" s="1221"/>
      <c r="N54" s="1179"/>
      <c r="O54" s="1221"/>
      <c r="P54" s="1179"/>
      <c r="Q54" s="1221"/>
      <c r="R54" s="1176"/>
      <c r="S54" s="1176"/>
      <c r="T54" s="1176"/>
      <c r="U54" s="1176"/>
      <c r="V54" s="1176"/>
      <c r="W54" s="1176"/>
      <c r="X54" s="1176"/>
      <c r="Y54" s="1176"/>
    </row>
    <row r="55" spans="2:25" s="1179" customFormat="1" ht="12.75" thickBot="1" x14ac:dyDescent="0.25">
      <c r="M55" s="1201"/>
      <c r="N55" s="1201"/>
      <c r="O55" s="1201"/>
      <c r="P55" s="1201"/>
      <c r="Q55" s="1201"/>
      <c r="R55" s="1201"/>
      <c r="S55" s="1201"/>
      <c r="T55" s="1201"/>
      <c r="U55" s="1201"/>
      <c r="V55" s="1201"/>
      <c r="W55" s="1201"/>
      <c r="X55" s="1201"/>
      <c r="Y55" s="1201"/>
    </row>
    <row r="56" spans="2:25" ht="12.75" thickBot="1" x14ac:dyDescent="0.25">
      <c r="B56" s="1222" t="s">
        <v>3</v>
      </c>
      <c r="C56" s="1223">
        <f>SUMIF(Tarifas!E4:E303,'Enero - 2018'!C58,Tarifas!D4:D303)</f>
        <v>54</v>
      </c>
      <c r="D56" s="1224" t="s">
        <v>147</v>
      </c>
      <c r="E56" s="1225" t="s">
        <v>145</v>
      </c>
      <c r="F56" s="1225" t="s">
        <v>366</v>
      </c>
      <c r="G56" s="1225" t="s">
        <v>148</v>
      </c>
      <c r="H56" s="1226"/>
      <c r="I56" s="1227" t="s">
        <v>120</v>
      </c>
      <c r="J56" s="1228"/>
      <c r="K56" s="1228"/>
      <c r="L56" s="1229" t="s">
        <v>105</v>
      </c>
      <c r="M56" s="1230"/>
      <c r="N56" s="1230"/>
      <c r="O56" s="1230"/>
      <c r="P56" s="1230"/>
      <c r="Q56" s="1230"/>
      <c r="R56" s="1231"/>
      <c r="S56" s="2284" t="s">
        <v>121</v>
      </c>
      <c r="T56" s="2285"/>
      <c r="U56" s="2285"/>
      <c r="V56" s="2285"/>
      <c r="W56" s="2285"/>
      <c r="X56" s="2285"/>
      <c r="Y56" s="2286"/>
    </row>
    <row r="57" spans="2:25" ht="36.75" thickBot="1" x14ac:dyDescent="0.25">
      <c r="C57" s="1232" t="s">
        <v>122</v>
      </c>
      <c r="D57" s="1233" t="s">
        <v>125</v>
      </c>
      <c r="E57" s="1234" t="s">
        <v>149</v>
      </c>
      <c r="F57" s="1234" t="s">
        <v>151</v>
      </c>
      <c r="G57" s="1234" t="s">
        <v>152</v>
      </c>
      <c r="H57" s="1235" t="s">
        <v>123</v>
      </c>
      <c r="I57" s="1412" t="s">
        <v>109</v>
      </c>
      <c r="J57" s="1417" t="s">
        <v>25</v>
      </c>
      <c r="K57" s="1418" t="s">
        <v>26</v>
      </c>
      <c r="L57" s="1408" t="s">
        <v>115</v>
      </c>
      <c r="M57" s="1409" t="s">
        <v>106</v>
      </c>
      <c r="N57" s="1409" t="s">
        <v>107</v>
      </c>
      <c r="O57" s="1409" t="s">
        <v>108</v>
      </c>
      <c r="P57" s="1409" t="s">
        <v>115</v>
      </c>
      <c r="Q57" s="1410" t="s">
        <v>116</v>
      </c>
      <c r="R57" s="1411" t="s">
        <v>117</v>
      </c>
      <c r="S57" s="1236" t="s">
        <v>207</v>
      </c>
      <c r="T57" s="1237"/>
      <c r="U57" s="1237" t="s">
        <v>112</v>
      </c>
      <c r="V57" s="1238" t="s">
        <v>118</v>
      </c>
      <c r="W57" s="1238" t="s">
        <v>119</v>
      </c>
      <c r="X57" s="1238" t="s">
        <v>114</v>
      </c>
      <c r="Y57" s="1239" t="s">
        <v>113</v>
      </c>
    </row>
    <row r="58" spans="2:25" x14ac:dyDescent="0.2">
      <c r="C58" s="1240">
        <f>C7</f>
        <v>43101</v>
      </c>
      <c r="D58" s="1420">
        <f>($F$21*$H$21)/$G$21</f>
        <v>150304.21677419354</v>
      </c>
      <c r="E58" s="1421">
        <f t="shared" ref="E58:E88" si="0">P58+Q58+R58</f>
        <v>69698.100000000006</v>
      </c>
      <c r="F58" s="1422">
        <f>TRUNC(IFERROR(J$21/K$21,0),8)</f>
        <v>0.97517377999999999</v>
      </c>
      <c r="G58" s="1423">
        <f>ROUND(I$21*F58*E58,4)</f>
        <v>67.967799999999997</v>
      </c>
      <c r="H58" s="1424">
        <f t="shared" ref="H58:H87" si="1">SUM(D58:G58)</f>
        <v>220071.25974797356</v>
      </c>
      <c r="I58" s="1353">
        <v>66347</v>
      </c>
      <c r="J58" s="2130">
        <v>0</v>
      </c>
      <c r="K58" s="2131">
        <v>0</v>
      </c>
      <c r="L58" s="1414">
        <v>69698.100000000006</v>
      </c>
      <c r="M58" s="1347">
        <v>0</v>
      </c>
      <c r="N58" s="1347">
        <v>0</v>
      </c>
      <c r="O58" s="1333">
        <v>0</v>
      </c>
      <c r="P58" s="1242">
        <f t="shared" ref="P58:P88" si="2">L58</f>
        <v>69698.100000000006</v>
      </c>
      <c r="Q58" s="1242">
        <f t="shared" ref="Q58:Q88" si="3">N58</f>
        <v>0</v>
      </c>
      <c r="R58" s="1242">
        <f t="shared" ref="R58:R88" si="4">O58</f>
        <v>0</v>
      </c>
      <c r="S58" s="1246"/>
      <c r="T58" s="1247"/>
      <c r="U58" s="1248">
        <f>S58+T58-V58</f>
        <v>-66347</v>
      </c>
      <c r="V58" s="1248">
        <f t="shared" ref="V58:V88" si="5">I58+J58+K58</f>
        <v>66347</v>
      </c>
      <c r="W58" s="1248">
        <f t="shared" ref="W58:W88" si="6">(P58+Q58+R58)/1.055056</f>
        <v>66061.043205289578</v>
      </c>
      <c r="X58" s="1248">
        <f>V58-W58</f>
        <v>285.9567947104224</v>
      </c>
      <c r="Y58" s="1249">
        <f>AL55+X58</f>
        <v>285.9567947104224</v>
      </c>
    </row>
    <row r="59" spans="2:25" x14ac:dyDescent="0.2">
      <c r="C59" s="1240">
        <f t="shared" ref="C59:C87" si="7">C58+1</f>
        <v>43102</v>
      </c>
      <c r="D59" s="1241">
        <f t="shared" ref="D59:D88" si="8">($F$21*$H$21)/$G$21</f>
        <v>150304.21677419354</v>
      </c>
      <c r="E59" s="1250">
        <f t="shared" si="0"/>
        <v>41786.379999999997</v>
      </c>
      <c r="F59" s="1251">
        <f t="shared" ref="F59:F88" si="9">TRUNC(IFERROR(J$21/K$21,0),8)</f>
        <v>0.97517377999999999</v>
      </c>
      <c r="G59" s="1243">
        <f t="shared" ref="G59:G88" si="10">ROUND(I$21*F59*E59,4)</f>
        <v>40.749000000000002</v>
      </c>
      <c r="H59" s="1244">
        <f t="shared" si="1"/>
        <v>192132.32094797355</v>
      </c>
      <c r="I59" s="1245">
        <v>18693</v>
      </c>
      <c r="J59" s="2132">
        <v>0</v>
      </c>
      <c r="K59" s="2133">
        <v>0</v>
      </c>
      <c r="L59" s="1415">
        <v>41786.379999999997</v>
      </c>
      <c r="M59" s="1336">
        <v>0</v>
      </c>
      <c r="N59" s="1336">
        <v>0</v>
      </c>
      <c r="O59" s="1334">
        <v>0</v>
      </c>
      <c r="P59" s="1250">
        <f t="shared" si="2"/>
        <v>41786.379999999997</v>
      </c>
      <c r="Q59" s="1250">
        <f t="shared" si="3"/>
        <v>0</v>
      </c>
      <c r="R59" s="1250">
        <f t="shared" si="4"/>
        <v>0</v>
      </c>
      <c r="S59" s="1246"/>
      <c r="T59" s="1247"/>
      <c r="U59" s="1248">
        <f t="shared" ref="U59:U88" si="11">S59+T59-V59</f>
        <v>-18693</v>
      </c>
      <c r="V59" s="1248">
        <f t="shared" si="5"/>
        <v>18693</v>
      </c>
      <c r="W59" s="1248">
        <f t="shared" si="6"/>
        <v>39605.840827406319</v>
      </c>
      <c r="X59" s="1248">
        <f t="shared" ref="X59:X88" si="12">V59-W59</f>
        <v>-20912.840827406319</v>
      </c>
      <c r="Y59" s="1249">
        <f>Y58+X59</f>
        <v>-20626.884032695896</v>
      </c>
    </row>
    <row r="60" spans="2:25" x14ac:dyDescent="0.2">
      <c r="C60" s="1240">
        <f t="shared" si="7"/>
        <v>43103</v>
      </c>
      <c r="D60" s="1241">
        <f t="shared" si="8"/>
        <v>150304.21677419354</v>
      </c>
      <c r="E60" s="1250">
        <f t="shared" si="0"/>
        <v>11510.63</v>
      </c>
      <c r="F60" s="1251">
        <f t="shared" si="9"/>
        <v>0.97517377999999999</v>
      </c>
      <c r="G60" s="1243">
        <f t="shared" si="10"/>
        <v>11.2249</v>
      </c>
      <c r="H60" s="1244">
        <f t="shared" si="1"/>
        <v>161827.04684797354</v>
      </c>
      <c r="I60" s="1245">
        <v>66821</v>
      </c>
      <c r="J60" s="2132">
        <v>0</v>
      </c>
      <c r="K60" s="2133">
        <v>0</v>
      </c>
      <c r="L60" s="1413">
        <v>11510.63</v>
      </c>
      <c r="M60" s="1336">
        <v>0</v>
      </c>
      <c r="N60" s="1336">
        <v>0</v>
      </c>
      <c r="O60" s="1334">
        <v>0</v>
      </c>
      <c r="P60" s="1250">
        <f t="shared" si="2"/>
        <v>11510.63</v>
      </c>
      <c r="Q60" s="1250">
        <f t="shared" si="3"/>
        <v>0</v>
      </c>
      <c r="R60" s="1250">
        <f t="shared" si="4"/>
        <v>0</v>
      </c>
      <c r="S60" s="1246"/>
      <c r="T60" s="1247"/>
      <c r="U60" s="1248">
        <f t="shared" si="11"/>
        <v>-66821</v>
      </c>
      <c r="V60" s="1248">
        <f t="shared" si="5"/>
        <v>66821</v>
      </c>
      <c r="W60" s="1248">
        <f t="shared" si="6"/>
        <v>10909.970655586054</v>
      </c>
      <c r="X60" s="1248">
        <f t="shared" si="12"/>
        <v>55911.029344413946</v>
      </c>
      <c r="Y60" s="1249">
        <f t="shared" ref="Y60:Y88" si="13">Y59+X60</f>
        <v>35284.14531171805</v>
      </c>
    </row>
    <row r="61" spans="2:25" x14ac:dyDescent="0.2">
      <c r="C61" s="1240">
        <f t="shared" si="7"/>
        <v>43104</v>
      </c>
      <c r="D61" s="1241">
        <f t="shared" si="8"/>
        <v>150304.21677419354</v>
      </c>
      <c r="E61" s="1250">
        <f t="shared" si="0"/>
        <v>74711.350000000006</v>
      </c>
      <c r="F61" s="1251">
        <f t="shared" si="9"/>
        <v>0.97517377999999999</v>
      </c>
      <c r="G61" s="1243">
        <f t="shared" si="10"/>
        <v>72.856499999999997</v>
      </c>
      <c r="H61" s="1244">
        <f t="shared" si="1"/>
        <v>225089.39844797354</v>
      </c>
      <c r="I61" s="1245">
        <v>66347</v>
      </c>
      <c r="J61" s="2132">
        <v>0</v>
      </c>
      <c r="K61" s="2133">
        <v>0</v>
      </c>
      <c r="L61" s="1415">
        <v>74711.350000000006</v>
      </c>
      <c r="M61" s="1336">
        <v>0</v>
      </c>
      <c r="N61" s="1336">
        <v>0</v>
      </c>
      <c r="O61" s="1334">
        <v>0</v>
      </c>
      <c r="P61" s="1250">
        <f t="shared" si="2"/>
        <v>74711.350000000006</v>
      </c>
      <c r="Q61" s="1250">
        <f t="shared" si="3"/>
        <v>0</v>
      </c>
      <c r="R61" s="1250">
        <f t="shared" si="4"/>
        <v>0</v>
      </c>
      <c r="S61" s="1246"/>
      <c r="T61" s="1247"/>
      <c r="U61" s="1248">
        <f t="shared" si="11"/>
        <v>-66347</v>
      </c>
      <c r="V61" s="1248">
        <f t="shared" si="5"/>
        <v>66347</v>
      </c>
      <c r="W61" s="1248">
        <f t="shared" si="6"/>
        <v>70812.686719946621</v>
      </c>
      <c r="X61" s="1248">
        <f t="shared" si="12"/>
        <v>-4465.6867199466215</v>
      </c>
      <c r="Y61" s="1249">
        <f t="shared" si="13"/>
        <v>30818.458591771428</v>
      </c>
    </row>
    <row r="62" spans="2:25" x14ac:dyDescent="0.2">
      <c r="C62" s="1240">
        <f t="shared" si="7"/>
        <v>43105</v>
      </c>
      <c r="D62" s="1241">
        <f t="shared" si="8"/>
        <v>150304.21677419354</v>
      </c>
      <c r="E62" s="1250">
        <f t="shared" si="0"/>
        <v>72221.490000000005</v>
      </c>
      <c r="F62" s="1251">
        <f t="shared" si="9"/>
        <v>0.97517377999999999</v>
      </c>
      <c r="G62" s="1243">
        <f t="shared" si="10"/>
        <v>70.4285</v>
      </c>
      <c r="H62" s="1244">
        <f t="shared" si="1"/>
        <v>222597.11044797357</v>
      </c>
      <c r="I62" s="1245">
        <v>105947</v>
      </c>
      <c r="J62" s="2132">
        <v>0</v>
      </c>
      <c r="K62" s="2133">
        <v>0</v>
      </c>
      <c r="L62" s="1413">
        <v>72221.490000000005</v>
      </c>
      <c r="M62" s="1336">
        <v>0</v>
      </c>
      <c r="N62" s="1336">
        <v>0</v>
      </c>
      <c r="O62" s="1334">
        <v>0</v>
      </c>
      <c r="P62" s="1250">
        <f t="shared" si="2"/>
        <v>72221.490000000005</v>
      </c>
      <c r="Q62" s="1250">
        <f t="shared" si="3"/>
        <v>0</v>
      </c>
      <c r="R62" s="1250">
        <f t="shared" si="4"/>
        <v>0</v>
      </c>
      <c r="S62" s="1246"/>
      <c r="T62" s="1247"/>
      <c r="U62" s="1248">
        <f t="shared" si="11"/>
        <v>-105947</v>
      </c>
      <c r="V62" s="1248">
        <f t="shared" si="5"/>
        <v>105947</v>
      </c>
      <c r="W62" s="1248">
        <f t="shared" si="6"/>
        <v>68452.755114420477</v>
      </c>
      <c r="X62" s="1248">
        <f t="shared" si="12"/>
        <v>37494.244885579523</v>
      </c>
      <c r="Y62" s="1249">
        <f t="shared" si="13"/>
        <v>68312.703477350951</v>
      </c>
    </row>
    <row r="63" spans="2:25" x14ac:dyDescent="0.2">
      <c r="C63" s="1240">
        <f t="shared" si="7"/>
        <v>43106</v>
      </c>
      <c r="D63" s="1241">
        <f t="shared" si="8"/>
        <v>150304.21677419354</v>
      </c>
      <c r="E63" s="1250">
        <f t="shared" si="0"/>
        <v>67684.009999999995</v>
      </c>
      <c r="F63" s="1251">
        <f t="shared" si="9"/>
        <v>0.97517377999999999</v>
      </c>
      <c r="G63" s="1243">
        <f t="shared" si="10"/>
        <v>66.003699999999995</v>
      </c>
      <c r="H63" s="1244">
        <f t="shared" si="1"/>
        <v>218055.20564797352</v>
      </c>
      <c r="I63" s="1245">
        <v>65873</v>
      </c>
      <c r="J63" s="2132">
        <v>0</v>
      </c>
      <c r="K63" s="2133">
        <v>0</v>
      </c>
      <c r="L63" s="1415">
        <v>67684.009999999995</v>
      </c>
      <c r="M63" s="1336">
        <v>0</v>
      </c>
      <c r="N63" s="1336">
        <v>0</v>
      </c>
      <c r="O63" s="1334">
        <v>0</v>
      </c>
      <c r="P63" s="1250">
        <f t="shared" si="2"/>
        <v>67684.009999999995</v>
      </c>
      <c r="Q63" s="1250">
        <f t="shared" si="3"/>
        <v>0</v>
      </c>
      <c r="R63" s="1250">
        <f t="shared" si="4"/>
        <v>0</v>
      </c>
      <c r="S63" s="1246"/>
      <c r="T63" s="1247"/>
      <c r="U63" s="1248">
        <f t="shared" si="11"/>
        <v>-65873</v>
      </c>
      <c r="V63" s="1248">
        <f t="shared" si="5"/>
        <v>65873</v>
      </c>
      <c r="W63" s="1248">
        <f t="shared" si="6"/>
        <v>64152.054488103</v>
      </c>
      <c r="X63" s="1248">
        <f t="shared" si="12"/>
        <v>1720.945511897</v>
      </c>
      <c r="Y63" s="1249">
        <f t="shared" si="13"/>
        <v>70033.648989247944</v>
      </c>
    </row>
    <row r="64" spans="2:25" x14ac:dyDescent="0.2">
      <c r="C64" s="1240">
        <f t="shared" si="7"/>
        <v>43107</v>
      </c>
      <c r="D64" s="1241">
        <f t="shared" si="8"/>
        <v>150304.21677419354</v>
      </c>
      <c r="E64" s="1250">
        <f t="shared" si="0"/>
        <v>64573.7</v>
      </c>
      <c r="F64" s="1251">
        <f t="shared" si="9"/>
        <v>0.97517377999999999</v>
      </c>
      <c r="G64" s="1243">
        <f t="shared" si="10"/>
        <v>62.970599999999997</v>
      </c>
      <c r="H64" s="1244">
        <f t="shared" si="1"/>
        <v>214941.86254797352</v>
      </c>
      <c r="I64" s="1245">
        <v>65873</v>
      </c>
      <c r="J64" s="2132">
        <v>0</v>
      </c>
      <c r="K64" s="2133">
        <v>0</v>
      </c>
      <c r="L64" s="1413">
        <v>64573.7</v>
      </c>
      <c r="M64" s="1336">
        <v>0</v>
      </c>
      <c r="N64" s="1336">
        <v>0</v>
      </c>
      <c r="O64" s="1334">
        <v>0</v>
      </c>
      <c r="P64" s="1250">
        <f t="shared" si="2"/>
        <v>64573.7</v>
      </c>
      <c r="Q64" s="1250">
        <f t="shared" si="3"/>
        <v>0</v>
      </c>
      <c r="R64" s="1250">
        <f t="shared" si="4"/>
        <v>0</v>
      </c>
      <c r="S64" s="1246"/>
      <c r="T64" s="1247"/>
      <c r="U64" s="1248">
        <f t="shared" si="11"/>
        <v>-65873</v>
      </c>
      <c r="V64" s="1248">
        <f t="shared" si="5"/>
        <v>65873</v>
      </c>
      <c r="W64" s="1248">
        <f t="shared" si="6"/>
        <v>61204.049832425953</v>
      </c>
      <c r="X64" s="1248">
        <f t="shared" si="12"/>
        <v>4668.9501675740466</v>
      </c>
      <c r="Y64" s="1249">
        <f t="shared" si="13"/>
        <v>74702.599156821991</v>
      </c>
    </row>
    <row r="65" spans="3:25" x14ac:dyDescent="0.2">
      <c r="C65" s="1240">
        <f t="shared" si="7"/>
        <v>43108</v>
      </c>
      <c r="D65" s="1241">
        <f t="shared" si="8"/>
        <v>150304.21677419354</v>
      </c>
      <c r="E65" s="1250">
        <f t="shared" si="0"/>
        <v>71237.600000000006</v>
      </c>
      <c r="F65" s="1251">
        <f t="shared" si="9"/>
        <v>0.97517377999999999</v>
      </c>
      <c r="G65" s="1243">
        <f t="shared" si="10"/>
        <v>69.468999999999994</v>
      </c>
      <c r="H65" s="1244">
        <f t="shared" si="1"/>
        <v>221612.26094797355</v>
      </c>
      <c r="I65" s="1245">
        <v>65873</v>
      </c>
      <c r="J65" s="2132">
        <v>0</v>
      </c>
      <c r="K65" s="2133">
        <v>0</v>
      </c>
      <c r="L65" s="1415">
        <v>71237.600000000006</v>
      </c>
      <c r="M65" s="1336">
        <v>0</v>
      </c>
      <c r="N65" s="1336">
        <v>0</v>
      </c>
      <c r="O65" s="1334">
        <v>0</v>
      </c>
      <c r="P65" s="1250">
        <f t="shared" si="2"/>
        <v>71237.600000000006</v>
      </c>
      <c r="Q65" s="1250">
        <f t="shared" si="3"/>
        <v>0</v>
      </c>
      <c r="R65" s="1250">
        <f t="shared" si="4"/>
        <v>0</v>
      </c>
      <c r="S65" s="1246"/>
      <c r="T65" s="1247"/>
      <c r="U65" s="1248">
        <f t="shared" si="11"/>
        <v>-65873</v>
      </c>
      <c r="V65" s="1248">
        <f t="shared" si="5"/>
        <v>65873</v>
      </c>
      <c r="W65" s="1248">
        <f t="shared" si="6"/>
        <v>67520.207458182325</v>
      </c>
      <c r="X65" s="1248">
        <f t="shared" si="12"/>
        <v>-1647.2074581823254</v>
      </c>
      <c r="Y65" s="1249">
        <f t="shared" si="13"/>
        <v>73055.391698639665</v>
      </c>
    </row>
    <row r="66" spans="3:25" x14ac:dyDescent="0.2">
      <c r="C66" s="1240">
        <f t="shared" si="7"/>
        <v>43109</v>
      </c>
      <c r="D66" s="1241">
        <f t="shared" si="8"/>
        <v>150304.21677419354</v>
      </c>
      <c r="E66" s="1250">
        <f t="shared" si="0"/>
        <v>71090.7</v>
      </c>
      <c r="F66" s="1251">
        <f t="shared" si="9"/>
        <v>0.97517377999999999</v>
      </c>
      <c r="G66" s="1243">
        <f t="shared" si="10"/>
        <v>69.325800000000001</v>
      </c>
      <c r="H66" s="1244">
        <f t="shared" si="1"/>
        <v>221465.21774797351</v>
      </c>
      <c r="I66" s="1245">
        <v>66347</v>
      </c>
      <c r="J66" s="2132">
        <v>0</v>
      </c>
      <c r="K66" s="2133">
        <v>0</v>
      </c>
      <c r="L66" s="1413">
        <v>71090.7</v>
      </c>
      <c r="M66" s="1336">
        <v>0</v>
      </c>
      <c r="N66" s="1336">
        <v>0</v>
      </c>
      <c r="O66" s="1334">
        <v>0</v>
      </c>
      <c r="P66" s="1250">
        <f t="shared" si="2"/>
        <v>71090.7</v>
      </c>
      <c r="Q66" s="1250">
        <f t="shared" si="3"/>
        <v>0</v>
      </c>
      <c r="R66" s="1250">
        <f t="shared" si="4"/>
        <v>0</v>
      </c>
      <c r="S66" s="1246"/>
      <c r="T66" s="1247"/>
      <c r="U66" s="1248">
        <f t="shared" si="11"/>
        <v>-66347</v>
      </c>
      <c r="V66" s="1248">
        <f t="shared" si="5"/>
        <v>66347</v>
      </c>
      <c r="W66" s="1248">
        <f t="shared" si="6"/>
        <v>67380.973142657822</v>
      </c>
      <c r="X66" s="1248">
        <f t="shared" si="12"/>
        <v>-1033.9731426578219</v>
      </c>
      <c r="Y66" s="1249">
        <f t="shared" si="13"/>
        <v>72021.418555981843</v>
      </c>
    </row>
    <row r="67" spans="3:25" x14ac:dyDescent="0.2">
      <c r="C67" s="1240">
        <f t="shared" si="7"/>
        <v>43110</v>
      </c>
      <c r="D67" s="1241">
        <f t="shared" si="8"/>
        <v>150304.21677419354</v>
      </c>
      <c r="E67" s="1250">
        <f t="shared" si="0"/>
        <v>71220.009999999995</v>
      </c>
      <c r="F67" s="1251">
        <f t="shared" si="9"/>
        <v>0.97517377999999999</v>
      </c>
      <c r="G67" s="1243">
        <f t="shared" si="10"/>
        <v>69.451899999999995</v>
      </c>
      <c r="H67" s="1244">
        <f t="shared" si="1"/>
        <v>221594.6538479735</v>
      </c>
      <c r="I67" s="1245">
        <v>70139</v>
      </c>
      <c r="J67" s="2132">
        <v>0</v>
      </c>
      <c r="K67" s="2133">
        <v>0</v>
      </c>
      <c r="L67" s="1415">
        <v>71220.009999999995</v>
      </c>
      <c r="M67" s="1336">
        <v>0</v>
      </c>
      <c r="N67" s="1336">
        <v>0</v>
      </c>
      <c r="O67" s="1334">
        <v>0</v>
      </c>
      <c r="P67" s="1250">
        <f t="shared" si="2"/>
        <v>71220.009999999995</v>
      </c>
      <c r="Q67" s="1250">
        <f t="shared" si="3"/>
        <v>0</v>
      </c>
      <c r="R67" s="1250">
        <f t="shared" si="4"/>
        <v>0</v>
      </c>
      <c r="S67" s="1246"/>
      <c r="T67" s="1247"/>
      <c r="U67" s="1248">
        <f t="shared" si="11"/>
        <v>-70139</v>
      </c>
      <c r="V67" s="1248">
        <f t="shared" si="5"/>
        <v>70139</v>
      </c>
      <c r="W67" s="1248">
        <f t="shared" si="6"/>
        <v>67503.535357364919</v>
      </c>
      <c r="X67" s="1248">
        <f t="shared" si="12"/>
        <v>2635.464642635081</v>
      </c>
      <c r="Y67" s="1249">
        <f t="shared" si="13"/>
        <v>74656.883198616924</v>
      </c>
    </row>
    <row r="68" spans="3:25" x14ac:dyDescent="0.2">
      <c r="C68" s="1240">
        <f t="shared" si="7"/>
        <v>43111</v>
      </c>
      <c r="D68" s="1241">
        <f t="shared" si="8"/>
        <v>150304.21677419354</v>
      </c>
      <c r="E68" s="1250">
        <f t="shared" si="0"/>
        <v>70864.800000000003</v>
      </c>
      <c r="F68" s="1251">
        <f t="shared" si="9"/>
        <v>0.97517377999999999</v>
      </c>
      <c r="G68" s="1243">
        <f t="shared" si="10"/>
        <v>69.105500000000006</v>
      </c>
      <c r="H68" s="1244">
        <f t="shared" si="1"/>
        <v>221239.09744797356</v>
      </c>
      <c r="I68" s="1245">
        <v>70139</v>
      </c>
      <c r="J68" s="2132">
        <v>0</v>
      </c>
      <c r="K68" s="2133">
        <v>0</v>
      </c>
      <c r="L68" s="1413">
        <v>70864.800000000003</v>
      </c>
      <c r="M68" s="1336">
        <v>0</v>
      </c>
      <c r="N68" s="1336">
        <v>0</v>
      </c>
      <c r="O68" s="1334">
        <v>0</v>
      </c>
      <c r="P68" s="1250">
        <f t="shared" si="2"/>
        <v>70864.800000000003</v>
      </c>
      <c r="Q68" s="1250">
        <f t="shared" si="3"/>
        <v>0</v>
      </c>
      <c r="R68" s="1250">
        <f t="shared" si="4"/>
        <v>0</v>
      </c>
      <c r="S68" s="1246"/>
      <c r="T68" s="1247"/>
      <c r="U68" s="1248">
        <f t="shared" si="11"/>
        <v>-70139</v>
      </c>
      <c r="V68" s="1248">
        <f t="shared" si="5"/>
        <v>70139</v>
      </c>
      <c r="W68" s="1248">
        <f t="shared" si="6"/>
        <v>67166.861285088191</v>
      </c>
      <c r="X68" s="1248">
        <f t="shared" si="12"/>
        <v>2972.1387149118091</v>
      </c>
      <c r="Y68" s="1249">
        <f t="shared" si="13"/>
        <v>77629.021913528733</v>
      </c>
    </row>
    <row r="69" spans="3:25" x14ac:dyDescent="0.2">
      <c r="C69" s="1240">
        <f t="shared" si="7"/>
        <v>43112</v>
      </c>
      <c r="D69" s="1241">
        <f t="shared" si="8"/>
        <v>150304.21677419354</v>
      </c>
      <c r="E69" s="1250">
        <f t="shared" si="0"/>
        <v>71320.34</v>
      </c>
      <c r="F69" s="1251">
        <f t="shared" si="9"/>
        <v>0.97517377999999999</v>
      </c>
      <c r="G69" s="1243">
        <f t="shared" si="10"/>
        <v>69.549700000000001</v>
      </c>
      <c r="H69" s="1244">
        <f t="shared" si="1"/>
        <v>221695.08164797354</v>
      </c>
      <c r="I69" s="1245">
        <v>70139</v>
      </c>
      <c r="J69" s="2132">
        <v>0</v>
      </c>
      <c r="K69" s="2133">
        <v>0</v>
      </c>
      <c r="L69" s="1415">
        <v>71320.34</v>
      </c>
      <c r="M69" s="1336">
        <v>0</v>
      </c>
      <c r="N69" s="1336">
        <v>0</v>
      </c>
      <c r="O69" s="1334">
        <v>0</v>
      </c>
      <c r="P69" s="1250">
        <f t="shared" si="2"/>
        <v>71320.34</v>
      </c>
      <c r="Q69" s="1250">
        <f t="shared" si="3"/>
        <v>0</v>
      </c>
      <c r="R69" s="1250">
        <f t="shared" si="4"/>
        <v>0</v>
      </c>
      <c r="S69" s="1246"/>
      <c r="T69" s="1247"/>
      <c r="U69" s="1248">
        <f t="shared" si="11"/>
        <v>-70139</v>
      </c>
      <c r="V69" s="1248">
        <f t="shared" si="5"/>
        <v>70139</v>
      </c>
      <c r="W69" s="1248">
        <f t="shared" si="6"/>
        <v>67598.629835762273</v>
      </c>
      <c r="X69" s="1248">
        <f t="shared" si="12"/>
        <v>2540.3701642377273</v>
      </c>
      <c r="Y69" s="1249">
        <f t="shared" si="13"/>
        <v>80169.392077766461</v>
      </c>
    </row>
    <row r="70" spans="3:25" x14ac:dyDescent="0.2">
      <c r="C70" s="1240">
        <f t="shared" si="7"/>
        <v>43113</v>
      </c>
      <c r="D70" s="1241">
        <f t="shared" si="8"/>
        <v>150304.21677419354</v>
      </c>
      <c r="E70" s="1250">
        <f t="shared" si="0"/>
        <v>69102.960000000006</v>
      </c>
      <c r="F70" s="1251">
        <f t="shared" si="9"/>
        <v>0.97517377999999999</v>
      </c>
      <c r="G70" s="1243">
        <f t="shared" si="10"/>
        <v>67.3874</v>
      </c>
      <c r="H70" s="1244">
        <f t="shared" si="1"/>
        <v>219475.53934797354</v>
      </c>
      <c r="I70" s="1245">
        <v>70139</v>
      </c>
      <c r="J70" s="2132">
        <v>0</v>
      </c>
      <c r="K70" s="2133">
        <v>0</v>
      </c>
      <c r="L70" s="1413">
        <v>69102.960000000006</v>
      </c>
      <c r="M70" s="1336">
        <v>0</v>
      </c>
      <c r="N70" s="1336">
        <v>0</v>
      </c>
      <c r="O70" s="1334">
        <v>0</v>
      </c>
      <c r="P70" s="1250">
        <f t="shared" si="2"/>
        <v>69102.960000000006</v>
      </c>
      <c r="Q70" s="1250">
        <f t="shared" si="3"/>
        <v>0</v>
      </c>
      <c r="R70" s="1250">
        <f t="shared" si="4"/>
        <v>0</v>
      </c>
      <c r="S70" s="1246"/>
      <c r="T70" s="1247"/>
      <c r="U70" s="1248">
        <f t="shared" si="11"/>
        <v>-70139</v>
      </c>
      <c r="V70" s="1248">
        <f t="shared" si="5"/>
        <v>70139</v>
      </c>
      <c r="W70" s="1248">
        <f t="shared" si="6"/>
        <v>65496.959403102781</v>
      </c>
      <c r="X70" s="1248">
        <f t="shared" si="12"/>
        <v>4642.0405968972191</v>
      </c>
      <c r="Y70" s="1249">
        <f t="shared" si="13"/>
        <v>84811.43267466368</v>
      </c>
    </row>
    <row r="71" spans="3:25" x14ac:dyDescent="0.2">
      <c r="C71" s="1240">
        <f t="shared" si="7"/>
        <v>43114</v>
      </c>
      <c r="D71" s="1241">
        <f t="shared" si="8"/>
        <v>150304.21677419354</v>
      </c>
      <c r="E71" s="1250">
        <f t="shared" si="0"/>
        <v>67221.77</v>
      </c>
      <c r="F71" s="1251">
        <f t="shared" si="9"/>
        <v>0.97517377999999999</v>
      </c>
      <c r="G71" s="1243">
        <f t="shared" si="10"/>
        <v>65.552899999999994</v>
      </c>
      <c r="H71" s="1244">
        <f t="shared" si="1"/>
        <v>217592.51484797354</v>
      </c>
      <c r="I71" s="1245">
        <v>70139</v>
      </c>
      <c r="J71" s="2132">
        <v>0</v>
      </c>
      <c r="K71" s="2133">
        <v>0</v>
      </c>
      <c r="L71" s="1415">
        <v>67221.77</v>
      </c>
      <c r="M71" s="1336">
        <v>0</v>
      </c>
      <c r="N71" s="1336">
        <v>0</v>
      </c>
      <c r="O71" s="1334">
        <v>0</v>
      </c>
      <c r="P71" s="1250">
        <f t="shared" si="2"/>
        <v>67221.77</v>
      </c>
      <c r="Q71" s="1250">
        <f t="shared" si="3"/>
        <v>0</v>
      </c>
      <c r="R71" s="1250">
        <f t="shared" si="4"/>
        <v>0</v>
      </c>
      <c r="S71" s="1246"/>
      <c r="T71" s="1247"/>
      <c r="U71" s="1248">
        <f t="shared" si="11"/>
        <v>-70139</v>
      </c>
      <c r="V71" s="1248">
        <f t="shared" si="5"/>
        <v>70139</v>
      </c>
      <c r="W71" s="1248">
        <f t="shared" si="6"/>
        <v>63713.935563609899</v>
      </c>
      <c r="X71" s="1248">
        <f t="shared" si="12"/>
        <v>6425.064436390101</v>
      </c>
      <c r="Y71" s="1249">
        <f t="shared" si="13"/>
        <v>91236.497111053788</v>
      </c>
    </row>
    <row r="72" spans="3:25" x14ac:dyDescent="0.2">
      <c r="C72" s="1240">
        <f t="shared" si="7"/>
        <v>43115</v>
      </c>
      <c r="D72" s="1241">
        <f t="shared" si="8"/>
        <v>150304.21677419354</v>
      </c>
      <c r="E72" s="1250">
        <f t="shared" si="0"/>
        <v>71928.350000000006</v>
      </c>
      <c r="F72" s="1251">
        <f t="shared" si="9"/>
        <v>0.97517377999999999</v>
      </c>
      <c r="G72" s="1243">
        <f t="shared" si="10"/>
        <v>70.142600000000002</v>
      </c>
      <c r="H72" s="1244">
        <f t="shared" si="1"/>
        <v>222303.68454797353</v>
      </c>
      <c r="I72" s="1245">
        <v>70139</v>
      </c>
      <c r="J72" s="2132">
        <v>0</v>
      </c>
      <c r="K72" s="2133">
        <v>0</v>
      </c>
      <c r="L72" s="1413">
        <v>71928.350000000006</v>
      </c>
      <c r="M72" s="1336">
        <v>0</v>
      </c>
      <c r="N72" s="1336">
        <v>0</v>
      </c>
      <c r="O72" s="1334">
        <v>0</v>
      </c>
      <c r="P72" s="1250">
        <f t="shared" si="2"/>
        <v>71928.350000000006</v>
      </c>
      <c r="Q72" s="1250">
        <f t="shared" si="3"/>
        <v>0</v>
      </c>
      <c r="R72" s="1250">
        <f t="shared" si="4"/>
        <v>0</v>
      </c>
      <c r="S72" s="1246"/>
      <c r="T72" s="1247"/>
      <c r="U72" s="1248">
        <f t="shared" si="11"/>
        <v>-70139</v>
      </c>
      <c r="V72" s="1248">
        <f t="shared" si="5"/>
        <v>70139</v>
      </c>
      <c r="W72" s="1248">
        <f t="shared" si="6"/>
        <v>68174.912042583528</v>
      </c>
      <c r="X72" s="1248">
        <f t="shared" si="12"/>
        <v>1964.0879574164719</v>
      </c>
      <c r="Y72" s="1249">
        <f t="shared" si="13"/>
        <v>93200.58506847026</v>
      </c>
    </row>
    <row r="73" spans="3:25" x14ac:dyDescent="0.2">
      <c r="C73" s="1240">
        <f t="shared" si="7"/>
        <v>43116</v>
      </c>
      <c r="D73" s="1241">
        <f t="shared" si="8"/>
        <v>150304.21677419354</v>
      </c>
      <c r="E73" s="1250">
        <f t="shared" si="0"/>
        <v>72754.63</v>
      </c>
      <c r="F73" s="1251">
        <f t="shared" si="9"/>
        <v>0.97517377999999999</v>
      </c>
      <c r="G73" s="1243">
        <f t="shared" si="10"/>
        <v>70.948400000000007</v>
      </c>
      <c r="H73" s="1244">
        <f t="shared" si="1"/>
        <v>223130.77034797354</v>
      </c>
      <c r="I73" s="1245">
        <v>70139</v>
      </c>
      <c r="J73" s="2132">
        <v>0</v>
      </c>
      <c r="K73" s="2133">
        <v>0</v>
      </c>
      <c r="L73" s="1415">
        <v>72754.63</v>
      </c>
      <c r="M73" s="1336">
        <v>0</v>
      </c>
      <c r="N73" s="1336">
        <v>0</v>
      </c>
      <c r="O73" s="1334">
        <v>0</v>
      </c>
      <c r="P73" s="1250">
        <f t="shared" si="2"/>
        <v>72754.63</v>
      </c>
      <c r="Q73" s="1250">
        <f t="shared" si="3"/>
        <v>0</v>
      </c>
      <c r="R73" s="1250">
        <f t="shared" si="4"/>
        <v>0</v>
      </c>
      <c r="S73" s="1246"/>
      <c r="T73" s="1247"/>
      <c r="U73" s="1248">
        <f t="shared" si="11"/>
        <v>-70139</v>
      </c>
      <c r="V73" s="1248">
        <f t="shared" si="5"/>
        <v>70139</v>
      </c>
      <c r="W73" s="1248">
        <f t="shared" si="6"/>
        <v>68958.074263356641</v>
      </c>
      <c r="X73" s="1248">
        <f t="shared" si="12"/>
        <v>1180.9257366433594</v>
      </c>
      <c r="Y73" s="1249">
        <f t="shared" si="13"/>
        <v>94381.510805113619</v>
      </c>
    </row>
    <row r="74" spans="3:25" x14ac:dyDescent="0.2">
      <c r="C74" s="1240">
        <f t="shared" si="7"/>
        <v>43117</v>
      </c>
      <c r="D74" s="1241">
        <f t="shared" si="8"/>
        <v>150304.21677419354</v>
      </c>
      <c r="E74" s="1250">
        <f t="shared" si="0"/>
        <v>73469.399999999994</v>
      </c>
      <c r="F74" s="1251">
        <f t="shared" si="9"/>
        <v>0.97517377999999999</v>
      </c>
      <c r="G74" s="1243">
        <f t="shared" si="10"/>
        <v>71.645399999999995</v>
      </c>
      <c r="H74" s="1244">
        <f t="shared" si="1"/>
        <v>223846.23734797354</v>
      </c>
      <c r="I74" s="1245">
        <v>67294</v>
      </c>
      <c r="J74" s="2132">
        <v>0</v>
      </c>
      <c r="K74" s="2133">
        <v>0</v>
      </c>
      <c r="L74" s="1413">
        <v>73469.399999999994</v>
      </c>
      <c r="M74" s="1336">
        <v>0</v>
      </c>
      <c r="N74" s="1336">
        <v>0</v>
      </c>
      <c r="O74" s="1334">
        <v>0</v>
      </c>
      <c r="P74" s="1250">
        <f t="shared" si="2"/>
        <v>73469.399999999994</v>
      </c>
      <c r="Q74" s="1250">
        <f t="shared" si="3"/>
        <v>0</v>
      </c>
      <c r="R74" s="1250">
        <f t="shared" si="4"/>
        <v>0</v>
      </c>
      <c r="S74" s="1246"/>
      <c r="T74" s="1247"/>
      <c r="U74" s="1248">
        <f t="shared" si="11"/>
        <v>-67294</v>
      </c>
      <c r="V74" s="1248">
        <f t="shared" si="5"/>
        <v>67294</v>
      </c>
      <c r="W74" s="1248">
        <f t="shared" si="6"/>
        <v>69635.545411807514</v>
      </c>
      <c r="X74" s="1248">
        <f t="shared" si="12"/>
        <v>-2341.545411807514</v>
      </c>
      <c r="Y74" s="1249">
        <f t="shared" si="13"/>
        <v>92039.965393306105</v>
      </c>
    </row>
    <row r="75" spans="3:25" x14ac:dyDescent="0.2">
      <c r="C75" s="1240">
        <f t="shared" si="7"/>
        <v>43118</v>
      </c>
      <c r="D75" s="1241">
        <f t="shared" si="8"/>
        <v>150304.21677419354</v>
      </c>
      <c r="E75" s="1250">
        <f t="shared" si="0"/>
        <v>72595.3</v>
      </c>
      <c r="F75" s="1251">
        <f t="shared" si="9"/>
        <v>0.97517377999999999</v>
      </c>
      <c r="G75" s="1243">
        <f t="shared" si="10"/>
        <v>70.793000000000006</v>
      </c>
      <c r="H75" s="1244">
        <f t="shared" si="1"/>
        <v>222971.28494797356</v>
      </c>
      <c r="I75" s="1245">
        <v>67294</v>
      </c>
      <c r="J75" s="2132">
        <v>0</v>
      </c>
      <c r="K75" s="2133">
        <v>0</v>
      </c>
      <c r="L75" s="1415">
        <v>72595.3</v>
      </c>
      <c r="M75" s="1336">
        <v>0</v>
      </c>
      <c r="N75" s="1336">
        <v>0</v>
      </c>
      <c r="O75" s="1334">
        <v>0</v>
      </c>
      <c r="P75" s="1250">
        <f t="shared" si="2"/>
        <v>72595.3</v>
      </c>
      <c r="Q75" s="1250">
        <f t="shared" si="3"/>
        <v>0</v>
      </c>
      <c r="R75" s="1250">
        <f t="shared" si="4"/>
        <v>0</v>
      </c>
      <c r="S75" s="1246"/>
      <c r="T75" s="1247"/>
      <c r="U75" s="1248">
        <f t="shared" si="11"/>
        <v>-67294</v>
      </c>
      <c r="V75" s="1248">
        <f t="shared" si="5"/>
        <v>67294</v>
      </c>
      <c r="W75" s="1248">
        <f t="shared" si="6"/>
        <v>68807.058582672398</v>
      </c>
      <c r="X75" s="1248">
        <f t="shared" si="12"/>
        <v>-1513.0585826723982</v>
      </c>
      <c r="Y75" s="1249">
        <f t="shared" si="13"/>
        <v>90526.906810633707</v>
      </c>
    </row>
    <row r="76" spans="3:25" x14ac:dyDescent="0.2">
      <c r="C76" s="1240">
        <f t="shared" si="7"/>
        <v>43119</v>
      </c>
      <c r="D76" s="1241">
        <f t="shared" si="8"/>
        <v>150304.21677419354</v>
      </c>
      <c r="E76" s="1250">
        <f t="shared" si="0"/>
        <v>71236.3</v>
      </c>
      <c r="F76" s="1251">
        <f t="shared" si="9"/>
        <v>0.97517377999999999</v>
      </c>
      <c r="G76" s="1243">
        <f t="shared" si="10"/>
        <v>69.467799999999997</v>
      </c>
      <c r="H76" s="1244">
        <f t="shared" si="1"/>
        <v>221610.95974797357</v>
      </c>
      <c r="I76" s="1245">
        <v>67294</v>
      </c>
      <c r="J76" s="2132">
        <v>0</v>
      </c>
      <c r="K76" s="2133">
        <v>0</v>
      </c>
      <c r="L76" s="1413">
        <v>71236.3</v>
      </c>
      <c r="M76" s="1336">
        <v>0</v>
      </c>
      <c r="N76" s="1336">
        <v>0</v>
      </c>
      <c r="O76" s="1334">
        <v>0</v>
      </c>
      <c r="P76" s="1250">
        <f t="shared" si="2"/>
        <v>71236.3</v>
      </c>
      <c r="Q76" s="1250">
        <f t="shared" si="3"/>
        <v>0</v>
      </c>
      <c r="R76" s="1250">
        <f t="shared" si="4"/>
        <v>0</v>
      </c>
      <c r="S76" s="1246"/>
      <c r="T76" s="1247"/>
      <c r="U76" s="1248">
        <f t="shared" si="11"/>
        <v>-67294</v>
      </c>
      <c r="V76" s="1248">
        <f t="shared" si="5"/>
        <v>67294</v>
      </c>
      <c r="W76" s="1248">
        <f t="shared" si="6"/>
        <v>67518.975296098026</v>
      </c>
      <c r="X76" s="1248">
        <f t="shared" si="12"/>
        <v>-224.97529609802586</v>
      </c>
      <c r="Y76" s="1249">
        <f t="shared" si="13"/>
        <v>90301.931514535681</v>
      </c>
    </row>
    <row r="77" spans="3:25" x14ac:dyDescent="0.2">
      <c r="C77" s="1240">
        <f t="shared" si="7"/>
        <v>43120</v>
      </c>
      <c r="D77" s="1241">
        <f t="shared" si="8"/>
        <v>150304.21677419354</v>
      </c>
      <c r="E77" s="1250">
        <f t="shared" si="0"/>
        <v>67886</v>
      </c>
      <c r="F77" s="1251">
        <f t="shared" si="9"/>
        <v>0.97517377999999999</v>
      </c>
      <c r="G77" s="1243">
        <f t="shared" si="10"/>
        <v>66.200599999999994</v>
      </c>
      <c r="H77" s="1244">
        <f t="shared" si="1"/>
        <v>218257.39254797355</v>
      </c>
      <c r="I77" s="1245">
        <v>70139</v>
      </c>
      <c r="J77" s="2132">
        <v>0</v>
      </c>
      <c r="K77" s="2133">
        <v>0</v>
      </c>
      <c r="L77" s="1415">
        <v>67886</v>
      </c>
      <c r="M77" s="1336">
        <v>0</v>
      </c>
      <c r="N77" s="1336">
        <v>0</v>
      </c>
      <c r="O77" s="1334">
        <v>0</v>
      </c>
      <c r="P77" s="1250">
        <f t="shared" si="2"/>
        <v>67886</v>
      </c>
      <c r="Q77" s="1250">
        <f t="shared" si="3"/>
        <v>0</v>
      </c>
      <c r="R77" s="1250">
        <f t="shared" si="4"/>
        <v>0</v>
      </c>
      <c r="S77" s="1246"/>
      <c r="T77" s="1247"/>
      <c r="U77" s="1248">
        <f t="shared" si="11"/>
        <v>-70139</v>
      </c>
      <c r="V77" s="1248">
        <f t="shared" si="5"/>
        <v>70139</v>
      </c>
      <c r="W77" s="1248">
        <f t="shared" si="6"/>
        <v>64343.504041491637</v>
      </c>
      <c r="X77" s="1248">
        <f t="shared" si="12"/>
        <v>5795.4959585083634</v>
      </c>
      <c r="Y77" s="1249">
        <f t="shared" si="13"/>
        <v>96097.427473044052</v>
      </c>
    </row>
    <row r="78" spans="3:25" x14ac:dyDescent="0.2">
      <c r="C78" s="1240">
        <f t="shared" si="7"/>
        <v>43121</v>
      </c>
      <c r="D78" s="1241">
        <f t="shared" si="8"/>
        <v>150304.21677419354</v>
      </c>
      <c r="E78" s="1250">
        <f t="shared" si="0"/>
        <v>71337.42</v>
      </c>
      <c r="F78" s="1251">
        <f t="shared" si="9"/>
        <v>0.97517377999999999</v>
      </c>
      <c r="G78" s="1243">
        <f t="shared" si="10"/>
        <v>69.566400000000002</v>
      </c>
      <c r="H78" s="1244">
        <f t="shared" si="1"/>
        <v>221712.17834797356</v>
      </c>
      <c r="I78" s="1245">
        <v>70139</v>
      </c>
      <c r="J78" s="2132">
        <v>0</v>
      </c>
      <c r="K78" s="2133">
        <v>0</v>
      </c>
      <c r="L78" s="1413">
        <v>71337.42</v>
      </c>
      <c r="M78" s="1336">
        <v>0</v>
      </c>
      <c r="N78" s="1336">
        <v>0</v>
      </c>
      <c r="O78" s="1334">
        <v>0</v>
      </c>
      <c r="P78" s="1250">
        <f t="shared" si="2"/>
        <v>71337.42</v>
      </c>
      <c r="Q78" s="1250">
        <f t="shared" si="3"/>
        <v>0</v>
      </c>
      <c r="R78" s="1250">
        <f t="shared" si="4"/>
        <v>0</v>
      </c>
      <c r="S78" s="1246"/>
      <c r="T78" s="1247"/>
      <c r="U78" s="1248">
        <f t="shared" si="11"/>
        <v>-70139</v>
      </c>
      <c r="V78" s="1248">
        <f t="shared" si="5"/>
        <v>70139</v>
      </c>
      <c r="W78" s="1248">
        <f t="shared" si="6"/>
        <v>67614.818549915828</v>
      </c>
      <c r="X78" s="1248">
        <f t="shared" si="12"/>
        <v>2524.181450084172</v>
      </c>
      <c r="Y78" s="1249">
        <f t="shared" si="13"/>
        <v>98621.608923128224</v>
      </c>
    </row>
    <row r="79" spans="3:25" x14ac:dyDescent="0.2">
      <c r="C79" s="1240">
        <f t="shared" si="7"/>
        <v>43122</v>
      </c>
      <c r="D79" s="1241">
        <f t="shared" si="8"/>
        <v>150304.21677419354</v>
      </c>
      <c r="E79" s="1250">
        <f t="shared" si="0"/>
        <v>71456.740000000005</v>
      </c>
      <c r="F79" s="1251">
        <f t="shared" si="9"/>
        <v>0.97517377999999999</v>
      </c>
      <c r="G79" s="1243">
        <f t="shared" si="10"/>
        <v>69.682699999999997</v>
      </c>
      <c r="H79" s="1244">
        <f t="shared" si="1"/>
        <v>221831.61464797356</v>
      </c>
      <c r="I79" s="1245">
        <v>70139</v>
      </c>
      <c r="J79" s="2132">
        <v>0</v>
      </c>
      <c r="K79" s="2133">
        <v>0</v>
      </c>
      <c r="L79" s="1415">
        <v>71456.740000000005</v>
      </c>
      <c r="M79" s="1336">
        <v>0</v>
      </c>
      <c r="N79" s="1336">
        <v>0</v>
      </c>
      <c r="O79" s="1334">
        <v>0</v>
      </c>
      <c r="P79" s="1250">
        <f t="shared" si="2"/>
        <v>71456.740000000005</v>
      </c>
      <c r="Q79" s="1250">
        <f t="shared" si="3"/>
        <v>0</v>
      </c>
      <c r="R79" s="1250">
        <f t="shared" si="4"/>
        <v>0</v>
      </c>
      <c r="S79" s="1246"/>
      <c r="T79" s="1247"/>
      <c r="U79" s="1248">
        <f t="shared" si="11"/>
        <v>-70139</v>
      </c>
      <c r="V79" s="1248">
        <f t="shared" si="5"/>
        <v>70139</v>
      </c>
      <c r="W79" s="1248">
        <f t="shared" si="6"/>
        <v>67727.912072913678</v>
      </c>
      <c r="X79" s="1248">
        <f t="shared" si="12"/>
        <v>2411.0879270863225</v>
      </c>
      <c r="Y79" s="1249">
        <f t="shared" si="13"/>
        <v>101032.69685021455</v>
      </c>
    </row>
    <row r="80" spans="3:25" x14ac:dyDescent="0.2">
      <c r="C80" s="1240">
        <f t="shared" si="7"/>
        <v>43123</v>
      </c>
      <c r="D80" s="1241">
        <f t="shared" si="8"/>
        <v>150304.21677419354</v>
      </c>
      <c r="E80" s="1250">
        <f t="shared" si="0"/>
        <v>71996</v>
      </c>
      <c r="F80" s="1251">
        <f t="shared" si="9"/>
        <v>0.97517377999999999</v>
      </c>
      <c r="G80" s="1243">
        <f t="shared" si="10"/>
        <v>70.208600000000004</v>
      </c>
      <c r="H80" s="1244">
        <f t="shared" si="1"/>
        <v>222371.40054797355</v>
      </c>
      <c r="I80" s="1245">
        <v>66127</v>
      </c>
      <c r="J80" s="2132">
        <v>0</v>
      </c>
      <c r="K80" s="2133">
        <v>0</v>
      </c>
      <c r="L80" s="1413">
        <v>71996</v>
      </c>
      <c r="M80" s="1336">
        <v>0</v>
      </c>
      <c r="N80" s="1336">
        <v>0</v>
      </c>
      <c r="O80" s="1334">
        <v>0</v>
      </c>
      <c r="P80" s="1250">
        <f t="shared" si="2"/>
        <v>71996</v>
      </c>
      <c r="Q80" s="1250">
        <f t="shared" si="3"/>
        <v>0</v>
      </c>
      <c r="R80" s="1250">
        <f t="shared" si="4"/>
        <v>0</v>
      </c>
      <c r="S80" s="1246"/>
      <c r="T80" s="1247"/>
      <c r="U80" s="1248">
        <f t="shared" si="11"/>
        <v>-66127</v>
      </c>
      <c r="V80" s="1248">
        <f t="shared" si="5"/>
        <v>66127</v>
      </c>
      <c r="W80" s="1248">
        <f t="shared" si="6"/>
        <v>68239.031861815864</v>
      </c>
      <c r="X80" s="1248">
        <f t="shared" si="12"/>
        <v>-2112.0318618158635</v>
      </c>
      <c r="Y80" s="1249">
        <f t="shared" si="13"/>
        <v>98920.664988398683</v>
      </c>
    </row>
    <row r="81" spans="2:38" x14ac:dyDescent="0.2">
      <c r="C81" s="1240">
        <f t="shared" si="7"/>
        <v>43124</v>
      </c>
      <c r="D81" s="1241">
        <f t="shared" si="8"/>
        <v>150304.21677419354</v>
      </c>
      <c r="E81" s="1250">
        <f t="shared" si="0"/>
        <v>71625.16</v>
      </c>
      <c r="F81" s="1251">
        <f t="shared" si="9"/>
        <v>0.97517377999999999</v>
      </c>
      <c r="G81" s="1243">
        <f t="shared" si="10"/>
        <v>69.846999999999994</v>
      </c>
      <c r="H81" s="1244">
        <f t="shared" si="1"/>
        <v>222000.19894797355</v>
      </c>
      <c r="I81" s="1245">
        <v>68243</v>
      </c>
      <c r="J81" s="2132">
        <v>0</v>
      </c>
      <c r="K81" s="2133">
        <v>0</v>
      </c>
      <c r="L81" s="1415">
        <v>71625.16</v>
      </c>
      <c r="M81" s="1336">
        <v>0</v>
      </c>
      <c r="N81" s="1336">
        <v>0</v>
      </c>
      <c r="O81" s="1334">
        <v>0</v>
      </c>
      <c r="P81" s="1250">
        <f t="shared" si="2"/>
        <v>71625.16</v>
      </c>
      <c r="Q81" s="1250">
        <f t="shared" si="3"/>
        <v>0</v>
      </c>
      <c r="R81" s="1250">
        <f t="shared" si="4"/>
        <v>0</v>
      </c>
      <c r="S81" s="1246"/>
      <c r="T81" s="1247"/>
      <c r="U81" s="1248">
        <f t="shared" si="11"/>
        <v>-68243</v>
      </c>
      <c r="V81" s="1248">
        <f t="shared" si="5"/>
        <v>68243</v>
      </c>
      <c r="W81" s="1248">
        <f t="shared" si="6"/>
        <v>67887.543410018057</v>
      </c>
      <c r="X81" s="1248">
        <f t="shared" si="12"/>
        <v>355.45658998194267</v>
      </c>
      <c r="Y81" s="1249">
        <f t="shared" si="13"/>
        <v>99276.121578380626</v>
      </c>
    </row>
    <row r="82" spans="2:38" x14ac:dyDescent="0.2">
      <c r="C82" s="1240">
        <f t="shared" si="7"/>
        <v>43125</v>
      </c>
      <c r="D82" s="1241">
        <f t="shared" si="8"/>
        <v>150304.21677419354</v>
      </c>
      <c r="E82" s="1250">
        <f t="shared" si="0"/>
        <v>72300.509999999995</v>
      </c>
      <c r="F82" s="1251">
        <f t="shared" si="9"/>
        <v>0.97517377999999999</v>
      </c>
      <c r="G82" s="1243">
        <f t="shared" si="10"/>
        <v>70.505600000000001</v>
      </c>
      <c r="H82" s="1244">
        <f t="shared" si="1"/>
        <v>222676.20754797352</v>
      </c>
      <c r="I82" s="1245">
        <v>68243</v>
      </c>
      <c r="J82" s="2132">
        <v>0</v>
      </c>
      <c r="K82" s="2133">
        <v>0</v>
      </c>
      <c r="L82" s="1413">
        <v>72300.509999999995</v>
      </c>
      <c r="M82" s="1336">
        <v>0</v>
      </c>
      <c r="N82" s="1336">
        <v>0</v>
      </c>
      <c r="O82" s="1334">
        <v>0</v>
      </c>
      <c r="P82" s="1250">
        <f t="shared" si="2"/>
        <v>72300.509999999995</v>
      </c>
      <c r="Q82" s="1250">
        <f t="shared" si="3"/>
        <v>0</v>
      </c>
      <c r="R82" s="1250">
        <f t="shared" si="4"/>
        <v>0</v>
      </c>
      <c r="S82" s="1246"/>
      <c r="T82" s="1247"/>
      <c r="U82" s="1248">
        <f t="shared" si="11"/>
        <v>-68243</v>
      </c>
      <c r="V82" s="1248">
        <f t="shared" si="5"/>
        <v>68243</v>
      </c>
      <c r="W82" s="1248">
        <f t="shared" si="6"/>
        <v>68527.651612805377</v>
      </c>
      <c r="X82" s="1248">
        <f t="shared" si="12"/>
        <v>-284.65161280537723</v>
      </c>
      <c r="Y82" s="1249">
        <f t="shared" si="13"/>
        <v>98991.469965575248</v>
      </c>
    </row>
    <row r="83" spans="2:38" x14ac:dyDescent="0.2">
      <c r="C83" s="1240">
        <f t="shared" si="7"/>
        <v>43126</v>
      </c>
      <c r="D83" s="1241">
        <f t="shared" si="8"/>
        <v>150304.21677419354</v>
      </c>
      <c r="E83" s="1250">
        <f t="shared" si="0"/>
        <v>72520.13</v>
      </c>
      <c r="F83" s="1251">
        <f t="shared" si="9"/>
        <v>0.97517377999999999</v>
      </c>
      <c r="G83" s="1243">
        <f t="shared" si="10"/>
        <v>70.719700000000003</v>
      </c>
      <c r="H83" s="1244">
        <f t="shared" si="1"/>
        <v>222896.04164797353</v>
      </c>
      <c r="I83" s="1245">
        <v>67295</v>
      </c>
      <c r="J83" s="2132">
        <v>0</v>
      </c>
      <c r="K83" s="2133">
        <v>0</v>
      </c>
      <c r="L83" s="1415">
        <v>72520.13</v>
      </c>
      <c r="M83" s="1336">
        <v>0</v>
      </c>
      <c r="N83" s="1336">
        <v>0</v>
      </c>
      <c r="O83" s="1334">
        <v>0</v>
      </c>
      <c r="P83" s="1250">
        <f t="shared" si="2"/>
        <v>72520.13</v>
      </c>
      <c r="Q83" s="1250">
        <f t="shared" si="3"/>
        <v>0</v>
      </c>
      <c r="R83" s="1250">
        <f t="shared" si="4"/>
        <v>0</v>
      </c>
      <c r="S83" s="1246"/>
      <c r="T83" s="1247"/>
      <c r="U83" s="1248">
        <f t="shared" si="11"/>
        <v>-67295</v>
      </c>
      <c r="V83" s="1248">
        <f t="shared" si="5"/>
        <v>67295</v>
      </c>
      <c r="W83" s="1248">
        <f t="shared" si="6"/>
        <v>68735.811179690936</v>
      </c>
      <c r="X83" s="1248">
        <f t="shared" si="12"/>
        <v>-1440.8111796909361</v>
      </c>
      <c r="Y83" s="1249">
        <f t="shared" si="13"/>
        <v>97550.658785884312</v>
      </c>
    </row>
    <row r="84" spans="2:38" x14ac:dyDescent="0.2">
      <c r="C84" s="1240">
        <f t="shared" si="7"/>
        <v>43127</v>
      </c>
      <c r="D84" s="1241">
        <f t="shared" si="8"/>
        <v>150304.21677419354</v>
      </c>
      <c r="E84" s="1250">
        <f t="shared" si="0"/>
        <v>72164.13</v>
      </c>
      <c r="F84" s="1251">
        <f t="shared" si="9"/>
        <v>0.97517377999999999</v>
      </c>
      <c r="G84" s="1243">
        <f t="shared" si="10"/>
        <v>70.372600000000006</v>
      </c>
      <c r="H84" s="1244">
        <f t="shared" si="1"/>
        <v>222539.69454797354</v>
      </c>
      <c r="I84" s="1245">
        <v>71254</v>
      </c>
      <c r="J84" s="2132">
        <v>0</v>
      </c>
      <c r="K84" s="2133">
        <v>0</v>
      </c>
      <c r="L84" s="1413">
        <v>72164.13</v>
      </c>
      <c r="M84" s="1336">
        <v>0</v>
      </c>
      <c r="N84" s="1336">
        <v>0</v>
      </c>
      <c r="O84" s="1334">
        <v>0</v>
      </c>
      <c r="P84" s="1250">
        <f t="shared" si="2"/>
        <v>72164.13</v>
      </c>
      <c r="Q84" s="1250">
        <f t="shared" si="3"/>
        <v>0</v>
      </c>
      <c r="R84" s="1250">
        <f t="shared" si="4"/>
        <v>0</v>
      </c>
      <c r="S84" s="1246"/>
      <c r="T84" s="1247"/>
      <c r="U84" s="1248">
        <f t="shared" si="11"/>
        <v>-71254</v>
      </c>
      <c r="V84" s="1248">
        <f t="shared" si="5"/>
        <v>71254</v>
      </c>
      <c r="W84" s="1248">
        <f t="shared" si="6"/>
        <v>68398.388331993759</v>
      </c>
      <c r="X84" s="1248">
        <f t="shared" si="12"/>
        <v>2855.6116680062405</v>
      </c>
      <c r="Y84" s="1249">
        <f t="shared" si="13"/>
        <v>100406.27045389055</v>
      </c>
    </row>
    <row r="85" spans="2:38" x14ac:dyDescent="0.2">
      <c r="C85" s="1240">
        <f t="shared" si="7"/>
        <v>43128</v>
      </c>
      <c r="D85" s="1241">
        <f t="shared" si="8"/>
        <v>150304.21677419354</v>
      </c>
      <c r="E85" s="1250">
        <f t="shared" si="0"/>
        <v>71949.64</v>
      </c>
      <c r="F85" s="1251">
        <f t="shared" si="9"/>
        <v>0.97517377999999999</v>
      </c>
      <c r="G85" s="1243">
        <f t="shared" si="10"/>
        <v>70.163399999999996</v>
      </c>
      <c r="H85" s="1244">
        <f t="shared" si="1"/>
        <v>222324.99534797351</v>
      </c>
      <c r="I85" s="1245">
        <v>71254</v>
      </c>
      <c r="J85" s="2132">
        <v>0</v>
      </c>
      <c r="K85" s="2133">
        <v>0</v>
      </c>
      <c r="L85" s="1415">
        <v>71949.64</v>
      </c>
      <c r="M85" s="1336">
        <v>0</v>
      </c>
      <c r="N85" s="1336">
        <v>0</v>
      </c>
      <c r="O85" s="1334">
        <v>0</v>
      </c>
      <c r="P85" s="1250">
        <f t="shared" si="2"/>
        <v>71949.64</v>
      </c>
      <c r="Q85" s="1250">
        <f t="shared" si="3"/>
        <v>0</v>
      </c>
      <c r="R85" s="1250">
        <f t="shared" si="4"/>
        <v>0</v>
      </c>
      <c r="S85" s="1246"/>
      <c r="T85" s="1247"/>
      <c r="U85" s="1248">
        <f t="shared" si="11"/>
        <v>-71254</v>
      </c>
      <c r="V85" s="1248">
        <f t="shared" si="5"/>
        <v>71254</v>
      </c>
      <c r="W85" s="1248">
        <f t="shared" si="6"/>
        <v>68195.091066256195</v>
      </c>
      <c r="X85" s="1248">
        <f t="shared" si="12"/>
        <v>3058.9089337438054</v>
      </c>
      <c r="Y85" s="1249">
        <f t="shared" si="13"/>
        <v>103465.17938763436</v>
      </c>
    </row>
    <row r="86" spans="2:38" x14ac:dyDescent="0.2">
      <c r="C86" s="1240">
        <f t="shared" si="7"/>
        <v>43129</v>
      </c>
      <c r="D86" s="1241">
        <f t="shared" si="8"/>
        <v>150304.21677419354</v>
      </c>
      <c r="E86" s="1250">
        <f t="shared" si="0"/>
        <v>72241.789999999994</v>
      </c>
      <c r="F86" s="1251">
        <f t="shared" si="9"/>
        <v>0.97517377999999999</v>
      </c>
      <c r="G86" s="1243">
        <f t="shared" si="10"/>
        <v>70.448300000000003</v>
      </c>
      <c r="H86" s="1244">
        <f t="shared" si="1"/>
        <v>222617.43024797353</v>
      </c>
      <c r="I86" s="1245">
        <v>72203</v>
      </c>
      <c r="J86" s="2132">
        <v>0</v>
      </c>
      <c r="K86" s="2133">
        <v>0</v>
      </c>
      <c r="L86" s="1413">
        <v>72241.789999999994</v>
      </c>
      <c r="M86" s="1336">
        <v>0</v>
      </c>
      <c r="N86" s="1336">
        <v>0</v>
      </c>
      <c r="O86" s="1334">
        <v>0</v>
      </c>
      <c r="P86" s="1250">
        <f t="shared" si="2"/>
        <v>72241.789999999994</v>
      </c>
      <c r="Q86" s="1250">
        <f t="shared" si="3"/>
        <v>0</v>
      </c>
      <c r="R86" s="1250">
        <f t="shared" si="4"/>
        <v>0</v>
      </c>
      <c r="S86" s="1246"/>
      <c r="T86" s="1247"/>
      <c r="U86" s="1248">
        <f t="shared" si="11"/>
        <v>-72203</v>
      </c>
      <c r="V86" s="1248">
        <f t="shared" si="5"/>
        <v>72203</v>
      </c>
      <c r="W86" s="1248">
        <f t="shared" si="6"/>
        <v>68471.995799275101</v>
      </c>
      <c r="X86" s="1248">
        <f t="shared" si="12"/>
        <v>3731.0042007248994</v>
      </c>
      <c r="Y86" s="1249">
        <f t="shared" si="13"/>
        <v>107196.18358835926</v>
      </c>
    </row>
    <row r="87" spans="2:38" x14ac:dyDescent="0.2">
      <c r="C87" s="1240">
        <f t="shared" si="7"/>
        <v>43130</v>
      </c>
      <c r="D87" s="1241">
        <f t="shared" si="8"/>
        <v>150304.21677419354</v>
      </c>
      <c r="E87" s="1250">
        <f t="shared" si="0"/>
        <v>72450.33</v>
      </c>
      <c r="F87" s="1251">
        <f t="shared" si="9"/>
        <v>0.97517377999999999</v>
      </c>
      <c r="G87" s="1243">
        <f t="shared" si="10"/>
        <v>70.651700000000005</v>
      </c>
      <c r="H87" s="1244">
        <f t="shared" si="1"/>
        <v>222826.17364797351</v>
      </c>
      <c r="I87" s="1245">
        <v>71086</v>
      </c>
      <c r="J87" s="2132">
        <v>0</v>
      </c>
      <c r="K87" s="2133">
        <v>0</v>
      </c>
      <c r="L87" s="1415">
        <v>72450.33</v>
      </c>
      <c r="M87" s="1336">
        <v>0</v>
      </c>
      <c r="N87" s="1336">
        <v>0</v>
      </c>
      <c r="O87" s="1334">
        <v>0</v>
      </c>
      <c r="P87" s="1250">
        <f t="shared" si="2"/>
        <v>72450.33</v>
      </c>
      <c r="Q87" s="1250">
        <f t="shared" si="3"/>
        <v>0</v>
      </c>
      <c r="R87" s="1250">
        <f t="shared" si="4"/>
        <v>0</v>
      </c>
      <c r="S87" s="1246"/>
      <c r="T87" s="1247"/>
      <c r="U87" s="1248">
        <f t="shared" si="11"/>
        <v>-71086</v>
      </c>
      <c r="V87" s="1248">
        <f t="shared" si="5"/>
        <v>71086</v>
      </c>
      <c r="W87" s="1248">
        <f t="shared" si="6"/>
        <v>68669.653553934579</v>
      </c>
      <c r="X87" s="1248">
        <f t="shared" si="12"/>
        <v>2416.3464460654213</v>
      </c>
      <c r="Y87" s="1249">
        <f t="shared" si="13"/>
        <v>109612.53003442468</v>
      </c>
    </row>
    <row r="88" spans="2:38" ht="12.75" thickBot="1" x14ac:dyDescent="0.25">
      <c r="C88" s="1252">
        <v>42947</v>
      </c>
      <c r="D88" s="1253">
        <f t="shared" si="8"/>
        <v>150304.21677419354</v>
      </c>
      <c r="E88" s="1254">
        <f t="shared" si="0"/>
        <v>72195.66</v>
      </c>
      <c r="F88" s="1255">
        <f t="shared" si="9"/>
        <v>0.97517377999999999</v>
      </c>
      <c r="G88" s="1256">
        <f t="shared" si="10"/>
        <v>70.403300000000002</v>
      </c>
      <c r="H88" s="1257">
        <f>SUM(D88:G88)</f>
        <v>222571.25524797355</v>
      </c>
      <c r="I88" s="1419">
        <v>71086</v>
      </c>
      <c r="J88" s="2134">
        <v>0</v>
      </c>
      <c r="K88" s="2135">
        <v>0</v>
      </c>
      <c r="L88" s="1416">
        <v>72195.66</v>
      </c>
      <c r="M88" s="1348">
        <v>0</v>
      </c>
      <c r="N88" s="1348">
        <v>0</v>
      </c>
      <c r="O88" s="1335">
        <v>0</v>
      </c>
      <c r="P88" s="1254">
        <f t="shared" si="2"/>
        <v>72195.66</v>
      </c>
      <c r="Q88" s="1254">
        <f t="shared" si="3"/>
        <v>0</v>
      </c>
      <c r="R88" s="1254">
        <f t="shared" si="4"/>
        <v>0</v>
      </c>
      <c r="S88" s="1258"/>
      <c r="T88" s="1259"/>
      <c r="U88" s="1260">
        <f t="shared" si="11"/>
        <v>-71086</v>
      </c>
      <c r="V88" s="1260">
        <f t="shared" si="5"/>
        <v>71086</v>
      </c>
      <c r="W88" s="1260">
        <f t="shared" si="6"/>
        <v>68428.273001622671</v>
      </c>
      <c r="X88" s="1260">
        <f t="shared" si="12"/>
        <v>2657.7269983773294</v>
      </c>
      <c r="Y88" s="1261">
        <f t="shared" si="13"/>
        <v>112270.25703280201</v>
      </c>
    </row>
    <row r="89" spans="2:38" ht="12.75" thickBot="1" x14ac:dyDescent="0.25">
      <c r="C89" s="1262"/>
      <c r="D89" s="1263">
        <f>SUM(D58:D88)</f>
        <v>4659430.72</v>
      </c>
      <c r="E89" s="1264">
        <f>SUM(E58:E88)</f>
        <v>2116351.3299999996</v>
      </c>
      <c r="F89" s="1264"/>
      <c r="G89" s="1265">
        <f>SUM(G58:G88)</f>
        <v>2063.8102999999996</v>
      </c>
      <c r="H89" s="1263">
        <f>SUM(H58:H88)</f>
        <v>6777876.0906871799</v>
      </c>
      <c r="I89" s="1266">
        <f>SUM(I58:I88)</f>
        <v>2118184</v>
      </c>
      <c r="J89" s="1266">
        <f t="shared" ref="J89:R89" si="14">SUM(J58:J88)</f>
        <v>0</v>
      </c>
      <c r="K89" s="1266">
        <f t="shared" si="14"/>
        <v>0</v>
      </c>
      <c r="L89" s="1266">
        <f>SUM(L58:L88)</f>
        <v>2116351.3299999996</v>
      </c>
      <c r="M89" s="1266">
        <f t="shared" si="14"/>
        <v>0</v>
      </c>
      <c r="N89" s="1266">
        <f t="shared" si="14"/>
        <v>0</v>
      </c>
      <c r="O89" s="1266">
        <f t="shared" si="14"/>
        <v>0</v>
      </c>
      <c r="P89" s="1266">
        <f t="shared" si="14"/>
        <v>2116351.3299999996</v>
      </c>
      <c r="Q89" s="1266">
        <f t="shared" si="14"/>
        <v>0</v>
      </c>
      <c r="R89" s="1266">
        <f t="shared" si="14"/>
        <v>0</v>
      </c>
      <c r="S89" s="1267">
        <f>SUM(S58:S88)</f>
        <v>0</v>
      </c>
      <c r="U89" s="1268"/>
      <c r="V89" s="1269">
        <f>SUM(V58:V88)</f>
        <v>2118184</v>
      </c>
      <c r="W89" s="1269">
        <f>SUM(W58:W88)</f>
        <v>2005913.7429671984</v>
      </c>
      <c r="X89" s="1269">
        <f>SUM(X58:X88)</f>
        <v>112270.25703280201</v>
      </c>
      <c r="Y89" s="1270">
        <f>Y88</f>
        <v>112270.25703280201</v>
      </c>
      <c r="AL89" s="1267">
        <f>Y88</f>
        <v>112270.25703280201</v>
      </c>
    </row>
    <row r="90" spans="2:38" ht="15" customHeight="1" thickBot="1" x14ac:dyDescent="0.25">
      <c r="B90" s="1179"/>
      <c r="C90" s="1179"/>
      <c r="D90" s="1179"/>
      <c r="E90" s="1179"/>
      <c r="F90" s="1179"/>
      <c r="G90" s="1179"/>
      <c r="H90" s="1179"/>
      <c r="I90" s="1179"/>
      <c r="J90" s="1179"/>
      <c r="K90" s="1179"/>
      <c r="L90" s="1179"/>
      <c r="N90" s="1178"/>
    </row>
    <row r="91" spans="2:38" x14ac:dyDescent="0.2">
      <c r="D91" s="1271" t="s">
        <v>155</v>
      </c>
      <c r="E91" s="1272" t="s">
        <v>156</v>
      </c>
      <c r="F91" s="1273" t="s">
        <v>112</v>
      </c>
    </row>
    <row r="92" spans="2:38" x14ac:dyDescent="0.2">
      <c r="D92" s="1274">
        <v>4659430.72</v>
      </c>
      <c r="E92" s="1275">
        <f>D89</f>
        <v>4659430.72</v>
      </c>
      <c r="F92" s="1276">
        <f>D92-E92</f>
        <v>0</v>
      </c>
    </row>
    <row r="93" spans="2:38" ht="12.75" thickBot="1" x14ac:dyDescent="0.25">
      <c r="D93" s="1277">
        <v>2063.1999999999998</v>
      </c>
      <c r="E93" s="1278">
        <f>ROUND(G89,2)</f>
        <v>2063.81</v>
      </c>
      <c r="F93" s="1279">
        <f>D93-E93</f>
        <v>-0.61000000000012733</v>
      </c>
    </row>
  </sheetData>
  <mergeCells count="7">
    <mergeCell ref="C16:E16"/>
    <mergeCell ref="S56:Y56"/>
    <mergeCell ref="C3:M4"/>
    <mergeCell ref="C5:M5"/>
    <mergeCell ref="C6:M6"/>
    <mergeCell ref="C14:E14"/>
    <mergeCell ref="C15:E15"/>
  </mergeCells>
  <conditionalFormatting sqref="L58:L88">
    <cfRule type="cellIs" dxfId="113" priority="3" stopIfTrue="1" operator="equal">
      <formula>0</formula>
    </cfRule>
  </conditionalFormatting>
  <conditionalFormatting sqref="I58:I88">
    <cfRule type="cellIs" dxfId="112" priority="1" stopIfTrue="1" operator="equal">
      <formula>0</formula>
    </cfRule>
  </conditionalFormatting>
  <hyperlinks>
    <hyperlink ref="J22" r:id="rId1"/>
  </hyperlinks>
  <printOptions horizontalCentered="1"/>
  <pageMargins left="0.59055118110236227" right="0.39370078740157483" top="0" bottom="0" header="0" footer="0.51181102362204722"/>
  <pageSetup scale="67" orientation="landscape" r:id="rId2"/>
  <drawing r:id="rId3"/>
  <legacyDrawing r:id="rId4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2:AL93"/>
  <sheetViews>
    <sheetView workbookViewId="0"/>
  </sheetViews>
  <sheetFormatPr baseColWidth="10" defaultColWidth="11" defaultRowHeight="12.75" x14ac:dyDescent="0.2"/>
  <cols>
    <col min="1" max="1" width="11" style="829"/>
    <col min="2" max="2" width="3.875" style="829" bestFit="1" customWidth="1"/>
    <col min="3" max="3" width="16.125" style="829" customWidth="1"/>
    <col min="4" max="4" width="14.625" style="829" customWidth="1"/>
    <col min="5" max="5" width="12.875" style="829" customWidth="1"/>
    <col min="6" max="6" width="17.125" style="829" bestFit="1" customWidth="1"/>
    <col min="7" max="7" width="13.125" style="829" bestFit="1" customWidth="1"/>
    <col min="8" max="8" width="13.375" style="829" bestFit="1" customWidth="1"/>
    <col min="9" max="9" width="21.625" style="829" customWidth="1"/>
    <col min="10" max="10" width="15.125" style="829" customWidth="1"/>
    <col min="11" max="11" width="11.625" style="829" bestFit="1" customWidth="1"/>
    <col min="12" max="12" width="16" style="829" customWidth="1"/>
    <col min="13" max="13" width="15.125" style="829" customWidth="1"/>
    <col min="14" max="14" width="16.125" style="827" bestFit="1" customWidth="1"/>
    <col min="15" max="16" width="11.125" style="829" bestFit="1" customWidth="1"/>
    <col min="17" max="17" width="12.625" style="829" bestFit="1" customWidth="1"/>
    <col min="18" max="18" width="10.875" style="829" customWidth="1"/>
    <col min="19" max="19" width="11.625" style="829" bestFit="1" customWidth="1"/>
    <col min="20" max="20" width="11" style="829"/>
    <col min="21" max="21" width="15.125" style="829" customWidth="1"/>
    <col min="22" max="24" width="11.125" style="829" bestFit="1" customWidth="1"/>
    <col min="25" max="25" width="15" style="829" bestFit="1" customWidth="1"/>
    <col min="26" max="26" width="11.125" style="843" bestFit="1" customWidth="1"/>
    <col min="27" max="32" width="11" style="843"/>
    <col min="33" max="37" width="11" style="829"/>
    <col min="38" max="38" width="11.125" style="829" bestFit="1" customWidth="1"/>
    <col min="39" max="16384" width="11" style="829"/>
  </cols>
  <sheetData>
    <row r="2" spans="2:25" x14ac:dyDescent="0.2">
      <c r="B2" s="827"/>
      <c r="C2" s="828"/>
      <c r="D2" s="828"/>
      <c r="E2" s="828"/>
      <c r="F2" s="828"/>
      <c r="G2" s="828"/>
      <c r="H2" s="828"/>
      <c r="I2" s="828"/>
      <c r="J2" s="828"/>
      <c r="K2" s="828"/>
      <c r="L2" s="828"/>
      <c r="M2" s="828"/>
      <c r="N2" s="828"/>
    </row>
    <row r="3" spans="2:25" ht="15" customHeight="1" x14ac:dyDescent="0.2">
      <c r="B3" s="827"/>
      <c r="C3" s="2295"/>
      <c r="D3" s="2295"/>
      <c r="E3" s="2295"/>
      <c r="F3" s="2295"/>
      <c r="G3" s="2295"/>
      <c r="H3" s="2295"/>
      <c r="I3" s="2295"/>
      <c r="J3" s="2295"/>
      <c r="K3" s="2295"/>
      <c r="L3" s="2295"/>
      <c r="M3" s="2295"/>
      <c r="N3" s="828"/>
    </row>
    <row r="4" spans="2:25" ht="15" customHeight="1" x14ac:dyDescent="0.2">
      <c r="B4" s="827"/>
      <c r="C4" s="2295"/>
      <c r="D4" s="2295"/>
      <c r="E4" s="2295"/>
      <c r="F4" s="2295"/>
      <c r="G4" s="2295"/>
      <c r="H4" s="2295"/>
      <c r="I4" s="2295"/>
      <c r="J4" s="2295"/>
      <c r="K4" s="2295"/>
      <c r="L4" s="2295"/>
      <c r="M4" s="2295"/>
      <c r="N4" s="828"/>
    </row>
    <row r="5" spans="2:25" x14ac:dyDescent="0.2">
      <c r="B5" s="827"/>
      <c r="C5" s="2296"/>
      <c r="D5" s="2296"/>
      <c r="E5" s="2296"/>
      <c r="F5" s="2296"/>
      <c r="G5" s="2296"/>
      <c r="H5" s="2296"/>
      <c r="I5" s="2296"/>
      <c r="J5" s="2296"/>
      <c r="K5" s="2296"/>
      <c r="L5" s="2296"/>
      <c r="M5" s="2296"/>
      <c r="N5" s="828"/>
    </row>
    <row r="6" spans="2:25" x14ac:dyDescent="0.2">
      <c r="B6" s="827"/>
      <c r="C6" s="2296"/>
      <c r="D6" s="2296"/>
      <c r="E6" s="2296"/>
      <c r="F6" s="2296"/>
      <c r="G6" s="2296"/>
      <c r="H6" s="2296"/>
      <c r="I6" s="2296"/>
      <c r="J6" s="2296"/>
      <c r="K6" s="2296"/>
      <c r="L6" s="2296"/>
      <c r="M6" s="2296"/>
      <c r="N6" s="828"/>
    </row>
    <row r="7" spans="2:25" x14ac:dyDescent="0.2">
      <c r="B7" s="827"/>
      <c r="C7" s="830">
        <v>43132</v>
      </c>
      <c r="D7" s="830"/>
      <c r="E7" s="830"/>
      <c r="F7" s="830"/>
      <c r="G7" s="830"/>
      <c r="H7" s="830"/>
      <c r="I7" s="830"/>
      <c r="J7" s="830"/>
      <c r="K7" s="830"/>
      <c r="L7" s="830"/>
      <c r="M7" s="830"/>
      <c r="N7" s="830"/>
      <c r="O7" s="830"/>
      <c r="P7" s="830"/>
      <c r="Q7" s="830"/>
      <c r="R7" s="827"/>
      <c r="S7" s="827"/>
      <c r="T7" s="827"/>
      <c r="U7" s="827"/>
      <c r="V7" s="827"/>
      <c r="W7" s="827"/>
      <c r="X7" s="827"/>
      <c r="Y7" s="827"/>
    </row>
    <row r="8" spans="2:25" ht="19.5" customHeight="1" x14ac:dyDescent="0.2">
      <c r="B8" s="827"/>
      <c r="C8" s="1174"/>
      <c r="D8" s="1174"/>
      <c r="E8" s="1174"/>
      <c r="F8" s="1174"/>
      <c r="G8" s="1174"/>
      <c r="H8" s="1174"/>
      <c r="I8" s="1174"/>
      <c r="J8" s="1174"/>
      <c r="K8" s="1174"/>
      <c r="L8" s="1174"/>
      <c r="M8" s="828"/>
      <c r="N8" s="828"/>
      <c r="O8" s="827"/>
      <c r="P8" s="827"/>
      <c r="Q8" s="827"/>
      <c r="R8" s="827"/>
      <c r="S8" s="827"/>
      <c r="T8" s="827"/>
      <c r="U8" s="827"/>
      <c r="V8" s="827"/>
      <c r="W8" s="827"/>
      <c r="X8" s="827"/>
      <c r="Y8" s="827"/>
    </row>
    <row r="9" spans="2:25" ht="19.5" customHeight="1" x14ac:dyDescent="0.2">
      <c r="B9" s="827"/>
      <c r="C9" s="1174"/>
      <c r="D9" s="1174"/>
      <c r="E9" s="1174"/>
      <c r="F9" s="1174"/>
      <c r="G9" s="1174"/>
      <c r="H9" s="1174"/>
      <c r="I9" s="1174"/>
      <c r="J9" s="1174"/>
      <c r="K9" s="1174"/>
      <c r="L9" s="1174"/>
      <c r="M9" s="828"/>
      <c r="N9" s="828"/>
      <c r="O9" s="827"/>
      <c r="P9" s="827"/>
      <c r="Q9" s="827"/>
      <c r="R9" s="827"/>
      <c r="S9" s="827"/>
      <c r="T9" s="827"/>
      <c r="U9" s="827"/>
      <c r="V9" s="827"/>
      <c r="W9" s="827"/>
      <c r="X9" s="827"/>
      <c r="Y9" s="827"/>
    </row>
    <row r="10" spans="2:25" ht="19.5" customHeight="1" x14ac:dyDescent="0.2">
      <c r="B10" s="827"/>
      <c r="C10" s="1174"/>
      <c r="D10" s="1174"/>
      <c r="E10" s="1174"/>
      <c r="F10" s="1174"/>
      <c r="G10" s="1174"/>
      <c r="H10" s="1174"/>
      <c r="I10" s="1174"/>
      <c r="J10" s="1174"/>
      <c r="K10" s="1174"/>
      <c r="L10" s="1174"/>
      <c r="M10" s="828"/>
      <c r="N10" s="828"/>
      <c r="O10" s="827"/>
      <c r="P10" s="827"/>
      <c r="Q10" s="827"/>
      <c r="R10" s="827"/>
      <c r="S10" s="827"/>
      <c r="T10" s="827"/>
      <c r="U10" s="827"/>
      <c r="V10" s="827"/>
      <c r="W10" s="827"/>
      <c r="X10" s="827"/>
      <c r="Y10" s="827"/>
    </row>
    <row r="11" spans="2:25" ht="19.5" customHeight="1" x14ac:dyDescent="0.2">
      <c r="B11" s="827"/>
      <c r="C11" s="1174"/>
      <c r="D11" s="1174"/>
      <c r="E11" s="1174"/>
      <c r="F11" s="1174"/>
      <c r="G11" s="1174"/>
      <c r="H11" s="1174"/>
      <c r="I11" s="1174"/>
      <c r="J11" s="1174"/>
      <c r="K11" s="1174"/>
      <c r="L11" s="1174"/>
      <c r="M11" s="828"/>
      <c r="N11" s="828"/>
      <c r="O11" s="827"/>
      <c r="P11" s="827"/>
      <c r="Q11" s="827"/>
      <c r="R11" s="827"/>
      <c r="S11" s="827"/>
      <c r="T11" s="827"/>
      <c r="U11" s="827"/>
      <c r="V11" s="827"/>
      <c r="W11" s="827"/>
      <c r="X11" s="827"/>
      <c r="Y11" s="827"/>
    </row>
    <row r="12" spans="2:25" ht="19.5" customHeight="1" x14ac:dyDescent="0.2">
      <c r="B12" s="827"/>
      <c r="C12" s="1174"/>
      <c r="D12" s="1174"/>
      <c r="E12" s="1174"/>
      <c r="F12" s="1174"/>
      <c r="G12" s="1174"/>
      <c r="H12" s="1174"/>
      <c r="I12" s="1174"/>
      <c r="J12" s="1174"/>
      <c r="K12" s="1174"/>
      <c r="L12" s="1174"/>
      <c r="M12" s="828"/>
      <c r="N12" s="828"/>
      <c r="O12" s="827"/>
      <c r="P12" s="827"/>
      <c r="Q12" s="827"/>
      <c r="R12" s="827"/>
      <c r="S12" s="827"/>
      <c r="T12" s="827"/>
      <c r="U12" s="827"/>
      <c r="V12" s="827"/>
      <c r="W12" s="827"/>
      <c r="X12" s="827"/>
      <c r="Y12" s="827"/>
    </row>
    <row r="13" spans="2:25" ht="19.5" customHeight="1" thickBot="1" x14ac:dyDescent="0.25">
      <c r="B13" s="827"/>
      <c r="C13" s="1174"/>
      <c r="D13" s="1174"/>
      <c r="E13" s="1174"/>
      <c r="F13" s="1174"/>
      <c r="G13" s="1174"/>
      <c r="H13" s="1174"/>
      <c r="I13" s="1174"/>
      <c r="J13" s="1174"/>
      <c r="K13" s="1174"/>
      <c r="L13" s="1174"/>
      <c r="M13" s="828"/>
      <c r="N13" s="828"/>
      <c r="O13" s="827"/>
      <c r="P13" s="827"/>
      <c r="Q13" s="827"/>
      <c r="R13" s="827"/>
      <c r="S13" s="827"/>
      <c r="T13" s="827"/>
      <c r="U13" s="827"/>
      <c r="V13" s="827"/>
      <c r="W13" s="827"/>
      <c r="X13" s="827"/>
      <c r="Y13" s="827"/>
    </row>
    <row r="14" spans="2:25" ht="26.25" thickBot="1" x14ac:dyDescent="0.25">
      <c r="B14" s="827"/>
      <c r="C14" s="2297" t="s">
        <v>6</v>
      </c>
      <c r="D14" s="2298"/>
      <c r="E14" s="2299"/>
      <c r="F14" s="1280" t="s">
        <v>227</v>
      </c>
      <c r="G14" s="1280" t="s">
        <v>230</v>
      </c>
      <c r="H14" s="1280" t="s">
        <v>228</v>
      </c>
      <c r="I14" s="1280" t="s">
        <v>229</v>
      </c>
      <c r="J14" s="1281" t="s">
        <v>126</v>
      </c>
      <c r="K14" s="1281" t="s">
        <v>133</v>
      </c>
      <c r="L14" s="1280" t="s">
        <v>127</v>
      </c>
      <c r="M14" s="1280" t="s">
        <v>128</v>
      </c>
      <c r="N14" s="828"/>
      <c r="O14" s="827"/>
      <c r="P14" s="827"/>
      <c r="Q14" s="827"/>
      <c r="R14" s="827"/>
      <c r="S14" s="827"/>
      <c r="T14" s="827"/>
      <c r="U14" s="827"/>
      <c r="V14" s="827"/>
      <c r="W14" s="827"/>
      <c r="X14" s="827"/>
      <c r="Y14" s="827"/>
    </row>
    <row r="15" spans="2:25" ht="13.5" thickBot="1" x14ac:dyDescent="0.25">
      <c r="B15" s="827"/>
      <c r="C15" s="2300" t="s">
        <v>131</v>
      </c>
      <c r="D15" s="2300"/>
      <c r="E15" s="2300"/>
      <c r="F15" s="1282"/>
      <c r="G15" s="1283" t="s">
        <v>165</v>
      </c>
      <c r="H15" s="1284"/>
      <c r="I15" s="1285">
        <f>IF(E92=0,F92,E92)</f>
        <v>4659430.7200000035</v>
      </c>
      <c r="J15" s="1286">
        <f>I15*0.16</f>
        <v>745508.91520000051</v>
      </c>
      <c r="K15" s="1286">
        <f>I15+J15</f>
        <v>5404939.6352000041</v>
      </c>
      <c r="L15" s="800" t="s">
        <v>240</v>
      </c>
      <c r="M15" s="1287">
        <v>18.600100000000001</v>
      </c>
      <c r="O15" s="827"/>
      <c r="P15" s="827"/>
      <c r="Q15" s="827"/>
      <c r="R15" s="827"/>
      <c r="S15" s="827"/>
      <c r="T15" s="827"/>
      <c r="U15" s="827"/>
      <c r="V15" s="827"/>
      <c r="W15" s="827"/>
      <c r="X15" s="827"/>
      <c r="Y15" s="827"/>
    </row>
    <row r="16" spans="2:25" ht="14.25" customHeight="1" thickBot="1" x14ac:dyDescent="0.25">
      <c r="B16" s="827"/>
      <c r="C16" s="2300" t="s">
        <v>132</v>
      </c>
      <c r="D16" s="2300"/>
      <c r="E16" s="2300"/>
      <c r="F16" s="1282"/>
      <c r="G16" s="1283" t="s">
        <v>165</v>
      </c>
      <c r="H16" s="1284"/>
      <c r="I16" s="1285">
        <f>IF(E93=0,F93,E93)</f>
        <v>1960.81</v>
      </c>
      <c r="J16" s="1286">
        <f>I16*0.16</f>
        <v>313.7296</v>
      </c>
      <c r="K16" s="1286">
        <f>I16+J16</f>
        <v>2274.5396000000001</v>
      </c>
      <c r="L16" s="800" t="s">
        <v>241</v>
      </c>
      <c r="M16" s="1287">
        <v>18.600100000000001</v>
      </c>
      <c r="O16" s="827"/>
      <c r="P16" s="827"/>
      <c r="Q16" s="827"/>
      <c r="R16" s="827"/>
      <c r="S16" s="827"/>
      <c r="T16" s="827"/>
      <c r="U16" s="827"/>
      <c r="V16" s="827"/>
      <c r="W16" s="827"/>
      <c r="X16" s="827"/>
      <c r="Y16" s="827"/>
    </row>
    <row r="17" spans="2:32" x14ac:dyDescent="0.2">
      <c r="B17" s="827"/>
      <c r="C17" s="1174"/>
      <c r="D17" s="1174"/>
      <c r="E17" s="1174"/>
      <c r="F17" s="1174"/>
      <c r="G17" s="1174"/>
      <c r="H17" s="827"/>
      <c r="I17" s="827"/>
      <c r="J17" s="827"/>
      <c r="K17" s="827"/>
      <c r="L17" s="827"/>
      <c r="M17" s="827"/>
      <c r="O17" s="827"/>
      <c r="P17" s="827"/>
      <c r="Q17" s="827"/>
      <c r="R17" s="827"/>
      <c r="S17" s="827"/>
      <c r="T17" s="827"/>
      <c r="U17" s="827"/>
      <c r="V17" s="827"/>
      <c r="W17" s="827"/>
      <c r="X17" s="827"/>
      <c r="Y17" s="827"/>
    </row>
    <row r="18" spans="2:32" x14ac:dyDescent="0.2">
      <c r="B18" s="827"/>
      <c r="C18" s="1174"/>
      <c r="D18" s="1174"/>
      <c r="E18" s="1174"/>
      <c r="F18" s="1174"/>
      <c r="G18" s="1174"/>
      <c r="H18" s="827"/>
      <c r="I18" s="827"/>
      <c r="J18" s="827"/>
      <c r="K18" s="827"/>
      <c r="L18" s="827"/>
      <c r="O18" s="827"/>
      <c r="P18" s="827"/>
      <c r="Q18" s="827"/>
      <c r="R18" s="827"/>
      <c r="S18" s="827"/>
      <c r="T18" s="827"/>
      <c r="U18" s="827"/>
      <c r="V18" s="827"/>
      <c r="W18" s="827"/>
      <c r="X18" s="827"/>
      <c r="Y18" s="827"/>
    </row>
    <row r="19" spans="2:32" ht="13.5" thickBot="1" x14ac:dyDescent="0.25">
      <c r="B19" s="827"/>
      <c r="C19" s="849" t="s">
        <v>137</v>
      </c>
      <c r="D19" s="1174" t="s">
        <v>138</v>
      </c>
      <c r="E19" s="1174"/>
      <c r="F19" s="1174" t="s">
        <v>139</v>
      </c>
      <c r="G19" s="1174" t="s">
        <v>3</v>
      </c>
      <c r="H19" s="1174" t="s">
        <v>364</v>
      </c>
      <c r="I19" s="1174" t="s">
        <v>365</v>
      </c>
      <c r="J19" s="1174" t="s">
        <v>245</v>
      </c>
      <c r="K19" s="1174" t="s">
        <v>246</v>
      </c>
      <c r="L19" s="1174" t="s">
        <v>247</v>
      </c>
      <c r="M19" s="1174" t="s">
        <v>145</v>
      </c>
      <c r="N19" s="1174"/>
      <c r="O19" s="1174"/>
      <c r="P19" s="1174"/>
      <c r="Q19" s="827"/>
      <c r="R19" s="827"/>
      <c r="S19" s="827"/>
      <c r="T19" s="827"/>
      <c r="U19" s="827"/>
      <c r="V19" s="827"/>
      <c r="W19" s="827"/>
      <c r="X19" s="827"/>
      <c r="Y19" s="827"/>
    </row>
    <row r="20" spans="2:32" ht="43.5" customHeight="1" thickBot="1" x14ac:dyDescent="0.25">
      <c r="B20" s="827"/>
      <c r="C20" s="1288" t="s">
        <v>134</v>
      </c>
      <c r="D20" s="1288" t="s">
        <v>135</v>
      </c>
      <c r="E20" s="1288"/>
      <c r="F20" s="1288" t="s">
        <v>136</v>
      </c>
      <c r="G20" s="1288" t="s">
        <v>153</v>
      </c>
      <c r="H20" s="1288" t="s">
        <v>129</v>
      </c>
      <c r="I20" s="1288" t="s">
        <v>130</v>
      </c>
      <c r="J20" s="1288"/>
      <c r="K20" s="1288"/>
      <c r="L20" s="1288"/>
      <c r="M20" s="1288" t="s">
        <v>158</v>
      </c>
      <c r="N20" s="1174"/>
      <c r="O20" s="1174"/>
      <c r="P20" s="1174"/>
      <c r="Q20" s="1174"/>
      <c r="R20" s="1174"/>
      <c r="S20" s="1174"/>
      <c r="T20" s="1174"/>
      <c r="U20" s="827"/>
      <c r="V20" s="827"/>
      <c r="W20" s="827"/>
      <c r="X20" s="827"/>
      <c r="Y20" s="827"/>
    </row>
    <row r="21" spans="2:32" ht="13.5" thickBot="1" x14ac:dyDescent="0.25">
      <c r="B21" s="827"/>
      <c r="C21" s="836">
        <v>850</v>
      </c>
      <c r="D21" s="836">
        <v>850</v>
      </c>
      <c r="E21" s="836"/>
      <c r="F21" s="841">
        <v>31482640</v>
      </c>
      <c r="G21" s="869">
        <v>28</v>
      </c>
      <c r="H21" s="2164">
        <f>VLOOKUP(C56,Tarifas!D4:H303,3)</f>
        <v>0.14799999999999999</v>
      </c>
      <c r="I21" s="2165">
        <f>VLOOKUP(C56,Tarifas!D4:H303,5)</f>
        <v>1E-3</v>
      </c>
      <c r="J21" s="2164">
        <v>197.8</v>
      </c>
      <c r="K21" s="2164">
        <v>201.4</v>
      </c>
      <c r="L21" s="869"/>
      <c r="M21" s="1289">
        <f>E89</f>
        <v>1996492.97</v>
      </c>
      <c r="N21" s="855"/>
      <c r="O21" s="855"/>
      <c r="P21" s="1174"/>
      <c r="Q21" s="1174"/>
      <c r="R21" s="1174"/>
      <c r="S21" s="1174"/>
      <c r="T21" s="1174"/>
      <c r="U21" s="827"/>
      <c r="V21" s="827"/>
      <c r="W21" s="827"/>
      <c r="X21" s="827"/>
      <c r="Y21" s="827"/>
    </row>
    <row r="22" spans="2:32" x14ac:dyDescent="0.2">
      <c r="B22" s="827"/>
      <c r="C22" s="1174"/>
      <c r="D22" s="1174"/>
      <c r="E22" s="1174"/>
      <c r="F22" s="1174"/>
      <c r="G22" s="1174"/>
      <c r="H22" s="1174"/>
      <c r="I22" s="1174"/>
      <c r="J22" s="856" t="s">
        <v>62</v>
      </c>
      <c r="K22" s="1174"/>
      <c r="L22" s="1174"/>
      <c r="M22" s="1174"/>
      <c r="N22" s="1174"/>
      <c r="O22" s="1174"/>
      <c r="P22" s="1174"/>
      <c r="Q22" s="1174"/>
      <c r="R22" s="1174"/>
      <c r="S22" s="827"/>
      <c r="T22" s="827"/>
      <c r="U22" s="827"/>
      <c r="V22" s="827"/>
      <c r="W22" s="827"/>
      <c r="X22" s="827"/>
      <c r="Y22" s="827"/>
    </row>
    <row r="23" spans="2:32" x14ac:dyDescent="0.2">
      <c r="B23" s="827"/>
      <c r="C23" s="1174"/>
      <c r="D23" s="1174"/>
      <c r="E23" s="1174"/>
      <c r="F23" s="1174"/>
      <c r="G23" s="1174"/>
      <c r="H23" s="1174"/>
      <c r="I23" s="1174"/>
      <c r="J23" s="1174"/>
      <c r="K23" s="1174"/>
      <c r="L23" s="1174"/>
      <c r="M23" s="1174"/>
      <c r="N23" s="1174"/>
      <c r="O23" s="1174"/>
      <c r="P23" s="827"/>
      <c r="Q23" s="827"/>
      <c r="R23" s="827"/>
      <c r="S23" s="827"/>
      <c r="T23" s="827"/>
      <c r="U23" s="827"/>
      <c r="V23" s="827"/>
      <c r="W23" s="827"/>
      <c r="X23" s="827"/>
      <c r="Y23" s="827"/>
    </row>
    <row r="24" spans="2:32" x14ac:dyDescent="0.2">
      <c r="B24" s="827"/>
      <c r="C24" s="1174"/>
      <c r="D24" s="1174"/>
      <c r="E24" s="1174"/>
      <c r="F24" s="1174"/>
      <c r="G24" s="1174"/>
      <c r="H24" s="1174"/>
      <c r="I24" s="1174"/>
      <c r="J24" s="1174"/>
      <c r="K24" s="1174"/>
      <c r="L24" s="1174"/>
      <c r="M24" s="1174"/>
      <c r="N24" s="1174"/>
      <c r="O24" s="827"/>
      <c r="P24" s="827"/>
      <c r="Q24" s="857" t="s">
        <v>235</v>
      </c>
      <c r="R24" s="827"/>
      <c r="S24" s="827"/>
      <c r="T24" s="827"/>
      <c r="U24" s="827"/>
      <c r="V24" s="827"/>
      <c r="W24" s="827"/>
      <c r="X24" s="843"/>
      <c r="Y24" s="843"/>
      <c r="AE24" s="829"/>
      <c r="AF24" s="829"/>
    </row>
    <row r="25" spans="2:32" ht="13.5" thickBot="1" x14ac:dyDescent="0.25">
      <c r="B25" s="827"/>
      <c r="C25" s="858" t="s">
        <v>86</v>
      </c>
      <c r="D25" s="858"/>
      <c r="E25" s="858"/>
      <c r="F25" s="858"/>
      <c r="G25" s="858"/>
      <c r="H25" s="859"/>
      <c r="I25" s="858"/>
      <c r="J25" s="858"/>
      <c r="K25" s="858"/>
      <c r="L25" s="859"/>
      <c r="M25" s="860"/>
      <c r="N25" s="861"/>
      <c r="Q25" s="827"/>
      <c r="R25" s="827"/>
      <c r="S25" s="827"/>
      <c r="T25" s="827"/>
      <c r="U25" s="827"/>
      <c r="V25" s="827"/>
      <c r="W25" s="827"/>
      <c r="X25" s="843"/>
      <c r="Y25" s="843"/>
      <c r="Z25" s="862">
        <v>0</v>
      </c>
      <c r="AE25" s="829"/>
      <c r="AF25" s="829"/>
    </row>
    <row r="26" spans="2:32" ht="26.25" thickBot="1" x14ac:dyDescent="0.25">
      <c r="B26" s="827"/>
      <c r="C26" s="1288" t="s">
        <v>87</v>
      </c>
      <c r="D26" s="1280" t="s">
        <v>88</v>
      </c>
      <c r="E26" s="1280" t="s">
        <v>237</v>
      </c>
      <c r="F26" s="1281" t="s">
        <v>160</v>
      </c>
      <c r="G26" s="1280" t="s">
        <v>236</v>
      </c>
      <c r="H26" s="1281" t="s">
        <v>232</v>
      </c>
      <c r="I26" s="1281" t="s">
        <v>233</v>
      </c>
      <c r="J26" s="1281" t="s">
        <v>20</v>
      </c>
      <c r="K26" s="1288" t="s">
        <v>91</v>
      </c>
      <c r="L26" s="1280" t="s">
        <v>93</v>
      </c>
      <c r="M26" s="1280" t="s">
        <v>94</v>
      </c>
      <c r="N26" s="1281" t="s">
        <v>95</v>
      </c>
      <c r="P26" s="1280" t="s">
        <v>237</v>
      </c>
      <c r="Q26" s="1281" t="s">
        <v>160</v>
      </c>
      <c r="R26" s="1280" t="s">
        <v>236</v>
      </c>
      <c r="S26" s="1281" t="s">
        <v>232</v>
      </c>
      <c r="T26" s="1281" t="s">
        <v>233</v>
      </c>
      <c r="U26" s="1281" t="s">
        <v>20</v>
      </c>
      <c r="V26" s="1288" t="s">
        <v>91</v>
      </c>
      <c r="W26" s="1280" t="s">
        <v>93</v>
      </c>
      <c r="X26" s="1280" t="s">
        <v>94</v>
      </c>
      <c r="Y26" s="1280" t="s">
        <v>95</v>
      </c>
      <c r="Z26" s="861"/>
      <c r="AE26" s="829"/>
      <c r="AF26" s="829"/>
    </row>
    <row r="27" spans="2:32" ht="20.100000000000001" customHeight="1" thickBot="1" x14ac:dyDescent="0.25">
      <c r="B27" s="827"/>
      <c r="C27" s="836" t="s">
        <v>101</v>
      </c>
      <c r="D27" s="836" t="s">
        <v>101</v>
      </c>
      <c r="E27" s="836"/>
      <c r="F27" s="836" t="s">
        <v>101</v>
      </c>
      <c r="G27" s="836" t="s">
        <v>101</v>
      </c>
      <c r="H27" s="836"/>
      <c r="I27" s="836"/>
      <c r="J27" s="865" t="s">
        <v>97</v>
      </c>
      <c r="K27" s="841">
        <v>0</v>
      </c>
      <c r="L27" s="866">
        <v>0</v>
      </c>
      <c r="M27" s="1677">
        <f>ROUND(L27*H$15,2)</f>
        <v>0</v>
      </c>
      <c r="N27" s="1677">
        <f>M27*$M$15</f>
        <v>0</v>
      </c>
      <c r="P27" s="836"/>
      <c r="Q27" s="836" t="s">
        <v>101</v>
      </c>
      <c r="R27" s="836" t="s">
        <v>101</v>
      </c>
      <c r="S27" s="836"/>
      <c r="T27" s="836"/>
      <c r="U27" s="865" t="s">
        <v>97</v>
      </c>
      <c r="V27" s="841">
        <v>0</v>
      </c>
      <c r="W27" s="866">
        <v>0</v>
      </c>
      <c r="X27" s="1677">
        <f>ROUND(W27*V$15,2)</f>
        <v>0</v>
      </c>
      <c r="Y27" s="1677">
        <f>IF(Z25=0,N27,(M27*Z25))</f>
        <v>0</v>
      </c>
      <c r="Z27" s="860"/>
      <c r="AE27" s="829"/>
      <c r="AF27" s="829"/>
    </row>
    <row r="28" spans="2:32" ht="20.100000000000001" customHeight="1" thickBot="1" x14ac:dyDescent="0.25">
      <c r="B28" s="827"/>
      <c r="C28" s="836" t="s">
        <v>101</v>
      </c>
      <c r="D28" s="836" t="s">
        <v>101</v>
      </c>
      <c r="E28" s="836"/>
      <c r="F28" s="836" t="s">
        <v>101</v>
      </c>
      <c r="G28" s="836" t="s">
        <v>101</v>
      </c>
      <c r="H28" s="836"/>
      <c r="I28" s="836"/>
      <c r="J28" s="865" t="s">
        <v>97</v>
      </c>
      <c r="K28" s="841">
        <v>0</v>
      </c>
      <c r="L28" s="866">
        <v>0</v>
      </c>
      <c r="M28" s="1677">
        <f>ROUND(L28*H$15,2)</f>
        <v>0</v>
      </c>
      <c r="N28" s="1677">
        <f>M28*$M$15</f>
        <v>0</v>
      </c>
      <c r="P28" s="836"/>
      <c r="Q28" s="836" t="s">
        <v>101</v>
      </c>
      <c r="R28" s="836" t="s">
        <v>101</v>
      </c>
      <c r="S28" s="836"/>
      <c r="T28" s="836"/>
      <c r="U28" s="865" t="s">
        <v>97</v>
      </c>
      <c r="V28" s="841">
        <v>0</v>
      </c>
      <c r="W28" s="866">
        <v>0</v>
      </c>
      <c r="X28" s="1677">
        <f>ROUND(W28*V$15,2)</f>
        <v>0</v>
      </c>
      <c r="Y28" s="1677">
        <f>IF(Z26=0,N28,(M28*Z26))</f>
        <v>0</v>
      </c>
      <c r="Z28" s="860"/>
      <c r="AE28" s="829"/>
      <c r="AF28" s="829"/>
    </row>
    <row r="29" spans="2:32" ht="20.100000000000001" customHeight="1" thickBot="1" x14ac:dyDescent="0.25">
      <c r="B29" s="827"/>
      <c r="C29" s="836" t="s">
        <v>101</v>
      </c>
      <c r="D29" s="836" t="s">
        <v>101</v>
      </c>
      <c r="E29" s="836"/>
      <c r="F29" s="836" t="s">
        <v>101</v>
      </c>
      <c r="G29" s="836" t="s">
        <v>101</v>
      </c>
      <c r="H29" s="836"/>
      <c r="I29" s="836"/>
      <c r="J29" s="865" t="s">
        <v>100</v>
      </c>
      <c r="K29" s="841">
        <v>0</v>
      </c>
      <c r="L29" s="866">
        <v>0</v>
      </c>
      <c r="M29" s="1677">
        <f>ROUND(L29*H$15,2)</f>
        <v>0</v>
      </c>
      <c r="N29" s="1677">
        <f>M29*$M$15</f>
        <v>0</v>
      </c>
      <c r="P29" s="836"/>
      <c r="Q29" s="836" t="s">
        <v>101</v>
      </c>
      <c r="R29" s="836" t="s">
        <v>101</v>
      </c>
      <c r="S29" s="836"/>
      <c r="T29" s="836"/>
      <c r="U29" s="865" t="s">
        <v>100</v>
      </c>
      <c r="V29" s="841">
        <v>0</v>
      </c>
      <c r="W29" s="866">
        <v>0</v>
      </c>
      <c r="X29" s="1677">
        <f>ROUND(W29*V$15,2)</f>
        <v>0</v>
      </c>
      <c r="Y29" s="1677">
        <f>IF(Z27=0,N29,(M29*Z27))</f>
        <v>0</v>
      </c>
      <c r="Z29" s="860"/>
      <c r="AE29" s="829"/>
      <c r="AF29" s="829"/>
    </row>
    <row r="30" spans="2:32" ht="20.100000000000001" customHeight="1" thickBot="1" x14ac:dyDescent="0.25">
      <c r="B30" s="827"/>
      <c r="C30" s="836">
        <v>800832451</v>
      </c>
      <c r="D30" s="869">
        <v>253</v>
      </c>
      <c r="E30" s="869" t="s">
        <v>239</v>
      </c>
      <c r="F30" s="836" t="s">
        <v>238</v>
      </c>
      <c r="G30" s="836">
        <v>100887241</v>
      </c>
      <c r="H30" s="836">
        <v>7249</v>
      </c>
      <c r="I30" s="836">
        <v>468079</v>
      </c>
      <c r="J30" s="865" t="s">
        <v>23</v>
      </c>
      <c r="K30" s="841">
        <v>80000</v>
      </c>
      <c r="L30" s="866">
        <v>0.09</v>
      </c>
      <c r="M30" s="1677">
        <f>ROUND(L30*I$15,2)</f>
        <v>419348.76</v>
      </c>
      <c r="N30" s="1722">
        <f>M30*M15</f>
        <v>7799928.8708760003</v>
      </c>
      <c r="P30" s="869"/>
      <c r="Q30" s="836" t="s">
        <v>221</v>
      </c>
      <c r="R30" s="836" t="s">
        <v>222</v>
      </c>
      <c r="S30" s="836"/>
      <c r="T30" s="836"/>
      <c r="U30" s="865" t="s">
        <v>23</v>
      </c>
      <c r="V30" s="841">
        <v>80000</v>
      </c>
      <c r="W30" s="866">
        <v>0.09</v>
      </c>
      <c r="X30" s="1677">
        <f>ROUND(W30*W$15,2)</f>
        <v>0</v>
      </c>
      <c r="Y30" s="1677">
        <f>IF(Z28=0,N30,(M30*Z28))</f>
        <v>7799928.8708760003</v>
      </c>
      <c r="Z30" s="860"/>
      <c r="AE30" s="829"/>
      <c r="AF30" s="829"/>
    </row>
    <row r="31" spans="2:32" ht="20.100000000000001" customHeight="1" thickBot="1" x14ac:dyDescent="0.25">
      <c r="B31" s="827"/>
      <c r="C31" s="836">
        <v>800832451</v>
      </c>
      <c r="D31" s="869">
        <v>6</v>
      </c>
      <c r="E31" s="869" t="s">
        <v>242</v>
      </c>
      <c r="F31" s="836" t="s">
        <v>221</v>
      </c>
      <c r="G31" s="836" t="s">
        <v>222</v>
      </c>
      <c r="H31" s="836">
        <v>2233</v>
      </c>
      <c r="I31" s="836">
        <v>453882</v>
      </c>
      <c r="J31" s="865" t="s">
        <v>159</v>
      </c>
      <c r="K31" s="841">
        <v>770000</v>
      </c>
      <c r="L31" s="866">
        <v>0.91</v>
      </c>
      <c r="M31" s="1677">
        <f>ROUND(L31*I$15,2)</f>
        <v>4240081.96</v>
      </c>
      <c r="N31" s="1722">
        <f>M31*M15</f>
        <v>78865948.464196011</v>
      </c>
      <c r="P31" s="869"/>
      <c r="Q31" s="836" t="s">
        <v>221</v>
      </c>
      <c r="R31" s="836" t="s">
        <v>222</v>
      </c>
      <c r="S31" s="836"/>
      <c r="T31" s="836"/>
      <c r="U31" s="865" t="s">
        <v>159</v>
      </c>
      <c r="V31" s="841">
        <v>770000</v>
      </c>
      <c r="W31" s="866">
        <v>0.91</v>
      </c>
      <c r="X31" s="1677">
        <f>ROUND(W31*W$15,2)</f>
        <v>0</v>
      </c>
      <c r="Y31" s="1677">
        <f>IF(Z29=0,N31,(M31*Z29))</f>
        <v>78865948.464196011</v>
      </c>
      <c r="Z31" s="860"/>
      <c r="AE31" s="829"/>
      <c r="AF31" s="829"/>
    </row>
    <row r="32" spans="2:32" ht="20.100000000000001" customHeight="1" x14ac:dyDescent="0.2">
      <c r="B32" s="827"/>
      <c r="C32" s="881">
        <v>3000623</v>
      </c>
      <c r="D32" s="882" t="s">
        <v>102</v>
      </c>
      <c r="E32" s="882"/>
      <c r="F32" s="882"/>
      <c r="G32" s="882"/>
      <c r="H32" s="882"/>
      <c r="I32" s="883"/>
      <c r="J32" s="883"/>
      <c r="K32" s="884">
        <f>SUM(K27:K31)</f>
        <v>850000</v>
      </c>
      <c r="L32" s="885">
        <f>SUM(L27:L31)</f>
        <v>1</v>
      </c>
      <c r="M32" s="1662">
        <f>SUM(M27:M31)</f>
        <v>4659430.72</v>
      </c>
      <c r="N32" s="1662">
        <f>SUM(N27:N31)</f>
        <v>86665877.335072011</v>
      </c>
      <c r="P32" s="882"/>
      <c r="Q32" s="882"/>
      <c r="R32" s="882"/>
      <c r="S32" s="882"/>
      <c r="T32" s="883"/>
      <c r="U32" s="883"/>
      <c r="V32" s="884">
        <f>SUM(V27:V31)</f>
        <v>850000</v>
      </c>
      <c r="W32" s="885">
        <f>SUM(W27:W31)</f>
        <v>1</v>
      </c>
      <c r="X32" s="1662">
        <f>SUM(X27:X31)</f>
        <v>0</v>
      </c>
      <c r="Y32" s="1662">
        <f>SUM(Y27:Y31)</f>
        <v>86665877.335072011</v>
      </c>
      <c r="Z32" s="827"/>
      <c r="AE32" s="829"/>
      <c r="AF32" s="829"/>
    </row>
    <row r="33" spans="2:32" ht="20.100000000000001" customHeight="1" x14ac:dyDescent="0.2">
      <c r="B33" s="827"/>
      <c r="C33" s="860"/>
      <c r="D33" s="860"/>
      <c r="E33" s="860"/>
      <c r="F33" s="860"/>
      <c r="G33" s="888"/>
      <c r="H33" s="888"/>
      <c r="I33" s="860"/>
      <c r="J33" s="860"/>
      <c r="K33" s="860"/>
      <c r="L33" s="860"/>
      <c r="M33" s="1681"/>
      <c r="N33" s="1071"/>
      <c r="P33" s="860"/>
      <c r="Q33" s="860"/>
      <c r="R33" s="888"/>
      <c r="S33" s="888"/>
      <c r="T33" s="860"/>
      <c r="U33" s="860"/>
      <c r="V33" s="860"/>
      <c r="W33" s="860"/>
      <c r="X33" s="1681"/>
      <c r="Y33" s="1682">
        <v>0</v>
      </c>
      <c r="Z33" s="827"/>
      <c r="AE33" s="829"/>
      <c r="AF33" s="829"/>
    </row>
    <row r="34" spans="2:32" ht="20.100000000000001" customHeight="1" x14ac:dyDescent="0.2">
      <c r="B34" s="827"/>
      <c r="C34" s="860"/>
      <c r="D34" s="860"/>
      <c r="E34" s="860"/>
      <c r="F34" s="860"/>
      <c r="G34" s="888"/>
      <c r="H34" s="888"/>
      <c r="I34" s="860"/>
      <c r="J34" s="860"/>
      <c r="K34" s="860"/>
      <c r="L34" s="860"/>
      <c r="M34" s="1681"/>
      <c r="N34" s="1071"/>
      <c r="P34" s="860"/>
      <c r="Q34" s="860"/>
      <c r="R34" s="888"/>
      <c r="S34" s="888"/>
      <c r="T34" s="860"/>
      <c r="U34" s="860"/>
      <c r="V34" s="860"/>
      <c r="W34" s="860"/>
      <c r="X34" s="1681"/>
      <c r="Y34" s="1682"/>
      <c r="Z34" s="827"/>
      <c r="AE34" s="829"/>
      <c r="AF34" s="829"/>
    </row>
    <row r="35" spans="2:32" ht="20.100000000000001" customHeight="1" thickBot="1" x14ac:dyDescent="0.25">
      <c r="B35" s="827"/>
      <c r="C35" s="858" t="s">
        <v>103</v>
      </c>
      <c r="D35" s="858"/>
      <c r="E35" s="858"/>
      <c r="F35" s="858"/>
      <c r="G35" s="858"/>
      <c r="H35" s="859"/>
      <c r="I35" s="858"/>
      <c r="J35" s="858"/>
      <c r="K35" s="858"/>
      <c r="L35" s="860"/>
      <c r="M35" s="1683"/>
      <c r="N35" s="1690"/>
      <c r="P35" s="858"/>
      <c r="Q35" s="858"/>
      <c r="R35" s="858"/>
      <c r="S35" s="859"/>
      <c r="T35" s="858"/>
      <c r="U35" s="858"/>
      <c r="V35" s="858"/>
      <c r="W35" s="860"/>
      <c r="X35" s="1683"/>
      <c r="Y35" s="1684"/>
      <c r="Z35" s="862">
        <v>0</v>
      </c>
      <c r="AE35" s="829"/>
      <c r="AF35" s="829"/>
    </row>
    <row r="36" spans="2:32" ht="20.100000000000001" customHeight="1" thickBot="1" x14ac:dyDescent="0.25">
      <c r="B36" s="827"/>
      <c r="C36" s="1288" t="s">
        <v>87</v>
      </c>
      <c r="D36" s="1280" t="s">
        <v>88</v>
      </c>
      <c r="E36" s="1280" t="s">
        <v>237</v>
      </c>
      <c r="F36" s="1281" t="s">
        <v>160</v>
      </c>
      <c r="G36" s="1280" t="s">
        <v>90</v>
      </c>
      <c r="H36" s="1281" t="s">
        <v>232</v>
      </c>
      <c r="I36" s="1281" t="s">
        <v>233</v>
      </c>
      <c r="J36" s="1281" t="s">
        <v>20</v>
      </c>
      <c r="K36" s="1288" t="s">
        <v>234</v>
      </c>
      <c r="L36" s="1280" t="s">
        <v>93</v>
      </c>
      <c r="M36" s="1721" t="s">
        <v>94</v>
      </c>
      <c r="N36" s="1723" t="s">
        <v>95</v>
      </c>
      <c r="P36" s="1280" t="s">
        <v>237</v>
      </c>
      <c r="Q36" s="1281" t="s">
        <v>160</v>
      </c>
      <c r="R36" s="1280" t="s">
        <v>90</v>
      </c>
      <c r="S36" s="1281" t="s">
        <v>232</v>
      </c>
      <c r="T36" s="1281" t="s">
        <v>233</v>
      </c>
      <c r="U36" s="1281" t="s">
        <v>20</v>
      </c>
      <c r="V36" s="1288" t="s">
        <v>234</v>
      </c>
      <c r="W36" s="1280" t="s">
        <v>93</v>
      </c>
      <c r="X36" s="1721" t="s">
        <v>94</v>
      </c>
      <c r="Y36" s="1721" t="s">
        <v>95</v>
      </c>
      <c r="Z36" s="861"/>
      <c r="AE36" s="829"/>
      <c r="AF36" s="829"/>
    </row>
    <row r="37" spans="2:32" ht="20.100000000000001" customHeight="1" thickBot="1" x14ac:dyDescent="0.25">
      <c r="B37" s="827"/>
      <c r="C37" s="836"/>
      <c r="D37" s="836"/>
      <c r="E37" s="836"/>
      <c r="F37" s="836"/>
      <c r="G37" s="836"/>
      <c r="H37" s="836"/>
      <c r="I37" s="836"/>
      <c r="J37" s="865" t="s">
        <v>97</v>
      </c>
      <c r="K37" s="841">
        <f>M89</f>
        <v>0</v>
      </c>
      <c r="L37" s="866">
        <f>IFERROR(K37/K$41,0)</f>
        <v>0</v>
      </c>
      <c r="M37" s="1677">
        <f>IFERROR(ROUND(K37*$I$16,2),0)</f>
        <v>0</v>
      </c>
      <c r="N37" s="1677">
        <f>M37*M16</f>
        <v>0</v>
      </c>
      <c r="P37" s="836"/>
      <c r="Q37" s="836"/>
      <c r="R37" s="836">
        <v>20823</v>
      </c>
      <c r="S37" s="836"/>
      <c r="T37" s="836"/>
      <c r="U37" s="865" t="s">
        <v>97</v>
      </c>
      <c r="V37" s="841">
        <f>AA89</f>
        <v>0</v>
      </c>
      <c r="W37" s="866">
        <f>IFERROR(V37/V$41,0)</f>
        <v>0</v>
      </c>
      <c r="X37" s="1677">
        <f>IFERROR(ROUND(V37*$I$16,2),0)</f>
        <v>0</v>
      </c>
      <c r="Y37" s="1677">
        <f>IF(Z35=0,N37,(M37*Z35))</f>
        <v>0</v>
      </c>
      <c r="AE37" s="829"/>
      <c r="AF37" s="829"/>
    </row>
    <row r="38" spans="2:32" ht="20.100000000000001" customHeight="1" thickBot="1" x14ac:dyDescent="0.25">
      <c r="B38" s="827"/>
      <c r="C38" s="836"/>
      <c r="D38" s="836"/>
      <c r="E38" s="836"/>
      <c r="F38" s="836"/>
      <c r="G38" s="836"/>
      <c r="H38" s="836"/>
      <c r="I38" s="836"/>
      <c r="J38" s="865" t="s">
        <v>97</v>
      </c>
      <c r="K38" s="841">
        <f>N89</f>
        <v>0</v>
      </c>
      <c r="L38" s="866">
        <f>IFERROR(K38/K$41,0)</f>
        <v>0</v>
      </c>
      <c r="M38" s="1677">
        <f>ROUND(K38*$I$16,2)</f>
        <v>0</v>
      </c>
      <c r="N38" s="1677">
        <f>M38*M16</f>
        <v>0</v>
      </c>
      <c r="P38" s="836"/>
      <c r="Q38" s="836"/>
      <c r="R38" s="836">
        <v>20824</v>
      </c>
      <c r="S38" s="836"/>
      <c r="T38" s="836"/>
      <c r="U38" s="865" t="s">
        <v>97</v>
      </c>
      <c r="V38" s="841">
        <f>AB89</f>
        <v>0</v>
      </c>
      <c r="W38" s="866">
        <f>IFERROR(V38/V$41,0)</f>
        <v>0</v>
      </c>
      <c r="X38" s="1677">
        <f>ROUND(V38*$I$16,2)</f>
        <v>0</v>
      </c>
      <c r="Y38" s="1677">
        <f>IF(Z36=0,N38,(M38*Z36))</f>
        <v>0</v>
      </c>
      <c r="AE38" s="829"/>
      <c r="AF38" s="829"/>
    </row>
    <row r="39" spans="2:32" ht="29.1" customHeight="1" thickBot="1" x14ac:dyDescent="0.25">
      <c r="B39" s="827"/>
      <c r="C39" s="836"/>
      <c r="D39" s="836"/>
      <c r="E39" s="836"/>
      <c r="F39" s="836"/>
      <c r="G39" s="836"/>
      <c r="H39" s="836"/>
      <c r="I39" s="836"/>
      <c r="J39" s="865" t="s">
        <v>100</v>
      </c>
      <c r="K39" s="841">
        <f>O89</f>
        <v>0</v>
      </c>
      <c r="L39" s="866">
        <f>IFERROR(K39/K$41,0)</f>
        <v>0</v>
      </c>
      <c r="M39" s="1677">
        <f>ROUND(K39*$I$16,2)</f>
        <v>0</v>
      </c>
      <c r="N39" s="1677">
        <f>M39*M16</f>
        <v>0</v>
      </c>
      <c r="P39" s="836"/>
      <c r="Q39" s="836"/>
      <c r="R39" s="836">
        <v>22228</v>
      </c>
      <c r="S39" s="836"/>
      <c r="T39" s="836"/>
      <c r="U39" s="865" t="s">
        <v>100</v>
      </c>
      <c r="V39" s="841">
        <f>AC89</f>
        <v>0</v>
      </c>
      <c r="W39" s="866">
        <f>IFERROR(V39/V$41,0)</f>
        <v>0</v>
      </c>
      <c r="X39" s="1677">
        <f>ROUND(V39*$I$16,2)</f>
        <v>0</v>
      </c>
      <c r="Y39" s="1677">
        <f>IF(Z37=0,N39,(M39*Z37))</f>
        <v>0</v>
      </c>
      <c r="AE39" s="829"/>
      <c r="AF39" s="829"/>
    </row>
    <row r="40" spans="2:32" ht="20.100000000000001" customHeight="1" thickBot="1" x14ac:dyDescent="0.25">
      <c r="B40" s="827"/>
      <c r="C40" s="836">
        <v>800832773</v>
      </c>
      <c r="D40" s="869">
        <v>252</v>
      </c>
      <c r="E40" s="869" t="s">
        <v>242</v>
      </c>
      <c r="F40" s="836" t="s">
        <v>238</v>
      </c>
      <c r="G40" s="836">
        <v>100887241</v>
      </c>
      <c r="H40" s="836">
        <v>7237</v>
      </c>
      <c r="I40" s="836">
        <v>468074</v>
      </c>
      <c r="J40" s="865" t="s">
        <v>23</v>
      </c>
      <c r="K40" s="841">
        <f>L89</f>
        <v>1996492.97</v>
      </c>
      <c r="L40" s="866">
        <v>1</v>
      </c>
      <c r="M40" s="1677">
        <f>D93</f>
        <v>1960.81</v>
      </c>
      <c r="N40" s="1722">
        <f>M40*M16</f>
        <v>36471.262081000001</v>
      </c>
      <c r="P40" s="869"/>
      <c r="Q40" s="836" t="s">
        <v>221</v>
      </c>
      <c r="R40" s="836" t="s">
        <v>222</v>
      </c>
      <c r="S40" s="836"/>
      <c r="T40" s="836"/>
      <c r="U40" s="865" t="s">
        <v>23</v>
      </c>
      <c r="V40" s="841">
        <f>Z89</f>
        <v>0</v>
      </c>
      <c r="W40" s="866">
        <v>1</v>
      </c>
      <c r="X40" s="1677">
        <f>R93</f>
        <v>0</v>
      </c>
      <c r="Y40" s="1677">
        <f>IF(Z38=0,N40,(M40*Z38))</f>
        <v>36471.262081000001</v>
      </c>
      <c r="AE40" s="829"/>
      <c r="AF40" s="829"/>
    </row>
    <row r="41" spans="2:32" x14ac:dyDescent="0.2">
      <c r="B41" s="827"/>
      <c r="C41" s="1290"/>
      <c r="D41" s="1290"/>
      <c r="E41" s="1290"/>
      <c r="F41" s="1291"/>
      <c r="G41" s="1291"/>
      <c r="H41" s="1291"/>
      <c r="I41" s="1291"/>
      <c r="J41" s="1291"/>
      <c r="K41" s="1292">
        <f>SUM(K37:K40)</f>
        <v>1996492.97</v>
      </c>
      <c r="L41" s="1293">
        <f>SUM(L37:L40)</f>
        <v>1</v>
      </c>
      <c r="M41" s="1724">
        <f>SUM(M37:M40)</f>
        <v>1960.81</v>
      </c>
      <c r="N41" s="1724">
        <f>SUM(N37:N40)</f>
        <v>36471.262081000001</v>
      </c>
      <c r="O41" s="843"/>
      <c r="P41" s="843"/>
      <c r="Q41" s="827"/>
      <c r="R41" s="827"/>
      <c r="S41" s="827"/>
      <c r="T41" s="827"/>
      <c r="U41" s="827"/>
      <c r="V41" s="884">
        <f>SUM(V36:V40)</f>
        <v>0</v>
      </c>
      <c r="W41" s="885">
        <f>SUM(W36:W40)</f>
        <v>1</v>
      </c>
      <c r="X41" s="1662">
        <f>SUM(X36:X40)</f>
        <v>0</v>
      </c>
      <c r="Y41" s="1662">
        <f>SUM(Y37:Y40)</f>
        <v>36471.262081000001</v>
      </c>
      <c r="AE41" s="829"/>
      <c r="AF41" s="829"/>
    </row>
    <row r="42" spans="2:32" x14ac:dyDescent="0.2">
      <c r="B42" s="827"/>
      <c r="C42" s="902"/>
      <c r="D42" s="902"/>
      <c r="E42" s="902"/>
      <c r="F42" s="902"/>
      <c r="G42" s="902"/>
      <c r="H42" s="902"/>
      <c r="I42" s="902"/>
      <c r="J42" s="902"/>
      <c r="K42" s="902"/>
      <c r="L42" s="902"/>
      <c r="M42" s="905"/>
      <c r="N42" s="905"/>
      <c r="O42" s="843"/>
      <c r="P42" s="843"/>
      <c r="Q42" s="827"/>
      <c r="R42" s="827"/>
      <c r="S42" s="827"/>
      <c r="T42" s="827"/>
      <c r="U42" s="827"/>
      <c r="V42" s="827"/>
      <c r="W42" s="827"/>
      <c r="X42" s="843"/>
      <c r="Y42" s="843"/>
      <c r="AE42" s="829"/>
      <c r="AF42" s="829"/>
    </row>
    <row r="43" spans="2:32" x14ac:dyDescent="0.2">
      <c r="B43" s="827"/>
      <c r="C43" s="902"/>
      <c r="D43" s="902"/>
      <c r="E43" s="902"/>
      <c r="F43" s="902"/>
      <c r="G43" s="902"/>
      <c r="H43" s="902"/>
      <c r="I43" s="902"/>
      <c r="J43" s="902"/>
      <c r="K43" s="902"/>
      <c r="L43" s="905"/>
      <c r="M43" s="905"/>
      <c r="N43" s="843"/>
      <c r="O43" s="827"/>
      <c r="P43" s="827"/>
      <c r="Q43" s="827"/>
      <c r="R43" s="827"/>
      <c r="S43" s="827"/>
      <c r="T43" s="827"/>
      <c r="U43" s="827"/>
      <c r="V43" s="843"/>
      <c r="W43" s="843"/>
      <c r="X43" s="843"/>
      <c r="Y43" s="843"/>
      <c r="AC43" s="829"/>
      <c r="AD43" s="829"/>
      <c r="AE43" s="829"/>
      <c r="AF43" s="829"/>
    </row>
    <row r="44" spans="2:32" x14ac:dyDescent="0.2">
      <c r="B44" s="827"/>
      <c r="C44" s="902"/>
      <c r="D44" s="902"/>
      <c r="E44" s="902"/>
      <c r="F44" s="902"/>
      <c r="G44" s="902"/>
      <c r="H44" s="902"/>
      <c r="I44" s="902"/>
      <c r="J44" s="902"/>
      <c r="K44" s="902"/>
      <c r="L44" s="905"/>
      <c r="M44" s="905"/>
      <c r="N44" s="843"/>
      <c r="O44" s="843"/>
      <c r="P44" s="827"/>
      <c r="Q44" s="827"/>
      <c r="R44" s="827"/>
      <c r="S44" s="827"/>
      <c r="T44" s="827"/>
      <c r="U44" s="827"/>
      <c r="V44" s="827"/>
      <c r="W44" s="843"/>
      <c r="X44" s="843"/>
      <c r="Y44" s="843"/>
      <c r="AD44" s="829"/>
      <c r="AE44" s="829"/>
      <c r="AF44" s="829"/>
    </row>
    <row r="45" spans="2:32" x14ac:dyDescent="0.2">
      <c r="B45" s="827"/>
      <c r="C45" s="902"/>
      <c r="D45" s="902"/>
      <c r="E45" s="902"/>
      <c r="F45" s="902"/>
      <c r="G45" s="902"/>
      <c r="H45" s="902"/>
      <c r="I45" s="902"/>
      <c r="J45" s="902"/>
      <c r="K45" s="902"/>
      <c r="L45" s="905"/>
      <c r="M45" s="905"/>
      <c r="N45" s="843"/>
      <c r="O45" s="905"/>
      <c r="P45" s="843"/>
      <c r="Q45" s="905"/>
      <c r="R45" s="827"/>
      <c r="S45" s="827"/>
      <c r="T45" s="827"/>
      <c r="U45" s="827"/>
      <c r="V45" s="827"/>
      <c r="W45" s="827"/>
      <c r="X45" s="827"/>
      <c r="Y45" s="827"/>
    </row>
    <row r="46" spans="2:32" x14ac:dyDescent="0.2">
      <c r="B46" s="827"/>
      <c r="C46" s="902"/>
      <c r="D46" s="902"/>
      <c r="E46" s="902"/>
      <c r="F46" s="902"/>
      <c r="G46" s="902"/>
      <c r="H46" s="902"/>
      <c r="I46" s="902"/>
      <c r="J46" s="902"/>
      <c r="K46" s="902"/>
      <c r="L46" s="905"/>
      <c r="M46" s="905"/>
      <c r="N46" s="843"/>
      <c r="O46" s="905"/>
      <c r="P46" s="843"/>
      <c r="Q46" s="905"/>
      <c r="R46" s="827"/>
      <c r="S46" s="827"/>
      <c r="T46" s="827"/>
      <c r="U46" s="827"/>
      <c r="V46" s="827"/>
      <c r="W46" s="827"/>
      <c r="X46" s="827"/>
      <c r="Y46" s="827"/>
    </row>
    <row r="47" spans="2:32" x14ac:dyDescent="0.2">
      <c r="B47" s="827"/>
      <c r="C47" s="902"/>
      <c r="D47" s="902"/>
      <c r="E47" s="902"/>
      <c r="F47" s="902"/>
      <c r="G47" s="902"/>
      <c r="H47" s="902"/>
      <c r="I47" s="902"/>
      <c r="J47" s="902"/>
      <c r="K47" s="902"/>
      <c r="L47" s="905"/>
      <c r="M47" s="905"/>
      <c r="N47" s="843"/>
      <c r="O47" s="905"/>
      <c r="P47" s="843"/>
      <c r="Q47" s="905"/>
      <c r="R47" s="827"/>
      <c r="S47" s="827"/>
      <c r="T47" s="827"/>
      <c r="U47" s="827"/>
      <c r="V47" s="827"/>
      <c r="W47" s="827"/>
      <c r="X47" s="827"/>
      <c r="Y47" s="827"/>
    </row>
    <row r="48" spans="2:32" x14ac:dyDescent="0.2">
      <c r="B48" s="827"/>
      <c r="C48" s="902"/>
      <c r="D48" s="902"/>
      <c r="E48" s="902"/>
      <c r="F48" s="902"/>
      <c r="G48" s="902"/>
      <c r="H48" s="902"/>
      <c r="I48" s="902"/>
      <c r="J48" s="902"/>
      <c r="K48" s="902"/>
      <c r="L48" s="905"/>
      <c r="M48" s="905"/>
      <c r="N48" s="843"/>
      <c r="O48" s="905"/>
      <c r="P48" s="843"/>
      <c r="Q48" s="905"/>
      <c r="R48" s="827"/>
      <c r="S48" s="827"/>
      <c r="T48" s="827"/>
      <c r="U48" s="827"/>
      <c r="V48" s="827"/>
      <c r="W48" s="827"/>
      <c r="X48" s="827"/>
      <c r="Y48" s="827"/>
    </row>
    <row r="49" spans="2:25" x14ac:dyDescent="0.2">
      <c r="B49" s="827"/>
      <c r="C49" s="902"/>
      <c r="D49" s="902"/>
      <c r="E49" s="902"/>
      <c r="F49" s="902"/>
      <c r="G49" s="902"/>
      <c r="H49" s="902"/>
      <c r="I49" s="902"/>
      <c r="J49" s="902"/>
      <c r="K49" s="902"/>
      <c r="L49" s="905"/>
      <c r="M49" s="905"/>
      <c r="N49" s="843"/>
      <c r="O49" s="905"/>
      <c r="P49" s="843"/>
      <c r="Q49" s="905"/>
      <c r="R49" s="827"/>
      <c r="S49" s="827"/>
      <c r="T49" s="827"/>
      <c r="U49" s="827"/>
      <c r="V49" s="827"/>
      <c r="W49" s="827"/>
      <c r="X49" s="827"/>
      <c r="Y49" s="827"/>
    </row>
    <row r="50" spans="2:25" x14ac:dyDescent="0.2">
      <c r="B50" s="827"/>
      <c r="C50" s="902"/>
      <c r="D50" s="902"/>
      <c r="E50" s="902"/>
      <c r="F50" s="902"/>
      <c r="G50" s="902"/>
      <c r="H50" s="902"/>
      <c r="I50" s="902"/>
      <c r="J50" s="902"/>
      <c r="K50" s="902"/>
      <c r="L50" s="905"/>
      <c r="M50" s="905"/>
      <c r="N50" s="843"/>
      <c r="O50" s="905"/>
      <c r="P50" s="843"/>
      <c r="Q50" s="905"/>
      <c r="R50" s="827"/>
      <c r="S50" s="827"/>
      <c r="T50" s="827"/>
      <c r="U50" s="827"/>
      <c r="V50" s="827"/>
      <c r="W50" s="827"/>
      <c r="X50" s="827"/>
      <c r="Y50" s="827"/>
    </row>
    <row r="51" spans="2:25" x14ac:dyDescent="0.2">
      <c r="B51" s="827"/>
      <c r="C51" s="902"/>
      <c r="D51" s="902"/>
      <c r="E51" s="902"/>
      <c r="F51" s="902"/>
      <c r="G51" s="902"/>
      <c r="H51" s="902"/>
      <c r="I51" s="902"/>
      <c r="J51" s="902"/>
      <c r="K51" s="902"/>
      <c r="L51" s="905"/>
      <c r="M51" s="905"/>
      <c r="N51" s="843"/>
      <c r="O51" s="905"/>
      <c r="P51" s="843"/>
      <c r="Q51" s="905"/>
      <c r="R51" s="827"/>
      <c r="S51" s="827"/>
      <c r="T51" s="827"/>
      <c r="U51" s="827"/>
      <c r="V51" s="827"/>
      <c r="W51" s="827"/>
      <c r="X51" s="827"/>
      <c r="Y51" s="827"/>
    </row>
    <row r="52" spans="2:25" x14ac:dyDescent="0.2">
      <c r="B52" s="827"/>
      <c r="C52" s="902"/>
      <c r="D52" s="902"/>
      <c r="E52" s="902"/>
      <c r="F52" s="902"/>
      <c r="G52" s="902"/>
      <c r="H52" s="902"/>
      <c r="I52" s="902"/>
      <c r="J52" s="902"/>
      <c r="K52" s="902"/>
      <c r="L52" s="905"/>
      <c r="M52" s="905"/>
      <c r="N52" s="843"/>
      <c r="O52" s="905"/>
      <c r="P52" s="843"/>
      <c r="Q52" s="905"/>
      <c r="R52" s="827"/>
      <c r="S52" s="827"/>
      <c r="T52" s="827"/>
      <c r="U52" s="827"/>
      <c r="V52" s="827"/>
      <c r="W52" s="827"/>
      <c r="X52" s="827"/>
      <c r="Y52" s="827"/>
    </row>
    <row r="53" spans="2:25" x14ac:dyDescent="0.2">
      <c r="B53" s="827"/>
      <c r="C53" s="902"/>
      <c r="D53" s="902"/>
      <c r="E53" s="902"/>
      <c r="F53" s="902"/>
      <c r="G53" s="902"/>
      <c r="H53" s="902"/>
      <c r="I53" s="902"/>
      <c r="J53" s="902"/>
      <c r="K53" s="902"/>
      <c r="L53" s="905"/>
      <c r="M53" s="905"/>
      <c r="N53" s="843"/>
      <c r="O53" s="905"/>
      <c r="P53" s="843"/>
      <c r="Q53" s="905"/>
      <c r="R53" s="827"/>
      <c r="S53" s="827"/>
      <c r="T53" s="827"/>
      <c r="U53" s="827"/>
      <c r="V53" s="827"/>
      <c r="W53" s="827"/>
      <c r="X53" s="827"/>
      <c r="Y53" s="827"/>
    </row>
    <row r="54" spans="2:25" x14ac:dyDescent="0.2">
      <c r="B54" s="827"/>
      <c r="C54" s="902"/>
      <c r="D54" s="902"/>
      <c r="E54" s="902"/>
      <c r="F54" s="902"/>
      <c r="G54" s="902"/>
      <c r="H54" s="902"/>
      <c r="I54" s="902"/>
      <c r="J54" s="902"/>
      <c r="K54" s="902"/>
      <c r="L54" s="905"/>
      <c r="M54" s="905"/>
      <c r="N54" s="843"/>
      <c r="O54" s="905"/>
      <c r="P54" s="843"/>
      <c r="Q54" s="905"/>
      <c r="R54" s="827"/>
      <c r="S54" s="827"/>
      <c r="T54" s="827"/>
      <c r="U54" s="827"/>
      <c r="V54" s="827"/>
      <c r="W54" s="827"/>
      <c r="X54" s="827"/>
      <c r="Y54" s="827"/>
    </row>
    <row r="55" spans="2:25" s="843" customFormat="1" ht="13.5" thickBot="1" x14ac:dyDescent="0.25">
      <c r="M55" s="860"/>
      <c r="N55" s="860"/>
      <c r="O55" s="860"/>
      <c r="P55" s="860"/>
      <c r="Q55" s="860"/>
      <c r="R55" s="860"/>
      <c r="S55" s="860"/>
      <c r="T55" s="860"/>
      <c r="U55" s="860"/>
      <c r="V55" s="860"/>
      <c r="W55" s="860"/>
      <c r="X55" s="860"/>
      <c r="Y55" s="860"/>
    </row>
    <row r="56" spans="2:25" ht="13.5" thickBot="1" x14ac:dyDescent="0.25">
      <c r="B56" s="907" t="s">
        <v>3</v>
      </c>
      <c r="C56" s="1294">
        <f>SUMIF(Tarifas!E4:E303,'Febrero - 2018'!C58,Tarifas!D4:D303)</f>
        <v>55</v>
      </c>
      <c r="D56" s="909" t="s">
        <v>147</v>
      </c>
      <c r="E56" s="910" t="s">
        <v>145</v>
      </c>
      <c r="F56" s="910" t="s">
        <v>367</v>
      </c>
      <c r="G56" s="910" t="s">
        <v>148</v>
      </c>
      <c r="H56" s="911"/>
      <c r="I56" s="912" t="s">
        <v>120</v>
      </c>
      <c r="J56" s="913"/>
      <c r="K56" s="913"/>
      <c r="L56" s="1295" t="s">
        <v>105</v>
      </c>
      <c r="M56" s="1296"/>
      <c r="N56" s="1296"/>
      <c r="O56" s="1296"/>
      <c r="P56" s="1296"/>
      <c r="Q56" s="1296"/>
      <c r="R56" s="1297"/>
      <c r="S56" s="2292" t="s">
        <v>121</v>
      </c>
      <c r="T56" s="2293"/>
      <c r="U56" s="2293"/>
      <c r="V56" s="2293"/>
      <c r="W56" s="2293"/>
      <c r="X56" s="2293"/>
      <c r="Y56" s="2294"/>
    </row>
    <row r="57" spans="2:25" ht="39" thickBot="1" x14ac:dyDescent="0.25">
      <c r="C57" s="914" t="s">
        <v>122</v>
      </c>
      <c r="D57" s="915" t="s">
        <v>125</v>
      </c>
      <c r="E57" s="916" t="s">
        <v>149</v>
      </c>
      <c r="F57" s="916" t="s">
        <v>151</v>
      </c>
      <c r="G57" s="916" t="s">
        <v>152</v>
      </c>
      <c r="H57" s="917" t="s">
        <v>123</v>
      </c>
      <c r="I57" s="1313" t="s">
        <v>109</v>
      </c>
      <c r="J57" s="1314" t="s">
        <v>25</v>
      </c>
      <c r="K57" s="1315" t="s">
        <v>26</v>
      </c>
      <c r="L57" s="974" t="s">
        <v>115</v>
      </c>
      <c r="M57" s="975" t="s">
        <v>106</v>
      </c>
      <c r="N57" s="975" t="s">
        <v>107</v>
      </c>
      <c r="O57" s="975" t="s">
        <v>108</v>
      </c>
      <c r="P57" s="975" t="s">
        <v>115</v>
      </c>
      <c r="Q57" s="1349" t="s">
        <v>116</v>
      </c>
      <c r="R57" s="1350" t="s">
        <v>117</v>
      </c>
      <c r="S57" s="1029" t="s">
        <v>207</v>
      </c>
      <c r="T57" s="1030"/>
      <c r="U57" s="1030" t="s">
        <v>112</v>
      </c>
      <c r="V57" s="1031" t="s">
        <v>118</v>
      </c>
      <c r="W57" s="1031" t="s">
        <v>119</v>
      </c>
      <c r="X57" s="1031" t="s">
        <v>114</v>
      </c>
      <c r="Y57" s="1032" t="s">
        <v>113</v>
      </c>
    </row>
    <row r="58" spans="2:25" x14ac:dyDescent="0.2">
      <c r="C58" s="387">
        <f>C7</f>
        <v>43132</v>
      </c>
      <c r="D58" s="388">
        <f>($F$21*$H$21)/$G$21</f>
        <v>166408.24</v>
      </c>
      <c r="E58" s="389">
        <f>P58+Q58+R58</f>
        <v>72162.84</v>
      </c>
      <c r="F58" s="732">
        <f>TRUNC(IFERROR(J$21/K$21,0),8)</f>
        <v>0.98212511999999996</v>
      </c>
      <c r="G58" s="390">
        <f>ROUND(I$21*F58*E58,4)</f>
        <v>70.872900000000001</v>
      </c>
      <c r="H58" s="391">
        <f t="shared" ref="H58:H85" si="0">SUM(D58:G58)</f>
        <v>238642.93502511998</v>
      </c>
      <c r="I58" s="324">
        <v>71086</v>
      </c>
      <c r="J58" s="1370">
        <v>0</v>
      </c>
      <c r="K58" s="1371">
        <v>0</v>
      </c>
      <c r="L58" s="724">
        <v>72162.84</v>
      </c>
      <c r="M58" s="1336">
        <v>0</v>
      </c>
      <c r="N58" s="1336">
        <v>0</v>
      </c>
      <c r="O58" s="1334">
        <v>0</v>
      </c>
      <c r="P58" s="389">
        <f>L58</f>
        <v>72162.84</v>
      </c>
      <c r="Q58" s="389">
        <f t="shared" ref="Q58:Q85" si="1">M58+N58</f>
        <v>0</v>
      </c>
      <c r="R58" s="389">
        <f t="shared" ref="R58:R85" si="2">O58</f>
        <v>0</v>
      </c>
      <c r="S58" s="532"/>
      <c r="T58" s="374"/>
      <c r="U58" s="520">
        <f>S58+T58-V58</f>
        <v>-71086</v>
      </c>
      <c r="V58" s="520">
        <f>I58+J58+K58</f>
        <v>71086</v>
      </c>
      <c r="W58" s="520">
        <f>(P58+Q58+R58)/1.055056</f>
        <v>68397.165648079346</v>
      </c>
      <c r="X58" s="520">
        <f>V58-W58</f>
        <v>2688.8343519206537</v>
      </c>
      <c r="Y58" s="525">
        <f>AL55+X58</f>
        <v>2688.8343519206537</v>
      </c>
    </row>
    <row r="59" spans="2:25" x14ac:dyDescent="0.2">
      <c r="C59" s="387">
        <f t="shared" ref="C59:C85" si="3">C58+1</f>
        <v>43133</v>
      </c>
      <c r="D59" s="388">
        <f t="shared" ref="D59:D85" si="4">($F$21*$H$21)/$G$21</f>
        <v>166408.24</v>
      </c>
      <c r="E59" s="392">
        <f t="shared" ref="E59:E85" si="5">P59+Q59+R59</f>
        <v>71241.649999999994</v>
      </c>
      <c r="F59" s="733">
        <f t="shared" ref="F59:F85" si="6">TRUNC(IFERROR(J$21/K$21,0),8)</f>
        <v>0.98212511999999996</v>
      </c>
      <c r="G59" s="390">
        <f t="shared" ref="G59:G85" si="7">ROUND(I$21*F59*E59,4)</f>
        <v>69.968199999999996</v>
      </c>
      <c r="H59" s="391">
        <f t="shared" si="0"/>
        <v>237720.84032511999</v>
      </c>
      <c r="I59" s="324">
        <v>71086</v>
      </c>
      <c r="J59" s="1370">
        <v>0</v>
      </c>
      <c r="K59" s="1371">
        <v>0</v>
      </c>
      <c r="L59" s="725">
        <v>71241.649999999994</v>
      </c>
      <c r="M59" s="1336">
        <v>0</v>
      </c>
      <c r="N59" s="1336">
        <v>0</v>
      </c>
      <c r="O59" s="1334">
        <v>0</v>
      </c>
      <c r="P59" s="392">
        <f t="shared" ref="P59:P85" si="8">L59</f>
        <v>71241.649999999994</v>
      </c>
      <c r="Q59" s="392">
        <f t="shared" si="1"/>
        <v>0</v>
      </c>
      <c r="R59" s="392">
        <f t="shared" si="2"/>
        <v>0</v>
      </c>
      <c r="S59" s="532"/>
      <c r="T59" s="374"/>
      <c r="U59" s="520">
        <f t="shared" ref="U59:U85" si="9">S59+T59-V59</f>
        <v>-71086</v>
      </c>
      <c r="V59" s="520">
        <f t="shared" ref="V59:V85" si="10">I59+J59+K59</f>
        <v>71086</v>
      </c>
      <c r="W59" s="520">
        <f t="shared" ref="W59:W88" si="11">(P59+Q59+R59)/1.055056</f>
        <v>67524.046116983358</v>
      </c>
      <c r="X59" s="520">
        <f t="shared" ref="X59:X85" si="12">V59-W59</f>
        <v>3561.9538830166421</v>
      </c>
      <c r="Y59" s="525">
        <f>Y58+X59</f>
        <v>6250.7882349372958</v>
      </c>
    </row>
    <row r="60" spans="2:25" x14ac:dyDescent="0.2">
      <c r="C60" s="387">
        <f t="shared" si="3"/>
        <v>43134</v>
      </c>
      <c r="D60" s="388">
        <f t="shared" si="4"/>
        <v>166408.24</v>
      </c>
      <c r="E60" s="392">
        <f t="shared" si="5"/>
        <v>70657.05</v>
      </c>
      <c r="F60" s="733">
        <f t="shared" si="6"/>
        <v>0.98212511999999996</v>
      </c>
      <c r="G60" s="390">
        <f t="shared" si="7"/>
        <v>69.394099999999995</v>
      </c>
      <c r="H60" s="391">
        <f t="shared" si="0"/>
        <v>237135.66622511999</v>
      </c>
      <c r="I60" s="324">
        <v>70770</v>
      </c>
      <c r="J60" s="1370">
        <v>0</v>
      </c>
      <c r="K60" s="1371">
        <v>0</v>
      </c>
      <c r="L60" s="724">
        <v>70657.05</v>
      </c>
      <c r="M60" s="1336">
        <v>0</v>
      </c>
      <c r="N60" s="1336">
        <v>0</v>
      </c>
      <c r="O60" s="1334">
        <v>0</v>
      </c>
      <c r="P60" s="392">
        <f t="shared" si="8"/>
        <v>70657.05</v>
      </c>
      <c r="Q60" s="392">
        <f t="shared" si="1"/>
        <v>0</v>
      </c>
      <c r="R60" s="392">
        <f t="shared" si="2"/>
        <v>0</v>
      </c>
      <c r="S60" s="532"/>
      <c r="T60" s="374"/>
      <c r="U60" s="520">
        <f t="shared" si="9"/>
        <v>-70770</v>
      </c>
      <c r="V60" s="520">
        <f t="shared" si="10"/>
        <v>70770</v>
      </c>
      <c r="W60" s="520">
        <f t="shared" si="11"/>
        <v>66969.952305849176</v>
      </c>
      <c r="X60" s="520">
        <f t="shared" si="12"/>
        <v>3800.0476941508241</v>
      </c>
      <c r="Y60" s="525">
        <f t="shared" ref="Y60:Y85" si="13">Y59+X60</f>
        <v>10050.83592908812</v>
      </c>
    </row>
    <row r="61" spans="2:25" x14ac:dyDescent="0.2">
      <c r="C61" s="387">
        <f t="shared" si="3"/>
        <v>43135</v>
      </c>
      <c r="D61" s="388">
        <f t="shared" si="4"/>
        <v>166408.24</v>
      </c>
      <c r="E61" s="392">
        <f t="shared" si="5"/>
        <v>71100.94</v>
      </c>
      <c r="F61" s="733">
        <f t="shared" si="6"/>
        <v>0.98212511999999996</v>
      </c>
      <c r="G61" s="390">
        <f t="shared" si="7"/>
        <v>69.83</v>
      </c>
      <c r="H61" s="391">
        <f t="shared" si="0"/>
        <v>237579.99212511998</v>
      </c>
      <c r="I61" s="324">
        <v>70770</v>
      </c>
      <c r="J61" s="1370">
        <v>0</v>
      </c>
      <c r="K61" s="1371">
        <v>0</v>
      </c>
      <c r="L61" s="725">
        <v>71100.94</v>
      </c>
      <c r="M61" s="1336">
        <v>0</v>
      </c>
      <c r="N61" s="1336">
        <v>0</v>
      </c>
      <c r="O61" s="1334">
        <v>0</v>
      </c>
      <c r="P61" s="392">
        <f t="shared" si="8"/>
        <v>71100.94</v>
      </c>
      <c r="Q61" s="392">
        <f t="shared" si="1"/>
        <v>0</v>
      </c>
      <c r="R61" s="392">
        <f t="shared" si="2"/>
        <v>0</v>
      </c>
      <c r="S61" s="532"/>
      <c r="T61" s="374"/>
      <c r="U61" s="520">
        <f t="shared" si="9"/>
        <v>-70770</v>
      </c>
      <c r="V61" s="520">
        <f t="shared" si="10"/>
        <v>70770</v>
      </c>
      <c r="W61" s="520">
        <f t="shared" si="11"/>
        <v>67390.678788614066</v>
      </c>
      <c r="X61" s="520">
        <f t="shared" si="12"/>
        <v>3379.3212113859336</v>
      </c>
      <c r="Y61" s="525">
        <f t="shared" si="13"/>
        <v>13430.157140474053</v>
      </c>
    </row>
    <row r="62" spans="2:25" x14ac:dyDescent="0.2">
      <c r="C62" s="387">
        <f t="shared" si="3"/>
        <v>43136</v>
      </c>
      <c r="D62" s="388">
        <f t="shared" si="4"/>
        <v>166408.24</v>
      </c>
      <c r="E62" s="392">
        <f t="shared" si="5"/>
        <v>70842.649999999994</v>
      </c>
      <c r="F62" s="733">
        <f t="shared" si="6"/>
        <v>0.98212511999999996</v>
      </c>
      <c r="G62" s="390">
        <f t="shared" si="7"/>
        <v>69.576300000000003</v>
      </c>
      <c r="H62" s="391">
        <f t="shared" si="0"/>
        <v>237321.44842511998</v>
      </c>
      <c r="I62" s="324">
        <v>70770</v>
      </c>
      <c r="J62" s="1370">
        <v>0</v>
      </c>
      <c r="K62" s="1371">
        <v>0</v>
      </c>
      <c r="L62" s="724">
        <v>70842.649999999994</v>
      </c>
      <c r="M62" s="1336">
        <v>0</v>
      </c>
      <c r="N62" s="1336">
        <v>0</v>
      </c>
      <c r="O62" s="1334">
        <v>0</v>
      </c>
      <c r="P62" s="392">
        <f t="shared" si="8"/>
        <v>70842.649999999994</v>
      </c>
      <c r="Q62" s="392">
        <f t="shared" si="1"/>
        <v>0</v>
      </c>
      <c r="R62" s="392">
        <v>0</v>
      </c>
      <c r="S62" s="532"/>
      <c r="T62" s="374"/>
      <c r="U62" s="520">
        <f t="shared" si="9"/>
        <v>-70770</v>
      </c>
      <c r="V62" s="520">
        <f t="shared" si="10"/>
        <v>70770</v>
      </c>
      <c r="W62" s="520">
        <f t="shared" si="11"/>
        <v>67145.867138805901</v>
      </c>
      <c r="X62" s="520">
        <f t="shared" si="12"/>
        <v>3624.132861194099</v>
      </c>
      <c r="Y62" s="525">
        <f t="shared" si="13"/>
        <v>17054.290001668152</v>
      </c>
    </row>
    <row r="63" spans="2:25" x14ac:dyDescent="0.2">
      <c r="C63" s="387">
        <f t="shared" si="3"/>
        <v>43137</v>
      </c>
      <c r="D63" s="388">
        <f t="shared" si="4"/>
        <v>166408.24</v>
      </c>
      <c r="E63" s="392">
        <f t="shared" si="5"/>
        <v>70777.524000000005</v>
      </c>
      <c r="F63" s="733">
        <f t="shared" si="6"/>
        <v>0.98212511999999996</v>
      </c>
      <c r="G63" s="390">
        <f t="shared" si="7"/>
        <v>69.5124</v>
      </c>
      <c r="H63" s="391">
        <f t="shared" si="0"/>
        <v>237256.25852512001</v>
      </c>
      <c r="I63" s="324">
        <v>71086</v>
      </c>
      <c r="J63" s="1370">
        <v>0</v>
      </c>
      <c r="K63" s="1371">
        <v>0</v>
      </c>
      <c r="L63" s="725">
        <v>70777.524000000005</v>
      </c>
      <c r="M63" s="1336">
        <v>0</v>
      </c>
      <c r="N63" s="1336">
        <v>0</v>
      </c>
      <c r="O63" s="1334">
        <v>0</v>
      </c>
      <c r="P63" s="392">
        <f t="shared" si="8"/>
        <v>70777.524000000005</v>
      </c>
      <c r="Q63" s="392">
        <f t="shared" si="1"/>
        <v>0</v>
      </c>
      <c r="R63" s="392">
        <f t="shared" si="2"/>
        <v>0</v>
      </c>
      <c r="S63" s="532"/>
      <c r="T63" s="374"/>
      <c r="U63" s="520">
        <f t="shared" si="9"/>
        <v>-71086</v>
      </c>
      <c r="V63" s="520">
        <f t="shared" si="10"/>
        <v>71086</v>
      </c>
      <c r="W63" s="520">
        <f t="shared" si="11"/>
        <v>67084.139609651058</v>
      </c>
      <c r="X63" s="520">
        <f t="shared" si="12"/>
        <v>4001.860390348942</v>
      </c>
      <c r="Y63" s="525">
        <f t="shared" si="13"/>
        <v>21056.150392017094</v>
      </c>
    </row>
    <row r="64" spans="2:25" x14ac:dyDescent="0.2">
      <c r="C64" s="387">
        <f t="shared" si="3"/>
        <v>43138</v>
      </c>
      <c r="D64" s="388">
        <f t="shared" si="4"/>
        <v>166408.24</v>
      </c>
      <c r="E64" s="392">
        <f t="shared" si="5"/>
        <v>71193.98</v>
      </c>
      <c r="F64" s="733">
        <f t="shared" si="6"/>
        <v>0.98212511999999996</v>
      </c>
      <c r="G64" s="390">
        <f t="shared" si="7"/>
        <v>69.921400000000006</v>
      </c>
      <c r="H64" s="391">
        <f t="shared" si="0"/>
        <v>237673.12352511997</v>
      </c>
      <c r="I64" s="324">
        <v>75351</v>
      </c>
      <c r="J64" s="1370">
        <v>0</v>
      </c>
      <c r="K64" s="1371">
        <v>0</v>
      </c>
      <c r="L64" s="724">
        <v>71193.98</v>
      </c>
      <c r="M64" s="1336">
        <v>0</v>
      </c>
      <c r="N64" s="1336">
        <v>0</v>
      </c>
      <c r="O64" s="1334">
        <v>0</v>
      </c>
      <c r="P64" s="392">
        <f t="shared" si="8"/>
        <v>71193.98</v>
      </c>
      <c r="Q64" s="392">
        <f t="shared" si="1"/>
        <v>0</v>
      </c>
      <c r="R64" s="392">
        <f t="shared" si="2"/>
        <v>0</v>
      </c>
      <c r="S64" s="532"/>
      <c r="T64" s="374"/>
      <c r="U64" s="520">
        <f t="shared" si="9"/>
        <v>-75351</v>
      </c>
      <c r="V64" s="520">
        <f t="shared" si="10"/>
        <v>75351</v>
      </c>
      <c r="W64" s="520">
        <f t="shared" si="11"/>
        <v>67478.863681169532</v>
      </c>
      <c r="X64" s="520">
        <f t="shared" si="12"/>
        <v>7872.1363188304676</v>
      </c>
      <c r="Y64" s="525">
        <f t="shared" si="13"/>
        <v>28928.286710847562</v>
      </c>
    </row>
    <row r="65" spans="3:25" x14ac:dyDescent="0.2">
      <c r="C65" s="387">
        <f t="shared" si="3"/>
        <v>43139</v>
      </c>
      <c r="D65" s="388">
        <f t="shared" si="4"/>
        <v>166408.24</v>
      </c>
      <c r="E65" s="392">
        <f t="shared" si="5"/>
        <v>71392.7</v>
      </c>
      <c r="F65" s="733">
        <f t="shared" si="6"/>
        <v>0.98212511999999996</v>
      </c>
      <c r="G65" s="390">
        <f t="shared" si="7"/>
        <v>70.116600000000005</v>
      </c>
      <c r="H65" s="391">
        <f t="shared" si="0"/>
        <v>237872.03872512002</v>
      </c>
      <c r="I65" s="324">
        <v>75351</v>
      </c>
      <c r="J65" s="1370">
        <v>0</v>
      </c>
      <c r="K65" s="1371">
        <v>0</v>
      </c>
      <c r="L65" s="725">
        <v>71392.7</v>
      </c>
      <c r="M65" s="1336">
        <v>0</v>
      </c>
      <c r="N65" s="1336">
        <v>0</v>
      </c>
      <c r="O65" s="1334">
        <v>0</v>
      </c>
      <c r="P65" s="392">
        <f t="shared" si="8"/>
        <v>71392.7</v>
      </c>
      <c r="Q65" s="392">
        <f t="shared" si="1"/>
        <v>0</v>
      </c>
      <c r="R65" s="392">
        <f t="shared" si="2"/>
        <v>0</v>
      </c>
      <c r="S65" s="532"/>
      <c r="T65" s="374"/>
      <c r="U65" s="520">
        <f t="shared" si="9"/>
        <v>-75351</v>
      </c>
      <c r="V65" s="520">
        <f t="shared" si="10"/>
        <v>75351</v>
      </c>
      <c r="W65" s="520">
        <f t="shared" si="11"/>
        <v>67667.213873007684</v>
      </c>
      <c r="X65" s="520">
        <f t="shared" si="12"/>
        <v>7683.786126992316</v>
      </c>
      <c r="Y65" s="525">
        <f t="shared" si="13"/>
        <v>36612.072837839878</v>
      </c>
    </row>
    <row r="66" spans="3:25" x14ac:dyDescent="0.2">
      <c r="C66" s="387">
        <f t="shared" si="3"/>
        <v>43140</v>
      </c>
      <c r="D66" s="388">
        <f t="shared" si="4"/>
        <v>166408.24</v>
      </c>
      <c r="E66" s="392">
        <f t="shared" si="5"/>
        <v>71069.869000000006</v>
      </c>
      <c r="F66" s="733">
        <f t="shared" si="6"/>
        <v>0.98212511999999996</v>
      </c>
      <c r="G66" s="390">
        <f t="shared" si="7"/>
        <v>69.799499999999995</v>
      </c>
      <c r="H66" s="391">
        <f t="shared" si="0"/>
        <v>237548.89062512</v>
      </c>
      <c r="I66" s="324">
        <v>75351</v>
      </c>
      <c r="J66" s="1370">
        <v>0</v>
      </c>
      <c r="K66" s="1371">
        <v>0</v>
      </c>
      <c r="L66" s="724">
        <v>71069.869000000006</v>
      </c>
      <c r="M66" s="1336">
        <v>0</v>
      </c>
      <c r="N66" s="1336">
        <v>0</v>
      </c>
      <c r="O66" s="1334">
        <v>0</v>
      </c>
      <c r="P66" s="392">
        <f t="shared" si="8"/>
        <v>71069.869000000006</v>
      </c>
      <c r="Q66" s="392">
        <f t="shared" si="1"/>
        <v>0</v>
      </c>
      <c r="R66" s="392">
        <f t="shared" si="2"/>
        <v>0</v>
      </c>
      <c r="S66" s="532"/>
      <c r="T66" s="374"/>
      <c r="U66" s="520">
        <f t="shared" si="9"/>
        <v>-75351</v>
      </c>
      <c r="V66" s="520">
        <f t="shared" si="10"/>
        <v>75351</v>
      </c>
      <c r="W66" s="520">
        <f t="shared" si="11"/>
        <v>67361.229166982608</v>
      </c>
      <c r="X66" s="520">
        <f t="shared" si="12"/>
        <v>7989.7708330173919</v>
      </c>
      <c r="Y66" s="525">
        <f t="shared" si="13"/>
        <v>44601.84367085727</v>
      </c>
    </row>
    <row r="67" spans="3:25" x14ac:dyDescent="0.2">
      <c r="C67" s="387">
        <f t="shared" si="3"/>
        <v>43141</v>
      </c>
      <c r="D67" s="388">
        <f t="shared" si="4"/>
        <v>166408.24</v>
      </c>
      <c r="E67" s="392">
        <f t="shared" si="5"/>
        <v>71037.039999999994</v>
      </c>
      <c r="F67" s="733">
        <f t="shared" si="6"/>
        <v>0.98212511999999996</v>
      </c>
      <c r="G67" s="390">
        <f t="shared" si="7"/>
        <v>69.767300000000006</v>
      </c>
      <c r="H67" s="391">
        <f t="shared" si="0"/>
        <v>237516.02942511998</v>
      </c>
      <c r="I67" s="324">
        <v>75351</v>
      </c>
      <c r="J67" s="1370">
        <v>0</v>
      </c>
      <c r="K67" s="1371">
        <v>0</v>
      </c>
      <c r="L67" s="725">
        <v>71037.039999999994</v>
      </c>
      <c r="M67" s="1336">
        <v>0</v>
      </c>
      <c r="N67" s="1336">
        <v>0</v>
      </c>
      <c r="O67" s="1334">
        <v>0</v>
      </c>
      <c r="P67" s="392">
        <f t="shared" si="8"/>
        <v>71037.039999999994</v>
      </c>
      <c r="Q67" s="392">
        <f t="shared" si="1"/>
        <v>0</v>
      </c>
      <c r="R67" s="392">
        <f t="shared" si="2"/>
        <v>0</v>
      </c>
      <c r="S67" s="532"/>
      <c r="T67" s="374"/>
      <c r="U67" s="520">
        <f t="shared" si="9"/>
        <v>-75351</v>
      </c>
      <c r="V67" s="520">
        <f t="shared" si="10"/>
        <v>75351</v>
      </c>
      <c r="W67" s="520">
        <f t="shared" si="11"/>
        <v>67330.113283086393</v>
      </c>
      <c r="X67" s="520">
        <f t="shared" si="12"/>
        <v>8020.8867169136065</v>
      </c>
      <c r="Y67" s="525">
        <f t="shared" si="13"/>
        <v>52622.730387770876</v>
      </c>
    </row>
    <row r="68" spans="3:25" x14ac:dyDescent="0.2">
      <c r="C68" s="387">
        <f t="shared" si="3"/>
        <v>43142</v>
      </c>
      <c r="D68" s="388">
        <f t="shared" si="4"/>
        <v>166408.24</v>
      </c>
      <c r="E68" s="392">
        <f t="shared" si="5"/>
        <v>71040.639999999999</v>
      </c>
      <c r="F68" s="733">
        <f t="shared" si="6"/>
        <v>0.98212511999999996</v>
      </c>
      <c r="G68" s="390">
        <f t="shared" si="7"/>
        <v>69.770799999999994</v>
      </c>
      <c r="H68" s="391">
        <f t="shared" si="0"/>
        <v>237519.63292512001</v>
      </c>
      <c r="I68" s="324">
        <v>75351</v>
      </c>
      <c r="J68" s="1370">
        <v>0</v>
      </c>
      <c r="K68" s="1371">
        <v>0</v>
      </c>
      <c r="L68" s="724">
        <v>71040.639999999999</v>
      </c>
      <c r="M68" s="1336">
        <v>0</v>
      </c>
      <c r="N68" s="1336">
        <v>0</v>
      </c>
      <c r="O68" s="1334">
        <v>0</v>
      </c>
      <c r="P68" s="392">
        <f t="shared" si="8"/>
        <v>71040.639999999999</v>
      </c>
      <c r="Q68" s="392">
        <f t="shared" si="1"/>
        <v>0</v>
      </c>
      <c r="R68" s="392">
        <f t="shared" si="2"/>
        <v>0</v>
      </c>
      <c r="S68" s="532"/>
      <c r="T68" s="374"/>
      <c r="U68" s="520">
        <f t="shared" si="9"/>
        <v>-75351</v>
      </c>
      <c r="V68" s="520">
        <f t="shared" si="10"/>
        <v>75351</v>
      </c>
      <c r="W68" s="520">
        <f t="shared" si="11"/>
        <v>67333.525424242878</v>
      </c>
      <c r="X68" s="520">
        <f t="shared" si="12"/>
        <v>8017.4745757571218</v>
      </c>
      <c r="Y68" s="525">
        <f t="shared" si="13"/>
        <v>60640.204963527998</v>
      </c>
    </row>
    <row r="69" spans="3:25" x14ac:dyDescent="0.2">
      <c r="C69" s="387">
        <f t="shared" si="3"/>
        <v>43143</v>
      </c>
      <c r="D69" s="388">
        <f t="shared" si="4"/>
        <v>166408.24</v>
      </c>
      <c r="E69" s="392">
        <f t="shared" si="5"/>
        <v>71031</v>
      </c>
      <c r="F69" s="733">
        <f t="shared" si="6"/>
        <v>0.98212511999999996</v>
      </c>
      <c r="G69" s="390">
        <f t="shared" si="7"/>
        <v>69.761300000000006</v>
      </c>
      <c r="H69" s="391">
        <f t="shared" si="0"/>
        <v>237509.98342512001</v>
      </c>
      <c r="I69" s="324">
        <v>75351</v>
      </c>
      <c r="J69" s="1370">
        <v>0</v>
      </c>
      <c r="K69" s="1371">
        <v>0</v>
      </c>
      <c r="L69" s="725">
        <v>71031</v>
      </c>
      <c r="M69" s="1336">
        <v>0</v>
      </c>
      <c r="N69" s="1336">
        <v>0</v>
      </c>
      <c r="O69" s="1334">
        <v>0</v>
      </c>
      <c r="P69" s="392">
        <f t="shared" si="8"/>
        <v>71031</v>
      </c>
      <c r="Q69" s="392">
        <f t="shared" si="1"/>
        <v>0</v>
      </c>
      <c r="R69" s="392">
        <f t="shared" si="2"/>
        <v>0</v>
      </c>
      <c r="S69" s="532"/>
      <c r="T69" s="374"/>
      <c r="U69" s="520">
        <f t="shared" si="9"/>
        <v>-75351</v>
      </c>
      <c r="V69" s="520">
        <f t="shared" si="10"/>
        <v>75351</v>
      </c>
      <c r="W69" s="520">
        <f t="shared" si="11"/>
        <v>67324.388468479403</v>
      </c>
      <c r="X69" s="520">
        <f t="shared" si="12"/>
        <v>8026.6115315205971</v>
      </c>
      <c r="Y69" s="525">
        <f t="shared" si="13"/>
        <v>68666.816495048595</v>
      </c>
    </row>
    <row r="70" spans="3:25" x14ac:dyDescent="0.2">
      <c r="C70" s="387">
        <f t="shared" si="3"/>
        <v>43144</v>
      </c>
      <c r="D70" s="388">
        <f t="shared" si="4"/>
        <v>166408.24</v>
      </c>
      <c r="E70" s="392">
        <f t="shared" si="5"/>
        <v>71181.3</v>
      </c>
      <c r="F70" s="733">
        <f t="shared" si="6"/>
        <v>0.98212511999999996</v>
      </c>
      <c r="G70" s="390">
        <f t="shared" si="7"/>
        <v>69.908900000000003</v>
      </c>
      <c r="H70" s="391">
        <f t="shared" si="0"/>
        <v>237660.43102511999</v>
      </c>
      <c r="I70" s="324">
        <v>75351</v>
      </c>
      <c r="J70" s="1370">
        <v>0</v>
      </c>
      <c r="K70" s="1371">
        <v>0</v>
      </c>
      <c r="L70" s="724">
        <v>71181.3</v>
      </c>
      <c r="M70" s="1336">
        <v>0</v>
      </c>
      <c r="N70" s="1336">
        <v>0</v>
      </c>
      <c r="O70" s="1334">
        <v>0</v>
      </c>
      <c r="P70" s="392">
        <f t="shared" si="8"/>
        <v>71181.3</v>
      </c>
      <c r="Q70" s="392">
        <f t="shared" si="1"/>
        <v>0</v>
      </c>
      <c r="R70" s="392">
        <f t="shared" si="2"/>
        <v>0</v>
      </c>
      <c r="S70" s="532"/>
      <c r="T70" s="374"/>
      <c r="U70" s="520">
        <f t="shared" si="9"/>
        <v>-75351</v>
      </c>
      <c r="V70" s="520">
        <f t="shared" si="10"/>
        <v>75351</v>
      </c>
      <c r="W70" s="520">
        <f t="shared" si="11"/>
        <v>67466.845361762797</v>
      </c>
      <c r="X70" s="520">
        <f t="shared" si="12"/>
        <v>7884.1546382372035</v>
      </c>
      <c r="Y70" s="525">
        <f t="shared" si="13"/>
        <v>76550.971133285799</v>
      </c>
    </row>
    <row r="71" spans="3:25" x14ac:dyDescent="0.2">
      <c r="C71" s="387">
        <f t="shared" si="3"/>
        <v>43145</v>
      </c>
      <c r="D71" s="388">
        <f t="shared" si="4"/>
        <v>166408.24</v>
      </c>
      <c r="E71" s="392">
        <f t="shared" si="5"/>
        <v>71264.95</v>
      </c>
      <c r="F71" s="733">
        <f t="shared" si="6"/>
        <v>0.98212511999999996</v>
      </c>
      <c r="G71" s="390">
        <f t="shared" si="7"/>
        <v>69.991100000000003</v>
      </c>
      <c r="H71" s="391">
        <f t="shared" si="0"/>
        <v>237744.16322512002</v>
      </c>
      <c r="I71" s="324">
        <v>75351</v>
      </c>
      <c r="J71" s="1370">
        <v>0</v>
      </c>
      <c r="K71" s="1371">
        <v>0</v>
      </c>
      <c r="L71" s="725">
        <v>71264.95</v>
      </c>
      <c r="M71" s="1336">
        <v>0</v>
      </c>
      <c r="N71" s="1336">
        <v>0</v>
      </c>
      <c r="O71" s="1334">
        <v>0</v>
      </c>
      <c r="P71" s="392">
        <f t="shared" si="8"/>
        <v>71264.95</v>
      </c>
      <c r="Q71" s="392">
        <f t="shared" si="1"/>
        <v>0</v>
      </c>
      <c r="R71" s="392">
        <f t="shared" si="2"/>
        <v>0</v>
      </c>
      <c r="S71" s="532"/>
      <c r="T71" s="374"/>
      <c r="U71" s="520">
        <f t="shared" si="9"/>
        <v>-75351</v>
      </c>
      <c r="V71" s="520">
        <f t="shared" si="10"/>
        <v>75351</v>
      </c>
      <c r="W71" s="520">
        <f t="shared" si="11"/>
        <v>67546.13025280174</v>
      </c>
      <c r="X71" s="520">
        <f t="shared" si="12"/>
        <v>7804.8697471982596</v>
      </c>
      <c r="Y71" s="525">
        <f t="shared" si="13"/>
        <v>84355.840880484058</v>
      </c>
    </row>
    <row r="72" spans="3:25" x14ac:dyDescent="0.2">
      <c r="C72" s="387">
        <f t="shared" si="3"/>
        <v>43146</v>
      </c>
      <c r="D72" s="388">
        <f t="shared" si="4"/>
        <v>166408.24</v>
      </c>
      <c r="E72" s="392">
        <f t="shared" si="5"/>
        <v>71121.27</v>
      </c>
      <c r="F72" s="733">
        <f t="shared" si="6"/>
        <v>0.98212511999999996</v>
      </c>
      <c r="G72" s="390">
        <f t="shared" si="7"/>
        <v>69.849999999999994</v>
      </c>
      <c r="H72" s="391">
        <f t="shared" si="0"/>
        <v>237600.34212512002</v>
      </c>
      <c r="I72" s="324">
        <v>75351</v>
      </c>
      <c r="J72" s="1370">
        <v>0</v>
      </c>
      <c r="K72" s="1371">
        <v>0</v>
      </c>
      <c r="L72" s="724">
        <v>71121.27</v>
      </c>
      <c r="M72" s="1336">
        <v>0</v>
      </c>
      <c r="N72" s="1336">
        <v>0</v>
      </c>
      <c r="O72" s="1334">
        <v>0</v>
      </c>
      <c r="P72" s="392">
        <f t="shared" si="8"/>
        <v>71121.27</v>
      </c>
      <c r="Q72" s="392">
        <f t="shared" si="1"/>
        <v>0</v>
      </c>
      <c r="R72" s="392">
        <f t="shared" si="2"/>
        <v>0</v>
      </c>
      <c r="S72" s="532"/>
      <c r="T72" s="374"/>
      <c r="U72" s="520">
        <f t="shared" si="9"/>
        <v>-75351</v>
      </c>
      <c r="V72" s="520">
        <f t="shared" si="10"/>
        <v>75351</v>
      </c>
      <c r="W72" s="520">
        <f t="shared" si="11"/>
        <v>67409.947907978349</v>
      </c>
      <c r="X72" s="520">
        <f t="shared" si="12"/>
        <v>7941.0520920216513</v>
      </c>
      <c r="Y72" s="525">
        <f t="shared" si="13"/>
        <v>92296.89297250571</v>
      </c>
    </row>
    <row r="73" spans="3:25" x14ac:dyDescent="0.2">
      <c r="C73" s="387">
        <f t="shared" si="3"/>
        <v>43147</v>
      </c>
      <c r="D73" s="388">
        <f t="shared" si="4"/>
        <v>166408.24</v>
      </c>
      <c r="E73" s="392">
        <f t="shared" si="5"/>
        <v>71194.7</v>
      </c>
      <c r="F73" s="733">
        <f t="shared" si="6"/>
        <v>0.98212511999999996</v>
      </c>
      <c r="G73" s="390">
        <f t="shared" si="7"/>
        <v>69.9221</v>
      </c>
      <c r="H73" s="391">
        <f t="shared" si="0"/>
        <v>237673.84422512</v>
      </c>
      <c r="I73" s="324">
        <v>75351</v>
      </c>
      <c r="J73" s="1370">
        <v>0</v>
      </c>
      <c r="K73" s="1371">
        <v>0</v>
      </c>
      <c r="L73" s="725">
        <v>71194.7</v>
      </c>
      <c r="M73" s="1336">
        <v>0</v>
      </c>
      <c r="N73" s="1336">
        <v>0</v>
      </c>
      <c r="O73" s="1334">
        <v>0</v>
      </c>
      <c r="P73" s="392">
        <f t="shared" si="8"/>
        <v>71194.7</v>
      </c>
      <c r="Q73" s="392">
        <f t="shared" si="1"/>
        <v>0</v>
      </c>
      <c r="R73" s="392">
        <f t="shared" si="2"/>
        <v>0</v>
      </c>
      <c r="S73" s="532"/>
      <c r="T73" s="374"/>
      <c r="U73" s="520">
        <f t="shared" si="9"/>
        <v>-75351</v>
      </c>
      <c r="V73" s="520">
        <f t="shared" si="10"/>
        <v>75351</v>
      </c>
      <c r="W73" s="520">
        <f t="shared" si="11"/>
        <v>67479.546109400821</v>
      </c>
      <c r="X73" s="520">
        <f t="shared" si="12"/>
        <v>7871.4538905991794</v>
      </c>
      <c r="Y73" s="525">
        <f t="shared" si="13"/>
        <v>100168.34686310489</v>
      </c>
    </row>
    <row r="74" spans="3:25" x14ac:dyDescent="0.2">
      <c r="C74" s="387">
        <f t="shared" si="3"/>
        <v>43148</v>
      </c>
      <c r="D74" s="388">
        <f t="shared" si="4"/>
        <v>166408.24</v>
      </c>
      <c r="E74" s="392">
        <f t="shared" si="5"/>
        <v>71408.7</v>
      </c>
      <c r="F74" s="733">
        <f t="shared" si="6"/>
        <v>0.98212511999999996</v>
      </c>
      <c r="G74" s="390">
        <f t="shared" si="7"/>
        <v>70.132300000000001</v>
      </c>
      <c r="H74" s="391">
        <f t="shared" si="0"/>
        <v>237888.05442512</v>
      </c>
      <c r="I74" s="324">
        <v>75351</v>
      </c>
      <c r="J74" s="1370">
        <v>0</v>
      </c>
      <c r="K74" s="1371">
        <v>0</v>
      </c>
      <c r="L74" s="724">
        <v>71408.7</v>
      </c>
      <c r="M74" s="1336">
        <v>0</v>
      </c>
      <c r="N74" s="1336">
        <v>0</v>
      </c>
      <c r="O74" s="1334">
        <v>0</v>
      </c>
      <c r="P74" s="392">
        <f t="shared" si="8"/>
        <v>71408.7</v>
      </c>
      <c r="Q74" s="392">
        <f t="shared" si="1"/>
        <v>0</v>
      </c>
      <c r="R74" s="392">
        <f t="shared" si="2"/>
        <v>0</v>
      </c>
      <c r="S74" s="532"/>
      <c r="T74" s="374"/>
      <c r="U74" s="520">
        <f t="shared" si="9"/>
        <v>-75351</v>
      </c>
      <c r="V74" s="520">
        <f t="shared" si="10"/>
        <v>75351</v>
      </c>
      <c r="W74" s="520">
        <f t="shared" si="11"/>
        <v>67682.378944814307</v>
      </c>
      <c r="X74" s="520">
        <f t="shared" si="12"/>
        <v>7668.621055185693</v>
      </c>
      <c r="Y74" s="525">
        <f t="shared" si="13"/>
        <v>107836.96791829058</v>
      </c>
    </row>
    <row r="75" spans="3:25" x14ac:dyDescent="0.2">
      <c r="C75" s="387">
        <f t="shared" si="3"/>
        <v>43149</v>
      </c>
      <c r="D75" s="388">
        <f t="shared" si="4"/>
        <v>166408.24</v>
      </c>
      <c r="E75" s="392">
        <f t="shared" si="5"/>
        <v>71211.3</v>
      </c>
      <c r="F75" s="733">
        <f t="shared" si="6"/>
        <v>0.98212511999999996</v>
      </c>
      <c r="G75" s="390">
        <f t="shared" si="7"/>
        <v>69.938400000000001</v>
      </c>
      <c r="H75" s="391">
        <f t="shared" si="0"/>
        <v>237690.46052512</v>
      </c>
      <c r="I75" s="324">
        <v>75351</v>
      </c>
      <c r="J75" s="1370">
        <v>0</v>
      </c>
      <c r="K75" s="1371">
        <v>0</v>
      </c>
      <c r="L75" s="725">
        <v>71211.3</v>
      </c>
      <c r="M75" s="1336">
        <v>0</v>
      </c>
      <c r="N75" s="1336">
        <v>0</v>
      </c>
      <c r="O75" s="1334">
        <v>0</v>
      </c>
      <c r="P75" s="392">
        <f t="shared" si="8"/>
        <v>71211.3</v>
      </c>
      <c r="Q75" s="392">
        <f t="shared" si="1"/>
        <v>0</v>
      </c>
      <c r="R75" s="392">
        <f t="shared" si="2"/>
        <v>0</v>
      </c>
      <c r="S75" s="532"/>
      <c r="T75" s="374"/>
      <c r="U75" s="520">
        <f t="shared" si="9"/>
        <v>-75351</v>
      </c>
      <c r="V75" s="520">
        <f t="shared" si="10"/>
        <v>75351</v>
      </c>
      <c r="W75" s="520">
        <f t="shared" si="11"/>
        <v>67495.279871400198</v>
      </c>
      <c r="X75" s="520">
        <f t="shared" si="12"/>
        <v>7855.7201285998017</v>
      </c>
      <c r="Y75" s="525">
        <f t="shared" si="13"/>
        <v>115692.68804689038</v>
      </c>
    </row>
    <row r="76" spans="3:25" x14ac:dyDescent="0.2">
      <c r="C76" s="387">
        <f t="shared" si="3"/>
        <v>43150</v>
      </c>
      <c r="D76" s="388">
        <f t="shared" si="4"/>
        <v>166408.24</v>
      </c>
      <c r="E76" s="392">
        <f t="shared" si="5"/>
        <v>73754.600000000006</v>
      </c>
      <c r="F76" s="733">
        <f t="shared" si="6"/>
        <v>0.98212511999999996</v>
      </c>
      <c r="G76" s="390">
        <f t="shared" si="7"/>
        <v>72.436199999999999</v>
      </c>
      <c r="H76" s="391">
        <f t="shared" si="0"/>
        <v>240236.25832512</v>
      </c>
      <c r="I76" s="324">
        <v>75351</v>
      </c>
      <c r="J76" s="1370">
        <v>0</v>
      </c>
      <c r="K76" s="1371">
        <v>0</v>
      </c>
      <c r="L76" s="724">
        <v>73754.600000000006</v>
      </c>
      <c r="M76" s="1336">
        <v>0</v>
      </c>
      <c r="N76" s="1336">
        <v>0</v>
      </c>
      <c r="O76" s="1334">
        <v>0</v>
      </c>
      <c r="P76" s="392">
        <f t="shared" si="8"/>
        <v>73754.600000000006</v>
      </c>
      <c r="Q76" s="392">
        <f t="shared" si="1"/>
        <v>0</v>
      </c>
      <c r="R76" s="392">
        <f t="shared" si="2"/>
        <v>0</v>
      </c>
      <c r="S76" s="532"/>
      <c r="T76" s="374"/>
      <c r="U76" s="520">
        <f t="shared" si="9"/>
        <v>-75351</v>
      </c>
      <c r="V76" s="520">
        <f t="shared" si="10"/>
        <v>75351</v>
      </c>
      <c r="W76" s="520">
        <f t="shared" si="11"/>
        <v>69905.862816760447</v>
      </c>
      <c r="X76" s="520">
        <f t="shared" si="12"/>
        <v>5445.1371832395525</v>
      </c>
      <c r="Y76" s="525">
        <f t="shared" si="13"/>
        <v>121137.82523012994</v>
      </c>
    </row>
    <row r="77" spans="3:25" x14ac:dyDescent="0.2">
      <c r="C77" s="387">
        <f t="shared" si="3"/>
        <v>43151</v>
      </c>
      <c r="D77" s="388">
        <f t="shared" si="4"/>
        <v>166408.24</v>
      </c>
      <c r="E77" s="392">
        <f t="shared" si="5"/>
        <v>73601.41</v>
      </c>
      <c r="F77" s="733">
        <f t="shared" si="6"/>
        <v>0.98212511999999996</v>
      </c>
      <c r="G77" s="390">
        <f t="shared" si="7"/>
        <v>72.285799999999995</v>
      </c>
      <c r="H77" s="391">
        <f t="shared" si="0"/>
        <v>240082.91792512001</v>
      </c>
      <c r="I77" s="324">
        <v>75351</v>
      </c>
      <c r="J77" s="1370">
        <v>0</v>
      </c>
      <c r="K77" s="1371">
        <v>0</v>
      </c>
      <c r="L77" s="725">
        <v>73601.41</v>
      </c>
      <c r="M77" s="1336">
        <v>0</v>
      </c>
      <c r="N77" s="1336">
        <v>0</v>
      </c>
      <c r="O77" s="1334">
        <v>0</v>
      </c>
      <c r="P77" s="392">
        <f t="shared" si="8"/>
        <v>73601.41</v>
      </c>
      <c r="Q77" s="392">
        <f t="shared" si="1"/>
        <v>0</v>
      </c>
      <c r="R77" s="392">
        <f t="shared" si="2"/>
        <v>0</v>
      </c>
      <c r="S77" s="532"/>
      <c r="T77" s="374"/>
      <c r="U77" s="520">
        <f t="shared" si="9"/>
        <v>-75351</v>
      </c>
      <c r="V77" s="520">
        <f t="shared" si="10"/>
        <v>75351</v>
      </c>
      <c r="W77" s="520">
        <f t="shared" si="11"/>
        <v>69760.666732381986</v>
      </c>
      <c r="X77" s="520">
        <f t="shared" si="12"/>
        <v>5590.3332676180144</v>
      </c>
      <c r="Y77" s="525">
        <f t="shared" si="13"/>
        <v>126728.15849774795</v>
      </c>
    </row>
    <row r="78" spans="3:25" x14ac:dyDescent="0.2">
      <c r="C78" s="387">
        <f t="shared" si="3"/>
        <v>43152</v>
      </c>
      <c r="D78" s="388">
        <f t="shared" si="4"/>
        <v>166408.24</v>
      </c>
      <c r="E78" s="392">
        <f t="shared" si="5"/>
        <v>70976.02</v>
      </c>
      <c r="F78" s="733">
        <f t="shared" si="6"/>
        <v>0.98212511999999996</v>
      </c>
      <c r="G78" s="390">
        <f t="shared" si="7"/>
        <v>69.707300000000004</v>
      </c>
      <c r="H78" s="391">
        <f t="shared" si="0"/>
        <v>237454.94942512002</v>
      </c>
      <c r="I78" s="324">
        <v>75351</v>
      </c>
      <c r="J78" s="1370">
        <v>0</v>
      </c>
      <c r="K78" s="1371">
        <v>0</v>
      </c>
      <c r="L78" s="724">
        <v>70976.02</v>
      </c>
      <c r="M78" s="1336">
        <v>0</v>
      </c>
      <c r="N78" s="1336">
        <v>0</v>
      </c>
      <c r="O78" s="1334">
        <v>0</v>
      </c>
      <c r="P78" s="392">
        <f t="shared" si="8"/>
        <v>70976.02</v>
      </c>
      <c r="Q78" s="392">
        <f t="shared" si="1"/>
        <v>0</v>
      </c>
      <c r="R78" s="392">
        <f t="shared" si="2"/>
        <v>0</v>
      </c>
      <c r="S78" s="532"/>
      <c r="T78" s="374"/>
      <c r="U78" s="520">
        <f t="shared" si="9"/>
        <v>-75351</v>
      </c>
      <c r="V78" s="520">
        <f t="shared" si="10"/>
        <v>75351</v>
      </c>
      <c r="W78" s="520">
        <f t="shared" si="11"/>
        <v>67272.277490483917</v>
      </c>
      <c r="X78" s="520">
        <f t="shared" si="12"/>
        <v>8078.7225095160829</v>
      </c>
      <c r="Y78" s="525">
        <f t="shared" si="13"/>
        <v>134806.88100726402</v>
      </c>
    </row>
    <row r="79" spans="3:25" x14ac:dyDescent="0.2">
      <c r="C79" s="387">
        <f t="shared" si="3"/>
        <v>43153</v>
      </c>
      <c r="D79" s="388">
        <f t="shared" si="4"/>
        <v>166408.24</v>
      </c>
      <c r="E79" s="392">
        <f t="shared" si="5"/>
        <v>70915.45</v>
      </c>
      <c r="F79" s="733">
        <f t="shared" si="6"/>
        <v>0.98212511999999996</v>
      </c>
      <c r="G79" s="390">
        <f t="shared" si="7"/>
        <v>69.647800000000004</v>
      </c>
      <c r="H79" s="391">
        <f t="shared" si="0"/>
        <v>237394.31992512001</v>
      </c>
      <c r="I79" s="324">
        <v>75351</v>
      </c>
      <c r="J79" s="1370">
        <v>0</v>
      </c>
      <c r="K79" s="1371">
        <v>0</v>
      </c>
      <c r="L79" s="725">
        <v>70915.45</v>
      </c>
      <c r="M79" s="1336">
        <v>0</v>
      </c>
      <c r="N79" s="1336">
        <v>0</v>
      </c>
      <c r="O79" s="1334">
        <v>0</v>
      </c>
      <c r="P79" s="392">
        <f t="shared" si="8"/>
        <v>70915.45</v>
      </c>
      <c r="Q79" s="392">
        <f t="shared" si="1"/>
        <v>0</v>
      </c>
      <c r="R79" s="392">
        <f t="shared" si="2"/>
        <v>0</v>
      </c>
      <c r="S79" s="532"/>
      <c r="T79" s="374"/>
      <c r="U79" s="520">
        <f t="shared" si="9"/>
        <v>-75351</v>
      </c>
      <c r="V79" s="520">
        <f t="shared" si="10"/>
        <v>75351</v>
      </c>
      <c r="W79" s="520">
        <f t="shared" si="11"/>
        <v>67214.868215526003</v>
      </c>
      <c r="X79" s="520">
        <f t="shared" si="12"/>
        <v>8136.131784473997</v>
      </c>
      <c r="Y79" s="525">
        <f t="shared" si="13"/>
        <v>142943.01279173803</v>
      </c>
    </row>
    <row r="80" spans="3:25" x14ac:dyDescent="0.2">
      <c r="C80" s="387">
        <f t="shared" si="3"/>
        <v>43154</v>
      </c>
      <c r="D80" s="388">
        <f t="shared" si="4"/>
        <v>166408.24</v>
      </c>
      <c r="E80" s="392">
        <f t="shared" si="5"/>
        <v>71027.199999999997</v>
      </c>
      <c r="F80" s="733">
        <f t="shared" si="6"/>
        <v>0.98212511999999996</v>
      </c>
      <c r="G80" s="390">
        <f t="shared" si="7"/>
        <v>69.757599999999996</v>
      </c>
      <c r="H80" s="391">
        <f t="shared" si="0"/>
        <v>237506.17972512002</v>
      </c>
      <c r="I80" s="324">
        <v>75351</v>
      </c>
      <c r="J80" s="1370">
        <v>0</v>
      </c>
      <c r="K80" s="1371">
        <v>0</v>
      </c>
      <c r="L80" s="724">
        <v>71027.199999999997</v>
      </c>
      <c r="M80" s="1336">
        <v>0</v>
      </c>
      <c r="N80" s="1336">
        <v>0</v>
      </c>
      <c r="O80" s="1334">
        <v>0</v>
      </c>
      <c r="P80" s="392">
        <f t="shared" si="8"/>
        <v>71027.199999999997</v>
      </c>
      <c r="Q80" s="392">
        <f t="shared" si="1"/>
        <v>0</v>
      </c>
      <c r="R80" s="392">
        <f t="shared" si="2"/>
        <v>0</v>
      </c>
      <c r="S80" s="532"/>
      <c r="T80" s="374"/>
      <c r="U80" s="520">
        <f t="shared" si="9"/>
        <v>-75351</v>
      </c>
      <c r="V80" s="520">
        <f t="shared" si="10"/>
        <v>75351</v>
      </c>
      <c r="W80" s="520">
        <f t="shared" si="11"/>
        <v>67320.786763925324</v>
      </c>
      <c r="X80" s="520">
        <f t="shared" si="12"/>
        <v>8030.2132360746764</v>
      </c>
      <c r="Y80" s="525">
        <f t="shared" si="13"/>
        <v>150973.22602781269</v>
      </c>
    </row>
    <row r="81" spans="2:38" x14ac:dyDescent="0.2">
      <c r="C81" s="387">
        <f t="shared" si="3"/>
        <v>43155</v>
      </c>
      <c r="D81" s="388">
        <f t="shared" si="4"/>
        <v>166408.24</v>
      </c>
      <c r="E81" s="392">
        <f t="shared" si="5"/>
        <v>71154.5</v>
      </c>
      <c r="F81" s="733">
        <f t="shared" si="6"/>
        <v>0.98212511999999996</v>
      </c>
      <c r="G81" s="390">
        <f t="shared" si="7"/>
        <v>69.882599999999996</v>
      </c>
      <c r="H81" s="391">
        <f t="shared" si="0"/>
        <v>237633.60472512001</v>
      </c>
      <c r="I81" s="324">
        <v>75351</v>
      </c>
      <c r="J81" s="1370">
        <v>0</v>
      </c>
      <c r="K81" s="1371">
        <v>0</v>
      </c>
      <c r="L81" s="725">
        <v>71154.5</v>
      </c>
      <c r="M81" s="1336">
        <v>0</v>
      </c>
      <c r="N81" s="1336">
        <v>0</v>
      </c>
      <c r="O81" s="1334">
        <v>0</v>
      </c>
      <c r="P81" s="392">
        <f t="shared" si="8"/>
        <v>71154.5</v>
      </c>
      <c r="Q81" s="392">
        <f t="shared" si="1"/>
        <v>0</v>
      </c>
      <c r="R81" s="392">
        <f t="shared" si="2"/>
        <v>0</v>
      </c>
      <c r="S81" s="532"/>
      <c r="T81" s="374"/>
      <c r="U81" s="520">
        <f t="shared" si="9"/>
        <v>-75351</v>
      </c>
      <c r="V81" s="520">
        <f t="shared" si="10"/>
        <v>75351</v>
      </c>
      <c r="W81" s="520">
        <f t="shared" si="11"/>
        <v>67441.443866486705</v>
      </c>
      <c r="X81" s="520">
        <f t="shared" si="12"/>
        <v>7909.5561335132952</v>
      </c>
      <c r="Y81" s="525">
        <f t="shared" si="13"/>
        <v>158882.78216132597</v>
      </c>
    </row>
    <row r="82" spans="2:38" x14ac:dyDescent="0.2">
      <c r="C82" s="387">
        <f t="shared" si="3"/>
        <v>43156</v>
      </c>
      <c r="D82" s="388">
        <f t="shared" si="4"/>
        <v>166408.24</v>
      </c>
      <c r="E82" s="392">
        <f t="shared" si="5"/>
        <v>71033.23</v>
      </c>
      <c r="F82" s="733">
        <f t="shared" si="6"/>
        <v>0.98212511999999996</v>
      </c>
      <c r="G82" s="390">
        <f t="shared" si="7"/>
        <v>69.763499999999993</v>
      </c>
      <c r="H82" s="391">
        <f t="shared" si="0"/>
        <v>237512.21562511998</v>
      </c>
      <c r="I82" s="324">
        <v>75351</v>
      </c>
      <c r="J82" s="1370">
        <v>0</v>
      </c>
      <c r="K82" s="1371">
        <v>0</v>
      </c>
      <c r="L82" s="724">
        <v>71033.23</v>
      </c>
      <c r="M82" s="1336">
        <v>0</v>
      </c>
      <c r="N82" s="1336">
        <v>0</v>
      </c>
      <c r="O82" s="1334">
        <v>0</v>
      </c>
      <c r="P82" s="392">
        <f t="shared" si="8"/>
        <v>71033.23</v>
      </c>
      <c r="Q82" s="392">
        <f t="shared" si="1"/>
        <v>0</v>
      </c>
      <c r="R82" s="392">
        <f t="shared" si="2"/>
        <v>0</v>
      </c>
      <c r="S82" s="532"/>
      <c r="T82" s="374"/>
      <c r="U82" s="520">
        <f t="shared" si="9"/>
        <v>-75351</v>
      </c>
      <c r="V82" s="520">
        <f t="shared" si="10"/>
        <v>75351</v>
      </c>
      <c r="W82" s="520">
        <f t="shared" si="11"/>
        <v>67326.502100362442</v>
      </c>
      <c r="X82" s="520">
        <f t="shared" si="12"/>
        <v>8024.4978996375576</v>
      </c>
      <c r="Y82" s="525">
        <f t="shared" si="13"/>
        <v>166907.28006096353</v>
      </c>
    </row>
    <row r="83" spans="2:38" x14ac:dyDescent="0.2">
      <c r="C83" s="387">
        <f t="shared" si="3"/>
        <v>43157</v>
      </c>
      <c r="D83" s="388">
        <f t="shared" si="4"/>
        <v>166408.24</v>
      </c>
      <c r="E83" s="392">
        <f t="shared" si="5"/>
        <v>70933.350000000006</v>
      </c>
      <c r="F83" s="733">
        <f t="shared" si="6"/>
        <v>0.98212511999999996</v>
      </c>
      <c r="G83" s="390">
        <f t="shared" si="7"/>
        <v>69.665400000000005</v>
      </c>
      <c r="H83" s="391">
        <f t="shared" si="0"/>
        <v>237412.23752512</v>
      </c>
      <c r="I83" s="324">
        <v>75351</v>
      </c>
      <c r="J83" s="1370">
        <v>0</v>
      </c>
      <c r="K83" s="1371">
        <v>0</v>
      </c>
      <c r="L83" s="725">
        <v>70933.350000000006</v>
      </c>
      <c r="M83" s="1336">
        <v>0</v>
      </c>
      <c r="N83" s="1336">
        <v>0</v>
      </c>
      <c r="O83" s="1334">
        <v>0</v>
      </c>
      <c r="P83" s="392">
        <f t="shared" si="8"/>
        <v>70933.350000000006</v>
      </c>
      <c r="Q83" s="392">
        <f t="shared" si="1"/>
        <v>0</v>
      </c>
      <c r="R83" s="392">
        <f t="shared" si="2"/>
        <v>0</v>
      </c>
      <c r="S83" s="532"/>
      <c r="T83" s="374"/>
      <c r="U83" s="520">
        <f t="shared" si="9"/>
        <v>-75351</v>
      </c>
      <c r="V83" s="520">
        <f t="shared" si="10"/>
        <v>75351</v>
      </c>
      <c r="W83" s="520">
        <f t="shared" si="11"/>
        <v>67231.834139609651</v>
      </c>
      <c r="X83" s="520">
        <f t="shared" si="12"/>
        <v>8119.1658603903488</v>
      </c>
      <c r="Y83" s="525">
        <f t="shared" si="13"/>
        <v>175026.44592135388</v>
      </c>
    </row>
    <row r="84" spans="2:38" x14ac:dyDescent="0.2">
      <c r="C84" s="387">
        <f t="shared" si="3"/>
        <v>43158</v>
      </c>
      <c r="D84" s="388">
        <f t="shared" si="4"/>
        <v>166408.24</v>
      </c>
      <c r="E84" s="392">
        <f t="shared" si="5"/>
        <v>71074.066999999995</v>
      </c>
      <c r="F84" s="733">
        <f t="shared" si="6"/>
        <v>0.98212511999999996</v>
      </c>
      <c r="G84" s="390">
        <f t="shared" si="7"/>
        <v>69.803600000000003</v>
      </c>
      <c r="H84" s="391">
        <f t="shared" si="0"/>
        <v>237553.09272511999</v>
      </c>
      <c r="I84" s="324">
        <v>75351</v>
      </c>
      <c r="J84" s="1370">
        <v>0</v>
      </c>
      <c r="K84" s="1371">
        <v>0</v>
      </c>
      <c r="L84" s="724">
        <v>71074.066999999995</v>
      </c>
      <c r="M84" s="1336">
        <v>0</v>
      </c>
      <c r="N84" s="1336">
        <v>0</v>
      </c>
      <c r="O84" s="1334">
        <v>0</v>
      </c>
      <c r="P84" s="392">
        <f t="shared" si="8"/>
        <v>71074.066999999995</v>
      </c>
      <c r="Q84" s="392">
        <f t="shared" si="1"/>
        <v>0</v>
      </c>
      <c r="R84" s="392">
        <f t="shared" si="2"/>
        <v>0</v>
      </c>
      <c r="S84" s="532"/>
      <c r="T84" s="374"/>
      <c r="U84" s="520">
        <f t="shared" si="9"/>
        <v>-75351</v>
      </c>
      <c r="V84" s="520">
        <f t="shared" si="10"/>
        <v>75351</v>
      </c>
      <c r="W84" s="520">
        <f t="shared" si="11"/>
        <v>67365.208102697856</v>
      </c>
      <c r="X84" s="520">
        <f t="shared" si="12"/>
        <v>7985.7918973021442</v>
      </c>
      <c r="Y84" s="525">
        <f t="shared" si="13"/>
        <v>183012.23781865602</v>
      </c>
    </row>
    <row r="85" spans="2:38" x14ac:dyDescent="0.2">
      <c r="C85" s="387">
        <f t="shared" si="3"/>
        <v>43159</v>
      </c>
      <c r="D85" s="388">
        <f t="shared" si="4"/>
        <v>166408.24</v>
      </c>
      <c r="E85" s="392">
        <f t="shared" si="5"/>
        <v>71093.039999999994</v>
      </c>
      <c r="F85" s="733">
        <f t="shared" si="6"/>
        <v>0.98212511999999996</v>
      </c>
      <c r="G85" s="390">
        <f t="shared" si="7"/>
        <v>69.822299999999998</v>
      </c>
      <c r="H85" s="391">
        <f t="shared" si="0"/>
        <v>237572.08442511997</v>
      </c>
      <c r="I85" s="324">
        <v>75351</v>
      </c>
      <c r="J85" s="1370">
        <v>0</v>
      </c>
      <c r="K85" s="1371">
        <v>0</v>
      </c>
      <c r="L85" s="725">
        <v>71093.039999999994</v>
      </c>
      <c r="M85" s="1336">
        <v>0</v>
      </c>
      <c r="N85" s="1336">
        <v>0</v>
      </c>
      <c r="O85" s="1334">
        <v>0</v>
      </c>
      <c r="P85" s="392">
        <f t="shared" si="8"/>
        <v>71093.039999999994</v>
      </c>
      <c r="Q85" s="392">
        <f t="shared" si="1"/>
        <v>0</v>
      </c>
      <c r="R85" s="392">
        <f t="shared" si="2"/>
        <v>0</v>
      </c>
      <c r="S85" s="532"/>
      <c r="T85" s="374"/>
      <c r="U85" s="520">
        <f t="shared" si="9"/>
        <v>-75351</v>
      </c>
      <c r="V85" s="520">
        <f t="shared" si="10"/>
        <v>75351</v>
      </c>
      <c r="W85" s="520">
        <f t="shared" si="11"/>
        <v>67383.191034409538</v>
      </c>
      <c r="X85" s="520">
        <f t="shared" si="12"/>
        <v>7967.8089655904623</v>
      </c>
      <c r="Y85" s="525">
        <f t="shared" si="13"/>
        <v>190980.04678424649</v>
      </c>
    </row>
    <row r="86" spans="2:38" x14ac:dyDescent="0.2">
      <c r="C86" s="387"/>
      <c r="D86" s="388"/>
      <c r="E86" s="392"/>
      <c r="F86" s="733"/>
      <c r="G86" s="390"/>
      <c r="H86" s="391"/>
      <c r="I86" s="324"/>
      <c r="J86" s="325"/>
      <c r="K86" s="1325"/>
      <c r="L86" s="724"/>
      <c r="M86" s="318"/>
      <c r="N86" s="1336"/>
      <c r="O86" s="1334"/>
      <c r="P86" s="392"/>
      <c r="Q86" s="392"/>
      <c r="R86" s="392"/>
      <c r="S86" s="532"/>
      <c r="T86" s="374"/>
      <c r="U86" s="520"/>
      <c r="V86" s="520"/>
      <c r="W86" s="520">
        <f t="shared" si="11"/>
        <v>0</v>
      </c>
      <c r="X86" s="520"/>
      <c r="Y86" s="525"/>
    </row>
    <row r="87" spans="2:38" x14ac:dyDescent="0.2">
      <c r="C87" s="933"/>
      <c r="D87" s="1040"/>
      <c r="E87" s="934"/>
      <c r="F87" s="1041"/>
      <c r="G87" s="923"/>
      <c r="H87" s="1042"/>
      <c r="I87" s="925"/>
      <c r="J87" s="926"/>
      <c r="K87" s="1171"/>
      <c r="L87" s="936"/>
      <c r="M87" s="937"/>
      <c r="N87" s="1336"/>
      <c r="O87" s="1334"/>
      <c r="P87" s="934"/>
      <c r="Q87" s="934"/>
      <c r="R87" s="934"/>
      <c r="S87" s="929"/>
      <c r="T87" s="930"/>
      <c r="U87" s="931"/>
      <c r="V87" s="931"/>
      <c r="W87" s="931">
        <f t="shared" si="11"/>
        <v>0</v>
      </c>
      <c r="X87" s="931"/>
      <c r="Y87" s="932"/>
    </row>
    <row r="88" spans="2:38" ht="13.5" thickBot="1" x14ac:dyDescent="0.25">
      <c r="C88" s="938"/>
      <c r="D88" s="1043"/>
      <c r="E88" s="941"/>
      <c r="F88" s="1044"/>
      <c r="G88" s="943"/>
      <c r="H88" s="1045"/>
      <c r="I88" s="945"/>
      <c r="J88" s="946"/>
      <c r="K88" s="1298"/>
      <c r="L88" s="947"/>
      <c r="M88" s="948"/>
      <c r="N88" s="1348"/>
      <c r="O88" s="1335"/>
      <c r="P88" s="941"/>
      <c r="Q88" s="941"/>
      <c r="R88" s="941"/>
      <c r="S88" s="949"/>
      <c r="T88" s="950"/>
      <c r="U88" s="951"/>
      <c r="V88" s="951"/>
      <c r="W88" s="951">
        <f t="shared" si="11"/>
        <v>0</v>
      </c>
      <c r="X88" s="951"/>
      <c r="Y88" s="952"/>
    </row>
    <row r="89" spans="2:38" ht="13.5" thickBot="1" x14ac:dyDescent="0.25">
      <c r="C89" s="953"/>
      <c r="D89" s="1046">
        <f>SUM(D58:D88)</f>
        <v>4659430.7200000035</v>
      </c>
      <c r="E89" s="955">
        <f>SUM(E58:E88)</f>
        <v>1996492.97</v>
      </c>
      <c r="F89" s="955"/>
      <c r="G89" s="956">
        <f>SUM(G58:G88)</f>
        <v>1960.8056999999999</v>
      </c>
      <c r="H89" s="1046">
        <f>SUM(H58:H88)</f>
        <v>6657911.99520336</v>
      </c>
      <c r="I89" s="996">
        <f>SUM(I58:I88)</f>
        <v>2083290</v>
      </c>
      <c r="J89" s="957">
        <f t="shared" ref="J89:R89" si="14">SUM(J58:J88)</f>
        <v>0</v>
      </c>
      <c r="K89" s="957">
        <f t="shared" si="14"/>
        <v>0</v>
      </c>
      <c r="L89" s="957">
        <f>SUM(L58:L88)</f>
        <v>1996492.97</v>
      </c>
      <c r="M89" s="957">
        <f t="shared" si="14"/>
        <v>0</v>
      </c>
      <c r="N89" s="957">
        <f t="shared" si="14"/>
        <v>0</v>
      </c>
      <c r="O89" s="957">
        <f t="shared" si="14"/>
        <v>0</v>
      </c>
      <c r="P89" s="957">
        <f t="shared" si="14"/>
        <v>1996492.97</v>
      </c>
      <c r="Q89" s="957">
        <f t="shared" si="14"/>
        <v>0</v>
      </c>
      <c r="R89" s="957">
        <f t="shared" si="14"/>
        <v>0</v>
      </c>
      <c r="S89" s="958">
        <f>SUM(S58:S88)</f>
        <v>0</v>
      </c>
      <c r="U89" s="959"/>
      <c r="V89" s="960">
        <f>SUM(V58:V88)</f>
        <v>2083290</v>
      </c>
      <c r="W89" s="960">
        <f>SUM(W58:W88)</f>
        <v>1892309.9532157534</v>
      </c>
      <c r="X89" s="960">
        <f>SUM(X58:X88)</f>
        <v>190980.04678424649</v>
      </c>
      <c r="Y89" s="1299">
        <f>Y88</f>
        <v>0</v>
      </c>
      <c r="AL89" s="958">
        <f>Y88</f>
        <v>0</v>
      </c>
    </row>
    <row r="90" spans="2:38" ht="15" customHeight="1" thickBot="1" x14ac:dyDescent="0.25">
      <c r="B90" s="843"/>
      <c r="C90" s="843"/>
      <c r="D90" s="843"/>
      <c r="E90" s="843"/>
      <c r="F90" s="843"/>
      <c r="G90" s="843"/>
      <c r="H90" s="843"/>
      <c r="I90" s="843"/>
      <c r="J90" s="843"/>
      <c r="K90" s="843"/>
      <c r="L90" s="843"/>
      <c r="N90" s="829"/>
    </row>
    <row r="91" spans="2:38" x14ac:dyDescent="0.2">
      <c r="D91" s="962" t="s">
        <v>155</v>
      </c>
      <c r="E91" s="963" t="s">
        <v>156</v>
      </c>
      <c r="F91" s="964" t="s">
        <v>112</v>
      </c>
    </row>
    <row r="92" spans="2:38" x14ac:dyDescent="0.2">
      <c r="D92" s="965">
        <v>4659430.72</v>
      </c>
      <c r="E92" s="1048">
        <f>D89</f>
        <v>4659430.7200000035</v>
      </c>
      <c r="F92" s="1049">
        <f>D92-E92</f>
        <v>0</v>
      </c>
    </row>
    <row r="93" spans="2:38" ht="13.5" thickBot="1" x14ac:dyDescent="0.25">
      <c r="D93" s="969">
        <v>1960.81</v>
      </c>
      <c r="E93" s="1051">
        <f>ROUND(G89,2)</f>
        <v>1960.81</v>
      </c>
      <c r="F93" s="1052">
        <f>D93-E93</f>
        <v>0</v>
      </c>
    </row>
  </sheetData>
  <mergeCells count="7">
    <mergeCell ref="S56:Y56"/>
    <mergeCell ref="C3:M4"/>
    <mergeCell ref="C5:M5"/>
    <mergeCell ref="C6:M6"/>
    <mergeCell ref="C14:E14"/>
    <mergeCell ref="C15:E15"/>
    <mergeCell ref="C16:E16"/>
  </mergeCells>
  <conditionalFormatting sqref="L86:M88 L58:L85">
    <cfRule type="cellIs" dxfId="111" priority="2" stopIfTrue="1" operator="equal">
      <formula>0</formula>
    </cfRule>
  </conditionalFormatting>
  <hyperlinks>
    <hyperlink ref="J22" r:id="rId1"/>
  </hyperlinks>
  <printOptions horizontalCentered="1"/>
  <pageMargins left="0.59055118110236227" right="0.39370078740157483" top="0" bottom="0" header="0" footer="0.51181102362204722"/>
  <pageSetup scale="65" orientation="landscape" r:id="rId2"/>
  <ignoredErrors>
    <ignoredError sqref="I15:K15 E92:F92" evalError="1"/>
  </ignoredErrors>
  <drawing r:id="rId3"/>
  <legacyDrawing r:id="rId4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2:AL126"/>
  <sheetViews>
    <sheetView topLeftCell="A10" workbookViewId="0"/>
  </sheetViews>
  <sheetFormatPr baseColWidth="10" defaultColWidth="11" defaultRowHeight="14.25" x14ac:dyDescent="0.2"/>
  <cols>
    <col min="1" max="1" width="11" style="2"/>
    <col min="2" max="2" width="3.875" style="2" bestFit="1" customWidth="1"/>
    <col min="3" max="3" width="16.125" style="2" customWidth="1"/>
    <col min="4" max="4" width="12.375" style="2" bestFit="1" customWidth="1"/>
    <col min="5" max="5" width="12.125" style="2" customWidth="1"/>
    <col min="6" max="6" width="17.125" style="2" bestFit="1" customWidth="1"/>
    <col min="7" max="7" width="13.125" style="2" bestFit="1" customWidth="1"/>
    <col min="8" max="8" width="12.125" style="2" bestFit="1" customWidth="1"/>
    <col min="9" max="9" width="21.625" style="2" customWidth="1"/>
    <col min="10" max="10" width="11.875" style="2" bestFit="1" customWidth="1"/>
    <col min="11" max="11" width="11.625" style="2" bestFit="1" customWidth="1"/>
    <col min="12" max="12" width="16" style="2" customWidth="1"/>
    <col min="13" max="13" width="13.625" style="2" bestFit="1" customWidth="1"/>
    <col min="14" max="14" width="13.625" style="1" bestFit="1" customWidth="1"/>
    <col min="15" max="15" width="11.125" style="2" bestFit="1" customWidth="1"/>
    <col min="16" max="16" width="11" style="2"/>
    <col min="17" max="17" width="12.5" style="2" bestFit="1" customWidth="1"/>
    <col min="18" max="18" width="10.875" style="2" customWidth="1"/>
    <col min="19" max="19" width="11.625" style="2" bestFit="1" customWidth="1"/>
    <col min="20" max="20" width="11" style="2"/>
    <col min="21" max="21" width="11.625" style="2" bestFit="1" customWidth="1"/>
    <col min="22" max="24" width="11" style="2"/>
    <col min="25" max="25" width="12.625" style="2" customWidth="1"/>
    <col min="26" max="32" width="11" style="718"/>
    <col min="33" max="16384" width="11" style="2"/>
  </cols>
  <sheetData>
    <row r="2" spans="2:25" x14ac:dyDescent="0.2"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2:25" ht="15" customHeight="1" x14ac:dyDescent="0.2">
      <c r="B3" s="1"/>
      <c r="C3" s="2254"/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</row>
    <row r="4" spans="2:25" ht="15" customHeight="1" x14ac:dyDescent="0.2"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</row>
    <row r="5" spans="2:25" x14ac:dyDescent="0.2">
      <c r="B5" s="1"/>
      <c r="C5" s="2257"/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</row>
    <row r="6" spans="2:25" x14ac:dyDescent="0.2">
      <c r="B6" s="1"/>
      <c r="C6" s="2257"/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</row>
    <row r="7" spans="2:25" x14ac:dyDescent="0.2">
      <c r="B7" s="1"/>
      <c r="C7" s="722">
        <v>43160</v>
      </c>
      <c r="D7" s="722"/>
      <c r="E7" s="722"/>
      <c r="F7" s="722"/>
      <c r="G7" s="722"/>
      <c r="H7" s="722"/>
      <c r="I7" s="722"/>
      <c r="J7" s="722"/>
      <c r="K7" s="722"/>
      <c r="L7" s="722"/>
      <c r="M7" s="722"/>
      <c r="N7" s="722"/>
      <c r="O7" s="722"/>
      <c r="P7" s="722"/>
      <c r="Q7" s="722"/>
      <c r="R7" s="1"/>
      <c r="S7" s="1"/>
      <c r="T7" s="1"/>
      <c r="U7" s="1"/>
      <c r="V7" s="1"/>
      <c r="W7" s="1"/>
      <c r="X7" s="1"/>
      <c r="Y7" s="1"/>
    </row>
    <row r="8" spans="2:25" ht="19.5" customHeight="1" x14ac:dyDescent="0.2">
      <c r="B8" s="1"/>
      <c r="C8" s="745"/>
      <c r="D8" s="745"/>
      <c r="E8" s="745"/>
      <c r="F8" s="745"/>
      <c r="G8" s="745"/>
      <c r="H8" s="745"/>
      <c r="I8" s="745"/>
      <c r="J8" s="745"/>
      <c r="K8" s="745"/>
      <c r="L8" s="745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2:25" ht="19.5" customHeight="1" x14ac:dyDescent="0.2">
      <c r="B9" s="1"/>
      <c r="C9" s="745"/>
      <c r="D9" s="745"/>
      <c r="E9" s="745"/>
      <c r="F9" s="745"/>
      <c r="G9" s="745"/>
      <c r="H9" s="745"/>
      <c r="I9" s="745"/>
      <c r="J9" s="745"/>
      <c r="K9" s="745"/>
      <c r="L9" s="745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2:25" ht="19.5" customHeight="1" x14ac:dyDescent="0.2">
      <c r="B10" s="1"/>
      <c r="C10" s="745"/>
      <c r="D10" s="745"/>
      <c r="E10" s="745"/>
      <c r="F10" s="745"/>
      <c r="G10" s="745"/>
      <c r="H10" s="745"/>
      <c r="I10" s="745"/>
      <c r="J10" s="745"/>
      <c r="K10" s="745"/>
      <c r="L10" s="745"/>
      <c r="M10" s="18"/>
      <c r="N10" s="18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2:25" ht="19.5" customHeight="1" x14ac:dyDescent="0.2">
      <c r="B11" s="1"/>
      <c r="C11" s="745"/>
      <c r="D11" s="745"/>
      <c r="E11" s="745"/>
      <c r="F11" s="745"/>
      <c r="G11" s="745"/>
      <c r="H11" s="745"/>
      <c r="I11" s="745"/>
      <c r="J11" s="745"/>
      <c r="K11" s="745"/>
      <c r="L11" s="745"/>
      <c r="M11" s="18"/>
      <c r="N11" s="18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2:25" ht="19.5" customHeight="1" x14ac:dyDescent="0.2">
      <c r="B12" s="1"/>
      <c r="C12" s="745"/>
      <c r="D12" s="745"/>
      <c r="E12" s="745"/>
      <c r="F12" s="745"/>
      <c r="G12" s="745"/>
      <c r="H12" s="745"/>
      <c r="I12" s="745"/>
      <c r="J12" s="745"/>
      <c r="K12" s="745"/>
      <c r="L12" s="745"/>
      <c r="M12" s="18"/>
      <c r="N12" s="18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2:25" ht="19.5" customHeight="1" thickBot="1" x14ac:dyDescent="0.25">
      <c r="B13" s="1"/>
      <c r="C13" s="745"/>
      <c r="D13" s="745"/>
      <c r="E13" s="745"/>
      <c r="F13" s="745"/>
      <c r="G13" s="745"/>
      <c r="H13" s="745"/>
      <c r="I13" s="745"/>
      <c r="J13" s="745"/>
      <c r="K13" s="745"/>
      <c r="L13" s="745"/>
      <c r="M13" s="18"/>
      <c r="N13" s="18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2:25" ht="30.75" thickBot="1" x14ac:dyDescent="0.3">
      <c r="B14" s="1"/>
      <c r="C14" s="2301" t="s">
        <v>6</v>
      </c>
      <c r="D14" s="2302"/>
      <c r="E14" s="2303"/>
      <c r="F14" s="711" t="s">
        <v>227</v>
      </c>
      <c r="G14" s="711" t="s">
        <v>230</v>
      </c>
      <c r="H14" s="711" t="s">
        <v>228</v>
      </c>
      <c r="I14" s="711" t="s">
        <v>229</v>
      </c>
      <c r="J14" s="712" t="s">
        <v>126</v>
      </c>
      <c r="K14" s="712" t="s">
        <v>133</v>
      </c>
      <c r="L14" s="711" t="s">
        <v>127</v>
      </c>
      <c r="M14" s="711" t="s">
        <v>128</v>
      </c>
      <c r="N14" s="18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2:25" ht="15" thickBot="1" x14ac:dyDescent="0.25">
      <c r="B15" s="1"/>
      <c r="C15" s="2304" t="s">
        <v>131</v>
      </c>
      <c r="D15" s="2304"/>
      <c r="E15" s="2304"/>
      <c r="F15" s="795"/>
      <c r="G15" s="796" t="s">
        <v>165</v>
      </c>
      <c r="H15" s="797"/>
      <c r="I15" s="798">
        <f>IF(E92=0,F92,E92)</f>
        <v>4659430.72</v>
      </c>
      <c r="J15" s="799">
        <f>I15*0.16</f>
        <v>745508.91519999993</v>
      </c>
      <c r="K15" s="799">
        <f>I15+J15</f>
        <v>5404939.6351999994</v>
      </c>
      <c r="L15" s="800" t="s">
        <v>243</v>
      </c>
      <c r="M15" s="801">
        <v>18.8139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2:25" ht="14.25" customHeight="1" thickBot="1" x14ac:dyDescent="0.25">
      <c r="B16" s="1"/>
      <c r="C16" s="2304" t="s">
        <v>132</v>
      </c>
      <c r="D16" s="2304"/>
      <c r="E16" s="2304"/>
      <c r="F16" s="795"/>
      <c r="G16" s="796" t="s">
        <v>165</v>
      </c>
      <c r="H16" s="797"/>
      <c r="I16" s="798">
        <f>IF(E93=0,F93,E93)</f>
        <v>2179.11</v>
      </c>
      <c r="J16" s="799">
        <f>I16*0.16</f>
        <v>348.6576</v>
      </c>
      <c r="K16" s="799">
        <f>I16+J16</f>
        <v>2527.7676000000001</v>
      </c>
      <c r="L16" s="800" t="s">
        <v>243</v>
      </c>
      <c r="M16" s="801">
        <v>18.8139</v>
      </c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2:32" x14ac:dyDescent="0.2">
      <c r="B17" s="1"/>
      <c r="C17" s="745"/>
      <c r="D17" s="745"/>
      <c r="E17" s="745"/>
      <c r="F17" s="745"/>
      <c r="G17" s="745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2:32" x14ac:dyDescent="0.2">
      <c r="B18" s="1"/>
      <c r="C18" s="745"/>
      <c r="D18" s="745"/>
      <c r="E18" s="745"/>
      <c r="F18" s="745"/>
      <c r="G18" s="745"/>
      <c r="H18" s="1"/>
      <c r="I18" s="1"/>
      <c r="J18" s="1"/>
      <c r="K18" s="1"/>
      <c r="L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2:32" ht="15" thickBot="1" x14ac:dyDescent="0.25">
      <c r="B19" s="1"/>
      <c r="C19" s="419" t="s">
        <v>137</v>
      </c>
      <c r="D19" s="745" t="s">
        <v>138</v>
      </c>
      <c r="E19" s="745"/>
      <c r="F19" s="745" t="s">
        <v>139</v>
      </c>
      <c r="G19" s="745" t="s">
        <v>3</v>
      </c>
      <c r="H19" s="745" t="s">
        <v>143</v>
      </c>
      <c r="I19" s="745" t="s">
        <v>142</v>
      </c>
      <c r="J19" s="745" t="s">
        <v>141</v>
      </c>
      <c r="K19" s="745" t="s">
        <v>140</v>
      </c>
      <c r="L19" s="745" t="s">
        <v>144</v>
      </c>
      <c r="M19" s="745" t="s">
        <v>146</v>
      </c>
      <c r="N19" s="745"/>
      <c r="O19" s="745"/>
      <c r="P19" s="745"/>
      <c r="Q19" s="1"/>
      <c r="R19" s="1"/>
      <c r="S19" s="1"/>
      <c r="T19" s="1"/>
      <c r="U19" s="1"/>
      <c r="V19" s="1"/>
      <c r="W19" s="1"/>
      <c r="X19" s="1"/>
      <c r="Y19" s="1"/>
    </row>
    <row r="20" spans="2:32" ht="43.5" customHeight="1" thickBot="1" x14ac:dyDescent="0.25">
      <c r="B20" s="1"/>
      <c r="C20" s="710" t="s">
        <v>134</v>
      </c>
      <c r="D20" s="710" t="s">
        <v>135</v>
      </c>
      <c r="E20" s="710"/>
      <c r="F20" s="710" t="s">
        <v>136</v>
      </c>
      <c r="G20" s="710" t="s">
        <v>153</v>
      </c>
      <c r="H20" s="710" t="s">
        <v>129</v>
      </c>
      <c r="I20" s="710" t="s">
        <v>130</v>
      </c>
      <c r="J20" s="710"/>
      <c r="K20" s="710"/>
      <c r="L20" s="710"/>
      <c r="M20" s="710" t="s">
        <v>158</v>
      </c>
      <c r="N20" s="745"/>
      <c r="O20" s="745"/>
      <c r="P20" s="745"/>
      <c r="Q20" s="745"/>
      <c r="R20" s="745"/>
      <c r="S20" s="745"/>
      <c r="T20" s="745"/>
      <c r="U20" s="1"/>
      <c r="V20" s="1"/>
      <c r="W20" s="1"/>
      <c r="X20" s="1"/>
      <c r="Y20" s="1"/>
    </row>
    <row r="21" spans="2:32" ht="15" thickBot="1" x14ac:dyDescent="0.25">
      <c r="B21" s="1"/>
      <c r="C21" s="713">
        <v>850</v>
      </c>
      <c r="D21" s="713">
        <v>850</v>
      </c>
      <c r="E21" s="713"/>
      <c r="F21" s="734">
        <v>31482640</v>
      </c>
      <c r="G21" s="723">
        <v>31</v>
      </c>
      <c r="H21" s="1719">
        <f>VLOOKUP(C56,Tarifas!D4:H303,3)</f>
        <v>0.14799999999999999</v>
      </c>
      <c r="I21" s="2163">
        <f>VLOOKUP(C56,Tarifas!D4:H303,5)</f>
        <v>1E-3</v>
      </c>
      <c r="J21" s="1719">
        <v>199.3</v>
      </c>
      <c r="K21" s="1719">
        <v>201.4</v>
      </c>
      <c r="L21" s="723"/>
      <c r="M21" s="731">
        <f>E89</f>
        <v>2202075.7900000005</v>
      </c>
      <c r="N21" s="430"/>
      <c r="O21" s="430"/>
      <c r="P21" s="745"/>
      <c r="Q21" s="745"/>
      <c r="R21" s="745"/>
      <c r="S21" s="745"/>
      <c r="T21" s="745"/>
      <c r="U21" s="1"/>
      <c r="V21" s="1"/>
      <c r="W21" s="1"/>
      <c r="X21" s="1"/>
      <c r="Y21" s="1"/>
    </row>
    <row r="22" spans="2:32" x14ac:dyDescent="0.2">
      <c r="B22" s="1"/>
      <c r="C22" s="745"/>
      <c r="D22" s="745"/>
      <c r="E22" s="745"/>
      <c r="F22" s="745"/>
      <c r="G22" s="745"/>
      <c r="H22" s="745"/>
      <c r="I22" s="745"/>
      <c r="J22" s="738" t="s">
        <v>62</v>
      </c>
      <c r="K22" s="745"/>
      <c r="L22" s="745"/>
      <c r="M22" s="745"/>
      <c r="N22" s="745"/>
      <c r="O22" s="745"/>
      <c r="P22" s="745"/>
      <c r="Q22" s="745"/>
      <c r="R22" s="745"/>
      <c r="S22" s="1"/>
      <c r="T22" s="1"/>
      <c r="U22" s="1"/>
      <c r="V22" s="1"/>
      <c r="W22" s="1"/>
      <c r="X22" s="1"/>
      <c r="Y22" s="1"/>
    </row>
    <row r="23" spans="2:32" x14ac:dyDescent="0.2">
      <c r="B23" s="1"/>
      <c r="C23" s="745"/>
      <c r="D23" s="745"/>
      <c r="E23" s="745"/>
      <c r="F23" s="745"/>
      <c r="G23" s="745"/>
      <c r="H23" s="745"/>
      <c r="I23" s="745"/>
      <c r="J23" s="745"/>
      <c r="K23" s="745"/>
      <c r="L23" s="745"/>
      <c r="M23" s="745"/>
      <c r="N23" s="745"/>
      <c r="O23" s="745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2:32" x14ac:dyDescent="0.2">
      <c r="B24" s="1"/>
      <c r="C24" s="745"/>
      <c r="D24" s="745"/>
      <c r="E24" s="745"/>
      <c r="F24" s="745"/>
      <c r="G24" s="745"/>
      <c r="H24" s="745"/>
      <c r="I24" s="745"/>
      <c r="J24" s="745"/>
      <c r="K24" s="745"/>
      <c r="L24" s="745"/>
      <c r="M24" s="745"/>
      <c r="N24" s="745"/>
      <c r="O24" s="1"/>
      <c r="P24" s="1"/>
      <c r="Q24" s="739" t="s">
        <v>235</v>
      </c>
      <c r="R24" s="1"/>
      <c r="S24" s="1"/>
      <c r="T24" s="1"/>
      <c r="U24" s="1"/>
      <c r="V24" s="1"/>
      <c r="W24" s="1"/>
      <c r="X24" s="718"/>
      <c r="Y24" s="718"/>
      <c r="AE24" s="2"/>
      <c r="AF24" s="2"/>
    </row>
    <row r="25" spans="2:32" ht="15" thickBot="1" x14ac:dyDescent="0.25">
      <c r="B25" s="1"/>
      <c r="C25" s="334" t="s">
        <v>86</v>
      </c>
      <c r="D25" s="334"/>
      <c r="E25" s="334"/>
      <c r="F25" s="334"/>
      <c r="G25" s="334"/>
      <c r="H25" s="746"/>
      <c r="I25" s="334"/>
      <c r="J25" s="334"/>
      <c r="K25" s="334"/>
      <c r="L25" s="746"/>
      <c r="M25" s="336"/>
      <c r="N25" s="353"/>
      <c r="Q25" s="1"/>
      <c r="R25" s="1"/>
      <c r="S25" s="1"/>
      <c r="T25" s="1"/>
      <c r="U25" s="1"/>
      <c r="V25" s="1"/>
      <c r="W25" s="1"/>
      <c r="X25" s="718"/>
      <c r="Y25" s="718"/>
      <c r="Z25" s="717">
        <v>0</v>
      </c>
      <c r="AE25" s="2"/>
      <c r="AF25" s="2"/>
    </row>
    <row r="26" spans="2:32" ht="30.75" thickBot="1" x14ac:dyDescent="0.3">
      <c r="B26" s="1"/>
      <c r="C26" s="710" t="s">
        <v>87</v>
      </c>
      <c r="D26" s="711" t="s">
        <v>88</v>
      </c>
      <c r="E26" s="711" t="s">
        <v>237</v>
      </c>
      <c r="F26" s="712" t="s">
        <v>160</v>
      </c>
      <c r="G26" s="711" t="s">
        <v>236</v>
      </c>
      <c r="H26" s="712" t="s">
        <v>232</v>
      </c>
      <c r="I26" s="712" t="s">
        <v>233</v>
      </c>
      <c r="J26" s="712" t="s">
        <v>20</v>
      </c>
      <c r="K26" s="710" t="s">
        <v>91</v>
      </c>
      <c r="L26" s="711" t="s">
        <v>93</v>
      </c>
      <c r="M26" s="711" t="s">
        <v>94</v>
      </c>
      <c r="N26" s="712" t="s">
        <v>95</v>
      </c>
      <c r="P26" s="711" t="s">
        <v>237</v>
      </c>
      <c r="Q26" s="712" t="s">
        <v>160</v>
      </c>
      <c r="R26" s="711" t="s">
        <v>236</v>
      </c>
      <c r="S26" s="712" t="s">
        <v>232</v>
      </c>
      <c r="T26" s="712" t="s">
        <v>233</v>
      </c>
      <c r="U26" s="712" t="s">
        <v>20</v>
      </c>
      <c r="V26" s="710" t="s">
        <v>91</v>
      </c>
      <c r="W26" s="711" t="s">
        <v>93</v>
      </c>
      <c r="X26" s="711" t="s">
        <v>94</v>
      </c>
      <c r="Y26" s="711" t="s">
        <v>95</v>
      </c>
      <c r="Z26" s="719"/>
      <c r="AE26" s="2"/>
      <c r="AF26" s="2"/>
    </row>
    <row r="27" spans="2:32" ht="20.100000000000001" customHeight="1" thickBot="1" x14ac:dyDescent="0.25">
      <c r="B27" s="1"/>
      <c r="C27" s="713" t="s">
        <v>101</v>
      </c>
      <c r="D27" s="713" t="s">
        <v>101</v>
      </c>
      <c r="E27" s="713"/>
      <c r="F27" s="713" t="s">
        <v>101</v>
      </c>
      <c r="G27" s="713" t="s">
        <v>101</v>
      </c>
      <c r="H27" s="713"/>
      <c r="I27" s="713"/>
      <c r="J27" s="737" t="s">
        <v>97</v>
      </c>
      <c r="K27" s="734">
        <v>0</v>
      </c>
      <c r="L27" s="735">
        <v>0</v>
      </c>
      <c r="M27" s="1703">
        <f>ROUND(L27*H$15,2)</f>
        <v>0</v>
      </c>
      <c r="N27" s="1703">
        <f>M27*$M$15</f>
        <v>0</v>
      </c>
      <c r="P27" s="713"/>
      <c r="Q27" s="713" t="s">
        <v>101</v>
      </c>
      <c r="R27" s="713" t="s">
        <v>101</v>
      </c>
      <c r="S27" s="713"/>
      <c r="T27" s="713"/>
      <c r="U27" s="737" t="s">
        <v>97</v>
      </c>
      <c r="V27" s="734">
        <v>0</v>
      </c>
      <c r="W27" s="735">
        <v>0</v>
      </c>
      <c r="X27" s="1703">
        <f>ROUND(W27*V$15,2)</f>
        <v>0</v>
      </c>
      <c r="Y27" s="1703">
        <f>IF(Z25=0,N27,(M27*Z25))</f>
        <v>0</v>
      </c>
      <c r="Z27" s="336"/>
      <c r="AE27" s="2"/>
      <c r="AF27" s="2"/>
    </row>
    <row r="28" spans="2:32" ht="20.100000000000001" customHeight="1" thickBot="1" x14ac:dyDescent="0.25">
      <c r="B28" s="1"/>
      <c r="C28" s="713" t="s">
        <v>101</v>
      </c>
      <c r="D28" s="713" t="s">
        <v>101</v>
      </c>
      <c r="E28" s="713"/>
      <c r="F28" s="713" t="s">
        <v>101</v>
      </c>
      <c r="G28" s="713" t="s">
        <v>101</v>
      </c>
      <c r="H28" s="713"/>
      <c r="I28" s="713"/>
      <c r="J28" s="737" t="s">
        <v>97</v>
      </c>
      <c r="K28" s="734">
        <v>0</v>
      </c>
      <c r="L28" s="735">
        <v>0</v>
      </c>
      <c r="M28" s="1703">
        <f>ROUND(L28*H$15,2)</f>
        <v>0</v>
      </c>
      <c r="N28" s="1703">
        <f>M28*$M$15</f>
        <v>0</v>
      </c>
      <c r="P28" s="713"/>
      <c r="Q28" s="713" t="s">
        <v>101</v>
      </c>
      <c r="R28" s="713" t="s">
        <v>101</v>
      </c>
      <c r="S28" s="713"/>
      <c r="T28" s="713"/>
      <c r="U28" s="737" t="s">
        <v>97</v>
      </c>
      <c r="V28" s="734">
        <v>0</v>
      </c>
      <c r="W28" s="735">
        <v>0</v>
      </c>
      <c r="X28" s="1703">
        <f>ROUND(W28*V$15,2)</f>
        <v>0</v>
      </c>
      <c r="Y28" s="1703">
        <f>IF(Z26=0,N28,(M28*Z26))</f>
        <v>0</v>
      </c>
      <c r="Z28" s="336"/>
      <c r="AE28" s="2"/>
      <c r="AF28" s="2"/>
    </row>
    <row r="29" spans="2:32" ht="20.100000000000001" customHeight="1" thickBot="1" x14ac:dyDescent="0.25">
      <c r="B29" s="1"/>
      <c r="C29" s="713" t="s">
        <v>101</v>
      </c>
      <c r="D29" s="713" t="s">
        <v>101</v>
      </c>
      <c r="E29" s="713"/>
      <c r="F29" s="713" t="s">
        <v>101</v>
      </c>
      <c r="G29" s="713" t="s">
        <v>101</v>
      </c>
      <c r="H29" s="713"/>
      <c r="I29" s="713"/>
      <c r="J29" s="737" t="s">
        <v>100</v>
      </c>
      <c r="K29" s="734">
        <v>0</v>
      </c>
      <c r="L29" s="735">
        <v>0</v>
      </c>
      <c r="M29" s="1703">
        <f>ROUND(L29*H$15,2)</f>
        <v>0</v>
      </c>
      <c r="N29" s="1703">
        <f>M29*$M$15</f>
        <v>0</v>
      </c>
      <c r="P29" s="713"/>
      <c r="Q29" s="713" t="s">
        <v>101</v>
      </c>
      <c r="R29" s="713" t="s">
        <v>101</v>
      </c>
      <c r="S29" s="713"/>
      <c r="T29" s="713"/>
      <c r="U29" s="737" t="s">
        <v>100</v>
      </c>
      <c r="V29" s="734">
        <v>0</v>
      </c>
      <c r="W29" s="735">
        <v>0</v>
      </c>
      <c r="X29" s="1703">
        <f>ROUND(W29*V$15,2)</f>
        <v>0</v>
      </c>
      <c r="Y29" s="1703">
        <f>IF(Z27=0,N29,(M29*Z27))</f>
        <v>0</v>
      </c>
      <c r="Z29" s="336"/>
      <c r="AE29" s="2"/>
      <c r="AF29" s="2"/>
    </row>
    <row r="30" spans="2:32" ht="20.100000000000001" customHeight="1" thickBot="1" x14ac:dyDescent="0.25">
      <c r="B30" s="1"/>
      <c r="C30" s="713">
        <v>800832451</v>
      </c>
      <c r="D30" s="723">
        <v>254</v>
      </c>
      <c r="E30" s="723" t="s">
        <v>239</v>
      </c>
      <c r="F30" s="713" t="s">
        <v>221</v>
      </c>
      <c r="G30" s="713" t="s">
        <v>222</v>
      </c>
      <c r="H30" s="713">
        <v>7249</v>
      </c>
      <c r="I30" s="713">
        <v>468079</v>
      </c>
      <c r="J30" s="737" t="s">
        <v>23</v>
      </c>
      <c r="K30" s="734">
        <v>80000</v>
      </c>
      <c r="L30" s="735">
        <v>0.09</v>
      </c>
      <c r="M30" s="1703">
        <f>ROUND(L30*I$15,2)</f>
        <v>419348.76</v>
      </c>
      <c r="N30" s="1703">
        <f>M30*M15</f>
        <v>7889585.635764</v>
      </c>
      <c r="P30" s="723"/>
      <c r="Q30" s="713" t="s">
        <v>221</v>
      </c>
      <c r="R30" s="713" t="s">
        <v>222</v>
      </c>
      <c r="S30" s="713">
        <v>7249</v>
      </c>
      <c r="T30" s="713">
        <v>468079</v>
      </c>
      <c r="U30" s="737" t="s">
        <v>23</v>
      </c>
      <c r="V30" s="734">
        <v>80000</v>
      </c>
      <c r="W30" s="735">
        <v>0.09</v>
      </c>
      <c r="X30" s="1703">
        <f>ROUND(W30*W$15,2)</f>
        <v>0</v>
      </c>
      <c r="Y30" s="1703">
        <f>IF(Z28=0,N30,(M30*Z28))</f>
        <v>7889585.635764</v>
      </c>
      <c r="Z30" s="336"/>
      <c r="AE30" s="2"/>
      <c r="AF30" s="2"/>
    </row>
    <row r="31" spans="2:32" ht="20.100000000000001" customHeight="1" thickBot="1" x14ac:dyDescent="0.25">
      <c r="B31" s="1"/>
      <c r="C31" s="713">
        <v>800832451</v>
      </c>
      <c r="D31" s="723">
        <v>7</v>
      </c>
      <c r="E31" s="723" t="s">
        <v>242</v>
      </c>
      <c r="F31" s="713" t="s">
        <v>221</v>
      </c>
      <c r="G31" s="713" t="s">
        <v>222</v>
      </c>
      <c r="H31" s="713">
        <v>2233</v>
      </c>
      <c r="I31" s="713">
        <v>453882</v>
      </c>
      <c r="J31" s="737" t="s">
        <v>159</v>
      </c>
      <c r="K31" s="734">
        <v>770000</v>
      </c>
      <c r="L31" s="735">
        <v>0.91</v>
      </c>
      <c r="M31" s="1703">
        <f>ROUND(L31*I$15,2)</f>
        <v>4240081.96</v>
      </c>
      <c r="N31" s="1703">
        <f>M31*M15</f>
        <v>79772477.987243995</v>
      </c>
      <c r="P31" s="723"/>
      <c r="Q31" s="713" t="s">
        <v>221</v>
      </c>
      <c r="R31" s="713" t="s">
        <v>222</v>
      </c>
      <c r="S31" s="747">
        <v>2233</v>
      </c>
      <c r="T31" s="747">
        <v>453851</v>
      </c>
      <c r="U31" s="737" t="s">
        <v>159</v>
      </c>
      <c r="V31" s="734">
        <v>770000</v>
      </c>
      <c r="W31" s="735">
        <v>0.91</v>
      </c>
      <c r="X31" s="1703">
        <f>ROUND(W31*W$15,2)</f>
        <v>0</v>
      </c>
      <c r="Y31" s="1720">
        <f>IF(Z29=0,N31,(M31*Z29))</f>
        <v>79772477.987243995</v>
      </c>
      <c r="Z31" s="336"/>
      <c r="AE31" s="2"/>
      <c r="AF31" s="2"/>
    </row>
    <row r="32" spans="2:32" ht="20.100000000000001" customHeight="1" x14ac:dyDescent="0.2">
      <c r="B32" s="1"/>
      <c r="C32" s="406">
        <v>3000623</v>
      </c>
      <c r="D32" s="728" t="s">
        <v>102</v>
      </c>
      <c r="E32" s="728"/>
      <c r="F32" s="728"/>
      <c r="G32" s="728"/>
      <c r="H32" s="728"/>
      <c r="I32" s="729"/>
      <c r="J32" s="729"/>
      <c r="K32" s="355">
        <f>SUM(K27:K31)</f>
        <v>850000</v>
      </c>
      <c r="L32" s="730">
        <f>SUM(L27:L31)</f>
        <v>1</v>
      </c>
      <c r="M32" s="357">
        <f>SUM(M27:M31)</f>
        <v>4659430.72</v>
      </c>
      <c r="N32" s="357">
        <f>SUM(N27:N31)</f>
        <v>87662063.623007998</v>
      </c>
      <c r="P32" s="728"/>
      <c r="Q32" s="728"/>
      <c r="R32" s="728"/>
      <c r="S32" s="728"/>
      <c r="T32" s="729"/>
      <c r="U32" s="729"/>
      <c r="V32" s="355">
        <f>SUM(V27:V31)</f>
        <v>850000</v>
      </c>
      <c r="W32" s="730">
        <f>SUM(W27:W31)</f>
        <v>1</v>
      </c>
      <c r="X32" s="357">
        <f>SUM(X27:X31)</f>
        <v>0</v>
      </c>
      <c r="Y32" s="357">
        <f>SUM(Y27:Y31)</f>
        <v>87662063.623007998</v>
      </c>
      <c r="Z32" s="1"/>
      <c r="AE32" s="2"/>
      <c r="AF32" s="2"/>
    </row>
    <row r="33" spans="2:32" ht="20.100000000000001" customHeight="1" x14ac:dyDescent="0.2">
      <c r="B33" s="1"/>
      <c r="C33" s="336"/>
      <c r="D33" s="336"/>
      <c r="E33" s="336"/>
      <c r="F33" s="336"/>
      <c r="G33" s="358"/>
      <c r="H33" s="358"/>
      <c r="I33" s="336"/>
      <c r="J33" s="336"/>
      <c r="K33" s="336"/>
      <c r="L33" s="336"/>
      <c r="M33" s="666"/>
      <c r="N33" s="464"/>
      <c r="P33" s="336"/>
      <c r="Q33" s="336"/>
      <c r="R33" s="358"/>
      <c r="S33" s="358"/>
      <c r="T33" s="336"/>
      <c r="U33" s="336"/>
      <c r="V33" s="336"/>
      <c r="W33" s="336"/>
      <c r="X33" s="666"/>
      <c r="Y33" s="1707">
        <v>0</v>
      </c>
      <c r="Z33" s="1"/>
      <c r="AE33" s="2"/>
      <c r="AF33" s="2"/>
    </row>
    <row r="34" spans="2:32" ht="20.100000000000001" customHeight="1" x14ac:dyDescent="0.2">
      <c r="B34" s="1"/>
      <c r="C34" s="336"/>
      <c r="D34" s="336"/>
      <c r="E34" s="336"/>
      <c r="F34" s="336"/>
      <c r="G34" s="358"/>
      <c r="H34" s="358"/>
      <c r="I34" s="336"/>
      <c r="J34" s="336"/>
      <c r="K34" s="336"/>
      <c r="L34" s="336"/>
      <c r="M34" s="666"/>
      <c r="N34" s="464"/>
      <c r="P34" s="336"/>
      <c r="Q34" s="336"/>
      <c r="R34" s="358"/>
      <c r="S34" s="358"/>
      <c r="T34" s="336"/>
      <c r="U34" s="336"/>
      <c r="V34" s="336"/>
      <c r="W34" s="336"/>
      <c r="X34" s="666"/>
      <c r="Y34" s="1707"/>
      <c r="Z34" s="1"/>
      <c r="AE34" s="2"/>
      <c r="AF34" s="2"/>
    </row>
    <row r="35" spans="2:32" ht="20.100000000000001" customHeight="1" thickBot="1" x14ac:dyDescent="0.25">
      <c r="B35" s="1"/>
      <c r="C35" s="334" t="s">
        <v>103</v>
      </c>
      <c r="D35" s="334"/>
      <c r="E35" s="334"/>
      <c r="F35" s="334"/>
      <c r="G35" s="334"/>
      <c r="H35" s="746"/>
      <c r="I35" s="334"/>
      <c r="J35" s="334"/>
      <c r="K35" s="334"/>
      <c r="L35" s="336"/>
      <c r="M35" s="665"/>
      <c r="N35" s="1716"/>
      <c r="P35" s="334"/>
      <c r="Q35" s="334"/>
      <c r="R35" s="334"/>
      <c r="S35" s="752"/>
      <c r="T35" s="334"/>
      <c r="U35" s="334"/>
      <c r="V35" s="334"/>
      <c r="W35" s="336"/>
      <c r="X35" s="665"/>
      <c r="Y35" s="1710"/>
      <c r="Z35" s="717">
        <v>0</v>
      </c>
      <c r="AE35" s="2"/>
      <c r="AF35" s="2"/>
    </row>
    <row r="36" spans="2:32" ht="20.100000000000001" customHeight="1" thickBot="1" x14ac:dyDescent="0.3">
      <c r="B36" s="1"/>
      <c r="C36" s="710" t="s">
        <v>87</v>
      </c>
      <c r="D36" s="711" t="s">
        <v>88</v>
      </c>
      <c r="E36" s="711" t="s">
        <v>237</v>
      </c>
      <c r="F36" s="712" t="s">
        <v>160</v>
      </c>
      <c r="G36" s="711" t="s">
        <v>90</v>
      </c>
      <c r="H36" s="712" t="s">
        <v>232</v>
      </c>
      <c r="I36" s="712" t="s">
        <v>233</v>
      </c>
      <c r="J36" s="712" t="s">
        <v>20</v>
      </c>
      <c r="K36" s="710" t="s">
        <v>234</v>
      </c>
      <c r="L36" s="711" t="s">
        <v>93</v>
      </c>
      <c r="M36" s="1715" t="s">
        <v>94</v>
      </c>
      <c r="N36" s="1717" t="s">
        <v>95</v>
      </c>
      <c r="P36" s="711" t="s">
        <v>237</v>
      </c>
      <c r="Q36" s="712" t="s">
        <v>160</v>
      </c>
      <c r="R36" s="711" t="s">
        <v>90</v>
      </c>
      <c r="S36" s="712" t="s">
        <v>232</v>
      </c>
      <c r="T36" s="712" t="s">
        <v>233</v>
      </c>
      <c r="U36" s="712" t="s">
        <v>20</v>
      </c>
      <c r="V36" s="710" t="s">
        <v>234</v>
      </c>
      <c r="W36" s="711" t="s">
        <v>93</v>
      </c>
      <c r="X36" s="1715" t="s">
        <v>94</v>
      </c>
      <c r="Y36" s="1715" t="s">
        <v>95</v>
      </c>
      <c r="Z36" s="719"/>
      <c r="AE36" s="2"/>
      <c r="AF36" s="2"/>
    </row>
    <row r="37" spans="2:32" ht="20.100000000000001" customHeight="1" thickBot="1" x14ac:dyDescent="0.25">
      <c r="B37" s="1"/>
      <c r="C37" s="713"/>
      <c r="D37" s="713"/>
      <c r="E37" s="713"/>
      <c r="F37" s="713"/>
      <c r="G37" s="713">
        <v>20823</v>
      </c>
      <c r="H37" s="713"/>
      <c r="I37" s="713"/>
      <c r="J37" s="737" t="s">
        <v>97</v>
      </c>
      <c r="K37" s="734">
        <f>M89</f>
        <v>0</v>
      </c>
      <c r="L37" s="735">
        <f>IFERROR(K37/K$41,0)</f>
        <v>0</v>
      </c>
      <c r="M37" s="1703">
        <f>IFERROR(ROUND(K37*$I$16,2),0)</f>
        <v>0</v>
      </c>
      <c r="N37" s="1703">
        <f>M37*M16</f>
        <v>0</v>
      </c>
      <c r="P37" s="713"/>
      <c r="Q37" s="713"/>
      <c r="R37" s="713">
        <v>20823</v>
      </c>
      <c r="S37" s="713"/>
      <c r="T37" s="713"/>
      <c r="U37" s="737" t="s">
        <v>97</v>
      </c>
      <c r="V37" s="734">
        <f>AA89</f>
        <v>0</v>
      </c>
      <c r="W37" s="735">
        <f>IFERROR(V37/V$41,0)</f>
        <v>0</v>
      </c>
      <c r="X37" s="1703">
        <f>IFERROR(ROUND(V37*$I$16,2),0)</f>
        <v>0</v>
      </c>
      <c r="Y37" s="1703">
        <f>IF(Z35=0,N37,(M37*Z35))</f>
        <v>0</v>
      </c>
      <c r="Z37" s="360"/>
      <c r="AE37" s="2"/>
      <c r="AF37" s="2"/>
    </row>
    <row r="38" spans="2:32" ht="20.100000000000001" customHeight="1" thickBot="1" x14ac:dyDescent="0.25">
      <c r="B38" s="1"/>
      <c r="C38" s="713"/>
      <c r="D38" s="713"/>
      <c r="E38" s="713"/>
      <c r="F38" s="713"/>
      <c r="G38" s="713">
        <v>20824</v>
      </c>
      <c r="H38" s="713"/>
      <c r="I38" s="713"/>
      <c r="J38" s="737" t="s">
        <v>97</v>
      </c>
      <c r="K38" s="734">
        <f>N89</f>
        <v>0</v>
      </c>
      <c r="L38" s="735">
        <f>IFERROR(K38/K$41,0)</f>
        <v>0</v>
      </c>
      <c r="M38" s="1703">
        <f>ROUND(K38*$I$16,2)</f>
        <v>0</v>
      </c>
      <c r="N38" s="1703">
        <f>M38*M16</f>
        <v>0</v>
      </c>
      <c r="P38" s="713"/>
      <c r="Q38" s="713"/>
      <c r="R38" s="713">
        <v>20824</v>
      </c>
      <c r="S38" s="713"/>
      <c r="T38" s="713"/>
      <c r="U38" s="737" t="s">
        <v>97</v>
      </c>
      <c r="V38" s="734">
        <f>AB89</f>
        <v>0</v>
      </c>
      <c r="W38" s="735">
        <f>IFERROR(V38/V$41,0)</f>
        <v>0</v>
      </c>
      <c r="X38" s="1703">
        <f>ROUND(V38*$I$16,2)</f>
        <v>0</v>
      </c>
      <c r="Y38" s="1703">
        <f>IF(Z36=0,N38,(M38*Z36))</f>
        <v>0</v>
      </c>
      <c r="Z38" s="360"/>
      <c r="AE38" s="2"/>
      <c r="AF38" s="2"/>
    </row>
    <row r="39" spans="2:32" ht="20.100000000000001" customHeight="1" thickBot="1" x14ac:dyDescent="0.25">
      <c r="B39" s="1"/>
      <c r="C39" s="713"/>
      <c r="D39" s="713"/>
      <c r="E39" s="713"/>
      <c r="F39" s="713"/>
      <c r="G39" s="713">
        <v>22228</v>
      </c>
      <c r="H39" s="713"/>
      <c r="I39" s="713"/>
      <c r="J39" s="737" t="s">
        <v>100</v>
      </c>
      <c r="K39" s="734">
        <f>O89</f>
        <v>0</v>
      </c>
      <c r="L39" s="735">
        <f>IFERROR(K39/K$41,0)</f>
        <v>0</v>
      </c>
      <c r="M39" s="1703">
        <f>ROUND(K39*$I$16,2)</f>
        <v>0</v>
      </c>
      <c r="N39" s="1703">
        <f>M39*M16</f>
        <v>0</v>
      </c>
      <c r="P39" s="713"/>
      <c r="Q39" s="713"/>
      <c r="R39" s="713">
        <v>22228</v>
      </c>
      <c r="S39" s="713"/>
      <c r="T39" s="713"/>
      <c r="U39" s="737" t="s">
        <v>100</v>
      </c>
      <c r="V39" s="734">
        <f>AC89</f>
        <v>0</v>
      </c>
      <c r="W39" s="735">
        <f>IFERROR(V39/V$41,0)</f>
        <v>0</v>
      </c>
      <c r="X39" s="1703">
        <f>ROUND(V39*$I$16,2)</f>
        <v>0</v>
      </c>
      <c r="Y39" s="1703">
        <f>IF(Z37=0,N39,(M39*Z37))</f>
        <v>0</v>
      </c>
      <c r="Z39" s="360"/>
      <c r="AE39" s="2"/>
      <c r="AF39" s="2"/>
    </row>
    <row r="40" spans="2:32" ht="20.100000000000001" customHeight="1" thickBot="1" x14ac:dyDescent="0.25">
      <c r="B40" s="1"/>
      <c r="C40" s="713">
        <v>800832773</v>
      </c>
      <c r="D40" s="723">
        <v>253</v>
      </c>
      <c r="E40" s="723" t="s">
        <v>239</v>
      </c>
      <c r="F40" s="713" t="s">
        <v>238</v>
      </c>
      <c r="G40" s="713">
        <v>100887241</v>
      </c>
      <c r="H40" s="713">
        <v>7237</v>
      </c>
      <c r="I40" s="713">
        <v>468074</v>
      </c>
      <c r="J40" s="737" t="s">
        <v>23</v>
      </c>
      <c r="K40" s="734">
        <f>L89</f>
        <v>2202075.7900000005</v>
      </c>
      <c r="L40" s="735">
        <v>1</v>
      </c>
      <c r="M40" s="1703">
        <f>D93</f>
        <v>2179.11</v>
      </c>
      <c r="N40" s="1703">
        <f>M40*M16</f>
        <v>40997.557629000003</v>
      </c>
      <c r="P40" s="723"/>
      <c r="Q40" s="713" t="s">
        <v>221</v>
      </c>
      <c r="R40" s="713" t="s">
        <v>222</v>
      </c>
      <c r="S40" s="713"/>
      <c r="T40" s="713"/>
      <c r="U40" s="737" t="s">
        <v>23</v>
      </c>
      <c r="V40" s="734">
        <v>2202075.7900000005</v>
      </c>
      <c r="W40" s="735">
        <v>1</v>
      </c>
      <c r="X40" s="1703">
        <f>R93</f>
        <v>0</v>
      </c>
      <c r="Y40" s="1703">
        <f>IF(Z38=0,N40,(M40*Z38))</f>
        <v>40997.557629000003</v>
      </c>
      <c r="Z40" s="360"/>
      <c r="AE40" s="2"/>
      <c r="AF40" s="2"/>
    </row>
    <row r="41" spans="2:32" x14ac:dyDescent="0.2">
      <c r="B41" s="1"/>
      <c r="C41" s="726"/>
      <c r="D41" s="726"/>
      <c r="E41" s="726"/>
      <c r="F41" s="727"/>
      <c r="G41" s="727"/>
      <c r="H41" s="727"/>
      <c r="I41" s="727"/>
      <c r="J41" s="727"/>
      <c r="K41" s="821">
        <f>SUM(K37:K40)</f>
        <v>2202075.7900000005</v>
      </c>
      <c r="L41" s="736">
        <f>SUM(L37:L40)</f>
        <v>1</v>
      </c>
      <c r="M41" s="1718">
        <f>SUM(M37:M40)</f>
        <v>2179.11</v>
      </c>
      <c r="N41" s="1718">
        <f>SUM(N37:N40)</f>
        <v>40997.557629000003</v>
      </c>
      <c r="O41" s="360"/>
      <c r="P41" s="360"/>
      <c r="Q41" s="1"/>
      <c r="R41" s="1"/>
      <c r="S41" s="1"/>
      <c r="T41" s="1"/>
      <c r="U41" s="1"/>
      <c r="V41" s="355">
        <f>SUM(V36:V40)</f>
        <v>2202075.7900000005</v>
      </c>
      <c r="W41" s="730">
        <f>SUM(W36:W40)</f>
        <v>1</v>
      </c>
      <c r="X41" s="357">
        <f>SUM(X36:X40)</f>
        <v>0</v>
      </c>
      <c r="Y41" s="357">
        <f>SUM(Y37:Y40)</f>
        <v>40997.557629000003</v>
      </c>
      <c r="AE41" s="2"/>
      <c r="AF41" s="2"/>
    </row>
    <row r="42" spans="2:32" x14ac:dyDescent="0.2">
      <c r="B42" s="1"/>
      <c r="C42" s="715"/>
      <c r="D42" s="715"/>
      <c r="E42" s="715"/>
      <c r="F42" s="715"/>
      <c r="G42" s="715"/>
      <c r="H42" s="715"/>
      <c r="I42" s="715"/>
      <c r="J42" s="715"/>
      <c r="K42" s="715"/>
      <c r="L42" s="715"/>
      <c r="M42" s="716"/>
      <c r="N42" s="716"/>
      <c r="O42" s="360"/>
      <c r="P42" s="360"/>
      <c r="Q42" s="1"/>
      <c r="R42" s="1"/>
      <c r="S42" s="1"/>
      <c r="T42" s="1"/>
      <c r="U42" s="1"/>
      <c r="V42" s="1"/>
      <c r="W42" s="1"/>
      <c r="X42" s="718"/>
      <c r="Y42" s="718"/>
      <c r="AE42" s="2"/>
      <c r="AF42" s="2"/>
    </row>
    <row r="43" spans="2:32" x14ac:dyDescent="0.2">
      <c r="B43" s="1"/>
      <c r="C43" s="715"/>
      <c r="D43" s="715"/>
      <c r="E43" s="715"/>
      <c r="F43" s="715"/>
      <c r="G43" s="715"/>
      <c r="H43" s="715"/>
      <c r="I43" s="715"/>
      <c r="J43" s="715"/>
      <c r="K43" s="715"/>
      <c r="L43" s="716"/>
      <c r="M43" s="716"/>
      <c r="N43" s="360"/>
      <c r="O43" s="1"/>
      <c r="P43" s="1"/>
      <c r="Q43" s="1"/>
      <c r="R43" s="1"/>
      <c r="S43" s="1"/>
      <c r="T43" s="1"/>
      <c r="U43" s="1"/>
      <c r="V43" s="718"/>
      <c r="W43" s="718"/>
      <c r="X43" s="718"/>
      <c r="Y43" s="718"/>
      <c r="AC43" s="2"/>
      <c r="AD43" s="2"/>
      <c r="AE43" s="2"/>
      <c r="AF43" s="2"/>
    </row>
    <row r="44" spans="2:32" x14ac:dyDescent="0.2">
      <c r="B44" s="1"/>
      <c r="C44" s="715"/>
      <c r="D44" s="715"/>
      <c r="E44" s="715"/>
      <c r="F44" s="715"/>
      <c r="G44" s="715"/>
      <c r="H44" s="715"/>
      <c r="I44" s="715"/>
      <c r="J44" s="715"/>
      <c r="K44" s="715"/>
      <c r="L44" s="716"/>
      <c r="M44" s="716"/>
      <c r="N44" s="360"/>
      <c r="O44"/>
      <c r="P44" s="1"/>
      <c r="Q44" s="1"/>
      <c r="R44" s="1"/>
      <c r="S44" s="1"/>
      <c r="T44" s="1"/>
      <c r="U44" s="1"/>
      <c r="V44" s="1"/>
      <c r="W44" s="718"/>
      <c r="X44" s="718"/>
      <c r="Y44" s="718"/>
      <c r="AD44" s="2"/>
      <c r="AE44" s="2"/>
      <c r="AF44" s="2"/>
    </row>
    <row r="45" spans="2:32" x14ac:dyDescent="0.2">
      <c r="B45" s="1"/>
      <c r="C45" s="715"/>
      <c r="D45" s="715"/>
      <c r="E45" s="715"/>
      <c r="F45" s="715"/>
      <c r="G45" s="715"/>
      <c r="H45" s="715"/>
      <c r="I45" s="715"/>
      <c r="J45" s="715"/>
      <c r="K45" s="715"/>
      <c r="L45" s="716"/>
      <c r="M45" s="716"/>
      <c r="N45" s="360"/>
      <c r="O45" s="716"/>
      <c r="P45" s="360"/>
      <c r="Q45" s="716"/>
      <c r="R45" s="1"/>
      <c r="S45" s="1"/>
      <c r="T45" s="1"/>
      <c r="U45" s="1"/>
      <c r="V45" s="1"/>
      <c r="W45" s="1"/>
      <c r="X45" s="1"/>
      <c r="Y45" s="1"/>
    </row>
    <row r="46" spans="2:32" x14ac:dyDescent="0.2">
      <c r="B46" s="1"/>
      <c r="C46" s="715"/>
      <c r="D46" s="715"/>
      <c r="E46" s="715"/>
      <c r="F46" s="715"/>
      <c r="G46" s="715"/>
      <c r="H46" s="715"/>
      <c r="I46" s="715"/>
      <c r="J46" s="715"/>
      <c r="K46" s="715"/>
      <c r="L46" s="716"/>
      <c r="M46" s="716"/>
      <c r="N46" s="360"/>
      <c r="O46" s="716"/>
      <c r="P46" s="360"/>
      <c r="Q46" s="716"/>
      <c r="R46" s="1"/>
      <c r="S46" s="1"/>
      <c r="T46" s="1"/>
      <c r="U46" s="1"/>
      <c r="V46" s="1"/>
      <c r="W46" s="1"/>
      <c r="X46" s="1"/>
      <c r="Y46" s="1"/>
    </row>
    <row r="47" spans="2:32" x14ac:dyDescent="0.2">
      <c r="B47" s="1"/>
      <c r="C47" s="715"/>
      <c r="D47" s="715"/>
      <c r="E47" s="715"/>
      <c r="F47" s="715"/>
      <c r="G47" s="715"/>
      <c r="H47" s="715"/>
      <c r="I47" s="715"/>
      <c r="J47" s="715"/>
      <c r="K47" s="715"/>
      <c r="L47" s="716"/>
      <c r="M47" s="716"/>
      <c r="N47" s="360"/>
      <c r="O47" s="716"/>
      <c r="P47" s="360"/>
      <c r="Q47" s="716"/>
      <c r="R47" s="1"/>
      <c r="S47" s="1"/>
      <c r="T47" s="1"/>
      <c r="U47" s="1"/>
      <c r="V47" s="1"/>
      <c r="W47" s="1"/>
      <c r="X47" s="1"/>
      <c r="Y47" s="1"/>
    </row>
    <row r="48" spans="2:32" x14ac:dyDescent="0.2">
      <c r="B48" s="1"/>
      <c r="C48" s="715"/>
      <c r="D48" s="715"/>
      <c r="E48" s="715"/>
      <c r="F48" s="715"/>
      <c r="G48" s="715"/>
      <c r="H48" s="715"/>
      <c r="I48" s="715"/>
      <c r="J48" s="715"/>
      <c r="K48" s="715"/>
      <c r="L48" s="716"/>
      <c r="M48" s="716"/>
      <c r="N48" s="360"/>
      <c r="O48" s="716"/>
      <c r="P48" s="360"/>
      <c r="Q48" s="716"/>
      <c r="R48" s="1"/>
      <c r="S48" s="1"/>
      <c r="T48" s="1"/>
      <c r="U48" s="1"/>
      <c r="V48" s="1"/>
      <c r="W48" s="1"/>
      <c r="X48" s="1"/>
      <c r="Y48" s="1"/>
    </row>
    <row r="49" spans="2:25" x14ac:dyDescent="0.2">
      <c r="B49" s="1"/>
      <c r="C49" s="715"/>
      <c r="D49" s="715"/>
      <c r="E49" s="715"/>
      <c r="F49" s="715"/>
      <c r="G49" s="715"/>
      <c r="H49" s="715"/>
      <c r="I49" s="715"/>
      <c r="J49" s="715"/>
      <c r="K49" s="715"/>
      <c r="L49" s="716"/>
      <c r="M49" s="716"/>
      <c r="N49" s="360"/>
      <c r="O49" s="716"/>
      <c r="P49" s="360"/>
      <c r="Q49" s="716"/>
      <c r="R49" s="1"/>
      <c r="S49" s="1"/>
      <c r="T49" s="1"/>
      <c r="U49" s="1"/>
      <c r="V49" s="1"/>
      <c r="W49" s="1"/>
      <c r="X49" s="1"/>
      <c r="Y49" s="1"/>
    </row>
    <row r="50" spans="2:25" x14ac:dyDescent="0.2">
      <c r="B50" s="1"/>
      <c r="C50" s="715"/>
      <c r="D50" s="715"/>
      <c r="E50" s="715"/>
      <c r="F50" s="715"/>
      <c r="G50" s="715"/>
      <c r="H50" s="715"/>
      <c r="I50" s="715"/>
      <c r="J50" s="715"/>
      <c r="K50" s="715"/>
      <c r="L50" s="716"/>
      <c r="M50" s="716"/>
      <c r="N50" s="360"/>
      <c r="O50" s="716"/>
      <c r="P50" s="360"/>
      <c r="Q50" s="716"/>
      <c r="R50" s="1"/>
      <c r="S50" s="1"/>
      <c r="T50" s="1"/>
      <c r="U50" s="1"/>
      <c r="V50" s="1"/>
      <c r="W50" s="1"/>
      <c r="X50" s="1"/>
      <c r="Y50" s="1"/>
    </row>
    <row r="51" spans="2:25" x14ac:dyDescent="0.2">
      <c r="B51" s="1"/>
      <c r="C51" s="715"/>
      <c r="D51" s="715"/>
      <c r="E51" s="715"/>
      <c r="F51" s="715"/>
      <c r="G51" s="715"/>
      <c r="H51" s="715"/>
      <c r="I51" s="715"/>
      <c r="J51" s="715"/>
      <c r="K51" s="715"/>
      <c r="L51" s="716"/>
      <c r="M51" s="716"/>
      <c r="N51" s="360"/>
      <c r="O51" s="716"/>
      <c r="P51" s="360"/>
      <c r="Q51" s="716"/>
      <c r="R51" s="1"/>
      <c r="S51" s="1"/>
      <c r="T51" s="1"/>
      <c r="U51" s="1"/>
      <c r="V51" s="1"/>
      <c r="W51" s="1"/>
      <c r="X51" s="1"/>
      <c r="Y51" s="1"/>
    </row>
    <row r="52" spans="2:25" x14ac:dyDescent="0.2">
      <c r="B52" s="1"/>
      <c r="C52" s="715"/>
      <c r="D52" s="715"/>
      <c r="E52" s="715"/>
      <c r="F52" s="715"/>
      <c r="G52" s="715"/>
      <c r="H52" s="715"/>
      <c r="I52" s="715"/>
      <c r="J52" s="715"/>
      <c r="K52" s="715"/>
      <c r="L52" s="716"/>
      <c r="M52" s="716"/>
      <c r="N52" s="360"/>
      <c r="O52" s="716"/>
      <c r="P52" s="360"/>
      <c r="Q52" s="716"/>
      <c r="R52" s="1"/>
      <c r="S52" s="1"/>
      <c r="T52" s="1"/>
      <c r="U52" s="1"/>
      <c r="V52" s="1"/>
      <c r="W52" s="1"/>
      <c r="X52" s="1"/>
      <c r="Y52" s="1"/>
    </row>
    <row r="53" spans="2:25" x14ac:dyDescent="0.2">
      <c r="B53" s="1"/>
      <c r="C53" s="715"/>
      <c r="D53" s="715"/>
      <c r="E53" s="715"/>
      <c r="F53" s="715"/>
      <c r="G53" s="715"/>
      <c r="H53" s="715"/>
      <c r="I53" s="715"/>
      <c r="J53" s="715"/>
      <c r="K53" s="715"/>
      <c r="L53" s="716"/>
      <c r="M53" s="716"/>
      <c r="N53" s="360"/>
      <c r="O53" s="716"/>
      <c r="P53" s="360"/>
      <c r="Q53" s="716"/>
      <c r="R53" s="1"/>
      <c r="S53" s="1"/>
      <c r="T53" s="1"/>
      <c r="U53" s="1"/>
      <c r="V53" s="1"/>
      <c r="W53" s="1"/>
      <c r="X53" s="1"/>
      <c r="Y53" s="1"/>
    </row>
    <row r="54" spans="2:25" x14ac:dyDescent="0.2">
      <c r="B54" s="1"/>
      <c r="C54" s="715"/>
      <c r="D54" s="715"/>
      <c r="E54" s="715"/>
      <c r="F54" s="715"/>
      <c r="G54" s="715"/>
      <c r="H54" s="715"/>
      <c r="I54" s="715"/>
      <c r="J54" s="715"/>
      <c r="K54" s="715"/>
      <c r="L54" s="716"/>
      <c r="M54" s="716"/>
      <c r="N54" s="360"/>
      <c r="O54" s="716"/>
      <c r="P54" s="360"/>
      <c r="Q54" s="716"/>
      <c r="R54" s="1"/>
      <c r="S54" s="1"/>
      <c r="T54" s="1"/>
      <c r="U54" s="1"/>
      <c r="V54" s="1"/>
      <c r="W54" s="1"/>
      <c r="X54" s="1"/>
      <c r="Y54" s="1"/>
    </row>
    <row r="55" spans="2:25" s="718" customFormat="1" ht="15" thickBot="1" x14ac:dyDescent="0.25">
      <c r="M55" s="720"/>
      <c r="N55" s="720"/>
      <c r="O55" s="720"/>
      <c r="P55" s="720"/>
      <c r="Q55" s="720"/>
      <c r="R55" s="720"/>
      <c r="S55" s="720"/>
      <c r="T55" s="720"/>
      <c r="U55" s="720"/>
      <c r="V55" s="720"/>
      <c r="W55" s="720"/>
      <c r="X55" s="720"/>
      <c r="Y55" s="720"/>
    </row>
    <row r="56" spans="2:25" ht="15" thickBot="1" x14ac:dyDescent="0.25">
      <c r="B56" s="434" t="s">
        <v>3</v>
      </c>
      <c r="C56" s="333">
        <f>SUMIF(Tarifas!E4:E303,'Marzo - 2018'!C58,Tarifas!D4:D303)</f>
        <v>56</v>
      </c>
      <c r="D56" s="425" t="s">
        <v>147</v>
      </c>
      <c r="E56" s="426" t="s">
        <v>145</v>
      </c>
      <c r="F56" s="426" t="s">
        <v>150</v>
      </c>
      <c r="G56" s="426" t="s">
        <v>148</v>
      </c>
      <c r="H56" s="382"/>
      <c r="I56" s="331" t="s">
        <v>120</v>
      </c>
      <c r="J56" s="332"/>
      <c r="K56" s="332"/>
      <c r="L56" s="364" t="s">
        <v>105</v>
      </c>
      <c r="M56" s="365"/>
      <c r="N56" s="365"/>
      <c r="O56" s="365"/>
      <c r="P56" s="365"/>
      <c r="Q56" s="365"/>
      <c r="R56" s="366"/>
      <c r="S56" s="2267" t="s">
        <v>121</v>
      </c>
      <c r="T56" s="2268"/>
      <c r="U56" s="2268"/>
      <c r="V56" s="2268"/>
      <c r="W56" s="2268"/>
      <c r="X56" s="2268"/>
      <c r="Y56" s="2269"/>
    </row>
    <row r="57" spans="2:25" ht="34.5" thickBot="1" x14ac:dyDescent="0.25">
      <c r="C57" s="383" t="s">
        <v>122</v>
      </c>
      <c r="D57" s="384" t="s">
        <v>125</v>
      </c>
      <c r="E57" s="385" t="s">
        <v>149</v>
      </c>
      <c r="F57" s="385" t="s">
        <v>151</v>
      </c>
      <c r="G57" s="385" t="s">
        <v>152</v>
      </c>
      <c r="H57" s="386" t="s">
        <v>123</v>
      </c>
      <c r="I57" s="1340" t="s">
        <v>109</v>
      </c>
      <c r="J57" s="1341" t="s">
        <v>25</v>
      </c>
      <c r="K57" s="1342" t="s">
        <v>26</v>
      </c>
      <c r="L57" s="696" t="s">
        <v>115</v>
      </c>
      <c r="M57" s="697" t="s">
        <v>106</v>
      </c>
      <c r="N57" s="697" t="s">
        <v>107</v>
      </c>
      <c r="O57" s="697" t="s">
        <v>108</v>
      </c>
      <c r="P57" s="1337" t="s">
        <v>115</v>
      </c>
      <c r="Q57" s="1338" t="s">
        <v>116</v>
      </c>
      <c r="R57" s="1339" t="s">
        <v>117</v>
      </c>
      <c r="S57" s="1343" t="s">
        <v>207</v>
      </c>
      <c r="T57" s="1344"/>
      <c r="U57" s="1344" t="s">
        <v>112</v>
      </c>
      <c r="V57" s="1345" t="s">
        <v>118</v>
      </c>
      <c r="W57" s="1345" t="s">
        <v>119</v>
      </c>
      <c r="X57" s="1345" t="s">
        <v>114</v>
      </c>
      <c r="Y57" s="1346" t="s">
        <v>113</v>
      </c>
    </row>
    <row r="58" spans="2:25" x14ac:dyDescent="0.2">
      <c r="C58" s="387">
        <f>C7</f>
        <v>43160</v>
      </c>
      <c r="D58" s="388">
        <f>($F$21*$H$21)/$G$21</f>
        <v>150304.21677419354</v>
      </c>
      <c r="E58" s="389">
        <f>P58+Q58+R58</f>
        <v>71107.100000000006</v>
      </c>
      <c r="F58" s="732">
        <f>TRUNC(IFERROR(J$21/K$21,0),8)</f>
        <v>0.98957298000000005</v>
      </c>
      <c r="G58" s="390">
        <f>ROUND(I$21*F58*E58,4)</f>
        <v>70.365700000000004</v>
      </c>
      <c r="H58" s="391">
        <f t="shared" ref="H58:H87" si="0">SUM(D58:G58)</f>
        <v>221482.67204717355</v>
      </c>
      <c r="I58" s="324">
        <v>67295</v>
      </c>
      <c r="J58" s="325">
        <v>71696.873999999996</v>
      </c>
      <c r="K58" s="325"/>
      <c r="L58" s="1322">
        <v>71107.100000000006</v>
      </c>
      <c r="M58" s="1347">
        <v>0</v>
      </c>
      <c r="N58" s="1347">
        <v>0</v>
      </c>
      <c r="O58" s="1333">
        <v>0</v>
      </c>
      <c r="P58" s="389">
        <f>L58</f>
        <v>71107.100000000006</v>
      </c>
      <c r="Q58" s="389">
        <f t="shared" ref="Q58:Q88" si="1">M58+N58</f>
        <v>0</v>
      </c>
      <c r="R58" s="389">
        <f t="shared" ref="R58:R88" si="2">O58</f>
        <v>0</v>
      </c>
      <c r="S58" s="532"/>
      <c r="T58" s="374"/>
      <c r="U58" s="520">
        <f>S58+T58-V58</f>
        <v>-138991.87400000001</v>
      </c>
      <c r="V58" s="520">
        <f>I58+J58+K58</f>
        <v>138991.87400000001</v>
      </c>
      <c r="W58" s="520">
        <f>(P58+Q58+R58)/1.055056</f>
        <v>67396.51734125962</v>
      </c>
      <c r="X58" s="520">
        <f>V58-W58</f>
        <v>71595.356658740391</v>
      </c>
      <c r="Y58" s="525">
        <f>AL55+X58</f>
        <v>71595.356658740391</v>
      </c>
    </row>
    <row r="59" spans="2:25" x14ac:dyDescent="0.2">
      <c r="C59" s="387">
        <f t="shared" ref="C59:C87" si="3">C58+1</f>
        <v>43161</v>
      </c>
      <c r="D59" s="388">
        <f t="shared" ref="D59:D88" si="4">($F$21*$H$21)/$G$21</f>
        <v>150304.21677419354</v>
      </c>
      <c r="E59" s="392">
        <f t="shared" ref="E59:E88" si="5">P59+Q59+R59</f>
        <v>70820.479999999996</v>
      </c>
      <c r="F59" s="733">
        <f t="shared" ref="F59:F88" si="6">TRUNC(IFERROR(J$21/K$21,0),8)</f>
        <v>0.98957298000000005</v>
      </c>
      <c r="G59" s="390">
        <f t="shared" ref="G59:G88" si="7">ROUND(I$21*F59*E59,4)</f>
        <v>70.081999999999994</v>
      </c>
      <c r="H59" s="391">
        <f t="shared" si="0"/>
        <v>221195.76834717355</v>
      </c>
      <c r="I59" s="324">
        <v>75351</v>
      </c>
      <c r="J59" s="325">
        <v>71444.45</v>
      </c>
      <c r="K59" s="325"/>
      <c r="L59" s="725">
        <v>70820.479999999996</v>
      </c>
      <c r="M59" s="1336">
        <v>0</v>
      </c>
      <c r="N59" s="1336">
        <v>0</v>
      </c>
      <c r="O59" s="1334">
        <v>0</v>
      </c>
      <c r="P59" s="392">
        <f t="shared" ref="P59:P88" si="8">L59</f>
        <v>70820.479999999996</v>
      </c>
      <c r="Q59" s="392">
        <f t="shared" si="1"/>
        <v>0</v>
      </c>
      <c r="R59" s="392">
        <f t="shared" si="2"/>
        <v>0</v>
      </c>
      <c r="S59" s="532"/>
      <c r="T59" s="374"/>
      <c r="U59" s="520">
        <f t="shared" ref="U59:U88" si="9">S59+T59-V59</f>
        <v>-146795.45000000001</v>
      </c>
      <c r="V59" s="520">
        <f t="shared" ref="V59:V88" si="10">I59+J59+K59</f>
        <v>146795.45000000001</v>
      </c>
      <c r="W59" s="520">
        <f t="shared" ref="W59:W88" si="11">(P59+Q59+R59)/1.055056</f>
        <v>67124.854036183853</v>
      </c>
      <c r="X59" s="520">
        <f t="shared" ref="X59:X88" si="12">V59-W59</f>
        <v>79670.595963816158</v>
      </c>
      <c r="Y59" s="525">
        <f>Y58+X59</f>
        <v>151265.95262255654</v>
      </c>
    </row>
    <row r="60" spans="2:25" x14ac:dyDescent="0.2">
      <c r="C60" s="387">
        <f t="shared" si="3"/>
        <v>43162</v>
      </c>
      <c r="D60" s="388">
        <f t="shared" si="4"/>
        <v>150304.21677419354</v>
      </c>
      <c r="E60" s="392">
        <f t="shared" si="5"/>
        <v>71041.58</v>
      </c>
      <c r="F60" s="733">
        <f t="shared" si="6"/>
        <v>0.98957298000000005</v>
      </c>
      <c r="G60" s="390">
        <f t="shared" si="7"/>
        <v>70.300799999999995</v>
      </c>
      <c r="H60" s="391">
        <f t="shared" si="0"/>
        <v>221417.08714717353</v>
      </c>
      <c r="I60" s="324">
        <v>75351</v>
      </c>
      <c r="J60" s="325">
        <v>71413.835938000004</v>
      </c>
      <c r="K60" s="325"/>
      <c r="L60" s="724">
        <v>71041.58</v>
      </c>
      <c r="M60" s="1336">
        <v>0</v>
      </c>
      <c r="N60" s="1336">
        <v>0</v>
      </c>
      <c r="O60" s="1334">
        <v>0</v>
      </c>
      <c r="P60" s="392">
        <f t="shared" si="8"/>
        <v>71041.58</v>
      </c>
      <c r="Q60" s="392">
        <f t="shared" si="1"/>
        <v>0</v>
      </c>
      <c r="R60" s="392">
        <f t="shared" si="2"/>
        <v>0</v>
      </c>
      <c r="S60" s="532"/>
      <c r="T60" s="374"/>
      <c r="U60" s="520">
        <f t="shared" si="9"/>
        <v>-146764.835938</v>
      </c>
      <c r="V60" s="520">
        <f t="shared" si="10"/>
        <v>146764.835938</v>
      </c>
      <c r="W60" s="520">
        <f t="shared" si="11"/>
        <v>67334.416372211519</v>
      </c>
      <c r="X60" s="520">
        <f t="shared" si="12"/>
        <v>79430.419565788485</v>
      </c>
      <c r="Y60" s="525">
        <f t="shared" ref="Y60:Y88" si="13">Y59+X60</f>
        <v>230696.37218834501</v>
      </c>
    </row>
    <row r="61" spans="2:25" x14ac:dyDescent="0.2">
      <c r="C61" s="387">
        <f t="shared" si="3"/>
        <v>43163</v>
      </c>
      <c r="D61" s="388">
        <f t="shared" si="4"/>
        <v>150304.21677419354</v>
      </c>
      <c r="E61" s="392">
        <f t="shared" si="5"/>
        <v>71136.27</v>
      </c>
      <c r="F61" s="733">
        <f t="shared" si="6"/>
        <v>0.98957298000000005</v>
      </c>
      <c r="G61" s="390">
        <f t="shared" si="7"/>
        <v>70.394499999999994</v>
      </c>
      <c r="H61" s="391">
        <f t="shared" si="0"/>
        <v>221511.87084717353</v>
      </c>
      <c r="I61" s="324">
        <v>75351</v>
      </c>
      <c r="J61" s="325">
        <v>70441.4375</v>
      </c>
      <c r="K61" s="325"/>
      <c r="L61" s="725">
        <v>71136.27</v>
      </c>
      <c r="M61" s="1336">
        <v>0</v>
      </c>
      <c r="N61" s="1336">
        <v>0</v>
      </c>
      <c r="O61" s="1334">
        <v>0</v>
      </c>
      <c r="P61" s="392">
        <f t="shared" si="8"/>
        <v>71136.27</v>
      </c>
      <c r="Q61" s="392">
        <f t="shared" si="1"/>
        <v>0</v>
      </c>
      <c r="R61" s="392">
        <f t="shared" si="2"/>
        <v>0</v>
      </c>
      <c r="S61" s="532"/>
      <c r="T61" s="374"/>
      <c r="U61" s="520">
        <f t="shared" si="9"/>
        <v>-145792.4375</v>
      </c>
      <c r="V61" s="520">
        <f t="shared" si="10"/>
        <v>145792.4375</v>
      </c>
      <c r="W61" s="520">
        <f t="shared" si="11"/>
        <v>67424.165162797057</v>
      </c>
      <c r="X61" s="520">
        <f t="shared" si="12"/>
        <v>78368.272337202943</v>
      </c>
      <c r="Y61" s="525">
        <f t="shared" si="13"/>
        <v>309064.64452554798</v>
      </c>
    </row>
    <row r="62" spans="2:25" x14ac:dyDescent="0.2">
      <c r="C62" s="387">
        <f t="shared" si="3"/>
        <v>43164</v>
      </c>
      <c r="D62" s="388">
        <f t="shared" si="4"/>
        <v>150304.21677419354</v>
      </c>
      <c r="E62" s="392">
        <f t="shared" si="5"/>
        <v>71054.58</v>
      </c>
      <c r="F62" s="733">
        <f t="shared" si="6"/>
        <v>0.98957298000000005</v>
      </c>
      <c r="G62" s="390">
        <f t="shared" si="7"/>
        <v>70.313699999999997</v>
      </c>
      <c r="H62" s="391">
        <f t="shared" si="0"/>
        <v>221430.10004717353</v>
      </c>
      <c r="I62" s="324">
        <v>75351</v>
      </c>
      <c r="J62" s="325">
        <v>71396.367188000004</v>
      </c>
      <c r="K62" s="325"/>
      <c r="L62" s="724">
        <v>71054.58</v>
      </c>
      <c r="M62" s="1336">
        <v>0</v>
      </c>
      <c r="N62" s="1336">
        <v>0</v>
      </c>
      <c r="O62" s="1334">
        <v>0</v>
      </c>
      <c r="P62" s="392">
        <f t="shared" si="8"/>
        <v>71054.58</v>
      </c>
      <c r="Q62" s="392">
        <f t="shared" si="1"/>
        <v>0</v>
      </c>
      <c r="R62" s="392">
        <f t="shared" si="2"/>
        <v>0</v>
      </c>
      <c r="S62" s="532"/>
      <c r="T62" s="374"/>
      <c r="U62" s="520">
        <f t="shared" si="9"/>
        <v>-146747.367188</v>
      </c>
      <c r="V62" s="520">
        <f t="shared" si="10"/>
        <v>146747.367188</v>
      </c>
      <c r="W62" s="520">
        <f t="shared" si="11"/>
        <v>67346.737993054398</v>
      </c>
      <c r="X62" s="520">
        <f t="shared" si="12"/>
        <v>79400.629194945606</v>
      </c>
      <c r="Y62" s="525">
        <f t="shared" si="13"/>
        <v>388465.2737204936</v>
      </c>
    </row>
    <row r="63" spans="2:25" x14ac:dyDescent="0.2">
      <c r="C63" s="387">
        <f t="shared" si="3"/>
        <v>43165</v>
      </c>
      <c r="D63" s="388">
        <f t="shared" si="4"/>
        <v>150304.21677419354</v>
      </c>
      <c r="E63" s="392">
        <f t="shared" si="5"/>
        <v>70942.59</v>
      </c>
      <c r="F63" s="733">
        <f t="shared" si="6"/>
        <v>0.98957298000000005</v>
      </c>
      <c r="G63" s="390">
        <f t="shared" si="7"/>
        <v>70.2029</v>
      </c>
      <c r="H63" s="391">
        <f t="shared" si="0"/>
        <v>221317.99924717355</v>
      </c>
      <c r="I63" s="324">
        <v>75351</v>
      </c>
      <c r="J63" s="325">
        <v>71713.351563000004</v>
      </c>
      <c r="K63" s="325"/>
      <c r="L63" s="725">
        <v>70942.59</v>
      </c>
      <c r="M63" s="1336">
        <v>0</v>
      </c>
      <c r="N63" s="1336">
        <v>0</v>
      </c>
      <c r="O63" s="1334">
        <v>0</v>
      </c>
      <c r="P63" s="392">
        <f t="shared" si="8"/>
        <v>70942.59</v>
      </c>
      <c r="Q63" s="392">
        <f t="shared" si="1"/>
        <v>0</v>
      </c>
      <c r="R63" s="392">
        <f t="shared" si="2"/>
        <v>0</v>
      </c>
      <c r="S63" s="532"/>
      <c r="T63" s="374"/>
      <c r="U63" s="520">
        <f t="shared" si="9"/>
        <v>-147064.351563</v>
      </c>
      <c r="V63" s="520">
        <f t="shared" si="10"/>
        <v>147064.351563</v>
      </c>
      <c r="W63" s="520">
        <f t="shared" si="11"/>
        <v>67240.591968577966</v>
      </c>
      <c r="X63" s="520">
        <f t="shared" si="12"/>
        <v>79823.759594422037</v>
      </c>
      <c r="Y63" s="525">
        <f t="shared" si="13"/>
        <v>468289.03331491561</v>
      </c>
    </row>
    <row r="64" spans="2:25" x14ac:dyDescent="0.2">
      <c r="C64" s="387">
        <f t="shared" si="3"/>
        <v>43166</v>
      </c>
      <c r="D64" s="388">
        <f t="shared" si="4"/>
        <v>150304.21677419354</v>
      </c>
      <c r="E64" s="392">
        <f t="shared" si="5"/>
        <v>71012.100000000006</v>
      </c>
      <c r="F64" s="733">
        <f t="shared" si="6"/>
        <v>0.98957298000000005</v>
      </c>
      <c r="G64" s="390">
        <f t="shared" si="7"/>
        <v>70.271699999999996</v>
      </c>
      <c r="H64" s="391">
        <f t="shared" si="0"/>
        <v>221387.57804717356</v>
      </c>
      <c r="I64" s="324">
        <v>75351</v>
      </c>
      <c r="J64" s="325">
        <v>72005.843749999985</v>
      </c>
      <c r="K64" s="325"/>
      <c r="L64" s="724">
        <v>71012.100000000006</v>
      </c>
      <c r="M64" s="1336">
        <v>0</v>
      </c>
      <c r="N64" s="1336">
        <v>0</v>
      </c>
      <c r="O64" s="1334">
        <v>0</v>
      </c>
      <c r="P64" s="392">
        <f t="shared" si="8"/>
        <v>71012.100000000006</v>
      </c>
      <c r="Q64" s="392">
        <f t="shared" si="1"/>
        <v>0</v>
      </c>
      <c r="R64" s="392">
        <f t="shared" si="2"/>
        <v>0</v>
      </c>
      <c r="S64" s="532"/>
      <c r="T64" s="374"/>
      <c r="U64" s="520">
        <f t="shared" si="9"/>
        <v>-147356.84375</v>
      </c>
      <c r="V64" s="520">
        <f t="shared" si="10"/>
        <v>147356.84375</v>
      </c>
      <c r="W64" s="520">
        <f t="shared" si="11"/>
        <v>67306.47472740784</v>
      </c>
      <c r="X64" s="520">
        <f t="shared" si="12"/>
        <v>80050.36902259216</v>
      </c>
      <c r="Y64" s="525">
        <f t="shared" si="13"/>
        <v>548339.40233750781</v>
      </c>
    </row>
    <row r="65" spans="3:25" x14ac:dyDescent="0.2">
      <c r="C65" s="387">
        <f t="shared" si="3"/>
        <v>43167</v>
      </c>
      <c r="D65" s="388">
        <f t="shared" si="4"/>
        <v>150304.21677419354</v>
      </c>
      <c r="E65" s="392">
        <f t="shared" si="5"/>
        <v>63547.360000000001</v>
      </c>
      <c r="F65" s="733">
        <f t="shared" si="6"/>
        <v>0.98957298000000005</v>
      </c>
      <c r="G65" s="390">
        <f t="shared" si="7"/>
        <v>62.884799999999998</v>
      </c>
      <c r="H65" s="391">
        <f t="shared" si="0"/>
        <v>213915.45114717356</v>
      </c>
      <c r="I65" s="324">
        <v>75351</v>
      </c>
      <c r="J65" s="325">
        <v>71874.070313000004</v>
      </c>
      <c r="K65" s="325"/>
      <c r="L65" s="725">
        <v>63547.360000000001</v>
      </c>
      <c r="M65" s="1336">
        <v>0</v>
      </c>
      <c r="N65" s="1336">
        <v>0</v>
      </c>
      <c r="O65" s="1334">
        <v>0</v>
      </c>
      <c r="P65" s="392">
        <f t="shared" si="8"/>
        <v>63547.360000000001</v>
      </c>
      <c r="Q65" s="392">
        <f t="shared" si="1"/>
        <v>0</v>
      </c>
      <c r="R65" s="392">
        <f t="shared" si="2"/>
        <v>0</v>
      </c>
      <c r="S65" s="532"/>
      <c r="T65" s="374"/>
      <c r="U65" s="520">
        <f t="shared" si="9"/>
        <v>-147225.070313</v>
      </c>
      <c r="V65" s="520">
        <f t="shared" si="10"/>
        <v>147225.070313</v>
      </c>
      <c r="W65" s="520">
        <f t="shared" si="11"/>
        <v>60231.267345050881</v>
      </c>
      <c r="X65" s="520">
        <f t="shared" si="12"/>
        <v>86993.80296794913</v>
      </c>
      <c r="Y65" s="525">
        <f t="shared" si="13"/>
        <v>635333.20530545688</v>
      </c>
    </row>
    <row r="66" spans="3:25" x14ac:dyDescent="0.2">
      <c r="C66" s="387">
        <f t="shared" si="3"/>
        <v>43168</v>
      </c>
      <c r="D66" s="388">
        <f t="shared" si="4"/>
        <v>150304.21677419354</v>
      </c>
      <c r="E66" s="392">
        <f t="shared" si="5"/>
        <v>69523.289999999994</v>
      </c>
      <c r="F66" s="733">
        <f t="shared" si="6"/>
        <v>0.98957298000000005</v>
      </c>
      <c r="G66" s="390">
        <f t="shared" si="7"/>
        <v>68.798400000000001</v>
      </c>
      <c r="H66" s="391">
        <f t="shared" si="0"/>
        <v>219897.29474717355</v>
      </c>
      <c r="I66" s="324">
        <v>75351</v>
      </c>
      <c r="J66" s="325">
        <v>72067.554688000004</v>
      </c>
      <c r="K66" s="325"/>
      <c r="L66" s="724">
        <v>69523.289999999994</v>
      </c>
      <c r="M66" s="1336">
        <v>0</v>
      </c>
      <c r="N66" s="1336">
        <v>0</v>
      </c>
      <c r="O66" s="1334">
        <v>0</v>
      </c>
      <c r="P66" s="392">
        <f t="shared" si="8"/>
        <v>69523.289999999994</v>
      </c>
      <c r="Q66" s="392">
        <f t="shared" si="1"/>
        <v>0</v>
      </c>
      <c r="R66" s="392">
        <f t="shared" si="2"/>
        <v>0</v>
      </c>
      <c r="S66" s="532"/>
      <c r="T66" s="374"/>
      <c r="U66" s="520">
        <f t="shared" si="9"/>
        <v>-147418.554688</v>
      </c>
      <c r="V66" s="520">
        <f t="shared" si="10"/>
        <v>147418.554688</v>
      </c>
      <c r="W66" s="520">
        <f t="shared" si="11"/>
        <v>65895.35531763242</v>
      </c>
      <c r="X66" s="520">
        <f t="shared" si="12"/>
        <v>81523.199370367583</v>
      </c>
      <c r="Y66" s="525">
        <f t="shared" si="13"/>
        <v>716856.40467582445</v>
      </c>
    </row>
    <row r="67" spans="3:25" x14ac:dyDescent="0.2">
      <c r="C67" s="387">
        <f t="shared" si="3"/>
        <v>43169</v>
      </c>
      <c r="D67" s="388">
        <f t="shared" si="4"/>
        <v>150304.21677419354</v>
      </c>
      <c r="E67" s="392">
        <f t="shared" si="5"/>
        <v>71120.479999999996</v>
      </c>
      <c r="F67" s="733">
        <f t="shared" si="6"/>
        <v>0.98957298000000005</v>
      </c>
      <c r="G67" s="390">
        <f t="shared" si="7"/>
        <v>70.378900000000002</v>
      </c>
      <c r="H67" s="391">
        <f t="shared" si="0"/>
        <v>221496.06524717357</v>
      </c>
      <c r="I67" s="324">
        <v>75351</v>
      </c>
      <c r="J67" s="325">
        <v>71845.242188000018</v>
      </c>
      <c r="K67" s="325"/>
      <c r="L67" s="725">
        <v>71120.479999999996</v>
      </c>
      <c r="M67" s="1336">
        <v>0</v>
      </c>
      <c r="N67" s="1336">
        <v>0</v>
      </c>
      <c r="O67" s="1334">
        <v>0</v>
      </c>
      <c r="P67" s="392">
        <f t="shared" si="8"/>
        <v>71120.479999999996</v>
      </c>
      <c r="Q67" s="392">
        <f t="shared" si="1"/>
        <v>0</v>
      </c>
      <c r="R67" s="392">
        <f t="shared" si="2"/>
        <v>0</v>
      </c>
      <c r="S67" s="532"/>
      <c r="T67" s="374"/>
      <c r="U67" s="520">
        <f t="shared" si="9"/>
        <v>-147196.242188</v>
      </c>
      <c r="V67" s="520">
        <f t="shared" si="10"/>
        <v>147196.242188</v>
      </c>
      <c r="W67" s="520">
        <f t="shared" si="11"/>
        <v>67409.199132557886</v>
      </c>
      <c r="X67" s="520">
        <f t="shared" si="12"/>
        <v>79787.043055442118</v>
      </c>
      <c r="Y67" s="525">
        <f t="shared" si="13"/>
        <v>796643.44773126661</v>
      </c>
    </row>
    <row r="68" spans="3:25" x14ac:dyDescent="0.2">
      <c r="C68" s="387">
        <f t="shared" si="3"/>
        <v>43170</v>
      </c>
      <c r="D68" s="388">
        <f t="shared" si="4"/>
        <v>150304.21677419354</v>
      </c>
      <c r="E68" s="392">
        <f t="shared" si="5"/>
        <v>71136.55</v>
      </c>
      <c r="F68" s="733">
        <f t="shared" si="6"/>
        <v>0.98957298000000005</v>
      </c>
      <c r="G68" s="390">
        <f t="shared" si="7"/>
        <v>70.394800000000004</v>
      </c>
      <c r="H68" s="391">
        <f t="shared" si="0"/>
        <v>221512.15114717357</v>
      </c>
      <c r="I68" s="324">
        <v>75351</v>
      </c>
      <c r="J68" s="325">
        <v>71818.546875</v>
      </c>
      <c r="K68" s="325"/>
      <c r="L68" s="724">
        <v>71136.55</v>
      </c>
      <c r="M68" s="1336">
        <v>0</v>
      </c>
      <c r="N68" s="1336">
        <v>0</v>
      </c>
      <c r="O68" s="1334">
        <v>0</v>
      </c>
      <c r="P68" s="392">
        <f t="shared" si="8"/>
        <v>71136.55</v>
      </c>
      <c r="Q68" s="392">
        <f t="shared" si="1"/>
        <v>0</v>
      </c>
      <c r="R68" s="392">
        <f t="shared" si="2"/>
        <v>0</v>
      </c>
      <c r="S68" s="532"/>
      <c r="T68" s="374"/>
      <c r="U68" s="520">
        <f t="shared" si="9"/>
        <v>-147169.546875</v>
      </c>
      <c r="V68" s="520">
        <f t="shared" si="10"/>
        <v>147169.546875</v>
      </c>
      <c r="W68" s="520">
        <f t="shared" si="11"/>
        <v>67424.430551553669</v>
      </c>
      <c r="X68" s="520">
        <f t="shared" si="12"/>
        <v>79745.116323446331</v>
      </c>
      <c r="Y68" s="525">
        <f t="shared" si="13"/>
        <v>876388.56405471289</v>
      </c>
    </row>
    <row r="69" spans="3:25" x14ac:dyDescent="0.2">
      <c r="C69" s="387">
        <f t="shared" si="3"/>
        <v>43171</v>
      </c>
      <c r="D69" s="388">
        <f t="shared" si="4"/>
        <v>150304.21677419354</v>
      </c>
      <c r="E69" s="392">
        <f t="shared" si="5"/>
        <v>70973.570000000007</v>
      </c>
      <c r="F69" s="733">
        <f t="shared" si="6"/>
        <v>0.98957298000000005</v>
      </c>
      <c r="G69" s="390">
        <f t="shared" si="7"/>
        <v>70.233500000000006</v>
      </c>
      <c r="H69" s="391">
        <f t="shared" si="0"/>
        <v>221349.00984717355</v>
      </c>
      <c r="I69" s="324">
        <v>75351</v>
      </c>
      <c r="J69" s="325">
        <v>68485.679688000004</v>
      </c>
      <c r="K69" s="325"/>
      <c r="L69" s="725">
        <v>70973.570000000007</v>
      </c>
      <c r="M69" s="1336">
        <v>0</v>
      </c>
      <c r="N69" s="1336">
        <v>0</v>
      </c>
      <c r="O69" s="1334">
        <v>0</v>
      </c>
      <c r="P69" s="392">
        <f t="shared" si="8"/>
        <v>70973.570000000007</v>
      </c>
      <c r="Q69" s="392">
        <f t="shared" si="1"/>
        <v>0</v>
      </c>
      <c r="R69" s="392">
        <f t="shared" si="2"/>
        <v>0</v>
      </c>
      <c r="S69" s="532"/>
      <c r="T69" s="374"/>
      <c r="U69" s="520">
        <f t="shared" si="9"/>
        <v>-143836.679688</v>
      </c>
      <c r="V69" s="520">
        <f t="shared" si="10"/>
        <v>143836.679688</v>
      </c>
      <c r="W69" s="520">
        <f t="shared" si="11"/>
        <v>67269.95533886354</v>
      </c>
      <c r="X69" s="520">
        <f t="shared" si="12"/>
        <v>76566.724349136464</v>
      </c>
      <c r="Y69" s="525">
        <f t="shared" si="13"/>
        <v>952955.28840384935</v>
      </c>
    </row>
    <row r="70" spans="3:25" x14ac:dyDescent="0.2">
      <c r="C70" s="387">
        <f t="shared" si="3"/>
        <v>43172</v>
      </c>
      <c r="D70" s="388">
        <f t="shared" si="4"/>
        <v>150304.21677419354</v>
      </c>
      <c r="E70" s="392">
        <f t="shared" si="5"/>
        <v>71069.679999999993</v>
      </c>
      <c r="F70" s="733">
        <f t="shared" si="6"/>
        <v>0.98957298000000005</v>
      </c>
      <c r="G70" s="390">
        <f t="shared" si="7"/>
        <v>70.328599999999994</v>
      </c>
      <c r="H70" s="391">
        <f t="shared" si="0"/>
        <v>221445.21494717355</v>
      </c>
      <c r="I70" s="324">
        <v>75351</v>
      </c>
      <c r="J70" s="325">
        <v>72095.349122</v>
      </c>
      <c r="K70" s="325"/>
      <c r="L70" s="724">
        <v>71069.679999999993</v>
      </c>
      <c r="M70" s="1336">
        <v>0</v>
      </c>
      <c r="N70" s="1336">
        <v>0</v>
      </c>
      <c r="O70" s="1334">
        <v>0</v>
      </c>
      <c r="P70" s="392">
        <f t="shared" si="8"/>
        <v>71069.679999999993</v>
      </c>
      <c r="Q70" s="392">
        <f t="shared" si="1"/>
        <v>0</v>
      </c>
      <c r="R70" s="392">
        <f t="shared" si="2"/>
        <v>0</v>
      </c>
      <c r="S70" s="532"/>
      <c r="T70" s="374"/>
      <c r="U70" s="520">
        <f t="shared" si="9"/>
        <v>-147446.34912199999</v>
      </c>
      <c r="V70" s="520">
        <f t="shared" si="10"/>
        <v>147446.34912199999</v>
      </c>
      <c r="W70" s="520">
        <f t="shared" si="11"/>
        <v>67361.050029571881</v>
      </c>
      <c r="X70" s="520">
        <f t="shared" si="12"/>
        <v>80085.299092428104</v>
      </c>
      <c r="Y70" s="525">
        <f t="shared" si="13"/>
        <v>1033040.5874962774</v>
      </c>
    </row>
    <row r="71" spans="3:25" x14ac:dyDescent="0.2">
      <c r="C71" s="387">
        <f t="shared" si="3"/>
        <v>43173</v>
      </c>
      <c r="D71" s="388">
        <f t="shared" si="4"/>
        <v>150304.21677419354</v>
      </c>
      <c r="E71" s="392">
        <f t="shared" si="5"/>
        <v>70836.2</v>
      </c>
      <c r="F71" s="733">
        <f t="shared" si="6"/>
        <v>0.98957298000000005</v>
      </c>
      <c r="G71" s="390">
        <f t="shared" si="7"/>
        <v>70.0976</v>
      </c>
      <c r="H71" s="391">
        <f t="shared" si="0"/>
        <v>221211.50394717354</v>
      </c>
      <c r="I71" s="324">
        <v>75351</v>
      </c>
      <c r="J71" s="325">
        <v>71851.899415999971</v>
      </c>
      <c r="K71" s="325"/>
      <c r="L71" s="725">
        <v>70836.2</v>
      </c>
      <c r="M71" s="1336">
        <v>0</v>
      </c>
      <c r="N71" s="1336">
        <v>0</v>
      </c>
      <c r="O71" s="1334">
        <v>0</v>
      </c>
      <c r="P71" s="392">
        <f t="shared" si="8"/>
        <v>70836.2</v>
      </c>
      <c r="Q71" s="392">
        <f t="shared" si="1"/>
        <v>0</v>
      </c>
      <c r="R71" s="392">
        <f t="shared" si="2"/>
        <v>0</v>
      </c>
      <c r="S71" s="532"/>
      <c r="T71" s="374"/>
      <c r="U71" s="520">
        <f t="shared" si="9"/>
        <v>-147202.89941599997</v>
      </c>
      <c r="V71" s="520">
        <f t="shared" si="10"/>
        <v>147202.89941599997</v>
      </c>
      <c r="W71" s="520">
        <f t="shared" si="11"/>
        <v>67139.753719233864</v>
      </c>
      <c r="X71" s="520">
        <f t="shared" si="12"/>
        <v>80063.145696766107</v>
      </c>
      <c r="Y71" s="525">
        <f t="shared" si="13"/>
        <v>1113103.7331930436</v>
      </c>
    </row>
    <row r="72" spans="3:25" x14ac:dyDescent="0.2">
      <c r="C72" s="387">
        <f t="shared" si="3"/>
        <v>43174</v>
      </c>
      <c r="D72" s="388">
        <f t="shared" si="4"/>
        <v>150304.21677419354</v>
      </c>
      <c r="E72" s="392">
        <f t="shared" si="5"/>
        <v>70904.366999999998</v>
      </c>
      <c r="F72" s="733">
        <f t="shared" si="6"/>
        <v>0.98957298000000005</v>
      </c>
      <c r="G72" s="390">
        <f t="shared" si="7"/>
        <v>70.165000000000006</v>
      </c>
      <c r="H72" s="391">
        <f t="shared" si="0"/>
        <v>221279.73834717355</v>
      </c>
      <c r="I72" s="324">
        <v>75351</v>
      </c>
      <c r="J72" s="325">
        <v>72746.429688000004</v>
      </c>
      <c r="K72" s="325"/>
      <c r="L72" s="724">
        <v>70904.366999999998</v>
      </c>
      <c r="M72" s="1336">
        <v>0</v>
      </c>
      <c r="N72" s="1336">
        <v>0</v>
      </c>
      <c r="O72" s="1334">
        <v>0</v>
      </c>
      <c r="P72" s="392">
        <f t="shared" si="8"/>
        <v>70904.366999999998</v>
      </c>
      <c r="Q72" s="392">
        <f t="shared" si="1"/>
        <v>0</v>
      </c>
      <c r="R72" s="392">
        <f t="shared" si="2"/>
        <v>0</v>
      </c>
      <c r="S72" s="532"/>
      <c r="T72" s="374"/>
      <c r="U72" s="520">
        <f t="shared" si="9"/>
        <v>-148097.429688</v>
      </c>
      <c r="V72" s="520">
        <f t="shared" si="10"/>
        <v>148097.429688</v>
      </c>
      <c r="W72" s="520">
        <f t="shared" si="11"/>
        <v>67204.363559848949</v>
      </c>
      <c r="X72" s="520">
        <f t="shared" si="12"/>
        <v>80893.066128151055</v>
      </c>
      <c r="Y72" s="525">
        <f t="shared" si="13"/>
        <v>1193996.7993211946</v>
      </c>
    </row>
    <row r="73" spans="3:25" x14ac:dyDescent="0.2">
      <c r="C73" s="387">
        <f t="shared" si="3"/>
        <v>43175</v>
      </c>
      <c r="D73" s="388">
        <f t="shared" si="4"/>
        <v>150304.21677419354</v>
      </c>
      <c r="E73" s="392">
        <f t="shared" si="5"/>
        <v>70717.922000000006</v>
      </c>
      <c r="F73" s="733">
        <f t="shared" si="6"/>
        <v>0.98957298000000005</v>
      </c>
      <c r="G73" s="390">
        <f t="shared" si="7"/>
        <v>69.980500000000006</v>
      </c>
      <c r="H73" s="391">
        <f t="shared" si="0"/>
        <v>221093.10884717354</v>
      </c>
      <c r="I73" s="324">
        <v>75351</v>
      </c>
      <c r="J73" s="325">
        <v>72560.5625</v>
      </c>
      <c r="K73" s="325"/>
      <c r="L73" s="725">
        <v>70717.922000000006</v>
      </c>
      <c r="M73" s="1336">
        <v>0</v>
      </c>
      <c r="N73" s="1336">
        <v>0</v>
      </c>
      <c r="O73" s="1334">
        <v>0</v>
      </c>
      <c r="P73" s="392">
        <f t="shared" si="8"/>
        <v>70717.922000000006</v>
      </c>
      <c r="Q73" s="392">
        <f t="shared" si="1"/>
        <v>0</v>
      </c>
      <c r="R73" s="392">
        <f t="shared" si="2"/>
        <v>0</v>
      </c>
      <c r="S73" s="532"/>
      <c r="T73" s="374"/>
      <c r="U73" s="520">
        <f t="shared" si="9"/>
        <v>-147911.5625</v>
      </c>
      <c r="V73" s="520">
        <f t="shared" si="10"/>
        <v>147911.5625</v>
      </c>
      <c r="W73" s="520">
        <f t="shared" si="11"/>
        <v>67027.647821537437</v>
      </c>
      <c r="X73" s="520">
        <f t="shared" si="12"/>
        <v>80883.914678462563</v>
      </c>
      <c r="Y73" s="525">
        <f t="shared" si="13"/>
        <v>1274880.7139996572</v>
      </c>
    </row>
    <row r="74" spans="3:25" x14ac:dyDescent="0.2">
      <c r="C74" s="387">
        <f t="shared" si="3"/>
        <v>43176</v>
      </c>
      <c r="D74" s="388">
        <f t="shared" si="4"/>
        <v>150304.21677419354</v>
      </c>
      <c r="E74" s="392">
        <f t="shared" si="5"/>
        <v>70892.84</v>
      </c>
      <c r="F74" s="733">
        <f t="shared" si="6"/>
        <v>0.98957298000000005</v>
      </c>
      <c r="G74" s="390">
        <f t="shared" si="7"/>
        <v>70.153599999999997</v>
      </c>
      <c r="H74" s="391">
        <f t="shared" si="0"/>
        <v>221268.19994717353</v>
      </c>
      <c r="I74" s="324">
        <v>67295</v>
      </c>
      <c r="J74" s="325">
        <v>72569.414063000004</v>
      </c>
      <c r="K74" s="325"/>
      <c r="L74" s="724">
        <v>70892.84</v>
      </c>
      <c r="M74" s="1336">
        <v>0</v>
      </c>
      <c r="N74" s="1336">
        <v>0</v>
      </c>
      <c r="O74" s="1334">
        <v>0</v>
      </c>
      <c r="P74" s="392">
        <f t="shared" si="8"/>
        <v>70892.84</v>
      </c>
      <c r="Q74" s="392">
        <f t="shared" si="1"/>
        <v>0</v>
      </c>
      <c r="R74" s="392">
        <f t="shared" si="2"/>
        <v>0</v>
      </c>
      <c r="S74" s="532"/>
      <c r="T74" s="374"/>
      <c r="U74" s="520">
        <f t="shared" si="9"/>
        <v>-139864.414063</v>
      </c>
      <c r="V74" s="520">
        <f t="shared" si="10"/>
        <v>139864.414063</v>
      </c>
      <c r="W74" s="520">
        <f t="shared" si="11"/>
        <v>67193.438073429279</v>
      </c>
      <c r="X74" s="520">
        <f t="shared" si="12"/>
        <v>72670.975989570725</v>
      </c>
      <c r="Y74" s="525">
        <f t="shared" si="13"/>
        <v>1347551.6899892278</v>
      </c>
    </row>
    <row r="75" spans="3:25" x14ac:dyDescent="0.2">
      <c r="C75" s="387">
        <f t="shared" si="3"/>
        <v>43177</v>
      </c>
      <c r="D75" s="388">
        <f t="shared" si="4"/>
        <v>150304.21677419354</v>
      </c>
      <c r="E75" s="392">
        <f t="shared" si="5"/>
        <v>70881.3</v>
      </c>
      <c r="F75" s="733">
        <f t="shared" si="6"/>
        <v>0.98957298000000005</v>
      </c>
      <c r="G75" s="390">
        <f t="shared" si="7"/>
        <v>70.142200000000003</v>
      </c>
      <c r="H75" s="391">
        <f t="shared" si="0"/>
        <v>221256.64854717357</v>
      </c>
      <c r="I75" s="324">
        <v>67295</v>
      </c>
      <c r="J75" s="325">
        <v>71030.53125</v>
      </c>
      <c r="K75" s="325"/>
      <c r="L75" s="725">
        <v>70881.3</v>
      </c>
      <c r="M75" s="1336">
        <v>0</v>
      </c>
      <c r="N75" s="1336">
        <v>0</v>
      </c>
      <c r="O75" s="1334">
        <v>0</v>
      </c>
      <c r="P75" s="392">
        <f t="shared" si="8"/>
        <v>70881.3</v>
      </c>
      <c r="Q75" s="392">
        <f t="shared" si="1"/>
        <v>0</v>
      </c>
      <c r="R75" s="392">
        <f t="shared" si="2"/>
        <v>0</v>
      </c>
      <c r="S75" s="532"/>
      <c r="T75" s="374"/>
      <c r="U75" s="520">
        <f t="shared" si="9"/>
        <v>-138325.53125</v>
      </c>
      <c r="V75" s="520">
        <f t="shared" si="10"/>
        <v>138325.53125</v>
      </c>
      <c r="W75" s="520">
        <f t="shared" si="11"/>
        <v>67182.500265388764</v>
      </c>
      <c r="X75" s="520">
        <f t="shared" si="12"/>
        <v>71143.030984611236</v>
      </c>
      <c r="Y75" s="525">
        <f t="shared" si="13"/>
        <v>1418694.7209738391</v>
      </c>
    </row>
    <row r="76" spans="3:25" x14ac:dyDescent="0.2">
      <c r="C76" s="387">
        <f t="shared" si="3"/>
        <v>43178</v>
      </c>
      <c r="D76" s="388">
        <f t="shared" si="4"/>
        <v>150304.21677419354</v>
      </c>
      <c r="E76" s="392">
        <f t="shared" si="5"/>
        <v>70850</v>
      </c>
      <c r="F76" s="733">
        <f t="shared" si="6"/>
        <v>0.98957298000000005</v>
      </c>
      <c r="G76" s="390">
        <f t="shared" si="7"/>
        <v>70.111199999999997</v>
      </c>
      <c r="H76" s="391">
        <f t="shared" si="0"/>
        <v>221225.31754717356</v>
      </c>
      <c r="I76" s="324">
        <v>67295</v>
      </c>
      <c r="J76" s="325">
        <v>67651.242188000004</v>
      </c>
      <c r="K76" s="325"/>
      <c r="L76" s="724">
        <v>70850</v>
      </c>
      <c r="M76" s="1336">
        <v>0</v>
      </c>
      <c r="N76" s="1336">
        <v>0</v>
      </c>
      <c r="O76" s="1334">
        <v>0</v>
      </c>
      <c r="P76" s="392">
        <f t="shared" si="8"/>
        <v>70850</v>
      </c>
      <c r="Q76" s="392">
        <f t="shared" si="1"/>
        <v>0</v>
      </c>
      <c r="R76" s="392">
        <f t="shared" si="2"/>
        <v>0</v>
      </c>
      <c r="S76" s="532"/>
      <c r="T76" s="374"/>
      <c r="U76" s="520">
        <f t="shared" si="9"/>
        <v>-134946.242188</v>
      </c>
      <c r="V76" s="520">
        <f t="shared" si="10"/>
        <v>134946.242188</v>
      </c>
      <c r="W76" s="520">
        <f t="shared" si="11"/>
        <v>67152.833593667063</v>
      </c>
      <c r="X76" s="520">
        <f t="shared" si="12"/>
        <v>67793.408594332941</v>
      </c>
      <c r="Y76" s="525">
        <f t="shared" si="13"/>
        <v>1486488.1295681719</v>
      </c>
    </row>
    <row r="77" spans="3:25" x14ac:dyDescent="0.2">
      <c r="C77" s="387">
        <f t="shared" si="3"/>
        <v>43179</v>
      </c>
      <c r="D77" s="388">
        <f t="shared" si="4"/>
        <v>150304.21677419354</v>
      </c>
      <c r="E77" s="392">
        <f t="shared" si="5"/>
        <v>73111.718999999997</v>
      </c>
      <c r="F77" s="733">
        <f t="shared" si="6"/>
        <v>0.98957298000000005</v>
      </c>
      <c r="G77" s="390">
        <f t="shared" si="7"/>
        <v>72.349400000000003</v>
      </c>
      <c r="H77" s="391">
        <f t="shared" si="0"/>
        <v>223489.27474717356</v>
      </c>
      <c r="I77" s="324">
        <v>67295</v>
      </c>
      <c r="J77" s="325">
        <v>71687.273194000023</v>
      </c>
      <c r="K77" s="325"/>
      <c r="L77" s="725">
        <v>73111.718999999997</v>
      </c>
      <c r="M77" s="1336">
        <v>0</v>
      </c>
      <c r="N77" s="1336">
        <v>0</v>
      </c>
      <c r="O77" s="1334">
        <v>0</v>
      </c>
      <c r="P77" s="392">
        <f t="shared" si="8"/>
        <v>73111.718999999997</v>
      </c>
      <c r="Q77" s="392">
        <f t="shared" si="1"/>
        <v>0</v>
      </c>
      <c r="R77" s="392">
        <f t="shared" si="2"/>
        <v>0</v>
      </c>
      <c r="S77" s="532"/>
      <c r="T77" s="374"/>
      <c r="U77" s="520">
        <f t="shared" si="9"/>
        <v>-138982.27319400001</v>
      </c>
      <c r="V77" s="520">
        <f t="shared" si="10"/>
        <v>138982.27319400001</v>
      </c>
      <c r="W77" s="520">
        <f t="shared" si="11"/>
        <v>69296.529283753654</v>
      </c>
      <c r="X77" s="520">
        <f t="shared" si="12"/>
        <v>69685.743910246354</v>
      </c>
      <c r="Y77" s="525">
        <f t="shared" si="13"/>
        <v>1556173.8734784182</v>
      </c>
    </row>
    <row r="78" spans="3:25" x14ac:dyDescent="0.2">
      <c r="C78" s="387">
        <f t="shared" si="3"/>
        <v>43180</v>
      </c>
      <c r="D78" s="388">
        <f t="shared" si="4"/>
        <v>150304.21677419354</v>
      </c>
      <c r="E78" s="392">
        <f t="shared" si="5"/>
        <v>74063.008000000002</v>
      </c>
      <c r="F78" s="733">
        <f t="shared" si="6"/>
        <v>0.98957298000000005</v>
      </c>
      <c r="G78" s="390">
        <f t="shared" si="7"/>
        <v>73.290800000000004</v>
      </c>
      <c r="H78" s="391">
        <f t="shared" si="0"/>
        <v>224441.50514717354</v>
      </c>
      <c r="I78" s="324">
        <v>67295</v>
      </c>
      <c r="J78" s="325">
        <v>72728.756105000008</v>
      </c>
      <c r="K78" s="325"/>
      <c r="L78" s="724">
        <v>74063.008000000002</v>
      </c>
      <c r="M78" s="1336">
        <v>0</v>
      </c>
      <c r="N78" s="1336">
        <v>0</v>
      </c>
      <c r="O78" s="1334">
        <v>0</v>
      </c>
      <c r="P78" s="392">
        <f t="shared" si="8"/>
        <v>74063.008000000002</v>
      </c>
      <c r="Q78" s="392">
        <f t="shared" si="1"/>
        <v>0</v>
      </c>
      <c r="R78" s="392">
        <f t="shared" si="2"/>
        <v>0</v>
      </c>
      <c r="S78" s="532"/>
      <c r="T78" s="374"/>
      <c r="U78" s="520">
        <f t="shared" si="9"/>
        <v>-140023.75610500001</v>
      </c>
      <c r="V78" s="520">
        <f t="shared" si="10"/>
        <v>140023.75610500001</v>
      </c>
      <c r="W78" s="520">
        <f t="shared" si="11"/>
        <v>70198.177158368853</v>
      </c>
      <c r="X78" s="520">
        <f t="shared" si="12"/>
        <v>69825.578946631154</v>
      </c>
      <c r="Y78" s="525">
        <f t="shared" si="13"/>
        <v>1625999.4524250494</v>
      </c>
    </row>
    <row r="79" spans="3:25" x14ac:dyDescent="0.2">
      <c r="C79" s="387">
        <f t="shared" si="3"/>
        <v>43181</v>
      </c>
      <c r="D79" s="388">
        <f t="shared" si="4"/>
        <v>150304.21677419354</v>
      </c>
      <c r="E79" s="392">
        <f t="shared" si="5"/>
        <v>72191.688999999998</v>
      </c>
      <c r="F79" s="733">
        <f t="shared" si="6"/>
        <v>0.98957298000000005</v>
      </c>
      <c r="G79" s="390">
        <f t="shared" si="7"/>
        <v>71.438900000000004</v>
      </c>
      <c r="H79" s="391">
        <f t="shared" si="0"/>
        <v>222568.33424717354</v>
      </c>
      <c r="I79" s="324">
        <v>66347</v>
      </c>
      <c r="J79" s="325">
        <v>72322.471923999998</v>
      </c>
      <c r="K79" s="325"/>
      <c r="L79" s="725">
        <v>72191.688999999998</v>
      </c>
      <c r="M79" s="1336">
        <v>0</v>
      </c>
      <c r="N79" s="1336">
        <v>0</v>
      </c>
      <c r="O79" s="1334">
        <v>0</v>
      </c>
      <c r="P79" s="392">
        <f t="shared" si="8"/>
        <v>72191.688999999998</v>
      </c>
      <c r="Q79" s="392">
        <f t="shared" si="1"/>
        <v>0</v>
      </c>
      <c r="R79" s="392">
        <f t="shared" si="2"/>
        <v>0</v>
      </c>
      <c r="S79" s="532"/>
      <c r="T79" s="374"/>
      <c r="U79" s="520">
        <f t="shared" si="9"/>
        <v>-138669.47192400001</v>
      </c>
      <c r="V79" s="520">
        <f t="shared" si="10"/>
        <v>138669.47192400001</v>
      </c>
      <c r="W79" s="520">
        <f t="shared" si="11"/>
        <v>68424.50922036366</v>
      </c>
      <c r="X79" s="520">
        <f t="shared" si="12"/>
        <v>70244.962703636353</v>
      </c>
      <c r="Y79" s="525">
        <f t="shared" si="13"/>
        <v>1696244.4151286858</v>
      </c>
    </row>
    <row r="80" spans="3:25" x14ac:dyDescent="0.2">
      <c r="C80" s="387">
        <f t="shared" si="3"/>
        <v>43182</v>
      </c>
      <c r="D80" s="388">
        <f t="shared" si="4"/>
        <v>150304.21677419354</v>
      </c>
      <c r="E80" s="392">
        <f t="shared" si="5"/>
        <v>73125.34</v>
      </c>
      <c r="F80" s="733">
        <f t="shared" si="6"/>
        <v>0.98957298000000005</v>
      </c>
      <c r="G80" s="390">
        <f t="shared" si="7"/>
        <v>72.362899999999996</v>
      </c>
      <c r="H80" s="391">
        <f t="shared" si="0"/>
        <v>223502.90924717355</v>
      </c>
      <c r="I80" s="324">
        <v>65873</v>
      </c>
      <c r="J80" s="325">
        <v>72400.382813000004</v>
      </c>
      <c r="K80" s="325"/>
      <c r="L80" s="724">
        <v>73125.34</v>
      </c>
      <c r="M80" s="1336">
        <v>0</v>
      </c>
      <c r="N80" s="1336">
        <v>0</v>
      </c>
      <c r="O80" s="1334">
        <v>0</v>
      </c>
      <c r="P80" s="392">
        <f t="shared" si="8"/>
        <v>73125.34</v>
      </c>
      <c r="Q80" s="392">
        <f t="shared" si="1"/>
        <v>0</v>
      </c>
      <c r="R80" s="392">
        <f t="shared" si="2"/>
        <v>0</v>
      </c>
      <c r="S80" s="532"/>
      <c r="T80" s="374"/>
      <c r="U80" s="520">
        <f t="shared" si="9"/>
        <v>-138273.382813</v>
      </c>
      <c r="V80" s="520">
        <f t="shared" si="10"/>
        <v>138273.382813</v>
      </c>
      <c r="W80" s="520">
        <f t="shared" si="11"/>
        <v>69309.439498946027</v>
      </c>
      <c r="X80" s="520">
        <f t="shared" si="12"/>
        <v>68963.943314053977</v>
      </c>
      <c r="Y80" s="525">
        <f t="shared" si="13"/>
        <v>1765208.3584427398</v>
      </c>
    </row>
    <row r="81" spans="2:38" x14ac:dyDescent="0.2">
      <c r="C81" s="387">
        <f t="shared" si="3"/>
        <v>43183</v>
      </c>
      <c r="D81" s="388">
        <f t="shared" si="4"/>
        <v>150304.21677419354</v>
      </c>
      <c r="E81" s="392">
        <f t="shared" si="5"/>
        <v>72881.73</v>
      </c>
      <c r="F81" s="733">
        <f t="shared" si="6"/>
        <v>0.98957298000000005</v>
      </c>
      <c r="G81" s="390">
        <f t="shared" si="7"/>
        <v>72.121799999999993</v>
      </c>
      <c r="H81" s="391">
        <f t="shared" si="0"/>
        <v>223259.05814717355</v>
      </c>
      <c r="I81" s="324">
        <v>66347</v>
      </c>
      <c r="J81" s="325">
        <v>72006.03125</v>
      </c>
      <c r="K81" s="325"/>
      <c r="L81" s="725">
        <v>72881.73</v>
      </c>
      <c r="M81" s="1336">
        <v>0</v>
      </c>
      <c r="N81" s="1336">
        <v>0</v>
      </c>
      <c r="O81" s="1334">
        <v>0</v>
      </c>
      <c r="P81" s="392">
        <f t="shared" si="8"/>
        <v>72881.73</v>
      </c>
      <c r="Q81" s="392">
        <f t="shared" si="1"/>
        <v>0</v>
      </c>
      <c r="R81" s="392">
        <f t="shared" si="2"/>
        <v>0</v>
      </c>
      <c r="S81" s="532"/>
      <c r="T81" s="374"/>
      <c r="U81" s="520">
        <f t="shared" si="9"/>
        <v>-138353.03125</v>
      </c>
      <c r="V81" s="520">
        <f t="shared" si="10"/>
        <v>138353.03125</v>
      </c>
      <c r="W81" s="520">
        <f t="shared" si="11"/>
        <v>69078.541802520427</v>
      </c>
      <c r="X81" s="520">
        <f t="shared" si="12"/>
        <v>69274.489447479573</v>
      </c>
      <c r="Y81" s="525">
        <f t="shared" si="13"/>
        <v>1834482.8478902194</v>
      </c>
    </row>
    <row r="82" spans="2:38" x14ac:dyDescent="0.2">
      <c r="C82" s="387">
        <f t="shared" si="3"/>
        <v>43184</v>
      </c>
      <c r="D82" s="388">
        <f t="shared" si="4"/>
        <v>150304.21677419354</v>
      </c>
      <c r="E82" s="392">
        <f t="shared" si="5"/>
        <v>71769.7</v>
      </c>
      <c r="F82" s="733">
        <f t="shared" si="6"/>
        <v>0.98957298000000005</v>
      </c>
      <c r="G82" s="390">
        <f t="shared" si="7"/>
        <v>71.0214</v>
      </c>
      <c r="H82" s="391">
        <f t="shared" si="0"/>
        <v>222145.92774717353</v>
      </c>
      <c r="I82" s="324">
        <v>66347</v>
      </c>
      <c r="J82" s="325">
        <v>71745.09375</v>
      </c>
      <c r="K82" s="325"/>
      <c r="L82" s="724">
        <v>71769.7</v>
      </c>
      <c r="M82" s="1336">
        <v>0</v>
      </c>
      <c r="N82" s="1336">
        <v>0</v>
      </c>
      <c r="O82" s="1334">
        <v>0</v>
      </c>
      <c r="P82" s="392">
        <f t="shared" si="8"/>
        <v>71769.7</v>
      </c>
      <c r="Q82" s="392">
        <f t="shared" si="1"/>
        <v>0</v>
      </c>
      <c r="R82" s="392">
        <f t="shared" si="2"/>
        <v>0</v>
      </c>
      <c r="S82" s="532"/>
      <c r="T82" s="374"/>
      <c r="U82" s="520">
        <f t="shared" si="9"/>
        <v>-138092.09375</v>
      </c>
      <c r="V82" s="520">
        <f t="shared" si="10"/>
        <v>138092.09375</v>
      </c>
      <c r="W82" s="520">
        <f t="shared" si="11"/>
        <v>68024.540877451058</v>
      </c>
      <c r="X82" s="520">
        <f t="shared" si="12"/>
        <v>70067.552872548942</v>
      </c>
      <c r="Y82" s="525">
        <f t="shared" si="13"/>
        <v>1904550.4007627685</v>
      </c>
    </row>
    <row r="83" spans="2:38" x14ac:dyDescent="0.2">
      <c r="C83" s="387">
        <f t="shared" si="3"/>
        <v>43185</v>
      </c>
      <c r="D83" s="388">
        <f t="shared" si="4"/>
        <v>150304.21677419354</v>
      </c>
      <c r="E83" s="392">
        <f t="shared" si="5"/>
        <v>72206.929999999993</v>
      </c>
      <c r="F83" s="733">
        <f t="shared" si="6"/>
        <v>0.98957298000000005</v>
      </c>
      <c r="G83" s="390">
        <f t="shared" si="7"/>
        <v>71.453999999999994</v>
      </c>
      <c r="H83" s="391">
        <f t="shared" si="0"/>
        <v>222583.59034717354</v>
      </c>
      <c r="I83" s="324">
        <v>66347</v>
      </c>
      <c r="J83" s="325">
        <v>71853.348386999991</v>
      </c>
      <c r="K83" s="325"/>
      <c r="L83" s="725">
        <v>72206.929999999993</v>
      </c>
      <c r="M83" s="1336">
        <v>0</v>
      </c>
      <c r="N83" s="1336">
        <v>0</v>
      </c>
      <c r="O83" s="1334">
        <v>0</v>
      </c>
      <c r="P83" s="392">
        <f t="shared" si="8"/>
        <v>72206.929999999993</v>
      </c>
      <c r="Q83" s="392">
        <f t="shared" si="1"/>
        <v>0</v>
      </c>
      <c r="R83" s="392">
        <f t="shared" si="2"/>
        <v>0</v>
      </c>
      <c r="S83" s="532"/>
      <c r="T83" s="374"/>
      <c r="U83" s="520">
        <f t="shared" si="9"/>
        <v>-138200.34838699998</v>
      </c>
      <c r="V83" s="520">
        <f t="shared" si="10"/>
        <v>138200.34838699998</v>
      </c>
      <c r="W83" s="520">
        <f t="shared" si="11"/>
        <v>68438.954899076445</v>
      </c>
      <c r="X83" s="520">
        <f t="shared" si="12"/>
        <v>69761.393487923531</v>
      </c>
      <c r="Y83" s="525">
        <f t="shared" si="13"/>
        <v>1974311.794250692</v>
      </c>
    </row>
    <row r="84" spans="2:38" x14ac:dyDescent="0.2">
      <c r="C84" s="387">
        <f t="shared" si="3"/>
        <v>43186</v>
      </c>
      <c r="D84" s="388">
        <f t="shared" si="4"/>
        <v>150304.21677419354</v>
      </c>
      <c r="E84" s="392">
        <f t="shared" si="5"/>
        <v>71631.3</v>
      </c>
      <c r="F84" s="733">
        <f t="shared" si="6"/>
        <v>0.98957298000000005</v>
      </c>
      <c r="G84" s="390">
        <f t="shared" si="7"/>
        <v>70.884399999999999</v>
      </c>
      <c r="H84" s="391">
        <f t="shared" si="0"/>
        <v>222007.39074717357</v>
      </c>
      <c r="I84" s="324">
        <v>67294</v>
      </c>
      <c r="J84" s="325">
        <v>72836.786865999995</v>
      </c>
      <c r="K84" s="325"/>
      <c r="L84" s="724">
        <v>71631.3</v>
      </c>
      <c r="M84" s="1336">
        <v>0</v>
      </c>
      <c r="N84" s="1336">
        <v>0</v>
      </c>
      <c r="O84" s="1334">
        <v>0</v>
      </c>
      <c r="P84" s="392">
        <f t="shared" si="8"/>
        <v>71631.3</v>
      </c>
      <c r="Q84" s="392">
        <f t="shared" si="1"/>
        <v>0</v>
      </c>
      <c r="R84" s="392">
        <f t="shared" si="2"/>
        <v>0</v>
      </c>
      <c r="S84" s="532"/>
      <c r="T84" s="374"/>
      <c r="U84" s="520">
        <f t="shared" si="9"/>
        <v>-140130.78686599998</v>
      </c>
      <c r="V84" s="520">
        <f t="shared" si="10"/>
        <v>140130.78686599998</v>
      </c>
      <c r="W84" s="520">
        <f t="shared" si="11"/>
        <v>67893.363006323838</v>
      </c>
      <c r="X84" s="520">
        <f t="shared" si="12"/>
        <v>72237.423859676142</v>
      </c>
      <c r="Y84" s="525">
        <f t="shared" si="13"/>
        <v>2046549.2181103681</v>
      </c>
    </row>
    <row r="85" spans="2:38" x14ac:dyDescent="0.2">
      <c r="C85" s="387">
        <f t="shared" si="3"/>
        <v>43187</v>
      </c>
      <c r="D85" s="388">
        <f t="shared" si="4"/>
        <v>150304.21677419354</v>
      </c>
      <c r="E85" s="392">
        <f t="shared" si="5"/>
        <v>71428.09</v>
      </c>
      <c r="F85" s="733">
        <f t="shared" si="6"/>
        <v>0.98957298000000005</v>
      </c>
      <c r="G85" s="390">
        <f t="shared" si="7"/>
        <v>70.683300000000003</v>
      </c>
      <c r="H85" s="391">
        <f t="shared" si="0"/>
        <v>221803.97964717355</v>
      </c>
      <c r="I85" s="324">
        <v>66347</v>
      </c>
      <c r="J85" s="325">
        <v>71854.910157999999</v>
      </c>
      <c r="K85" s="325"/>
      <c r="L85" s="725">
        <v>71428.09</v>
      </c>
      <c r="M85" s="1336">
        <v>0</v>
      </c>
      <c r="N85" s="1336">
        <v>0</v>
      </c>
      <c r="O85" s="1334">
        <v>0</v>
      </c>
      <c r="P85" s="392">
        <f t="shared" si="8"/>
        <v>71428.09</v>
      </c>
      <c r="Q85" s="392">
        <f t="shared" si="1"/>
        <v>0</v>
      </c>
      <c r="R85" s="392">
        <f t="shared" si="2"/>
        <v>0</v>
      </c>
      <c r="S85" s="532"/>
      <c r="T85" s="374"/>
      <c r="U85" s="520">
        <f t="shared" si="9"/>
        <v>-138201.91015800001</v>
      </c>
      <c r="V85" s="520">
        <f t="shared" si="10"/>
        <v>138201.91015800001</v>
      </c>
      <c r="W85" s="520">
        <f t="shared" si="11"/>
        <v>67700.757116209948</v>
      </c>
      <c r="X85" s="520">
        <f t="shared" si="12"/>
        <v>70501.153041790065</v>
      </c>
      <c r="Y85" s="525">
        <f t="shared" si="13"/>
        <v>2117050.3711521584</v>
      </c>
    </row>
    <row r="86" spans="2:38" x14ac:dyDescent="0.2">
      <c r="C86" s="387">
        <f t="shared" si="3"/>
        <v>43188</v>
      </c>
      <c r="D86" s="388">
        <f t="shared" si="4"/>
        <v>150304.21677419354</v>
      </c>
      <c r="E86" s="392">
        <f t="shared" si="5"/>
        <v>71032.88</v>
      </c>
      <c r="F86" s="733">
        <f t="shared" si="6"/>
        <v>0.98957298000000005</v>
      </c>
      <c r="G86" s="390">
        <f t="shared" si="7"/>
        <v>70.292199999999994</v>
      </c>
      <c r="H86" s="391">
        <f t="shared" si="0"/>
        <v>221408.37854717355</v>
      </c>
      <c r="I86" s="324">
        <v>69190</v>
      </c>
      <c r="J86" s="325">
        <v>71741.101563000004</v>
      </c>
      <c r="K86" s="325"/>
      <c r="L86" s="724">
        <v>71032.88</v>
      </c>
      <c r="M86" s="1336">
        <v>0</v>
      </c>
      <c r="N86" s="1336">
        <v>0</v>
      </c>
      <c r="O86" s="1334">
        <v>0</v>
      </c>
      <c r="P86" s="392">
        <f t="shared" si="8"/>
        <v>71032.88</v>
      </c>
      <c r="Q86" s="392">
        <f t="shared" si="1"/>
        <v>0</v>
      </c>
      <c r="R86" s="392">
        <f t="shared" si="2"/>
        <v>0</v>
      </c>
      <c r="S86" s="532"/>
      <c r="T86" s="374"/>
      <c r="U86" s="520">
        <f t="shared" si="9"/>
        <v>-140931.101563</v>
      </c>
      <c r="V86" s="520">
        <f t="shared" si="10"/>
        <v>140931.101563</v>
      </c>
      <c r="W86" s="520">
        <f t="shared" si="11"/>
        <v>67326.170364416685</v>
      </c>
      <c r="X86" s="520">
        <f t="shared" si="12"/>
        <v>73604.931198583319</v>
      </c>
      <c r="Y86" s="525">
        <f t="shared" si="13"/>
        <v>2190655.3023507418</v>
      </c>
    </row>
    <row r="87" spans="2:38" x14ac:dyDescent="0.2">
      <c r="C87" s="387">
        <f t="shared" si="3"/>
        <v>43189</v>
      </c>
      <c r="D87" s="388">
        <f t="shared" si="4"/>
        <v>150304.21677419354</v>
      </c>
      <c r="E87" s="392">
        <f t="shared" si="5"/>
        <v>70872.33</v>
      </c>
      <c r="F87" s="733">
        <f t="shared" si="6"/>
        <v>0.98957298000000005</v>
      </c>
      <c r="G87" s="390">
        <f t="shared" si="7"/>
        <v>70.133300000000006</v>
      </c>
      <c r="H87" s="391">
        <f t="shared" si="0"/>
        <v>221247.66964717352</v>
      </c>
      <c r="I87" s="324">
        <v>69190</v>
      </c>
      <c r="J87" s="325">
        <v>72119.867188000004</v>
      </c>
      <c r="K87" s="325"/>
      <c r="L87" s="725">
        <v>70872.33</v>
      </c>
      <c r="M87" s="1336">
        <v>0</v>
      </c>
      <c r="N87" s="1336">
        <v>0</v>
      </c>
      <c r="O87" s="1334">
        <v>0</v>
      </c>
      <c r="P87" s="392">
        <f t="shared" si="8"/>
        <v>70872.33</v>
      </c>
      <c r="Q87" s="392">
        <f t="shared" si="1"/>
        <v>0</v>
      </c>
      <c r="R87" s="392">
        <f t="shared" si="2"/>
        <v>0</v>
      </c>
      <c r="S87" s="532"/>
      <c r="T87" s="374"/>
      <c r="U87" s="520">
        <f t="shared" si="9"/>
        <v>-141309.867188</v>
      </c>
      <c r="V87" s="520">
        <f t="shared" si="10"/>
        <v>141309.867188</v>
      </c>
      <c r="W87" s="520">
        <f t="shared" si="11"/>
        <v>67173.998347007175</v>
      </c>
      <c r="X87" s="520">
        <f t="shared" si="12"/>
        <v>74135.868840992829</v>
      </c>
      <c r="Y87" s="525">
        <f t="shared" si="13"/>
        <v>2264791.1711917347</v>
      </c>
    </row>
    <row r="88" spans="2:38" ht="15" thickBot="1" x14ac:dyDescent="0.25">
      <c r="C88" s="393">
        <v>43190</v>
      </c>
      <c r="D88" s="394">
        <f t="shared" si="4"/>
        <v>150304.21677419354</v>
      </c>
      <c r="E88" s="395">
        <f t="shared" si="5"/>
        <v>68192.815000000002</v>
      </c>
      <c r="F88" s="748">
        <f t="shared" si="6"/>
        <v>0.98957298000000005</v>
      </c>
      <c r="G88" s="396">
        <f t="shared" si="7"/>
        <v>67.481800000000007</v>
      </c>
      <c r="H88" s="397">
        <f>SUM(D88:G88)</f>
        <v>218565.50314717356</v>
      </c>
      <c r="I88" s="326">
        <v>69190</v>
      </c>
      <c r="J88" s="327">
        <v>71536.398438000004</v>
      </c>
      <c r="K88" s="327"/>
      <c r="L88" s="749">
        <v>68192.815000000002</v>
      </c>
      <c r="M88" s="1348">
        <v>0</v>
      </c>
      <c r="N88" s="1348">
        <v>0</v>
      </c>
      <c r="O88" s="1335">
        <v>0</v>
      </c>
      <c r="P88" s="395">
        <f t="shared" si="8"/>
        <v>68192.815000000002</v>
      </c>
      <c r="Q88" s="395">
        <f t="shared" si="1"/>
        <v>0</v>
      </c>
      <c r="R88" s="395">
        <f t="shared" si="2"/>
        <v>0</v>
      </c>
      <c r="S88" s="560"/>
      <c r="T88" s="376"/>
      <c r="U88" s="528">
        <f t="shared" si="9"/>
        <v>-140726.398438</v>
      </c>
      <c r="V88" s="528">
        <f t="shared" si="10"/>
        <v>140726.398438</v>
      </c>
      <c r="W88" s="528">
        <f t="shared" si="11"/>
        <v>64634.308510638301</v>
      </c>
      <c r="X88" s="528">
        <f t="shared" si="12"/>
        <v>76092.089927361696</v>
      </c>
      <c r="Y88" s="529">
        <f t="shared" si="13"/>
        <v>2340883.2611190965</v>
      </c>
    </row>
    <row r="89" spans="2:38" x14ac:dyDescent="0.2">
      <c r="C89" s="398"/>
      <c r="D89" s="399">
        <f>SUM(D58:D88)</f>
        <v>4659430.72</v>
      </c>
      <c r="E89" s="400">
        <f>SUM(E58:E88)</f>
        <v>2202075.7900000005</v>
      </c>
      <c r="F89" s="400"/>
      <c r="G89" s="401">
        <f>SUM(G58:G88)</f>
        <v>2179.1146000000003</v>
      </c>
      <c r="H89" s="399">
        <f>SUM(H58:H88)</f>
        <v>6863716.3013623813</v>
      </c>
      <c r="I89" s="677">
        <f>SUM(I58:I88)</f>
        <v>2206507</v>
      </c>
      <c r="J89" s="677">
        <f t="shared" ref="J89:R89" si="14">SUM(J58:J88)</f>
        <v>2221541.1035540001</v>
      </c>
      <c r="K89" s="677">
        <f t="shared" si="14"/>
        <v>0</v>
      </c>
      <c r="L89" s="677">
        <f>SUM(L58:L88)</f>
        <v>2202075.7900000005</v>
      </c>
      <c r="M89" s="677">
        <f t="shared" si="14"/>
        <v>0</v>
      </c>
      <c r="N89" s="677">
        <f t="shared" si="14"/>
        <v>0</v>
      </c>
      <c r="O89" s="677">
        <f t="shared" si="14"/>
        <v>0</v>
      </c>
      <c r="P89" s="677">
        <f t="shared" si="14"/>
        <v>2202075.7900000005</v>
      </c>
      <c r="Q89" s="677">
        <f t="shared" si="14"/>
        <v>0</v>
      </c>
      <c r="R89" s="677">
        <f t="shared" si="14"/>
        <v>0</v>
      </c>
      <c r="S89" s="656">
        <f>SUM(S58:S88)</f>
        <v>0</v>
      </c>
      <c r="T89" s="721"/>
      <c r="U89" s="530"/>
      <c r="V89" s="328">
        <f>SUM(V58:V88)</f>
        <v>4428048.1035540011</v>
      </c>
      <c r="W89" s="328">
        <f>SUM(W58:W88)</f>
        <v>2087164.8424349036</v>
      </c>
      <c r="X89" s="328">
        <f>SUM(X58:X88)</f>
        <v>2340883.2611190965</v>
      </c>
      <c r="Y89" s="751">
        <f>Y88</f>
        <v>2340883.2611190965</v>
      </c>
      <c r="AL89" s="361">
        <f>Y88</f>
        <v>2340883.2611190965</v>
      </c>
    </row>
    <row r="90" spans="2:38" ht="15" customHeight="1" thickBot="1" x14ac:dyDescent="0.25">
      <c r="B90" s="718"/>
      <c r="C90" s="718"/>
      <c r="D90" s="718"/>
      <c r="E90" s="718"/>
      <c r="F90" s="718"/>
      <c r="G90" s="718"/>
      <c r="H90" s="718"/>
      <c r="I90" s="718"/>
      <c r="J90" s="718"/>
      <c r="K90" s="718"/>
      <c r="L90" s="718"/>
      <c r="N90" s="2"/>
    </row>
    <row r="91" spans="2:38" x14ac:dyDescent="0.2">
      <c r="D91" s="440" t="s">
        <v>155</v>
      </c>
      <c r="E91" s="441" t="s">
        <v>156</v>
      </c>
      <c r="F91" s="442" t="s">
        <v>112</v>
      </c>
      <c r="H91" s="1425"/>
      <c r="I91" s="1425"/>
      <c r="J91" s="1425"/>
      <c r="K91" s="1425"/>
      <c r="L91" s="1425"/>
      <c r="M91" s="1425"/>
      <c r="N91" s="18"/>
      <c r="O91" s="1425"/>
      <c r="P91" s="1425"/>
      <c r="Q91" s="1425"/>
    </row>
    <row r="92" spans="2:38" x14ac:dyDescent="0.2">
      <c r="D92" s="443">
        <v>4659430.72</v>
      </c>
      <c r="E92" s="444">
        <f>D89</f>
        <v>4659430.72</v>
      </c>
      <c r="F92" s="445">
        <f>D92-E92</f>
        <v>0</v>
      </c>
      <c r="H92" s="1425"/>
      <c r="I92" s="1426"/>
      <c r="J92" s="1425"/>
      <c r="K92" s="1425"/>
      <c r="L92" s="1425"/>
      <c r="M92" s="1425"/>
      <c r="N92" s="18"/>
      <c r="O92" s="1425"/>
      <c r="P92" s="1425"/>
      <c r="Q92" s="1425"/>
    </row>
    <row r="93" spans="2:38" ht="15" thickBot="1" x14ac:dyDescent="0.25">
      <c r="D93" s="446">
        <v>2179.11</v>
      </c>
      <c r="E93" s="447">
        <f>ROUND(G89,2)</f>
        <v>2179.11</v>
      </c>
      <c r="F93" s="448">
        <f>D93-E93</f>
        <v>0</v>
      </c>
      <c r="H93" s="1425"/>
      <c r="I93" s="1426"/>
      <c r="J93" s="1425"/>
      <c r="K93" s="1425"/>
      <c r="L93" s="1425"/>
      <c r="M93" s="1425"/>
      <c r="N93" s="18"/>
      <c r="O93" s="1425"/>
      <c r="P93" s="1425"/>
      <c r="Q93" s="1425"/>
    </row>
    <row r="94" spans="2:38" x14ac:dyDescent="0.2">
      <c r="H94" s="1425"/>
      <c r="I94" s="1426"/>
      <c r="J94" s="1425"/>
      <c r="K94" s="1425"/>
      <c r="L94" s="1425"/>
      <c r="M94" s="1425"/>
      <c r="N94" s="18"/>
      <c r="O94" s="1425"/>
      <c r="P94" s="1425"/>
      <c r="Q94" s="1425"/>
    </row>
    <row r="95" spans="2:38" x14ac:dyDescent="0.2">
      <c r="H95" s="1425"/>
      <c r="I95" s="1426"/>
      <c r="J95" s="1425"/>
      <c r="K95" s="1425"/>
      <c r="L95" s="1425"/>
      <c r="M95" s="1425"/>
      <c r="N95" s="18"/>
      <c r="O95" s="1425"/>
      <c r="P95" s="1425"/>
      <c r="Q95" s="1425"/>
    </row>
    <row r="96" spans="2:38" x14ac:dyDescent="0.2">
      <c r="H96" s="1425"/>
      <c r="I96" s="1426"/>
      <c r="J96" s="1425"/>
      <c r="K96" s="1425"/>
      <c r="L96" s="1425"/>
      <c r="M96" s="1425"/>
      <c r="N96" s="18"/>
      <c r="O96" s="1425"/>
      <c r="P96" s="1425"/>
      <c r="Q96" s="1425"/>
    </row>
    <row r="97" spans="8:17" x14ac:dyDescent="0.2">
      <c r="H97" s="1425"/>
      <c r="I97" s="1426"/>
      <c r="J97" s="1425"/>
      <c r="K97" s="1425"/>
      <c r="L97" s="1425"/>
      <c r="M97" s="1425"/>
      <c r="N97" s="18"/>
      <c r="O97" s="1425"/>
      <c r="P97" s="1425"/>
      <c r="Q97" s="1425"/>
    </row>
    <row r="98" spans="8:17" x14ac:dyDescent="0.2">
      <c r="H98" s="1425"/>
      <c r="I98" s="1426"/>
      <c r="J98" s="1425"/>
      <c r="K98" s="1425"/>
      <c r="L98" s="1425"/>
      <c r="M98" s="1425"/>
      <c r="N98" s="18"/>
      <c r="O98" s="1425"/>
      <c r="P98" s="1425"/>
      <c r="Q98" s="1425"/>
    </row>
    <row r="99" spans="8:17" x14ac:dyDescent="0.2">
      <c r="H99" s="1425"/>
      <c r="I99" s="1426"/>
      <c r="J99" s="1425"/>
      <c r="K99" s="1425"/>
      <c r="L99" s="1425"/>
      <c r="M99" s="1425"/>
      <c r="N99" s="18"/>
      <c r="O99" s="1425"/>
      <c r="P99" s="1425"/>
      <c r="Q99" s="1425"/>
    </row>
    <row r="100" spans="8:17" x14ac:dyDescent="0.2">
      <c r="H100" s="1425"/>
      <c r="I100" s="1426"/>
      <c r="J100" s="1425"/>
      <c r="K100" s="1425"/>
      <c r="L100" s="1425"/>
      <c r="M100" s="1425"/>
      <c r="N100" s="18"/>
      <c r="O100" s="1425"/>
      <c r="P100" s="1425"/>
      <c r="Q100" s="1425"/>
    </row>
    <row r="101" spans="8:17" x14ac:dyDescent="0.2">
      <c r="H101" s="1425"/>
      <c r="I101" s="1426"/>
      <c r="J101" s="1425"/>
      <c r="K101" s="1425"/>
      <c r="L101" s="1425"/>
      <c r="M101" s="1425"/>
      <c r="N101" s="18"/>
      <c r="O101" s="1425"/>
      <c r="P101" s="1425"/>
      <c r="Q101" s="1425"/>
    </row>
    <row r="102" spans="8:17" x14ac:dyDescent="0.2">
      <c r="H102" s="1425"/>
      <c r="I102" s="1426"/>
      <c r="J102" s="1425"/>
      <c r="K102" s="1425"/>
      <c r="L102" s="1425"/>
      <c r="M102" s="1425"/>
      <c r="N102" s="18"/>
      <c r="O102" s="1425"/>
      <c r="P102" s="1425"/>
      <c r="Q102" s="1425"/>
    </row>
    <row r="103" spans="8:17" x14ac:dyDescent="0.2">
      <c r="H103" s="1425"/>
      <c r="I103" s="1426"/>
      <c r="J103" s="1425"/>
      <c r="K103" s="1425"/>
      <c r="L103" s="1425"/>
      <c r="M103" s="1425"/>
      <c r="N103" s="18"/>
      <c r="O103" s="1425"/>
      <c r="P103" s="1425"/>
      <c r="Q103" s="1425"/>
    </row>
    <row r="104" spans="8:17" x14ac:dyDescent="0.2">
      <c r="H104" s="1425"/>
      <c r="I104" s="1426"/>
      <c r="J104" s="1425"/>
      <c r="K104" s="1425"/>
      <c r="L104" s="1425"/>
      <c r="M104" s="1425"/>
      <c r="N104" s="18"/>
      <c r="O104" s="1425"/>
      <c r="P104" s="1425"/>
      <c r="Q104" s="1425"/>
    </row>
    <row r="105" spans="8:17" x14ac:dyDescent="0.2">
      <c r="H105" s="1425"/>
      <c r="I105" s="1426"/>
      <c r="J105" s="1425"/>
      <c r="K105" s="1425"/>
      <c r="L105" s="1425"/>
      <c r="M105" s="1425"/>
      <c r="N105" s="18"/>
      <c r="O105" s="1425"/>
      <c r="P105" s="1425"/>
      <c r="Q105" s="1425"/>
    </row>
    <row r="106" spans="8:17" x14ac:dyDescent="0.2">
      <c r="H106" s="1425"/>
      <c r="I106" s="1426"/>
      <c r="J106" s="1425"/>
      <c r="K106" s="1425"/>
      <c r="L106" s="1425"/>
      <c r="M106" s="1425"/>
      <c r="N106" s="18"/>
      <c r="O106" s="1425"/>
      <c r="P106" s="1425"/>
      <c r="Q106" s="1425"/>
    </row>
    <row r="107" spans="8:17" x14ac:dyDescent="0.2">
      <c r="H107" s="1425"/>
      <c r="I107" s="1426"/>
      <c r="J107" s="1425"/>
      <c r="K107" s="1425"/>
      <c r="L107" s="1425"/>
      <c r="M107" s="1425"/>
      <c r="N107" s="18"/>
      <c r="O107" s="1425"/>
      <c r="P107" s="1425"/>
      <c r="Q107" s="1425"/>
    </row>
    <row r="108" spans="8:17" x14ac:dyDescent="0.2">
      <c r="H108" s="1425"/>
      <c r="I108" s="1426"/>
      <c r="J108" s="1425"/>
      <c r="K108" s="1425"/>
      <c r="L108" s="1425"/>
      <c r="M108" s="1425"/>
      <c r="N108" s="18"/>
      <c r="O108" s="1425"/>
      <c r="P108" s="1425"/>
      <c r="Q108" s="1425"/>
    </row>
    <row r="109" spans="8:17" x14ac:dyDescent="0.2">
      <c r="H109" s="1425"/>
      <c r="I109" s="1426"/>
      <c r="J109" s="1425"/>
      <c r="K109" s="1425"/>
      <c r="L109" s="1425"/>
      <c r="M109" s="1425"/>
      <c r="N109" s="18"/>
      <c r="O109" s="1425"/>
      <c r="P109" s="1425"/>
      <c r="Q109" s="1425"/>
    </row>
    <row r="110" spans="8:17" x14ac:dyDescent="0.2">
      <c r="H110" s="1425"/>
      <c r="I110" s="1426"/>
      <c r="J110" s="1425"/>
      <c r="K110" s="1425"/>
      <c r="L110" s="1425"/>
      <c r="M110" s="1425"/>
      <c r="N110" s="18"/>
      <c r="O110" s="1425"/>
      <c r="P110" s="1425"/>
      <c r="Q110" s="1425"/>
    </row>
    <row r="111" spans="8:17" x14ac:dyDescent="0.2">
      <c r="H111" s="1425"/>
      <c r="I111" s="1426"/>
      <c r="J111" s="1425"/>
      <c r="K111" s="1425"/>
      <c r="L111" s="1425"/>
      <c r="M111" s="1425"/>
      <c r="N111" s="18"/>
      <c r="O111" s="1425"/>
      <c r="P111" s="1425"/>
      <c r="Q111" s="1425"/>
    </row>
    <row r="112" spans="8:17" x14ac:dyDescent="0.2">
      <c r="H112" s="1425"/>
      <c r="I112" s="1426"/>
      <c r="J112" s="1425"/>
      <c r="K112" s="1425"/>
      <c r="L112" s="1425"/>
      <c r="M112" s="1425"/>
      <c r="N112" s="18"/>
      <c r="O112" s="1425"/>
      <c r="P112" s="1425"/>
      <c r="Q112" s="1425"/>
    </row>
    <row r="113" spans="8:17" x14ac:dyDescent="0.2">
      <c r="H113" s="1425"/>
      <c r="I113" s="1426"/>
      <c r="J113" s="1425"/>
      <c r="K113" s="1425"/>
      <c r="L113" s="1425"/>
      <c r="M113" s="1425"/>
      <c r="N113" s="18"/>
      <c r="O113" s="1425"/>
      <c r="P113" s="1425"/>
      <c r="Q113" s="1425"/>
    </row>
    <row r="114" spans="8:17" x14ac:dyDescent="0.2">
      <c r="H114" s="1425"/>
      <c r="I114" s="1426"/>
      <c r="J114" s="1425"/>
      <c r="K114" s="1425"/>
      <c r="L114" s="1425"/>
      <c r="M114" s="1425"/>
      <c r="N114" s="18"/>
      <c r="O114" s="1425"/>
      <c r="P114" s="1425"/>
      <c r="Q114" s="1425"/>
    </row>
    <row r="115" spans="8:17" x14ac:dyDescent="0.2">
      <c r="H115" s="1425"/>
      <c r="I115" s="1426"/>
      <c r="J115" s="1425"/>
      <c r="K115" s="1425"/>
      <c r="L115" s="1425"/>
      <c r="M115" s="1425"/>
      <c r="N115" s="18"/>
      <c r="O115" s="1425"/>
      <c r="P115" s="1425"/>
      <c r="Q115" s="1425"/>
    </row>
    <row r="116" spans="8:17" x14ac:dyDescent="0.2">
      <c r="H116" s="1425"/>
      <c r="I116" s="1426"/>
      <c r="J116" s="1425"/>
      <c r="K116" s="1425"/>
      <c r="L116" s="1425"/>
      <c r="M116" s="1425"/>
      <c r="N116" s="18"/>
      <c r="O116" s="1425"/>
      <c r="P116" s="1425"/>
      <c r="Q116" s="1425"/>
    </row>
    <row r="117" spans="8:17" x14ac:dyDescent="0.2">
      <c r="H117" s="1425"/>
      <c r="I117" s="1426"/>
      <c r="J117" s="1425"/>
      <c r="K117" s="1425"/>
      <c r="L117" s="1425"/>
      <c r="M117" s="1425"/>
      <c r="N117" s="18"/>
      <c r="O117" s="1425"/>
      <c r="P117" s="1425"/>
      <c r="Q117" s="1425"/>
    </row>
    <row r="118" spans="8:17" x14ac:dyDescent="0.2">
      <c r="H118" s="1425"/>
      <c r="I118" s="1426"/>
      <c r="J118" s="1425"/>
      <c r="K118" s="1425"/>
      <c r="L118" s="1425"/>
      <c r="M118" s="1425"/>
      <c r="N118" s="18"/>
      <c r="O118" s="1425"/>
      <c r="P118" s="1425"/>
      <c r="Q118" s="1425"/>
    </row>
    <row r="119" spans="8:17" x14ac:dyDescent="0.2">
      <c r="H119" s="1425"/>
      <c r="I119" s="1426"/>
      <c r="J119" s="1425"/>
      <c r="K119" s="1425"/>
      <c r="L119" s="1425"/>
      <c r="M119" s="1425"/>
      <c r="N119" s="18"/>
      <c r="O119" s="1425"/>
      <c r="P119" s="1425"/>
      <c r="Q119" s="1425"/>
    </row>
    <row r="120" spans="8:17" x14ac:dyDescent="0.2">
      <c r="H120" s="1425"/>
      <c r="I120" s="1426"/>
      <c r="J120" s="1425"/>
      <c r="K120" s="1425"/>
      <c r="L120" s="1425"/>
      <c r="M120" s="1425"/>
      <c r="N120" s="18"/>
      <c r="O120" s="1425"/>
      <c r="P120" s="1425"/>
      <c r="Q120" s="1425"/>
    </row>
    <row r="121" spans="8:17" x14ac:dyDescent="0.2">
      <c r="H121" s="1425"/>
      <c r="I121" s="1426"/>
      <c r="J121" s="1425"/>
      <c r="K121" s="1425"/>
      <c r="L121" s="1425"/>
      <c r="M121" s="1425"/>
      <c r="N121" s="18"/>
      <c r="O121" s="1425"/>
      <c r="P121" s="1425"/>
      <c r="Q121" s="1425"/>
    </row>
    <row r="122" spans="8:17" x14ac:dyDescent="0.2">
      <c r="H122" s="1425"/>
      <c r="I122" s="1426"/>
      <c r="J122" s="1425"/>
      <c r="K122" s="1425"/>
      <c r="L122" s="1425"/>
      <c r="M122" s="1425"/>
      <c r="N122" s="18"/>
      <c r="O122" s="1425"/>
      <c r="P122" s="1425"/>
      <c r="Q122" s="1425"/>
    </row>
    <row r="123" spans="8:17" x14ac:dyDescent="0.2">
      <c r="H123" s="1425"/>
      <c r="I123" s="1425"/>
      <c r="J123" s="1425"/>
      <c r="K123" s="1425"/>
      <c r="L123" s="1425"/>
      <c r="M123" s="1425"/>
      <c r="N123" s="18"/>
      <c r="O123" s="1425"/>
      <c r="P123" s="1425"/>
      <c r="Q123" s="1425"/>
    </row>
    <row r="124" spans="8:17" x14ac:dyDescent="0.2">
      <c r="H124" s="1425"/>
      <c r="I124" s="1425"/>
      <c r="J124" s="1425"/>
      <c r="K124" s="1425"/>
      <c r="L124" s="1425"/>
      <c r="M124" s="1425"/>
      <c r="N124" s="18"/>
      <c r="O124" s="1425"/>
      <c r="P124" s="1425"/>
      <c r="Q124" s="1425"/>
    </row>
    <row r="125" spans="8:17" x14ac:dyDescent="0.2">
      <c r="H125" s="1425"/>
      <c r="I125" s="1425"/>
      <c r="J125" s="1425"/>
      <c r="K125" s="1425"/>
      <c r="L125" s="1425"/>
      <c r="M125" s="1425"/>
      <c r="N125" s="18"/>
      <c r="O125" s="1425"/>
      <c r="P125" s="1425"/>
      <c r="Q125" s="1425"/>
    </row>
    <row r="126" spans="8:17" x14ac:dyDescent="0.2">
      <c r="H126" s="1425"/>
      <c r="I126" s="1425"/>
      <c r="J126" s="1425"/>
      <c r="K126" s="1425"/>
      <c r="L126" s="1425"/>
      <c r="M126" s="1425"/>
      <c r="N126" s="18"/>
      <c r="O126" s="1425"/>
      <c r="P126" s="1425"/>
      <c r="Q126" s="1425"/>
    </row>
  </sheetData>
  <mergeCells count="7">
    <mergeCell ref="S56:Y56"/>
    <mergeCell ref="C3:M4"/>
    <mergeCell ref="C5:M5"/>
    <mergeCell ref="C6:M6"/>
    <mergeCell ref="C14:E14"/>
    <mergeCell ref="C15:E15"/>
    <mergeCell ref="C16:E16"/>
  </mergeCells>
  <conditionalFormatting sqref="L58:L88">
    <cfRule type="cellIs" dxfId="110" priority="1" stopIfTrue="1" operator="equal">
      <formula>0</formula>
    </cfRule>
  </conditionalFormatting>
  <hyperlinks>
    <hyperlink ref="J22" r:id="rId1"/>
  </hyperlinks>
  <printOptions horizontalCentered="1"/>
  <pageMargins left="0.59055118110236227" right="0.39370078740157483" top="0" bottom="0" header="0" footer="0.51181102362204722"/>
  <pageSetup scale="64" orientation="landscape" r:id="rId2"/>
  <drawing r:id="rId3"/>
  <legacyDrawing r:id="rId4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2:AL93"/>
  <sheetViews>
    <sheetView topLeftCell="A3" workbookViewId="0"/>
  </sheetViews>
  <sheetFormatPr baseColWidth="10" defaultColWidth="11" defaultRowHeight="14.25" x14ac:dyDescent="0.2"/>
  <cols>
    <col min="1" max="1" width="11" style="2"/>
    <col min="2" max="2" width="3.875" style="2" bestFit="1" customWidth="1"/>
    <col min="3" max="3" width="16.125" style="2" customWidth="1"/>
    <col min="4" max="4" width="28.625" style="2" bestFit="1" customWidth="1"/>
    <col min="5" max="5" width="12.125" style="2" customWidth="1"/>
    <col min="6" max="6" width="17.125" style="2" bestFit="1" customWidth="1"/>
    <col min="7" max="7" width="13.125" style="2" bestFit="1" customWidth="1"/>
    <col min="8" max="8" width="21.125" style="2" bestFit="1" customWidth="1"/>
    <col min="9" max="9" width="21.625" style="2" customWidth="1"/>
    <col min="10" max="10" width="11.875" style="2" bestFit="1" customWidth="1"/>
    <col min="11" max="11" width="11.625" style="2" bestFit="1" customWidth="1"/>
    <col min="12" max="12" width="16" style="2" customWidth="1"/>
    <col min="13" max="13" width="13.625" style="2" bestFit="1" customWidth="1"/>
    <col min="14" max="14" width="13.625" style="1" bestFit="1" customWidth="1"/>
    <col min="15" max="15" width="11.125" style="2" bestFit="1" customWidth="1"/>
    <col min="16" max="16" width="11" style="2"/>
    <col min="17" max="17" width="12.5" style="2" bestFit="1" customWidth="1"/>
    <col min="18" max="18" width="10.875" style="2" customWidth="1"/>
    <col min="19" max="19" width="11.625" style="2" bestFit="1" customWidth="1"/>
    <col min="20" max="20" width="11" style="2"/>
    <col min="21" max="21" width="11.625" style="2" bestFit="1" customWidth="1"/>
    <col min="22" max="24" width="11" style="2"/>
    <col min="25" max="25" width="11.5" style="2" bestFit="1" customWidth="1"/>
    <col min="26" max="32" width="11" style="718"/>
    <col min="33" max="16384" width="11" style="2"/>
  </cols>
  <sheetData>
    <row r="2" spans="2:25" x14ac:dyDescent="0.2"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2:25" ht="15" customHeight="1" x14ac:dyDescent="0.2">
      <c r="B3" s="1"/>
      <c r="C3" s="2254"/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</row>
    <row r="4" spans="2:25" ht="15" customHeight="1" x14ac:dyDescent="0.2"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</row>
    <row r="5" spans="2:25" x14ac:dyDescent="0.2">
      <c r="B5" s="1"/>
      <c r="C5" s="2257"/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</row>
    <row r="6" spans="2:25" x14ac:dyDescent="0.2">
      <c r="B6" s="1"/>
      <c r="C6" s="2257"/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</row>
    <row r="7" spans="2:25" x14ac:dyDescent="0.2">
      <c r="B7" s="1"/>
      <c r="C7" s="722">
        <v>43101</v>
      </c>
      <c r="D7" s="722"/>
      <c r="E7" s="722"/>
      <c r="F7" s="722"/>
      <c r="G7" s="722"/>
      <c r="H7" s="722"/>
      <c r="I7" s="722"/>
      <c r="J7" s="722"/>
      <c r="K7" s="722"/>
      <c r="L7" s="722"/>
      <c r="M7" s="722"/>
      <c r="N7" s="722"/>
      <c r="O7" s="722"/>
      <c r="P7" s="722"/>
      <c r="Q7" s="722"/>
      <c r="R7" s="1"/>
      <c r="S7" s="1"/>
      <c r="T7" s="1"/>
      <c r="U7" s="1"/>
      <c r="V7" s="1"/>
      <c r="W7" s="1"/>
      <c r="X7" s="1"/>
      <c r="Y7" s="1"/>
    </row>
    <row r="8" spans="2:25" ht="19.5" customHeight="1" x14ac:dyDescent="0.2">
      <c r="B8" s="1"/>
      <c r="C8" s="745"/>
      <c r="D8" s="745"/>
      <c r="E8" s="745"/>
      <c r="F8" s="745"/>
      <c r="G8" s="745"/>
      <c r="H8" s="745"/>
      <c r="I8" s="745"/>
      <c r="J8" s="745"/>
      <c r="K8" s="745"/>
      <c r="L8" s="745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2:25" ht="19.5" customHeight="1" x14ac:dyDescent="0.2">
      <c r="B9" s="1"/>
      <c r="C9" s="745"/>
      <c r="D9" s="745"/>
      <c r="E9" s="745"/>
      <c r="F9" s="745"/>
      <c r="G9" s="745"/>
      <c r="H9" s="745"/>
      <c r="I9" s="745"/>
      <c r="J9" s="745"/>
      <c r="K9" s="745"/>
      <c r="L9" s="745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2:25" ht="19.5" customHeight="1" x14ac:dyDescent="0.2">
      <c r="B10" s="1"/>
      <c r="C10" s="745"/>
      <c r="D10" s="745"/>
      <c r="E10" s="745"/>
      <c r="F10" s="745"/>
      <c r="G10" s="745"/>
      <c r="H10" s="745"/>
      <c r="I10" s="745"/>
      <c r="J10" s="745"/>
      <c r="K10" s="745"/>
      <c r="L10" s="745"/>
      <c r="M10" s="18"/>
      <c r="N10" s="18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2:25" ht="19.5" customHeight="1" x14ac:dyDescent="0.2">
      <c r="B11" s="1"/>
      <c r="C11" s="745"/>
      <c r="D11" s="745"/>
      <c r="E11" s="745"/>
      <c r="F11" s="745"/>
      <c r="G11" s="745"/>
      <c r="H11" s="745"/>
      <c r="I11" s="745"/>
      <c r="J11" s="745"/>
      <c r="K11" s="745"/>
      <c r="L11" s="745"/>
      <c r="M11" s="18"/>
      <c r="N11" s="18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2:25" ht="19.5" customHeight="1" x14ac:dyDescent="0.2">
      <c r="B12" s="1"/>
      <c r="C12" s="745"/>
      <c r="D12" s="745"/>
      <c r="E12" s="745"/>
      <c r="F12" s="745"/>
      <c r="G12" s="745"/>
      <c r="H12" s="745"/>
      <c r="I12" s="745"/>
      <c r="J12" s="745"/>
      <c r="K12" s="745"/>
      <c r="L12" s="745"/>
      <c r="M12" s="18"/>
      <c r="N12" s="18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2:25" ht="19.5" customHeight="1" thickBot="1" x14ac:dyDescent="0.25">
      <c r="B13" s="1"/>
      <c r="C13" s="745"/>
      <c r="D13" s="745"/>
      <c r="E13" s="745"/>
      <c r="F13" s="745"/>
      <c r="G13" s="745"/>
      <c r="H13" s="745"/>
      <c r="I13" s="745"/>
      <c r="J13" s="745"/>
      <c r="K13" s="745"/>
      <c r="L13" s="745"/>
      <c r="M13" s="18"/>
      <c r="N13" s="18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2:25" ht="30.75" thickBot="1" x14ac:dyDescent="0.3">
      <c r="B14" s="1"/>
      <c r="C14" s="2305" t="s">
        <v>6</v>
      </c>
      <c r="D14" s="2306"/>
      <c r="E14" s="2307"/>
      <c r="F14" s="786" t="s">
        <v>227</v>
      </c>
      <c r="G14" s="786" t="s">
        <v>230</v>
      </c>
      <c r="H14" s="786" t="s">
        <v>228</v>
      </c>
      <c r="I14" s="786" t="s">
        <v>229</v>
      </c>
      <c r="J14" s="787" t="s">
        <v>126</v>
      </c>
      <c r="K14" s="787" t="s">
        <v>133</v>
      </c>
      <c r="L14" s="786" t="s">
        <v>127</v>
      </c>
      <c r="M14" s="786" t="s">
        <v>128</v>
      </c>
      <c r="N14" s="18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2:25" ht="15" thickBot="1" x14ac:dyDescent="0.25">
      <c r="B15" s="1"/>
      <c r="C15" s="2308" t="s">
        <v>131</v>
      </c>
      <c r="D15" s="2308"/>
      <c r="E15" s="2308"/>
      <c r="F15" s="788"/>
      <c r="G15" s="789" t="s">
        <v>165</v>
      </c>
      <c r="H15" s="790"/>
      <c r="I15" s="791">
        <f>IF(E92=0,F92,E92)</f>
        <v>4659430.7199999979</v>
      </c>
      <c r="J15" s="792">
        <f>I15*0.16</f>
        <v>745508.9151999997</v>
      </c>
      <c r="K15" s="792">
        <f>I15+J15</f>
        <v>5404939.6351999976</v>
      </c>
      <c r="L15" s="793" t="s">
        <v>244</v>
      </c>
      <c r="M15" s="794">
        <v>19.5608</v>
      </c>
      <c r="N15" s="464"/>
      <c r="O15" s="464"/>
      <c r="P15" s="464"/>
      <c r="Q15" s="1"/>
      <c r="R15" s="1"/>
      <c r="S15" s="1"/>
      <c r="T15" s="1"/>
      <c r="U15" s="1"/>
      <c r="V15" s="1"/>
      <c r="W15" s="1"/>
      <c r="X15" s="1"/>
      <c r="Y15" s="1"/>
    </row>
    <row r="16" spans="2:25" ht="14.25" customHeight="1" thickBot="1" x14ac:dyDescent="0.25">
      <c r="B16" s="1"/>
      <c r="C16" s="2308" t="s">
        <v>132</v>
      </c>
      <c r="D16" s="2308"/>
      <c r="E16" s="2308"/>
      <c r="F16" s="788"/>
      <c r="G16" s="789" t="s">
        <v>165</v>
      </c>
      <c r="H16" s="790"/>
      <c r="I16" s="791">
        <f>IF(E93=0,F93,E93)</f>
        <v>2220.4899999999998</v>
      </c>
      <c r="J16" s="792">
        <f>I16*0.16</f>
        <v>355.27839999999998</v>
      </c>
      <c r="K16" s="792">
        <f>I16+J16</f>
        <v>2575.7683999999999</v>
      </c>
      <c r="L16" s="793" t="s">
        <v>244</v>
      </c>
      <c r="M16" s="794">
        <v>19.5608</v>
      </c>
      <c r="N16" s="464"/>
      <c r="O16" s="464"/>
      <c r="P16" s="464"/>
      <c r="Q16" s="1"/>
      <c r="R16" s="1"/>
      <c r="S16" s="1"/>
      <c r="T16" s="1"/>
      <c r="U16" s="1"/>
      <c r="V16" s="1"/>
      <c r="W16" s="1"/>
      <c r="X16" s="1"/>
      <c r="Y16" s="1"/>
    </row>
    <row r="17" spans="2:32" x14ac:dyDescent="0.2">
      <c r="B17" s="1"/>
      <c r="C17" s="745"/>
      <c r="D17" s="745"/>
      <c r="E17" s="745"/>
      <c r="F17" s="745"/>
      <c r="G17" s="745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2:32" x14ac:dyDescent="0.2">
      <c r="B18" s="1"/>
      <c r="C18" s="745"/>
      <c r="D18" s="745"/>
      <c r="E18" s="745"/>
      <c r="F18" s="745"/>
      <c r="G18" s="745"/>
      <c r="H18" s="1"/>
      <c r="I18" s="1"/>
      <c r="J18" s="1"/>
      <c r="K18" s="1"/>
      <c r="L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2:32" ht="15" thickBot="1" x14ac:dyDescent="0.25">
      <c r="B19" s="1"/>
      <c r="C19" s="419" t="s">
        <v>137</v>
      </c>
      <c r="D19" s="745" t="s">
        <v>138</v>
      </c>
      <c r="E19" s="745"/>
      <c r="F19" s="745" t="s">
        <v>139</v>
      </c>
      <c r="G19" s="745" t="s">
        <v>3</v>
      </c>
      <c r="H19" s="745" t="s">
        <v>143</v>
      </c>
      <c r="I19" s="745" t="s">
        <v>142</v>
      </c>
      <c r="J19" s="745" t="s">
        <v>141</v>
      </c>
      <c r="K19" s="745" t="s">
        <v>140</v>
      </c>
      <c r="L19" s="745" t="s">
        <v>144</v>
      </c>
      <c r="M19" s="745" t="s">
        <v>146</v>
      </c>
      <c r="N19" s="745"/>
      <c r="O19" s="745"/>
      <c r="P19" s="745"/>
      <c r="Q19" s="1"/>
      <c r="R19" s="1"/>
      <c r="S19" s="1"/>
      <c r="T19" s="1"/>
      <c r="U19" s="1"/>
      <c r="V19" s="1"/>
      <c r="W19" s="1"/>
      <c r="X19" s="1"/>
      <c r="Y19" s="1"/>
    </row>
    <row r="20" spans="2:32" ht="43.5" customHeight="1" thickBot="1" x14ac:dyDescent="0.25">
      <c r="B20" s="1"/>
      <c r="C20" s="710" t="s">
        <v>134</v>
      </c>
      <c r="D20" s="710" t="s">
        <v>135</v>
      </c>
      <c r="E20" s="710"/>
      <c r="F20" s="710" t="s">
        <v>136</v>
      </c>
      <c r="G20" s="710" t="s">
        <v>153</v>
      </c>
      <c r="H20" s="710" t="s">
        <v>129</v>
      </c>
      <c r="I20" s="710" t="s">
        <v>130</v>
      </c>
      <c r="J20" s="710" t="s">
        <v>245</v>
      </c>
      <c r="K20" s="710" t="s">
        <v>246</v>
      </c>
      <c r="L20" s="710" t="s">
        <v>247</v>
      </c>
      <c r="M20" s="710" t="s">
        <v>145</v>
      </c>
      <c r="N20" s="745"/>
      <c r="O20" s="745"/>
      <c r="P20" s="745"/>
      <c r="Q20" s="745"/>
      <c r="R20" s="745"/>
      <c r="S20" s="745"/>
      <c r="T20" s="745"/>
      <c r="U20" s="1"/>
      <c r="V20" s="1"/>
      <c r="W20" s="1"/>
      <c r="X20" s="1"/>
      <c r="Y20" s="1"/>
    </row>
    <row r="21" spans="2:32" ht="15" thickBot="1" x14ac:dyDescent="0.25">
      <c r="B21" s="1"/>
      <c r="C21" s="713">
        <v>850</v>
      </c>
      <c r="D21" s="713">
        <v>850</v>
      </c>
      <c r="E21" s="713"/>
      <c r="F21" s="734">
        <v>31482640</v>
      </c>
      <c r="G21" s="723">
        <v>30</v>
      </c>
      <c r="H21" s="1719">
        <f>VLOOKUP(C56,Tarifas!D4:H303,3)</f>
        <v>0.14799999999999999</v>
      </c>
      <c r="I21" s="2163">
        <f>VLOOKUP(C56,Tarifas!D4:H303,5)</f>
        <v>1E-3</v>
      </c>
      <c r="J21" s="1719">
        <v>198.9</v>
      </c>
      <c r="K21" s="1719">
        <v>201.4</v>
      </c>
      <c r="L21" s="723"/>
      <c r="M21" s="731">
        <f>E89</f>
        <v>2192927.7119999998</v>
      </c>
      <c r="N21" s="430"/>
      <c r="O21" s="430"/>
      <c r="P21" s="745"/>
      <c r="Q21" s="745"/>
      <c r="R21" s="745"/>
      <c r="S21" s="745"/>
      <c r="T21" s="745"/>
      <c r="U21" s="1"/>
      <c r="V21" s="1"/>
      <c r="W21" s="1"/>
      <c r="X21" s="1"/>
      <c r="Y21" s="1"/>
    </row>
    <row r="22" spans="2:32" x14ac:dyDescent="0.2">
      <c r="B22" s="1"/>
      <c r="C22" s="745"/>
      <c r="D22" s="745"/>
      <c r="E22" s="745"/>
      <c r="F22" s="745"/>
      <c r="G22" s="745"/>
      <c r="H22" s="745"/>
      <c r="I22" s="745"/>
      <c r="J22" s="738" t="s">
        <v>62</v>
      </c>
      <c r="K22" s="745"/>
      <c r="L22" s="745"/>
      <c r="M22" s="745"/>
      <c r="N22" s="745"/>
      <c r="O22" s="745"/>
      <c r="P22" s="745"/>
      <c r="Q22" s="745"/>
      <c r="R22" s="745"/>
      <c r="S22" s="1"/>
      <c r="T22" s="1"/>
      <c r="U22" s="1"/>
      <c r="V22" s="1"/>
      <c r="W22" s="1"/>
      <c r="X22" s="1"/>
      <c r="Y22" s="1"/>
    </row>
    <row r="23" spans="2:32" x14ac:dyDescent="0.2">
      <c r="B23" s="1"/>
      <c r="C23" s="745"/>
      <c r="D23" s="745"/>
      <c r="E23" s="745"/>
      <c r="F23" s="745"/>
      <c r="G23" s="745"/>
      <c r="H23" s="745"/>
      <c r="I23" s="745"/>
      <c r="J23" s="745"/>
      <c r="K23" s="745"/>
      <c r="L23" s="745"/>
      <c r="M23" s="745"/>
      <c r="N23" s="745"/>
      <c r="O23" s="745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2:32" x14ac:dyDescent="0.2">
      <c r="B24" s="1"/>
      <c r="C24" s="745"/>
      <c r="D24" s="745"/>
      <c r="E24" s="745"/>
      <c r="F24" s="745"/>
      <c r="G24" s="745"/>
      <c r="H24" s="745"/>
      <c r="I24" s="745"/>
      <c r="J24" s="745"/>
      <c r="K24" s="745"/>
      <c r="L24" s="745"/>
      <c r="M24" s="745"/>
      <c r="N24" s="745"/>
      <c r="O24" s="1"/>
      <c r="P24" s="1"/>
      <c r="Q24" s="739" t="s">
        <v>235</v>
      </c>
      <c r="R24" s="1"/>
      <c r="S24" s="1"/>
      <c r="T24" s="1"/>
      <c r="U24" s="1"/>
      <c r="V24" s="1"/>
      <c r="W24" s="1"/>
      <c r="X24" s="718"/>
      <c r="Y24" s="718"/>
      <c r="AE24" s="2"/>
      <c r="AF24" s="2"/>
    </row>
    <row r="25" spans="2:32" ht="15" thickBot="1" x14ac:dyDescent="0.25">
      <c r="B25" s="1"/>
      <c r="C25" s="334" t="s">
        <v>86</v>
      </c>
      <c r="D25" s="334"/>
      <c r="E25" s="334"/>
      <c r="F25" s="334"/>
      <c r="G25" s="334"/>
      <c r="H25" s="746"/>
      <c r="I25" s="334"/>
      <c r="J25" s="334"/>
      <c r="K25" s="334"/>
      <c r="L25" s="746"/>
      <c r="M25" s="336"/>
      <c r="N25" s="353"/>
      <c r="Q25" s="1"/>
      <c r="R25" s="1"/>
      <c r="S25" s="1"/>
      <c r="T25" s="1"/>
      <c r="U25" s="1"/>
      <c r="V25" s="1"/>
      <c r="W25" s="1"/>
      <c r="X25" s="718"/>
      <c r="Y25" s="718"/>
      <c r="Z25" s="717">
        <v>0</v>
      </c>
      <c r="AE25" s="2"/>
      <c r="AF25" s="2"/>
    </row>
    <row r="26" spans="2:32" ht="30.75" thickBot="1" x14ac:dyDescent="0.3">
      <c r="B26" s="1"/>
      <c r="C26" s="710" t="s">
        <v>87</v>
      </c>
      <c r="D26" s="711" t="s">
        <v>88</v>
      </c>
      <c r="E26" s="711" t="s">
        <v>237</v>
      </c>
      <c r="F26" s="712" t="s">
        <v>160</v>
      </c>
      <c r="G26" s="711" t="s">
        <v>236</v>
      </c>
      <c r="H26" s="712" t="s">
        <v>232</v>
      </c>
      <c r="I26" s="712" t="s">
        <v>233</v>
      </c>
      <c r="J26" s="712" t="s">
        <v>20</v>
      </c>
      <c r="K26" s="710" t="s">
        <v>91</v>
      </c>
      <c r="L26" s="711" t="s">
        <v>93</v>
      </c>
      <c r="M26" s="711" t="s">
        <v>94</v>
      </c>
      <c r="N26" s="712" t="s">
        <v>95</v>
      </c>
      <c r="P26" s="711" t="s">
        <v>237</v>
      </c>
      <c r="Q26" s="712" t="s">
        <v>160</v>
      </c>
      <c r="R26" s="711" t="s">
        <v>236</v>
      </c>
      <c r="S26" s="712" t="s">
        <v>232</v>
      </c>
      <c r="T26" s="712" t="s">
        <v>233</v>
      </c>
      <c r="U26" s="712" t="s">
        <v>20</v>
      </c>
      <c r="V26" s="710" t="s">
        <v>91</v>
      </c>
      <c r="W26" s="711" t="s">
        <v>93</v>
      </c>
      <c r="X26" s="711" t="s">
        <v>94</v>
      </c>
      <c r="Y26" s="711" t="s">
        <v>95</v>
      </c>
      <c r="Z26" s="719"/>
      <c r="AE26" s="2"/>
      <c r="AF26" s="2"/>
    </row>
    <row r="27" spans="2:32" ht="20.100000000000001" customHeight="1" thickBot="1" x14ac:dyDescent="0.25">
      <c r="B27" s="1"/>
      <c r="C27" s="713" t="s">
        <v>101</v>
      </c>
      <c r="D27" s="713" t="s">
        <v>101</v>
      </c>
      <c r="E27" s="713"/>
      <c r="F27" s="713" t="s">
        <v>101</v>
      </c>
      <c r="G27" s="713" t="s">
        <v>101</v>
      </c>
      <c r="H27" s="713"/>
      <c r="I27" s="713"/>
      <c r="J27" s="737" t="s">
        <v>97</v>
      </c>
      <c r="K27" s="734">
        <v>0</v>
      </c>
      <c r="L27" s="735">
        <v>0</v>
      </c>
      <c r="M27" s="1703">
        <f>ROUND(L27*H$15,2)</f>
        <v>0</v>
      </c>
      <c r="N27" s="1703">
        <f>M27*$M$15</f>
        <v>0</v>
      </c>
      <c r="P27" s="713"/>
      <c r="Q27" s="713" t="s">
        <v>101</v>
      </c>
      <c r="R27" s="713" t="s">
        <v>101</v>
      </c>
      <c r="S27" s="713"/>
      <c r="T27" s="713"/>
      <c r="U27" s="737" t="s">
        <v>97</v>
      </c>
      <c r="V27" s="734">
        <v>0</v>
      </c>
      <c r="W27" s="735">
        <v>0</v>
      </c>
      <c r="X27" s="1703">
        <f>ROUND(W27*V$15,2)</f>
        <v>0</v>
      </c>
      <c r="Y27" s="1703">
        <f>IF(Z25=0,N27,(M27*Z25))</f>
        <v>0</v>
      </c>
      <c r="Z27" s="336"/>
      <c r="AE27" s="2"/>
      <c r="AF27" s="2"/>
    </row>
    <row r="28" spans="2:32" ht="20.100000000000001" customHeight="1" thickBot="1" x14ac:dyDescent="0.25">
      <c r="B28" s="1"/>
      <c r="C28" s="713" t="s">
        <v>101</v>
      </c>
      <c r="D28" s="713" t="s">
        <v>101</v>
      </c>
      <c r="E28" s="713"/>
      <c r="F28" s="713" t="s">
        <v>101</v>
      </c>
      <c r="G28" s="713" t="s">
        <v>101</v>
      </c>
      <c r="H28" s="713"/>
      <c r="I28" s="713"/>
      <c r="J28" s="737" t="s">
        <v>97</v>
      </c>
      <c r="K28" s="734">
        <v>0</v>
      </c>
      <c r="L28" s="735">
        <v>0</v>
      </c>
      <c r="M28" s="1703">
        <f>ROUND(L28*H$15,2)</f>
        <v>0</v>
      </c>
      <c r="N28" s="1703">
        <f>M28*$M$15</f>
        <v>0</v>
      </c>
      <c r="P28" s="713"/>
      <c r="Q28" s="713" t="s">
        <v>101</v>
      </c>
      <c r="R28" s="713" t="s">
        <v>101</v>
      </c>
      <c r="S28" s="713"/>
      <c r="T28" s="713"/>
      <c r="U28" s="737" t="s">
        <v>97</v>
      </c>
      <c r="V28" s="734">
        <v>0</v>
      </c>
      <c r="W28" s="735">
        <v>0</v>
      </c>
      <c r="X28" s="1703">
        <f>ROUND(W28*V$15,2)</f>
        <v>0</v>
      </c>
      <c r="Y28" s="1703">
        <f>IF(Z26=0,N28,(M28*Z26))</f>
        <v>0</v>
      </c>
      <c r="Z28" s="336"/>
      <c r="AE28" s="2"/>
      <c r="AF28" s="2"/>
    </row>
    <row r="29" spans="2:32" ht="20.100000000000001" customHeight="1" thickBot="1" x14ac:dyDescent="0.25">
      <c r="B29" s="1"/>
      <c r="C29" s="713" t="s">
        <v>101</v>
      </c>
      <c r="D29" s="713" t="s">
        <v>101</v>
      </c>
      <c r="E29" s="713"/>
      <c r="F29" s="713" t="s">
        <v>101</v>
      </c>
      <c r="G29" s="713" t="s">
        <v>101</v>
      </c>
      <c r="H29" s="713"/>
      <c r="I29" s="713"/>
      <c r="J29" s="737" t="s">
        <v>100</v>
      </c>
      <c r="K29" s="734">
        <v>0</v>
      </c>
      <c r="L29" s="735">
        <v>0</v>
      </c>
      <c r="M29" s="1703">
        <f>ROUND(L29*H$15,2)</f>
        <v>0</v>
      </c>
      <c r="N29" s="1703">
        <f>M29*$M$15</f>
        <v>0</v>
      </c>
      <c r="P29" s="713"/>
      <c r="Q29" s="713" t="s">
        <v>101</v>
      </c>
      <c r="R29" s="713" t="s">
        <v>101</v>
      </c>
      <c r="S29" s="713"/>
      <c r="T29" s="713"/>
      <c r="U29" s="737" t="s">
        <v>100</v>
      </c>
      <c r="V29" s="734">
        <v>0</v>
      </c>
      <c r="W29" s="735">
        <v>0</v>
      </c>
      <c r="X29" s="1703">
        <f>ROUND(W29*V$15,2)</f>
        <v>0</v>
      </c>
      <c r="Y29" s="1703">
        <f>IF(Z27=0,N29,(M29*Z27))</f>
        <v>0</v>
      </c>
      <c r="Z29" s="336"/>
      <c r="AE29" s="2"/>
      <c r="AF29" s="2"/>
    </row>
    <row r="30" spans="2:32" ht="20.100000000000001" customHeight="1" thickBot="1" x14ac:dyDescent="0.25">
      <c r="B30" s="1"/>
      <c r="C30" s="713">
        <v>800832451</v>
      </c>
      <c r="D30" s="723">
        <v>255</v>
      </c>
      <c r="E30" s="723" t="s">
        <v>239</v>
      </c>
      <c r="F30" s="713" t="s">
        <v>238</v>
      </c>
      <c r="G30" s="713">
        <v>100887241</v>
      </c>
      <c r="H30" s="713">
        <v>7249</v>
      </c>
      <c r="I30" s="713">
        <v>468079</v>
      </c>
      <c r="J30" s="737" t="s">
        <v>23</v>
      </c>
      <c r="K30" s="734">
        <v>80000</v>
      </c>
      <c r="L30" s="735">
        <v>0.09</v>
      </c>
      <c r="M30" s="1703">
        <f>ROUND(L30*I$15,2)</f>
        <v>419348.76</v>
      </c>
      <c r="N30" s="1703">
        <f>M30*M15</f>
        <v>8202797.2246080004</v>
      </c>
      <c r="P30" s="723"/>
      <c r="Q30" s="713" t="s">
        <v>221</v>
      </c>
      <c r="R30" s="713" t="s">
        <v>222</v>
      </c>
      <c r="S30" s="713"/>
      <c r="T30" s="713"/>
      <c r="U30" s="737" t="s">
        <v>23</v>
      </c>
      <c r="V30" s="734">
        <v>80000</v>
      </c>
      <c r="W30" s="735">
        <v>0.09</v>
      </c>
      <c r="X30" s="1703">
        <f>ROUND(W30*W$15,2)</f>
        <v>0</v>
      </c>
      <c r="Y30" s="1703">
        <f>IF(Z28=0,N30,(M30*Z28))</f>
        <v>8202797.2246080004</v>
      </c>
      <c r="Z30" s="336"/>
      <c r="AE30" s="2"/>
      <c r="AF30" s="2"/>
    </row>
    <row r="31" spans="2:32" ht="20.100000000000001" customHeight="1" thickBot="1" x14ac:dyDescent="0.25">
      <c r="B31" s="1"/>
      <c r="C31" s="713">
        <v>800832451</v>
      </c>
      <c r="D31" s="723">
        <v>8</v>
      </c>
      <c r="E31" s="723" t="s">
        <v>242</v>
      </c>
      <c r="F31" s="713" t="s">
        <v>221</v>
      </c>
      <c r="G31" s="713" t="s">
        <v>222</v>
      </c>
      <c r="H31" s="713">
        <v>2233</v>
      </c>
      <c r="I31" s="713">
        <v>453882</v>
      </c>
      <c r="J31" s="737" t="s">
        <v>159</v>
      </c>
      <c r="K31" s="734">
        <v>770000</v>
      </c>
      <c r="L31" s="735">
        <v>0.91</v>
      </c>
      <c r="M31" s="1703">
        <f>ROUND(L31*I$15,2)</f>
        <v>4240081.96</v>
      </c>
      <c r="N31" s="1703">
        <f>M31*M15</f>
        <v>82939395.203168005</v>
      </c>
      <c r="P31" s="723"/>
      <c r="Q31" s="713" t="s">
        <v>221</v>
      </c>
      <c r="R31" s="713" t="s">
        <v>222</v>
      </c>
      <c r="S31" s="713"/>
      <c r="T31" s="713"/>
      <c r="U31" s="737" t="s">
        <v>159</v>
      </c>
      <c r="V31" s="734">
        <v>770000</v>
      </c>
      <c r="W31" s="735">
        <v>0.91</v>
      </c>
      <c r="X31" s="1703">
        <f>ROUND(W31*W$15,2)</f>
        <v>0</v>
      </c>
      <c r="Y31" s="1703">
        <f>IF(Z29=0,N31,(M31*Z29))</f>
        <v>82939395.203168005</v>
      </c>
      <c r="Z31" s="336"/>
      <c r="AE31" s="2"/>
      <c r="AF31" s="2"/>
    </row>
    <row r="32" spans="2:32" ht="20.100000000000001" customHeight="1" x14ac:dyDescent="0.2">
      <c r="B32" s="1"/>
      <c r="C32" s="406">
        <v>3000623</v>
      </c>
      <c r="D32" s="728" t="s">
        <v>102</v>
      </c>
      <c r="E32" s="728"/>
      <c r="F32" s="728"/>
      <c r="G32" s="728"/>
      <c r="H32" s="728"/>
      <c r="I32" s="729"/>
      <c r="J32" s="729"/>
      <c r="K32" s="355">
        <f>SUM(K27:K31)</f>
        <v>850000</v>
      </c>
      <c r="L32" s="730">
        <f>SUM(L27:L31)</f>
        <v>1</v>
      </c>
      <c r="M32" s="357">
        <f>SUM(M27:M31)</f>
        <v>4659430.72</v>
      </c>
      <c r="N32" s="357">
        <f>SUM(N27:N31)</f>
        <v>91142192.427776009</v>
      </c>
      <c r="P32" s="728"/>
      <c r="Q32" s="728"/>
      <c r="R32" s="728"/>
      <c r="S32" s="728"/>
      <c r="T32" s="729"/>
      <c r="U32" s="729"/>
      <c r="V32" s="355">
        <f>SUM(V27:V31)</f>
        <v>850000</v>
      </c>
      <c r="W32" s="730">
        <f>SUM(W27:W31)</f>
        <v>1</v>
      </c>
      <c r="X32" s="357">
        <f>SUM(X27:X31)</f>
        <v>0</v>
      </c>
      <c r="Y32" s="1714">
        <f>SUM(Y27:Y31)</f>
        <v>91142192.427776009</v>
      </c>
      <c r="Z32" s="1"/>
      <c r="AE32" s="2"/>
      <c r="AF32" s="2"/>
    </row>
    <row r="33" spans="2:32" ht="20.100000000000001" customHeight="1" x14ac:dyDescent="0.2">
      <c r="B33" s="1"/>
      <c r="C33" s="336"/>
      <c r="D33" s="336"/>
      <c r="E33" s="336"/>
      <c r="F33" s="336"/>
      <c r="G33" s="358"/>
      <c r="H33" s="358"/>
      <c r="I33" s="336"/>
      <c r="J33" s="336"/>
      <c r="K33" s="336"/>
      <c r="L33" s="336"/>
      <c r="M33" s="666"/>
      <c r="N33" s="464"/>
      <c r="P33" s="336"/>
      <c r="Q33" s="336"/>
      <c r="R33" s="358"/>
      <c r="S33" s="358"/>
      <c r="T33" s="336"/>
      <c r="U33" s="336"/>
      <c r="V33" s="336"/>
      <c r="W33" s="336"/>
      <c r="X33" s="666"/>
      <c r="Y33" s="1707">
        <v>0</v>
      </c>
      <c r="Z33" s="1"/>
      <c r="AE33" s="2"/>
      <c r="AF33" s="2"/>
    </row>
    <row r="34" spans="2:32" ht="20.100000000000001" customHeight="1" x14ac:dyDescent="0.2">
      <c r="B34" s="1"/>
      <c r="C34" s="336"/>
      <c r="D34" s="336"/>
      <c r="E34" s="336"/>
      <c r="F34" s="336"/>
      <c r="G34" s="358"/>
      <c r="H34" s="358"/>
      <c r="I34" s="336"/>
      <c r="J34" s="336"/>
      <c r="K34" s="336"/>
      <c r="L34" s="336"/>
      <c r="M34" s="666"/>
      <c r="N34" s="464"/>
      <c r="P34" s="336"/>
      <c r="Q34" s="336"/>
      <c r="R34" s="358"/>
      <c r="S34" s="358"/>
      <c r="T34" s="336"/>
      <c r="U34" s="336"/>
      <c r="V34" s="336"/>
      <c r="W34" s="336"/>
      <c r="X34" s="666"/>
      <c r="Y34" s="1707"/>
      <c r="Z34" s="1"/>
      <c r="AE34" s="2"/>
      <c r="AF34" s="2"/>
    </row>
    <row r="35" spans="2:32" ht="17.100000000000001" customHeight="1" thickBot="1" x14ac:dyDescent="0.25">
      <c r="B35" s="1"/>
      <c r="C35" s="334" t="s">
        <v>103</v>
      </c>
      <c r="D35" s="334"/>
      <c r="E35" s="334"/>
      <c r="F35" s="334"/>
      <c r="G35" s="334"/>
      <c r="H35" s="746"/>
      <c r="I35" s="334"/>
      <c r="J35" s="334"/>
      <c r="K35" s="334"/>
      <c r="L35" s="336"/>
      <c r="M35" s="665"/>
      <c r="N35" s="1716"/>
      <c r="P35" s="334"/>
      <c r="Q35" s="334"/>
      <c r="R35" s="334"/>
      <c r="S35" s="752"/>
      <c r="T35" s="334"/>
      <c r="U35" s="334"/>
      <c r="V35" s="334"/>
      <c r="W35" s="336"/>
      <c r="X35" s="665"/>
      <c r="Y35" s="1710"/>
      <c r="Z35" s="717">
        <v>0</v>
      </c>
      <c r="AE35" s="2"/>
      <c r="AF35" s="2"/>
    </row>
    <row r="36" spans="2:32" ht="36" customHeight="1" thickBot="1" x14ac:dyDescent="0.3">
      <c r="B36" s="1"/>
      <c r="C36" s="710" t="s">
        <v>87</v>
      </c>
      <c r="D36" s="711" t="s">
        <v>88</v>
      </c>
      <c r="E36" s="711" t="s">
        <v>237</v>
      </c>
      <c r="F36" s="712" t="s">
        <v>160</v>
      </c>
      <c r="G36" s="711" t="s">
        <v>90</v>
      </c>
      <c r="H36" s="712" t="s">
        <v>232</v>
      </c>
      <c r="I36" s="712" t="s">
        <v>233</v>
      </c>
      <c r="J36" s="712" t="s">
        <v>20</v>
      </c>
      <c r="K36" s="710" t="s">
        <v>234</v>
      </c>
      <c r="L36" s="711" t="s">
        <v>93</v>
      </c>
      <c r="M36" s="1715" t="s">
        <v>94</v>
      </c>
      <c r="N36" s="1717" t="s">
        <v>95</v>
      </c>
      <c r="P36" s="711" t="s">
        <v>237</v>
      </c>
      <c r="Q36" s="712" t="s">
        <v>160</v>
      </c>
      <c r="R36" s="711" t="s">
        <v>90</v>
      </c>
      <c r="S36" s="712" t="s">
        <v>232</v>
      </c>
      <c r="T36" s="712" t="s">
        <v>233</v>
      </c>
      <c r="U36" s="712" t="s">
        <v>20</v>
      </c>
      <c r="V36" s="710" t="s">
        <v>234</v>
      </c>
      <c r="W36" s="711" t="s">
        <v>93</v>
      </c>
      <c r="X36" s="1715" t="s">
        <v>94</v>
      </c>
      <c r="Y36" s="1715" t="s">
        <v>95</v>
      </c>
      <c r="Z36" s="719"/>
      <c r="AE36" s="2"/>
      <c r="AF36" s="2"/>
    </row>
    <row r="37" spans="2:32" ht="20.100000000000001" customHeight="1" thickBot="1" x14ac:dyDescent="0.25">
      <c r="B37" s="1"/>
      <c r="C37" s="713"/>
      <c r="D37" s="713"/>
      <c r="E37" s="713"/>
      <c r="F37" s="713"/>
      <c r="G37" s="713"/>
      <c r="H37" s="713"/>
      <c r="I37" s="713"/>
      <c r="J37" s="737" t="s">
        <v>97</v>
      </c>
      <c r="K37" s="734">
        <f>M89</f>
        <v>0</v>
      </c>
      <c r="L37" s="735">
        <f>IFERROR(K37/K$41,0)</f>
        <v>0</v>
      </c>
      <c r="M37" s="1703">
        <f>IFERROR(ROUND(K37*$I$16,2),0)</f>
        <v>0</v>
      </c>
      <c r="N37" s="1703">
        <f>M37*M16</f>
        <v>0</v>
      </c>
      <c r="P37" s="713"/>
      <c r="Q37" s="713"/>
      <c r="R37" s="713">
        <v>20823</v>
      </c>
      <c r="S37" s="713"/>
      <c r="T37" s="713"/>
      <c r="U37" s="737" t="s">
        <v>97</v>
      </c>
      <c r="V37" s="734">
        <v>0</v>
      </c>
      <c r="W37" s="735">
        <f>IFERROR(V37/V$41,0)</f>
        <v>0</v>
      </c>
      <c r="X37" s="1703">
        <f>IFERROR(ROUND(V37*$I$16,2),0)</f>
        <v>0</v>
      </c>
      <c r="Y37" s="1703">
        <f>IF(Z35=0,N37,(M37*Z35))</f>
        <v>0</v>
      </c>
      <c r="Z37" s="360"/>
      <c r="AE37" s="2"/>
      <c r="AF37" s="2"/>
    </row>
    <row r="38" spans="2:32" ht="20.100000000000001" customHeight="1" thickBot="1" x14ac:dyDescent="0.25">
      <c r="B38" s="1"/>
      <c r="C38" s="713"/>
      <c r="D38" s="713"/>
      <c r="E38" s="713"/>
      <c r="F38" s="713"/>
      <c r="G38" s="713"/>
      <c r="H38" s="713"/>
      <c r="I38" s="713"/>
      <c r="J38" s="737" t="s">
        <v>97</v>
      </c>
      <c r="K38" s="734">
        <f>N89</f>
        <v>0</v>
      </c>
      <c r="L38" s="735">
        <f>IFERROR(K38/K$41,0)</f>
        <v>0</v>
      </c>
      <c r="M38" s="1703">
        <f>ROUND(K38*$I$16,2)</f>
        <v>0</v>
      </c>
      <c r="N38" s="1703">
        <f>M38*M16</f>
        <v>0</v>
      </c>
      <c r="P38" s="713"/>
      <c r="Q38" s="713"/>
      <c r="R38" s="713">
        <v>20824</v>
      </c>
      <c r="S38" s="713"/>
      <c r="T38" s="713"/>
      <c r="U38" s="737" t="s">
        <v>97</v>
      </c>
      <c r="V38" s="734">
        <v>0</v>
      </c>
      <c r="W38" s="735">
        <f>IFERROR(V38/V$41,0)</f>
        <v>0</v>
      </c>
      <c r="X38" s="1703">
        <f>ROUND(V38*$I$16,2)</f>
        <v>0</v>
      </c>
      <c r="Y38" s="1703">
        <f>IF(Z36=0,N38,(M38*Z36))</f>
        <v>0</v>
      </c>
      <c r="Z38" s="360"/>
      <c r="AE38" s="2"/>
      <c r="AF38" s="2"/>
    </row>
    <row r="39" spans="2:32" ht="20.100000000000001" customHeight="1" thickBot="1" x14ac:dyDescent="0.25">
      <c r="B39" s="1"/>
      <c r="C39" s="713"/>
      <c r="D39" s="713"/>
      <c r="E39" s="713"/>
      <c r="F39" s="713"/>
      <c r="G39" s="713"/>
      <c r="H39" s="713"/>
      <c r="I39" s="713"/>
      <c r="J39" s="737" t="s">
        <v>100</v>
      </c>
      <c r="K39" s="734">
        <f>O89</f>
        <v>0</v>
      </c>
      <c r="L39" s="735">
        <f>IFERROR(K39/K$41,0)</f>
        <v>0</v>
      </c>
      <c r="M39" s="1703">
        <f>ROUND(K39*$I$16,2)</f>
        <v>0</v>
      </c>
      <c r="N39" s="1703">
        <f>M39*M16</f>
        <v>0</v>
      </c>
      <c r="P39" s="713"/>
      <c r="Q39" s="713"/>
      <c r="R39" s="713">
        <v>22228</v>
      </c>
      <c r="S39" s="713"/>
      <c r="T39" s="713"/>
      <c r="U39" s="737" t="s">
        <v>100</v>
      </c>
      <c r="V39" s="734">
        <v>0</v>
      </c>
      <c r="W39" s="735">
        <f>IFERROR(V39/V$41,0)</f>
        <v>0</v>
      </c>
      <c r="X39" s="1703">
        <f>ROUND(V39*$I$16,2)</f>
        <v>0</v>
      </c>
      <c r="Y39" s="1703">
        <f>IF(Z37=0,N39,(M39*Z37))</f>
        <v>0</v>
      </c>
      <c r="Z39" s="360"/>
      <c r="AE39" s="2"/>
      <c r="AF39" s="2"/>
    </row>
    <row r="40" spans="2:32" ht="20.100000000000001" customHeight="1" thickBot="1" x14ac:dyDescent="0.25">
      <c r="B40" s="1"/>
      <c r="C40" s="713">
        <v>800832773</v>
      </c>
      <c r="D40" s="723">
        <v>254</v>
      </c>
      <c r="E40" s="723" t="s">
        <v>239</v>
      </c>
      <c r="F40" s="713" t="s">
        <v>238</v>
      </c>
      <c r="G40" s="713" t="s">
        <v>222</v>
      </c>
      <c r="H40" s="713">
        <v>7237</v>
      </c>
      <c r="I40" s="713">
        <v>468074</v>
      </c>
      <c r="J40" s="737" t="s">
        <v>23</v>
      </c>
      <c r="K40" s="734">
        <f>L89</f>
        <v>2192927.7119999998</v>
      </c>
      <c r="L40" s="735">
        <v>1</v>
      </c>
      <c r="M40" s="1703">
        <f>D93</f>
        <v>2165.71</v>
      </c>
      <c r="N40" s="1703">
        <f>M40*M16</f>
        <v>42363.020168000003</v>
      </c>
      <c r="P40" s="723"/>
      <c r="Q40" s="713" t="s">
        <v>221</v>
      </c>
      <c r="R40" s="713" t="s">
        <v>222</v>
      </c>
      <c r="S40" s="713"/>
      <c r="T40" s="713"/>
      <c r="U40" s="737" t="s">
        <v>23</v>
      </c>
      <c r="V40" s="734">
        <v>2192927.7119999998</v>
      </c>
      <c r="W40" s="735">
        <v>1</v>
      </c>
      <c r="X40" s="1703">
        <f>R93</f>
        <v>0</v>
      </c>
      <c r="Y40" s="1703">
        <f>IF(Z38=0,N40,(M40*Z38))</f>
        <v>42363.020168000003</v>
      </c>
      <c r="Z40" s="360"/>
      <c r="AE40" s="2"/>
      <c r="AF40" s="2"/>
    </row>
    <row r="41" spans="2:32" ht="15" thickBot="1" x14ac:dyDescent="0.25">
      <c r="B41" s="1"/>
      <c r="C41" s="726"/>
      <c r="D41" s="726"/>
      <c r="E41" s="726"/>
      <c r="F41" s="727"/>
      <c r="G41" s="727"/>
      <c r="H41" s="727"/>
      <c r="I41" s="727"/>
      <c r="J41" s="727"/>
      <c r="K41" s="821">
        <f>SUM(K37:K40)</f>
        <v>2192927.7119999998</v>
      </c>
      <c r="L41" s="736">
        <f>SUM(L37:L40)</f>
        <v>1</v>
      </c>
      <c r="M41" s="1718">
        <f>SUM(M37:M40)</f>
        <v>2165.71</v>
      </c>
      <c r="N41" s="1718">
        <f>SUM(N37:N40)</f>
        <v>42363.020168000003</v>
      </c>
      <c r="O41" s="360"/>
      <c r="P41" s="360"/>
      <c r="Q41" s="1"/>
      <c r="R41" s="1"/>
      <c r="S41" s="1"/>
      <c r="T41" s="1"/>
      <c r="U41" s="1"/>
      <c r="V41" s="1"/>
      <c r="W41" s="1"/>
      <c r="X41" s="1713"/>
      <c r="Y41" s="1703">
        <f>SUM(Y37:Y40)</f>
        <v>42363.020168000003</v>
      </c>
      <c r="AE41" s="2"/>
      <c r="AF41" s="2"/>
    </row>
    <row r="42" spans="2:32" x14ac:dyDescent="0.2">
      <c r="B42" s="1"/>
      <c r="C42" s="715"/>
      <c r="D42" s="715"/>
      <c r="E42" s="715"/>
      <c r="F42" s="715"/>
      <c r="G42" s="715"/>
      <c r="H42" s="715"/>
      <c r="I42" s="715"/>
      <c r="J42" s="715"/>
      <c r="K42" s="715"/>
      <c r="L42" s="715"/>
      <c r="M42" s="716"/>
      <c r="N42" s="716"/>
      <c r="O42" s="360"/>
      <c r="P42" s="360"/>
      <c r="Q42" s="1"/>
      <c r="R42" s="1"/>
      <c r="S42" s="1"/>
      <c r="T42" s="1"/>
      <c r="U42" s="1"/>
      <c r="V42" s="1"/>
      <c r="W42" s="1"/>
      <c r="X42" s="1713"/>
      <c r="Y42" s="1713"/>
      <c r="AE42" s="2"/>
      <c r="AF42" s="2"/>
    </row>
    <row r="43" spans="2:32" x14ac:dyDescent="0.2">
      <c r="B43" s="1"/>
      <c r="C43" s="715"/>
      <c r="D43" s="715"/>
      <c r="E43" s="715"/>
      <c r="F43" s="715"/>
      <c r="G43" s="715"/>
      <c r="H43" s="715"/>
      <c r="I43" s="715"/>
      <c r="J43" s="715"/>
      <c r="K43" s="715"/>
      <c r="L43" s="716"/>
      <c r="M43" s="716"/>
      <c r="N43" s="360"/>
      <c r="O43" s="1"/>
      <c r="P43" s="1"/>
      <c r="Q43" s="1"/>
      <c r="R43" s="1"/>
      <c r="S43" s="1"/>
      <c r="T43" s="1"/>
      <c r="U43" s="1"/>
      <c r="V43" s="718"/>
      <c r="W43" s="718"/>
      <c r="X43" s="1713"/>
      <c r="Y43" s="1713"/>
      <c r="AC43" s="2"/>
      <c r="AD43" s="2"/>
      <c r="AE43" s="2"/>
      <c r="AF43" s="2"/>
    </row>
    <row r="44" spans="2:32" x14ac:dyDescent="0.2">
      <c r="B44" s="1"/>
      <c r="C44" s="715"/>
      <c r="D44" s="715"/>
      <c r="E44" s="715"/>
      <c r="F44" s="715"/>
      <c r="G44" s="715"/>
      <c r="H44" s="715"/>
      <c r="I44" s="715"/>
      <c r="J44" s="715"/>
      <c r="K44" s="715"/>
      <c r="L44" s="716"/>
      <c r="M44" s="716"/>
      <c r="N44" s="360"/>
      <c r="O44"/>
      <c r="P44" s="1"/>
      <c r="Q44" s="1"/>
      <c r="R44" s="1"/>
      <c r="S44" s="1"/>
      <c r="T44" s="1"/>
      <c r="U44" s="1"/>
      <c r="V44" s="1"/>
      <c r="W44" s="718"/>
      <c r="X44" s="718"/>
      <c r="Y44" s="718"/>
      <c r="AD44" s="2"/>
      <c r="AE44" s="2"/>
      <c r="AF44" s="2"/>
    </row>
    <row r="45" spans="2:32" x14ac:dyDescent="0.2">
      <c r="B45" s="1"/>
      <c r="C45" s="715"/>
      <c r="D45" s="715"/>
      <c r="E45" s="715"/>
      <c r="F45" s="715"/>
      <c r="G45" s="715"/>
      <c r="H45" s="715"/>
      <c r="I45" s="715"/>
      <c r="J45" s="715"/>
      <c r="K45" s="715"/>
      <c r="L45" s="716"/>
      <c r="M45" s="716"/>
      <c r="N45" s="360"/>
      <c r="O45" s="716"/>
      <c r="P45" s="360"/>
      <c r="Q45" s="716"/>
      <c r="R45" s="1"/>
      <c r="S45" s="1"/>
      <c r="T45" s="1"/>
      <c r="U45" s="1"/>
      <c r="V45" s="1"/>
      <c r="W45" s="1"/>
      <c r="X45" s="1"/>
      <c r="Y45" s="1"/>
    </row>
    <row r="46" spans="2:32" x14ac:dyDescent="0.2">
      <c r="B46" s="1"/>
      <c r="C46" s="715"/>
      <c r="D46" s="715"/>
      <c r="E46" s="715"/>
      <c r="F46" s="715"/>
      <c r="G46" s="715"/>
      <c r="H46" s="715"/>
      <c r="I46" s="715"/>
      <c r="J46" s="715"/>
      <c r="K46" s="715"/>
      <c r="L46" s="716"/>
      <c r="M46" s="716"/>
      <c r="N46" s="360"/>
      <c r="O46" s="716"/>
      <c r="P46" s="360"/>
      <c r="Q46" s="716"/>
      <c r="R46" s="1"/>
      <c r="S46" s="1"/>
      <c r="T46" s="1"/>
      <c r="U46" s="1"/>
      <c r="V46" s="1"/>
      <c r="W46" s="1"/>
      <c r="X46" s="1"/>
      <c r="Y46" s="1"/>
    </row>
    <row r="47" spans="2:32" x14ac:dyDescent="0.2">
      <c r="B47" s="1"/>
      <c r="C47" s="715"/>
      <c r="D47" s="715"/>
      <c r="E47" s="715"/>
      <c r="F47" s="715"/>
      <c r="G47" s="715"/>
      <c r="H47" s="715"/>
      <c r="I47" s="715"/>
      <c r="J47" s="715"/>
      <c r="K47" s="715"/>
      <c r="L47" s="716"/>
      <c r="M47" s="716"/>
      <c r="N47" s="360"/>
      <c r="O47" s="716"/>
      <c r="P47" s="360"/>
      <c r="Q47" s="716"/>
      <c r="R47" s="1"/>
      <c r="S47" s="1"/>
      <c r="T47" s="1"/>
      <c r="U47" s="1"/>
      <c r="V47" s="1"/>
      <c r="W47" s="1"/>
      <c r="X47" s="1"/>
      <c r="Y47" s="1"/>
    </row>
    <row r="48" spans="2:32" x14ac:dyDescent="0.2">
      <c r="B48" s="1"/>
      <c r="C48" s="715"/>
      <c r="D48" s="715"/>
      <c r="E48" s="715"/>
      <c r="F48" s="715"/>
      <c r="G48" s="715"/>
      <c r="H48" s="715"/>
      <c r="I48" s="715"/>
      <c r="J48" s="715"/>
      <c r="K48" s="715"/>
      <c r="L48" s="716"/>
      <c r="M48" s="716"/>
      <c r="N48" s="360"/>
      <c r="O48" s="716"/>
      <c r="P48" s="360"/>
      <c r="Q48" s="716"/>
      <c r="R48" s="1"/>
      <c r="S48" s="1"/>
      <c r="T48" s="1"/>
      <c r="U48" s="1"/>
      <c r="V48" s="1"/>
      <c r="W48" s="1"/>
      <c r="X48" s="1"/>
      <c r="Y48" s="1"/>
    </row>
    <row r="49" spans="2:25" x14ac:dyDescent="0.2">
      <c r="B49" s="1"/>
      <c r="C49" s="715"/>
      <c r="D49" s="715"/>
      <c r="E49" s="715"/>
      <c r="F49" s="715"/>
      <c r="G49" s="715"/>
      <c r="H49" s="715"/>
      <c r="I49" s="715"/>
      <c r="J49" s="715"/>
      <c r="K49" s="715"/>
      <c r="L49" s="716"/>
      <c r="M49" s="716"/>
      <c r="N49" s="360"/>
      <c r="O49" s="716"/>
      <c r="P49" s="360"/>
      <c r="Q49" s="716"/>
      <c r="R49" s="1"/>
      <c r="S49" s="1"/>
      <c r="T49" s="1"/>
      <c r="U49" s="1"/>
      <c r="V49" s="1"/>
      <c r="W49" s="1"/>
      <c r="X49" s="1"/>
      <c r="Y49" s="1"/>
    </row>
    <row r="50" spans="2:25" x14ac:dyDescent="0.2">
      <c r="B50" s="1"/>
      <c r="C50" s="715"/>
      <c r="D50" s="715"/>
      <c r="E50" s="715"/>
      <c r="F50" s="715"/>
      <c r="G50" s="715"/>
      <c r="H50" s="715"/>
      <c r="I50" s="715"/>
      <c r="J50" s="715"/>
      <c r="K50" s="715"/>
      <c r="L50" s="716"/>
      <c r="M50" s="716"/>
      <c r="N50" s="360"/>
      <c r="O50" s="716"/>
      <c r="P50" s="360"/>
      <c r="Q50" s="716"/>
      <c r="R50" s="1"/>
      <c r="S50" s="1"/>
      <c r="T50" s="1"/>
      <c r="U50" s="1"/>
      <c r="V50" s="1"/>
      <c r="W50" s="1"/>
      <c r="X50" s="1"/>
      <c r="Y50" s="1"/>
    </row>
    <row r="51" spans="2:25" x14ac:dyDescent="0.2">
      <c r="B51" s="1"/>
      <c r="C51" s="715"/>
      <c r="D51" s="715"/>
      <c r="E51" s="715"/>
      <c r="F51" s="715"/>
      <c r="G51" s="715"/>
      <c r="H51" s="715"/>
      <c r="I51" s="715"/>
      <c r="J51" s="715"/>
      <c r="K51" s="715"/>
      <c r="L51" s="716"/>
      <c r="M51" s="716"/>
      <c r="N51" s="360"/>
      <c r="O51" s="716"/>
      <c r="P51" s="360"/>
      <c r="Q51" s="716"/>
      <c r="R51" s="1"/>
      <c r="S51" s="1"/>
      <c r="T51" s="1"/>
      <c r="U51" s="1"/>
      <c r="V51" s="1"/>
      <c r="W51" s="1"/>
      <c r="X51" s="1"/>
      <c r="Y51" s="1"/>
    </row>
    <row r="52" spans="2:25" x14ac:dyDescent="0.2">
      <c r="B52" s="1"/>
      <c r="C52" s="715"/>
      <c r="D52" s="715"/>
      <c r="E52" s="715"/>
      <c r="F52" s="715"/>
      <c r="G52" s="715"/>
      <c r="H52" s="715"/>
      <c r="I52" s="715"/>
      <c r="J52" s="715"/>
      <c r="K52" s="715"/>
      <c r="L52" s="716"/>
      <c r="M52" s="716"/>
      <c r="N52" s="360"/>
      <c r="O52" s="716"/>
      <c r="P52" s="360"/>
      <c r="Q52" s="716"/>
      <c r="R52" s="1"/>
      <c r="S52" s="1"/>
      <c r="T52" s="1"/>
      <c r="U52" s="1"/>
      <c r="V52" s="1"/>
      <c r="W52" s="1"/>
      <c r="X52" s="1"/>
      <c r="Y52" s="1"/>
    </row>
    <row r="53" spans="2:25" x14ac:dyDescent="0.2">
      <c r="B53" s="1"/>
      <c r="C53" s="715"/>
      <c r="D53" s="715"/>
      <c r="E53" s="715"/>
      <c r="F53" s="715"/>
      <c r="G53" s="715"/>
      <c r="H53" s="715"/>
      <c r="I53" s="715"/>
      <c r="J53" s="715"/>
      <c r="K53" s="715"/>
      <c r="L53" s="716"/>
      <c r="M53" s="716"/>
      <c r="N53" s="360"/>
      <c r="O53" s="716"/>
      <c r="P53" s="360"/>
      <c r="Q53" s="716"/>
      <c r="R53" s="1"/>
      <c r="S53" s="1"/>
      <c r="T53" s="1"/>
      <c r="U53" s="1"/>
      <c r="V53" s="1"/>
      <c r="W53" s="1"/>
      <c r="X53" s="1"/>
      <c r="Y53" s="1"/>
    </row>
    <row r="54" spans="2:25" x14ac:dyDescent="0.2">
      <c r="B54" s="1"/>
      <c r="C54" s="715"/>
      <c r="D54" s="715"/>
      <c r="E54" s="715"/>
      <c r="F54" s="715"/>
      <c r="G54" s="715"/>
      <c r="H54" s="715"/>
      <c r="I54" s="715"/>
      <c r="J54" s="715"/>
      <c r="K54" s="715"/>
      <c r="L54" s="716"/>
      <c r="M54" s="716"/>
      <c r="N54" s="360"/>
      <c r="O54" s="716"/>
      <c r="P54" s="360"/>
      <c r="Q54" s="716"/>
      <c r="R54" s="1"/>
      <c r="S54" s="1"/>
      <c r="T54" s="1"/>
      <c r="U54" s="1"/>
      <c r="V54" s="1"/>
      <c r="W54" s="1"/>
      <c r="X54" s="1"/>
      <c r="Y54" s="1"/>
    </row>
    <row r="55" spans="2:25" s="718" customFormat="1" ht="15" thickBot="1" x14ac:dyDescent="0.25">
      <c r="M55" s="720"/>
      <c r="N55" s="720"/>
      <c r="O55" s="720"/>
      <c r="P55" s="720"/>
      <c r="Q55" s="720"/>
      <c r="R55" s="720"/>
      <c r="S55" s="720"/>
      <c r="T55" s="720"/>
      <c r="U55" s="720"/>
      <c r="V55" s="720"/>
      <c r="W55" s="720"/>
      <c r="X55" s="720"/>
      <c r="Y55" s="720"/>
    </row>
    <row r="56" spans="2:25" ht="15" thickBot="1" x14ac:dyDescent="0.25">
      <c r="B56" s="434" t="s">
        <v>3</v>
      </c>
      <c r="C56" s="333">
        <f>SUMIF(Tarifas!E4:E303,'Abril - 2018'!C58,Tarifas!D4:D303)</f>
        <v>57</v>
      </c>
      <c r="D56" s="690" t="s">
        <v>147</v>
      </c>
      <c r="E56" s="691" t="s">
        <v>145</v>
      </c>
      <c r="F56" s="691" t="s">
        <v>150</v>
      </c>
      <c r="G56" s="691" t="s">
        <v>148</v>
      </c>
      <c r="H56" s="692"/>
      <c r="I56" s="693" t="s">
        <v>120</v>
      </c>
      <c r="J56" s="694"/>
      <c r="K56" s="694"/>
      <c r="L56" s="364" t="s">
        <v>105</v>
      </c>
      <c r="M56" s="365"/>
      <c r="N56" s="365"/>
      <c r="O56" s="365"/>
      <c r="P56" s="365"/>
      <c r="Q56" s="365"/>
      <c r="R56" s="366"/>
      <c r="S56" s="2267" t="s">
        <v>121</v>
      </c>
      <c r="T56" s="2268"/>
      <c r="U56" s="2268"/>
      <c r="V56" s="2268"/>
      <c r="W56" s="2268"/>
      <c r="X56" s="2268"/>
      <c r="Y56" s="2269"/>
    </row>
    <row r="57" spans="2:25" ht="34.5" thickBot="1" x14ac:dyDescent="0.25">
      <c r="C57" s="383" t="s">
        <v>122</v>
      </c>
      <c r="D57" s="384" t="s">
        <v>125</v>
      </c>
      <c r="E57" s="385" t="s">
        <v>149</v>
      </c>
      <c r="F57" s="385" t="s">
        <v>151</v>
      </c>
      <c r="G57" s="385" t="s">
        <v>152</v>
      </c>
      <c r="H57" s="386" t="s">
        <v>123</v>
      </c>
      <c r="I57" s="329" t="s">
        <v>109</v>
      </c>
      <c r="J57" s="330" t="s">
        <v>25</v>
      </c>
      <c r="K57" s="330" t="s">
        <v>26</v>
      </c>
      <c r="L57" s="696" t="s">
        <v>115</v>
      </c>
      <c r="M57" s="697" t="s">
        <v>106</v>
      </c>
      <c r="N57" s="697" t="s">
        <v>107</v>
      </c>
      <c r="O57" s="697" t="s">
        <v>108</v>
      </c>
      <c r="P57" s="697" t="s">
        <v>115</v>
      </c>
      <c r="Q57" s="698" t="s">
        <v>116</v>
      </c>
      <c r="R57" s="699" t="s">
        <v>117</v>
      </c>
      <c r="S57" s="700" t="s">
        <v>207</v>
      </c>
      <c r="T57" s="701"/>
      <c r="U57" s="701" t="s">
        <v>112</v>
      </c>
      <c r="V57" s="702" t="s">
        <v>118</v>
      </c>
      <c r="W57" s="702" t="s">
        <v>119</v>
      </c>
      <c r="X57" s="702" t="s">
        <v>114</v>
      </c>
      <c r="Y57" s="703" t="s">
        <v>113</v>
      </c>
    </row>
    <row r="58" spans="2:25" x14ac:dyDescent="0.2">
      <c r="C58" s="387">
        <v>43191</v>
      </c>
      <c r="D58" s="388">
        <f>($F$21*$H$21)/$G$21</f>
        <v>155314.35733333332</v>
      </c>
      <c r="E58" s="389">
        <f>P58+Q58+R58</f>
        <v>71073.03</v>
      </c>
      <c r="F58" s="732">
        <f>TRUNC(IFERROR(K$21/J$21,0),8)</f>
        <v>1.0125691299999999</v>
      </c>
      <c r="G58" s="390">
        <f>ROUND(I$21*F58*E58,4)</f>
        <v>71.966399999999993</v>
      </c>
      <c r="H58" s="391">
        <f t="shared" ref="H58:H87" si="0">SUM(D58:G58)</f>
        <v>226460.36630246331</v>
      </c>
      <c r="I58" s="1324">
        <v>69191</v>
      </c>
      <c r="J58" s="1360">
        <v>0</v>
      </c>
      <c r="K58" s="1361">
        <v>0</v>
      </c>
      <c r="L58" s="1322">
        <v>71073.03</v>
      </c>
      <c r="M58" s="1347">
        <v>0</v>
      </c>
      <c r="N58" s="1347">
        <v>0</v>
      </c>
      <c r="O58" s="1333">
        <v>0</v>
      </c>
      <c r="P58" s="1327">
        <f>L58</f>
        <v>71073.03</v>
      </c>
      <c r="Q58" s="1327">
        <f t="shared" ref="Q58:Q87" si="1">M58+N58</f>
        <v>0</v>
      </c>
      <c r="R58" s="1328">
        <f t="shared" ref="R58:R87" si="2">O58</f>
        <v>0</v>
      </c>
      <c r="S58" s="1329">
        <v>62000.04</v>
      </c>
      <c r="T58" s="1330"/>
      <c r="U58" s="1331">
        <f>S58+T58-V58</f>
        <v>-7190.9599999999991</v>
      </c>
      <c r="V58" s="1331">
        <f>I58+J58+K58</f>
        <v>69191</v>
      </c>
      <c r="W58" s="1331">
        <f>(P58+Q58+R58)/1.055056</f>
        <v>67364.225216481398</v>
      </c>
      <c r="X58" s="1331">
        <f>V58-W58</f>
        <v>1826.7747835186019</v>
      </c>
      <c r="Y58" s="1332">
        <f>AL55+X58</f>
        <v>1826.7747835186019</v>
      </c>
    </row>
    <row r="59" spans="2:25" x14ac:dyDescent="0.2">
      <c r="C59" s="387">
        <f t="shared" ref="C59:C87" si="3">C58+1</f>
        <v>43192</v>
      </c>
      <c r="D59" s="388">
        <f t="shared" ref="D59:D87" si="4">($F$21*$H$21)/$G$21</f>
        <v>155314.35733333332</v>
      </c>
      <c r="E59" s="392">
        <f t="shared" ref="E59:E87" si="5">P59+Q59+R59</f>
        <v>72091.100000000006</v>
      </c>
      <c r="F59" s="732">
        <f t="shared" ref="F59:F87" si="6">TRUNC(IFERROR(K$21/J$21,0),8)</f>
        <v>1.0125691299999999</v>
      </c>
      <c r="G59" s="390">
        <f t="shared" ref="G59:G87" si="7">ROUND(I$21*F59*E59,4)</f>
        <v>72.997200000000007</v>
      </c>
      <c r="H59" s="391">
        <f t="shared" si="0"/>
        <v>227479.46710246333</v>
      </c>
      <c r="I59" s="324">
        <v>69191</v>
      </c>
      <c r="J59" s="1370">
        <v>0</v>
      </c>
      <c r="K59" s="1371">
        <v>0</v>
      </c>
      <c r="L59" s="725">
        <v>72091.100000000006</v>
      </c>
      <c r="M59" s="1336">
        <v>0</v>
      </c>
      <c r="N59" s="1336">
        <v>0</v>
      </c>
      <c r="O59" s="1334">
        <v>0</v>
      </c>
      <c r="P59" s="392">
        <f t="shared" ref="P59:P87" si="8">L59</f>
        <v>72091.100000000006</v>
      </c>
      <c r="Q59" s="392">
        <f t="shared" si="1"/>
        <v>0</v>
      </c>
      <c r="R59" s="687">
        <f t="shared" si="2"/>
        <v>0</v>
      </c>
      <c r="S59" s="532">
        <v>62000.04</v>
      </c>
      <c r="T59" s="374"/>
      <c r="U59" s="520">
        <f t="shared" ref="U59:U87" si="9">S59+T59-V59</f>
        <v>-7190.9599999999991</v>
      </c>
      <c r="V59" s="520">
        <f t="shared" ref="V59:V87" si="10">I59+J59+K59</f>
        <v>69191</v>
      </c>
      <c r="W59" s="520">
        <f t="shared" ref="W59:W88" si="11">(P59+Q59+R59)/1.055056</f>
        <v>68329.169257366433</v>
      </c>
      <c r="X59" s="520">
        <f t="shared" ref="X59:X87" si="12">V59-W59</f>
        <v>861.83074263356684</v>
      </c>
      <c r="Y59" s="525">
        <f>Y58+X59</f>
        <v>2688.6055261521687</v>
      </c>
    </row>
    <row r="60" spans="2:25" x14ac:dyDescent="0.2">
      <c r="C60" s="387">
        <f t="shared" si="3"/>
        <v>43193</v>
      </c>
      <c r="D60" s="388">
        <f t="shared" si="4"/>
        <v>155314.35733333332</v>
      </c>
      <c r="E60" s="392">
        <f t="shared" si="5"/>
        <v>71825.710000000006</v>
      </c>
      <c r="F60" s="732">
        <f t="shared" si="6"/>
        <v>1.0125691299999999</v>
      </c>
      <c r="G60" s="390">
        <f t="shared" si="7"/>
        <v>72.728499999999997</v>
      </c>
      <c r="H60" s="391">
        <f t="shared" si="0"/>
        <v>227213.8084024633</v>
      </c>
      <c r="I60" s="324">
        <v>72033</v>
      </c>
      <c r="J60" s="1370">
        <v>0</v>
      </c>
      <c r="K60" s="1371">
        <v>0</v>
      </c>
      <c r="L60" s="724">
        <v>71825.710000000006</v>
      </c>
      <c r="M60" s="1336">
        <v>0</v>
      </c>
      <c r="N60" s="1336">
        <v>0</v>
      </c>
      <c r="O60" s="1334">
        <v>0</v>
      </c>
      <c r="P60" s="392">
        <f t="shared" si="8"/>
        <v>71825.710000000006</v>
      </c>
      <c r="Q60" s="392">
        <f t="shared" si="1"/>
        <v>0</v>
      </c>
      <c r="R60" s="687">
        <f t="shared" si="2"/>
        <v>0</v>
      </c>
      <c r="S60" s="532">
        <v>62000.04</v>
      </c>
      <c r="T60" s="374"/>
      <c r="U60" s="520">
        <f t="shared" si="9"/>
        <v>-10032.959999999999</v>
      </c>
      <c r="V60" s="520">
        <f t="shared" si="10"/>
        <v>72033</v>
      </c>
      <c r="W60" s="520">
        <f t="shared" si="11"/>
        <v>68077.628106944088</v>
      </c>
      <c r="X60" s="520">
        <f t="shared" si="12"/>
        <v>3955.3718930559116</v>
      </c>
      <c r="Y60" s="525">
        <f t="shared" ref="Y60:Y87" si="13">Y59+X60</f>
        <v>6643.9774192080804</v>
      </c>
    </row>
    <row r="61" spans="2:25" x14ac:dyDescent="0.2">
      <c r="C61" s="387">
        <f t="shared" si="3"/>
        <v>43194</v>
      </c>
      <c r="D61" s="388">
        <f t="shared" si="4"/>
        <v>155314.35733333332</v>
      </c>
      <c r="E61" s="392">
        <f t="shared" si="5"/>
        <v>70822.320000000007</v>
      </c>
      <c r="F61" s="732">
        <f t="shared" si="6"/>
        <v>1.0125691299999999</v>
      </c>
      <c r="G61" s="390">
        <f t="shared" si="7"/>
        <v>71.712500000000006</v>
      </c>
      <c r="H61" s="391">
        <f t="shared" si="0"/>
        <v>226209.40240246331</v>
      </c>
      <c r="I61" s="324">
        <v>72033</v>
      </c>
      <c r="J61" s="1370">
        <v>0</v>
      </c>
      <c r="K61" s="1371">
        <v>0</v>
      </c>
      <c r="L61" s="725">
        <v>70822.320000000007</v>
      </c>
      <c r="M61" s="1336">
        <v>0</v>
      </c>
      <c r="N61" s="1336">
        <v>0</v>
      </c>
      <c r="O61" s="1334">
        <v>0</v>
      </c>
      <c r="P61" s="392">
        <f t="shared" si="8"/>
        <v>70822.320000000007</v>
      </c>
      <c r="Q61" s="392">
        <f t="shared" si="1"/>
        <v>0</v>
      </c>
      <c r="R61" s="687">
        <f t="shared" si="2"/>
        <v>0</v>
      </c>
      <c r="S61" s="532">
        <v>60000</v>
      </c>
      <c r="T61" s="374"/>
      <c r="U61" s="520">
        <f t="shared" si="9"/>
        <v>-12033</v>
      </c>
      <c r="V61" s="520">
        <f t="shared" si="10"/>
        <v>72033</v>
      </c>
      <c r="W61" s="520">
        <f t="shared" si="11"/>
        <v>67126.598019441633</v>
      </c>
      <c r="X61" s="520">
        <f t="shared" si="12"/>
        <v>4906.4019805583666</v>
      </c>
      <c r="Y61" s="525">
        <f t="shared" si="13"/>
        <v>11550.379399766447</v>
      </c>
    </row>
    <row r="62" spans="2:25" x14ac:dyDescent="0.2">
      <c r="C62" s="387">
        <f t="shared" si="3"/>
        <v>43195</v>
      </c>
      <c r="D62" s="388">
        <f t="shared" si="4"/>
        <v>155314.35733333332</v>
      </c>
      <c r="E62" s="392">
        <f t="shared" si="5"/>
        <v>72154.820000000007</v>
      </c>
      <c r="F62" s="732">
        <f t="shared" si="6"/>
        <v>1.0125691299999999</v>
      </c>
      <c r="G62" s="390">
        <f t="shared" si="7"/>
        <v>73.061700000000002</v>
      </c>
      <c r="H62" s="391">
        <f t="shared" si="0"/>
        <v>227543.25160246331</v>
      </c>
      <c r="I62" s="324">
        <v>72033</v>
      </c>
      <c r="J62" s="1370">
        <v>0</v>
      </c>
      <c r="K62" s="1371">
        <v>0</v>
      </c>
      <c r="L62" s="724">
        <v>72154.820000000007</v>
      </c>
      <c r="M62" s="1336">
        <v>0</v>
      </c>
      <c r="N62" s="1336">
        <v>0</v>
      </c>
      <c r="O62" s="1334">
        <v>0</v>
      </c>
      <c r="P62" s="392">
        <f t="shared" si="8"/>
        <v>72154.820000000007</v>
      </c>
      <c r="Q62" s="392">
        <f t="shared" si="1"/>
        <v>0</v>
      </c>
      <c r="R62" s="687">
        <f t="shared" si="2"/>
        <v>0</v>
      </c>
      <c r="S62" s="532">
        <v>60000</v>
      </c>
      <c r="T62" s="374"/>
      <c r="U62" s="520">
        <f t="shared" si="9"/>
        <v>-12033</v>
      </c>
      <c r="V62" s="520">
        <f t="shared" si="10"/>
        <v>72033</v>
      </c>
      <c r="W62" s="520">
        <f t="shared" si="11"/>
        <v>68389.564155836284</v>
      </c>
      <c r="X62" s="520">
        <f t="shared" si="12"/>
        <v>3643.435844163716</v>
      </c>
      <c r="Y62" s="525">
        <f t="shared" si="13"/>
        <v>15193.815243930163</v>
      </c>
    </row>
    <row r="63" spans="2:25" x14ac:dyDescent="0.2">
      <c r="C63" s="387">
        <f t="shared" si="3"/>
        <v>43196</v>
      </c>
      <c r="D63" s="388">
        <f t="shared" si="4"/>
        <v>155314.35733333332</v>
      </c>
      <c r="E63" s="392">
        <f t="shared" si="5"/>
        <v>70926.48</v>
      </c>
      <c r="F63" s="732">
        <f t="shared" si="6"/>
        <v>1.0125691299999999</v>
      </c>
      <c r="G63" s="390">
        <f t="shared" si="7"/>
        <v>71.817999999999998</v>
      </c>
      <c r="H63" s="391">
        <f t="shared" si="0"/>
        <v>226313.66790246332</v>
      </c>
      <c r="I63" s="324">
        <v>72033</v>
      </c>
      <c r="J63" s="1370">
        <v>0</v>
      </c>
      <c r="K63" s="1371">
        <v>0</v>
      </c>
      <c r="L63" s="725">
        <v>70926.48</v>
      </c>
      <c r="M63" s="1336">
        <v>0</v>
      </c>
      <c r="N63" s="1336">
        <v>0</v>
      </c>
      <c r="O63" s="1334">
        <v>0</v>
      </c>
      <c r="P63" s="392">
        <f t="shared" si="8"/>
        <v>70926.48</v>
      </c>
      <c r="Q63" s="392">
        <f t="shared" si="1"/>
        <v>0</v>
      </c>
      <c r="R63" s="687">
        <f t="shared" si="2"/>
        <v>0</v>
      </c>
      <c r="S63" s="532">
        <v>60000</v>
      </c>
      <c r="T63" s="374"/>
      <c r="U63" s="520">
        <f t="shared" si="9"/>
        <v>-12033</v>
      </c>
      <c r="V63" s="520">
        <f t="shared" si="10"/>
        <v>72033</v>
      </c>
      <c r="W63" s="520">
        <f t="shared" si="11"/>
        <v>67225.322636902682</v>
      </c>
      <c r="X63" s="520">
        <f t="shared" si="12"/>
        <v>4807.6773630973184</v>
      </c>
      <c r="Y63" s="525">
        <f t="shared" si="13"/>
        <v>20001.492607027481</v>
      </c>
    </row>
    <row r="64" spans="2:25" x14ac:dyDescent="0.2">
      <c r="C64" s="387">
        <f t="shared" si="3"/>
        <v>43197</v>
      </c>
      <c r="D64" s="388">
        <f t="shared" si="4"/>
        <v>155314.35733333332</v>
      </c>
      <c r="E64" s="392">
        <f t="shared" si="5"/>
        <v>71760.160000000003</v>
      </c>
      <c r="F64" s="732">
        <f t="shared" si="6"/>
        <v>1.0125691299999999</v>
      </c>
      <c r="G64" s="390">
        <f t="shared" si="7"/>
        <v>72.662099999999995</v>
      </c>
      <c r="H64" s="391">
        <f t="shared" si="0"/>
        <v>227148.1920024633</v>
      </c>
      <c r="I64" s="324">
        <v>72033</v>
      </c>
      <c r="J64" s="1370">
        <v>0</v>
      </c>
      <c r="K64" s="1371">
        <v>0</v>
      </c>
      <c r="L64" s="724">
        <v>71760.160000000003</v>
      </c>
      <c r="M64" s="1336">
        <v>0</v>
      </c>
      <c r="N64" s="1336">
        <v>0</v>
      </c>
      <c r="O64" s="1334">
        <v>0</v>
      </c>
      <c r="P64" s="392">
        <f t="shared" si="8"/>
        <v>71760.160000000003</v>
      </c>
      <c r="Q64" s="392">
        <f t="shared" si="1"/>
        <v>0</v>
      </c>
      <c r="R64" s="687">
        <f t="shared" si="2"/>
        <v>0</v>
      </c>
      <c r="S64" s="532">
        <v>62000.04</v>
      </c>
      <c r="T64" s="374"/>
      <c r="U64" s="520">
        <f t="shared" si="9"/>
        <v>-10032.959999999999</v>
      </c>
      <c r="V64" s="520">
        <f t="shared" si="10"/>
        <v>72033</v>
      </c>
      <c r="W64" s="520">
        <f t="shared" si="11"/>
        <v>68015.498703386358</v>
      </c>
      <c r="X64" s="520">
        <f t="shared" si="12"/>
        <v>4017.5012966136419</v>
      </c>
      <c r="Y64" s="525">
        <f t="shared" si="13"/>
        <v>24018.993903641123</v>
      </c>
    </row>
    <row r="65" spans="3:25" x14ac:dyDescent="0.2">
      <c r="C65" s="387">
        <f t="shared" si="3"/>
        <v>43198</v>
      </c>
      <c r="D65" s="388">
        <f t="shared" si="4"/>
        <v>155314.35733333332</v>
      </c>
      <c r="E65" s="392">
        <f t="shared" si="5"/>
        <v>71345.58</v>
      </c>
      <c r="F65" s="732">
        <f t="shared" si="6"/>
        <v>1.0125691299999999</v>
      </c>
      <c r="G65" s="390">
        <f t="shared" si="7"/>
        <v>72.2423</v>
      </c>
      <c r="H65" s="391">
        <f t="shared" si="0"/>
        <v>226733.19220246331</v>
      </c>
      <c r="I65" s="324">
        <v>72033</v>
      </c>
      <c r="J65" s="1370">
        <v>0</v>
      </c>
      <c r="K65" s="1371">
        <v>0</v>
      </c>
      <c r="L65" s="725">
        <v>71345.58</v>
      </c>
      <c r="M65" s="1336">
        <v>0</v>
      </c>
      <c r="N65" s="1336">
        <v>0</v>
      </c>
      <c r="O65" s="1334">
        <v>0</v>
      </c>
      <c r="P65" s="392">
        <f t="shared" si="8"/>
        <v>71345.58</v>
      </c>
      <c r="Q65" s="392">
        <f t="shared" si="1"/>
        <v>0</v>
      </c>
      <c r="R65" s="687">
        <f t="shared" si="2"/>
        <v>0</v>
      </c>
      <c r="S65" s="532">
        <v>62000.04</v>
      </c>
      <c r="T65" s="374"/>
      <c r="U65" s="520">
        <f t="shared" si="9"/>
        <v>-10032.959999999999</v>
      </c>
      <c r="V65" s="520">
        <f t="shared" si="10"/>
        <v>72033</v>
      </c>
      <c r="W65" s="520">
        <f t="shared" si="11"/>
        <v>67622.552736537211</v>
      </c>
      <c r="X65" s="520">
        <f t="shared" si="12"/>
        <v>4410.4472634627891</v>
      </c>
      <c r="Y65" s="525">
        <f t="shared" si="13"/>
        <v>28429.441167103912</v>
      </c>
    </row>
    <row r="66" spans="3:25" x14ac:dyDescent="0.2">
      <c r="C66" s="387">
        <f t="shared" si="3"/>
        <v>43199</v>
      </c>
      <c r="D66" s="388">
        <f t="shared" si="4"/>
        <v>155314.35733333332</v>
      </c>
      <c r="E66" s="392">
        <f t="shared" si="5"/>
        <v>73765.13</v>
      </c>
      <c r="F66" s="732">
        <f t="shared" si="6"/>
        <v>1.0125691299999999</v>
      </c>
      <c r="G66" s="390">
        <f t="shared" si="7"/>
        <v>74.692300000000003</v>
      </c>
      <c r="H66" s="391">
        <f t="shared" si="0"/>
        <v>229155.19220246331</v>
      </c>
      <c r="I66" s="324">
        <v>72033</v>
      </c>
      <c r="J66" s="1370">
        <v>0</v>
      </c>
      <c r="K66" s="1371">
        <v>0</v>
      </c>
      <c r="L66" s="724">
        <v>73765.13</v>
      </c>
      <c r="M66" s="1336">
        <v>0</v>
      </c>
      <c r="N66" s="1336">
        <v>0</v>
      </c>
      <c r="O66" s="1334">
        <v>0</v>
      </c>
      <c r="P66" s="392">
        <f t="shared" si="8"/>
        <v>73765.13</v>
      </c>
      <c r="Q66" s="392">
        <f t="shared" si="1"/>
        <v>0</v>
      </c>
      <c r="R66" s="687">
        <f t="shared" si="2"/>
        <v>0</v>
      </c>
      <c r="S66" s="532">
        <v>62000.04</v>
      </c>
      <c r="T66" s="374"/>
      <c r="U66" s="520">
        <f t="shared" si="9"/>
        <v>-10032.959999999999</v>
      </c>
      <c r="V66" s="520">
        <f t="shared" si="10"/>
        <v>72033</v>
      </c>
      <c r="W66" s="520">
        <f t="shared" si="11"/>
        <v>69915.843329643176</v>
      </c>
      <c r="X66" s="520">
        <f t="shared" si="12"/>
        <v>2117.1566703568242</v>
      </c>
      <c r="Y66" s="525">
        <f t="shared" si="13"/>
        <v>30546.597837460737</v>
      </c>
    </row>
    <row r="67" spans="3:25" x14ac:dyDescent="0.2">
      <c r="C67" s="387">
        <f t="shared" si="3"/>
        <v>43200</v>
      </c>
      <c r="D67" s="388">
        <f t="shared" si="4"/>
        <v>155314.35733333332</v>
      </c>
      <c r="E67" s="392">
        <f t="shared" si="5"/>
        <v>73736.320000000007</v>
      </c>
      <c r="F67" s="732">
        <f t="shared" si="6"/>
        <v>1.0125691299999999</v>
      </c>
      <c r="G67" s="390">
        <f t="shared" si="7"/>
        <v>74.6631</v>
      </c>
      <c r="H67" s="391">
        <f t="shared" si="0"/>
        <v>229126.35300246332</v>
      </c>
      <c r="I67" s="324">
        <v>72033</v>
      </c>
      <c r="J67" s="1370">
        <v>0</v>
      </c>
      <c r="K67" s="1371">
        <v>0</v>
      </c>
      <c r="L67" s="725">
        <v>73736.320000000007</v>
      </c>
      <c r="M67" s="1336">
        <v>0</v>
      </c>
      <c r="N67" s="1336">
        <v>0</v>
      </c>
      <c r="O67" s="1334">
        <v>0</v>
      </c>
      <c r="P67" s="392">
        <f t="shared" si="8"/>
        <v>73736.320000000007</v>
      </c>
      <c r="Q67" s="392">
        <f t="shared" si="1"/>
        <v>0</v>
      </c>
      <c r="R67" s="687">
        <f t="shared" si="2"/>
        <v>0</v>
      </c>
      <c r="S67" s="532">
        <v>62000.04</v>
      </c>
      <c r="T67" s="374"/>
      <c r="U67" s="520">
        <f t="shared" si="9"/>
        <v>-10032.959999999999</v>
      </c>
      <c r="V67" s="520">
        <f t="shared" si="10"/>
        <v>72033</v>
      </c>
      <c r="W67" s="520">
        <f t="shared" si="11"/>
        <v>69888.536722221383</v>
      </c>
      <c r="X67" s="520">
        <f t="shared" si="12"/>
        <v>2144.4632777786173</v>
      </c>
      <c r="Y67" s="525">
        <f t="shared" si="13"/>
        <v>32691.061115239354</v>
      </c>
    </row>
    <row r="68" spans="3:25" x14ac:dyDescent="0.2">
      <c r="C68" s="387">
        <f t="shared" si="3"/>
        <v>43201</v>
      </c>
      <c r="D68" s="388">
        <f t="shared" si="4"/>
        <v>155314.35733333332</v>
      </c>
      <c r="E68" s="392">
        <f t="shared" si="5"/>
        <v>73956.75</v>
      </c>
      <c r="F68" s="732">
        <f t="shared" si="6"/>
        <v>1.0125691299999999</v>
      </c>
      <c r="G68" s="390">
        <f t="shared" si="7"/>
        <v>74.886300000000006</v>
      </c>
      <c r="H68" s="391">
        <f t="shared" si="0"/>
        <v>229347.00620246332</v>
      </c>
      <c r="I68" s="324">
        <v>72033</v>
      </c>
      <c r="J68" s="1370">
        <v>0</v>
      </c>
      <c r="K68" s="1371">
        <v>0</v>
      </c>
      <c r="L68" s="724">
        <v>73956.75</v>
      </c>
      <c r="M68" s="1336">
        <v>0</v>
      </c>
      <c r="N68" s="1336">
        <v>0</v>
      </c>
      <c r="O68" s="1334">
        <v>0</v>
      </c>
      <c r="P68" s="392">
        <f t="shared" si="8"/>
        <v>73956.75</v>
      </c>
      <c r="Q68" s="392">
        <f t="shared" si="1"/>
        <v>0</v>
      </c>
      <c r="R68" s="687">
        <f t="shared" si="2"/>
        <v>0</v>
      </c>
      <c r="S68" s="532">
        <v>62000.04</v>
      </c>
      <c r="T68" s="374"/>
      <c r="U68" s="520">
        <f t="shared" si="9"/>
        <v>-10032.959999999999</v>
      </c>
      <c r="V68" s="520">
        <f t="shared" si="10"/>
        <v>72033</v>
      </c>
      <c r="W68" s="520">
        <f t="shared" si="11"/>
        <v>70097.464020867134</v>
      </c>
      <c r="X68" s="520">
        <f t="shared" si="12"/>
        <v>1935.5359791328665</v>
      </c>
      <c r="Y68" s="525">
        <f t="shared" si="13"/>
        <v>34626.59709437222</v>
      </c>
    </row>
    <row r="69" spans="3:25" x14ac:dyDescent="0.2">
      <c r="C69" s="387">
        <f t="shared" si="3"/>
        <v>43202</v>
      </c>
      <c r="D69" s="388">
        <f t="shared" si="4"/>
        <v>155314.35733333332</v>
      </c>
      <c r="E69" s="392">
        <f t="shared" si="5"/>
        <v>74031.077999999994</v>
      </c>
      <c r="F69" s="732">
        <f t="shared" si="6"/>
        <v>1.0125691299999999</v>
      </c>
      <c r="G69" s="390">
        <f t="shared" si="7"/>
        <v>74.961600000000004</v>
      </c>
      <c r="H69" s="391">
        <f t="shared" si="0"/>
        <v>229421.40950246333</v>
      </c>
      <c r="I69" s="324">
        <v>72033</v>
      </c>
      <c r="J69" s="1370">
        <v>0</v>
      </c>
      <c r="K69" s="1371">
        <v>0</v>
      </c>
      <c r="L69" s="725">
        <v>74031.077999999994</v>
      </c>
      <c r="M69" s="1336">
        <v>0</v>
      </c>
      <c r="N69" s="1336">
        <v>0</v>
      </c>
      <c r="O69" s="1334">
        <v>0</v>
      </c>
      <c r="P69" s="392">
        <f t="shared" si="8"/>
        <v>74031.077999999994</v>
      </c>
      <c r="Q69" s="392">
        <f t="shared" si="1"/>
        <v>0</v>
      </c>
      <c r="R69" s="687">
        <f t="shared" si="2"/>
        <v>0</v>
      </c>
      <c r="S69" s="532">
        <v>62000.04</v>
      </c>
      <c r="T69" s="374"/>
      <c r="U69" s="520">
        <f t="shared" si="9"/>
        <v>-10032.959999999999</v>
      </c>
      <c r="V69" s="520">
        <f t="shared" si="10"/>
        <v>72033</v>
      </c>
      <c r="W69" s="520">
        <f t="shared" si="11"/>
        <v>70167.913361944768</v>
      </c>
      <c r="X69" s="520">
        <f t="shared" si="12"/>
        <v>1865.0866380552325</v>
      </c>
      <c r="Y69" s="525">
        <f t="shared" si="13"/>
        <v>36491.683732427453</v>
      </c>
    </row>
    <row r="70" spans="3:25" x14ac:dyDescent="0.2">
      <c r="C70" s="387">
        <f t="shared" si="3"/>
        <v>43203</v>
      </c>
      <c r="D70" s="388">
        <f t="shared" si="4"/>
        <v>155314.35733333332</v>
      </c>
      <c r="E70" s="392">
        <f t="shared" si="5"/>
        <v>73221.561000000002</v>
      </c>
      <c r="F70" s="732">
        <f t="shared" si="6"/>
        <v>1.0125691299999999</v>
      </c>
      <c r="G70" s="390">
        <f t="shared" si="7"/>
        <v>74.141900000000007</v>
      </c>
      <c r="H70" s="391">
        <f t="shared" si="0"/>
        <v>228611.07280246331</v>
      </c>
      <c r="I70" s="324">
        <v>72033</v>
      </c>
      <c r="J70" s="1370">
        <v>0</v>
      </c>
      <c r="K70" s="1371">
        <v>0</v>
      </c>
      <c r="L70" s="724">
        <v>73221.561000000002</v>
      </c>
      <c r="M70" s="1336">
        <v>0</v>
      </c>
      <c r="N70" s="1336">
        <v>0</v>
      </c>
      <c r="O70" s="1334">
        <v>0</v>
      </c>
      <c r="P70" s="392">
        <f t="shared" si="8"/>
        <v>73221.561000000002</v>
      </c>
      <c r="Q70" s="392">
        <f t="shared" si="1"/>
        <v>0</v>
      </c>
      <c r="R70" s="687">
        <f t="shared" si="2"/>
        <v>0</v>
      </c>
      <c r="S70" s="532">
        <v>62000.04</v>
      </c>
      <c r="T70" s="374"/>
      <c r="U70" s="520">
        <f t="shared" si="9"/>
        <v>-10032.959999999999</v>
      </c>
      <c r="V70" s="520">
        <f t="shared" si="10"/>
        <v>72033</v>
      </c>
      <c r="W70" s="520">
        <f t="shared" si="11"/>
        <v>69400.639397340055</v>
      </c>
      <c r="X70" s="520">
        <f t="shared" si="12"/>
        <v>2632.3606026599446</v>
      </c>
      <c r="Y70" s="525">
        <f t="shared" si="13"/>
        <v>39124.044335087397</v>
      </c>
    </row>
    <row r="71" spans="3:25" x14ac:dyDescent="0.2">
      <c r="C71" s="387">
        <f t="shared" si="3"/>
        <v>43204</v>
      </c>
      <c r="D71" s="388">
        <f t="shared" si="4"/>
        <v>155314.35733333332</v>
      </c>
      <c r="E71" s="392">
        <f t="shared" si="5"/>
        <v>72440.960999999996</v>
      </c>
      <c r="F71" s="732">
        <f t="shared" si="6"/>
        <v>1.0125691299999999</v>
      </c>
      <c r="G71" s="390">
        <f t="shared" si="7"/>
        <v>73.351500000000001</v>
      </c>
      <c r="H71" s="391">
        <f t="shared" si="0"/>
        <v>227829.68240246328</v>
      </c>
      <c r="I71" s="324">
        <v>72033</v>
      </c>
      <c r="J71" s="1370">
        <v>0</v>
      </c>
      <c r="K71" s="1371">
        <v>0</v>
      </c>
      <c r="L71" s="725">
        <v>72440.960999999996</v>
      </c>
      <c r="M71" s="1336">
        <v>0</v>
      </c>
      <c r="N71" s="1336">
        <v>0</v>
      </c>
      <c r="O71" s="1334">
        <v>0</v>
      </c>
      <c r="P71" s="392">
        <f t="shared" si="8"/>
        <v>72440.960999999996</v>
      </c>
      <c r="Q71" s="392">
        <f t="shared" si="1"/>
        <v>0</v>
      </c>
      <c r="R71" s="687">
        <f t="shared" si="2"/>
        <v>0</v>
      </c>
      <c r="S71" s="532">
        <v>62000.04</v>
      </c>
      <c r="T71" s="374"/>
      <c r="U71" s="520">
        <f t="shared" si="9"/>
        <v>-10032.959999999999</v>
      </c>
      <c r="V71" s="520">
        <f t="shared" si="10"/>
        <v>72033</v>
      </c>
      <c r="W71" s="520">
        <f t="shared" si="11"/>
        <v>68660.773456574811</v>
      </c>
      <c r="X71" s="520">
        <f t="shared" si="12"/>
        <v>3372.2265434251894</v>
      </c>
      <c r="Y71" s="525">
        <f t="shared" si="13"/>
        <v>42496.270878512587</v>
      </c>
    </row>
    <row r="72" spans="3:25" x14ac:dyDescent="0.2">
      <c r="C72" s="387">
        <f t="shared" si="3"/>
        <v>43205</v>
      </c>
      <c r="D72" s="388">
        <f t="shared" si="4"/>
        <v>155314.35733333332</v>
      </c>
      <c r="E72" s="392">
        <f t="shared" si="5"/>
        <v>71316.84</v>
      </c>
      <c r="F72" s="732">
        <f t="shared" si="6"/>
        <v>1.0125691299999999</v>
      </c>
      <c r="G72" s="390">
        <f t="shared" si="7"/>
        <v>72.213200000000001</v>
      </c>
      <c r="H72" s="391">
        <f t="shared" si="0"/>
        <v>226704.4231024633</v>
      </c>
      <c r="I72" s="324">
        <v>72033</v>
      </c>
      <c r="J72" s="1370">
        <v>0</v>
      </c>
      <c r="K72" s="1371">
        <v>0</v>
      </c>
      <c r="L72" s="724">
        <v>71316.84</v>
      </c>
      <c r="M72" s="1336">
        <v>0</v>
      </c>
      <c r="N72" s="1336">
        <v>0</v>
      </c>
      <c r="O72" s="1334">
        <v>0</v>
      </c>
      <c r="P72" s="392">
        <f t="shared" si="8"/>
        <v>71316.84</v>
      </c>
      <c r="Q72" s="392">
        <f t="shared" si="1"/>
        <v>0</v>
      </c>
      <c r="R72" s="687">
        <f t="shared" si="2"/>
        <v>0</v>
      </c>
      <c r="S72" s="532">
        <v>68000.13</v>
      </c>
      <c r="T72" s="374"/>
      <c r="U72" s="520">
        <f t="shared" si="9"/>
        <v>-4032.8699999999953</v>
      </c>
      <c r="V72" s="520">
        <f t="shared" si="10"/>
        <v>72033</v>
      </c>
      <c r="W72" s="520">
        <f t="shared" si="11"/>
        <v>67595.312476304578</v>
      </c>
      <c r="X72" s="520">
        <f t="shared" si="12"/>
        <v>4437.687523695422</v>
      </c>
      <c r="Y72" s="525">
        <f t="shared" si="13"/>
        <v>46933.958402208009</v>
      </c>
    </row>
    <row r="73" spans="3:25" x14ac:dyDescent="0.2">
      <c r="C73" s="387">
        <f t="shared" si="3"/>
        <v>43206</v>
      </c>
      <c r="D73" s="388">
        <f t="shared" si="4"/>
        <v>155314.35733333332</v>
      </c>
      <c r="E73" s="392">
        <f t="shared" si="5"/>
        <v>73895</v>
      </c>
      <c r="F73" s="732">
        <f t="shared" si="6"/>
        <v>1.0125691299999999</v>
      </c>
      <c r="G73" s="390">
        <f t="shared" si="7"/>
        <v>74.823800000000006</v>
      </c>
      <c r="H73" s="391">
        <f t="shared" si="0"/>
        <v>229285.19370246332</v>
      </c>
      <c r="I73" s="324">
        <v>72033</v>
      </c>
      <c r="J73" s="1370">
        <v>0</v>
      </c>
      <c r="K73" s="1371">
        <v>0</v>
      </c>
      <c r="L73" s="725">
        <v>73895</v>
      </c>
      <c r="M73" s="1336">
        <v>0</v>
      </c>
      <c r="N73" s="1336">
        <v>0</v>
      </c>
      <c r="O73" s="1334">
        <v>0</v>
      </c>
      <c r="P73" s="392">
        <f t="shared" si="8"/>
        <v>73895</v>
      </c>
      <c r="Q73" s="392">
        <f t="shared" si="1"/>
        <v>0</v>
      </c>
      <c r="R73" s="687">
        <f t="shared" si="2"/>
        <v>0</v>
      </c>
      <c r="S73" s="532">
        <v>68000.13</v>
      </c>
      <c r="T73" s="374"/>
      <c r="U73" s="520">
        <f t="shared" si="9"/>
        <v>-4032.8699999999953</v>
      </c>
      <c r="V73" s="520">
        <f t="shared" si="10"/>
        <v>72033</v>
      </c>
      <c r="W73" s="520">
        <f t="shared" si="11"/>
        <v>70038.936321863483</v>
      </c>
      <c r="X73" s="520">
        <f t="shared" si="12"/>
        <v>1994.0636781365174</v>
      </c>
      <c r="Y73" s="525">
        <f t="shared" si="13"/>
        <v>48928.022080344526</v>
      </c>
    </row>
    <row r="74" spans="3:25" x14ac:dyDescent="0.2">
      <c r="C74" s="387">
        <f t="shared" si="3"/>
        <v>43207</v>
      </c>
      <c r="D74" s="388">
        <f t="shared" si="4"/>
        <v>155314.35733333332</v>
      </c>
      <c r="E74" s="392">
        <f t="shared" si="5"/>
        <v>74731.812999999995</v>
      </c>
      <c r="F74" s="732">
        <f t="shared" si="6"/>
        <v>1.0125691299999999</v>
      </c>
      <c r="G74" s="390">
        <f t="shared" si="7"/>
        <v>75.671099999999996</v>
      </c>
      <c r="H74" s="391">
        <f t="shared" si="0"/>
        <v>230122.85400246331</v>
      </c>
      <c r="I74" s="324">
        <v>72033</v>
      </c>
      <c r="J74" s="1370">
        <v>0</v>
      </c>
      <c r="K74" s="1371">
        <v>0</v>
      </c>
      <c r="L74" s="724">
        <v>74731.812999999995</v>
      </c>
      <c r="M74" s="1336">
        <v>0</v>
      </c>
      <c r="N74" s="1336">
        <v>0</v>
      </c>
      <c r="O74" s="1334">
        <v>0</v>
      </c>
      <c r="P74" s="392">
        <f t="shared" si="8"/>
        <v>74731.812999999995</v>
      </c>
      <c r="Q74" s="392">
        <f t="shared" si="1"/>
        <v>0</v>
      </c>
      <c r="R74" s="687">
        <f t="shared" si="2"/>
        <v>0</v>
      </c>
      <c r="S74" s="532">
        <v>68000.13</v>
      </c>
      <c r="T74" s="374"/>
      <c r="U74" s="520">
        <f t="shared" si="9"/>
        <v>-4032.8699999999953</v>
      </c>
      <c r="V74" s="520">
        <f t="shared" si="10"/>
        <v>72033</v>
      </c>
      <c r="W74" s="520">
        <f t="shared" si="11"/>
        <v>70832.081898970282</v>
      </c>
      <c r="X74" s="520">
        <f t="shared" si="12"/>
        <v>1200.9181010297179</v>
      </c>
      <c r="Y74" s="525">
        <f t="shared" si="13"/>
        <v>50128.940181374244</v>
      </c>
    </row>
    <row r="75" spans="3:25" x14ac:dyDescent="0.2">
      <c r="C75" s="387">
        <f t="shared" si="3"/>
        <v>43208</v>
      </c>
      <c r="D75" s="388">
        <f t="shared" si="4"/>
        <v>155314.35733333332</v>
      </c>
      <c r="E75" s="392">
        <f t="shared" si="5"/>
        <v>73859.429999999993</v>
      </c>
      <c r="F75" s="732">
        <f t="shared" si="6"/>
        <v>1.0125691299999999</v>
      </c>
      <c r="G75" s="390">
        <f t="shared" si="7"/>
        <v>74.787800000000004</v>
      </c>
      <c r="H75" s="391">
        <f t="shared" si="0"/>
        <v>229249.58770246329</v>
      </c>
      <c r="I75" s="324">
        <v>72033</v>
      </c>
      <c r="J75" s="1370">
        <v>0</v>
      </c>
      <c r="K75" s="1371">
        <v>0</v>
      </c>
      <c r="L75" s="725">
        <v>73859.429999999993</v>
      </c>
      <c r="M75" s="1336">
        <v>0</v>
      </c>
      <c r="N75" s="1336">
        <v>0</v>
      </c>
      <c r="O75" s="1334">
        <v>0</v>
      </c>
      <c r="P75" s="392">
        <f t="shared" si="8"/>
        <v>73859.429999999993</v>
      </c>
      <c r="Q75" s="392">
        <f t="shared" si="1"/>
        <v>0</v>
      </c>
      <c r="R75" s="687">
        <f t="shared" si="2"/>
        <v>0</v>
      </c>
      <c r="S75" s="532">
        <v>64999.600000000006</v>
      </c>
      <c r="T75" s="374"/>
      <c r="U75" s="520">
        <f t="shared" si="9"/>
        <v>-7033.3999999999942</v>
      </c>
      <c r="V75" s="520">
        <f t="shared" si="10"/>
        <v>72033</v>
      </c>
      <c r="W75" s="520">
        <f t="shared" si="11"/>
        <v>70005.222471603396</v>
      </c>
      <c r="X75" s="520">
        <f t="shared" si="12"/>
        <v>2027.7775283966039</v>
      </c>
      <c r="Y75" s="525">
        <f t="shared" si="13"/>
        <v>52156.717709770848</v>
      </c>
    </row>
    <row r="76" spans="3:25" x14ac:dyDescent="0.2">
      <c r="C76" s="387">
        <f t="shared" si="3"/>
        <v>43209</v>
      </c>
      <c r="D76" s="388">
        <f t="shared" si="4"/>
        <v>155314.35733333332</v>
      </c>
      <c r="E76" s="392">
        <f t="shared" si="5"/>
        <v>74753.259999999995</v>
      </c>
      <c r="F76" s="732">
        <f t="shared" si="6"/>
        <v>1.0125691299999999</v>
      </c>
      <c r="G76" s="390">
        <f t="shared" si="7"/>
        <v>75.692800000000005</v>
      </c>
      <c r="H76" s="391">
        <f t="shared" si="0"/>
        <v>230144.32270246328</v>
      </c>
      <c r="I76" s="324">
        <v>72033</v>
      </c>
      <c r="J76" s="1370">
        <v>0</v>
      </c>
      <c r="K76" s="1371">
        <v>0</v>
      </c>
      <c r="L76" s="724">
        <v>74753.259999999995</v>
      </c>
      <c r="M76" s="1336">
        <v>0</v>
      </c>
      <c r="N76" s="1336">
        <v>0</v>
      </c>
      <c r="O76" s="1334">
        <v>0</v>
      </c>
      <c r="P76" s="392">
        <f t="shared" si="8"/>
        <v>74753.259999999995</v>
      </c>
      <c r="Q76" s="392">
        <f t="shared" si="1"/>
        <v>0</v>
      </c>
      <c r="R76" s="687">
        <f t="shared" si="2"/>
        <v>0</v>
      </c>
      <c r="S76" s="532">
        <v>64999.600000000006</v>
      </c>
      <c r="T76" s="374"/>
      <c r="U76" s="520">
        <f t="shared" si="9"/>
        <v>-7033.3999999999942</v>
      </c>
      <c r="V76" s="520">
        <f t="shared" si="10"/>
        <v>72033</v>
      </c>
      <c r="W76" s="520">
        <f t="shared" si="11"/>
        <v>70852.409729910069</v>
      </c>
      <c r="X76" s="520">
        <f t="shared" si="12"/>
        <v>1180.5902700899314</v>
      </c>
      <c r="Y76" s="525">
        <f t="shared" si="13"/>
        <v>53337.30797986078</v>
      </c>
    </row>
    <row r="77" spans="3:25" x14ac:dyDescent="0.2">
      <c r="C77" s="387">
        <f t="shared" si="3"/>
        <v>43210</v>
      </c>
      <c r="D77" s="388">
        <f t="shared" si="4"/>
        <v>155314.35733333332</v>
      </c>
      <c r="E77" s="392">
        <f t="shared" si="5"/>
        <v>74071.539999999994</v>
      </c>
      <c r="F77" s="732">
        <f t="shared" si="6"/>
        <v>1.0125691299999999</v>
      </c>
      <c r="G77" s="390">
        <f t="shared" si="7"/>
        <v>75.002600000000001</v>
      </c>
      <c r="H77" s="391">
        <f t="shared" si="0"/>
        <v>229461.91250246332</v>
      </c>
      <c r="I77" s="324">
        <v>72033</v>
      </c>
      <c r="J77" s="1370">
        <v>0</v>
      </c>
      <c r="K77" s="1371">
        <v>0</v>
      </c>
      <c r="L77" s="725">
        <v>74071.539999999994</v>
      </c>
      <c r="M77" s="1336">
        <v>0</v>
      </c>
      <c r="N77" s="1336">
        <v>0</v>
      </c>
      <c r="O77" s="1334">
        <v>0</v>
      </c>
      <c r="P77" s="392">
        <f t="shared" si="8"/>
        <v>74071.539999999994</v>
      </c>
      <c r="Q77" s="392">
        <f t="shared" si="1"/>
        <v>0</v>
      </c>
      <c r="R77" s="687">
        <f t="shared" si="2"/>
        <v>0</v>
      </c>
      <c r="S77" s="532">
        <v>64999.600000000006</v>
      </c>
      <c r="T77" s="374"/>
      <c r="U77" s="520">
        <f t="shared" si="9"/>
        <v>-7033.3999999999942</v>
      </c>
      <c r="V77" s="520">
        <f t="shared" si="10"/>
        <v>72033</v>
      </c>
      <c r="W77" s="520">
        <f t="shared" si="11"/>
        <v>70206.263932909715</v>
      </c>
      <c r="X77" s="520">
        <f t="shared" si="12"/>
        <v>1826.7360670902854</v>
      </c>
      <c r="Y77" s="525">
        <f t="shared" si="13"/>
        <v>55164.044046951065</v>
      </c>
    </row>
    <row r="78" spans="3:25" x14ac:dyDescent="0.2">
      <c r="C78" s="387">
        <f t="shared" si="3"/>
        <v>43211</v>
      </c>
      <c r="D78" s="388">
        <f t="shared" si="4"/>
        <v>155314.35733333332</v>
      </c>
      <c r="E78" s="392">
        <f t="shared" si="5"/>
        <v>74175.62</v>
      </c>
      <c r="F78" s="732">
        <f t="shared" si="6"/>
        <v>1.0125691299999999</v>
      </c>
      <c r="G78" s="390">
        <f t="shared" si="7"/>
        <v>75.107900000000001</v>
      </c>
      <c r="H78" s="391">
        <f t="shared" si="0"/>
        <v>229566.09780246331</v>
      </c>
      <c r="I78" s="324">
        <v>72033</v>
      </c>
      <c r="J78" s="1370">
        <v>0</v>
      </c>
      <c r="K78" s="1371">
        <v>0</v>
      </c>
      <c r="L78" s="724">
        <v>74175.62</v>
      </c>
      <c r="M78" s="1336">
        <v>0</v>
      </c>
      <c r="N78" s="1336">
        <v>0</v>
      </c>
      <c r="O78" s="1334">
        <v>0</v>
      </c>
      <c r="P78" s="392">
        <f t="shared" si="8"/>
        <v>74175.62</v>
      </c>
      <c r="Q78" s="392">
        <f t="shared" si="1"/>
        <v>0</v>
      </c>
      <c r="R78" s="687">
        <f t="shared" si="2"/>
        <v>0</v>
      </c>
      <c r="S78" s="532">
        <v>64999.600000000006</v>
      </c>
      <c r="T78" s="374"/>
      <c r="U78" s="520">
        <f t="shared" si="9"/>
        <v>-7033.3999999999942</v>
      </c>
      <c r="V78" s="520">
        <f t="shared" si="10"/>
        <v>72033</v>
      </c>
      <c r="W78" s="520">
        <f t="shared" si="11"/>
        <v>70304.912725011745</v>
      </c>
      <c r="X78" s="520">
        <f t="shared" si="12"/>
        <v>1728.0872749882546</v>
      </c>
      <c r="Y78" s="525">
        <f t="shared" si="13"/>
        <v>56892.13132193932</v>
      </c>
    </row>
    <row r="79" spans="3:25" x14ac:dyDescent="0.2">
      <c r="C79" s="387">
        <f t="shared" si="3"/>
        <v>43212</v>
      </c>
      <c r="D79" s="388">
        <f t="shared" si="4"/>
        <v>155314.35733333332</v>
      </c>
      <c r="E79" s="392">
        <f t="shared" si="5"/>
        <v>73259.5</v>
      </c>
      <c r="F79" s="732">
        <f t="shared" si="6"/>
        <v>1.0125691299999999</v>
      </c>
      <c r="G79" s="390">
        <f t="shared" si="7"/>
        <v>74.180300000000003</v>
      </c>
      <c r="H79" s="391">
        <f t="shared" si="0"/>
        <v>228649.05020246332</v>
      </c>
      <c r="I79" s="324">
        <v>72033</v>
      </c>
      <c r="J79" s="1370">
        <v>0</v>
      </c>
      <c r="K79" s="1371">
        <v>0</v>
      </c>
      <c r="L79" s="725">
        <v>73259.5</v>
      </c>
      <c r="M79" s="1336">
        <v>0</v>
      </c>
      <c r="N79" s="1336">
        <v>0</v>
      </c>
      <c r="O79" s="1334">
        <v>0</v>
      </c>
      <c r="P79" s="392">
        <f t="shared" si="8"/>
        <v>73259.5</v>
      </c>
      <c r="Q79" s="392">
        <f t="shared" si="1"/>
        <v>0</v>
      </c>
      <c r="R79" s="687">
        <f t="shared" si="2"/>
        <v>0</v>
      </c>
      <c r="S79" s="532">
        <v>68000.13</v>
      </c>
      <c r="T79" s="374"/>
      <c r="U79" s="520">
        <f t="shared" si="9"/>
        <v>-4032.8699999999953</v>
      </c>
      <c r="V79" s="520">
        <f t="shared" si="10"/>
        <v>72033</v>
      </c>
      <c r="W79" s="520">
        <f t="shared" si="11"/>
        <v>69436.598626044492</v>
      </c>
      <c r="X79" s="520">
        <f t="shared" si="12"/>
        <v>2596.4013739555085</v>
      </c>
      <c r="Y79" s="525">
        <f t="shared" si="13"/>
        <v>59488.532695894828</v>
      </c>
    </row>
    <row r="80" spans="3:25" x14ac:dyDescent="0.2">
      <c r="C80" s="387">
        <f t="shared" si="3"/>
        <v>43213</v>
      </c>
      <c r="D80" s="388">
        <f t="shared" si="4"/>
        <v>155314.35733333332</v>
      </c>
      <c r="E80" s="392">
        <f t="shared" si="5"/>
        <v>75508.45</v>
      </c>
      <c r="F80" s="732">
        <f t="shared" si="6"/>
        <v>1.0125691299999999</v>
      </c>
      <c r="G80" s="390">
        <f t="shared" si="7"/>
        <v>76.457499999999996</v>
      </c>
      <c r="H80" s="391">
        <f t="shared" si="0"/>
        <v>230900.27740246328</v>
      </c>
      <c r="I80" s="324">
        <v>72033</v>
      </c>
      <c r="J80" s="1370">
        <v>0</v>
      </c>
      <c r="K80" s="1371">
        <v>0</v>
      </c>
      <c r="L80" s="724">
        <v>75508.45</v>
      </c>
      <c r="M80" s="1336">
        <v>0</v>
      </c>
      <c r="N80" s="1336">
        <v>0</v>
      </c>
      <c r="O80" s="1334">
        <v>0</v>
      </c>
      <c r="P80" s="392">
        <f t="shared" si="8"/>
        <v>75508.45</v>
      </c>
      <c r="Q80" s="392">
        <f t="shared" si="1"/>
        <v>0</v>
      </c>
      <c r="R80" s="687">
        <f t="shared" si="2"/>
        <v>0</v>
      </c>
      <c r="S80" s="532">
        <v>68000.13</v>
      </c>
      <c r="T80" s="374"/>
      <c r="U80" s="520">
        <f t="shared" si="9"/>
        <v>-4032.8699999999953</v>
      </c>
      <c r="V80" s="520">
        <f t="shared" si="10"/>
        <v>72033</v>
      </c>
      <c r="W80" s="520">
        <f t="shared" si="11"/>
        <v>71568.191641012425</v>
      </c>
      <c r="X80" s="520">
        <f t="shared" si="12"/>
        <v>464.80835898757505</v>
      </c>
      <c r="Y80" s="525">
        <f t="shared" si="13"/>
        <v>59953.341054882403</v>
      </c>
    </row>
    <row r="81" spans="2:38" x14ac:dyDescent="0.2">
      <c r="C81" s="387">
        <f t="shared" si="3"/>
        <v>43214</v>
      </c>
      <c r="D81" s="388">
        <f t="shared" si="4"/>
        <v>155314.35733333332</v>
      </c>
      <c r="E81" s="392">
        <f t="shared" si="5"/>
        <v>75262.2</v>
      </c>
      <c r="F81" s="732">
        <f t="shared" si="6"/>
        <v>1.0125691299999999</v>
      </c>
      <c r="G81" s="390">
        <f t="shared" si="7"/>
        <v>76.208200000000005</v>
      </c>
      <c r="H81" s="391">
        <f t="shared" si="0"/>
        <v>230653.77810246329</v>
      </c>
      <c r="I81" s="324">
        <v>72033</v>
      </c>
      <c r="J81" s="1370">
        <v>0</v>
      </c>
      <c r="K81" s="1371">
        <v>0</v>
      </c>
      <c r="L81" s="725">
        <v>75262.2</v>
      </c>
      <c r="M81" s="1336">
        <v>0</v>
      </c>
      <c r="N81" s="1336">
        <v>0</v>
      </c>
      <c r="O81" s="1334">
        <v>0</v>
      </c>
      <c r="P81" s="392">
        <f t="shared" si="8"/>
        <v>75262.2</v>
      </c>
      <c r="Q81" s="392">
        <f t="shared" si="1"/>
        <v>0</v>
      </c>
      <c r="R81" s="687">
        <f t="shared" si="2"/>
        <v>0</v>
      </c>
      <c r="S81" s="532">
        <v>68000.13</v>
      </c>
      <c r="T81" s="374"/>
      <c r="U81" s="520">
        <f t="shared" si="9"/>
        <v>-4032.8699999999953</v>
      </c>
      <c r="V81" s="520">
        <f t="shared" si="10"/>
        <v>72033</v>
      </c>
      <c r="W81" s="520">
        <f t="shared" si="11"/>
        <v>71334.791707738739</v>
      </c>
      <c r="X81" s="520">
        <f t="shared" si="12"/>
        <v>698.20829226126079</v>
      </c>
      <c r="Y81" s="525">
        <f t="shared" si="13"/>
        <v>60651.549347143664</v>
      </c>
    </row>
    <row r="82" spans="2:38" x14ac:dyDescent="0.2">
      <c r="C82" s="387">
        <f t="shared" si="3"/>
        <v>43215</v>
      </c>
      <c r="D82" s="388">
        <f t="shared" si="4"/>
        <v>155314.35733333332</v>
      </c>
      <c r="E82" s="392">
        <f t="shared" si="5"/>
        <v>74276.2</v>
      </c>
      <c r="F82" s="732">
        <f t="shared" si="6"/>
        <v>1.0125691299999999</v>
      </c>
      <c r="G82" s="390">
        <f t="shared" si="7"/>
        <v>75.209800000000001</v>
      </c>
      <c r="H82" s="391">
        <f t="shared" si="0"/>
        <v>229666.7797024633</v>
      </c>
      <c r="I82" s="324">
        <v>72033</v>
      </c>
      <c r="J82" s="1370">
        <v>0</v>
      </c>
      <c r="K82" s="1371">
        <v>0</v>
      </c>
      <c r="L82" s="724">
        <v>74276.2</v>
      </c>
      <c r="M82" s="1336">
        <v>0</v>
      </c>
      <c r="N82" s="1336">
        <v>0</v>
      </c>
      <c r="O82" s="1334">
        <v>0</v>
      </c>
      <c r="P82" s="392">
        <f t="shared" si="8"/>
        <v>74276.2</v>
      </c>
      <c r="Q82" s="392">
        <f t="shared" si="1"/>
        <v>0</v>
      </c>
      <c r="R82" s="687">
        <f t="shared" si="2"/>
        <v>0</v>
      </c>
      <c r="S82" s="532">
        <v>66999.63</v>
      </c>
      <c r="T82" s="374"/>
      <c r="U82" s="520">
        <f t="shared" si="9"/>
        <v>-5033.3699999999953</v>
      </c>
      <c r="V82" s="520">
        <f t="shared" si="10"/>
        <v>72033</v>
      </c>
      <c r="W82" s="520">
        <f t="shared" si="11"/>
        <v>70400.244157656081</v>
      </c>
      <c r="X82" s="520">
        <f t="shared" si="12"/>
        <v>1632.7558423439186</v>
      </c>
      <c r="Y82" s="525">
        <f t="shared" si="13"/>
        <v>62284.305189487583</v>
      </c>
    </row>
    <row r="83" spans="2:38" x14ac:dyDescent="0.2">
      <c r="C83" s="387">
        <f t="shared" si="3"/>
        <v>43216</v>
      </c>
      <c r="D83" s="388">
        <f t="shared" si="4"/>
        <v>155314.35733333332</v>
      </c>
      <c r="E83" s="392">
        <f t="shared" si="5"/>
        <v>74561.875</v>
      </c>
      <c r="F83" s="732">
        <f t="shared" si="6"/>
        <v>1.0125691299999999</v>
      </c>
      <c r="G83" s="390">
        <f t="shared" si="7"/>
        <v>75.499099999999999</v>
      </c>
      <c r="H83" s="391">
        <f t="shared" si="0"/>
        <v>229952.7440024633</v>
      </c>
      <c r="I83" s="324">
        <v>72033</v>
      </c>
      <c r="J83" s="1370">
        <v>0</v>
      </c>
      <c r="K83" s="1371">
        <v>0</v>
      </c>
      <c r="L83" s="725">
        <v>74561.875</v>
      </c>
      <c r="M83" s="1336">
        <v>0</v>
      </c>
      <c r="N83" s="1336">
        <v>0</v>
      </c>
      <c r="O83" s="1334">
        <v>0</v>
      </c>
      <c r="P83" s="392">
        <f t="shared" si="8"/>
        <v>74561.875</v>
      </c>
      <c r="Q83" s="392">
        <f t="shared" si="1"/>
        <v>0</v>
      </c>
      <c r="R83" s="687">
        <f t="shared" si="2"/>
        <v>0</v>
      </c>
      <c r="S83" s="532">
        <v>66999.63</v>
      </c>
      <c r="T83" s="374"/>
      <c r="U83" s="520">
        <f t="shared" si="9"/>
        <v>-5033.3699999999953</v>
      </c>
      <c r="V83" s="520">
        <f t="shared" si="10"/>
        <v>72033</v>
      </c>
      <c r="W83" s="520">
        <f t="shared" si="11"/>
        <v>70671.011775678257</v>
      </c>
      <c r="X83" s="520">
        <f t="shared" si="12"/>
        <v>1361.9882243217435</v>
      </c>
      <c r="Y83" s="525">
        <f t="shared" si="13"/>
        <v>63646.293413809326</v>
      </c>
    </row>
    <row r="84" spans="2:38" x14ac:dyDescent="0.2">
      <c r="C84" s="387">
        <f t="shared" si="3"/>
        <v>43217</v>
      </c>
      <c r="D84" s="388">
        <f t="shared" si="4"/>
        <v>155314.35733333332</v>
      </c>
      <c r="E84" s="392">
        <f t="shared" si="5"/>
        <v>74955.520000000004</v>
      </c>
      <c r="F84" s="732">
        <f t="shared" si="6"/>
        <v>1.0125691299999999</v>
      </c>
      <c r="G84" s="390">
        <f t="shared" si="7"/>
        <v>75.897599999999997</v>
      </c>
      <c r="H84" s="391">
        <f t="shared" si="0"/>
        <v>230346.7875024633</v>
      </c>
      <c r="I84" s="324">
        <v>72033</v>
      </c>
      <c r="J84" s="1370">
        <v>0</v>
      </c>
      <c r="K84" s="1371">
        <v>0</v>
      </c>
      <c r="L84" s="724">
        <v>74955.520000000004</v>
      </c>
      <c r="M84" s="1336">
        <v>0</v>
      </c>
      <c r="N84" s="1336">
        <v>0</v>
      </c>
      <c r="O84" s="1334">
        <v>0</v>
      </c>
      <c r="P84" s="392">
        <f t="shared" si="8"/>
        <v>74955.520000000004</v>
      </c>
      <c r="Q84" s="392">
        <f t="shared" si="1"/>
        <v>0</v>
      </c>
      <c r="R84" s="687">
        <f t="shared" si="2"/>
        <v>0</v>
      </c>
      <c r="S84" s="532">
        <v>66999.63</v>
      </c>
      <c r="T84" s="374"/>
      <c r="U84" s="520">
        <f t="shared" si="9"/>
        <v>-5033.3699999999953</v>
      </c>
      <c r="V84" s="520">
        <f t="shared" si="10"/>
        <v>72033</v>
      </c>
      <c r="W84" s="520">
        <f t="shared" si="11"/>
        <v>71044.115193885445</v>
      </c>
      <c r="X84" s="520">
        <f t="shared" si="12"/>
        <v>988.88480611455452</v>
      </c>
      <c r="Y84" s="525">
        <f t="shared" si="13"/>
        <v>64635.178219923881</v>
      </c>
    </row>
    <row r="85" spans="2:38" x14ac:dyDescent="0.2">
      <c r="C85" s="387">
        <f t="shared" si="3"/>
        <v>43218</v>
      </c>
      <c r="D85" s="388">
        <f t="shared" si="4"/>
        <v>155314.35733333332</v>
      </c>
      <c r="E85" s="392">
        <f t="shared" si="5"/>
        <v>71561.509999999995</v>
      </c>
      <c r="F85" s="732">
        <f t="shared" si="6"/>
        <v>1.0125691299999999</v>
      </c>
      <c r="G85" s="390">
        <f t="shared" si="7"/>
        <v>72.460999999999999</v>
      </c>
      <c r="H85" s="391">
        <f t="shared" si="0"/>
        <v>226949.3409024633</v>
      </c>
      <c r="I85" s="324">
        <v>72033</v>
      </c>
      <c r="J85" s="1370">
        <v>0</v>
      </c>
      <c r="K85" s="1371">
        <v>0</v>
      </c>
      <c r="L85" s="725">
        <v>71561.509999999995</v>
      </c>
      <c r="M85" s="1336">
        <v>0</v>
      </c>
      <c r="N85" s="1336">
        <v>0</v>
      </c>
      <c r="O85" s="1334">
        <v>0</v>
      </c>
      <c r="P85" s="392">
        <f t="shared" si="8"/>
        <v>71561.509999999995</v>
      </c>
      <c r="Q85" s="392">
        <f t="shared" si="1"/>
        <v>0</v>
      </c>
      <c r="R85" s="687">
        <f t="shared" si="2"/>
        <v>0</v>
      </c>
      <c r="S85" s="532">
        <v>72999.73000000001</v>
      </c>
      <c r="T85" s="374"/>
      <c r="U85" s="520">
        <f t="shared" si="9"/>
        <v>966.73000000001048</v>
      </c>
      <c r="V85" s="520">
        <f t="shared" si="10"/>
        <v>72033</v>
      </c>
      <c r="W85" s="520">
        <f t="shared" si="11"/>
        <v>67827.214858737352</v>
      </c>
      <c r="X85" s="520">
        <f t="shared" si="12"/>
        <v>4205.7851412626478</v>
      </c>
      <c r="Y85" s="525">
        <f t="shared" si="13"/>
        <v>68840.963361186528</v>
      </c>
    </row>
    <row r="86" spans="2:38" x14ac:dyDescent="0.2">
      <c r="C86" s="387">
        <f t="shared" si="3"/>
        <v>43219</v>
      </c>
      <c r="D86" s="388">
        <f t="shared" si="4"/>
        <v>155314.35733333332</v>
      </c>
      <c r="E86" s="392">
        <f t="shared" si="5"/>
        <v>71229.899999999994</v>
      </c>
      <c r="F86" s="732">
        <f t="shared" si="6"/>
        <v>1.0125691299999999</v>
      </c>
      <c r="G86" s="390">
        <f t="shared" si="7"/>
        <v>72.125200000000007</v>
      </c>
      <c r="H86" s="391">
        <f t="shared" si="0"/>
        <v>226617.39510246331</v>
      </c>
      <c r="I86" s="324">
        <v>72033</v>
      </c>
      <c r="J86" s="1370">
        <v>0</v>
      </c>
      <c r="K86" s="1371">
        <v>0</v>
      </c>
      <c r="L86" s="724">
        <v>71229.899999999994</v>
      </c>
      <c r="M86" s="1336">
        <v>0</v>
      </c>
      <c r="N86" s="1336">
        <v>0</v>
      </c>
      <c r="O86" s="1334">
        <v>0</v>
      </c>
      <c r="P86" s="392">
        <f t="shared" si="8"/>
        <v>71229.899999999994</v>
      </c>
      <c r="Q86" s="392">
        <f t="shared" si="1"/>
        <v>0</v>
      </c>
      <c r="R86" s="687">
        <f t="shared" si="2"/>
        <v>0</v>
      </c>
      <c r="S86" s="532">
        <v>72999.73000000001</v>
      </c>
      <c r="T86" s="374"/>
      <c r="U86" s="520">
        <f t="shared" si="9"/>
        <v>966.73000000001048</v>
      </c>
      <c r="V86" s="520">
        <f t="shared" si="10"/>
        <v>72033</v>
      </c>
      <c r="W86" s="520">
        <f t="shared" si="11"/>
        <v>67512.909267375377</v>
      </c>
      <c r="X86" s="520">
        <f t="shared" si="12"/>
        <v>4520.0907326246233</v>
      </c>
      <c r="Y86" s="525">
        <f t="shared" si="13"/>
        <v>73361.054093811152</v>
      </c>
    </row>
    <row r="87" spans="2:38" x14ac:dyDescent="0.2">
      <c r="C87" s="387">
        <f t="shared" si="3"/>
        <v>43220</v>
      </c>
      <c r="D87" s="388">
        <f t="shared" si="4"/>
        <v>155314.35733333332</v>
      </c>
      <c r="E87" s="392">
        <f t="shared" si="5"/>
        <v>72358.054000000004</v>
      </c>
      <c r="F87" s="732">
        <f t="shared" si="6"/>
        <v>1.0125691299999999</v>
      </c>
      <c r="G87" s="390">
        <f t="shared" si="7"/>
        <v>73.267499999999998</v>
      </c>
      <c r="H87" s="391">
        <f t="shared" si="0"/>
        <v>227746.6914024633</v>
      </c>
      <c r="I87" s="324">
        <v>72033</v>
      </c>
      <c r="J87" s="1370">
        <v>0</v>
      </c>
      <c r="K87" s="1371">
        <v>0</v>
      </c>
      <c r="L87" s="725">
        <v>72358.054000000004</v>
      </c>
      <c r="M87" s="1336">
        <v>0</v>
      </c>
      <c r="N87" s="1336">
        <v>0</v>
      </c>
      <c r="O87" s="1334">
        <v>0</v>
      </c>
      <c r="P87" s="392">
        <f t="shared" si="8"/>
        <v>72358.054000000004</v>
      </c>
      <c r="Q87" s="392">
        <f t="shared" si="1"/>
        <v>0</v>
      </c>
      <c r="R87" s="687">
        <f t="shared" si="2"/>
        <v>0</v>
      </c>
      <c r="S87" s="532">
        <v>72999.73000000001</v>
      </c>
      <c r="T87" s="374"/>
      <c r="U87" s="520">
        <f t="shared" si="9"/>
        <v>966.73000000001048</v>
      </c>
      <c r="V87" s="520">
        <f t="shared" si="10"/>
        <v>72033</v>
      </c>
      <c r="W87" s="520">
        <f t="shared" si="11"/>
        <v>68582.192793557886</v>
      </c>
      <c r="X87" s="520">
        <f t="shared" si="12"/>
        <v>3450.807206442114</v>
      </c>
      <c r="Y87" s="525">
        <f t="shared" si="13"/>
        <v>76811.861300253266</v>
      </c>
    </row>
    <row r="88" spans="2:38" ht="15" thickBot="1" x14ac:dyDescent="0.25">
      <c r="C88" s="393"/>
      <c r="D88" s="394"/>
      <c r="E88" s="395"/>
      <c r="F88" s="748"/>
      <c r="G88" s="396"/>
      <c r="H88" s="397"/>
      <c r="I88" s="326"/>
      <c r="J88" s="327"/>
      <c r="K88" s="1326"/>
      <c r="L88" s="749"/>
      <c r="M88" s="750"/>
      <c r="N88" s="750"/>
      <c r="O88" s="1335"/>
      <c r="P88" s="395"/>
      <c r="Q88" s="395"/>
      <c r="R88" s="689"/>
      <c r="S88" s="560"/>
      <c r="T88" s="376"/>
      <c r="U88" s="528"/>
      <c r="V88" s="528"/>
      <c r="W88" s="528">
        <f t="shared" si="11"/>
        <v>0</v>
      </c>
      <c r="X88" s="528"/>
      <c r="Y88" s="529"/>
    </row>
    <row r="89" spans="2:38" ht="15" thickBot="1" x14ac:dyDescent="0.25">
      <c r="C89" s="398"/>
      <c r="D89" s="399">
        <f>SUM(D58:D88)</f>
        <v>4659430.7199999979</v>
      </c>
      <c r="E89" s="400">
        <f>SUM(E58:E88)</f>
        <v>2192927.7119999998</v>
      </c>
      <c r="F89" s="400"/>
      <c r="G89" s="401">
        <f>SUM(G58:G88)</f>
        <v>2220.4908</v>
      </c>
      <c r="H89" s="399">
        <f>SUM(H58:H88)</f>
        <v>6854609.2998738997</v>
      </c>
      <c r="I89" s="677">
        <f>SUM(I58:I88)</f>
        <v>2155306</v>
      </c>
      <c r="J89" s="432">
        <f t="shared" ref="J89:R89" si="14">SUM(J58:J88)</f>
        <v>0</v>
      </c>
      <c r="K89" s="432">
        <f t="shared" si="14"/>
        <v>0</v>
      </c>
      <c r="L89" s="677">
        <f>SUM(L58:L88)</f>
        <v>2192927.7119999998</v>
      </c>
      <c r="M89" s="432">
        <f t="shared" si="14"/>
        <v>0</v>
      </c>
      <c r="N89" s="432">
        <f t="shared" si="14"/>
        <v>0</v>
      </c>
      <c r="O89" s="432">
        <f t="shared" si="14"/>
        <v>0</v>
      </c>
      <c r="P89" s="432">
        <f t="shared" si="14"/>
        <v>2192927.7119999998</v>
      </c>
      <c r="Q89" s="432">
        <f t="shared" si="14"/>
        <v>0</v>
      </c>
      <c r="R89" s="432">
        <f t="shared" si="14"/>
        <v>0</v>
      </c>
      <c r="S89" s="361">
        <f>SUM(S58:S88)</f>
        <v>1949997.6999999997</v>
      </c>
      <c r="U89" s="530"/>
      <c r="V89" s="328">
        <f>SUM(V58:V88)</f>
        <v>2155306</v>
      </c>
      <c r="W89" s="328">
        <f>SUM(W58:W88)</f>
        <v>2078494.1386997472</v>
      </c>
      <c r="X89" s="328">
        <f>SUM(X58:X88)</f>
        <v>76811.861300253266</v>
      </c>
      <c r="Y89" s="323">
        <f>Y88</f>
        <v>0</v>
      </c>
      <c r="AL89" s="361">
        <f>Y88</f>
        <v>0</v>
      </c>
    </row>
    <row r="90" spans="2:38" ht="15" customHeight="1" thickBot="1" x14ac:dyDescent="0.25">
      <c r="B90" s="718"/>
      <c r="C90" s="718"/>
      <c r="D90" s="718"/>
      <c r="E90" s="718"/>
      <c r="F90" s="718"/>
      <c r="G90" s="718"/>
      <c r="H90" s="718"/>
      <c r="I90" s="718"/>
      <c r="J90" s="718"/>
      <c r="K90" s="718"/>
      <c r="L90" s="718"/>
      <c r="N90" s="2"/>
    </row>
    <row r="91" spans="2:38" x14ac:dyDescent="0.2">
      <c r="D91" s="440" t="s">
        <v>155</v>
      </c>
      <c r="E91" s="441" t="s">
        <v>156</v>
      </c>
      <c r="F91" s="442" t="s">
        <v>112</v>
      </c>
    </row>
    <row r="92" spans="2:38" x14ac:dyDescent="0.2">
      <c r="D92" s="443">
        <v>4659430.72</v>
      </c>
      <c r="E92" s="444">
        <f>D89</f>
        <v>4659430.7199999979</v>
      </c>
      <c r="F92" s="445">
        <f>D92-E92</f>
        <v>0</v>
      </c>
    </row>
    <row r="93" spans="2:38" ht="15" thickBot="1" x14ac:dyDescent="0.25">
      <c r="D93" s="446">
        <v>2165.71</v>
      </c>
      <c r="E93" s="447">
        <f>ROUND(G89,2)</f>
        <v>2220.4899999999998</v>
      </c>
      <c r="F93" s="448">
        <f>D93-E93</f>
        <v>-54.779999999999745</v>
      </c>
    </row>
  </sheetData>
  <mergeCells count="7">
    <mergeCell ref="S56:Y56"/>
    <mergeCell ref="C3:M4"/>
    <mergeCell ref="C5:M5"/>
    <mergeCell ref="C6:M6"/>
    <mergeCell ref="C14:E14"/>
    <mergeCell ref="C15:E15"/>
    <mergeCell ref="C16:E16"/>
  </mergeCells>
  <phoneticPr fontId="4" type="noConversion"/>
  <conditionalFormatting sqref="L88:N88 L58:L87">
    <cfRule type="cellIs" dxfId="109" priority="1" stopIfTrue="1" operator="equal">
      <formula>0</formula>
    </cfRule>
  </conditionalFormatting>
  <hyperlinks>
    <hyperlink ref="J22" r:id="rId1"/>
  </hyperlinks>
  <printOptions horizontalCentered="1"/>
  <pageMargins left="0.59055118110236227" right="0.39370078740157483" top="0" bottom="0" header="0" footer="0.51181102362204722"/>
  <pageSetup scale="63" orientation="landscape" r:id="rId2"/>
  <drawing r:id="rId3"/>
  <legacyDrawing r:id="rId4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135"/>
  <sheetViews>
    <sheetView zoomScaleNormal="100" workbookViewId="0"/>
  </sheetViews>
  <sheetFormatPr baseColWidth="10" defaultColWidth="11" defaultRowHeight="14.25" x14ac:dyDescent="0.2"/>
  <cols>
    <col min="1" max="1" width="11" style="2"/>
    <col min="2" max="2" width="3.875" style="2" bestFit="1" customWidth="1"/>
    <col min="3" max="3" width="16.125" style="2" customWidth="1"/>
    <col min="4" max="4" width="13.625" style="2" bestFit="1" customWidth="1"/>
    <col min="5" max="5" width="13.875" style="2" customWidth="1"/>
    <col min="6" max="6" width="17.375" style="2" bestFit="1" customWidth="1"/>
    <col min="7" max="7" width="13.375" style="2" bestFit="1" customWidth="1"/>
    <col min="8" max="8" width="12.375" style="2" bestFit="1" customWidth="1"/>
    <col min="9" max="9" width="18.125" style="2" customWidth="1"/>
    <col min="10" max="10" width="16.125" style="2" bestFit="1" customWidth="1"/>
    <col min="11" max="11" width="12.625" style="2" bestFit="1" customWidth="1"/>
    <col min="12" max="12" width="16" style="2" customWidth="1"/>
    <col min="13" max="13" width="17.125" style="2" customWidth="1"/>
    <col min="14" max="14" width="15.5" style="1" customWidth="1"/>
    <col min="15" max="15" width="11.5" style="2" customWidth="1"/>
    <col min="16" max="16" width="17.125" style="2" bestFit="1" customWidth="1"/>
    <col min="17" max="17" width="11.375" style="2" customWidth="1"/>
    <col min="18" max="18" width="14" style="2" bestFit="1" customWidth="1"/>
    <col min="19" max="19" width="16.5" style="2" bestFit="1" customWidth="1"/>
    <col min="20" max="20" width="17.125" style="2" bestFit="1" customWidth="1"/>
    <col min="21" max="21" width="14.125" style="2" customWidth="1"/>
    <col min="22" max="22" width="18.125" style="2" customWidth="1"/>
    <col min="23" max="23" width="15.625" style="2" bestFit="1" customWidth="1"/>
    <col min="24" max="24" width="18.625" style="2" customWidth="1"/>
    <col min="25" max="25" width="11.125" style="2" bestFit="1" customWidth="1"/>
    <col min="26" max="26" width="12.125" style="2" bestFit="1" customWidth="1"/>
    <col min="27" max="27" width="13.625" style="2" bestFit="1" customWidth="1"/>
    <col min="28" max="28" width="12.125" style="2" bestFit="1" customWidth="1"/>
    <col min="29" max="29" width="11.625" style="718" bestFit="1" customWidth="1"/>
    <col min="30" max="30" width="14.875" style="718" bestFit="1" customWidth="1"/>
    <col min="31" max="35" width="11" style="718"/>
    <col min="36" max="16384" width="11" style="2"/>
  </cols>
  <sheetData>
    <row r="1" spans="2:28" x14ac:dyDescent="0.2"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2:28" x14ac:dyDescent="0.2">
      <c r="B2" s="1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2:28" ht="15" customHeight="1" x14ac:dyDescent="0.2">
      <c r="B3" s="1"/>
      <c r="C3" s="2254"/>
      <c r="D3" s="2254"/>
      <c r="E3" s="2254"/>
      <c r="F3" s="2254"/>
      <c r="G3" s="2254"/>
      <c r="H3" s="2254"/>
      <c r="I3" s="2254"/>
      <c r="J3" s="2254"/>
      <c r="K3" s="2254"/>
      <c r="L3" s="2254"/>
      <c r="M3" s="2254"/>
      <c r="N3" s="18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2:28" ht="15" customHeight="1" x14ac:dyDescent="0.2">
      <c r="B4" s="1"/>
      <c r="C4" s="2254"/>
      <c r="D4" s="2254"/>
      <c r="E4" s="2254"/>
      <c r="F4" s="2254"/>
      <c r="G4" s="2254"/>
      <c r="H4" s="2254"/>
      <c r="I4" s="2254"/>
      <c r="J4" s="2254"/>
      <c r="K4" s="2254"/>
      <c r="L4" s="2254"/>
      <c r="M4" s="2254"/>
      <c r="N4" s="18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2:28" x14ac:dyDescent="0.2">
      <c r="B5" s="1"/>
      <c r="C5" s="2257"/>
      <c r="D5" s="2257"/>
      <c r="E5" s="2257"/>
      <c r="F5" s="2257"/>
      <c r="G5" s="2257"/>
      <c r="H5" s="2257"/>
      <c r="I5" s="2257"/>
      <c r="J5" s="2257"/>
      <c r="K5" s="2257"/>
      <c r="L5" s="2257"/>
      <c r="M5" s="2257"/>
      <c r="N5" s="18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2:28" x14ac:dyDescent="0.2">
      <c r="B6" s="1"/>
      <c r="C6" s="2257"/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18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2:28" x14ac:dyDescent="0.2">
      <c r="B7" s="1"/>
      <c r="C7" s="722">
        <v>43101</v>
      </c>
      <c r="D7" s="722"/>
      <c r="E7" s="722"/>
      <c r="F7" s="722"/>
      <c r="G7" s="722"/>
      <c r="H7" s="722"/>
      <c r="I7" s="722"/>
      <c r="J7" s="722"/>
      <c r="K7" s="722"/>
      <c r="L7" s="722"/>
      <c r="M7" s="722"/>
      <c r="N7" s="722"/>
      <c r="O7" s="722"/>
      <c r="P7" s="722"/>
      <c r="Q7" s="722"/>
      <c r="R7" s="722"/>
      <c r="S7" s="722"/>
      <c r="T7" s="1"/>
      <c r="U7" s="1"/>
      <c r="V7" s="1"/>
      <c r="W7" s="1"/>
      <c r="X7" s="1"/>
      <c r="Y7" s="1"/>
      <c r="Z7" s="1"/>
      <c r="AA7" s="1"/>
      <c r="AB7" s="1"/>
    </row>
    <row r="8" spans="2:28" ht="19.5" customHeight="1" x14ac:dyDescent="0.2">
      <c r="B8" s="1"/>
      <c r="C8" s="753"/>
      <c r="D8" s="753"/>
      <c r="E8" s="753"/>
      <c r="F8" s="753"/>
      <c r="G8" s="753"/>
      <c r="H8" s="753"/>
      <c r="I8" s="753"/>
      <c r="J8" s="753"/>
      <c r="K8" s="753"/>
      <c r="L8" s="753"/>
      <c r="M8" s="18"/>
      <c r="N8" s="18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2:28" ht="19.5" customHeight="1" x14ac:dyDescent="0.2">
      <c r="B9" s="1"/>
      <c r="C9" s="753"/>
      <c r="D9" s="753"/>
      <c r="E9" s="753"/>
      <c r="F9" s="753"/>
      <c r="G9" s="753"/>
      <c r="H9" s="753"/>
      <c r="I9" s="753"/>
      <c r="J9" s="753"/>
      <c r="K9" s="753"/>
      <c r="L9" s="753"/>
      <c r="M9" s="18"/>
      <c r="N9" s="18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2:28" ht="19.5" customHeight="1" x14ac:dyDescent="0.2">
      <c r="B10" s="1"/>
      <c r="C10" s="753"/>
      <c r="D10" s="753"/>
      <c r="E10" s="753"/>
      <c r="F10" s="753"/>
      <c r="G10" s="753"/>
      <c r="H10" s="753"/>
      <c r="I10" s="753"/>
      <c r="J10" s="753"/>
      <c r="K10" s="753"/>
      <c r="L10" s="753"/>
      <c r="M10" s="18"/>
      <c r="N10" s="18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2:28" ht="19.5" customHeight="1" x14ac:dyDescent="0.2">
      <c r="B11" s="1"/>
      <c r="C11" s="753"/>
      <c r="D11" s="753"/>
      <c r="E11" s="753"/>
      <c r="F11" s="753"/>
      <c r="G11" s="753"/>
      <c r="H11" s="753"/>
      <c r="I11" s="753"/>
      <c r="J11" s="753"/>
      <c r="K11" s="753"/>
      <c r="L11" s="753"/>
      <c r="M11" s="18"/>
      <c r="N11" s="18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2:28" ht="19.5" customHeight="1" x14ac:dyDescent="0.2">
      <c r="B12" s="1"/>
      <c r="C12" s="753"/>
      <c r="D12" s="753"/>
      <c r="E12" s="753"/>
      <c r="F12" s="753"/>
      <c r="G12" s="753"/>
      <c r="H12" s="753"/>
      <c r="I12" s="753"/>
      <c r="J12" s="753"/>
      <c r="K12" s="753"/>
      <c r="L12" s="753"/>
      <c r="M12" s="18"/>
      <c r="N12" s="18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2:28" ht="19.5" customHeight="1" thickBot="1" x14ac:dyDescent="0.25">
      <c r="B13" s="1"/>
      <c r="C13" s="753"/>
      <c r="D13" s="753"/>
      <c r="E13" s="753"/>
      <c r="F13" s="753"/>
      <c r="G13" s="753"/>
      <c r="H13" s="753"/>
      <c r="I13" s="753"/>
      <c r="J13" s="753"/>
      <c r="K13" s="753"/>
      <c r="L13" s="753"/>
      <c r="M13" s="18"/>
      <c r="N13" s="18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2:28" ht="30.75" thickBot="1" x14ac:dyDescent="0.3">
      <c r="B14" s="1"/>
      <c r="C14" s="2317" t="s">
        <v>6</v>
      </c>
      <c r="D14" s="2318"/>
      <c r="E14" s="2319"/>
      <c r="F14" s="770" t="s">
        <v>227</v>
      </c>
      <c r="G14" s="770" t="s">
        <v>230</v>
      </c>
      <c r="H14" s="770" t="s">
        <v>228</v>
      </c>
      <c r="I14" s="770" t="s">
        <v>229</v>
      </c>
      <c r="J14" s="771" t="s">
        <v>126</v>
      </c>
      <c r="K14" s="771" t="s">
        <v>133</v>
      </c>
      <c r="L14" s="770" t="s">
        <v>127</v>
      </c>
      <c r="M14" s="772" t="s">
        <v>128</v>
      </c>
      <c r="N14" s="18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2:28" ht="15" thickBot="1" x14ac:dyDescent="0.25">
      <c r="B15" s="1"/>
      <c r="C15" s="773" t="s">
        <v>131</v>
      </c>
      <c r="D15" s="734"/>
      <c r="E15" s="734"/>
      <c r="F15" s="734"/>
      <c r="G15" s="734" t="s">
        <v>165</v>
      </c>
      <c r="H15" s="734"/>
      <c r="I15" s="714">
        <f>IF(D104=0,E104,D104)</f>
        <v>4659430.72</v>
      </c>
      <c r="J15" s="714">
        <f>I15*0.16</f>
        <v>745508.91519999993</v>
      </c>
      <c r="K15" s="714">
        <f>I15+J15</f>
        <v>5404939.6351999994</v>
      </c>
      <c r="L15" s="723" t="s">
        <v>264</v>
      </c>
      <c r="M15" s="802">
        <v>20.3689</v>
      </c>
      <c r="N15" s="1">
        <f>M15*I15</f>
        <v>94907478.392608002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2:28" ht="15" thickBot="1" x14ac:dyDescent="0.25">
      <c r="B16" s="1"/>
      <c r="C16" s="818" t="s">
        <v>275</v>
      </c>
      <c r="D16" s="819"/>
      <c r="E16" s="819"/>
      <c r="F16" s="819"/>
      <c r="G16" s="819"/>
      <c r="H16" s="819"/>
      <c r="I16" s="714">
        <f>IF(D105=0,E105,D105)</f>
        <v>360527.01</v>
      </c>
      <c r="J16" s="714">
        <f>I16*0.16</f>
        <v>57684.321600000003</v>
      </c>
      <c r="K16" s="714">
        <f>I16+J16</f>
        <v>418211.33160000003</v>
      </c>
      <c r="L16" s="820" t="s">
        <v>283</v>
      </c>
      <c r="M16" s="802">
        <v>19.079000000000001</v>
      </c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2:36" ht="23.25" thickBot="1" x14ac:dyDescent="0.25">
      <c r="B17" s="1"/>
      <c r="C17" s="774" t="s">
        <v>132</v>
      </c>
      <c r="D17" s="760"/>
      <c r="E17" s="760"/>
      <c r="F17" s="760"/>
      <c r="G17" s="760" t="s">
        <v>165</v>
      </c>
      <c r="H17" s="760"/>
      <c r="I17" s="779">
        <f>IF(D106=0,E106,D106)</f>
        <v>4514.96</v>
      </c>
      <c r="J17" s="779">
        <f>I17*0.16</f>
        <v>722.39359999999999</v>
      </c>
      <c r="K17" s="779">
        <f>I17+J17</f>
        <v>5237.3536000000004</v>
      </c>
      <c r="L17" s="761" t="s">
        <v>282</v>
      </c>
      <c r="M17" s="802">
        <v>20.3689</v>
      </c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2:36" x14ac:dyDescent="0.2">
      <c r="B18" s="1"/>
      <c r="C18" s="753"/>
      <c r="D18" s="753"/>
      <c r="E18" s="753"/>
      <c r="F18" s="753"/>
      <c r="G18" s="753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2:36" x14ac:dyDescent="0.2">
      <c r="B19" s="1"/>
      <c r="C19" s="753"/>
      <c r="D19" s="753"/>
      <c r="E19" s="753"/>
      <c r="F19" s="753"/>
      <c r="G19" s="753"/>
      <c r="H19" s="1"/>
      <c r="I19" s="1"/>
      <c r="J19" s="1"/>
      <c r="K19" s="1"/>
      <c r="L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2:36" ht="15" thickBot="1" x14ac:dyDescent="0.25">
      <c r="B20" s="1"/>
      <c r="C20" s="419" t="s">
        <v>137</v>
      </c>
      <c r="D20" s="753" t="s">
        <v>138</v>
      </c>
      <c r="E20" s="753"/>
      <c r="F20" s="753" t="s">
        <v>139</v>
      </c>
      <c r="G20" s="753" t="s">
        <v>3</v>
      </c>
      <c r="H20" s="753" t="s">
        <v>143</v>
      </c>
      <c r="I20" s="753" t="s">
        <v>142</v>
      </c>
      <c r="J20" s="753" t="s">
        <v>141</v>
      </c>
      <c r="K20" s="753" t="s">
        <v>140</v>
      </c>
      <c r="L20" s="753" t="s">
        <v>144</v>
      </c>
      <c r="M20" s="753" t="s">
        <v>146</v>
      </c>
      <c r="N20" s="753"/>
      <c r="O20" s="753"/>
      <c r="P20" s="805"/>
      <c r="Q20" s="753"/>
      <c r="R20" s="805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2:36" ht="60.75" thickBot="1" x14ac:dyDescent="0.25">
      <c r="B21" s="1"/>
      <c r="C21" s="758" t="s">
        <v>134</v>
      </c>
      <c r="D21" s="755" t="s">
        <v>135</v>
      </c>
      <c r="E21" s="755" t="s">
        <v>278</v>
      </c>
      <c r="F21" s="755" t="s">
        <v>136</v>
      </c>
      <c r="G21" s="755" t="s">
        <v>153</v>
      </c>
      <c r="H21" s="755" t="s">
        <v>279</v>
      </c>
      <c r="I21" s="755" t="s">
        <v>281</v>
      </c>
      <c r="J21" s="755" t="s">
        <v>280</v>
      </c>
      <c r="K21" s="755" t="s">
        <v>245</v>
      </c>
      <c r="L21" s="755" t="s">
        <v>246</v>
      </c>
      <c r="M21" s="755"/>
      <c r="N21" s="756" t="s">
        <v>158</v>
      </c>
      <c r="O21" s="753"/>
      <c r="P21" s="753"/>
      <c r="Q21" s="805"/>
      <c r="R21" s="753"/>
      <c r="S21" s="805"/>
      <c r="T21" s="753"/>
      <c r="U21" s="753"/>
      <c r="V21" s="805"/>
      <c r="W21" s="753"/>
      <c r="X21" s="753"/>
      <c r="Y21" s="1"/>
      <c r="Z21" s="1"/>
      <c r="AA21" s="1"/>
      <c r="AB21" s="1"/>
      <c r="AC21" s="1"/>
      <c r="AJ21" s="718"/>
    </row>
    <row r="22" spans="2:36" ht="15" thickBot="1" x14ac:dyDescent="0.25">
      <c r="B22" s="1"/>
      <c r="C22" s="759">
        <v>850</v>
      </c>
      <c r="D22" s="757">
        <v>850</v>
      </c>
      <c r="E22" s="760">
        <v>31482640</v>
      </c>
      <c r="F22" s="760">
        <v>31482640</v>
      </c>
      <c r="G22" s="761">
        <v>31</v>
      </c>
      <c r="H22" s="2161">
        <f>VLOOKUP(C68,Tarifas!D4:H303,3)</f>
        <v>0.14799999999999999</v>
      </c>
      <c r="I22" s="2161">
        <v>1.4200000000000001E-2</v>
      </c>
      <c r="J22" s="2162">
        <f>VLOOKUP(C68,Tarifas!D4:H303,5)</f>
        <v>1E-3</v>
      </c>
      <c r="K22" s="2161">
        <v>200</v>
      </c>
      <c r="L22" s="2161">
        <v>201.4</v>
      </c>
      <c r="M22" s="761"/>
      <c r="N22" s="762">
        <f>F101</f>
        <v>4546536.1251282832</v>
      </c>
      <c r="O22" s="430"/>
      <c r="P22" s="430"/>
      <c r="Q22" s="430"/>
      <c r="R22" s="753"/>
      <c r="S22" s="805"/>
      <c r="T22" s="753"/>
      <c r="U22" s="753"/>
      <c r="V22" s="805"/>
      <c r="W22" s="753"/>
      <c r="X22" s="753"/>
      <c r="Y22" s="1"/>
      <c r="Z22" s="1"/>
      <c r="AA22" s="1"/>
      <c r="AB22" s="1"/>
      <c r="AC22" s="1"/>
      <c r="AJ22" s="718"/>
    </row>
    <row r="23" spans="2:36" x14ac:dyDescent="0.2">
      <c r="B23" s="1"/>
      <c r="C23" s="753"/>
      <c r="D23" s="753"/>
      <c r="E23" s="753"/>
      <c r="F23" s="753"/>
      <c r="G23" s="753"/>
      <c r="H23" s="753"/>
      <c r="I23" s="753"/>
      <c r="J23" s="738"/>
      <c r="K23" s="753"/>
      <c r="L23" s="753"/>
      <c r="M23" s="753"/>
      <c r="N23" s="753"/>
      <c r="O23" s="753"/>
      <c r="P23" s="805"/>
      <c r="Q23" s="753"/>
      <c r="R23" s="805"/>
      <c r="S23" s="753"/>
      <c r="T23" s="753"/>
      <c r="U23" s="805"/>
      <c r="V23" s="1"/>
      <c r="W23" s="1"/>
      <c r="X23" s="1"/>
      <c r="Y23" s="1"/>
      <c r="Z23" s="1"/>
      <c r="AA23" s="1"/>
      <c r="AB23" s="1"/>
    </row>
    <row r="24" spans="2:36" x14ac:dyDescent="0.2">
      <c r="B24" s="1"/>
      <c r="C24" s="753"/>
      <c r="D24" s="753"/>
      <c r="E24" s="753"/>
      <c r="F24" s="753"/>
      <c r="G24" s="753"/>
      <c r="H24" s="753"/>
      <c r="I24" s="753"/>
      <c r="J24" s="753"/>
      <c r="K24" s="753"/>
      <c r="L24" s="753"/>
      <c r="M24" s="753"/>
      <c r="N24" s="753"/>
      <c r="O24" s="753"/>
      <c r="P24" s="805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2:36" x14ac:dyDescent="0.2">
      <c r="B25" s="1"/>
      <c r="C25" s="753"/>
      <c r="D25" s="753"/>
      <c r="E25" s="753"/>
      <c r="F25" s="753"/>
      <c r="G25" s="753"/>
      <c r="H25" s="753"/>
      <c r="I25" s="753"/>
      <c r="J25" s="753"/>
      <c r="K25" s="753"/>
      <c r="L25" s="753"/>
      <c r="M25" s="753"/>
      <c r="N25" s="753"/>
      <c r="O25" s="1"/>
      <c r="P25" s="1"/>
      <c r="Q25" s="1"/>
      <c r="R25" s="1"/>
      <c r="S25" s="739" t="s">
        <v>235</v>
      </c>
      <c r="T25" s="1"/>
      <c r="U25" s="1"/>
      <c r="V25" s="1"/>
      <c r="W25" s="1"/>
      <c r="X25" s="1"/>
      <c r="Y25" s="1"/>
      <c r="Z25" s="1"/>
      <c r="AA25" s="718"/>
      <c r="AB25" s="718"/>
      <c r="AH25" s="2"/>
      <c r="AI25" s="2"/>
    </row>
    <row r="26" spans="2:36" ht="15" thickBot="1" x14ac:dyDescent="0.25">
      <c r="B26" s="1"/>
      <c r="C26" s="334" t="s">
        <v>86</v>
      </c>
      <c r="D26" s="334"/>
      <c r="E26" s="334"/>
      <c r="F26" s="334"/>
      <c r="G26" s="334"/>
      <c r="H26" s="754"/>
      <c r="I26" s="334"/>
      <c r="J26" s="334"/>
      <c r="K26" s="334"/>
      <c r="L26" s="754"/>
      <c r="M26" s="336"/>
      <c r="N26" s="353"/>
      <c r="P26" s="1"/>
      <c r="S26" s="1"/>
      <c r="T26" s="1"/>
      <c r="U26" s="1"/>
      <c r="V26" s="1"/>
      <c r="W26" s="1"/>
      <c r="X26" s="1"/>
      <c r="Y26" s="1"/>
      <c r="Z26" s="1"/>
      <c r="AA26" s="718"/>
      <c r="AB26" s="718"/>
      <c r="AC26" s="717">
        <v>0</v>
      </c>
      <c r="AH26" s="2"/>
      <c r="AI26" s="2"/>
    </row>
    <row r="27" spans="2:36" ht="30.75" thickBot="1" x14ac:dyDescent="0.3">
      <c r="B27" s="1"/>
      <c r="C27" s="758" t="s">
        <v>87</v>
      </c>
      <c r="D27" s="775" t="s">
        <v>88</v>
      </c>
      <c r="E27" s="775" t="s">
        <v>237</v>
      </c>
      <c r="F27" s="776" t="s">
        <v>160</v>
      </c>
      <c r="G27" s="775" t="s">
        <v>236</v>
      </c>
      <c r="H27" s="776" t="s">
        <v>232</v>
      </c>
      <c r="I27" s="776" t="s">
        <v>233</v>
      </c>
      <c r="J27" s="776" t="s">
        <v>20</v>
      </c>
      <c r="K27" s="755" t="s">
        <v>91</v>
      </c>
      <c r="L27" s="775" t="s">
        <v>93</v>
      </c>
      <c r="M27" s="775" t="s">
        <v>94</v>
      </c>
      <c r="N27" s="777" t="s">
        <v>95</v>
      </c>
      <c r="O27" s="1"/>
      <c r="P27" s="1"/>
      <c r="Q27" s="782" t="s">
        <v>237</v>
      </c>
      <c r="R27" s="810"/>
      <c r="S27" s="776" t="s">
        <v>160</v>
      </c>
      <c r="T27" s="775" t="s">
        <v>236</v>
      </c>
      <c r="U27" s="775"/>
      <c r="V27" s="776" t="s">
        <v>232</v>
      </c>
      <c r="W27" s="776" t="s">
        <v>233</v>
      </c>
      <c r="X27" s="776" t="s">
        <v>20</v>
      </c>
      <c r="Y27" s="755" t="s">
        <v>91</v>
      </c>
      <c r="Z27" s="775" t="s">
        <v>93</v>
      </c>
      <c r="AA27" s="775" t="s">
        <v>94</v>
      </c>
      <c r="AB27" s="783" t="s">
        <v>95</v>
      </c>
      <c r="AC27" s="719"/>
      <c r="AH27" s="2"/>
      <c r="AI27" s="2"/>
    </row>
    <row r="28" spans="2:36" ht="20.100000000000001" customHeight="1" thickBot="1" x14ac:dyDescent="0.25">
      <c r="B28" s="1"/>
      <c r="C28" s="2155"/>
      <c r="D28" s="2151"/>
      <c r="E28" s="2151"/>
      <c r="F28" s="2151"/>
      <c r="G28" s="2151"/>
      <c r="H28" s="2151"/>
      <c r="I28" s="2151"/>
      <c r="J28" s="737" t="s">
        <v>97</v>
      </c>
      <c r="K28" s="734">
        <v>770000</v>
      </c>
      <c r="L28" s="735">
        <f>K28/$K$33</f>
        <v>0.90588235294117647</v>
      </c>
      <c r="M28" s="714">
        <f>ROUND(L28*I$15,2)</f>
        <v>4220896.0599999996</v>
      </c>
      <c r="N28" s="778">
        <f>M28*$M$15</f>
        <v>85975009.756533995</v>
      </c>
      <c r="O28" s="1"/>
      <c r="P28" s="1"/>
      <c r="Q28" s="763"/>
      <c r="R28" s="807"/>
      <c r="S28" s="713" t="s">
        <v>101</v>
      </c>
      <c r="T28" s="713" t="s">
        <v>101</v>
      </c>
      <c r="U28" s="713"/>
      <c r="V28" s="713">
        <v>2233</v>
      </c>
      <c r="W28" s="713">
        <v>453882</v>
      </c>
      <c r="X28" s="737" t="s">
        <v>97</v>
      </c>
      <c r="Y28" s="734">
        <v>80000</v>
      </c>
      <c r="Z28" s="1061">
        <f>IFERROR(Y28/$Y$33,0)</f>
        <v>9.4117647058823528E-2</v>
      </c>
      <c r="AA28" s="1703">
        <f>ROUND(Z28*I$15,2)</f>
        <v>438534.66</v>
      </c>
      <c r="AB28" s="1704">
        <f>AA28*M15</f>
        <v>8932468.6360739991</v>
      </c>
      <c r="AC28" s="336"/>
      <c r="AH28" s="2"/>
      <c r="AI28" s="2"/>
    </row>
    <row r="29" spans="2:36" ht="20.100000000000001" customHeight="1" thickBot="1" x14ac:dyDescent="0.25">
      <c r="B29" s="1"/>
      <c r="C29" s="763" t="s">
        <v>101</v>
      </c>
      <c r="D29" s="713" t="s">
        <v>101</v>
      </c>
      <c r="E29" s="713"/>
      <c r="F29" s="713"/>
      <c r="G29" s="713"/>
      <c r="H29" s="713"/>
      <c r="I29" s="713"/>
      <c r="J29" s="737" t="s">
        <v>100</v>
      </c>
      <c r="K29" s="734">
        <v>0</v>
      </c>
      <c r="L29" s="735">
        <f t="shared" ref="L29:L32" si="0">K29/$K$33</f>
        <v>0</v>
      </c>
      <c r="M29" s="714">
        <f>ROUND(L29*I$15,2)</f>
        <v>0</v>
      </c>
      <c r="N29" s="778">
        <f>M29*$M$15</f>
        <v>0</v>
      </c>
      <c r="O29" s="1"/>
      <c r="P29" s="1"/>
      <c r="Q29" s="763"/>
      <c r="R29" s="807"/>
      <c r="S29" s="713" t="s">
        <v>101</v>
      </c>
      <c r="T29" s="713" t="s">
        <v>101</v>
      </c>
      <c r="U29" s="713"/>
      <c r="V29" s="713">
        <v>2233</v>
      </c>
      <c r="W29" s="713">
        <v>453882</v>
      </c>
      <c r="X29" s="737" t="s">
        <v>100</v>
      </c>
      <c r="Y29" s="734">
        <v>40000</v>
      </c>
      <c r="Z29" s="1061">
        <f>IFERROR(Y29/$Y$33,0)</f>
        <v>4.7058823529411764E-2</v>
      </c>
      <c r="AA29" s="1703">
        <f>ROUND(Z29*I$15,2)</f>
        <v>219267.33</v>
      </c>
      <c r="AB29" s="1704">
        <f>AA29*M15</f>
        <v>4466234.3180369996</v>
      </c>
      <c r="AC29" s="336"/>
      <c r="AD29" s="1058">
        <f>AB28+AB29</f>
        <v>13398702.954110999</v>
      </c>
      <c r="AH29" s="2"/>
      <c r="AI29" s="2"/>
    </row>
    <row r="30" spans="2:36" ht="23.25" thickBot="1" x14ac:dyDescent="0.25">
      <c r="B30" s="1"/>
      <c r="C30" s="763"/>
      <c r="D30" s="713"/>
      <c r="E30" s="713"/>
      <c r="F30" s="713"/>
      <c r="G30" s="713"/>
      <c r="H30" s="713"/>
      <c r="I30" s="713"/>
      <c r="J30" s="737" t="s">
        <v>268</v>
      </c>
      <c r="K30" s="734">
        <v>0</v>
      </c>
      <c r="L30" s="735">
        <f t="shared" si="0"/>
        <v>0</v>
      </c>
      <c r="M30" s="714">
        <f>ROUND(L30*I$15,2)</f>
        <v>0</v>
      </c>
      <c r="N30" s="778">
        <f>M30*$M$15</f>
        <v>0</v>
      </c>
      <c r="O30" s="1"/>
      <c r="P30" s="1"/>
      <c r="Q30" s="763"/>
      <c r="R30" s="807"/>
      <c r="S30" s="713" t="s">
        <v>101</v>
      </c>
      <c r="T30" s="713" t="s">
        <v>101</v>
      </c>
      <c r="U30" s="713"/>
      <c r="V30" s="713"/>
      <c r="W30" s="713"/>
      <c r="X30" s="737" t="s">
        <v>268</v>
      </c>
      <c r="Y30" s="734">
        <f>P101/G22</f>
        <v>3846.6514115342097</v>
      </c>
      <c r="Z30" s="1061">
        <f>IFERROR(Y30/$Y$33,0)</f>
        <v>4.5254722488637759E-3</v>
      </c>
      <c r="AA30" s="1703">
        <f>ROUND(Z30*I$15,2)</f>
        <v>21086.12</v>
      </c>
      <c r="AB30" s="1704">
        <f>AA30*M15</f>
        <v>429501.06966799998</v>
      </c>
      <c r="AC30" s="336"/>
      <c r="AH30" s="2"/>
      <c r="AI30" s="2"/>
    </row>
    <row r="31" spans="2:36" ht="20.100000000000001" customHeight="1" thickBot="1" x14ac:dyDescent="0.25">
      <c r="B31" s="1"/>
      <c r="C31" s="763">
        <v>800832451</v>
      </c>
      <c r="D31" s="723">
        <v>256</v>
      </c>
      <c r="E31" s="723" t="s">
        <v>239</v>
      </c>
      <c r="F31" s="713" t="s">
        <v>238</v>
      </c>
      <c r="G31" s="713">
        <v>100887241</v>
      </c>
      <c r="H31" s="713">
        <v>7249</v>
      </c>
      <c r="I31" s="713">
        <v>468079</v>
      </c>
      <c r="J31" s="737" t="s">
        <v>23</v>
      </c>
      <c r="K31" s="734">
        <v>80000</v>
      </c>
      <c r="L31" s="735">
        <f t="shared" si="0"/>
        <v>9.4117647058823528E-2</v>
      </c>
      <c r="M31" s="714">
        <f>ROUND(L31*I$15,2)</f>
        <v>438534.66</v>
      </c>
      <c r="N31" s="778">
        <f>M31*M15</f>
        <v>8932468.6360739991</v>
      </c>
      <c r="O31" s="740">
        <f>M31*1.16</f>
        <v>508700.20559999993</v>
      </c>
      <c r="P31" s="740">
        <f>N31*1.16</f>
        <v>10361663.617845839</v>
      </c>
      <c r="Q31" s="766"/>
      <c r="R31" s="811"/>
      <c r="S31" s="713" t="s">
        <v>221</v>
      </c>
      <c r="T31" s="713" t="s">
        <v>222</v>
      </c>
      <c r="U31" s="713"/>
      <c r="V31" s="713">
        <v>7249</v>
      </c>
      <c r="W31" s="713">
        <v>468079</v>
      </c>
      <c r="X31" s="737" t="s">
        <v>23</v>
      </c>
      <c r="Y31" s="734">
        <f>Z31*K33</f>
        <v>80000</v>
      </c>
      <c r="Z31" s="1061">
        <f>L31</f>
        <v>9.4117647058823528E-2</v>
      </c>
      <c r="AA31" s="1703">
        <f>ROUND(Z31*I$15,2)</f>
        <v>438534.66</v>
      </c>
      <c r="AB31" s="1704">
        <f>AA31*M15</f>
        <v>8932468.6360739991</v>
      </c>
      <c r="AC31" s="336"/>
      <c r="AH31" s="2"/>
      <c r="AI31" s="2"/>
    </row>
    <row r="32" spans="2:36" ht="20.100000000000001" customHeight="1" thickBot="1" x14ac:dyDescent="0.25">
      <c r="B32" s="1"/>
      <c r="C32" s="759">
        <v>800832451</v>
      </c>
      <c r="D32" s="761">
        <v>9</v>
      </c>
      <c r="E32" s="761" t="s">
        <v>242</v>
      </c>
      <c r="F32" s="757" t="s">
        <v>221</v>
      </c>
      <c r="G32" s="757" t="s">
        <v>222</v>
      </c>
      <c r="H32" s="757">
        <v>2233</v>
      </c>
      <c r="I32" s="757">
        <v>453882</v>
      </c>
      <c r="J32" s="764" t="s">
        <v>159</v>
      </c>
      <c r="K32" s="760">
        <v>0</v>
      </c>
      <c r="L32" s="765">
        <f t="shared" si="0"/>
        <v>0</v>
      </c>
      <c r="M32" s="779">
        <f>ROUND(L32*I$15,2)</f>
        <v>0</v>
      </c>
      <c r="N32" s="780">
        <f>M32*M15</f>
        <v>0</v>
      </c>
      <c r="O32" s="740">
        <f>M32*1.16</f>
        <v>0</v>
      </c>
      <c r="P32" s="740">
        <f>N32*1.16</f>
        <v>0</v>
      </c>
      <c r="Q32" s="767"/>
      <c r="R32" s="812"/>
      <c r="S32" s="757" t="s">
        <v>221</v>
      </c>
      <c r="T32" s="757" t="s">
        <v>222</v>
      </c>
      <c r="U32" s="757"/>
      <c r="V32" s="757">
        <v>2233</v>
      </c>
      <c r="W32" s="757">
        <v>453851</v>
      </c>
      <c r="X32" s="764" t="s">
        <v>159</v>
      </c>
      <c r="Y32" s="760">
        <f>850000-Y28-Y29-Y30-Y31</f>
        <v>646153.34858846583</v>
      </c>
      <c r="Z32" s="1062">
        <f>1-Z28-Z29-Z30-Z31</f>
        <v>0.76018041010407744</v>
      </c>
      <c r="AA32" s="1705">
        <f>ROUND(Z32*I$15,2)</f>
        <v>3542007.96</v>
      </c>
      <c r="AB32" s="1706">
        <f>AA32*M15</f>
        <v>72146805.936443999</v>
      </c>
      <c r="AC32" s="336"/>
      <c r="AH32" s="2"/>
      <c r="AI32" s="2"/>
    </row>
    <row r="33" spans="2:35" x14ac:dyDescent="0.2">
      <c r="B33" s="1"/>
      <c r="C33" s="728">
        <v>3000623</v>
      </c>
      <c r="D33" s="728" t="s">
        <v>102</v>
      </c>
      <c r="E33" s="728"/>
      <c r="F33" s="728"/>
      <c r="G33" s="728"/>
      <c r="H33" s="728"/>
      <c r="I33" s="729"/>
      <c r="J33" s="729"/>
      <c r="K33" s="355">
        <f>SUM(K28:K32)</f>
        <v>850000</v>
      </c>
      <c r="L33" s="730">
        <f>SUM(L28:L32)</f>
        <v>1</v>
      </c>
      <c r="M33" s="593">
        <f>SUM(M28:M32)</f>
        <v>4659430.72</v>
      </c>
      <c r="N33" s="593">
        <f>SUM(N28:N32)</f>
        <v>94907478.392607987</v>
      </c>
      <c r="O33" s="740"/>
      <c r="P33" s="740"/>
      <c r="Q33" s="728"/>
      <c r="R33" s="728"/>
      <c r="S33" s="728"/>
      <c r="T33" s="728"/>
      <c r="U33" s="728"/>
      <c r="V33" s="728"/>
      <c r="W33" s="729"/>
      <c r="X33" s="729"/>
      <c r="Y33" s="355">
        <f>SUM(Y28:Y32)</f>
        <v>850000</v>
      </c>
      <c r="Z33" s="1060">
        <f>SUM(Z28:Z32)</f>
        <v>1</v>
      </c>
      <c r="AA33" s="357">
        <f>SUM(AA28:AA32)</f>
        <v>4659430.7300000004</v>
      </c>
      <c r="AB33" s="357">
        <f>SUM(AB28:AB32)</f>
        <v>94907478.596296996</v>
      </c>
      <c r="AC33" s="1"/>
      <c r="AH33" s="2"/>
      <c r="AI33" s="2"/>
    </row>
    <row r="34" spans="2:35" ht="20.100000000000001" customHeight="1" x14ac:dyDescent="0.2">
      <c r="B34" s="1"/>
      <c r="C34" s="336"/>
      <c r="D34" s="336"/>
      <c r="E34" s="336"/>
      <c r="F34" s="336"/>
      <c r="G34" s="358"/>
      <c r="H34" s="358"/>
      <c r="I34" s="336"/>
      <c r="J34" s="336"/>
      <c r="K34" s="336"/>
      <c r="L34" s="336"/>
      <c r="M34" s="359"/>
      <c r="O34" s="740"/>
      <c r="P34" s="1"/>
      <c r="Q34" s="336"/>
      <c r="R34" s="336"/>
      <c r="S34" s="336"/>
      <c r="T34" s="358"/>
      <c r="U34" s="358"/>
      <c r="V34" s="358"/>
      <c r="W34" s="336"/>
      <c r="X34" s="336"/>
      <c r="Y34" s="336"/>
      <c r="Z34" s="336"/>
      <c r="AA34" s="666"/>
      <c r="AB34" s="1707">
        <v>0</v>
      </c>
      <c r="AC34" s="1"/>
      <c r="AH34" s="2"/>
      <c r="AI34" s="2"/>
    </row>
    <row r="35" spans="2:35" ht="20.100000000000001" customHeight="1" x14ac:dyDescent="0.2">
      <c r="B35" s="1"/>
      <c r="C35" s="336"/>
      <c r="D35" s="336"/>
      <c r="E35" s="336"/>
      <c r="F35" s="336"/>
      <c r="G35" s="358"/>
      <c r="H35" s="358"/>
      <c r="I35" s="336"/>
      <c r="J35" s="336"/>
      <c r="K35" s="336"/>
      <c r="L35" s="336"/>
      <c r="M35" s="359"/>
      <c r="O35" s="740"/>
      <c r="P35" s="740"/>
      <c r="Q35" s="336"/>
      <c r="R35" s="336"/>
      <c r="S35" s="336"/>
      <c r="T35" s="358"/>
      <c r="U35" s="358"/>
      <c r="V35" s="358"/>
      <c r="W35" s="336"/>
      <c r="X35" s="336"/>
      <c r="Y35" s="336"/>
      <c r="Z35" s="336"/>
      <c r="AA35" s="666"/>
      <c r="AB35" s="1707"/>
      <c r="AC35" s="1"/>
      <c r="AH35" s="2"/>
      <c r="AI35" s="2"/>
    </row>
    <row r="36" spans="2:35" ht="20.100000000000001" customHeight="1" thickBot="1" x14ac:dyDescent="0.25">
      <c r="B36" s="1"/>
      <c r="C36" s="334" t="s">
        <v>274</v>
      </c>
      <c r="D36" s="334"/>
      <c r="E36" s="334"/>
      <c r="F36" s="334"/>
      <c r="G36" s="334"/>
      <c r="H36" s="806"/>
      <c r="I36" s="334"/>
      <c r="J36" s="334"/>
      <c r="K36" s="334"/>
      <c r="L36" s="806"/>
      <c r="M36" s="336"/>
      <c r="N36" s="353"/>
      <c r="O36" s="740"/>
      <c r="P36" s="740"/>
      <c r="Q36" s="336"/>
      <c r="R36" s="336"/>
      <c r="S36" s="336"/>
      <c r="T36" s="358"/>
      <c r="U36" s="358"/>
      <c r="V36" s="358"/>
      <c r="W36" s="336"/>
      <c r="X36" s="336"/>
      <c r="Y36" s="336"/>
      <c r="Z36" s="336"/>
      <c r="AA36" s="666"/>
      <c r="AB36" s="1707"/>
      <c r="AC36" s="1"/>
      <c r="AH36" s="2"/>
      <c r="AI36" s="2"/>
    </row>
    <row r="37" spans="2:35" ht="30" customHeight="1" thickBot="1" x14ac:dyDescent="0.3">
      <c r="B37" s="1"/>
      <c r="C37" s="758" t="s">
        <v>87</v>
      </c>
      <c r="D37" s="775" t="s">
        <v>88</v>
      </c>
      <c r="E37" s="775" t="s">
        <v>237</v>
      </c>
      <c r="F37" s="776" t="s">
        <v>160</v>
      </c>
      <c r="G37" s="775" t="s">
        <v>236</v>
      </c>
      <c r="H37" s="776" t="s">
        <v>232</v>
      </c>
      <c r="I37" s="776" t="s">
        <v>233</v>
      </c>
      <c r="J37" s="776" t="s">
        <v>20</v>
      </c>
      <c r="K37" s="755" t="s">
        <v>91</v>
      </c>
      <c r="L37" s="775" t="s">
        <v>93</v>
      </c>
      <c r="M37" s="775" t="s">
        <v>94</v>
      </c>
      <c r="N37" s="777" t="s">
        <v>95</v>
      </c>
      <c r="O37" s="1"/>
      <c r="P37" s="1"/>
      <c r="Q37" s="782" t="s">
        <v>237</v>
      </c>
      <c r="R37" s="810"/>
      <c r="S37" s="776" t="s">
        <v>160</v>
      </c>
      <c r="T37" s="775" t="s">
        <v>236</v>
      </c>
      <c r="U37" s="775"/>
      <c r="V37" s="776" t="s">
        <v>232</v>
      </c>
      <c r="W37" s="776" t="s">
        <v>233</v>
      </c>
      <c r="X37" s="776" t="s">
        <v>20</v>
      </c>
      <c r="Y37" s="755" t="s">
        <v>91</v>
      </c>
      <c r="Z37" s="775" t="s">
        <v>93</v>
      </c>
      <c r="AA37" s="1708" t="s">
        <v>94</v>
      </c>
      <c r="AB37" s="1709" t="s">
        <v>95</v>
      </c>
      <c r="AC37" s="1"/>
      <c r="AH37" s="2"/>
      <c r="AI37" s="2"/>
    </row>
    <row r="38" spans="2:35" ht="19.5" customHeight="1" thickBot="1" x14ac:dyDescent="0.25">
      <c r="B38" s="1"/>
      <c r="C38" s="763">
        <v>800832451</v>
      </c>
      <c r="D38" s="723">
        <v>9</v>
      </c>
      <c r="E38" s="723" t="s">
        <v>242</v>
      </c>
      <c r="F38" s="713" t="s">
        <v>221</v>
      </c>
      <c r="G38" s="713" t="s">
        <v>222</v>
      </c>
      <c r="H38" s="713">
        <v>2233</v>
      </c>
      <c r="I38" s="713">
        <v>453882</v>
      </c>
      <c r="J38" s="737" t="s">
        <v>97</v>
      </c>
      <c r="K38" s="734">
        <f>T101</f>
        <v>646812.59099999978</v>
      </c>
      <c r="L38" s="735">
        <f>IFERROR(K38/K$43,0)</f>
        <v>0.23725921861744678</v>
      </c>
      <c r="M38" s="714">
        <f>ROUND(L38*I$16,2)</f>
        <v>85538.36</v>
      </c>
      <c r="N38" s="778">
        <f>M38*$M$16</f>
        <v>1631986.37044</v>
      </c>
      <c r="O38" s="740">
        <f t="shared" ref="O38" si="1">M38*1.16</f>
        <v>99224.497599999988</v>
      </c>
      <c r="P38" s="740">
        <f>N38*1.16</f>
        <v>1893104.1897103998</v>
      </c>
      <c r="Q38" s="763" t="s">
        <v>242</v>
      </c>
      <c r="R38" s="713"/>
      <c r="S38" s="713" t="s">
        <v>221</v>
      </c>
      <c r="T38" s="713" t="s">
        <v>222</v>
      </c>
      <c r="U38" s="1425"/>
      <c r="V38" s="713">
        <v>2233</v>
      </c>
      <c r="W38" s="713">
        <v>453882</v>
      </c>
      <c r="X38" s="737" t="s">
        <v>97</v>
      </c>
      <c r="Y38" s="734">
        <v>0</v>
      </c>
      <c r="Z38" s="735">
        <f t="shared" ref="Z38:Z40" si="2">Y38/$K$53</f>
        <v>0</v>
      </c>
      <c r="AA38" s="1703">
        <f>ROUND(Z38*I$16,2)</f>
        <v>0</v>
      </c>
      <c r="AB38" s="1704">
        <f>ROUND(Z38*I$16*M$16,2)</f>
        <v>0</v>
      </c>
      <c r="AC38" s="1"/>
      <c r="AD38" s="1058">
        <f>AB38+AD29</f>
        <v>13398702.954110999</v>
      </c>
      <c r="AH38" s="2"/>
      <c r="AI38" s="2"/>
    </row>
    <row r="39" spans="2:35" ht="20.100000000000001" customHeight="1" thickBot="1" x14ac:dyDescent="0.25">
      <c r="B39" s="1"/>
      <c r="C39" s="763">
        <v>800832451</v>
      </c>
      <c r="D39" s="723">
        <v>9</v>
      </c>
      <c r="E39" s="723" t="s">
        <v>242</v>
      </c>
      <c r="F39" s="713" t="s">
        <v>221</v>
      </c>
      <c r="G39" s="713" t="s">
        <v>222</v>
      </c>
      <c r="H39" s="713">
        <v>2233</v>
      </c>
      <c r="I39" s="713">
        <v>453882</v>
      </c>
      <c r="J39" s="737" t="s">
        <v>100</v>
      </c>
      <c r="K39" s="734">
        <f>S101</f>
        <v>2079372.696</v>
      </c>
      <c r="L39" s="735">
        <f>IFERROR(K39/K$43,0)</f>
        <v>0.7627407813825533</v>
      </c>
      <c r="M39" s="714">
        <f>ROUND(L39*I$16,2)</f>
        <v>274988.65000000002</v>
      </c>
      <c r="N39" s="778">
        <f>M39*$M$16</f>
        <v>5246508.453350001</v>
      </c>
      <c r="O39" s="740"/>
      <c r="P39" s="740"/>
      <c r="Q39" s="763"/>
      <c r="R39" s="807"/>
      <c r="S39" s="713" t="s">
        <v>101</v>
      </c>
      <c r="T39" s="713" t="s">
        <v>101</v>
      </c>
      <c r="U39" s="713"/>
      <c r="V39" s="713"/>
      <c r="W39" s="713"/>
      <c r="X39" s="737" t="s">
        <v>100</v>
      </c>
      <c r="Y39" s="734">
        <v>0</v>
      </c>
      <c r="Z39" s="735">
        <f t="shared" si="2"/>
        <v>0</v>
      </c>
      <c r="AA39" s="1703">
        <f>ROUND(Z39*I$16,2)</f>
        <v>0</v>
      </c>
      <c r="AB39" s="1704">
        <f>ROUND(Z39*I$16*M$16,2)</f>
        <v>0</v>
      </c>
      <c r="AC39" s="1"/>
      <c r="AH39" s="2"/>
      <c r="AI39" s="2"/>
    </row>
    <row r="40" spans="2:35" ht="20.100000000000001" customHeight="1" thickBot="1" x14ac:dyDescent="0.25">
      <c r="B40" s="1"/>
      <c r="C40" s="763"/>
      <c r="D40" s="713"/>
      <c r="E40" s="713"/>
      <c r="F40" s="713"/>
      <c r="G40" s="713"/>
      <c r="H40" s="713"/>
      <c r="I40" s="713"/>
      <c r="J40" s="737" t="s">
        <v>268</v>
      </c>
      <c r="K40" s="734"/>
      <c r="L40" s="735">
        <f>IFERROR(K40/K$43,0)</f>
        <v>0</v>
      </c>
      <c r="M40" s="714">
        <f>ROUND(L40*I$16,2)</f>
        <v>0</v>
      </c>
      <c r="N40" s="778">
        <f>M40*$M$16</f>
        <v>0</v>
      </c>
      <c r="O40" s="1"/>
      <c r="P40" s="1"/>
      <c r="Q40" s="763"/>
      <c r="R40" s="807"/>
      <c r="S40" s="713" t="s">
        <v>101</v>
      </c>
      <c r="T40" s="713" t="s">
        <v>101</v>
      </c>
      <c r="U40" s="713"/>
      <c r="V40" s="713"/>
      <c r="W40" s="713"/>
      <c r="X40" s="737" t="s">
        <v>268</v>
      </c>
      <c r="Y40" s="734">
        <v>0</v>
      </c>
      <c r="Z40" s="735">
        <f t="shared" si="2"/>
        <v>0</v>
      </c>
      <c r="AA40" s="1703">
        <f>ROUND(Z40*I$16,2)</f>
        <v>0</v>
      </c>
      <c r="AB40" s="1704">
        <f>ROUND(Z40*I$16*M$16,2)</f>
        <v>0</v>
      </c>
      <c r="AC40" s="1"/>
      <c r="AH40" s="2"/>
      <c r="AI40" s="2"/>
    </row>
    <row r="41" spans="2:35" ht="20.100000000000001" customHeight="1" thickBot="1" x14ac:dyDescent="0.25">
      <c r="B41" s="1"/>
      <c r="C41" s="763"/>
      <c r="D41" s="2151"/>
      <c r="E41" s="2151"/>
      <c r="F41" s="713"/>
      <c r="G41" s="713"/>
      <c r="H41" s="713"/>
      <c r="I41" s="713"/>
      <c r="J41" s="737" t="s">
        <v>23</v>
      </c>
      <c r="K41" s="734"/>
      <c r="L41" s="735">
        <f>IFERROR(K41/K$43,0)</f>
        <v>0</v>
      </c>
      <c r="M41" s="714">
        <f>ROUND(L41*I$16,2)</f>
        <v>0</v>
      </c>
      <c r="N41" s="778">
        <f>M41*$M$16</f>
        <v>0</v>
      </c>
      <c r="O41" s="1"/>
      <c r="P41" s="1"/>
      <c r="Q41" s="766"/>
      <c r="R41" s="811"/>
      <c r="S41" s="713" t="s">
        <v>221</v>
      </c>
      <c r="T41" s="713" t="s">
        <v>222</v>
      </c>
      <c r="U41" s="713"/>
      <c r="V41" s="713"/>
      <c r="W41" s="713"/>
      <c r="X41" s="737" t="s">
        <v>23</v>
      </c>
      <c r="Y41" s="734">
        <v>80000</v>
      </c>
      <c r="Z41" s="735">
        <f>Y41/$Y$43</f>
        <v>9.4117647058823528E-2</v>
      </c>
      <c r="AA41" s="1703">
        <f>ROUND(Z41*I$16,2)</f>
        <v>33931.949999999997</v>
      </c>
      <c r="AB41" s="1704">
        <f>ROUND(Z41*I$16*M$16,2)</f>
        <v>647387.75</v>
      </c>
      <c r="AC41" s="1"/>
      <c r="AH41" s="2"/>
      <c r="AI41" s="2"/>
    </row>
    <row r="42" spans="2:35" ht="20.100000000000001" customHeight="1" thickBot="1" x14ac:dyDescent="0.25">
      <c r="B42" s="1"/>
      <c r="C42" s="759"/>
      <c r="D42" s="2152"/>
      <c r="E42" s="2152"/>
      <c r="F42" s="757"/>
      <c r="G42" s="757"/>
      <c r="H42" s="757"/>
      <c r="I42" s="757"/>
      <c r="J42" s="764" t="s">
        <v>159</v>
      </c>
      <c r="K42" s="760"/>
      <c r="L42" s="765">
        <f>IFERROR(K42/K$43,0)</f>
        <v>0</v>
      </c>
      <c r="M42" s="779">
        <f>ROUND(L42*I$16,2)</f>
        <v>0</v>
      </c>
      <c r="N42" s="780">
        <f>M42*$M$16</f>
        <v>0</v>
      </c>
      <c r="O42" s="740"/>
      <c r="P42" s="740"/>
      <c r="Q42" s="767"/>
      <c r="R42" s="812"/>
      <c r="S42" s="757" t="s">
        <v>221</v>
      </c>
      <c r="T42" s="757" t="s">
        <v>222</v>
      </c>
      <c r="U42" s="757"/>
      <c r="V42" s="757"/>
      <c r="W42" s="757"/>
      <c r="X42" s="764" t="s">
        <v>159</v>
      </c>
      <c r="Y42" s="760">
        <v>770000</v>
      </c>
      <c r="Z42" s="765">
        <f>Y42/$Y$43</f>
        <v>0.90588235294117647</v>
      </c>
      <c r="AA42" s="1705">
        <f>ROUND(Z42*I$16,2)</f>
        <v>326595.06</v>
      </c>
      <c r="AB42" s="1706">
        <f>ROUND(Z42*I$16*M$16,2)</f>
        <v>6231107.0800000001</v>
      </c>
      <c r="AC42" s="1"/>
      <c r="AH42" s="2"/>
      <c r="AI42" s="2"/>
    </row>
    <row r="43" spans="2:35" x14ac:dyDescent="0.2">
      <c r="B43" s="1"/>
      <c r="C43" s="406">
        <v>3000623</v>
      </c>
      <c r="D43" s="728" t="s">
        <v>102</v>
      </c>
      <c r="E43" s="728"/>
      <c r="F43" s="728"/>
      <c r="G43" s="728"/>
      <c r="H43" s="728"/>
      <c r="I43" s="729"/>
      <c r="J43" s="729"/>
      <c r="K43" s="355">
        <f>SUM(K38:K42)</f>
        <v>2726185.2869999995</v>
      </c>
      <c r="L43" s="730">
        <f>SUM(L38:L42)</f>
        <v>1</v>
      </c>
      <c r="M43" s="593">
        <f>SUM(M38:M42)</f>
        <v>360527.01</v>
      </c>
      <c r="N43" s="593">
        <f>SUM(N38:N42)</f>
        <v>6878494.8237900008</v>
      </c>
      <c r="O43" s="740"/>
      <c r="P43" s="740"/>
      <c r="Q43" s="728"/>
      <c r="R43" s="728"/>
      <c r="S43" s="728"/>
      <c r="T43" s="728"/>
      <c r="U43" s="728"/>
      <c r="V43" s="728"/>
      <c r="W43" s="729"/>
      <c r="X43" s="729"/>
      <c r="Y43" s="355">
        <f>SUM(Y38:Y42)</f>
        <v>850000</v>
      </c>
      <c r="Z43" s="730">
        <f>SUM(Z38:Z42)</f>
        <v>1</v>
      </c>
      <c r="AA43" s="357">
        <f>SUM(AA38:AA42)</f>
        <v>360527.01</v>
      </c>
      <c r="AB43" s="357">
        <f>SUM(AB38:AB42)</f>
        <v>6878494.8300000001</v>
      </c>
      <c r="AC43" s="1"/>
      <c r="AH43" s="2"/>
      <c r="AI43" s="2"/>
    </row>
    <row r="44" spans="2:35" ht="20.100000000000001" customHeight="1" x14ac:dyDescent="0.2">
      <c r="B44" s="1"/>
      <c r="C44" s="336"/>
      <c r="D44" s="336"/>
      <c r="E44" s="336"/>
      <c r="F44" s="336"/>
      <c r="G44" s="358"/>
      <c r="H44" s="358"/>
      <c r="I44" s="336"/>
      <c r="J44" s="336"/>
      <c r="K44" s="336"/>
      <c r="L44" s="336"/>
      <c r="M44" s="359"/>
      <c r="O44" s="1"/>
      <c r="P44" s="1"/>
      <c r="Q44" s="336"/>
      <c r="R44" s="336"/>
      <c r="S44" s="336"/>
      <c r="T44" s="358"/>
      <c r="U44" s="358"/>
      <c r="V44" s="358"/>
      <c r="W44" s="336"/>
      <c r="X44" s="336"/>
      <c r="Y44" s="336"/>
      <c r="Z44" s="336"/>
      <c r="AA44" s="666"/>
      <c r="AB44" s="1707">
        <v>0</v>
      </c>
      <c r="AC44" s="1"/>
      <c r="AH44" s="2"/>
      <c r="AI44" s="2"/>
    </row>
    <row r="45" spans="2:35" ht="20.100000000000001" customHeight="1" x14ac:dyDescent="0.2">
      <c r="B45" s="1"/>
      <c r="C45" s="336"/>
      <c r="D45" s="336"/>
      <c r="E45" s="336"/>
      <c r="F45" s="336"/>
      <c r="G45" s="358"/>
      <c r="H45" s="358"/>
      <c r="I45" s="336"/>
      <c r="J45" s="336"/>
      <c r="K45" s="336"/>
      <c r="L45" s="336"/>
      <c r="M45" s="359"/>
      <c r="O45" s="1"/>
      <c r="P45" s="1"/>
      <c r="Q45" s="336"/>
      <c r="R45" s="336"/>
      <c r="S45" s="336"/>
      <c r="T45" s="358"/>
      <c r="U45" s="358"/>
      <c r="V45" s="358"/>
      <c r="W45" s="336"/>
      <c r="X45" s="336"/>
      <c r="Y45" s="336"/>
      <c r="Z45" s="336"/>
      <c r="AA45" s="666"/>
      <c r="AB45" s="1707"/>
      <c r="AC45" s="1"/>
      <c r="AH45" s="2"/>
      <c r="AI45" s="2"/>
    </row>
    <row r="46" spans="2:35" ht="20.100000000000001" customHeight="1" x14ac:dyDescent="0.2">
      <c r="B46" s="1"/>
      <c r="C46" s="336"/>
      <c r="D46" s="336"/>
      <c r="E46" s="336"/>
      <c r="F46" s="336"/>
      <c r="G46" s="358"/>
      <c r="H46" s="358"/>
      <c r="I46" s="336"/>
      <c r="J46" s="336"/>
      <c r="K46" s="336"/>
      <c r="L46" s="336"/>
      <c r="M46" s="359"/>
      <c r="O46" s="1"/>
      <c r="P46" s="1"/>
      <c r="Q46" s="336"/>
      <c r="R46" s="336"/>
      <c r="S46" s="336"/>
      <c r="T46" s="358"/>
      <c r="U46" s="358"/>
      <c r="V46" s="358"/>
      <c r="W46" s="336"/>
      <c r="X46" s="336"/>
      <c r="Y46" s="336"/>
      <c r="Z46" s="336"/>
      <c r="AA46" s="666"/>
      <c r="AB46" s="1707"/>
      <c r="AC46" s="1"/>
      <c r="AH46" s="2"/>
      <c r="AI46" s="2"/>
    </row>
    <row r="47" spans="2:35" ht="20.100000000000001" customHeight="1" thickBot="1" x14ac:dyDescent="0.25">
      <c r="B47" s="1"/>
      <c r="C47" s="334" t="s">
        <v>103</v>
      </c>
      <c r="D47" s="334"/>
      <c r="E47" s="334"/>
      <c r="F47" s="334"/>
      <c r="G47" s="334"/>
      <c r="H47" s="754"/>
      <c r="I47" s="334"/>
      <c r="J47" s="334"/>
      <c r="K47" s="334"/>
      <c r="L47" s="336"/>
      <c r="M47" s="336"/>
      <c r="N47" s="360"/>
      <c r="O47" s="1"/>
      <c r="P47" s="1"/>
      <c r="Q47" s="334"/>
      <c r="R47" s="334"/>
      <c r="S47" s="334"/>
      <c r="T47" s="334"/>
      <c r="U47" s="334"/>
      <c r="V47" s="754"/>
      <c r="W47" s="334"/>
      <c r="X47" s="334"/>
      <c r="Y47" s="334"/>
      <c r="Z47" s="336"/>
      <c r="AA47" s="665"/>
      <c r="AB47" s="1710"/>
      <c r="AC47" s="717">
        <v>0</v>
      </c>
      <c r="AH47" s="2"/>
      <c r="AI47" s="2"/>
    </row>
    <row r="48" spans="2:35" ht="27.95" customHeight="1" thickBot="1" x14ac:dyDescent="0.3">
      <c r="B48" s="1"/>
      <c r="C48" s="758" t="s">
        <v>87</v>
      </c>
      <c r="D48" s="775" t="s">
        <v>88</v>
      </c>
      <c r="E48" s="775" t="s">
        <v>237</v>
      </c>
      <c r="F48" s="776" t="s">
        <v>160</v>
      </c>
      <c r="G48" s="775" t="s">
        <v>90</v>
      </c>
      <c r="H48" s="776" t="s">
        <v>232</v>
      </c>
      <c r="I48" s="776" t="s">
        <v>233</v>
      </c>
      <c r="J48" s="776" t="s">
        <v>20</v>
      </c>
      <c r="K48" s="755" t="s">
        <v>234</v>
      </c>
      <c r="L48" s="775" t="s">
        <v>93</v>
      </c>
      <c r="M48" s="775" t="s">
        <v>94</v>
      </c>
      <c r="N48" s="777" t="s">
        <v>95</v>
      </c>
      <c r="O48" s="1"/>
      <c r="P48" s="1"/>
      <c r="Q48" s="782" t="s">
        <v>237</v>
      </c>
      <c r="R48" s="810"/>
      <c r="S48" s="776" t="s">
        <v>160</v>
      </c>
      <c r="T48" s="775" t="s">
        <v>90</v>
      </c>
      <c r="U48" s="775"/>
      <c r="V48" s="776" t="s">
        <v>232</v>
      </c>
      <c r="W48" s="776" t="s">
        <v>233</v>
      </c>
      <c r="X48" s="776" t="s">
        <v>20</v>
      </c>
      <c r="Y48" s="755" t="s">
        <v>234</v>
      </c>
      <c r="Z48" s="775" t="s">
        <v>93</v>
      </c>
      <c r="AA48" s="1708" t="s">
        <v>94</v>
      </c>
      <c r="AB48" s="1709" t="s">
        <v>95</v>
      </c>
      <c r="AC48" s="719"/>
      <c r="AH48" s="2"/>
      <c r="AI48" s="2"/>
    </row>
    <row r="49" spans="2:35" ht="20.100000000000001" customHeight="1" thickBot="1" x14ac:dyDescent="0.25">
      <c r="B49" s="1"/>
      <c r="C49" s="763">
        <v>800832773</v>
      </c>
      <c r="D49" s="713">
        <v>255</v>
      </c>
      <c r="E49" s="713" t="s">
        <v>239</v>
      </c>
      <c r="F49" s="1037" t="s">
        <v>238</v>
      </c>
      <c r="G49" s="1037">
        <v>100887241</v>
      </c>
      <c r="H49" s="1037">
        <v>7237</v>
      </c>
      <c r="I49" s="1037">
        <v>468074</v>
      </c>
      <c r="J49" s="808" t="s">
        <v>97</v>
      </c>
      <c r="K49" s="734">
        <f>O101*S102</f>
        <v>1595198.9084584075</v>
      </c>
      <c r="L49" s="735">
        <f>K49/$K$53</f>
        <v>0.35086027352601268</v>
      </c>
      <c r="M49" s="714">
        <v>1584.11397265811</v>
      </c>
      <c r="N49" s="778">
        <f>M49*O49</f>
        <v>29501.588158401046</v>
      </c>
      <c r="O49" s="1166">
        <v>18.6234</v>
      </c>
      <c r="P49" s="1"/>
      <c r="Q49" s="763"/>
      <c r="R49" s="807"/>
      <c r="S49" s="713"/>
      <c r="T49" s="713">
        <v>20823</v>
      </c>
      <c r="U49" s="713"/>
      <c r="V49" s="713"/>
      <c r="W49" s="713"/>
      <c r="X49" s="737" t="s">
        <v>97</v>
      </c>
      <c r="Y49" s="734">
        <v>1595198.9084584075</v>
      </c>
      <c r="Z49" s="735">
        <f t="shared" ref="Z49:Z52" si="3">Y49/$K$53</f>
        <v>0.35086027352601268</v>
      </c>
      <c r="AA49" s="1703">
        <f>ROUND(Z49*I$17,2)</f>
        <v>1584.12</v>
      </c>
      <c r="AB49" s="1704">
        <f>ROUND(Z49*I$17*M$17,2)</f>
        <v>32266.78</v>
      </c>
      <c r="AC49" s="360"/>
      <c r="AH49" s="2"/>
      <c r="AI49" s="2"/>
    </row>
    <row r="50" spans="2:35" ht="20.100000000000001" customHeight="1" thickBot="1" x14ac:dyDescent="0.25">
      <c r="B50" s="1"/>
      <c r="C50" s="763">
        <v>800832773</v>
      </c>
      <c r="D50" s="713">
        <v>255</v>
      </c>
      <c r="E50" s="713" t="s">
        <v>239</v>
      </c>
      <c r="F50" s="713" t="s">
        <v>238</v>
      </c>
      <c r="G50" s="713">
        <v>100887241</v>
      </c>
      <c r="H50" s="713">
        <v>7237</v>
      </c>
      <c r="I50" s="713">
        <v>468074</v>
      </c>
      <c r="J50" s="808" t="s">
        <v>100</v>
      </c>
      <c r="K50" s="734">
        <f>O101*T102</f>
        <v>496204.81269431557</v>
      </c>
      <c r="L50" s="735">
        <f>K50/$K$53</f>
        <v>0.10913908941619038</v>
      </c>
      <c r="M50" s="714">
        <v>492.75671699706402</v>
      </c>
      <c r="N50" s="778">
        <f>M50*O49</f>
        <v>9176.8054433231227</v>
      </c>
      <c r="O50" s="1166"/>
      <c r="P50" s="1"/>
      <c r="Q50" s="763"/>
      <c r="R50" s="807"/>
      <c r="S50" s="713"/>
      <c r="T50" s="713">
        <v>20824</v>
      </c>
      <c r="U50" s="713"/>
      <c r="V50" s="713"/>
      <c r="W50" s="713"/>
      <c r="X50" s="737" t="s">
        <v>97</v>
      </c>
      <c r="Y50" s="734">
        <v>496204.81269431557</v>
      </c>
      <c r="Z50" s="735">
        <f t="shared" si="3"/>
        <v>0.10913908941619038</v>
      </c>
      <c r="AA50" s="1703">
        <f>ROUND(Z50*I$17,2)</f>
        <v>492.76</v>
      </c>
      <c r="AB50" s="1704">
        <f>ROUND(Z50*I$17*M$17,2)</f>
        <v>10036.950000000001</v>
      </c>
      <c r="AC50" s="360"/>
      <c r="AH50" s="2"/>
      <c r="AI50" s="2"/>
    </row>
    <row r="51" spans="2:35" ht="20.100000000000001" customHeight="1" thickBot="1" x14ac:dyDescent="0.25">
      <c r="B51" s="1"/>
      <c r="C51" s="763">
        <v>800832773</v>
      </c>
      <c r="D51" s="713">
        <v>255</v>
      </c>
      <c r="E51" s="713" t="s">
        <v>239</v>
      </c>
      <c r="F51" s="713" t="s">
        <v>410</v>
      </c>
      <c r="G51" s="713">
        <v>100887241</v>
      </c>
      <c r="H51" s="713">
        <v>7237</v>
      </c>
      <c r="I51" s="713">
        <v>468074</v>
      </c>
      <c r="J51" s="808" t="s">
        <v>268</v>
      </c>
      <c r="K51" s="734">
        <f>P101</f>
        <v>119246.1937575605</v>
      </c>
      <c r="L51" s="735">
        <f>K51/$K$53</f>
        <v>2.6227921757510698E-2</v>
      </c>
      <c r="M51" s="714">
        <f>L51*$I$17</f>
        <v>118.41801761829051</v>
      </c>
      <c r="N51" s="778">
        <f>M51*O51</f>
        <v>2222.62329808298</v>
      </c>
      <c r="O51" s="1166">
        <v>18.769300000000001</v>
      </c>
      <c r="P51" s="740"/>
      <c r="Q51" s="763"/>
      <c r="R51" s="807"/>
      <c r="S51" s="713"/>
      <c r="T51" s="713">
        <v>22228</v>
      </c>
      <c r="U51" s="713"/>
      <c r="V51" s="713"/>
      <c r="W51" s="713"/>
      <c r="X51" s="737" t="s">
        <v>100</v>
      </c>
      <c r="Y51" s="734">
        <v>119246.1937575605</v>
      </c>
      <c r="Z51" s="735">
        <f t="shared" si="3"/>
        <v>2.6227921757510698E-2</v>
      </c>
      <c r="AA51" s="1703">
        <f>ROUND(Z51*I$17,2)</f>
        <v>118.42</v>
      </c>
      <c r="AB51" s="1704">
        <f>ROUND(Z51*I$17*M$17,2)</f>
        <v>2412.04</v>
      </c>
      <c r="AC51" s="360"/>
      <c r="AH51" s="2"/>
      <c r="AI51" s="2"/>
    </row>
    <row r="52" spans="2:35" ht="20.100000000000001" customHeight="1" thickBot="1" x14ac:dyDescent="0.25">
      <c r="B52" s="1"/>
      <c r="C52" s="759">
        <v>800832773</v>
      </c>
      <c r="D52" s="761">
        <v>255</v>
      </c>
      <c r="E52" s="761" t="s">
        <v>239</v>
      </c>
      <c r="F52" s="757" t="s">
        <v>238</v>
      </c>
      <c r="G52" s="757">
        <v>100887241</v>
      </c>
      <c r="H52" s="757">
        <v>7237</v>
      </c>
      <c r="I52" s="757">
        <v>468074</v>
      </c>
      <c r="J52" s="809" t="s">
        <v>23</v>
      </c>
      <c r="K52" s="760">
        <f>N101</f>
        <v>2335886.2102180007</v>
      </c>
      <c r="L52" s="765">
        <f>K52/$K$53</f>
        <v>0.51377271530028623</v>
      </c>
      <c r="M52" s="779">
        <v>2319.6551724137935</v>
      </c>
      <c r="N52" s="780">
        <f>M52*O52</f>
        <v>47248.82424137932</v>
      </c>
      <c r="O52" s="1166">
        <v>20.3689</v>
      </c>
      <c r="P52" s="1"/>
      <c r="Q52" s="767"/>
      <c r="R52" s="812"/>
      <c r="S52" s="757" t="s">
        <v>221</v>
      </c>
      <c r="T52" s="757" t="s">
        <v>222</v>
      </c>
      <c r="U52" s="757"/>
      <c r="V52" s="757"/>
      <c r="W52" s="757"/>
      <c r="X52" s="764" t="s">
        <v>23</v>
      </c>
      <c r="Y52" s="760">
        <v>2335886.2102180007</v>
      </c>
      <c r="Z52" s="765">
        <f t="shared" si="3"/>
        <v>0.51377271530028623</v>
      </c>
      <c r="AA52" s="1705">
        <f>ROUND(Z52*I$17,2)</f>
        <v>2319.66</v>
      </c>
      <c r="AB52" s="1706">
        <f>ROUND(Z52*I$17*M$17,2)</f>
        <v>47248.99</v>
      </c>
      <c r="AC52" s="360"/>
      <c r="AH52" s="2"/>
      <c r="AI52" s="2"/>
    </row>
    <row r="53" spans="2:35" ht="15" thickBot="1" x14ac:dyDescent="0.25">
      <c r="B53" s="1"/>
      <c r="C53" s="768"/>
      <c r="D53" s="768"/>
      <c r="E53" s="768"/>
      <c r="F53" s="715"/>
      <c r="G53" s="715"/>
      <c r="H53" s="715"/>
      <c r="I53" s="715"/>
      <c r="J53" s="715"/>
      <c r="K53" s="784">
        <f>SUM(K49:K52)</f>
        <v>4546536.1251282841</v>
      </c>
      <c r="L53" s="769">
        <f>SUM(L49:L52)</f>
        <v>1</v>
      </c>
      <c r="M53" s="781">
        <f>SUM(M49:M52)</f>
        <v>4514.9438796872582</v>
      </c>
      <c r="N53" s="781">
        <f>SUM(N49:N52)</f>
        <v>88149.841141186465</v>
      </c>
      <c r="O53" s="336"/>
      <c r="P53" s="336"/>
      <c r="Q53" s="360"/>
      <c r="R53" s="360"/>
      <c r="S53" s="1"/>
      <c r="T53" s="1"/>
      <c r="U53" s="1"/>
      <c r="V53" s="1"/>
      <c r="W53" s="1"/>
      <c r="X53" s="1"/>
      <c r="Y53" s="355">
        <f>SUM(Y48:Y52)</f>
        <v>4546536.1251282841</v>
      </c>
      <c r="Z53" s="730">
        <f>SUM(Z49:Z52)</f>
        <v>1</v>
      </c>
      <c r="AA53" s="1711">
        <f>SUM(AA49:AA52)</f>
        <v>4514.96</v>
      </c>
      <c r="AB53" s="1712">
        <f>SUM(AB49:AB52)</f>
        <v>91964.76</v>
      </c>
      <c r="AH53" s="2"/>
      <c r="AI53" s="2"/>
    </row>
    <row r="54" spans="2:35" x14ac:dyDescent="0.2">
      <c r="B54" s="1"/>
      <c r="C54" s="715"/>
      <c r="D54" s="715"/>
      <c r="E54" s="715"/>
      <c r="F54" s="715"/>
      <c r="G54" s="715"/>
      <c r="H54" s="715"/>
      <c r="I54" s="715"/>
      <c r="J54" s="715"/>
      <c r="K54" s="715"/>
      <c r="L54" s="715"/>
      <c r="M54" s="716"/>
      <c r="N54" s="716"/>
      <c r="O54" s="336"/>
      <c r="P54" s="336"/>
      <c r="Q54" s="336"/>
      <c r="R54" s="336"/>
      <c r="S54" s="1"/>
      <c r="T54" s="1"/>
      <c r="U54" s="1"/>
      <c r="V54" s="1"/>
      <c r="W54" s="1"/>
      <c r="X54" s="1"/>
      <c r="Y54" s="1"/>
      <c r="Z54" s="1"/>
      <c r="AA54" s="1713"/>
      <c r="AB54" s="1713"/>
      <c r="AH54" s="2"/>
      <c r="AI54" s="2"/>
    </row>
    <row r="55" spans="2:35" x14ac:dyDescent="0.2">
      <c r="B55" s="1"/>
      <c r="C55" s="715"/>
      <c r="D55" s="715"/>
      <c r="E55" s="715"/>
      <c r="F55" s="715"/>
      <c r="G55" s="715"/>
      <c r="H55" s="715"/>
      <c r="I55" s="716"/>
      <c r="J55" s="715"/>
      <c r="K55" s="715"/>
      <c r="L55" s="716"/>
      <c r="M55" s="822"/>
      <c r="N55" s="353"/>
      <c r="O55" s="1"/>
      <c r="P55" s="1"/>
      <c r="Q55" s="1"/>
      <c r="R55" s="1"/>
      <c r="S55" s="1"/>
      <c r="T55" s="1"/>
      <c r="U55" s="1"/>
      <c r="V55" s="1"/>
      <c r="W55" s="1"/>
      <c r="X55" s="1"/>
      <c r="Y55" s="718"/>
      <c r="Z55" s="718"/>
      <c r="AA55" s="718"/>
      <c r="AB55" s="718"/>
      <c r="AF55" s="2"/>
      <c r="AG55" s="2"/>
      <c r="AH55" s="2"/>
      <c r="AI55" s="2"/>
    </row>
    <row r="56" spans="2:35" x14ac:dyDescent="0.2">
      <c r="B56" s="1"/>
      <c r="C56" s="715"/>
      <c r="D56" s="715"/>
      <c r="E56" s="715"/>
      <c r="F56" s="715"/>
      <c r="G56" s="715"/>
      <c r="H56" s="715"/>
      <c r="I56" s="785"/>
      <c r="J56" s="715"/>
      <c r="K56" s="715"/>
      <c r="L56" s="716"/>
      <c r="M56" s="716"/>
      <c r="N56" s="1064"/>
      <c r="O56" s="1065"/>
      <c r="P56" s="1065"/>
      <c r="Q56" s="823"/>
      <c r="R56" s="824"/>
      <c r="S56" s="472"/>
      <c r="T56" s="1"/>
      <c r="U56" s="1"/>
      <c r="V56" s="1"/>
      <c r="W56" s="1"/>
      <c r="X56" s="1"/>
      <c r="Y56" s="1"/>
      <c r="Z56" s="718"/>
      <c r="AA56" s="718"/>
      <c r="AB56" s="718"/>
      <c r="AG56" s="2"/>
      <c r="AH56" s="2"/>
      <c r="AI56" s="2"/>
    </row>
    <row r="57" spans="2:35" x14ac:dyDescent="0.2">
      <c r="B57" s="1"/>
      <c r="C57" s="715"/>
      <c r="D57" s="715"/>
      <c r="E57" s="715"/>
      <c r="F57" s="715"/>
      <c r="G57" s="715"/>
      <c r="H57" s="715"/>
      <c r="I57" s="785"/>
      <c r="J57" s="715"/>
      <c r="K57" s="715"/>
      <c r="L57" s="716"/>
      <c r="M57" s="716"/>
      <c r="N57" s="1066"/>
      <c r="O57" s="1065"/>
      <c r="P57" s="1065"/>
      <c r="Q57" s="336"/>
      <c r="R57" s="336"/>
      <c r="S57" s="716"/>
      <c r="T57" s="1"/>
      <c r="U57" s="1"/>
      <c r="V57" s="1"/>
      <c r="W57" s="1"/>
      <c r="X57" s="1"/>
      <c r="Y57" s="1"/>
      <c r="Z57" s="1"/>
      <c r="AA57" s="1"/>
      <c r="AB57" s="1"/>
    </row>
    <row r="58" spans="2:35" x14ac:dyDescent="0.2">
      <c r="B58" s="1"/>
      <c r="C58" s="715"/>
      <c r="D58" s="715"/>
      <c r="E58" s="715"/>
      <c r="F58" s="715"/>
      <c r="G58" s="715"/>
      <c r="H58" s="715"/>
      <c r="I58" s="715"/>
      <c r="J58" s="715"/>
      <c r="K58" s="715"/>
      <c r="L58" s="716"/>
      <c r="M58" s="716"/>
      <c r="N58" s="336"/>
      <c r="O58" s="1065"/>
      <c r="P58" s="1065"/>
      <c r="Q58" s="336"/>
      <c r="R58" s="336"/>
      <c r="S58" s="716"/>
      <c r="T58" s="1"/>
      <c r="U58" s="1"/>
      <c r="V58" s="1"/>
      <c r="W58" s="1"/>
      <c r="X58" s="1"/>
      <c r="Y58" s="1"/>
      <c r="Z58" s="1"/>
      <c r="AA58" s="1"/>
      <c r="AB58" s="1"/>
    </row>
    <row r="59" spans="2:35" x14ac:dyDescent="0.2">
      <c r="B59" s="1"/>
      <c r="C59" s="715"/>
      <c r="D59" s="715"/>
      <c r="E59" s="715"/>
      <c r="F59" s="715"/>
      <c r="G59" s="715"/>
      <c r="H59" s="715"/>
      <c r="I59" s="715"/>
      <c r="J59" s="715"/>
      <c r="K59" s="715"/>
      <c r="L59" s="716"/>
      <c r="M59" s="716"/>
      <c r="N59" s="336"/>
      <c r="O59" s="1065"/>
      <c r="P59" s="1065"/>
      <c r="Q59" s="336"/>
      <c r="R59" s="336"/>
      <c r="S59" s="716"/>
      <c r="T59" s="1"/>
      <c r="U59" s="1"/>
      <c r="V59" s="1"/>
      <c r="W59" s="1"/>
      <c r="X59" s="1"/>
      <c r="Y59" s="1"/>
      <c r="Z59" s="1"/>
      <c r="AA59" s="1"/>
      <c r="AB59" s="1"/>
    </row>
    <row r="60" spans="2:35" x14ac:dyDescent="0.2">
      <c r="B60" s="1"/>
      <c r="C60" s="715"/>
      <c r="D60" s="715"/>
      <c r="E60" s="715"/>
      <c r="F60" s="715"/>
      <c r="G60" s="715"/>
      <c r="H60" s="715"/>
      <c r="I60" s="715"/>
      <c r="J60" s="715"/>
      <c r="K60" s="715"/>
      <c r="L60" s="716"/>
      <c r="M60" s="716"/>
      <c r="N60" s="336"/>
      <c r="O60" s="716"/>
      <c r="P60" s="716"/>
      <c r="Q60" s="336"/>
      <c r="R60" s="336"/>
      <c r="S60" s="716"/>
      <c r="T60" s="1"/>
      <c r="U60" s="1"/>
      <c r="V60" s="1"/>
      <c r="W60" s="1"/>
      <c r="X60" s="1"/>
      <c r="Y60" s="1"/>
      <c r="Z60" s="1"/>
      <c r="AA60" s="1"/>
      <c r="AB60" s="1"/>
    </row>
    <row r="61" spans="2:35" x14ac:dyDescent="0.2">
      <c r="B61" s="1"/>
      <c r="C61" s="715"/>
      <c r="D61" s="715"/>
      <c r="E61" s="715"/>
      <c r="F61" s="715"/>
      <c r="G61" s="715"/>
      <c r="H61" s="715"/>
      <c r="I61" s="715"/>
      <c r="J61" s="715"/>
      <c r="K61" s="715"/>
      <c r="L61" s="716"/>
      <c r="M61" s="716"/>
      <c r="N61" s="336"/>
      <c r="O61" s="716"/>
      <c r="P61" s="716"/>
      <c r="Q61" s="336"/>
      <c r="R61" s="336"/>
      <c r="S61" s="716"/>
      <c r="T61" s="1"/>
      <c r="U61" s="1"/>
      <c r="V61" s="1"/>
      <c r="W61" s="1"/>
      <c r="X61" s="1"/>
      <c r="Y61" s="1"/>
      <c r="Z61" s="1"/>
      <c r="AA61" s="1"/>
      <c r="AB61" s="1"/>
    </row>
    <row r="62" spans="2:35" x14ac:dyDescent="0.2">
      <c r="B62" s="1"/>
      <c r="C62" s="715"/>
      <c r="D62" s="715"/>
      <c r="E62" s="715"/>
      <c r="F62" s="715"/>
      <c r="G62" s="715"/>
      <c r="H62" s="715"/>
      <c r="I62" s="715"/>
      <c r="J62" s="715"/>
      <c r="K62" s="715"/>
      <c r="L62" s="716"/>
      <c r="M62" s="716"/>
      <c r="N62" s="336"/>
      <c r="O62" s="716"/>
      <c r="P62" s="716"/>
      <c r="Q62" s="336"/>
      <c r="R62" s="336"/>
      <c r="S62" s="716"/>
      <c r="T62" s="1"/>
      <c r="U62" s="1"/>
      <c r="V62" s="1"/>
      <c r="W62" s="1"/>
      <c r="X62" s="1"/>
      <c r="Y62" s="1"/>
      <c r="Z62" s="1"/>
      <c r="AA62" s="1"/>
      <c r="AB62" s="1"/>
    </row>
    <row r="63" spans="2:35" x14ac:dyDescent="0.2">
      <c r="B63" s="1"/>
      <c r="C63" s="715"/>
      <c r="D63" s="715"/>
      <c r="E63" s="715"/>
      <c r="F63" s="715"/>
      <c r="G63" s="715"/>
      <c r="H63" s="715"/>
      <c r="I63" s="715"/>
      <c r="J63" s="715"/>
      <c r="K63" s="715"/>
      <c r="L63" s="716"/>
      <c r="M63" s="716"/>
      <c r="N63" s="336"/>
      <c r="O63" s="716"/>
      <c r="P63" s="716"/>
      <c r="Q63" s="336"/>
      <c r="R63" s="336"/>
      <c r="S63" s="716"/>
      <c r="T63" s="1"/>
      <c r="U63" s="1"/>
      <c r="V63" s="1"/>
      <c r="W63" s="1"/>
      <c r="X63" s="1"/>
      <c r="Y63" s="1"/>
      <c r="Z63" s="1"/>
      <c r="AA63" s="1"/>
      <c r="AB63" s="1"/>
    </row>
    <row r="64" spans="2:35" x14ac:dyDescent="0.2">
      <c r="B64" s="1"/>
      <c r="C64" s="715"/>
      <c r="D64" s="715"/>
      <c r="E64" s="715"/>
      <c r="F64" s="715"/>
      <c r="G64" s="715"/>
      <c r="H64" s="715"/>
      <c r="I64" s="715"/>
      <c r="J64" s="715"/>
      <c r="K64" s="715"/>
      <c r="L64" s="716"/>
      <c r="M64" s="716"/>
      <c r="N64" s="336"/>
      <c r="O64" s="716"/>
      <c r="P64" s="716"/>
      <c r="Q64" s="336"/>
      <c r="R64" s="336"/>
      <c r="S64" s="716"/>
      <c r="T64" s="1"/>
      <c r="U64" s="1"/>
      <c r="V64" s="1"/>
      <c r="W64" s="1"/>
      <c r="X64" s="1"/>
      <c r="Y64" s="1"/>
      <c r="Z64" s="1"/>
      <c r="AA64" s="1"/>
      <c r="AB64" s="1"/>
    </row>
    <row r="65" spans="1:36" x14ac:dyDescent="0.2">
      <c r="B65" s="1"/>
      <c r="C65" s="715"/>
      <c r="D65" s="715"/>
      <c r="E65" s="715"/>
      <c r="F65" s="715"/>
      <c r="G65" s="715"/>
      <c r="H65" s="715"/>
      <c r="I65" s="715"/>
      <c r="J65" s="715"/>
      <c r="K65" s="715"/>
      <c r="L65" s="716"/>
      <c r="M65" s="716"/>
      <c r="N65" s="336"/>
      <c r="O65" s="716"/>
      <c r="P65" s="716"/>
      <c r="Q65" s="336"/>
      <c r="R65" s="336"/>
      <c r="S65" s="716"/>
      <c r="T65" s="1"/>
      <c r="U65" s="1"/>
      <c r="V65" s="1"/>
      <c r="W65" s="1"/>
      <c r="X65" s="1"/>
      <c r="Y65" s="1"/>
      <c r="Z65" s="1"/>
      <c r="AA65" s="1"/>
      <c r="AB65" s="1"/>
    </row>
    <row r="66" spans="1:36" x14ac:dyDescent="0.2">
      <c r="B66" s="1"/>
      <c r="C66" s="715"/>
      <c r="D66" s="715"/>
      <c r="E66" s="715"/>
      <c r="F66" s="715"/>
      <c r="G66" s="715"/>
      <c r="H66" s="715"/>
      <c r="I66" s="715"/>
      <c r="J66" s="715"/>
      <c r="K66" s="715"/>
      <c r="L66" s="716"/>
      <c r="M66" s="716"/>
      <c r="N66" s="336"/>
      <c r="O66" s="716"/>
      <c r="P66" s="716"/>
      <c r="Q66" s="860"/>
      <c r="R66" s="860"/>
      <c r="S66" s="905"/>
      <c r="T66" s="827"/>
      <c r="U66" s="827"/>
      <c r="V66" s="827"/>
      <c r="W66" s="827"/>
      <c r="X66" s="827"/>
      <c r="Y66" s="827"/>
      <c r="Z66" s="827"/>
      <c r="AA66" s="827"/>
      <c r="AB66" s="827"/>
      <c r="AC66" s="843"/>
      <c r="AD66" s="843"/>
    </row>
    <row r="67" spans="1:36" s="718" customFormat="1" ht="15" thickBot="1" x14ac:dyDescent="0.25">
      <c r="N67" s="720"/>
      <c r="O67" s="720"/>
      <c r="P67" s="720"/>
      <c r="Q67" s="860"/>
      <c r="R67" s="860"/>
      <c r="S67" s="860"/>
      <c r="T67" s="860"/>
      <c r="U67" s="860"/>
      <c r="V67" s="860"/>
      <c r="W67" s="860"/>
      <c r="X67" s="860"/>
      <c r="Y67" s="860"/>
      <c r="Z67" s="860"/>
      <c r="AA67" s="860"/>
      <c r="AB67" s="860"/>
      <c r="AC67" s="999">
        <f>'Abril - 2018'!Y89</f>
        <v>0</v>
      </c>
      <c r="AD67" s="843"/>
    </row>
    <row r="68" spans="1:36" ht="15" thickBot="1" x14ac:dyDescent="0.25">
      <c r="A68" s="829"/>
      <c r="B68" s="907" t="s">
        <v>3</v>
      </c>
      <c r="C68" s="908">
        <f>SUMIF(Tarifas!E4:E303,'Mayo - 2018'!C70,Tarifas!D4:D303)</f>
        <v>58</v>
      </c>
      <c r="D68" s="909" t="s">
        <v>147</v>
      </c>
      <c r="E68" s="910"/>
      <c r="F68" s="910" t="s">
        <v>145</v>
      </c>
      <c r="G68" s="910" t="s">
        <v>287</v>
      </c>
      <c r="H68" s="910" t="s">
        <v>148</v>
      </c>
      <c r="I68" s="911"/>
      <c r="J68" s="2320" t="s">
        <v>120</v>
      </c>
      <c r="K68" s="2321"/>
      <c r="L68" s="2321"/>
      <c r="M68" s="2322"/>
      <c r="N68" s="2311" t="s">
        <v>270</v>
      </c>
      <c r="O68" s="2312"/>
      <c r="P68" s="2313"/>
      <c r="Q68" s="2309" t="s">
        <v>271</v>
      </c>
      <c r="R68" s="2310"/>
      <c r="S68" s="2310"/>
      <c r="T68" s="2310"/>
      <c r="U68" s="2310"/>
      <c r="V68" s="2310"/>
      <c r="W68" s="2310"/>
      <c r="X68" s="2314" t="s">
        <v>121</v>
      </c>
      <c r="Y68" s="2315"/>
      <c r="Z68" s="2315"/>
      <c r="AA68" s="2315"/>
      <c r="AB68" s="2315"/>
      <c r="AC68" s="2316"/>
      <c r="AD68" s="1033"/>
      <c r="AJ68" s="718"/>
    </row>
    <row r="69" spans="1:36" ht="51.75" thickBot="1" x14ac:dyDescent="0.25">
      <c r="A69" s="829"/>
      <c r="B69" s="829"/>
      <c r="C69" s="914" t="s">
        <v>122</v>
      </c>
      <c r="D69" s="915" t="s">
        <v>125</v>
      </c>
      <c r="E69" s="916" t="s">
        <v>277</v>
      </c>
      <c r="F69" s="916" t="s">
        <v>149</v>
      </c>
      <c r="G69" s="916" t="s">
        <v>151</v>
      </c>
      <c r="H69" s="916" t="s">
        <v>152</v>
      </c>
      <c r="I69" s="917" t="s">
        <v>123</v>
      </c>
      <c r="J69" s="1020" t="s">
        <v>295</v>
      </c>
      <c r="K69" s="1021" t="s">
        <v>293</v>
      </c>
      <c r="L69" s="1021" t="s">
        <v>294</v>
      </c>
      <c r="M69" s="1039" t="s">
        <v>267</v>
      </c>
      <c r="N69" s="974" t="s">
        <v>266</v>
      </c>
      <c r="O69" s="975" t="s">
        <v>269</v>
      </c>
      <c r="P69" s="975" t="s">
        <v>334</v>
      </c>
      <c r="Q69" s="976" t="s">
        <v>335</v>
      </c>
      <c r="R69" s="977" t="s">
        <v>336</v>
      </c>
      <c r="S69" s="976" t="s">
        <v>317</v>
      </c>
      <c r="T69" s="978" t="s">
        <v>316</v>
      </c>
      <c r="U69" s="979" t="s">
        <v>319</v>
      </c>
      <c r="V69" s="980" t="s">
        <v>315</v>
      </c>
      <c r="W69" s="979" t="s">
        <v>318</v>
      </c>
      <c r="X69" s="1029" t="s">
        <v>207</v>
      </c>
      <c r="Y69" s="1030" t="s">
        <v>112</v>
      </c>
      <c r="Z69" s="1031" t="s">
        <v>118</v>
      </c>
      <c r="AA69" s="1031" t="s">
        <v>119</v>
      </c>
      <c r="AB69" s="1031" t="s">
        <v>114</v>
      </c>
      <c r="AC69" s="1032" t="s">
        <v>113</v>
      </c>
      <c r="AD69" s="843"/>
      <c r="AJ69" s="718"/>
    </row>
    <row r="70" spans="1:36" x14ac:dyDescent="0.2">
      <c r="A70" s="829"/>
      <c r="B70" s="829"/>
      <c r="C70" s="918">
        <v>43221</v>
      </c>
      <c r="D70" s="1354">
        <f>($F$22*$H$22)/$G$22</f>
        <v>150304.21677419354</v>
      </c>
      <c r="E70" s="1355">
        <v>0</v>
      </c>
      <c r="F70" s="1327">
        <f t="shared" ref="F70:F100" si="4">N70+O70+P70</f>
        <v>72527.820313000004</v>
      </c>
      <c r="G70" s="1356">
        <f t="shared" ref="G70:G100" si="5">TRUNC(IFERROR(K$22/L$22,0),8)</f>
        <v>0.99304864999999998</v>
      </c>
      <c r="H70" s="1357">
        <f t="shared" ref="H70:H100" si="6">ROUND(J$22*G70*F70,4)</f>
        <v>72.023700000000005</v>
      </c>
      <c r="I70" s="1358">
        <f t="shared" ref="I70:I100" si="7">SUM(D70:H70)</f>
        <v>222905.05383584354</v>
      </c>
      <c r="J70" s="1359">
        <v>75998.83825689918</v>
      </c>
      <c r="K70" s="1360">
        <v>0</v>
      </c>
      <c r="L70" s="1360">
        <v>0</v>
      </c>
      <c r="M70" s="1361">
        <v>0</v>
      </c>
      <c r="N70" s="1322">
        <v>72527.820313000004</v>
      </c>
      <c r="O70" s="1360">
        <v>0</v>
      </c>
      <c r="P70" s="1360">
        <v>0</v>
      </c>
      <c r="Q70" s="317">
        <v>72527.820000000007</v>
      </c>
      <c r="R70" s="1362">
        <f t="shared" ref="R70:R100" si="8">N70-Q70</f>
        <v>3.1299999682232738E-4</v>
      </c>
      <c r="S70" s="1363">
        <v>59740.758000000002</v>
      </c>
      <c r="T70" s="1347">
        <v>0</v>
      </c>
      <c r="U70" s="1364">
        <f>O70-(S70+T70)</f>
        <v>-59740.758000000002</v>
      </c>
      <c r="V70" s="1365">
        <v>0</v>
      </c>
      <c r="W70" s="1362">
        <f t="shared" ref="W70:W100" si="9">P70-V70</f>
        <v>0</v>
      </c>
      <c r="X70" s="1366"/>
      <c r="Y70" s="520">
        <f>X70-Z70</f>
        <v>-75998.83825689918</v>
      </c>
      <c r="Z70" s="520">
        <f>J70+M78+M70</f>
        <v>75998.83825689918</v>
      </c>
      <c r="AA70" s="520">
        <f t="shared" ref="AA70:AA100" si="10">(U70+V70+W70)/1.055056</f>
        <v>-56623.305303225614</v>
      </c>
      <c r="AB70" s="520">
        <f>Z70-AA70</f>
        <v>132622.14356012479</v>
      </c>
      <c r="AC70" s="1367">
        <f>AC67+AB70</f>
        <v>132622.14356012479</v>
      </c>
      <c r="AD70" s="843"/>
      <c r="AJ70" s="718"/>
    </row>
    <row r="71" spans="1:36" x14ac:dyDescent="0.2">
      <c r="A71" s="829"/>
      <c r="B71" s="829"/>
      <c r="C71" s="933">
        <f t="shared" ref="C71:C99" si="11">C70+1</f>
        <v>43222</v>
      </c>
      <c r="D71" s="388">
        <f t="shared" ref="D71:D100" si="12">($F$22*$H$22)/$G$22</f>
        <v>150304.21677419354</v>
      </c>
      <c r="E71" s="1368">
        <v>0</v>
      </c>
      <c r="F71" s="392">
        <f t="shared" si="4"/>
        <v>74221.4375</v>
      </c>
      <c r="G71" s="733">
        <f t="shared" si="5"/>
        <v>0.99304864999999998</v>
      </c>
      <c r="H71" s="390">
        <f t="shared" si="6"/>
        <v>73.705500000000001</v>
      </c>
      <c r="I71" s="391">
        <f t="shared" si="7"/>
        <v>224600.35282284356</v>
      </c>
      <c r="J71" s="1369">
        <v>75998.83825689918</v>
      </c>
      <c r="K71" s="1370">
        <v>0</v>
      </c>
      <c r="L71" s="1370">
        <v>0</v>
      </c>
      <c r="M71" s="1371">
        <v>0</v>
      </c>
      <c r="N71" s="725">
        <v>74221.4375</v>
      </c>
      <c r="O71" s="1370">
        <v>0</v>
      </c>
      <c r="P71" s="1370">
        <v>0</v>
      </c>
      <c r="Q71" s="319">
        <v>74221.440000000002</v>
      </c>
      <c r="R71" s="1372">
        <f t="shared" si="8"/>
        <v>-2.5000000023283064E-3</v>
      </c>
      <c r="S71" s="1373">
        <v>59645.591999999997</v>
      </c>
      <c r="T71" s="1374">
        <v>0</v>
      </c>
      <c r="U71" s="1375">
        <f t="shared" ref="U71:U100" si="13">O71-(S71+T71)</f>
        <v>-59645.591999999997</v>
      </c>
      <c r="V71" s="1373">
        <v>0</v>
      </c>
      <c r="W71" s="1372">
        <f t="shared" si="9"/>
        <v>0</v>
      </c>
      <c r="X71" s="1366"/>
      <c r="Y71" s="520">
        <f t="shared" ref="Y71:Y100" si="14">X71-Z71</f>
        <v>-75998.83825689918</v>
      </c>
      <c r="Z71" s="520">
        <f t="shared" ref="Z71:Z100" si="15">J71+K71+M71</f>
        <v>75998.83825689918</v>
      </c>
      <c r="AA71" s="520">
        <f t="shared" si="10"/>
        <v>-56533.105351753838</v>
      </c>
      <c r="AB71" s="520">
        <f t="shared" ref="AB71:AB100" si="16">Z71-AA71</f>
        <v>132531.94360865303</v>
      </c>
      <c r="AC71" s="1367">
        <f>AC70+AB71</f>
        <v>265154.08716877783</v>
      </c>
      <c r="AD71" s="843"/>
      <c r="AJ71" s="718"/>
    </row>
    <row r="72" spans="1:36" x14ac:dyDescent="0.2">
      <c r="A72" s="829"/>
      <c r="B72" s="829"/>
      <c r="C72" s="933">
        <f t="shared" si="11"/>
        <v>43223</v>
      </c>
      <c r="D72" s="388">
        <f t="shared" si="12"/>
        <v>150304.21677419354</v>
      </c>
      <c r="E72" s="1368">
        <v>0</v>
      </c>
      <c r="F72" s="392">
        <f t="shared" si="4"/>
        <v>74835.1875</v>
      </c>
      <c r="G72" s="733">
        <f t="shared" si="5"/>
        <v>0.99304864999999998</v>
      </c>
      <c r="H72" s="390">
        <f t="shared" si="6"/>
        <v>74.314999999999998</v>
      </c>
      <c r="I72" s="391">
        <f t="shared" si="7"/>
        <v>225214.71232284355</v>
      </c>
      <c r="J72" s="1369">
        <v>75998.83825689918</v>
      </c>
      <c r="K72" s="1370">
        <v>0</v>
      </c>
      <c r="L72" s="1370">
        <v>0</v>
      </c>
      <c r="M72" s="1371">
        <v>0</v>
      </c>
      <c r="N72" s="724">
        <v>74835.1875</v>
      </c>
      <c r="O72" s="1370">
        <v>0</v>
      </c>
      <c r="P72" s="1370">
        <v>0</v>
      </c>
      <c r="Q72" s="317">
        <v>74835.199999999997</v>
      </c>
      <c r="R72" s="1372">
        <f t="shared" si="8"/>
        <v>-1.2499999997089617E-2</v>
      </c>
      <c r="S72" s="1373">
        <v>58901.904000000002</v>
      </c>
      <c r="T72" s="1374">
        <v>0</v>
      </c>
      <c r="U72" s="1375">
        <f t="shared" si="13"/>
        <v>-58901.904000000002</v>
      </c>
      <c r="V72" s="1373">
        <v>0</v>
      </c>
      <c r="W72" s="1372">
        <f t="shared" si="9"/>
        <v>0</v>
      </c>
      <c r="X72" s="1366"/>
      <c r="Y72" s="520">
        <f t="shared" si="14"/>
        <v>-75998.83825689918</v>
      </c>
      <c r="Z72" s="520">
        <f t="shared" si="15"/>
        <v>75998.83825689918</v>
      </c>
      <c r="AA72" s="520">
        <f t="shared" si="10"/>
        <v>-55828.225231646473</v>
      </c>
      <c r="AB72" s="520">
        <f t="shared" si="16"/>
        <v>131827.06348854565</v>
      </c>
      <c r="AC72" s="1367">
        <f t="shared" ref="AC72:AC98" si="17">AC71+AB72</f>
        <v>396981.15065732348</v>
      </c>
      <c r="AD72" s="843"/>
      <c r="AJ72" s="718"/>
    </row>
    <row r="73" spans="1:36" x14ac:dyDescent="0.2">
      <c r="A73" s="829"/>
      <c r="B73" s="829"/>
      <c r="C73" s="933">
        <f t="shared" si="11"/>
        <v>43224</v>
      </c>
      <c r="D73" s="388">
        <f t="shared" si="12"/>
        <v>150304.21677419354</v>
      </c>
      <c r="E73" s="1368">
        <v>0</v>
      </c>
      <c r="F73" s="392">
        <f t="shared" si="4"/>
        <v>74682.820313000004</v>
      </c>
      <c r="G73" s="733">
        <f t="shared" si="5"/>
        <v>0.99304864999999998</v>
      </c>
      <c r="H73" s="390">
        <f t="shared" si="6"/>
        <v>74.163700000000006</v>
      </c>
      <c r="I73" s="391">
        <f t="shared" si="7"/>
        <v>225062.19383584356</v>
      </c>
      <c r="J73" s="1369">
        <v>71999.121518294589</v>
      </c>
      <c r="K73" s="1370">
        <v>0</v>
      </c>
      <c r="L73" s="1370">
        <v>0</v>
      </c>
      <c r="M73" s="1371">
        <v>0</v>
      </c>
      <c r="N73" s="725">
        <v>74682.820313000004</v>
      </c>
      <c r="O73" s="1370">
        <v>0</v>
      </c>
      <c r="P73" s="1370">
        <v>0</v>
      </c>
      <c r="Q73" s="319">
        <v>74682.8</v>
      </c>
      <c r="R73" s="1372">
        <f t="shared" si="8"/>
        <v>2.0313000000896864E-2</v>
      </c>
      <c r="S73" s="1373">
        <v>58923.703999999998</v>
      </c>
      <c r="T73" s="1374">
        <v>0</v>
      </c>
      <c r="U73" s="1375">
        <f t="shared" si="13"/>
        <v>-58923.703999999998</v>
      </c>
      <c r="V73" s="1373">
        <v>0</v>
      </c>
      <c r="W73" s="1372">
        <f t="shared" si="9"/>
        <v>0</v>
      </c>
      <c r="X73" s="1366"/>
      <c r="Y73" s="520">
        <f t="shared" si="14"/>
        <v>-71999.121518294589</v>
      </c>
      <c r="Z73" s="520">
        <f t="shared" si="15"/>
        <v>71999.121518294589</v>
      </c>
      <c r="AA73" s="520">
        <f t="shared" si="10"/>
        <v>-55848.887641982983</v>
      </c>
      <c r="AB73" s="520">
        <f t="shared" si="16"/>
        <v>127848.00916027758</v>
      </c>
      <c r="AC73" s="1367">
        <f t="shared" si="17"/>
        <v>524829.15981760109</v>
      </c>
      <c r="AD73" s="843"/>
      <c r="AJ73" s="718"/>
    </row>
    <row r="74" spans="1:36" x14ac:dyDescent="0.2">
      <c r="A74" s="829"/>
      <c r="B74" s="829"/>
      <c r="C74" s="933">
        <f t="shared" si="11"/>
        <v>43225</v>
      </c>
      <c r="D74" s="388">
        <f t="shared" si="12"/>
        <v>150304.21677419354</v>
      </c>
      <c r="E74" s="1368">
        <v>0</v>
      </c>
      <c r="F74" s="392">
        <f t="shared" si="4"/>
        <v>75259.40625</v>
      </c>
      <c r="G74" s="733">
        <f t="shared" si="5"/>
        <v>0.99304864999999998</v>
      </c>
      <c r="H74" s="390">
        <f t="shared" si="6"/>
        <v>74.7363</v>
      </c>
      <c r="I74" s="391">
        <f t="shared" si="7"/>
        <v>225639.35237284354</v>
      </c>
      <c r="J74" s="1369">
        <v>71999.121518294589</v>
      </c>
      <c r="K74" s="1370">
        <v>0</v>
      </c>
      <c r="L74" s="1370">
        <v>0</v>
      </c>
      <c r="M74" s="1371">
        <v>0</v>
      </c>
      <c r="N74" s="724">
        <v>75259.40625</v>
      </c>
      <c r="O74" s="1370">
        <v>0</v>
      </c>
      <c r="P74" s="1370">
        <v>0</v>
      </c>
      <c r="Q74" s="317">
        <v>75259.399999999994</v>
      </c>
      <c r="R74" s="1372">
        <f t="shared" si="8"/>
        <v>6.2500000058207661E-3</v>
      </c>
      <c r="S74" s="1373">
        <v>35567.595000000001</v>
      </c>
      <c r="T74" s="1374">
        <v>0</v>
      </c>
      <c r="U74" s="1375">
        <f t="shared" si="13"/>
        <v>-35567.595000000001</v>
      </c>
      <c r="V74" s="1373">
        <v>0</v>
      </c>
      <c r="W74" s="1372">
        <f t="shared" si="9"/>
        <v>0</v>
      </c>
      <c r="X74" s="1366"/>
      <c r="Y74" s="520">
        <f t="shared" si="14"/>
        <v>-71999.121518294589</v>
      </c>
      <c r="Z74" s="520">
        <f t="shared" si="15"/>
        <v>71999.121518294589</v>
      </c>
      <c r="AA74" s="520">
        <f t="shared" si="10"/>
        <v>-33711.570760225048</v>
      </c>
      <c r="AB74" s="520">
        <f t="shared" si="16"/>
        <v>105710.69227851964</v>
      </c>
      <c r="AC74" s="1367">
        <f t="shared" si="17"/>
        <v>630539.85209612071</v>
      </c>
      <c r="AD74" s="843"/>
      <c r="AJ74" s="718"/>
    </row>
    <row r="75" spans="1:36" x14ac:dyDescent="0.2">
      <c r="A75" s="829"/>
      <c r="B75" s="829"/>
      <c r="C75" s="933">
        <f t="shared" si="11"/>
        <v>43226</v>
      </c>
      <c r="D75" s="388">
        <f t="shared" si="12"/>
        <v>150304.21677419354</v>
      </c>
      <c r="E75" s="1368">
        <v>0</v>
      </c>
      <c r="F75" s="392">
        <f t="shared" si="4"/>
        <v>74083.273438000004</v>
      </c>
      <c r="G75" s="733">
        <f t="shared" si="5"/>
        <v>0.99304864999999998</v>
      </c>
      <c r="H75" s="390">
        <f t="shared" si="6"/>
        <v>73.568299999999994</v>
      </c>
      <c r="I75" s="391">
        <f t="shared" si="7"/>
        <v>224462.05156084357</v>
      </c>
      <c r="J75" s="1369">
        <v>71999.121518294589</v>
      </c>
      <c r="K75" s="1370">
        <v>0</v>
      </c>
      <c r="L75" s="1370">
        <v>0</v>
      </c>
      <c r="M75" s="1371">
        <v>0</v>
      </c>
      <c r="N75" s="725">
        <v>74083.273438000004</v>
      </c>
      <c r="O75" s="1370">
        <v>0</v>
      </c>
      <c r="P75" s="1370">
        <v>0</v>
      </c>
      <c r="Q75" s="319">
        <v>74083.27</v>
      </c>
      <c r="R75" s="1372">
        <f t="shared" si="8"/>
        <v>3.4379999997327104E-3</v>
      </c>
      <c r="S75" s="1373">
        <v>59515.743000000002</v>
      </c>
      <c r="T75" s="1374">
        <v>0</v>
      </c>
      <c r="U75" s="1375">
        <f t="shared" si="13"/>
        <v>-59515.743000000002</v>
      </c>
      <c r="V75" s="1373">
        <v>0</v>
      </c>
      <c r="W75" s="1372">
        <f t="shared" si="9"/>
        <v>0</v>
      </c>
      <c r="X75" s="1366"/>
      <c r="Y75" s="520">
        <f t="shared" si="14"/>
        <v>-71999.121518294589</v>
      </c>
      <c r="Z75" s="520">
        <f t="shared" si="15"/>
        <v>71999.121518294589</v>
      </c>
      <c r="AA75" s="520">
        <f t="shared" si="10"/>
        <v>-56410.032263690271</v>
      </c>
      <c r="AB75" s="520">
        <f t="shared" si="16"/>
        <v>128409.15378198486</v>
      </c>
      <c r="AC75" s="1367">
        <f t="shared" si="17"/>
        <v>758949.00587810553</v>
      </c>
      <c r="AD75" s="843"/>
      <c r="AJ75" s="718"/>
    </row>
    <row r="76" spans="1:36" x14ac:dyDescent="0.2">
      <c r="A76" s="829"/>
      <c r="B76" s="829"/>
      <c r="C76" s="933">
        <f t="shared" si="11"/>
        <v>43227</v>
      </c>
      <c r="D76" s="388">
        <f t="shared" si="12"/>
        <v>150304.21677419354</v>
      </c>
      <c r="E76" s="1368">
        <f>($F$22*$I$22)/$G$22</f>
        <v>14421.080258064516</v>
      </c>
      <c r="F76" s="392">
        <f t="shared" si="4"/>
        <v>75278.364992999996</v>
      </c>
      <c r="G76" s="733">
        <f t="shared" si="5"/>
        <v>0.99304864999999998</v>
      </c>
      <c r="H76" s="390">
        <f t="shared" si="6"/>
        <v>74.755099999999999</v>
      </c>
      <c r="I76" s="391">
        <f t="shared" si="7"/>
        <v>240079.41017390808</v>
      </c>
      <c r="J76" s="1369">
        <v>71999.121518294589</v>
      </c>
      <c r="K76" s="1370">
        <v>0</v>
      </c>
      <c r="L76" s="1370">
        <v>0</v>
      </c>
      <c r="M76" s="1371">
        <v>0</v>
      </c>
      <c r="N76" s="724">
        <v>75278.364992999996</v>
      </c>
      <c r="O76" s="1370">
        <v>0</v>
      </c>
      <c r="P76" s="1370">
        <v>0</v>
      </c>
      <c r="Q76" s="317">
        <v>75278.37</v>
      </c>
      <c r="R76" s="1372">
        <f t="shared" si="8"/>
        <v>-5.0069999997504056E-3</v>
      </c>
      <c r="S76" s="1373">
        <v>60855.343000000001</v>
      </c>
      <c r="T76" s="1374">
        <v>0</v>
      </c>
      <c r="U76" s="1375">
        <f t="shared" si="13"/>
        <v>-60855.343000000001</v>
      </c>
      <c r="V76" s="1373">
        <v>0</v>
      </c>
      <c r="W76" s="1372">
        <f t="shared" si="9"/>
        <v>0</v>
      </c>
      <c r="X76" s="1366"/>
      <c r="Y76" s="520">
        <f t="shared" si="14"/>
        <v>-71999.121518294589</v>
      </c>
      <c r="Z76" s="520">
        <f t="shared" si="15"/>
        <v>71999.121518294589</v>
      </c>
      <c r="AA76" s="520">
        <f t="shared" si="10"/>
        <v>-57679.727900699108</v>
      </c>
      <c r="AB76" s="520">
        <f t="shared" si="16"/>
        <v>129678.84941899369</v>
      </c>
      <c r="AC76" s="1367">
        <f t="shared" si="17"/>
        <v>888627.85529709922</v>
      </c>
      <c r="AD76" s="843"/>
      <c r="AJ76" s="718"/>
    </row>
    <row r="77" spans="1:36" x14ac:dyDescent="0.2">
      <c r="A77" s="829"/>
      <c r="B77" s="829"/>
      <c r="C77" s="933">
        <f t="shared" si="11"/>
        <v>43228</v>
      </c>
      <c r="D77" s="388">
        <f t="shared" si="12"/>
        <v>150304.21677419354</v>
      </c>
      <c r="E77" s="1368">
        <f>($F$22*$I$22)/$G$22</f>
        <v>14421.080258064516</v>
      </c>
      <c r="F77" s="392">
        <f t="shared" si="4"/>
        <v>75619.101563000004</v>
      </c>
      <c r="G77" s="733">
        <f t="shared" si="5"/>
        <v>0.99304864999999998</v>
      </c>
      <c r="H77" s="390">
        <f t="shared" si="6"/>
        <v>75.093400000000003</v>
      </c>
      <c r="I77" s="391">
        <f t="shared" si="7"/>
        <v>240420.48504390809</v>
      </c>
      <c r="J77" s="1369">
        <v>71999.121518294589</v>
      </c>
      <c r="K77" s="1370">
        <v>0</v>
      </c>
      <c r="L77" s="1370">
        <v>0</v>
      </c>
      <c r="M77" s="1371">
        <v>0</v>
      </c>
      <c r="N77" s="725">
        <v>75619.101563000004</v>
      </c>
      <c r="O77" s="1370">
        <v>0</v>
      </c>
      <c r="P77" s="1370">
        <v>0</v>
      </c>
      <c r="Q77" s="319">
        <v>75619.100000000006</v>
      </c>
      <c r="R77" s="1372">
        <f t="shared" si="8"/>
        <v>1.5629999979864806E-3</v>
      </c>
      <c r="S77" s="1373">
        <v>61040.069000000003</v>
      </c>
      <c r="T77" s="1374">
        <v>0</v>
      </c>
      <c r="U77" s="1375">
        <f t="shared" si="13"/>
        <v>-61040.069000000003</v>
      </c>
      <c r="V77" s="1373">
        <v>0</v>
      </c>
      <c r="W77" s="1372">
        <f t="shared" si="9"/>
        <v>0</v>
      </c>
      <c r="X77" s="1366"/>
      <c r="Y77" s="520">
        <f t="shared" si="14"/>
        <v>-71999.121518294589</v>
      </c>
      <c r="Z77" s="520">
        <f t="shared" si="15"/>
        <v>71999.121518294589</v>
      </c>
      <c r="AA77" s="520">
        <f t="shared" si="10"/>
        <v>-57854.814341608413</v>
      </c>
      <c r="AB77" s="520">
        <f t="shared" si="16"/>
        <v>129853.93585990299</v>
      </c>
      <c r="AC77" s="1367">
        <f t="shared" si="17"/>
        <v>1018481.7911570022</v>
      </c>
      <c r="AD77" s="843"/>
      <c r="AJ77" s="718"/>
    </row>
    <row r="78" spans="1:36" x14ac:dyDescent="0.2">
      <c r="A78" s="829"/>
      <c r="B78" s="829"/>
      <c r="C78" s="933">
        <f t="shared" si="11"/>
        <v>43229</v>
      </c>
      <c r="D78" s="388">
        <f t="shared" si="12"/>
        <v>150304.21677419354</v>
      </c>
      <c r="E78" s="1368">
        <f>($F$22*$I$22)/$G$22</f>
        <v>14421.080258064516</v>
      </c>
      <c r="F78" s="392">
        <f t="shared" si="4"/>
        <v>75806.428955999989</v>
      </c>
      <c r="G78" s="733">
        <f t="shared" si="5"/>
        <v>0.99304864999999998</v>
      </c>
      <c r="H78" s="390">
        <f t="shared" si="6"/>
        <v>75.279499999999999</v>
      </c>
      <c r="I78" s="391">
        <f t="shared" si="7"/>
        <v>240607.99853690807</v>
      </c>
      <c r="J78" s="1369">
        <v>78999.417102742358</v>
      </c>
      <c r="K78" s="1370">
        <v>0</v>
      </c>
      <c r="L78" s="1370">
        <v>0</v>
      </c>
      <c r="M78" s="1371">
        <v>0</v>
      </c>
      <c r="N78" s="724">
        <v>75806.428955999989</v>
      </c>
      <c r="O78" s="1370">
        <v>0</v>
      </c>
      <c r="P78" s="1370">
        <v>0</v>
      </c>
      <c r="Q78" s="317">
        <v>75806.429999999993</v>
      </c>
      <c r="R78" s="1372">
        <f t="shared" si="8"/>
        <v>-1.0440000041853637E-3</v>
      </c>
      <c r="S78" s="1373">
        <v>60779.186000000002</v>
      </c>
      <c r="T78" s="1374">
        <v>0</v>
      </c>
      <c r="U78" s="1375">
        <f t="shared" si="13"/>
        <v>-60779.186000000002</v>
      </c>
      <c r="V78" s="1373">
        <v>0</v>
      </c>
      <c r="W78" s="1372">
        <f t="shared" si="9"/>
        <v>0</v>
      </c>
      <c r="X78" s="1366"/>
      <c r="Y78" s="520">
        <f t="shared" si="14"/>
        <v>-78999.417102742358</v>
      </c>
      <c r="Z78" s="520">
        <f t="shared" si="15"/>
        <v>78999.417102742358</v>
      </c>
      <c r="AA78" s="520">
        <f t="shared" si="10"/>
        <v>-57607.545002350591</v>
      </c>
      <c r="AB78" s="520">
        <f t="shared" si="16"/>
        <v>136606.96210509294</v>
      </c>
      <c r="AC78" s="1367">
        <f t="shared" si="17"/>
        <v>1155088.7532620952</v>
      </c>
      <c r="AD78" s="843"/>
      <c r="AJ78" s="718"/>
    </row>
    <row r="79" spans="1:36" x14ac:dyDescent="0.2">
      <c r="A79" s="829"/>
      <c r="B79" s="829"/>
      <c r="C79" s="933">
        <f t="shared" si="11"/>
        <v>43230</v>
      </c>
      <c r="D79" s="388">
        <f t="shared" si="12"/>
        <v>150304.21677419354</v>
      </c>
      <c r="E79" s="1368">
        <f t="shared" ref="E79:E84" si="18">($F$22*$I$22)/$G$22</f>
        <v>14421.080258064516</v>
      </c>
      <c r="F79" s="392">
        <f t="shared" si="4"/>
        <v>75723.664063000004</v>
      </c>
      <c r="G79" s="733">
        <f t="shared" si="5"/>
        <v>0.99304864999999998</v>
      </c>
      <c r="H79" s="390">
        <f t="shared" si="6"/>
        <v>75.197299999999998</v>
      </c>
      <c r="I79" s="391">
        <f t="shared" si="7"/>
        <v>240525.15144390808</v>
      </c>
      <c r="J79" s="1369">
        <v>71999.121518294589</v>
      </c>
      <c r="K79" s="1370">
        <v>0</v>
      </c>
      <c r="L79" s="1370">
        <v>0</v>
      </c>
      <c r="M79" s="1371">
        <v>0</v>
      </c>
      <c r="N79" s="725">
        <v>75723.664063000004</v>
      </c>
      <c r="O79" s="1370">
        <v>0</v>
      </c>
      <c r="P79" s="1370">
        <v>0</v>
      </c>
      <c r="Q79" s="319">
        <v>75723.664000000004</v>
      </c>
      <c r="R79" s="1372">
        <f t="shared" si="8"/>
        <v>6.2999999499879777E-5</v>
      </c>
      <c r="S79" s="1373">
        <v>60543.544000000002</v>
      </c>
      <c r="T79" s="1374">
        <v>0</v>
      </c>
      <c r="U79" s="1375">
        <f t="shared" si="13"/>
        <v>-60543.544000000002</v>
      </c>
      <c r="V79" s="1373">
        <v>0</v>
      </c>
      <c r="W79" s="1372">
        <f t="shared" si="9"/>
        <v>0</v>
      </c>
      <c r="X79" s="1366"/>
      <c r="Y79" s="520">
        <f t="shared" si="14"/>
        <v>-71999.121518294589</v>
      </c>
      <c r="Z79" s="520">
        <f t="shared" si="15"/>
        <v>71999.121518294589</v>
      </c>
      <c r="AA79" s="520">
        <f t="shared" si="10"/>
        <v>-57384.199511684688</v>
      </c>
      <c r="AB79" s="520">
        <f t="shared" si="16"/>
        <v>129383.32102997927</v>
      </c>
      <c r="AC79" s="1367">
        <f t="shared" si="17"/>
        <v>1284472.0742920744</v>
      </c>
      <c r="AD79" s="843"/>
      <c r="AJ79" s="718"/>
    </row>
    <row r="80" spans="1:36" x14ac:dyDescent="0.2">
      <c r="A80" s="829"/>
      <c r="B80" s="829"/>
      <c r="C80" s="933">
        <f t="shared" si="11"/>
        <v>43231</v>
      </c>
      <c r="D80" s="388">
        <f t="shared" si="12"/>
        <v>150304.21677419354</v>
      </c>
      <c r="E80" s="1368">
        <f t="shared" si="18"/>
        <v>14421.080258064516</v>
      </c>
      <c r="F80" s="392">
        <f t="shared" si="4"/>
        <v>75723.664063000004</v>
      </c>
      <c r="G80" s="733">
        <f t="shared" si="5"/>
        <v>0.99304864999999998</v>
      </c>
      <c r="H80" s="390">
        <f t="shared" si="6"/>
        <v>75.197299999999998</v>
      </c>
      <c r="I80" s="391">
        <f t="shared" si="7"/>
        <v>240525.15144390808</v>
      </c>
      <c r="J80" s="1369">
        <v>71999.121518294589</v>
      </c>
      <c r="K80" s="1370">
        <v>0</v>
      </c>
      <c r="L80" s="1370">
        <v>0</v>
      </c>
      <c r="M80" s="1371">
        <v>0</v>
      </c>
      <c r="N80" s="724">
        <v>75723.664063000004</v>
      </c>
      <c r="O80" s="1370">
        <v>0</v>
      </c>
      <c r="P80" s="1370">
        <v>0</v>
      </c>
      <c r="Q80" s="317">
        <v>75723.664000000004</v>
      </c>
      <c r="R80" s="1372">
        <f t="shared" si="8"/>
        <v>6.2999999499879777E-5</v>
      </c>
      <c r="S80" s="1373">
        <v>59257.233</v>
      </c>
      <c r="T80" s="1374">
        <v>0</v>
      </c>
      <c r="U80" s="1375">
        <f t="shared" si="13"/>
        <v>-59257.233</v>
      </c>
      <c r="V80" s="1373">
        <v>0</v>
      </c>
      <c r="W80" s="1372">
        <f t="shared" si="9"/>
        <v>0</v>
      </c>
      <c r="X80" s="1366"/>
      <c r="Y80" s="520">
        <f t="shared" si="14"/>
        <v>-71999.121518294589</v>
      </c>
      <c r="Z80" s="520">
        <f t="shared" si="15"/>
        <v>71999.121518294589</v>
      </c>
      <c r="AA80" s="520">
        <f t="shared" si="10"/>
        <v>-56165.012094144768</v>
      </c>
      <c r="AB80" s="520">
        <f t="shared" si="16"/>
        <v>128164.13361243936</v>
      </c>
      <c r="AC80" s="1367">
        <f t="shared" si="17"/>
        <v>1412636.2079045137</v>
      </c>
      <c r="AD80" s="843"/>
      <c r="AJ80" s="718"/>
    </row>
    <row r="81" spans="1:36" x14ac:dyDescent="0.2">
      <c r="A81" s="829"/>
      <c r="B81" s="829"/>
      <c r="C81" s="933">
        <f t="shared" si="11"/>
        <v>43232</v>
      </c>
      <c r="D81" s="388">
        <f t="shared" si="12"/>
        <v>150304.21677419354</v>
      </c>
      <c r="E81" s="1368">
        <f t="shared" si="18"/>
        <v>14421.080258064516</v>
      </c>
      <c r="F81" s="392">
        <f t="shared" si="4"/>
        <v>75848.742188000004</v>
      </c>
      <c r="G81" s="733">
        <f t="shared" si="5"/>
        <v>0.99304864999999998</v>
      </c>
      <c r="H81" s="390">
        <f t="shared" si="6"/>
        <v>75.3215</v>
      </c>
      <c r="I81" s="391">
        <f t="shared" si="7"/>
        <v>240650.35376890807</v>
      </c>
      <c r="J81" s="1369">
        <v>72666.971873223811</v>
      </c>
      <c r="K81" s="1370">
        <v>0</v>
      </c>
      <c r="L81" s="1370">
        <v>0</v>
      </c>
      <c r="M81" s="1371">
        <v>0</v>
      </c>
      <c r="N81" s="725">
        <v>75848.742188000004</v>
      </c>
      <c r="O81" s="1370">
        <v>0</v>
      </c>
      <c r="P81" s="1370">
        <v>0</v>
      </c>
      <c r="Q81" s="319">
        <v>75848.741999999998</v>
      </c>
      <c r="R81" s="1372">
        <f t="shared" si="8"/>
        <v>1.8800000543706119E-4</v>
      </c>
      <c r="S81" s="1373">
        <v>7.1550000000000002</v>
      </c>
      <c r="T81" s="1374">
        <v>3.73</v>
      </c>
      <c r="U81" s="1375">
        <f t="shared" si="13"/>
        <v>-10.885</v>
      </c>
      <c r="V81" s="1373">
        <v>0</v>
      </c>
      <c r="W81" s="1372">
        <f t="shared" si="9"/>
        <v>0</v>
      </c>
      <c r="X81" s="1366"/>
      <c r="Y81" s="520">
        <f t="shared" si="14"/>
        <v>-72666.971873223811</v>
      </c>
      <c r="Z81" s="520">
        <f t="shared" si="15"/>
        <v>72666.971873223811</v>
      </c>
      <c r="AA81" s="520">
        <f t="shared" si="10"/>
        <v>-10.316987913437769</v>
      </c>
      <c r="AB81" s="520">
        <f t="shared" si="16"/>
        <v>72677.288861137247</v>
      </c>
      <c r="AC81" s="1367">
        <f t="shared" si="17"/>
        <v>1485313.496765651</v>
      </c>
      <c r="AD81" s="843"/>
      <c r="AJ81" s="718"/>
    </row>
    <row r="82" spans="1:36" x14ac:dyDescent="0.2">
      <c r="A82" s="829"/>
      <c r="B82" s="829"/>
      <c r="C82" s="933">
        <f t="shared" si="11"/>
        <v>43233</v>
      </c>
      <c r="D82" s="388">
        <f t="shared" si="12"/>
        <v>150304.21677419354</v>
      </c>
      <c r="E82" s="1368">
        <f t="shared" si="18"/>
        <v>14421.080258064516</v>
      </c>
      <c r="F82" s="392">
        <f t="shared" si="4"/>
        <v>135360.06532495361</v>
      </c>
      <c r="G82" s="733">
        <f t="shared" si="5"/>
        <v>0.99304864999999998</v>
      </c>
      <c r="H82" s="390">
        <f t="shared" si="6"/>
        <v>134.41909999999999</v>
      </c>
      <c r="I82" s="391">
        <f t="shared" si="7"/>
        <v>300220.77450586163</v>
      </c>
      <c r="J82" s="1369">
        <v>72666.971873223811</v>
      </c>
      <c r="K82" s="1370">
        <v>0</v>
      </c>
      <c r="L82" s="1370">
        <v>0</v>
      </c>
      <c r="M82" s="1371">
        <v>0</v>
      </c>
      <c r="N82" s="724">
        <v>75116.429688000004</v>
      </c>
      <c r="O82" s="318">
        <v>60243.635636953615</v>
      </c>
      <c r="P82" s="1370">
        <v>0</v>
      </c>
      <c r="Q82" s="317">
        <v>75116.429999999993</v>
      </c>
      <c r="R82" s="1372">
        <f t="shared" si="8"/>
        <v>-3.1199998920783401E-4</v>
      </c>
      <c r="S82" s="1373">
        <v>60243.631000000001</v>
      </c>
      <c r="T82" s="1374">
        <v>0</v>
      </c>
      <c r="U82" s="1375">
        <f t="shared" si="13"/>
        <v>4.6369536139536649E-3</v>
      </c>
      <c r="V82" s="1373">
        <v>0</v>
      </c>
      <c r="W82" s="1372">
        <f t="shared" si="9"/>
        <v>0</v>
      </c>
      <c r="X82" s="1366"/>
      <c r="Y82" s="520">
        <f t="shared" si="14"/>
        <v>-72666.971873223811</v>
      </c>
      <c r="Z82" s="520">
        <f t="shared" si="15"/>
        <v>72666.971873223811</v>
      </c>
      <c r="AA82" s="520">
        <f t="shared" si="10"/>
        <v>4.394983407471892E-3</v>
      </c>
      <c r="AB82" s="520">
        <f t="shared" si="16"/>
        <v>72666.967478240404</v>
      </c>
      <c r="AC82" s="1367">
        <f t="shared" si="17"/>
        <v>1557980.4642438914</v>
      </c>
      <c r="AD82" s="843"/>
      <c r="AJ82" s="718"/>
    </row>
    <row r="83" spans="1:36" x14ac:dyDescent="0.2">
      <c r="A83" s="829"/>
      <c r="B83" s="829"/>
      <c r="C83" s="933">
        <f t="shared" si="11"/>
        <v>43234</v>
      </c>
      <c r="D83" s="388">
        <f t="shared" si="12"/>
        <v>150304.21677419354</v>
      </c>
      <c r="E83" s="1368">
        <f t="shared" si="18"/>
        <v>14421.080258064516</v>
      </c>
      <c r="F83" s="392">
        <f t="shared" si="4"/>
        <v>165547.02058570916</v>
      </c>
      <c r="G83" s="733">
        <f t="shared" si="5"/>
        <v>0.99304864999999998</v>
      </c>
      <c r="H83" s="390">
        <f t="shared" si="6"/>
        <v>164.39619999999999</v>
      </c>
      <c r="I83" s="391">
        <f t="shared" si="7"/>
        <v>330437.70686661726</v>
      </c>
      <c r="J83" s="1369">
        <v>72666.971873223811</v>
      </c>
      <c r="K83" s="1370">
        <v>102999.82764607586</v>
      </c>
      <c r="L83" s="1370">
        <v>0</v>
      </c>
      <c r="M83" s="1371">
        <v>0</v>
      </c>
      <c r="N83" s="725">
        <v>76048.015625</v>
      </c>
      <c r="O83" s="320">
        <v>89499.004960709164</v>
      </c>
      <c r="P83" s="1370">
        <v>0</v>
      </c>
      <c r="Q83" s="319">
        <v>76048.016000000003</v>
      </c>
      <c r="R83" s="1372">
        <f t="shared" si="8"/>
        <v>-3.7500000325962901E-4</v>
      </c>
      <c r="S83" s="1373">
        <v>64181.338000000003</v>
      </c>
      <c r="T83" s="1374">
        <v>25317.687999999998</v>
      </c>
      <c r="U83" s="1375">
        <f t="shared" si="13"/>
        <v>-2.1039290833869018E-2</v>
      </c>
      <c r="V83" s="1373">
        <v>0</v>
      </c>
      <c r="W83" s="1372">
        <f t="shared" si="9"/>
        <v>0</v>
      </c>
      <c r="X83" s="1366"/>
      <c r="Y83" s="520">
        <f t="shared" si="14"/>
        <v>-175666.79951929968</v>
      </c>
      <c r="Z83" s="520">
        <f t="shared" si="15"/>
        <v>175666.79951929968</v>
      </c>
      <c r="AA83" s="520">
        <f t="shared" si="10"/>
        <v>-1.9941397265992533E-2</v>
      </c>
      <c r="AB83" s="520">
        <f t="shared" si="16"/>
        <v>175666.81946069695</v>
      </c>
      <c r="AC83" s="1367">
        <f t="shared" si="17"/>
        <v>1733647.2837045884</v>
      </c>
      <c r="AD83" s="843"/>
      <c r="AJ83" s="718"/>
    </row>
    <row r="84" spans="1:36" x14ac:dyDescent="0.2">
      <c r="A84" s="829"/>
      <c r="B84" s="829"/>
      <c r="C84" s="933">
        <f t="shared" si="11"/>
        <v>43235</v>
      </c>
      <c r="D84" s="388">
        <f t="shared" si="12"/>
        <v>150304.21677419354</v>
      </c>
      <c r="E84" s="1368">
        <f t="shared" si="18"/>
        <v>14421.080258064516</v>
      </c>
      <c r="F84" s="392">
        <f t="shared" si="4"/>
        <v>192544.33740049996</v>
      </c>
      <c r="G84" s="733">
        <f t="shared" si="5"/>
        <v>0.99304864999999998</v>
      </c>
      <c r="H84" s="390">
        <f t="shared" si="6"/>
        <v>191.20590000000001</v>
      </c>
      <c r="I84" s="391">
        <f t="shared" si="7"/>
        <v>357461.83338140801</v>
      </c>
      <c r="J84" s="1369">
        <v>70999.983625533161</v>
      </c>
      <c r="K84" s="1370">
        <v>108785.75394375659</v>
      </c>
      <c r="L84" s="1370">
        <v>0</v>
      </c>
      <c r="M84" s="1371">
        <v>0</v>
      </c>
      <c r="N84" s="724">
        <v>75982.25</v>
      </c>
      <c r="O84" s="318">
        <v>116562.08740049998</v>
      </c>
      <c r="P84" s="1370">
        <v>0</v>
      </c>
      <c r="Q84" s="317">
        <v>75982.25</v>
      </c>
      <c r="R84" s="1372">
        <f t="shared" si="8"/>
        <v>0</v>
      </c>
      <c r="S84" s="1373">
        <v>79219.009999999995</v>
      </c>
      <c r="T84" s="1374">
        <v>37343.055999999997</v>
      </c>
      <c r="U84" s="1375">
        <f t="shared" si="13"/>
        <v>2.1400499987066723E-2</v>
      </c>
      <c r="V84" s="1373">
        <v>0</v>
      </c>
      <c r="W84" s="1372">
        <f t="shared" si="9"/>
        <v>0</v>
      </c>
      <c r="X84" s="1366"/>
      <c r="Y84" s="520">
        <f t="shared" si="14"/>
        <v>-179785.73756928975</v>
      </c>
      <c r="Z84" s="520">
        <f t="shared" si="15"/>
        <v>179785.73756928975</v>
      </c>
      <c r="AA84" s="520">
        <f t="shared" si="10"/>
        <v>2.0283757437583146E-2</v>
      </c>
      <c r="AB84" s="520">
        <f t="shared" si="16"/>
        <v>179785.7172855323</v>
      </c>
      <c r="AC84" s="1367">
        <f t="shared" si="17"/>
        <v>1913433.0009901207</v>
      </c>
      <c r="AD84" s="843"/>
      <c r="AJ84" s="718"/>
    </row>
    <row r="85" spans="1:36" x14ac:dyDescent="0.2">
      <c r="A85" s="829"/>
      <c r="B85" s="829"/>
      <c r="C85" s="933">
        <f t="shared" si="11"/>
        <v>43236</v>
      </c>
      <c r="D85" s="388">
        <f t="shared" si="12"/>
        <v>150304.21677419354</v>
      </c>
      <c r="E85" s="1368">
        <f>($F$22*$I$22)/$G$22</f>
        <v>14421.080258064516</v>
      </c>
      <c r="F85" s="392">
        <f t="shared" si="4"/>
        <v>191976.23853999999</v>
      </c>
      <c r="G85" s="733">
        <f t="shared" si="5"/>
        <v>0.99304864999999998</v>
      </c>
      <c r="H85" s="390">
        <f t="shared" si="6"/>
        <v>190.64169999999999</v>
      </c>
      <c r="I85" s="391">
        <f t="shared" si="7"/>
        <v>356893.17032090802</v>
      </c>
      <c r="J85" s="1369">
        <v>75830.029320424175</v>
      </c>
      <c r="K85" s="1370">
        <v>116559.40546843046</v>
      </c>
      <c r="L85" s="1370">
        <v>0</v>
      </c>
      <c r="M85" s="1371">
        <v>0</v>
      </c>
      <c r="N85" s="725">
        <v>75473.398438000004</v>
      </c>
      <c r="O85" s="320">
        <v>116502.840102</v>
      </c>
      <c r="P85" s="1370">
        <v>0</v>
      </c>
      <c r="Q85" s="319">
        <v>75473.399999999994</v>
      </c>
      <c r="R85" s="1372">
        <f t="shared" si="8"/>
        <v>-1.5619999903719872E-3</v>
      </c>
      <c r="S85" s="1373">
        <v>79130.936000000002</v>
      </c>
      <c r="T85" s="1374">
        <v>37371.904999999999</v>
      </c>
      <c r="U85" s="1375">
        <f t="shared" si="13"/>
        <v>-8.9799999841488898E-4</v>
      </c>
      <c r="V85" s="1373">
        <v>0</v>
      </c>
      <c r="W85" s="1372">
        <f t="shared" si="9"/>
        <v>0</v>
      </c>
      <c r="X85" s="1366"/>
      <c r="Y85" s="520">
        <f t="shared" si="14"/>
        <v>-192389.43478885462</v>
      </c>
      <c r="Z85" s="520">
        <f t="shared" si="15"/>
        <v>192389.43478885462</v>
      </c>
      <c r="AA85" s="520">
        <f t="shared" si="10"/>
        <v>-8.5113965364387199E-4</v>
      </c>
      <c r="AB85" s="520">
        <f t="shared" si="16"/>
        <v>192389.43563999428</v>
      </c>
      <c r="AC85" s="1367">
        <f t="shared" si="17"/>
        <v>2105822.4366301149</v>
      </c>
      <c r="AD85" s="843"/>
      <c r="AJ85" s="718"/>
    </row>
    <row r="86" spans="1:36" x14ac:dyDescent="0.2">
      <c r="A86" s="829"/>
      <c r="B86" s="829"/>
      <c r="C86" s="933">
        <f t="shared" si="11"/>
        <v>43237</v>
      </c>
      <c r="D86" s="388">
        <f t="shared" si="12"/>
        <v>150304.21677419354</v>
      </c>
      <c r="E86" s="1368">
        <f t="shared" ref="E86:E100" si="19">($F$22*$I$22)/$G$22</f>
        <v>14421.080258064516</v>
      </c>
      <c r="F86" s="392">
        <f t="shared" si="4"/>
        <v>192593.63556348</v>
      </c>
      <c r="G86" s="733">
        <f t="shared" si="5"/>
        <v>0.99304864999999998</v>
      </c>
      <c r="H86" s="390">
        <f t="shared" si="6"/>
        <v>191.25479999999999</v>
      </c>
      <c r="I86" s="391">
        <f t="shared" si="7"/>
        <v>357511.18044438807</v>
      </c>
      <c r="J86" s="1369">
        <v>71999.121518294589</v>
      </c>
      <c r="K86" s="1370">
        <v>117999.55670773282</v>
      </c>
      <c r="L86" s="1370">
        <v>0</v>
      </c>
      <c r="M86" s="1371">
        <v>0</v>
      </c>
      <c r="N86" s="724">
        <v>76324.351563000004</v>
      </c>
      <c r="O86" s="318">
        <v>116269.28400047999</v>
      </c>
      <c r="P86" s="1370">
        <v>0</v>
      </c>
      <c r="Q86" s="317">
        <v>76324.350000000006</v>
      </c>
      <c r="R86" s="1372">
        <f t="shared" si="8"/>
        <v>1.5629999979864806E-3</v>
      </c>
      <c r="S86" s="1373">
        <v>79401.831999999995</v>
      </c>
      <c r="T86" s="1374">
        <v>36867.464</v>
      </c>
      <c r="U86" s="1375">
        <f t="shared" si="13"/>
        <v>-1.1999520007520914E-2</v>
      </c>
      <c r="V86" s="1373">
        <v>0</v>
      </c>
      <c r="W86" s="1372">
        <f t="shared" si="9"/>
        <v>0</v>
      </c>
      <c r="X86" s="1366"/>
      <c r="Y86" s="520">
        <f t="shared" si="14"/>
        <v>-189998.6782260274</v>
      </c>
      <c r="Z86" s="520">
        <f t="shared" si="15"/>
        <v>189998.6782260274</v>
      </c>
      <c r="AA86" s="520">
        <f t="shared" si="10"/>
        <v>-1.1373348909935506E-2</v>
      </c>
      <c r="AB86" s="520">
        <f t="shared" si="16"/>
        <v>189998.68959937632</v>
      </c>
      <c r="AC86" s="1367">
        <f t="shared" si="17"/>
        <v>2295821.1262294911</v>
      </c>
      <c r="AD86" s="843"/>
      <c r="AJ86" s="718"/>
    </row>
    <row r="87" spans="1:36" x14ac:dyDescent="0.2">
      <c r="A87" s="829"/>
      <c r="B87" s="829"/>
      <c r="C87" s="933">
        <f t="shared" si="11"/>
        <v>43238</v>
      </c>
      <c r="D87" s="388">
        <f t="shared" si="12"/>
        <v>150304.21677419354</v>
      </c>
      <c r="E87" s="1368">
        <f t="shared" si="19"/>
        <v>14421.080258064516</v>
      </c>
      <c r="F87" s="392">
        <f t="shared" si="4"/>
        <v>191083.19231106999</v>
      </c>
      <c r="G87" s="733">
        <f t="shared" si="5"/>
        <v>0.99304864999999998</v>
      </c>
      <c r="H87" s="390">
        <f t="shared" si="6"/>
        <v>189.75489999999999</v>
      </c>
      <c r="I87" s="391">
        <f t="shared" si="7"/>
        <v>355999.23729197803</v>
      </c>
      <c r="J87" s="1369">
        <v>75999.893312752145</v>
      </c>
      <c r="K87" s="1370">
        <v>115499.07433619685</v>
      </c>
      <c r="L87" s="1370">
        <v>0</v>
      </c>
      <c r="M87" s="1371">
        <v>0</v>
      </c>
      <c r="N87" s="725">
        <v>76048.921875</v>
      </c>
      <c r="O87" s="320">
        <v>115034.27043607</v>
      </c>
      <c r="P87" s="1370">
        <v>0</v>
      </c>
      <c r="Q87" s="319">
        <v>76048.92</v>
      </c>
      <c r="R87" s="1372">
        <f t="shared" si="8"/>
        <v>1.8750000017462298E-3</v>
      </c>
      <c r="S87" s="1373">
        <v>78079.91</v>
      </c>
      <c r="T87" s="1374">
        <v>36954.357000000004</v>
      </c>
      <c r="U87" s="1375">
        <f t="shared" si="13"/>
        <v>3.4360699937678874E-3</v>
      </c>
      <c r="V87" s="1373">
        <v>0</v>
      </c>
      <c r="W87" s="1372">
        <f t="shared" si="9"/>
        <v>0</v>
      </c>
      <c r="X87" s="1366"/>
      <c r="Y87" s="520">
        <f t="shared" si="14"/>
        <v>-191498.96764894901</v>
      </c>
      <c r="Z87" s="520">
        <f t="shared" si="15"/>
        <v>191498.96764894901</v>
      </c>
      <c r="AA87" s="520">
        <f t="shared" si="10"/>
        <v>3.2567655117528237E-3</v>
      </c>
      <c r="AB87" s="520">
        <f t="shared" si="16"/>
        <v>191498.96439218349</v>
      </c>
      <c r="AC87" s="1367">
        <f t="shared" si="17"/>
        <v>2487320.0906216744</v>
      </c>
      <c r="AD87" s="843"/>
      <c r="AJ87" s="718"/>
    </row>
    <row r="88" spans="1:36" x14ac:dyDescent="0.2">
      <c r="A88" s="829"/>
      <c r="B88" s="829"/>
      <c r="C88" s="933">
        <f t="shared" si="11"/>
        <v>43239</v>
      </c>
      <c r="D88" s="388">
        <f t="shared" si="12"/>
        <v>150304.21677419354</v>
      </c>
      <c r="E88" s="1368">
        <f t="shared" si="19"/>
        <v>14421.080258064516</v>
      </c>
      <c r="F88" s="392">
        <f t="shared" si="4"/>
        <v>189375.78226425001</v>
      </c>
      <c r="G88" s="733">
        <f t="shared" si="5"/>
        <v>0.99304864999999998</v>
      </c>
      <c r="H88" s="390">
        <f t="shared" si="6"/>
        <v>188.05940000000001</v>
      </c>
      <c r="I88" s="391">
        <f t="shared" si="7"/>
        <v>354290.13174515811</v>
      </c>
      <c r="J88" s="1369">
        <v>73999.507415523374</v>
      </c>
      <c r="K88" s="1370">
        <v>111405.45762667804</v>
      </c>
      <c r="L88" s="1370">
        <v>0</v>
      </c>
      <c r="M88" s="1371">
        <v>0</v>
      </c>
      <c r="N88" s="724">
        <v>74713.171875</v>
      </c>
      <c r="O88" s="318">
        <v>114662.61038925001</v>
      </c>
      <c r="P88" s="1370">
        <v>0</v>
      </c>
      <c r="Q88" s="317">
        <v>74713.17</v>
      </c>
      <c r="R88" s="1372">
        <f t="shared" si="8"/>
        <v>1.8750000017462298E-3</v>
      </c>
      <c r="S88" s="1373">
        <v>77587.084000000003</v>
      </c>
      <c r="T88" s="1374">
        <v>37075.527999999998</v>
      </c>
      <c r="U88" s="1375">
        <f t="shared" si="13"/>
        <v>-1.6107499832287431E-3</v>
      </c>
      <c r="V88" s="1373">
        <v>0</v>
      </c>
      <c r="W88" s="1372">
        <f t="shared" si="9"/>
        <v>0</v>
      </c>
      <c r="X88" s="1366"/>
      <c r="Y88" s="520">
        <f t="shared" si="14"/>
        <v>-185404.96504220139</v>
      </c>
      <c r="Z88" s="520">
        <f t="shared" si="15"/>
        <v>185404.96504220139</v>
      </c>
      <c r="AA88" s="520">
        <f t="shared" si="10"/>
        <v>-1.5266961973854876E-3</v>
      </c>
      <c r="AB88" s="520">
        <f t="shared" si="16"/>
        <v>185404.96656889759</v>
      </c>
      <c r="AC88" s="1367">
        <f t="shared" si="17"/>
        <v>2672725.0571905719</v>
      </c>
      <c r="AD88" s="843"/>
      <c r="AJ88" s="718"/>
    </row>
    <row r="89" spans="1:36" x14ac:dyDescent="0.2">
      <c r="A89" s="829"/>
      <c r="B89" s="829"/>
      <c r="C89" s="933">
        <f t="shared" si="11"/>
        <v>43240</v>
      </c>
      <c r="D89" s="388">
        <f t="shared" si="12"/>
        <v>150304.21677419354</v>
      </c>
      <c r="E89" s="1368">
        <f t="shared" si="19"/>
        <v>14421.080258064516</v>
      </c>
      <c r="F89" s="392">
        <f t="shared" si="4"/>
        <v>188896.68311099999</v>
      </c>
      <c r="G89" s="733">
        <f t="shared" si="5"/>
        <v>0.99304864999999998</v>
      </c>
      <c r="H89" s="390">
        <f t="shared" si="6"/>
        <v>187.58359999999999</v>
      </c>
      <c r="I89" s="391">
        <f t="shared" si="7"/>
        <v>353810.55679190805</v>
      </c>
      <c r="J89" s="1369">
        <v>73999.507415523374</v>
      </c>
      <c r="K89" s="1370">
        <v>111405.45762667804</v>
      </c>
      <c r="L89" s="1370">
        <v>0</v>
      </c>
      <c r="M89" s="1371">
        <v>0</v>
      </c>
      <c r="N89" s="725">
        <v>74422.719727999996</v>
      </c>
      <c r="O89" s="320">
        <v>114473.96338299999</v>
      </c>
      <c r="P89" s="1370">
        <v>0</v>
      </c>
      <c r="Q89" s="319">
        <v>74422.7</v>
      </c>
      <c r="R89" s="1372">
        <f t="shared" si="8"/>
        <v>1.9727999999304302E-2</v>
      </c>
      <c r="S89" s="1373">
        <v>77492.534</v>
      </c>
      <c r="T89" s="1374">
        <v>36981.428999999996</v>
      </c>
      <c r="U89" s="1375">
        <f t="shared" si="13"/>
        <v>3.8300000596791506E-4</v>
      </c>
      <c r="V89" s="1373">
        <v>0</v>
      </c>
      <c r="W89" s="1372">
        <f t="shared" si="9"/>
        <v>0</v>
      </c>
      <c r="X89" s="1366"/>
      <c r="Y89" s="520">
        <f t="shared" si="14"/>
        <v>-185404.96504220139</v>
      </c>
      <c r="Z89" s="520">
        <f t="shared" si="15"/>
        <v>185404.96504220139</v>
      </c>
      <c r="AA89" s="520">
        <f t="shared" si="10"/>
        <v>3.6301391202733796E-4</v>
      </c>
      <c r="AB89" s="520">
        <f t="shared" si="16"/>
        <v>185404.96467918748</v>
      </c>
      <c r="AC89" s="1367">
        <f t="shared" si="17"/>
        <v>2858130.0218697595</v>
      </c>
      <c r="AD89" s="843"/>
      <c r="AJ89" s="718"/>
    </row>
    <row r="90" spans="1:36" x14ac:dyDescent="0.2">
      <c r="A90" s="829"/>
      <c r="B90" s="829"/>
      <c r="C90" s="933">
        <f t="shared" si="11"/>
        <v>43241</v>
      </c>
      <c r="D90" s="388">
        <f t="shared" si="12"/>
        <v>150304.21677419354</v>
      </c>
      <c r="E90" s="1368">
        <f t="shared" si="19"/>
        <v>14421.080258064516</v>
      </c>
      <c r="F90" s="392">
        <f t="shared" si="4"/>
        <v>189679.06959958002</v>
      </c>
      <c r="G90" s="733">
        <f t="shared" si="5"/>
        <v>0.99304864999999998</v>
      </c>
      <c r="H90" s="390">
        <f t="shared" si="6"/>
        <v>188.3605</v>
      </c>
      <c r="I90" s="391">
        <f t="shared" si="7"/>
        <v>354593.72018048808</v>
      </c>
      <c r="J90" s="1369">
        <v>73999.507415523374</v>
      </c>
      <c r="K90" s="1370">
        <v>111405.45762667804</v>
      </c>
      <c r="L90" s="1370">
        <v>0</v>
      </c>
      <c r="M90" s="1371">
        <v>0</v>
      </c>
      <c r="N90" s="724">
        <v>75235.210938000004</v>
      </c>
      <c r="O90" s="318">
        <v>114443.85866158002</v>
      </c>
      <c r="P90" s="1370">
        <v>0</v>
      </c>
      <c r="Q90" s="317">
        <v>75235.210000000006</v>
      </c>
      <c r="R90" s="1372">
        <f t="shared" si="8"/>
        <v>9.3799999740440398E-4</v>
      </c>
      <c r="S90" s="1373">
        <v>77428.103000000003</v>
      </c>
      <c r="T90" s="1374">
        <v>37015.775000000001</v>
      </c>
      <c r="U90" s="1375">
        <f t="shared" si="13"/>
        <v>-1.9338419981068E-2</v>
      </c>
      <c r="V90" s="1373">
        <v>0</v>
      </c>
      <c r="W90" s="1372">
        <f t="shared" si="9"/>
        <v>0</v>
      </c>
      <c r="X90" s="1366"/>
      <c r="Y90" s="520">
        <f t="shared" si="14"/>
        <v>-185404.96504220139</v>
      </c>
      <c r="Z90" s="520">
        <f t="shared" si="15"/>
        <v>185404.96504220139</v>
      </c>
      <c r="AA90" s="520">
        <f t="shared" si="10"/>
        <v>-1.8329282977460913E-2</v>
      </c>
      <c r="AB90" s="520">
        <f t="shared" si="16"/>
        <v>185404.98337148438</v>
      </c>
      <c r="AC90" s="1367">
        <f t="shared" si="17"/>
        <v>3043535.0052412441</v>
      </c>
      <c r="AD90" s="843"/>
      <c r="AJ90" s="718"/>
    </row>
    <row r="91" spans="1:36" x14ac:dyDescent="0.2">
      <c r="A91" s="829"/>
      <c r="B91" s="829"/>
      <c r="C91" s="933">
        <f t="shared" si="11"/>
        <v>43242</v>
      </c>
      <c r="D91" s="388">
        <f t="shared" si="12"/>
        <v>150304.21677419354</v>
      </c>
      <c r="E91" s="1368">
        <f t="shared" si="19"/>
        <v>14421.080258064516</v>
      </c>
      <c r="F91" s="392">
        <f t="shared" si="4"/>
        <v>228742.25206697342</v>
      </c>
      <c r="G91" s="733">
        <f t="shared" si="5"/>
        <v>0.99304864999999998</v>
      </c>
      <c r="H91" s="390">
        <f t="shared" si="6"/>
        <v>227.15219999999999</v>
      </c>
      <c r="I91" s="391">
        <f t="shared" si="7"/>
        <v>393695.69434788148</v>
      </c>
      <c r="J91" s="1369">
        <v>73999.507415523374</v>
      </c>
      <c r="K91" s="1370">
        <v>115104.48344718653</v>
      </c>
      <c r="L91" s="1370">
        <v>0</v>
      </c>
      <c r="M91" s="1371">
        <v>39999.277497751886</v>
      </c>
      <c r="N91" s="725">
        <v>74243.492188000004</v>
      </c>
      <c r="O91" s="320">
        <v>114443.76320159998</v>
      </c>
      <c r="P91" s="1370">
        <v>40054.996677373405</v>
      </c>
      <c r="Q91" s="319">
        <v>74243.490000000005</v>
      </c>
      <c r="R91" s="1372">
        <f t="shared" si="8"/>
        <v>2.1879999985685572E-3</v>
      </c>
      <c r="S91" s="1373">
        <v>77178.02</v>
      </c>
      <c r="T91" s="1374">
        <v>37265.750999999997</v>
      </c>
      <c r="U91" s="1375">
        <f t="shared" si="13"/>
        <v>-7.7984000236028805E-3</v>
      </c>
      <c r="V91" s="1373">
        <v>40054.993999999999</v>
      </c>
      <c r="W91" s="1372">
        <f t="shared" si="9"/>
        <v>2.6773734061862342E-3</v>
      </c>
      <c r="X91" s="1366"/>
      <c r="Y91" s="520">
        <f t="shared" si="14"/>
        <v>-229103.26836046181</v>
      </c>
      <c r="Z91" s="520">
        <f t="shared" si="15"/>
        <v>229103.26836046181</v>
      </c>
      <c r="AA91" s="520">
        <f t="shared" si="10"/>
        <v>37964.798910174795</v>
      </c>
      <c r="AB91" s="520">
        <f t="shared" si="16"/>
        <v>191138.469450287</v>
      </c>
      <c r="AC91" s="1367">
        <f t="shared" si="17"/>
        <v>3234673.4746915312</v>
      </c>
      <c r="AD91" s="843"/>
      <c r="AJ91" s="718"/>
    </row>
    <row r="92" spans="1:36" x14ac:dyDescent="0.2">
      <c r="A92" s="829"/>
      <c r="B92" s="829"/>
      <c r="C92" s="933">
        <f t="shared" si="11"/>
        <v>43243</v>
      </c>
      <c r="D92" s="388">
        <f t="shared" si="12"/>
        <v>150304.21677419354</v>
      </c>
      <c r="E92" s="1368">
        <f t="shared" si="19"/>
        <v>14421.080258064516</v>
      </c>
      <c r="F92" s="392">
        <f t="shared" si="4"/>
        <v>216148.34097111702</v>
      </c>
      <c r="G92" s="733">
        <f t="shared" si="5"/>
        <v>0.99304864999999998</v>
      </c>
      <c r="H92" s="390">
        <f t="shared" si="6"/>
        <v>214.64580000000001</v>
      </c>
      <c r="I92" s="391">
        <f t="shared" si="7"/>
        <v>381089.27685202507</v>
      </c>
      <c r="J92" s="1369">
        <v>73999.507415523374</v>
      </c>
      <c r="K92" s="1370">
        <v>115001.08797359558</v>
      </c>
      <c r="L92" s="1370">
        <v>0</v>
      </c>
      <c r="M92" s="1371">
        <v>27752.189156490444</v>
      </c>
      <c r="N92" s="724">
        <v>75243.953125</v>
      </c>
      <c r="O92" s="318">
        <v>113169.89073996</v>
      </c>
      <c r="P92" s="1370">
        <v>27734.497106157</v>
      </c>
      <c r="Q92" s="317">
        <v>75244</v>
      </c>
      <c r="R92" s="1372">
        <f t="shared" si="8"/>
        <v>-4.6875E-2</v>
      </c>
      <c r="S92" s="1373">
        <v>76302.278999999995</v>
      </c>
      <c r="T92" s="1374">
        <v>36867.606</v>
      </c>
      <c r="U92" s="1375">
        <f t="shared" si="13"/>
        <v>5.7399600045755506E-3</v>
      </c>
      <c r="V92" s="1373">
        <v>27734.541000000001</v>
      </c>
      <c r="W92" s="1372">
        <f t="shared" si="9"/>
        <v>-4.3893843001569621E-2</v>
      </c>
      <c r="X92" s="1366"/>
      <c r="Y92" s="520">
        <f t="shared" si="14"/>
        <v>-216752.78454560938</v>
      </c>
      <c r="Z92" s="520">
        <f t="shared" si="15"/>
        <v>216752.78454560938</v>
      </c>
      <c r="AA92" s="520">
        <f t="shared" si="10"/>
        <v>26287.232948883287</v>
      </c>
      <c r="AB92" s="520">
        <f t="shared" si="16"/>
        <v>190465.55159672609</v>
      </c>
      <c r="AC92" s="1367">
        <f t="shared" si="17"/>
        <v>3425139.0262882574</v>
      </c>
      <c r="AD92" s="843"/>
      <c r="AJ92" s="718"/>
    </row>
    <row r="93" spans="1:36" x14ac:dyDescent="0.2">
      <c r="A93" s="829"/>
      <c r="B93" s="829"/>
      <c r="C93" s="933">
        <f t="shared" si="11"/>
        <v>43244</v>
      </c>
      <c r="D93" s="388">
        <f t="shared" si="12"/>
        <v>150304.21677419354</v>
      </c>
      <c r="E93" s="1368">
        <f t="shared" si="19"/>
        <v>14421.080258064516</v>
      </c>
      <c r="F93" s="392">
        <f t="shared" si="4"/>
        <v>189045.01198730001</v>
      </c>
      <c r="G93" s="733">
        <f t="shared" si="5"/>
        <v>0.99304864999999998</v>
      </c>
      <c r="H93" s="390">
        <f t="shared" si="6"/>
        <v>187.73089999999999</v>
      </c>
      <c r="I93" s="391">
        <f t="shared" si="7"/>
        <v>353959.03296820808</v>
      </c>
      <c r="J93" s="1369">
        <v>71999.121518294589</v>
      </c>
      <c r="K93" s="1370">
        <v>113925.98605942041</v>
      </c>
      <c r="L93" s="1370">
        <v>0</v>
      </c>
      <c r="M93" s="1371">
        <v>0</v>
      </c>
      <c r="N93" s="725">
        <v>75432.453125</v>
      </c>
      <c r="O93" s="320">
        <v>113612.55886230002</v>
      </c>
      <c r="P93" s="1370">
        <v>0</v>
      </c>
      <c r="Q93" s="319">
        <v>75432.5</v>
      </c>
      <c r="R93" s="1372">
        <f t="shared" si="8"/>
        <v>-4.6875E-2</v>
      </c>
      <c r="S93" s="1373">
        <v>80256.604999999996</v>
      </c>
      <c r="T93" s="1374">
        <v>33355.963000000003</v>
      </c>
      <c r="U93" s="1375">
        <f t="shared" si="13"/>
        <v>-9.1376999771455303E-3</v>
      </c>
      <c r="V93" s="1373">
        <v>0</v>
      </c>
      <c r="W93" s="1372">
        <f t="shared" si="9"/>
        <v>0</v>
      </c>
      <c r="X93" s="1366"/>
      <c r="Y93" s="520">
        <f t="shared" si="14"/>
        <v>-185925.10757771501</v>
      </c>
      <c r="Z93" s="520">
        <f t="shared" si="15"/>
        <v>185925.10757771501</v>
      </c>
      <c r="AA93" s="520">
        <f t="shared" si="10"/>
        <v>-8.6608672687947651E-3</v>
      </c>
      <c r="AB93" s="520">
        <f t="shared" si="16"/>
        <v>185925.11623858227</v>
      </c>
      <c r="AC93" s="1367">
        <f t="shared" si="17"/>
        <v>3611064.1425268399</v>
      </c>
      <c r="AD93" s="843"/>
      <c r="AJ93" s="718"/>
    </row>
    <row r="94" spans="1:36" x14ac:dyDescent="0.2">
      <c r="A94" s="829"/>
      <c r="B94" s="829"/>
      <c r="C94" s="933">
        <f t="shared" si="11"/>
        <v>43245</v>
      </c>
      <c r="D94" s="388">
        <f t="shared" si="12"/>
        <v>150304.21677419354</v>
      </c>
      <c r="E94" s="1368">
        <f t="shared" si="19"/>
        <v>14421.080258064516</v>
      </c>
      <c r="F94" s="392">
        <f t="shared" si="4"/>
        <v>240699.94198099012</v>
      </c>
      <c r="G94" s="733">
        <f t="shared" si="5"/>
        <v>0.99304864999999998</v>
      </c>
      <c r="H94" s="390">
        <f t="shared" si="6"/>
        <v>239.02680000000001</v>
      </c>
      <c r="I94" s="391">
        <f t="shared" si="7"/>
        <v>405665.25886189815</v>
      </c>
      <c r="J94" s="1369">
        <v>73999.507415523374</v>
      </c>
      <c r="K94" s="1370">
        <v>113913.32538918479</v>
      </c>
      <c r="L94" s="1370">
        <v>0</v>
      </c>
      <c r="M94" s="1371">
        <v>51441.358223198164</v>
      </c>
      <c r="N94" s="724">
        <v>75781.648438000004</v>
      </c>
      <c r="O94" s="318">
        <v>113461.59356896002</v>
      </c>
      <c r="P94" s="1370">
        <v>51456.699974030096</v>
      </c>
      <c r="Q94" s="317">
        <v>75781.649999999994</v>
      </c>
      <c r="R94" s="1372">
        <f t="shared" si="8"/>
        <v>-1.5619999903719872E-3</v>
      </c>
      <c r="S94" s="1373">
        <v>76687.244000000006</v>
      </c>
      <c r="T94" s="1374">
        <v>36774.372000000003</v>
      </c>
      <c r="U94" s="1375">
        <f t="shared" si="13"/>
        <v>-2.2431039993534796E-2</v>
      </c>
      <c r="V94" s="1373">
        <v>51477.637000000002</v>
      </c>
      <c r="W94" s="1372">
        <f t="shared" si="9"/>
        <v>-20.937025969906244</v>
      </c>
      <c r="X94" s="1366"/>
      <c r="Y94" s="520">
        <f t="shared" si="14"/>
        <v>-239354.19102790632</v>
      </c>
      <c r="Z94" s="520">
        <f t="shared" si="15"/>
        <v>239354.19102790632</v>
      </c>
      <c r="AA94" s="520">
        <f t="shared" si="10"/>
        <v>48771.513116829912</v>
      </c>
      <c r="AB94" s="520">
        <f t="shared" si="16"/>
        <v>190582.6779110764</v>
      </c>
      <c r="AC94" s="1367">
        <f t="shared" si="17"/>
        <v>3801646.8204379161</v>
      </c>
      <c r="AD94" s="843"/>
      <c r="AJ94" s="718"/>
    </row>
    <row r="95" spans="1:36" x14ac:dyDescent="0.2">
      <c r="A95" s="829"/>
      <c r="B95" s="829"/>
      <c r="C95" s="933">
        <f t="shared" si="11"/>
        <v>43246</v>
      </c>
      <c r="D95" s="388">
        <f t="shared" si="12"/>
        <v>150304.21677419354</v>
      </c>
      <c r="E95" s="1368">
        <f t="shared" si="19"/>
        <v>14421.080258064516</v>
      </c>
      <c r="F95" s="392">
        <f t="shared" si="4"/>
        <v>188778.35001476001</v>
      </c>
      <c r="G95" s="733">
        <f t="shared" si="5"/>
        <v>0.99304864999999998</v>
      </c>
      <c r="H95" s="390">
        <f t="shared" si="6"/>
        <v>187.46610000000001</v>
      </c>
      <c r="I95" s="391">
        <f t="shared" si="7"/>
        <v>353692.10619566805</v>
      </c>
      <c r="J95" s="1369">
        <v>73999.507415523374</v>
      </c>
      <c r="K95" s="1370">
        <v>113999.83996912822</v>
      </c>
      <c r="L95" s="1370">
        <v>0</v>
      </c>
      <c r="M95" s="1371">
        <v>0</v>
      </c>
      <c r="N95" s="725">
        <v>75375.043700000009</v>
      </c>
      <c r="O95" s="320">
        <v>113403.30631476</v>
      </c>
      <c r="P95" s="1370">
        <v>0</v>
      </c>
      <c r="Q95" s="319">
        <v>75375.05</v>
      </c>
      <c r="R95" s="1372">
        <f t="shared" si="8"/>
        <v>-6.2999999936437234E-3</v>
      </c>
      <c r="S95" s="1373">
        <v>76968.543999999994</v>
      </c>
      <c r="T95" s="1374">
        <v>36434.747000000003</v>
      </c>
      <c r="U95" s="1375">
        <f t="shared" si="13"/>
        <v>1.5314760006731376E-2</v>
      </c>
      <c r="V95" s="1373">
        <v>0</v>
      </c>
      <c r="W95" s="1372">
        <f t="shared" si="9"/>
        <v>0</v>
      </c>
      <c r="X95" s="1366"/>
      <c r="Y95" s="520">
        <f t="shared" si="14"/>
        <v>-187999.3473846516</v>
      </c>
      <c r="Z95" s="520">
        <f t="shared" si="15"/>
        <v>187999.3473846516</v>
      </c>
      <c r="AA95" s="520">
        <f t="shared" si="10"/>
        <v>1.4515589700197312E-2</v>
      </c>
      <c r="AB95" s="520">
        <f t="shared" si="16"/>
        <v>187999.33286906191</v>
      </c>
      <c r="AC95" s="1367">
        <f t="shared" si="17"/>
        <v>3989646.1533069778</v>
      </c>
      <c r="AD95" s="843"/>
      <c r="AJ95" s="718"/>
    </row>
    <row r="96" spans="1:36" x14ac:dyDescent="0.2">
      <c r="A96" s="829"/>
      <c r="B96" s="829"/>
      <c r="C96" s="933">
        <f t="shared" si="11"/>
        <v>43247</v>
      </c>
      <c r="D96" s="388">
        <f t="shared" si="12"/>
        <v>150304.21677419354</v>
      </c>
      <c r="E96" s="1368">
        <f t="shared" si="19"/>
        <v>14421.080258064516</v>
      </c>
      <c r="F96" s="392">
        <f t="shared" si="4"/>
        <v>189375.63125474003</v>
      </c>
      <c r="G96" s="733">
        <f t="shared" si="5"/>
        <v>0.99304864999999998</v>
      </c>
      <c r="H96" s="390">
        <f t="shared" si="6"/>
        <v>188.0592</v>
      </c>
      <c r="I96" s="391">
        <f t="shared" si="7"/>
        <v>354289.98053564806</v>
      </c>
      <c r="J96" s="1369">
        <v>73999.507415523374</v>
      </c>
      <c r="K96" s="1370">
        <v>113999.83996912822</v>
      </c>
      <c r="L96" s="1370">
        <v>0</v>
      </c>
      <c r="M96" s="1371">
        <v>0</v>
      </c>
      <c r="N96" s="724">
        <v>76019.289063000004</v>
      </c>
      <c r="O96" s="318">
        <v>113356.34219174003</v>
      </c>
      <c r="P96" s="1370">
        <v>0</v>
      </c>
      <c r="Q96" s="317">
        <v>76019.3</v>
      </c>
      <c r="R96" s="1372">
        <f t="shared" si="8"/>
        <v>-1.0936999999103136E-2</v>
      </c>
      <c r="S96" s="1373">
        <v>77163.043999999994</v>
      </c>
      <c r="T96" s="1374">
        <v>36193.260999999999</v>
      </c>
      <c r="U96" s="1375">
        <f t="shared" si="13"/>
        <v>3.7191740033449605E-2</v>
      </c>
      <c r="V96" s="1373">
        <v>0</v>
      </c>
      <c r="W96" s="1372">
        <f t="shared" si="9"/>
        <v>0</v>
      </c>
      <c r="X96" s="1366"/>
      <c r="Y96" s="520">
        <f t="shared" si="14"/>
        <v>-187999.3473846516</v>
      </c>
      <c r="Z96" s="520">
        <f t="shared" si="15"/>
        <v>187999.3473846516</v>
      </c>
      <c r="AA96" s="520">
        <f t="shared" si="10"/>
        <v>3.5250963013763827E-2</v>
      </c>
      <c r="AB96" s="520">
        <f t="shared" si="16"/>
        <v>187999.3121336886</v>
      </c>
      <c r="AC96" s="1367">
        <f t="shared" si="17"/>
        <v>4177645.4654406663</v>
      </c>
      <c r="AD96" s="843"/>
      <c r="AJ96" s="718"/>
    </row>
    <row r="97" spans="1:42" x14ac:dyDescent="0.2">
      <c r="A97" s="829"/>
      <c r="B97" s="829"/>
      <c r="C97" s="933">
        <f t="shared" si="11"/>
        <v>43248</v>
      </c>
      <c r="D97" s="388">
        <f t="shared" si="12"/>
        <v>150304.21677419354</v>
      </c>
      <c r="E97" s="1368">
        <f t="shared" si="19"/>
        <v>14421.080258064516</v>
      </c>
      <c r="F97" s="392">
        <f t="shared" si="4"/>
        <v>189786.55706794001</v>
      </c>
      <c r="G97" s="733">
        <f t="shared" si="5"/>
        <v>0.99304864999999998</v>
      </c>
      <c r="H97" s="390">
        <f t="shared" si="6"/>
        <v>188.46729999999999</v>
      </c>
      <c r="I97" s="391">
        <f t="shared" si="7"/>
        <v>354701.31444884808</v>
      </c>
      <c r="J97" s="1369">
        <v>73999.507415523374</v>
      </c>
      <c r="K97" s="1370">
        <v>113999.83996912822</v>
      </c>
      <c r="L97" s="1370">
        <v>0</v>
      </c>
      <c r="M97" s="1371">
        <v>0</v>
      </c>
      <c r="N97" s="725">
        <v>76345.28125</v>
      </c>
      <c r="O97" s="320">
        <v>113441.27581794</v>
      </c>
      <c r="P97" s="1370">
        <v>0</v>
      </c>
      <c r="Q97" s="319">
        <v>76345.3</v>
      </c>
      <c r="R97" s="1372">
        <f t="shared" si="8"/>
        <v>-1.8750000002910383E-2</v>
      </c>
      <c r="S97" s="1373">
        <v>77139.917000000001</v>
      </c>
      <c r="T97" s="1374">
        <v>36301.366000000002</v>
      </c>
      <c r="U97" s="1375">
        <f t="shared" si="13"/>
        <v>-7.1820599987404421E-3</v>
      </c>
      <c r="V97" s="1373">
        <v>0</v>
      </c>
      <c r="W97" s="1372">
        <f t="shared" si="9"/>
        <v>0</v>
      </c>
      <c r="X97" s="1366"/>
      <c r="Y97" s="520">
        <f t="shared" si="14"/>
        <v>-187999.3473846516</v>
      </c>
      <c r="Z97" s="520">
        <f t="shared" si="15"/>
        <v>187999.3473846516</v>
      </c>
      <c r="AA97" s="520">
        <f t="shared" si="10"/>
        <v>-6.8072784750197544E-3</v>
      </c>
      <c r="AB97" s="520">
        <f t="shared" si="16"/>
        <v>187999.35419193006</v>
      </c>
      <c r="AC97" s="1367">
        <f t="shared" si="17"/>
        <v>4365644.8196325963</v>
      </c>
      <c r="AD97" s="843"/>
      <c r="AJ97" s="718"/>
    </row>
    <row r="98" spans="1:42" x14ac:dyDescent="0.2">
      <c r="A98" s="829"/>
      <c r="B98" s="829"/>
      <c r="C98" s="933">
        <f t="shared" si="11"/>
        <v>43249</v>
      </c>
      <c r="D98" s="388">
        <f t="shared" si="12"/>
        <v>150304.21677419354</v>
      </c>
      <c r="E98" s="1368">
        <f t="shared" si="19"/>
        <v>14421.080258064516</v>
      </c>
      <c r="F98" s="392">
        <f t="shared" si="4"/>
        <v>189432.32940600003</v>
      </c>
      <c r="G98" s="733">
        <f t="shared" si="5"/>
        <v>0.99304864999999998</v>
      </c>
      <c r="H98" s="390">
        <f t="shared" si="6"/>
        <v>188.1155</v>
      </c>
      <c r="I98" s="391">
        <f t="shared" si="7"/>
        <v>354346.73498690809</v>
      </c>
      <c r="J98" s="1369">
        <v>73999.507415523374</v>
      </c>
      <c r="K98" s="1370">
        <v>113999.83996912822</v>
      </c>
      <c r="L98" s="1370">
        <v>0</v>
      </c>
      <c r="M98" s="1371">
        <v>0</v>
      </c>
      <c r="N98" s="724">
        <v>76318.554688000004</v>
      </c>
      <c r="O98" s="318">
        <v>113113.77471800002</v>
      </c>
      <c r="P98" s="1370">
        <v>0</v>
      </c>
      <c r="Q98" s="317">
        <v>76318.600000000006</v>
      </c>
      <c r="R98" s="1372">
        <f t="shared" si="8"/>
        <v>-4.5312000002013519E-2</v>
      </c>
      <c r="S98" s="1373">
        <v>76777.08</v>
      </c>
      <c r="T98" s="1374">
        <v>36336.695</v>
      </c>
      <c r="U98" s="1375">
        <f t="shared" si="13"/>
        <v>-2.8199997905176133E-4</v>
      </c>
      <c r="V98" s="1373">
        <v>0</v>
      </c>
      <c r="W98" s="1372">
        <f t="shared" si="9"/>
        <v>0</v>
      </c>
      <c r="X98" s="1366"/>
      <c r="Y98" s="520">
        <f t="shared" si="14"/>
        <v>-187999.3473846516</v>
      </c>
      <c r="Z98" s="520">
        <f t="shared" si="15"/>
        <v>187999.3473846516</v>
      </c>
      <c r="AA98" s="520">
        <f t="shared" si="10"/>
        <v>-2.6728437073649295E-4</v>
      </c>
      <c r="AB98" s="520">
        <f t="shared" si="16"/>
        <v>187999.34765193597</v>
      </c>
      <c r="AC98" s="1367">
        <f t="shared" si="17"/>
        <v>4553644.1672845325</v>
      </c>
      <c r="AD98" s="843"/>
      <c r="AJ98" s="718"/>
    </row>
    <row r="99" spans="1:42" x14ac:dyDescent="0.2">
      <c r="A99" s="829"/>
      <c r="B99" s="829"/>
      <c r="C99" s="933">
        <f t="shared" si="11"/>
        <v>43250</v>
      </c>
      <c r="D99" s="388">
        <f t="shared" si="12"/>
        <v>150304.21677419354</v>
      </c>
      <c r="E99" s="1368">
        <f t="shared" si="19"/>
        <v>14421.080258064516</v>
      </c>
      <c r="F99" s="392">
        <f t="shared" si="4"/>
        <v>189602.10237915997</v>
      </c>
      <c r="G99" s="733">
        <f t="shared" si="5"/>
        <v>0.99304864999999998</v>
      </c>
      <c r="H99" s="390">
        <f t="shared" si="6"/>
        <v>188.2841</v>
      </c>
      <c r="I99" s="391">
        <f t="shared" si="7"/>
        <v>354516.67656006798</v>
      </c>
      <c r="J99" s="1369">
        <v>74999.700364137767</v>
      </c>
      <c r="K99" s="1370">
        <v>113999.83996912822</v>
      </c>
      <c r="L99" s="1370">
        <v>0</v>
      </c>
      <c r="M99" s="1371">
        <v>0</v>
      </c>
      <c r="N99" s="724">
        <v>76309.816895999989</v>
      </c>
      <c r="O99" s="318">
        <v>113292.28548315998</v>
      </c>
      <c r="P99" s="1370">
        <v>0</v>
      </c>
      <c r="Q99" s="317">
        <v>76309.816999999995</v>
      </c>
      <c r="R99" s="1372">
        <f t="shared" si="8"/>
        <v>-1.0400000610388815E-4</v>
      </c>
      <c r="S99" s="1373">
        <v>76935.8</v>
      </c>
      <c r="T99" s="1374">
        <v>36356.493999999999</v>
      </c>
      <c r="U99" s="1375">
        <f t="shared" si="13"/>
        <v>-8.5168400109978393E-3</v>
      </c>
      <c r="V99" s="1373">
        <v>0</v>
      </c>
      <c r="W99" s="1372">
        <f t="shared" si="9"/>
        <v>0</v>
      </c>
      <c r="X99" s="1366"/>
      <c r="Y99" s="520">
        <f t="shared" si="14"/>
        <v>-188999.54033326599</v>
      </c>
      <c r="Z99" s="520">
        <f t="shared" si="15"/>
        <v>188999.54033326599</v>
      </c>
      <c r="AA99" s="520">
        <f t="shared" si="10"/>
        <v>-8.0724056457646218E-3</v>
      </c>
      <c r="AB99" s="520">
        <f>Z99-AA99</f>
        <v>188999.54840567164</v>
      </c>
      <c r="AC99" s="1367">
        <f>AC98+AB99</f>
        <v>4742643.7156902039</v>
      </c>
      <c r="AD99" s="843"/>
      <c r="AJ99" s="718"/>
    </row>
    <row r="100" spans="1:42" ht="15" thickBot="1" x14ac:dyDescent="0.25">
      <c r="A100" s="829"/>
      <c r="B100" s="829"/>
      <c r="C100" s="938">
        <f>C99+1</f>
        <v>43251</v>
      </c>
      <c r="D100" s="394">
        <f t="shared" si="12"/>
        <v>150304.21677419354</v>
      </c>
      <c r="E100" s="1376">
        <f t="shared" si="19"/>
        <v>14421.080258064516</v>
      </c>
      <c r="F100" s="395">
        <f t="shared" si="4"/>
        <v>188259.67215875999</v>
      </c>
      <c r="G100" s="748">
        <f t="shared" si="5"/>
        <v>0.99304864999999998</v>
      </c>
      <c r="H100" s="396">
        <f t="shared" si="6"/>
        <v>186.95099999999999</v>
      </c>
      <c r="I100" s="397">
        <f t="shared" si="7"/>
        <v>353172.91323966801</v>
      </c>
      <c r="J100" s="1377">
        <v>74999.700364137767</v>
      </c>
      <c r="K100" s="1378">
        <v>113999.83996912822</v>
      </c>
      <c r="L100" s="1378">
        <v>0</v>
      </c>
      <c r="M100" s="1379">
        <v>0</v>
      </c>
      <c r="N100" s="749">
        <v>75842.296875</v>
      </c>
      <c r="O100" s="750">
        <v>112417.37528375999</v>
      </c>
      <c r="P100" s="1378">
        <v>0</v>
      </c>
      <c r="Q100" s="688">
        <v>75842.297000000006</v>
      </c>
      <c r="R100" s="1380">
        <f t="shared" si="8"/>
        <v>-1.2500000593718141E-4</v>
      </c>
      <c r="S100" s="1381">
        <v>76421.959000000003</v>
      </c>
      <c r="T100" s="1382">
        <v>35995.404000000002</v>
      </c>
      <c r="U100" s="1383">
        <f t="shared" si="13"/>
        <v>1.2283759977435693E-2</v>
      </c>
      <c r="V100" s="1381">
        <v>0</v>
      </c>
      <c r="W100" s="1380">
        <f t="shared" si="9"/>
        <v>0</v>
      </c>
      <c r="X100" s="1384"/>
      <c r="Y100" s="1385">
        <f t="shared" si="14"/>
        <v>-188999.54033326599</v>
      </c>
      <c r="Z100" s="1385">
        <f t="shared" si="15"/>
        <v>188999.54033326599</v>
      </c>
      <c r="AA100" s="1385">
        <f t="shared" si="10"/>
        <v>1.1642756382064736E-2</v>
      </c>
      <c r="AB100" s="1385">
        <f t="shared" si="16"/>
        <v>188999.52869050961</v>
      </c>
      <c r="AC100" s="1386">
        <f>AC98+AB100</f>
        <v>4742643.6959750419</v>
      </c>
      <c r="AD100" s="843"/>
      <c r="AJ100" s="718"/>
    </row>
    <row r="101" spans="1:42" ht="12" thickBot="1" x14ac:dyDescent="0.25">
      <c r="C101" s="398"/>
      <c r="D101" s="1387">
        <f>SUM(D70:D100)</f>
        <v>4659430.72</v>
      </c>
      <c r="E101" s="1387">
        <f>SUM(E70:E100)</f>
        <v>360527.0064516128</v>
      </c>
      <c r="F101" s="400">
        <f>SUM(F70:F100)</f>
        <v>4546536.1251282832</v>
      </c>
      <c r="G101" s="400"/>
      <c r="H101" s="401">
        <f t="shared" ref="H101:M101" si="20">SUM(H70:H100)</f>
        <v>4514.9315999999999</v>
      </c>
      <c r="I101" s="399">
        <f t="shared" si="20"/>
        <v>9571039.567688046</v>
      </c>
      <c r="J101" s="1388">
        <f t="shared" si="20"/>
        <v>2285813.3222999806</v>
      </c>
      <c r="K101" s="1388">
        <f t="shared" si="20"/>
        <v>2038003.9136663829</v>
      </c>
      <c r="L101" s="1388">
        <f t="shared" si="20"/>
        <v>0</v>
      </c>
      <c r="M101" s="1388">
        <f t="shared" si="20"/>
        <v>119192.82487744049</v>
      </c>
      <c r="N101" s="677">
        <f>SUM(N70:N100)</f>
        <v>2335886.2102180007</v>
      </c>
      <c r="O101" s="677">
        <f>SUM(O70:O100)</f>
        <v>2091403.7211527228</v>
      </c>
      <c r="P101" s="677">
        <f>SUM(P70:P100)</f>
        <v>119246.1937575605</v>
      </c>
      <c r="Q101" s="677">
        <f t="shared" ref="Q101:X101" si="21">SUM(Q70:Q100)</f>
        <v>2335886.3499999996</v>
      </c>
      <c r="R101" s="677">
        <f t="shared" si="21"/>
        <v>-0.13978199998382479</v>
      </c>
      <c r="S101" s="677">
        <f t="shared" si="21"/>
        <v>2079372.696</v>
      </c>
      <c r="T101" s="677">
        <f t="shared" si="21"/>
        <v>646812.59099999978</v>
      </c>
      <c r="U101" s="677">
        <f>SUM(U70:U100)</f>
        <v>-634781.56584727729</v>
      </c>
      <c r="V101" s="677">
        <f t="shared" si="21"/>
        <v>119267.17200000001</v>
      </c>
      <c r="W101" s="677">
        <f t="shared" si="21"/>
        <v>-20.978242439501628</v>
      </c>
      <c r="X101" s="361">
        <f t="shared" si="21"/>
        <v>0</v>
      </c>
      <c r="Y101" s="530"/>
      <c r="Z101" s="328">
        <f>SUM(Z70:Z100)</f>
        <v>4443010.0608438058</v>
      </c>
      <c r="AA101" s="328">
        <f>SUM(AA70:AA100)</f>
        <v>-488633.18353690841</v>
      </c>
      <c r="AB101" s="328">
        <f>SUM(AB70:AB100)</f>
        <v>4931643.2443807134</v>
      </c>
      <c r="AC101" s="751">
        <f>AC100</f>
        <v>4742643.6959750419</v>
      </c>
      <c r="AD101" s="360"/>
      <c r="AE101" s="360"/>
      <c r="AF101" s="360"/>
      <c r="AG101" s="360"/>
      <c r="AH101" s="360"/>
      <c r="AI101" s="360"/>
      <c r="AJ101" s="360"/>
      <c r="AP101" s="361" t="e">
        <f>#REF!</f>
        <v>#REF!</v>
      </c>
    </row>
    <row r="102" spans="1:42" ht="15" customHeight="1" thickBot="1" x14ac:dyDescent="0.25">
      <c r="A102" s="829"/>
      <c r="B102" s="843"/>
      <c r="C102" s="843"/>
      <c r="D102" s="843"/>
      <c r="E102" s="843"/>
      <c r="F102" s="843"/>
      <c r="G102" s="843"/>
      <c r="H102" s="843"/>
      <c r="I102" s="843"/>
      <c r="J102" s="843"/>
      <c r="K102" s="843"/>
      <c r="L102" s="843"/>
      <c r="M102" s="843"/>
      <c r="N102" s="829"/>
      <c r="O102" s="829"/>
      <c r="P102" s="829"/>
      <c r="Q102" s="829"/>
      <c r="R102" s="829"/>
      <c r="S102" s="997">
        <f>S101/(S101+T101)</f>
        <v>0.7627407813825533</v>
      </c>
      <c r="T102" s="998">
        <f>T101/(S101+T101)</f>
        <v>0.23725921861744678</v>
      </c>
      <c r="U102" s="829"/>
      <c r="V102" s="829"/>
      <c r="W102" s="829"/>
      <c r="X102" s="829"/>
      <c r="Y102" s="829"/>
      <c r="Z102" s="829"/>
      <c r="AA102" s="829"/>
      <c r="AB102" s="829"/>
      <c r="AC102" s="829"/>
      <c r="AD102" s="829"/>
      <c r="AJ102" s="718"/>
    </row>
    <row r="103" spans="1:42" x14ac:dyDescent="0.2">
      <c r="A103" s="829"/>
      <c r="B103" s="829"/>
      <c r="C103" s="829"/>
      <c r="D103" s="962" t="s">
        <v>155</v>
      </c>
      <c r="E103" s="963" t="s">
        <v>156</v>
      </c>
      <c r="F103" s="964" t="s">
        <v>112</v>
      </c>
      <c r="G103" s="829"/>
      <c r="H103" s="829"/>
      <c r="I103" s="829"/>
      <c r="J103" s="829"/>
      <c r="K103" s="829"/>
      <c r="L103" s="829"/>
      <c r="M103" s="829"/>
      <c r="N103" s="827"/>
      <c r="O103" s="829"/>
      <c r="P103" s="829"/>
      <c r="Q103" s="829"/>
      <c r="R103" s="829"/>
      <c r="S103" s="1047"/>
      <c r="T103" s="829"/>
      <c r="U103" s="829"/>
      <c r="V103" s="829"/>
      <c r="W103" s="829"/>
      <c r="X103" s="829"/>
      <c r="Y103" s="829"/>
      <c r="Z103" s="829"/>
      <c r="AA103" s="829"/>
      <c r="AB103" s="829"/>
      <c r="AC103" s="829"/>
      <c r="AD103" s="843"/>
    </row>
    <row r="104" spans="1:42" x14ac:dyDescent="0.2">
      <c r="A104" s="829"/>
      <c r="B104" s="829"/>
      <c r="C104" s="829" t="s">
        <v>166</v>
      </c>
      <c r="D104" s="965">
        <v>4659430.72</v>
      </c>
      <c r="E104" s="1048">
        <f>D101</f>
        <v>4659430.72</v>
      </c>
      <c r="F104" s="1049">
        <f>D104-E104</f>
        <v>0</v>
      </c>
      <c r="G104" s="829"/>
      <c r="H104" s="829"/>
      <c r="I104" s="829"/>
      <c r="J104" s="829"/>
      <c r="K104" s="829"/>
      <c r="L104" s="829"/>
      <c r="M104" s="829"/>
      <c r="N104" s="827"/>
      <c r="O104" s="827"/>
      <c r="P104" s="827"/>
      <c r="Q104" s="827"/>
      <c r="R104" s="829"/>
      <c r="S104" s="829"/>
      <c r="T104" s="829"/>
      <c r="U104" s="829"/>
      <c r="V104" s="1038"/>
      <c r="W104" s="829"/>
      <c r="X104" s="829"/>
      <c r="Y104" s="829"/>
      <c r="Z104" s="829"/>
      <c r="AA104" s="829"/>
      <c r="AB104" s="829"/>
      <c r="AC104" s="843"/>
      <c r="AD104" s="843"/>
    </row>
    <row r="105" spans="1:42" x14ac:dyDescent="0.2">
      <c r="A105" s="829"/>
      <c r="B105" s="829"/>
      <c r="C105" s="829" t="s">
        <v>276</v>
      </c>
      <c r="D105" s="965">
        <v>360527.01</v>
      </c>
      <c r="E105" s="1048">
        <f>E101</f>
        <v>360527.0064516128</v>
      </c>
      <c r="F105" s="1049">
        <f>D105-E105</f>
        <v>3.5483872052282095E-3</v>
      </c>
      <c r="G105" s="829"/>
      <c r="H105" s="829"/>
      <c r="I105" s="829"/>
      <c r="J105" s="829"/>
      <c r="K105" s="829"/>
      <c r="L105" s="829"/>
      <c r="M105" s="1050"/>
      <c r="N105" s="827"/>
      <c r="O105" s="827"/>
      <c r="P105" s="827"/>
      <c r="Q105" s="827"/>
      <c r="R105" s="829"/>
      <c r="S105" s="958"/>
      <c r="T105" s="829"/>
      <c r="U105" s="829"/>
      <c r="V105" s="829"/>
      <c r="W105" s="829"/>
      <c r="X105" s="829"/>
      <c r="Y105" s="829"/>
      <c r="Z105" s="829"/>
      <c r="AA105" s="829"/>
      <c r="AB105" s="829"/>
      <c r="AC105" s="843"/>
      <c r="AD105" s="843"/>
    </row>
    <row r="106" spans="1:42" ht="15" thickBot="1" x14ac:dyDescent="0.25">
      <c r="A106" s="829"/>
      <c r="B106" s="829"/>
      <c r="C106" s="829" t="s">
        <v>167</v>
      </c>
      <c r="D106" s="969">
        <f>2319.65+2076.87+118.44</f>
        <v>4514.96</v>
      </c>
      <c r="E106" s="1051">
        <f>ROUND(H101,2)</f>
        <v>4514.93</v>
      </c>
      <c r="F106" s="1052">
        <f>D106-E106</f>
        <v>2.9999999999745341E-2</v>
      </c>
      <c r="G106" s="968"/>
      <c r="H106" s="829"/>
      <c r="I106" s="829"/>
      <c r="J106" s="829"/>
      <c r="K106" s="829"/>
      <c r="L106" s="829"/>
      <c r="M106" s="1050"/>
      <c r="N106" s="827"/>
      <c r="O106" s="827"/>
      <c r="P106" s="827"/>
      <c r="Q106" s="827"/>
      <c r="R106" s="829"/>
      <c r="S106" s="829"/>
      <c r="T106" s="829"/>
      <c r="U106" s="829"/>
      <c r="V106" s="829"/>
      <c r="W106" s="829"/>
    </row>
    <row r="107" spans="1:42" x14ac:dyDescent="0.2">
      <c r="M107" s="1019"/>
      <c r="O107" s="1"/>
      <c r="P107" s="1"/>
      <c r="Q107" s="1"/>
    </row>
    <row r="108" spans="1:42" x14ac:dyDescent="0.2">
      <c r="M108" s="1019"/>
      <c r="O108" s="1"/>
      <c r="P108" s="1"/>
      <c r="Q108" s="1"/>
    </row>
    <row r="109" spans="1:42" x14ac:dyDescent="0.2">
      <c r="M109" s="1019"/>
      <c r="O109" s="1"/>
      <c r="P109" s="1"/>
      <c r="Q109" s="1"/>
    </row>
    <row r="110" spans="1:42" x14ac:dyDescent="0.2">
      <c r="M110" s="1019"/>
      <c r="O110" s="1"/>
      <c r="P110" s="1"/>
      <c r="Q110" s="1"/>
    </row>
    <row r="111" spans="1:42" x14ac:dyDescent="0.2">
      <c r="M111" s="1019"/>
      <c r="O111" s="1"/>
      <c r="P111" s="1"/>
      <c r="Q111" s="1"/>
    </row>
    <row r="112" spans="1:42" x14ac:dyDescent="0.2">
      <c r="M112" s="1019"/>
      <c r="O112" s="1"/>
      <c r="P112" s="1"/>
      <c r="Q112" s="1"/>
    </row>
    <row r="113" spans="13:17" x14ac:dyDescent="0.2">
      <c r="M113" s="1019"/>
      <c r="O113" s="1"/>
      <c r="P113" s="1"/>
      <c r="Q113" s="1"/>
    </row>
    <row r="114" spans="13:17" x14ac:dyDescent="0.2">
      <c r="O114" s="1"/>
      <c r="P114" s="1"/>
      <c r="Q114" s="1"/>
    </row>
    <row r="115" spans="13:17" x14ac:dyDescent="0.2">
      <c r="O115" s="1"/>
      <c r="P115" s="1"/>
      <c r="Q115" s="1"/>
    </row>
    <row r="116" spans="13:17" x14ac:dyDescent="0.2">
      <c r="O116" s="1"/>
      <c r="P116" s="1"/>
      <c r="Q116" s="1"/>
    </row>
    <row r="117" spans="13:17" x14ac:dyDescent="0.2">
      <c r="O117" s="1"/>
      <c r="P117" s="1"/>
      <c r="Q117" s="1"/>
    </row>
    <row r="118" spans="13:17" x14ac:dyDescent="0.2">
      <c r="O118" s="1"/>
      <c r="P118" s="1"/>
      <c r="Q118" s="1"/>
    </row>
    <row r="119" spans="13:17" x14ac:dyDescent="0.2">
      <c r="O119" s="1"/>
      <c r="P119" s="1"/>
      <c r="Q119" s="1"/>
    </row>
    <row r="120" spans="13:17" x14ac:dyDescent="0.2">
      <c r="O120" s="1"/>
      <c r="P120" s="1"/>
      <c r="Q120" s="1"/>
    </row>
    <row r="121" spans="13:17" x14ac:dyDescent="0.2">
      <c r="O121" s="1"/>
      <c r="P121" s="1"/>
      <c r="Q121" s="1"/>
    </row>
    <row r="122" spans="13:17" x14ac:dyDescent="0.2">
      <c r="O122" s="1"/>
      <c r="P122" s="1"/>
      <c r="Q122" s="1"/>
    </row>
    <row r="123" spans="13:17" x14ac:dyDescent="0.2">
      <c r="O123" s="1"/>
      <c r="P123" s="1"/>
      <c r="Q123" s="1"/>
    </row>
    <row r="124" spans="13:17" x14ac:dyDescent="0.2">
      <c r="O124" s="1"/>
      <c r="P124" s="1"/>
      <c r="Q124" s="1"/>
    </row>
    <row r="125" spans="13:17" x14ac:dyDescent="0.2">
      <c r="O125" s="1"/>
      <c r="P125" s="1"/>
      <c r="Q125" s="1"/>
    </row>
    <row r="126" spans="13:17" x14ac:dyDescent="0.2">
      <c r="O126" s="1"/>
      <c r="P126" s="1"/>
      <c r="Q126" s="1"/>
    </row>
    <row r="127" spans="13:17" x14ac:dyDescent="0.2">
      <c r="O127" s="1"/>
      <c r="P127" s="1"/>
      <c r="Q127" s="1"/>
    </row>
    <row r="128" spans="13:17" x14ac:dyDescent="0.2">
      <c r="O128" s="1"/>
      <c r="P128" s="1"/>
      <c r="Q128" s="1"/>
    </row>
    <row r="129" spans="15:17" x14ac:dyDescent="0.2">
      <c r="O129" s="1"/>
      <c r="P129" s="1"/>
      <c r="Q129" s="1"/>
    </row>
    <row r="130" spans="15:17" x14ac:dyDescent="0.2">
      <c r="O130" s="1"/>
      <c r="P130" s="1"/>
      <c r="Q130" s="1"/>
    </row>
    <row r="131" spans="15:17" x14ac:dyDescent="0.2">
      <c r="O131" s="1"/>
      <c r="P131" s="1"/>
      <c r="Q131" s="1"/>
    </row>
    <row r="132" spans="15:17" x14ac:dyDescent="0.2">
      <c r="O132" s="1"/>
      <c r="P132" s="1"/>
      <c r="Q132" s="1"/>
    </row>
    <row r="133" spans="15:17" x14ac:dyDescent="0.2">
      <c r="O133" s="1"/>
      <c r="P133" s="1"/>
      <c r="Q133" s="1"/>
    </row>
    <row r="134" spans="15:17" x14ac:dyDescent="0.2">
      <c r="O134" s="1"/>
      <c r="P134" s="1"/>
      <c r="Q134" s="1"/>
    </row>
    <row r="135" spans="15:17" x14ac:dyDescent="0.2">
      <c r="P135" s="18"/>
      <c r="Q135" s="18"/>
    </row>
  </sheetData>
  <mergeCells count="8">
    <mergeCell ref="Q68:W68"/>
    <mergeCell ref="N68:P68"/>
    <mergeCell ref="X68:AC68"/>
    <mergeCell ref="C3:M4"/>
    <mergeCell ref="C5:M5"/>
    <mergeCell ref="C6:M6"/>
    <mergeCell ref="C14:E14"/>
    <mergeCell ref="J68:M68"/>
  </mergeCells>
  <conditionalFormatting sqref="N100:O100 Q100 N82:O98 Q70:Q98 N70:N81">
    <cfRule type="cellIs" dxfId="108" priority="3" stopIfTrue="1" operator="equal">
      <formula>0</formula>
    </cfRule>
  </conditionalFormatting>
  <conditionalFormatting sqref="N99:O99 Q99">
    <cfRule type="cellIs" dxfId="107" priority="2" stopIfTrue="1" operator="equal">
      <formula>0</formula>
    </cfRule>
  </conditionalFormatting>
  <printOptions horizontalCentered="1" verticalCentered="1"/>
  <pageMargins left="0.25" right="0.25" top="0.75" bottom="0.75" header="0.3" footer="0.3"/>
  <pageSetup scale="31" orientation="landscape" r:id="rId1"/>
  <colBreaks count="1" manualBreakCount="1">
    <brk id="30" max="106" man="1"/>
  </colBreaks>
  <drawing r:id="rId2"/>
  <legacyDrawing r:id="rId3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2:AP137"/>
  <sheetViews>
    <sheetView topLeftCell="A20" workbookViewId="0"/>
  </sheetViews>
  <sheetFormatPr baseColWidth="10" defaultColWidth="11" defaultRowHeight="12.75" x14ac:dyDescent="0.2"/>
  <cols>
    <col min="1" max="1" width="11" style="829"/>
    <col min="2" max="2" width="3.875" style="829" bestFit="1" customWidth="1"/>
    <col min="3" max="3" width="16.125" style="829" customWidth="1"/>
    <col min="4" max="4" width="12.625" style="829" bestFit="1" customWidth="1"/>
    <col min="5" max="5" width="18.375" style="829" bestFit="1" customWidth="1"/>
    <col min="6" max="6" width="17.375" style="829" bestFit="1" customWidth="1"/>
    <col min="7" max="8" width="13.375" style="829" bestFit="1" customWidth="1"/>
    <col min="9" max="9" width="15.125" style="829" customWidth="1"/>
    <col min="10" max="11" width="12.125" style="829" bestFit="1" customWidth="1"/>
    <col min="12" max="12" width="13.875" style="829" customWidth="1"/>
    <col min="13" max="13" width="17.5" style="829" customWidth="1"/>
    <col min="14" max="14" width="15.625" style="827" customWidth="1"/>
    <col min="15" max="15" width="12.125" style="829" customWidth="1"/>
    <col min="16" max="16" width="15.125" style="829" customWidth="1"/>
    <col min="17" max="17" width="12.625" style="829" bestFit="1" customWidth="1"/>
    <col min="18" max="18" width="12.375" style="829" bestFit="1" customWidth="1"/>
    <col min="19" max="19" width="11.875" style="829" bestFit="1" customWidth="1"/>
    <col min="20" max="20" width="11.125" style="829" bestFit="1" customWidth="1"/>
    <col min="21" max="21" width="19.5" style="829" customWidth="1"/>
    <col min="22" max="22" width="18.5" style="829" customWidth="1"/>
    <col min="23" max="23" width="13.375" style="829" customWidth="1"/>
    <col min="24" max="24" width="13.625" style="829" bestFit="1" customWidth="1"/>
    <col min="25" max="25" width="14.625" style="829" bestFit="1" customWidth="1"/>
    <col min="26" max="26" width="11" style="843"/>
    <col min="27" max="27" width="14.875" style="843" bestFit="1" customWidth="1"/>
    <col min="28" max="28" width="11" style="843"/>
    <col min="29" max="29" width="13.125" style="843" customWidth="1"/>
    <col min="30" max="32" width="11" style="843"/>
    <col min="33" max="16384" width="11" style="829"/>
  </cols>
  <sheetData>
    <row r="2" spans="2:35" x14ac:dyDescent="0.2">
      <c r="B2" s="827"/>
      <c r="C2" s="828"/>
      <c r="D2" s="828"/>
      <c r="E2" s="828"/>
      <c r="F2" s="828"/>
      <c r="G2" s="828"/>
      <c r="H2" s="828"/>
      <c r="I2" s="828"/>
      <c r="J2" s="828"/>
      <c r="K2" s="828"/>
      <c r="L2" s="828"/>
      <c r="M2" s="828"/>
      <c r="N2" s="828"/>
      <c r="Z2" s="829"/>
      <c r="AA2" s="829"/>
      <c r="AB2" s="829"/>
      <c r="AC2" s="829"/>
      <c r="AD2" s="829"/>
      <c r="AE2" s="829"/>
      <c r="AF2" s="829"/>
    </row>
    <row r="3" spans="2:35" ht="15" customHeight="1" x14ac:dyDescent="0.2">
      <c r="B3" s="827"/>
      <c r="C3" s="2295"/>
      <c r="D3" s="2295"/>
      <c r="E3" s="2295"/>
      <c r="F3" s="2295"/>
      <c r="G3" s="2295"/>
      <c r="H3" s="2295"/>
      <c r="I3" s="2295"/>
      <c r="J3" s="2295"/>
      <c r="K3" s="2295"/>
      <c r="L3" s="2295"/>
      <c r="M3" s="2295"/>
      <c r="N3" s="828"/>
      <c r="Z3" s="829"/>
      <c r="AA3" s="829"/>
      <c r="AB3" s="829"/>
      <c r="AC3" s="829"/>
      <c r="AD3" s="829"/>
      <c r="AE3" s="829"/>
      <c r="AF3" s="829"/>
    </row>
    <row r="4" spans="2:35" ht="15" customHeight="1" x14ac:dyDescent="0.2">
      <c r="B4" s="827"/>
      <c r="C4" s="2295"/>
      <c r="D4" s="2295"/>
      <c r="E4" s="2295"/>
      <c r="F4" s="2295"/>
      <c r="G4" s="2295"/>
      <c r="H4" s="2295"/>
      <c r="I4" s="2295"/>
      <c r="J4" s="2295"/>
      <c r="K4" s="2295"/>
      <c r="L4" s="2295"/>
      <c r="M4" s="2295"/>
      <c r="N4" s="828"/>
      <c r="Z4" s="829"/>
      <c r="AA4" s="829"/>
      <c r="AB4" s="829"/>
      <c r="AC4" s="829"/>
      <c r="AD4" s="829"/>
      <c r="AE4" s="829"/>
      <c r="AF4" s="829"/>
    </row>
    <row r="5" spans="2:35" x14ac:dyDescent="0.2">
      <c r="B5" s="827"/>
      <c r="C5" s="2296"/>
      <c r="D5" s="2296"/>
      <c r="E5" s="2296"/>
      <c r="F5" s="2296"/>
      <c r="G5" s="2296"/>
      <c r="H5" s="2296"/>
      <c r="I5" s="2296"/>
      <c r="J5" s="2296"/>
      <c r="K5" s="2296"/>
      <c r="L5" s="2296"/>
      <c r="M5" s="2296"/>
      <c r="N5" s="828"/>
      <c r="Z5" s="829"/>
      <c r="AA5" s="829"/>
      <c r="AB5" s="829"/>
      <c r="AC5" s="829"/>
      <c r="AD5" s="829"/>
      <c r="AE5" s="829"/>
      <c r="AF5" s="829"/>
    </row>
    <row r="6" spans="2:35" x14ac:dyDescent="0.2">
      <c r="B6" s="827"/>
      <c r="C6" s="2296"/>
      <c r="D6" s="2296"/>
      <c r="E6" s="2296"/>
      <c r="F6" s="2296"/>
      <c r="G6" s="2296"/>
      <c r="H6" s="2296"/>
      <c r="I6" s="2296"/>
      <c r="J6" s="2296"/>
      <c r="K6" s="2296"/>
      <c r="L6" s="2296"/>
      <c r="M6" s="2296"/>
      <c r="N6" s="828"/>
      <c r="Z6" s="829"/>
      <c r="AA6" s="829"/>
      <c r="AB6" s="829"/>
      <c r="AC6" s="829"/>
      <c r="AD6" s="829"/>
      <c r="AE6" s="829"/>
      <c r="AF6" s="829"/>
    </row>
    <row r="7" spans="2:35" x14ac:dyDescent="0.2">
      <c r="B7" s="827"/>
      <c r="C7" s="830">
        <v>43101</v>
      </c>
      <c r="D7" s="830"/>
      <c r="E7" s="830"/>
      <c r="F7" s="830"/>
      <c r="G7" s="830"/>
      <c r="H7" s="830"/>
      <c r="I7" s="830"/>
      <c r="J7" s="830"/>
      <c r="K7" s="830"/>
      <c r="L7" s="830"/>
      <c r="M7" s="830"/>
      <c r="N7" s="830"/>
      <c r="O7" s="830"/>
      <c r="P7" s="830"/>
      <c r="Q7" s="830"/>
      <c r="R7" s="827"/>
      <c r="S7" s="827"/>
      <c r="T7" s="827"/>
      <c r="U7" s="827"/>
      <c r="V7" s="827"/>
      <c r="W7" s="827"/>
      <c r="X7" s="827"/>
      <c r="Y7" s="827"/>
      <c r="Z7" s="829"/>
      <c r="AA7" s="829"/>
      <c r="AB7" s="829"/>
      <c r="AC7" s="829"/>
      <c r="AD7" s="829"/>
      <c r="AE7" s="829"/>
      <c r="AF7" s="829"/>
    </row>
    <row r="8" spans="2:35" ht="19.5" customHeight="1" x14ac:dyDescent="0.2">
      <c r="B8" s="827"/>
      <c r="C8" s="1174"/>
      <c r="D8" s="1174"/>
      <c r="E8" s="1174"/>
      <c r="F8" s="1174"/>
      <c r="G8" s="1174"/>
      <c r="H8" s="1174"/>
      <c r="I8" s="1174"/>
      <c r="J8" s="1174"/>
      <c r="K8" s="1174"/>
      <c r="L8" s="1174"/>
      <c r="M8" s="828"/>
      <c r="N8" s="828"/>
      <c r="O8" s="827"/>
      <c r="P8" s="827"/>
      <c r="Q8" s="827"/>
      <c r="R8" s="827"/>
      <c r="S8" s="827"/>
      <c r="T8" s="827"/>
      <c r="U8" s="827"/>
      <c r="V8" s="827"/>
      <c r="W8" s="827"/>
      <c r="X8" s="827"/>
      <c r="Y8" s="827"/>
      <c r="Z8" s="829"/>
      <c r="AA8" s="829"/>
      <c r="AB8" s="829"/>
      <c r="AC8" s="829"/>
      <c r="AD8" s="829"/>
      <c r="AE8" s="829"/>
      <c r="AF8" s="829"/>
    </row>
    <row r="9" spans="2:35" ht="19.5" customHeight="1" x14ac:dyDescent="0.2">
      <c r="B9" s="827"/>
      <c r="C9" s="1174"/>
      <c r="D9" s="1174"/>
      <c r="E9" s="1174"/>
      <c r="F9" s="1174"/>
      <c r="G9" s="1174"/>
      <c r="H9" s="1174"/>
      <c r="I9" s="1174"/>
      <c r="J9" s="1174"/>
      <c r="K9" s="1174"/>
      <c r="L9" s="1174"/>
      <c r="M9" s="828"/>
      <c r="N9" s="828"/>
      <c r="O9" s="827"/>
      <c r="P9" s="827"/>
      <c r="Q9" s="827"/>
      <c r="R9" s="827"/>
      <c r="S9" s="827"/>
      <c r="T9" s="827"/>
      <c r="U9" s="827"/>
      <c r="V9" s="827"/>
      <c r="W9" s="827"/>
      <c r="X9" s="827"/>
      <c r="Y9" s="827"/>
      <c r="Z9" s="829"/>
      <c r="AA9" s="829"/>
      <c r="AB9" s="829"/>
      <c r="AC9" s="829"/>
      <c r="AD9" s="829"/>
      <c r="AE9" s="829"/>
      <c r="AF9" s="829"/>
    </row>
    <row r="10" spans="2:35" ht="19.5" customHeight="1" x14ac:dyDescent="0.2">
      <c r="B10" s="827"/>
      <c r="C10" s="1174"/>
      <c r="D10" s="1174"/>
      <c r="E10" s="1174"/>
      <c r="F10" s="1174"/>
      <c r="G10" s="1174"/>
      <c r="H10" s="1174"/>
      <c r="I10" s="1174"/>
      <c r="J10" s="1174"/>
      <c r="K10" s="1174"/>
      <c r="L10" s="1174"/>
      <c r="M10" s="828"/>
      <c r="N10" s="828"/>
      <c r="O10" s="827"/>
      <c r="P10" s="827"/>
      <c r="Q10" s="827"/>
      <c r="R10" s="827"/>
      <c r="S10" s="827"/>
      <c r="T10" s="827"/>
      <c r="U10" s="827"/>
      <c r="V10" s="827"/>
      <c r="W10" s="827"/>
      <c r="X10" s="827"/>
      <c r="Y10" s="827"/>
      <c r="Z10" s="829"/>
      <c r="AA10" s="829"/>
      <c r="AB10" s="829"/>
      <c r="AC10" s="829"/>
      <c r="AD10" s="829"/>
      <c r="AE10" s="829"/>
      <c r="AF10" s="829"/>
    </row>
    <row r="11" spans="2:35" ht="19.5" customHeight="1" x14ac:dyDescent="0.2">
      <c r="B11" s="827"/>
      <c r="C11" s="1174"/>
      <c r="D11" s="1174"/>
      <c r="E11" s="1174"/>
      <c r="F11" s="1174"/>
      <c r="G11" s="1174"/>
      <c r="H11" s="1174"/>
      <c r="I11" s="1174"/>
      <c r="J11" s="1174"/>
      <c r="K11" s="1174"/>
      <c r="L11" s="1174"/>
      <c r="M11" s="828"/>
      <c r="N11" s="828"/>
      <c r="O11" s="827"/>
      <c r="P11" s="827"/>
      <c r="Q11" s="827"/>
      <c r="R11" s="827"/>
      <c r="S11" s="827"/>
      <c r="T11" s="827"/>
      <c r="U11" s="827"/>
      <c r="V11" s="827"/>
      <c r="W11" s="827"/>
      <c r="X11" s="827"/>
      <c r="Y11" s="827"/>
      <c r="Z11" s="829"/>
      <c r="AA11" s="829"/>
      <c r="AB11" s="829"/>
      <c r="AC11" s="829"/>
      <c r="AD11" s="829"/>
      <c r="AE11" s="829"/>
      <c r="AF11" s="829"/>
    </row>
    <row r="12" spans="2:35" ht="19.5" customHeight="1" x14ac:dyDescent="0.2">
      <c r="B12" s="827"/>
      <c r="C12" s="1174"/>
      <c r="D12" s="1174"/>
      <c r="E12" s="1174"/>
      <c r="F12" s="1174"/>
      <c r="G12" s="1174"/>
      <c r="H12" s="1174"/>
      <c r="I12" s="1174"/>
      <c r="J12" s="1174"/>
      <c r="K12" s="1174"/>
      <c r="L12" s="1174"/>
      <c r="M12" s="828"/>
      <c r="N12" s="828"/>
      <c r="O12" s="827"/>
      <c r="P12" s="827"/>
      <c r="Q12" s="827"/>
      <c r="R12" s="827"/>
      <c r="S12" s="827"/>
      <c r="T12" s="827"/>
      <c r="U12" s="827"/>
      <c r="V12" s="827"/>
      <c r="W12" s="827"/>
      <c r="X12" s="827"/>
      <c r="Y12" s="827"/>
      <c r="Z12" s="829"/>
      <c r="AA12" s="829"/>
      <c r="AB12" s="829"/>
      <c r="AC12" s="829"/>
      <c r="AD12" s="829"/>
      <c r="AE12" s="829"/>
      <c r="AF12" s="829"/>
    </row>
    <row r="13" spans="2:35" ht="19.5" customHeight="1" thickBot="1" x14ac:dyDescent="0.25">
      <c r="B13" s="827"/>
      <c r="C13" s="1174"/>
      <c r="D13" s="1174"/>
      <c r="E13" s="1174"/>
      <c r="F13" s="1174"/>
      <c r="G13" s="1174"/>
      <c r="H13" s="1174"/>
      <c r="I13" s="1174"/>
      <c r="J13" s="1174"/>
      <c r="K13" s="1174"/>
      <c r="L13" s="1174"/>
      <c r="M13" s="828"/>
      <c r="N13" s="828"/>
      <c r="O13" s="827"/>
      <c r="P13" s="827"/>
      <c r="Q13" s="827"/>
      <c r="R13" s="827"/>
      <c r="S13" s="827"/>
      <c r="T13" s="827"/>
      <c r="U13" s="827"/>
      <c r="V13" s="827"/>
      <c r="W13" s="827"/>
      <c r="X13" s="827"/>
      <c r="Y13" s="827"/>
      <c r="Z13" s="829"/>
      <c r="AA13" s="829"/>
      <c r="AB13" s="829"/>
      <c r="AC13" s="829"/>
      <c r="AD13" s="829"/>
      <c r="AE13" s="829"/>
      <c r="AF13" s="829"/>
    </row>
    <row r="14" spans="2:35" ht="26.25" thickBot="1" x14ac:dyDescent="0.25">
      <c r="B14" s="827"/>
      <c r="C14" s="2333" t="s">
        <v>6</v>
      </c>
      <c r="D14" s="2334"/>
      <c r="E14" s="2335"/>
      <c r="F14" s="832" t="s">
        <v>227</v>
      </c>
      <c r="G14" s="832" t="s">
        <v>230</v>
      </c>
      <c r="H14" s="832" t="s">
        <v>228</v>
      </c>
      <c r="I14" s="832" t="s">
        <v>229</v>
      </c>
      <c r="J14" s="833" t="s">
        <v>126</v>
      </c>
      <c r="K14" s="833" t="s">
        <v>133</v>
      </c>
      <c r="L14" s="832" t="s">
        <v>127</v>
      </c>
      <c r="M14" s="834" t="s">
        <v>128</v>
      </c>
      <c r="N14" s="828"/>
      <c r="O14" s="827"/>
      <c r="P14" s="827"/>
      <c r="Q14" s="827"/>
      <c r="R14" s="827"/>
      <c r="S14" s="827"/>
      <c r="T14" s="827"/>
      <c r="U14" s="827"/>
      <c r="V14" s="827"/>
      <c r="W14" s="827"/>
      <c r="X14" s="827"/>
      <c r="Y14" s="827"/>
      <c r="Z14" s="829"/>
      <c r="AA14" s="829"/>
      <c r="AB14" s="829"/>
      <c r="AC14" s="829"/>
      <c r="AD14" s="829"/>
      <c r="AE14" s="829"/>
      <c r="AF14" s="829"/>
    </row>
    <row r="15" spans="2:35" ht="13.5" thickBot="1" x14ac:dyDescent="0.25">
      <c r="B15" s="827"/>
      <c r="C15" s="2329" t="s">
        <v>131</v>
      </c>
      <c r="D15" s="2330"/>
      <c r="E15" s="2331"/>
      <c r="F15" s="835"/>
      <c r="G15" s="836" t="s">
        <v>165</v>
      </c>
      <c r="H15" s="835"/>
      <c r="I15" s="1309">
        <f>IF(D104=0,E104,D104)</f>
        <v>4659430.72</v>
      </c>
      <c r="J15" s="1310">
        <f>I15*0.16</f>
        <v>745508.91519999993</v>
      </c>
      <c r="K15" s="1310">
        <f>I15+J15</f>
        <v>5404939.6351999994</v>
      </c>
      <c r="L15" s="838" t="s">
        <v>265</v>
      </c>
      <c r="M15" s="839">
        <v>18.8506</v>
      </c>
      <c r="O15" s="827"/>
      <c r="P15" s="827"/>
      <c r="Q15" s="827"/>
      <c r="R15" s="827"/>
      <c r="S15" s="827"/>
      <c r="T15" s="827"/>
      <c r="U15" s="827"/>
      <c r="V15" s="827"/>
      <c r="W15" s="827"/>
      <c r="X15" s="827"/>
      <c r="Y15" s="827"/>
      <c r="Z15" s="829"/>
      <c r="AA15" s="829"/>
      <c r="AB15" s="829"/>
      <c r="AC15" s="829"/>
      <c r="AD15" s="829"/>
      <c r="AE15" s="829"/>
      <c r="AF15" s="829"/>
    </row>
    <row r="16" spans="2:35" ht="13.5" thickBot="1" x14ac:dyDescent="0.25">
      <c r="B16" s="827"/>
      <c r="C16" s="2329" t="s">
        <v>275</v>
      </c>
      <c r="D16" s="2330"/>
      <c r="E16" s="2331"/>
      <c r="F16" s="840"/>
      <c r="G16" s="840"/>
      <c r="H16" s="840"/>
      <c r="I16" s="1309">
        <f>IF(D105=0,E105,D105)</f>
        <v>447053.49</v>
      </c>
      <c r="J16" s="1310">
        <f>I16*0.16</f>
        <v>71528.558399999994</v>
      </c>
      <c r="K16" s="1310">
        <f>I16+J16</f>
        <v>518582.04839999997</v>
      </c>
      <c r="L16" s="1300" t="s">
        <v>284</v>
      </c>
      <c r="M16" s="842">
        <v>18.8506</v>
      </c>
      <c r="O16" s="827"/>
      <c r="P16" s="827"/>
      <c r="Q16" s="827"/>
      <c r="R16" s="827"/>
      <c r="S16" s="827"/>
      <c r="T16" s="827"/>
      <c r="U16" s="827"/>
      <c r="V16" s="827"/>
      <c r="W16" s="827"/>
      <c r="X16" s="827"/>
      <c r="Y16" s="827"/>
      <c r="Z16" s="827"/>
      <c r="AA16" s="827"/>
      <c r="AB16" s="827"/>
      <c r="AG16" s="843"/>
      <c r="AH16" s="843"/>
      <c r="AI16" s="843"/>
    </row>
    <row r="17" spans="2:33" ht="39" thickBot="1" x14ac:dyDescent="0.25">
      <c r="B17" s="827"/>
      <c r="C17" s="2326" t="s">
        <v>132</v>
      </c>
      <c r="D17" s="2327"/>
      <c r="E17" s="2328"/>
      <c r="F17" s="844"/>
      <c r="G17" s="845" t="s">
        <v>165</v>
      </c>
      <c r="H17" s="844"/>
      <c r="I17" s="1311">
        <f>IF(D106=0,E106,D106)</f>
        <v>5988.4400000000005</v>
      </c>
      <c r="J17" s="1312">
        <f>I17*0.16</f>
        <v>958.1504000000001</v>
      </c>
      <c r="K17" s="1312">
        <f>I17+J17</f>
        <v>6946.590400000001</v>
      </c>
      <c r="L17" s="847" t="s">
        <v>345</v>
      </c>
      <c r="M17" s="848">
        <v>18.8506</v>
      </c>
      <c r="O17" s="827"/>
      <c r="P17" s="827"/>
      <c r="Q17" s="827"/>
      <c r="R17" s="827"/>
      <c r="S17" s="827"/>
      <c r="T17" s="827"/>
      <c r="U17" s="827"/>
      <c r="V17" s="827"/>
      <c r="W17" s="827"/>
      <c r="X17" s="827"/>
      <c r="Y17" s="827"/>
      <c r="Z17" s="829"/>
      <c r="AA17" s="829"/>
      <c r="AB17" s="829"/>
      <c r="AC17" s="829"/>
      <c r="AD17" s="829"/>
      <c r="AE17" s="829"/>
      <c r="AF17" s="829"/>
    </row>
    <row r="18" spans="2:33" x14ac:dyDescent="0.2">
      <c r="B18" s="827"/>
      <c r="C18" s="1174"/>
      <c r="D18" s="1174"/>
      <c r="E18" s="1174"/>
      <c r="F18" s="1174"/>
      <c r="G18" s="1174"/>
      <c r="H18" s="827"/>
      <c r="I18" s="827"/>
      <c r="J18" s="827"/>
      <c r="K18" s="827"/>
      <c r="L18" s="827"/>
      <c r="M18" s="827"/>
      <c r="O18" s="827"/>
      <c r="P18" s="827"/>
      <c r="Q18" s="827"/>
      <c r="R18" s="827"/>
      <c r="S18" s="827"/>
      <c r="T18" s="827"/>
      <c r="U18" s="827"/>
      <c r="V18" s="827"/>
      <c r="W18" s="827"/>
      <c r="X18" s="827"/>
      <c r="Y18" s="827"/>
    </row>
    <row r="19" spans="2:33" x14ac:dyDescent="0.2">
      <c r="B19" s="827"/>
      <c r="C19" s="1174"/>
      <c r="D19" s="1174"/>
      <c r="E19" s="1174"/>
      <c r="F19" s="1174"/>
      <c r="G19" s="1174"/>
      <c r="H19" s="827"/>
      <c r="I19" s="827"/>
      <c r="J19" s="827"/>
      <c r="K19" s="827"/>
      <c r="L19" s="827"/>
      <c r="O19" s="827"/>
      <c r="P19" s="827"/>
      <c r="Q19" s="827"/>
      <c r="R19" s="827"/>
      <c r="S19" s="827"/>
      <c r="T19" s="827"/>
      <c r="U19" s="827"/>
      <c r="V19" s="827"/>
      <c r="W19" s="827"/>
      <c r="X19" s="827"/>
      <c r="Y19" s="827"/>
    </row>
    <row r="20" spans="2:33" ht="13.5" thickBot="1" x14ac:dyDescent="0.25">
      <c r="B20" s="827"/>
      <c r="C20" s="849"/>
      <c r="D20" s="1174"/>
      <c r="E20" s="1174"/>
      <c r="F20" s="1174"/>
      <c r="G20" s="1174"/>
      <c r="H20" s="1174"/>
      <c r="I20" s="1174"/>
      <c r="J20" s="1174"/>
      <c r="K20" s="1174"/>
      <c r="L20" s="1174"/>
      <c r="M20" s="1174"/>
      <c r="N20" s="1174"/>
      <c r="O20" s="1174"/>
      <c r="P20" s="1174"/>
      <c r="Q20" s="1174"/>
      <c r="R20" s="827"/>
      <c r="S20" s="827"/>
      <c r="T20" s="827"/>
      <c r="U20" s="827"/>
      <c r="V20" s="827"/>
      <c r="W20" s="827"/>
      <c r="X20" s="827"/>
      <c r="Y20" s="827"/>
      <c r="Z20" s="827"/>
      <c r="AG20" s="843"/>
    </row>
    <row r="21" spans="2:33" ht="51.75" thickBot="1" x14ac:dyDescent="0.25">
      <c r="B21" s="827"/>
      <c r="C21" s="850" t="s">
        <v>134</v>
      </c>
      <c r="D21" s="832" t="s">
        <v>135</v>
      </c>
      <c r="E21" s="832" t="s">
        <v>285</v>
      </c>
      <c r="F21" s="832" t="s">
        <v>278</v>
      </c>
      <c r="G21" s="832" t="s">
        <v>153</v>
      </c>
      <c r="H21" s="832" t="s">
        <v>279</v>
      </c>
      <c r="I21" s="832" t="s">
        <v>281</v>
      </c>
      <c r="J21" s="832" t="s">
        <v>280</v>
      </c>
      <c r="K21" s="832" t="s">
        <v>245</v>
      </c>
      <c r="L21" s="832" t="s">
        <v>246</v>
      </c>
      <c r="M21" s="832"/>
      <c r="N21" s="834" t="s">
        <v>158</v>
      </c>
      <c r="O21" s="1174"/>
      <c r="P21" s="1174"/>
      <c r="Q21" s="1174"/>
      <c r="R21" s="1174"/>
      <c r="S21" s="1174"/>
      <c r="T21" s="1174"/>
      <c r="U21" s="1174"/>
      <c r="V21" s="827"/>
      <c r="W21" s="827"/>
      <c r="X21" s="827"/>
      <c r="Y21" s="827"/>
      <c r="Z21" s="827"/>
      <c r="AG21" s="843"/>
    </row>
    <row r="22" spans="2:33" ht="13.5" thickBot="1" x14ac:dyDescent="0.25">
      <c r="B22" s="827"/>
      <c r="C22" s="851">
        <v>850</v>
      </c>
      <c r="D22" s="1010">
        <v>850</v>
      </c>
      <c r="E22" s="852">
        <v>31482640</v>
      </c>
      <c r="F22" s="852">
        <v>31482640</v>
      </c>
      <c r="G22" s="852">
        <v>30</v>
      </c>
      <c r="H22" s="853">
        <f>VLOOKUP(C69,Tarifas!D4:H303,3)</f>
        <v>0.14799999999999999</v>
      </c>
      <c r="I22" s="853">
        <v>1.4200000000000001E-2</v>
      </c>
      <c r="J22" s="853">
        <f>VLOOKUP(C69,Tarifas!D4:H303,5)</f>
        <v>1E-3</v>
      </c>
      <c r="K22" s="853">
        <v>203.2</v>
      </c>
      <c r="L22" s="853">
        <v>201.4</v>
      </c>
      <c r="M22" s="853"/>
      <c r="N22" s="854">
        <f>F101</f>
        <v>5935375.2926735934</v>
      </c>
      <c r="O22" s="855"/>
      <c r="P22" s="855"/>
      <c r="Q22" s="1174"/>
      <c r="R22" s="1174"/>
      <c r="S22" s="1174"/>
      <c r="T22" s="1174"/>
      <c r="U22" s="1174"/>
      <c r="V22" s="827"/>
      <c r="W22" s="827"/>
      <c r="X22" s="827"/>
      <c r="Y22" s="827"/>
      <c r="Z22" s="827"/>
      <c r="AG22" s="843"/>
    </row>
    <row r="23" spans="2:33" x14ac:dyDescent="0.2">
      <c r="B23" s="827"/>
      <c r="C23" s="1174"/>
      <c r="D23" s="1174"/>
      <c r="E23" s="1174"/>
      <c r="F23" s="1174"/>
      <c r="G23" s="1174"/>
      <c r="H23" s="1174"/>
      <c r="I23" s="1174"/>
      <c r="J23" s="1174"/>
      <c r="K23" s="856"/>
      <c r="L23" s="1174"/>
      <c r="M23" s="1174"/>
      <c r="N23" s="1174"/>
      <c r="O23" s="1174"/>
      <c r="P23" s="1174"/>
      <c r="Q23" s="1174"/>
      <c r="R23" s="1174"/>
      <c r="S23" s="1174"/>
      <c r="T23" s="827"/>
      <c r="U23" s="827"/>
      <c r="V23" s="827"/>
      <c r="W23" s="827"/>
      <c r="X23" s="827"/>
      <c r="Y23" s="827"/>
      <c r="Z23" s="827"/>
      <c r="AG23" s="843"/>
    </row>
    <row r="24" spans="2:33" x14ac:dyDescent="0.2">
      <c r="B24" s="827"/>
      <c r="C24" s="1174"/>
      <c r="D24" s="1174"/>
      <c r="E24" s="1174"/>
      <c r="F24" s="1174"/>
      <c r="G24" s="1174"/>
      <c r="H24" s="1174"/>
      <c r="I24" s="1174"/>
      <c r="J24" s="1174"/>
      <c r="K24" s="1174"/>
      <c r="L24" s="1174"/>
      <c r="M24" s="1174"/>
      <c r="N24" s="1174"/>
      <c r="O24" s="1174"/>
      <c r="P24" s="1174"/>
      <c r="Q24" s="827"/>
      <c r="R24" s="827"/>
      <c r="S24" s="827"/>
      <c r="T24" s="827"/>
      <c r="U24" s="827"/>
      <c r="V24" s="827"/>
      <c r="W24" s="827"/>
      <c r="X24" s="827"/>
      <c r="Y24" s="827"/>
      <c r="Z24" s="827"/>
      <c r="AG24" s="843"/>
    </row>
    <row r="25" spans="2:33" x14ac:dyDescent="0.2">
      <c r="B25" s="827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827"/>
      <c r="P25" s="827"/>
      <c r="Q25" s="857" t="s">
        <v>235</v>
      </c>
      <c r="R25" s="827"/>
      <c r="S25" s="827"/>
      <c r="T25" s="827"/>
      <c r="U25" s="827"/>
      <c r="V25" s="827"/>
      <c r="W25" s="827"/>
      <c r="X25" s="843"/>
      <c r="Y25" s="843"/>
      <c r="AE25" s="829"/>
      <c r="AF25" s="829"/>
    </row>
    <row r="26" spans="2:33" ht="13.5" thickBot="1" x14ac:dyDescent="0.25">
      <c r="B26" s="827"/>
      <c r="C26" s="858" t="s">
        <v>86</v>
      </c>
      <c r="D26" s="858"/>
      <c r="E26" s="858"/>
      <c r="F26" s="858"/>
      <c r="G26" s="858"/>
      <c r="H26" s="859"/>
      <c r="I26" s="858"/>
      <c r="J26" s="858"/>
      <c r="K26" s="858"/>
      <c r="L26" s="859"/>
      <c r="M26" s="860"/>
      <c r="N26" s="861"/>
      <c r="Q26" s="827"/>
      <c r="R26" s="827"/>
      <c r="S26" s="827"/>
      <c r="T26" s="827"/>
      <c r="U26" s="827"/>
      <c r="V26" s="827"/>
      <c r="W26" s="827"/>
      <c r="X26" s="843"/>
      <c r="Y26" s="843"/>
      <c r="Z26" s="862"/>
      <c r="AE26" s="829"/>
      <c r="AF26" s="829"/>
    </row>
    <row r="27" spans="2:33" ht="26.25" thickBot="1" x14ac:dyDescent="0.25">
      <c r="B27" s="827"/>
      <c r="C27" s="850" t="s">
        <v>87</v>
      </c>
      <c r="D27" s="832" t="s">
        <v>88</v>
      </c>
      <c r="E27" s="832" t="s">
        <v>237</v>
      </c>
      <c r="F27" s="833" t="s">
        <v>160</v>
      </c>
      <c r="G27" s="832" t="s">
        <v>236</v>
      </c>
      <c r="H27" s="833" t="s">
        <v>232</v>
      </c>
      <c r="I27" s="833" t="s">
        <v>233</v>
      </c>
      <c r="J27" s="833" t="s">
        <v>20</v>
      </c>
      <c r="K27" s="832" t="s">
        <v>91</v>
      </c>
      <c r="L27" s="832" t="s">
        <v>93</v>
      </c>
      <c r="M27" s="832" t="s">
        <v>94</v>
      </c>
      <c r="N27" s="863" t="s">
        <v>95</v>
      </c>
      <c r="P27" s="850" t="s">
        <v>237</v>
      </c>
      <c r="Q27" s="833" t="s">
        <v>160</v>
      </c>
      <c r="R27" s="832" t="s">
        <v>236</v>
      </c>
      <c r="S27" s="833" t="s">
        <v>232</v>
      </c>
      <c r="T27" s="833" t="s">
        <v>233</v>
      </c>
      <c r="U27" s="833" t="s">
        <v>20</v>
      </c>
      <c r="V27" s="832" t="s">
        <v>91</v>
      </c>
      <c r="W27" s="832" t="s">
        <v>93</v>
      </c>
      <c r="X27" s="832" t="s">
        <v>94</v>
      </c>
      <c r="Y27" s="834" t="s">
        <v>95</v>
      </c>
      <c r="Z27" s="861"/>
      <c r="AE27" s="829"/>
      <c r="AF27" s="829"/>
    </row>
    <row r="28" spans="2:33" ht="20.100000000000001" customHeight="1" thickBot="1" x14ac:dyDescent="0.25">
      <c r="B28" s="827"/>
      <c r="C28" s="864"/>
      <c r="D28" s="836"/>
      <c r="E28" s="836"/>
      <c r="F28" s="836"/>
      <c r="G28" s="836"/>
      <c r="H28" s="836"/>
      <c r="I28" s="836"/>
      <c r="J28" s="972" t="s">
        <v>97</v>
      </c>
      <c r="K28" s="841">
        <v>0</v>
      </c>
      <c r="L28" s="866">
        <f>K28/$K$33</f>
        <v>0</v>
      </c>
      <c r="M28" s="835">
        <f>ROUND(L28*H$15,2)</f>
        <v>0</v>
      </c>
      <c r="N28" s="867">
        <f>M28*$M$15</f>
        <v>0</v>
      </c>
      <c r="P28" s="864"/>
      <c r="Q28" s="836"/>
      <c r="R28" s="836"/>
      <c r="S28" s="836">
        <v>2233</v>
      </c>
      <c r="T28" s="836">
        <v>453882</v>
      </c>
      <c r="U28" s="865" t="s">
        <v>97</v>
      </c>
      <c r="V28" s="841">
        <v>80000</v>
      </c>
      <c r="W28" s="866">
        <f>IFERROR(V28/$V$33,0)</f>
        <v>9.4117647058823528E-2</v>
      </c>
      <c r="X28" s="1677">
        <f>ROUND(W28*I$15,2)</f>
        <v>438534.66</v>
      </c>
      <c r="Y28" s="1678">
        <f>X28*M$15</f>
        <v>8266641.4617959997</v>
      </c>
      <c r="Z28" s="860"/>
      <c r="AA28" s="1059">
        <f>Y28+Y29+Y44+Y30</f>
        <v>21836518.639977999</v>
      </c>
      <c r="AE28" s="829"/>
      <c r="AF28" s="829"/>
    </row>
    <row r="29" spans="2:33" ht="20.100000000000001" customHeight="1" thickBot="1" x14ac:dyDescent="0.25">
      <c r="B29" s="827"/>
      <c r="C29" s="864"/>
      <c r="D29" s="836"/>
      <c r="E29" s="836"/>
      <c r="F29" s="836"/>
      <c r="G29" s="836"/>
      <c r="H29" s="836"/>
      <c r="I29" s="836"/>
      <c r="J29" s="972" t="s">
        <v>100</v>
      </c>
      <c r="K29" s="841">
        <v>0</v>
      </c>
      <c r="L29" s="866">
        <f t="shared" ref="L29:L32" si="0">K29/$K$33</f>
        <v>0</v>
      </c>
      <c r="M29" s="835">
        <f>ROUND(L29*H$15,2)</f>
        <v>0</v>
      </c>
      <c r="N29" s="867">
        <f>M29*$M$15</f>
        <v>0</v>
      </c>
      <c r="P29" s="864"/>
      <c r="Q29" s="836"/>
      <c r="R29" s="836"/>
      <c r="S29" s="836">
        <v>2233</v>
      </c>
      <c r="T29" s="836">
        <v>453882</v>
      </c>
      <c r="U29" s="865" t="s">
        <v>100</v>
      </c>
      <c r="V29" s="841">
        <v>40000</v>
      </c>
      <c r="W29" s="866">
        <f>IFERROR(V29/$V$33,0)</f>
        <v>4.7058823529411764E-2</v>
      </c>
      <c r="X29" s="1677">
        <f>ROUND(W29*I$15,2)</f>
        <v>219267.33</v>
      </c>
      <c r="Y29" s="1678">
        <f>X29*M$15</f>
        <v>4133320.7308979998</v>
      </c>
      <c r="Z29" s="860"/>
      <c r="AE29" s="829"/>
      <c r="AF29" s="829"/>
    </row>
    <row r="30" spans="2:33" ht="20.100000000000001" customHeight="1" thickBot="1" x14ac:dyDescent="0.25">
      <c r="B30" s="827"/>
      <c r="C30" s="864"/>
      <c r="D30" s="836"/>
      <c r="E30" s="836"/>
      <c r="F30" s="836"/>
      <c r="G30" s="836"/>
      <c r="H30" s="836"/>
      <c r="I30" s="836"/>
      <c r="J30" s="972" t="s">
        <v>268</v>
      </c>
      <c r="K30" s="841">
        <v>0</v>
      </c>
      <c r="L30" s="866">
        <f t="shared" si="0"/>
        <v>0</v>
      </c>
      <c r="M30" s="835">
        <f>ROUND(L30*H$15,2)</f>
        <v>0</v>
      </c>
      <c r="N30" s="867">
        <f>M30*$M$15</f>
        <v>0</v>
      </c>
      <c r="P30" s="864"/>
      <c r="Q30" s="836"/>
      <c r="R30" s="836"/>
      <c r="S30" s="836"/>
      <c r="T30" s="836"/>
      <c r="U30" s="865" t="s">
        <v>268</v>
      </c>
      <c r="V30" s="841">
        <f>P101/G22</f>
        <v>9767.7382525864032</v>
      </c>
      <c r="W30" s="866">
        <f>IFERROR(V30/$V$33,0)</f>
        <v>1.1491456767748709E-2</v>
      </c>
      <c r="X30" s="1677">
        <f>ROUND(W30*I$15,2)</f>
        <v>53543.65</v>
      </c>
      <c r="Y30" s="1678">
        <f>X30*M$15</f>
        <v>1009329.92869</v>
      </c>
      <c r="Z30" s="860"/>
      <c r="AE30" s="829"/>
      <c r="AF30" s="829"/>
    </row>
    <row r="31" spans="2:33" ht="20.100000000000001" customHeight="1" thickBot="1" x14ac:dyDescent="0.25">
      <c r="B31" s="827"/>
      <c r="C31" s="864">
        <v>800832451</v>
      </c>
      <c r="D31" s="869">
        <v>257</v>
      </c>
      <c r="E31" s="869" t="s">
        <v>239</v>
      </c>
      <c r="F31" s="836" t="s">
        <v>238</v>
      </c>
      <c r="G31" s="836">
        <v>100887241</v>
      </c>
      <c r="H31" s="836">
        <v>7249</v>
      </c>
      <c r="I31" s="836">
        <v>468079</v>
      </c>
      <c r="J31" s="972" t="s">
        <v>23</v>
      </c>
      <c r="K31" s="841">
        <v>80000</v>
      </c>
      <c r="L31" s="866">
        <f t="shared" si="0"/>
        <v>9.4117647058823528E-2</v>
      </c>
      <c r="M31" s="835">
        <f>ROUND(L31*I$15,2)</f>
        <v>438534.66</v>
      </c>
      <c r="N31" s="867">
        <f>M31*M15</f>
        <v>8266641.4617959997</v>
      </c>
      <c r="P31" s="870" t="s">
        <v>239</v>
      </c>
      <c r="Q31" s="836" t="s">
        <v>238</v>
      </c>
      <c r="R31" s="836" t="s">
        <v>222</v>
      </c>
      <c r="S31" s="836">
        <v>7249</v>
      </c>
      <c r="T31" s="836">
        <v>468079</v>
      </c>
      <c r="U31" s="865" t="s">
        <v>23</v>
      </c>
      <c r="V31" s="841">
        <f>W31*K33</f>
        <v>80000</v>
      </c>
      <c r="W31" s="866">
        <f>L31</f>
        <v>9.4117647058823528E-2</v>
      </c>
      <c r="X31" s="1677">
        <f>ROUND(W31*I$15,2)</f>
        <v>438534.66</v>
      </c>
      <c r="Y31" s="1678">
        <f>X31*M$15</f>
        <v>8266641.4617959997</v>
      </c>
      <c r="Z31" s="860"/>
      <c r="AE31" s="829"/>
      <c r="AF31" s="829"/>
    </row>
    <row r="32" spans="2:33" ht="20.100000000000001" customHeight="1" thickBot="1" x14ac:dyDescent="0.25">
      <c r="B32" s="827"/>
      <c r="C32" s="851">
        <v>800832451</v>
      </c>
      <c r="D32" s="853">
        <v>10</v>
      </c>
      <c r="E32" s="853" t="s">
        <v>242</v>
      </c>
      <c r="F32" s="845" t="s">
        <v>221</v>
      </c>
      <c r="G32" s="845" t="s">
        <v>222</v>
      </c>
      <c r="H32" s="845">
        <v>2233</v>
      </c>
      <c r="I32" s="845">
        <v>453882</v>
      </c>
      <c r="J32" s="973" t="s">
        <v>159</v>
      </c>
      <c r="K32" s="852">
        <v>770000</v>
      </c>
      <c r="L32" s="872">
        <f t="shared" si="0"/>
        <v>0.90588235294117647</v>
      </c>
      <c r="M32" s="844">
        <f>ROUND(L32*I$15,2)</f>
        <v>4220896.0599999996</v>
      </c>
      <c r="N32" s="873">
        <f>M32*M15</f>
        <v>79566423.268635988</v>
      </c>
      <c r="P32" s="874"/>
      <c r="Q32" s="875" t="s">
        <v>221</v>
      </c>
      <c r="R32" s="875" t="s">
        <v>222</v>
      </c>
      <c r="S32" s="875">
        <v>2233</v>
      </c>
      <c r="T32" s="875">
        <v>453851</v>
      </c>
      <c r="U32" s="876" t="s">
        <v>159</v>
      </c>
      <c r="V32" s="877">
        <f>850000-V28-V29-V30-V31</f>
        <v>640232.26174741355</v>
      </c>
      <c r="W32" s="878">
        <f>IFERROR(V32/$V$33,0)</f>
        <v>0.75321442558519236</v>
      </c>
      <c r="X32" s="1695">
        <f>ROUND(W32*I$15,2)</f>
        <v>3509550.43</v>
      </c>
      <c r="Y32" s="1696">
        <f>X32*M$15</f>
        <v>66157131.335758001</v>
      </c>
      <c r="Z32" s="860"/>
      <c r="AE32" s="829"/>
      <c r="AF32" s="829"/>
    </row>
    <row r="33" spans="2:32" ht="20.100000000000001" customHeight="1" x14ac:dyDescent="0.2">
      <c r="B33" s="827"/>
      <c r="C33" s="881">
        <v>3000623</v>
      </c>
      <c r="D33" s="882" t="s">
        <v>102</v>
      </c>
      <c r="E33" s="882"/>
      <c r="F33" s="882"/>
      <c r="G33" s="882"/>
      <c r="H33" s="882"/>
      <c r="I33" s="883"/>
      <c r="J33" s="883"/>
      <c r="K33" s="884">
        <f>SUM(K28:K32)</f>
        <v>850000</v>
      </c>
      <c r="L33" s="885">
        <f>SUM(L28:L32)</f>
        <v>1</v>
      </c>
      <c r="M33" s="886">
        <f>SUM(M28:M32)</f>
        <v>4659430.72</v>
      </c>
      <c r="N33" s="886">
        <f>SUM(N28:N32)</f>
        <v>87833064.730431989</v>
      </c>
      <c r="P33" s="882"/>
      <c r="Q33" s="882"/>
      <c r="R33" s="882"/>
      <c r="S33" s="882"/>
      <c r="T33" s="883"/>
      <c r="U33" s="883"/>
      <c r="V33" s="884">
        <f>SUM(V28:V32)</f>
        <v>850000</v>
      </c>
      <c r="W33" s="885">
        <f>SUM(W28:W32)</f>
        <v>0.99999999999999989</v>
      </c>
      <c r="X33" s="1662">
        <f>SUM(X28:X32)</f>
        <v>4659430.7300000004</v>
      </c>
      <c r="Y33" s="1662">
        <f>SUM(Y28:Y32)</f>
        <v>87833064.918937996</v>
      </c>
      <c r="Z33" s="827"/>
      <c r="AE33" s="829"/>
      <c r="AF33" s="829"/>
    </row>
    <row r="34" spans="2:32" ht="20.100000000000001" customHeight="1" x14ac:dyDescent="0.2">
      <c r="B34" s="827"/>
      <c r="C34" s="860"/>
      <c r="D34" s="860"/>
      <c r="E34" s="860"/>
      <c r="F34" s="860"/>
      <c r="G34" s="888"/>
      <c r="H34" s="888"/>
      <c r="I34" s="860"/>
      <c r="J34" s="860"/>
      <c r="K34" s="860"/>
      <c r="L34" s="860"/>
      <c r="M34" s="889"/>
      <c r="P34" s="860"/>
      <c r="Q34" s="860"/>
      <c r="R34" s="888"/>
      <c r="S34" s="888"/>
      <c r="T34" s="860"/>
      <c r="U34" s="860"/>
      <c r="V34" s="860"/>
      <c r="W34" s="860"/>
      <c r="X34" s="1681"/>
      <c r="Y34" s="1682">
        <v>0</v>
      </c>
      <c r="Z34" s="827"/>
      <c r="AE34" s="829"/>
      <c r="AF34" s="829"/>
    </row>
    <row r="35" spans="2:32" ht="20.100000000000001" customHeight="1" x14ac:dyDescent="0.2">
      <c r="B35" s="827"/>
      <c r="C35" s="860"/>
      <c r="D35" s="860"/>
      <c r="E35" s="860"/>
      <c r="F35" s="860"/>
      <c r="G35" s="888"/>
      <c r="H35" s="888"/>
      <c r="I35" s="860"/>
      <c r="J35" s="860"/>
      <c r="K35" s="860"/>
      <c r="L35" s="860"/>
      <c r="M35" s="889"/>
      <c r="P35" s="860"/>
      <c r="Q35" s="860"/>
      <c r="R35" s="888"/>
      <c r="S35" s="888"/>
      <c r="T35" s="860"/>
      <c r="U35" s="860"/>
      <c r="V35" s="860"/>
      <c r="W35" s="892">
        <f>1-W33</f>
        <v>0</v>
      </c>
      <c r="X35" s="1681"/>
      <c r="Y35" s="1682"/>
      <c r="Z35" s="827"/>
      <c r="AE35" s="829"/>
      <c r="AF35" s="829"/>
    </row>
    <row r="36" spans="2:32" x14ac:dyDescent="0.2">
      <c r="X36" s="968"/>
      <c r="Y36" s="968"/>
    </row>
    <row r="37" spans="2:32" ht="20.100000000000001" customHeight="1" thickBot="1" x14ac:dyDescent="0.25">
      <c r="B37" s="827"/>
      <c r="C37" s="858" t="s">
        <v>274</v>
      </c>
      <c r="D37" s="858"/>
      <c r="E37" s="858"/>
      <c r="F37" s="858"/>
      <c r="G37" s="858"/>
      <c r="H37" s="859"/>
      <c r="I37" s="858"/>
      <c r="J37" s="858"/>
      <c r="K37" s="858"/>
      <c r="L37" s="859"/>
      <c r="M37" s="860"/>
      <c r="N37" s="861"/>
      <c r="P37" s="858"/>
      <c r="Q37" s="858"/>
      <c r="R37" s="858"/>
      <c r="S37" s="859"/>
      <c r="T37" s="858"/>
      <c r="U37" s="858"/>
      <c r="V37" s="858"/>
      <c r="W37" s="860"/>
      <c r="X37" s="1683"/>
      <c r="Y37" s="1684"/>
      <c r="Z37" s="862"/>
      <c r="AE37" s="829"/>
      <c r="AF37" s="829"/>
    </row>
    <row r="38" spans="2:32" ht="26.25" thickBot="1" x14ac:dyDescent="0.25">
      <c r="B38" s="827"/>
      <c r="C38" s="850" t="s">
        <v>87</v>
      </c>
      <c r="D38" s="895" t="s">
        <v>88</v>
      </c>
      <c r="E38" s="895" t="s">
        <v>237</v>
      </c>
      <c r="F38" s="896" t="s">
        <v>160</v>
      </c>
      <c r="G38" s="895" t="s">
        <v>236</v>
      </c>
      <c r="H38" s="896" t="s">
        <v>232</v>
      </c>
      <c r="I38" s="896" t="s">
        <v>233</v>
      </c>
      <c r="J38" s="896" t="s">
        <v>20</v>
      </c>
      <c r="K38" s="832" t="s">
        <v>91</v>
      </c>
      <c r="L38" s="895" t="s">
        <v>93</v>
      </c>
      <c r="M38" s="895" t="s">
        <v>94</v>
      </c>
      <c r="N38" s="897" t="s">
        <v>95</v>
      </c>
      <c r="P38" s="895" t="s">
        <v>237</v>
      </c>
      <c r="Q38" s="896" t="s">
        <v>160</v>
      </c>
      <c r="R38" s="895" t="s">
        <v>236</v>
      </c>
      <c r="S38" s="896" t="s">
        <v>232</v>
      </c>
      <c r="T38" s="896" t="s">
        <v>233</v>
      </c>
      <c r="U38" s="896" t="s">
        <v>20</v>
      </c>
      <c r="V38" s="832" t="s">
        <v>91</v>
      </c>
      <c r="W38" s="895" t="s">
        <v>93</v>
      </c>
      <c r="X38" s="1685" t="s">
        <v>94</v>
      </c>
      <c r="Y38" s="1686" t="s">
        <v>95</v>
      </c>
      <c r="Z38" s="862"/>
      <c r="AE38" s="829"/>
      <c r="AF38" s="829"/>
    </row>
    <row r="39" spans="2:32" ht="20.100000000000001" customHeight="1" thickBot="1" x14ac:dyDescent="0.25">
      <c r="B39" s="827"/>
      <c r="C39" s="864">
        <v>800832451</v>
      </c>
      <c r="D39" s="869">
        <v>10</v>
      </c>
      <c r="E39" s="869" t="s">
        <v>242</v>
      </c>
      <c r="F39" s="836" t="s">
        <v>221</v>
      </c>
      <c r="G39" s="836" t="s">
        <v>222</v>
      </c>
      <c r="H39" s="836">
        <v>2233</v>
      </c>
      <c r="I39" s="836">
        <v>453882</v>
      </c>
      <c r="J39" s="972" t="s">
        <v>97</v>
      </c>
      <c r="K39" s="841">
        <f>T101</f>
        <v>1068199.2040000001</v>
      </c>
      <c r="L39" s="866">
        <f>IFERROR(K39/K$44,0)</f>
        <v>0.31781717952404265</v>
      </c>
      <c r="M39" s="1698">
        <f>ROUND(L39*I$16,2)</f>
        <v>142081.28</v>
      </c>
      <c r="N39" s="1699">
        <f>M39*$M$16</f>
        <v>2678317.376768</v>
      </c>
      <c r="P39" s="836" t="s">
        <v>242</v>
      </c>
      <c r="Q39" s="836" t="s">
        <v>221</v>
      </c>
      <c r="R39" s="836" t="s">
        <v>222</v>
      </c>
      <c r="S39" s="836">
        <v>2233</v>
      </c>
      <c r="T39" s="836">
        <v>453882</v>
      </c>
      <c r="U39" s="865" t="s">
        <v>97</v>
      </c>
      <c r="V39" s="841">
        <v>1</v>
      </c>
      <c r="W39" s="866">
        <f>IFERROR(V39/V$44,0)</f>
        <v>1</v>
      </c>
      <c r="X39" s="1677">
        <f>ROUND(W39*I$16,2)</f>
        <v>447053.49</v>
      </c>
      <c r="Y39" s="1678">
        <f>X39*$M$16</f>
        <v>8427226.5185940005</v>
      </c>
      <c r="Z39" s="862"/>
      <c r="AE39" s="829"/>
      <c r="AF39" s="829"/>
    </row>
    <row r="40" spans="2:32" ht="20.100000000000001" customHeight="1" thickBot="1" x14ac:dyDescent="0.25">
      <c r="B40" s="827"/>
      <c r="C40" s="864">
        <v>800832451</v>
      </c>
      <c r="D40" s="869">
        <v>10</v>
      </c>
      <c r="E40" s="869" t="s">
        <v>242</v>
      </c>
      <c r="F40" s="836" t="s">
        <v>221</v>
      </c>
      <c r="G40" s="836" t="s">
        <v>222</v>
      </c>
      <c r="H40" s="836">
        <v>2233</v>
      </c>
      <c r="I40" s="836">
        <v>453882</v>
      </c>
      <c r="J40" s="972" t="s">
        <v>100</v>
      </c>
      <c r="K40" s="841">
        <f>S101</f>
        <v>2292850.0809999998</v>
      </c>
      <c r="L40" s="866">
        <f>IFERROR(K40/K$44,0)</f>
        <v>0.68218282047595735</v>
      </c>
      <c r="M40" s="1698">
        <f>ROUND(L40*I$16,2)</f>
        <v>304972.21000000002</v>
      </c>
      <c r="N40" s="1699">
        <f>M40*$M$17</f>
        <v>5748909.1418260001</v>
      </c>
      <c r="P40" s="836"/>
      <c r="Q40" s="836"/>
      <c r="R40" s="836"/>
      <c r="S40" s="836"/>
      <c r="T40" s="836"/>
      <c r="U40" s="865" t="s">
        <v>100</v>
      </c>
      <c r="V40" s="841">
        <v>0</v>
      </c>
      <c r="W40" s="866">
        <f>IFERROR(V40/V$44,0)</f>
        <v>0</v>
      </c>
      <c r="X40" s="1677">
        <f>ROUND(W40*I$16,2)</f>
        <v>0</v>
      </c>
      <c r="Y40" s="1678">
        <f>X40*$M$17</f>
        <v>0</v>
      </c>
      <c r="Z40" s="862"/>
      <c r="AE40" s="829"/>
      <c r="AF40" s="829"/>
    </row>
    <row r="41" spans="2:32" ht="20.100000000000001" customHeight="1" thickBot="1" x14ac:dyDescent="0.25">
      <c r="B41" s="827"/>
      <c r="C41" s="864"/>
      <c r="D41" s="836"/>
      <c r="E41" s="836"/>
      <c r="F41" s="836"/>
      <c r="G41" s="836"/>
      <c r="H41" s="836"/>
      <c r="I41" s="836"/>
      <c r="J41" s="972" t="s">
        <v>268</v>
      </c>
      <c r="K41" s="841"/>
      <c r="L41" s="866">
        <f>IFERROR(K41/K$44,0)</f>
        <v>0</v>
      </c>
      <c r="M41" s="1698">
        <f>ROUND(L41*I$17,2)</f>
        <v>0</v>
      </c>
      <c r="N41" s="1699">
        <f>M41*$M$17</f>
        <v>0</v>
      </c>
      <c r="P41" s="836"/>
      <c r="Q41" s="836"/>
      <c r="R41" s="836"/>
      <c r="S41" s="836"/>
      <c r="T41" s="836"/>
      <c r="U41" s="836" t="s">
        <v>268</v>
      </c>
      <c r="V41" s="841"/>
      <c r="W41" s="866">
        <f>IFERROR(V41/V$44,0)</f>
        <v>0</v>
      </c>
      <c r="X41" s="1677">
        <f>ROUND(W41*I$16,2)</f>
        <v>0</v>
      </c>
      <c r="Y41" s="1678">
        <f>X41*$M$17</f>
        <v>0</v>
      </c>
      <c r="Z41" s="862"/>
      <c r="AE41" s="829"/>
      <c r="AF41" s="829"/>
    </row>
    <row r="42" spans="2:32" ht="20.100000000000001" customHeight="1" thickBot="1" x14ac:dyDescent="0.25">
      <c r="B42" s="827"/>
      <c r="C42" s="864"/>
      <c r="D42" s="836"/>
      <c r="E42" s="836"/>
      <c r="F42" s="836"/>
      <c r="G42" s="836"/>
      <c r="H42" s="836"/>
      <c r="I42" s="836"/>
      <c r="J42" s="972" t="s">
        <v>23</v>
      </c>
      <c r="K42" s="841"/>
      <c r="L42" s="866">
        <f>IFERROR(K42/K$44,0)</f>
        <v>0</v>
      </c>
      <c r="M42" s="1698">
        <f>ROUND(L42*I$17,2)</f>
        <v>0</v>
      </c>
      <c r="N42" s="1699">
        <f>M42*$M$17</f>
        <v>0</v>
      </c>
      <c r="P42" s="869"/>
      <c r="Q42" s="836"/>
      <c r="R42" s="836"/>
      <c r="S42" s="836"/>
      <c r="T42" s="836"/>
      <c r="U42" s="865" t="s">
        <v>23</v>
      </c>
      <c r="V42" s="841"/>
      <c r="W42" s="866">
        <f>IFERROR(V42/V$44,0)</f>
        <v>0</v>
      </c>
      <c r="X42" s="1677">
        <f>ROUND(W42*I$16,2)</f>
        <v>0</v>
      </c>
      <c r="Y42" s="1678">
        <f>X42*$M$17</f>
        <v>0</v>
      </c>
      <c r="Z42" s="862"/>
      <c r="AE42" s="829"/>
      <c r="AF42" s="829"/>
    </row>
    <row r="43" spans="2:32" ht="20.100000000000001" customHeight="1" thickBot="1" x14ac:dyDescent="0.25">
      <c r="B43" s="827"/>
      <c r="C43" s="851"/>
      <c r="D43" s="845"/>
      <c r="E43" s="845"/>
      <c r="F43" s="845"/>
      <c r="G43" s="845"/>
      <c r="H43" s="845"/>
      <c r="I43" s="845"/>
      <c r="J43" s="973" t="s">
        <v>159</v>
      </c>
      <c r="K43" s="852"/>
      <c r="L43" s="872">
        <f>IFERROR(K43/K$44,0)</f>
        <v>0</v>
      </c>
      <c r="M43" s="1700">
        <f>ROUND(L43*I$17,2)</f>
        <v>0</v>
      </c>
      <c r="N43" s="1701">
        <f>M43*$M$17</f>
        <v>0</v>
      </c>
      <c r="P43" s="853"/>
      <c r="Q43" s="845"/>
      <c r="R43" s="845"/>
      <c r="S43" s="845"/>
      <c r="T43" s="845"/>
      <c r="U43" s="871" t="s">
        <v>159</v>
      </c>
      <c r="V43" s="852"/>
      <c r="W43" s="872">
        <f>IFERROR(V43/V$44,0)</f>
        <v>0</v>
      </c>
      <c r="X43" s="1679">
        <f>ROUND(W43*I$16,2)</f>
        <v>0</v>
      </c>
      <c r="Y43" s="1680">
        <f>X43*$M$17</f>
        <v>0</v>
      </c>
      <c r="Z43" s="862"/>
      <c r="AE43" s="829"/>
      <c r="AF43" s="829"/>
    </row>
    <row r="44" spans="2:32" ht="20.100000000000001" customHeight="1" x14ac:dyDescent="0.2">
      <c r="B44" s="827"/>
      <c r="C44" s="881">
        <v>3000623</v>
      </c>
      <c r="D44" s="882" t="s">
        <v>102</v>
      </c>
      <c r="E44" s="882"/>
      <c r="F44" s="882"/>
      <c r="G44" s="882"/>
      <c r="H44" s="882"/>
      <c r="I44" s="883"/>
      <c r="J44" s="883"/>
      <c r="K44" s="884">
        <f>SUM(K39:K43)</f>
        <v>3361049.2850000001</v>
      </c>
      <c r="L44" s="885">
        <f>SUM(L39:L43)</f>
        <v>1</v>
      </c>
      <c r="M44" s="1702">
        <f>SUM(M39:M43)</f>
        <v>447053.49</v>
      </c>
      <c r="N44" s="1702">
        <f>SUM(N39:N43)</f>
        <v>8427226.5185940005</v>
      </c>
      <c r="P44" s="882"/>
      <c r="Q44" s="882"/>
      <c r="R44" s="882"/>
      <c r="S44" s="882"/>
      <c r="T44" s="883"/>
      <c r="U44" s="883"/>
      <c r="V44" s="884">
        <f>SUM(V39:V43)</f>
        <v>1</v>
      </c>
      <c r="W44" s="885">
        <f>SUM(W39:W43)</f>
        <v>1</v>
      </c>
      <c r="X44" s="1662">
        <f>SUM(X39:X43)</f>
        <v>447053.49</v>
      </c>
      <c r="Y44" s="1662">
        <f>SUM(Y39:Y43)</f>
        <v>8427226.5185940005</v>
      </c>
      <c r="Z44" s="862"/>
      <c r="AE44" s="829"/>
      <c r="AF44" s="829"/>
    </row>
    <row r="45" spans="2:32" ht="20.100000000000001" customHeight="1" x14ac:dyDescent="0.2">
      <c r="B45" s="827"/>
      <c r="C45" s="899"/>
      <c r="D45" s="858"/>
      <c r="E45" s="858"/>
      <c r="F45" s="858"/>
      <c r="G45" s="858"/>
      <c r="H45" s="859"/>
      <c r="I45" s="858"/>
      <c r="J45" s="858"/>
      <c r="K45" s="858"/>
      <c r="L45" s="860"/>
      <c r="M45" s="860"/>
      <c r="N45" s="843"/>
      <c r="P45" s="858"/>
      <c r="Q45" s="858"/>
      <c r="R45" s="858"/>
      <c r="S45" s="859"/>
      <c r="T45" s="858"/>
      <c r="U45" s="858"/>
      <c r="V45" s="858"/>
      <c r="W45" s="860"/>
      <c r="X45" s="1683"/>
      <c r="Y45" s="1684"/>
      <c r="Z45" s="862"/>
      <c r="AE45" s="829"/>
      <c r="AF45" s="829"/>
    </row>
    <row r="46" spans="2:32" ht="20.100000000000001" customHeight="1" x14ac:dyDescent="0.2">
      <c r="B46" s="827"/>
      <c r="C46" s="899"/>
      <c r="D46" s="858"/>
      <c r="E46" s="858"/>
      <c r="F46" s="858"/>
      <c r="G46" s="858"/>
      <c r="H46" s="859"/>
      <c r="I46" s="858"/>
      <c r="J46" s="858"/>
      <c r="K46" s="858"/>
      <c r="L46" s="860"/>
      <c r="M46" s="860"/>
      <c r="N46" s="843"/>
      <c r="P46" s="858"/>
      <c r="Q46" s="858"/>
      <c r="R46" s="858"/>
      <c r="S46" s="859"/>
      <c r="T46" s="858"/>
      <c r="U46" s="858"/>
      <c r="V46" s="858"/>
      <c r="W46" s="860"/>
      <c r="X46" s="1683"/>
      <c r="Y46" s="1684"/>
      <c r="Z46" s="862"/>
      <c r="AE46" s="829"/>
      <c r="AF46" s="829"/>
    </row>
    <row r="47" spans="2:32" ht="20.100000000000001" customHeight="1" x14ac:dyDescent="0.2">
      <c r="B47" s="827"/>
      <c r="C47" s="899"/>
      <c r="D47" s="858"/>
      <c r="E47" s="858"/>
      <c r="F47" s="858"/>
      <c r="G47" s="858"/>
      <c r="H47" s="859"/>
      <c r="I47" s="858"/>
      <c r="J47" s="858"/>
      <c r="K47" s="858"/>
      <c r="L47" s="860"/>
      <c r="M47" s="860"/>
      <c r="N47" s="843"/>
      <c r="P47" s="858"/>
      <c r="Q47" s="858"/>
      <c r="R47" s="858"/>
      <c r="S47" s="859"/>
      <c r="T47" s="858"/>
      <c r="U47" s="858"/>
      <c r="V47" s="858"/>
      <c r="W47" s="860"/>
      <c r="X47" s="1683"/>
      <c r="Y47" s="1684"/>
      <c r="Z47" s="862"/>
      <c r="AE47" s="829"/>
      <c r="AF47" s="829"/>
    </row>
    <row r="48" spans="2:32" ht="20.100000000000001" customHeight="1" thickBot="1" x14ac:dyDescent="0.25">
      <c r="B48" s="827"/>
      <c r="C48" s="899" t="s">
        <v>103</v>
      </c>
      <c r="D48" s="858"/>
      <c r="E48" s="858"/>
      <c r="F48" s="858"/>
      <c r="G48" s="858"/>
      <c r="H48" s="859"/>
      <c r="I48" s="858"/>
      <c r="J48" s="858"/>
      <c r="K48" s="858"/>
      <c r="L48" s="860"/>
      <c r="M48" s="860"/>
      <c r="N48" s="843"/>
      <c r="P48" s="858"/>
      <c r="Q48" s="858"/>
      <c r="R48" s="858"/>
      <c r="S48" s="859"/>
      <c r="T48" s="858"/>
      <c r="U48" s="858"/>
      <c r="V48" s="858"/>
      <c r="W48" s="860"/>
      <c r="X48" s="1683"/>
      <c r="Y48" s="1684"/>
      <c r="Z48" s="862"/>
      <c r="AE48" s="829"/>
      <c r="AF48" s="829"/>
    </row>
    <row r="49" spans="2:32" ht="26.25" thickBot="1" x14ac:dyDescent="0.25">
      <c r="B49" s="827"/>
      <c r="C49" s="850" t="s">
        <v>87</v>
      </c>
      <c r="D49" s="832" t="s">
        <v>88</v>
      </c>
      <c r="E49" s="832" t="s">
        <v>237</v>
      </c>
      <c r="F49" s="833" t="s">
        <v>160</v>
      </c>
      <c r="G49" s="832" t="s">
        <v>90</v>
      </c>
      <c r="H49" s="833" t="s">
        <v>232</v>
      </c>
      <c r="I49" s="833" t="s">
        <v>233</v>
      </c>
      <c r="J49" s="833" t="s">
        <v>20</v>
      </c>
      <c r="K49" s="832" t="s">
        <v>234</v>
      </c>
      <c r="L49" s="832" t="s">
        <v>93</v>
      </c>
      <c r="M49" s="832" t="s">
        <v>94</v>
      </c>
      <c r="N49" s="863" t="s">
        <v>95</v>
      </c>
      <c r="P49" s="850" t="s">
        <v>237</v>
      </c>
      <c r="Q49" s="833" t="s">
        <v>160</v>
      </c>
      <c r="R49" s="832" t="s">
        <v>90</v>
      </c>
      <c r="S49" s="833" t="s">
        <v>232</v>
      </c>
      <c r="T49" s="833" t="s">
        <v>233</v>
      </c>
      <c r="U49" s="833" t="s">
        <v>20</v>
      </c>
      <c r="V49" s="832" t="s">
        <v>234</v>
      </c>
      <c r="W49" s="832" t="s">
        <v>93</v>
      </c>
      <c r="X49" s="1687" t="s">
        <v>94</v>
      </c>
      <c r="Y49" s="1688" t="s">
        <v>95</v>
      </c>
      <c r="Z49" s="861"/>
      <c r="AE49" s="829"/>
      <c r="AF49" s="829"/>
    </row>
    <row r="50" spans="2:32" ht="20.100000000000001" customHeight="1" thickBot="1" x14ac:dyDescent="0.25">
      <c r="B50" s="827"/>
      <c r="C50" s="864">
        <v>800832773</v>
      </c>
      <c r="D50" s="836">
        <v>256</v>
      </c>
      <c r="E50" s="836" t="s">
        <v>239</v>
      </c>
      <c r="F50" s="836" t="s">
        <v>238</v>
      </c>
      <c r="G50" s="836">
        <v>100887241</v>
      </c>
      <c r="H50" s="836">
        <v>7237</v>
      </c>
      <c r="I50" s="836">
        <v>468074</v>
      </c>
      <c r="J50" s="972" t="s">
        <v>97</v>
      </c>
      <c r="K50" s="841">
        <f>O101*S102</f>
        <v>2318102.7801460545</v>
      </c>
      <c r="L50" s="866">
        <f>K50/$K$54</f>
        <v>0.39055706940847273</v>
      </c>
      <c r="M50" s="835">
        <v>2338.8226337971359</v>
      </c>
      <c r="N50" s="867">
        <f>M50*O50</f>
        <v>44088.209940656292</v>
      </c>
      <c r="O50" s="829">
        <v>18.8506</v>
      </c>
      <c r="P50" s="864"/>
      <c r="Q50" s="836"/>
      <c r="R50" s="836">
        <v>20823</v>
      </c>
      <c r="S50" s="836"/>
      <c r="T50" s="836"/>
      <c r="U50" s="865" t="s">
        <v>97</v>
      </c>
      <c r="V50" s="841">
        <v>2338.8226337971359</v>
      </c>
      <c r="W50" s="866">
        <f>IFERROR(V50/V$54,0)</f>
        <v>0.39055744198195286</v>
      </c>
      <c r="X50" s="835">
        <f>IFERROR(ROUND(V50*$I$17,2),0)</f>
        <v>14005899.01</v>
      </c>
      <c r="Y50" s="867">
        <f>IF(Z48=0,N50,(M50*Z48))</f>
        <v>44088.209940656292</v>
      </c>
      <c r="AE50" s="829"/>
      <c r="AF50" s="829"/>
    </row>
    <row r="51" spans="2:32" ht="20.100000000000001" customHeight="1" thickBot="1" x14ac:dyDescent="0.25">
      <c r="B51" s="827"/>
      <c r="C51" s="864">
        <v>800832773</v>
      </c>
      <c r="D51" s="836">
        <v>256</v>
      </c>
      <c r="E51" s="836" t="s">
        <v>239</v>
      </c>
      <c r="F51" s="836" t="s">
        <v>238</v>
      </c>
      <c r="G51" s="836">
        <v>100887241</v>
      </c>
      <c r="H51" s="836">
        <v>7237</v>
      </c>
      <c r="I51" s="836">
        <v>468074</v>
      </c>
      <c r="J51" s="972" t="s">
        <v>100</v>
      </c>
      <c r="K51" s="841">
        <f>O101*T102</f>
        <v>1079963.9998539456</v>
      </c>
      <c r="L51" s="866">
        <f>K51/$K$54</f>
        <v>0.18195378499267151</v>
      </c>
      <c r="M51" s="835">
        <v>1089.617021375278</v>
      </c>
      <c r="N51" s="867">
        <f>M51*O50</f>
        <v>20539.934623136814</v>
      </c>
      <c r="P51" s="864"/>
      <c r="Q51" s="836"/>
      <c r="R51" s="836">
        <v>20824</v>
      </c>
      <c r="S51" s="836"/>
      <c r="T51" s="836"/>
      <c r="U51" s="865" t="s">
        <v>97</v>
      </c>
      <c r="V51" s="841">
        <v>1089.617021375278</v>
      </c>
      <c r="W51" s="866">
        <f t="shared" ref="W51:W53" si="1">IFERROR(V51/V$54,0)</f>
        <v>0.18195395856821323</v>
      </c>
      <c r="X51" s="835">
        <f>ROUND(V51*$I$17,2)</f>
        <v>6525106.1600000001</v>
      </c>
      <c r="Y51" s="867">
        <f>IF(Z49=0,N51,(M51*Z49))</f>
        <v>20539.934623136814</v>
      </c>
      <c r="AE51" s="829"/>
      <c r="AF51" s="829"/>
    </row>
    <row r="52" spans="2:32" ht="20.100000000000001" customHeight="1" thickBot="1" x14ac:dyDescent="0.25">
      <c r="B52" s="827"/>
      <c r="C52" s="864">
        <v>800832773</v>
      </c>
      <c r="D52" s="836">
        <v>256</v>
      </c>
      <c r="E52" s="836" t="s">
        <v>239</v>
      </c>
      <c r="F52" s="836" t="s">
        <v>238</v>
      </c>
      <c r="G52" s="836">
        <v>100887241</v>
      </c>
      <c r="H52" s="836">
        <v>7237</v>
      </c>
      <c r="I52" s="836">
        <v>468074</v>
      </c>
      <c r="J52" s="972" t="s">
        <v>268</v>
      </c>
      <c r="K52" s="841">
        <f>P101</f>
        <v>293032.14757759211</v>
      </c>
      <c r="L52" s="866">
        <f>K52/$K$54</f>
        <v>4.9370449740440199E-2</v>
      </c>
      <c r="M52" s="835">
        <f>L52*$I$17</f>
        <v>295.65197604364175</v>
      </c>
      <c r="N52" s="867">
        <f>M52*O52</f>
        <v>5759.0048413540972</v>
      </c>
      <c r="O52" s="829">
        <v>19.478999999999999</v>
      </c>
      <c r="P52" s="864"/>
      <c r="Q52" s="836"/>
      <c r="R52" s="836">
        <v>22228</v>
      </c>
      <c r="S52" s="836"/>
      <c r="T52" s="836"/>
      <c r="U52" s="865" t="s">
        <v>100</v>
      </c>
      <c r="V52" s="841">
        <v>295.65197604364175</v>
      </c>
      <c r="W52" s="866">
        <f t="shared" si="1"/>
        <v>4.9370601178528636E-2</v>
      </c>
      <c r="X52" s="835">
        <f>ROUND(V52*$I$17,2)</f>
        <v>1770494.12</v>
      </c>
      <c r="Y52" s="867">
        <f>IF(Z50=0,N52,(M52*Z50))</f>
        <v>5759.0048413540972</v>
      </c>
      <c r="AE52" s="829"/>
      <c r="AF52" s="829"/>
    </row>
    <row r="53" spans="2:32" ht="20.100000000000001" customHeight="1" thickBot="1" x14ac:dyDescent="0.25">
      <c r="B53" s="827"/>
      <c r="C53" s="851">
        <v>800832773</v>
      </c>
      <c r="D53" s="853">
        <v>256</v>
      </c>
      <c r="E53" s="853" t="s">
        <v>239</v>
      </c>
      <c r="F53" s="845" t="s">
        <v>238</v>
      </c>
      <c r="G53" s="845">
        <v>100887241</v>
      </c>
      <c r="H53" s="845">
        <v>7237</v>
      </c>
      <c r="I53" s="845">
        <v>468074</v>
      </c>
      <c r="J53" s="973" t="s">
        <v>23</v>
      </c>
      <c r="K53" s="852">
        <f>N101</f>
        <v>2244276.365096</v>
      </c>
      <c r="L53" s="872">
        <f>K53/$K$54</f>
        <v>0.37811869585841551</v>
      </c>
      <c r="M53" s="844">
        <v>2264.33</v>
      </c>
      <c r="N53" s="873">
        <f>M53*O53</f>
        <v>42683.979097999996</v>
      </c>
      <c r="O53" s="829">
        <v>18.8506</v>
      </c>
      <c r="P53" s="900"/>
      <c r="Q53" s="845" t="s">
        <v>221</v>
      </c>
      <c r="R53" s="845" t="s">
        <v>222</v>
      </c>
      <c r="S53" s="845"/>
      <c r="T53" s="845"/>
      <c r="U53" s="871" t="s">
        <v>23</v>
      </c>
      <c r="V53" s="852">
        <v>2264.33</v>
      </c>
      <c r="W53" s="872">
        <f t="shared" si="1"/>
        <v>0.37811799827130538</v>
      </c>
      <c r="X53" s="844">
        <f>R106</f>
        <v>0</v>
      </c>
      <c r="Y53" s="873">
        <f>IF(Z51=0,N53,(M53*Z51))</f>
        <v>42683.979097999996</v>
      </c>
      <c r="AE53" s="829"/>
      <c r="AF53" s="829"/>
    </row>
    <row r="54" spans="2:32" x14ac:dyDescent="0.2">
      <c r="B54" s="827"/>
      <c r="C54" s="901"/>
      <c r="D54" s="901"/>
      <c r="E54" s="901"/>
      <c r="F54" s="902"/>
      <c r="G54" s="902"/>
      <c r="H54" s="902"/>
      <c r="I54" s="902"/>
      <c r="J54" s="902"/>
      <c r="K54" s="1301">
        <f>SUM(K50:K53)</f>
        <v>5935375.2926735925</v>
      </c>
      <c r="L54" s="903">
        <f>SUM(L50:L53)</f>
        <v>1</v>
      </c>
      <c r="M54" s="1002">
        <f>SUM(M50:M53)</f>
        <v>5988.4216312160552</v>
      </c>
      <c r="N54" s="1002">
        <f>SUM(N50:N53)</f>
        <v>113071.12850314719</v>
      </c>
      <c r="O54" s="843"/>
      <c r="P54" s="843"/>
      <c r="Q54" s="827"/>
      <c r="R54" s="827"/>
      <c r="S54" s="827"/>
      <c r="T54" s="827"/>
      <c r="U54" s="827"/>
      <c r="V54" s="1301">
        <f>SUM(V49:V53)</f>
        <v>5988.4216312160552</v>
      </c>
      <c r="W54" s="903">
        <f>SUM(W49:W53)</f>
        <v>1.0000000000000002</v>
      </c>
      <c r="X54" s="1002">
        <f>SUM(X49:X53)</f>
        <v>22301499.290000003</v>
      </c>
      <c r="Y54" s="1002">
        <f>SUM(Y50:Y53)</f>
        <v>113071.12850314719</v>
      </c>
      <c r="AE54" s="829"/>
      <c r="AF54" s="829"/>
    </row>
    <row r="55" spans="2:32" s="906" customFormat="1" x14ac:dyDescent="0.2">
      <c r="B55" s="904"/>
      <c r="C55" s="902"/>
      <c r="D55" s="902"/>
      <c r="E55" s="902"/>
      <c r="F55" s="902"/>
      <c r="G55" s="902"/>
      <c r="H55" s="902"/>
      <c r="I55" s="902"/>
      <c r="J55" s="902"/>
      <c r="K55" s="902"/>
      <c r="L55" s="902"/>
      <c r="M55" s="905"/>
      <c r="N55" s="905"/>
      <c r="O55" s="843"/>
      <c r="P55" s="843"/>
      <c r="Q55" s="904"/>
      <c r="R55" s="904"/>
      <c r="S55" s="904"/>
      <c r="T55" s="904"/>
      <c r="U55" s="904"/>
      <c r="V55" s="904"/>
      <c r="W55" s="904"/>
      <c r="X55" s="843"/>
      <c r="Y55" s="843"/>
      <c r="Z55" s="843"/>
      <c r="AA55" s="843"/>
      <c r="AB55" s="843"/>
      <c r="AC55" s="843"/>
      <c r="AD55" s="843"/>
    </row>
    <row r="56" spans="2:32" s="906" customFormat="1" x14ac:dyDescent="0.2">
      <c r="B56" s="904"/>
      <c r="C56" s="902"/>
      <c r="D56" s="902"/>
      <c r="E56" s="902"/>
      <c r="F56" s="902"/>
      <c r="G56" s="902"/>
      <c r="H56" s="902"/>
      <c r="I56" s="902"/>
      <c r="J56" s="905"/>
      <c r="K56" s="1302"/>
      <c r="L56" s="905"/>
      <c r="M56" s="905"/>
      <c r="N56" s="843"/>
      <c r="O56" s="904"/>
      <c r="P56" s="904"/>
      <c r="Q56" s="904"/>
      <c r="R56" s="904"/>
      <c r="S56" s="904"/>
      <c r="T56" s="904"/>
      <c r="U56" s="904"/>
      <c r="V56" s="843"/>
      <c r="W56" s="843"/>
      <c r="X56" s="843"/>
      <c r="Y56" s="843"/>
      <c r="Z56" s="843"/>
      <c r="AA56" s="843"/>
      <c r="AB56" s="843"/>
    </row>
    <row r="57" spans="2:32" s="906" customFormat="1" x14ac:dyDescent="0.2">
      <c r="B57" s="904"/>
      <c r="C57" s="902"/>
      <c r="D57" s="902"/>
      <c r="E57" s="902"/>
      <c r="F57" s="902"/>
      <c r="G57" s="902"/>
      <c r="H57" s="902"/>
      <c r="I57" s="902"/>
      <c r="J57" s="902"/>
      <c r="K57" s="1302"/>
      <c r="L57" s="905"/>
      <c r="M57" s="905"/>
      <c r="N57" s="843"/>
      <c r="O57" s="843"/>
      <c r="P57" s="904"/>
      <c r="Q57" s="904"/>
      <c r="R57" s="904"/>
      <c r="S57" s="904"/>
      <c r="T57" s="904"/>
      <c r="U57" s="904"/>
      <c r="V57" s="904"/>
      <c r="W57" s="843"/>
      <c r="X57" s="843"/>
      <c r="Y57" s="843"/>
      <c r="Z57" s="843"/>
      <c r="AA57" s="843"/>
      <c r="AB57" s="843"/>
      <c r="AC57" s="843"/>
    </row>
    <row r="58" spans="2:32" s="906" customFormat="1" x14ac:dyDescent="0.2">
      <c r="B58" s="904"/>
      <c r="C58" s="902"/>
      <c r="D58" s="902"/>
      <c r="E58" s="902"/>
      <c r="F58" s="902"/>
      <c r="G58" s="902"/>
      <c r="H58" s="902"/>
      <c r="I58" s="902"/>
      <c r="J58" s="902"/>
      <c r="K58" s="902"/>
      <c r="L58" s="905"/>
      <c r="M58" s="905"/>
      <c r="N58" s="843"/>
      <c r="O58" s="905"/>
      <c r="P58" s="843"/>
      <c r="Q58" s="905"/>
      <c r="R58" s="904"/>
      <c r="S58" s="904"/>
      <c r="T58" s="904"/>
      <c r="U58" s="904"/>
      <c r="V58" s="904"/>
      <c r="W58" s="904"/>
      <c r="X58" s="904"/>
      <c r="Y58" s="904"/>
      <c r="Z58" s="843"/>
      <c r="AA58" s="843"/>
      <c r="AB58" s="843"/>
      <c r="AC58" s="843"/>
      <c r="AD58" s="843"/>
      <c r="AE58" s="843"/>
      <c r="AF58" s="843"/>
    </row>
    <row r="59" spans="2:32" s="906" customFormat="1" x14ac:dyDescent="0.2">
      <c r="B59" s="904"/>
      <c r="C59" s="902"/>
      <c r="D59" s="902"/>
      <c r="E59" s="902"/>
      <c r="F59" s="902"/>
      <c r="G59" s="902"/>
      <c r="H59" s="902"/>
      <c r="I59" s="902"/>
      <c r="J59" s="902"/>
      <c r="K59" s="902"/>
      <c r="L59" s="905"/>
      <c r="M59" s="905"/>
      <c r="N59" s="843"/>
      <c r="O59" s="905"/>
      <c r="P59" s="843"/>
      <c r="Q59" s="905"/>
      <c r="R59" s="904"/>
      <c r="S59" s="904"/>
      <c r="T59" s="904"/>
      <c r="U59" s="904"/>
      <c r="V59" s="904"/>
      <c r="W59" s="904"/>
      <c r="X59" s="904"/>
      <c r="Y59" s="904"/>
      <c r="Z59" s="843"/>
      <c r="AA59" s="843"/>
      <c r="AB59" s="843"/>
      <c r="AC59" s="843"/>
      <c r="AD59" s="843"/>
      <c r="AE59" s="843"/>
      <c r="AF59" s="843"/>
    </row>
    <row r="60" spans="2:32" s="906" customFormat="1" x14ac:dyDescent="0.2">
      <c r="B60" s="904"/>
      <c r="C60" s="902"/>
      <c r="D60" s="902"/>
      <c r="E60" s="902"/>
      <c r="F60" s="902"/>
      <c r="G60" s="902"/>
      <c r="H60" s="902"/>
      <c r="I60" s="902"/>
      <c r="J60" s="902"/>
      <c r="K60" s="902"/>
      <c r="L60" s="905"/>
      <c r="M60" s="905"/>
      <c r="N60" s="843"/>
      <c r="O60" s="905"/>
      <c r="P60" s="843"/>
      <c r="Q60" s="905"/>
      <c r="R60" s="904"/>
      <c r="S60" s="904"/>
      <c r="T60" s="904"/>
      <c r="U60" s="904"/>
      <c r="V60" s="904"/>
      <c r="W60" s="904"/>
      <c r="X60" s="904"/>
      <c r="Y60" s="904"/>
      <c r="Z60" s="843"/>
      <c r="AA60" s="843"/>
      <c r="AB60" s="843"/>
      <c r="AC60" s="843"/>
      <c r="AD60" s="843"/>
      <c r="AE60" s="843"/>
      <c r="AF60" s="843"/>
    </row>
    <row r="61" spans="2:32" s="906" customFormat="1" x14ac:dyDescent="0.2">
      <c r="B61" s="904"/>
      <c r="C61" s="902"/>
      <c r="D61" s="902"/>
      <c r="E61" s="902"/>
      <c r="F61" s="902"/>
      <c r="G61" s="902"/>
      <c r="H61" s="902"/>
      <c r="I61" s="902"/>
      <c r="J61" s="902"/>
      <c r="K61" s="902"/>
      <c r="L61" s="905"/>
      <c r="M61" s="905"/>
      <c r="N61" s="843"/>
      <c r="O61" s="905"/>
      <c r="P61" s="843"/>
      <c r="Q61" s="905"/>
      <c r="R61" s="904"/>
      <c r="S61" s="904"/>
      <c r="T61" s="904"/>
      <c r="U61" s="904"/>
      <c r="V61" s="904"/>
      <c r="W61" s="904"/>
      <c r="X61" s="904"/>
      <c r="Y61" s="904"/>
      <c r="Z61" s="843"/>
      <c r="AA61" s="843"/>
      <c r="AB61" s="843"/>
      <c r="AC61" s="843"/>
      <c r="AD61" s="843"/>
      <c r="AE61" s="843"/>
      <c r="AF61" s="843"/>
    </row>
    <row r="62" spans="2:32" s="906" customFormat="1" x14ac:dyDescent="0.2">
      <c r="B62" s="904"/>
      <c r="C62" s="902"/>
      <c r="D62" s="902"/>
      <c r="E62" s="902"/>
      <c r="F62" s="902"/>
      <c r="G62" s="902"/>
      <c r="H62" s="902"/>
      <c r="I62" s="902"/>
      <c r="J62" s="902"/>
      <c r="K62" s="902"/>
      <c r="L62" s="905"/>
      <c r="M62" s="905"/>
      <c r="N62" s="843"/>
      <c r="O62" s="905"/>
      <c r="P62" s="843"/>
      <c r="Q62" s="905"/>
      <c r="R62" s="904"/>
      <c r="S62" s="904"/>
      <c r="T62" s="904"/>
      <c r="U62" s="904"/>
      <c r="V62" s="904"/>
      <c r="W62" s="904"/>
      <c r="X62" s="904"/>
      <c r="Y62" s="904"/>
      <c r="Z62" s="843"/>
      <c r="AA62" s="843"/>
      <c r="AB62" s="843"/>
      <c r="AC62" s="843"/>
      <c r="AD62" s="843"/>
      <c r="AE62" s="843"/>
      <c r="AF62" s="843"/>
    </row>
    <row r="63" spans="2:32" s="906" customFormat="1" x14ac:dyDescent="0.2">
      <c r="B63" s="904"/>
      <c r="C63" s="902"/>
      <c r="D63" s="902"/>
      <c r="E63" s="902"/>
      <c r="F63" s="902"/>
      <c r="G63" s="902"/>
      <c r="H63" s="902"/>
      <c r="I63" s="902"/>
      <c r="J63" s="902"/>
      <c r="K63" s="902"/>
      <c r="L63" s="905"/>
      <c r="M63" s="905"/>
      <c r="N63" s="843"/>
      <c r="O63" s="905"/>
      <c r="P63" s="843"/>
      <c r="Q63" s="905"/>
      <c r="R63" s="904"/>
      <c r="S63" s="904"/>
      <c r="T63" s="904"/>
      <c r="U63" s="904"/>
      <c r="V63" s="904"/>
      <c r="W63" s="904"/>
      <c r="X63" s="904"/>
      <c r="Y63" s="904"/>
      <c r="Z63" s="843"/>
      <c r="AA63" s="843"/>
      <c r="AB63" s="843"/>
      <c r="AC63" s="843"/>
      <c r="AD63" s="843"/>
      <c r="AE63" s="843"/>
      <c r="AF63" s="843"/>
    </row>
    <row r="64" spans="2:32" s="906" customFormat="1" x14ac:dyDescent="0.2">
      <c r="B64" s="904"/>
      <c r="C64" s="902"/>
      <c r="D64" s="902"/>
      <c r="E64" s="902"/>
      <c r="F64" s="902"/>
      <c r="G64" s="902"/>
      <c r="H64" s="902"/>
      <c r="I64" s="902"/>
      <c r="J64" s="902"/>
      <c r="K64" s="902"/>
      <c r="L64" s="905"/>
      <c r="M64" s="905"/>
      <c r="N64" s="843"/>
      <c r="O64" s="905"/>
      <c r="P64" s="843"/>
      <c r="Q64" s="905"/>
      <c r="R64" s="904"/>
      <c r="S64" s="904"/>
      <c r="T64" s="904"/>
      <c r="U64" s="904"/>
      <c r="V64" s="904"/>
      <c r="W64" s="904"/>
      <c r="X64" s="904"/>
      <c r="Y64" s="904"/>
      <c r="Z64" s="843"/>
      <c r="AA64" s="843"/>
      <c r="AB64" s="843"/>
      <c r="AC64" s="843"/>
      <c r="AD64" s="843"/>
      <c r="AE64" s="843"/>
      <c r="AF64" s="843"/>
    </row>
    <row r="65" spans="2:36" s="906" customFormat="1" x14ac:dyDescent="0.2">
      <c r="B65" s="904"/>
      <c r="C65" s="902"/>
      <c r="D65" s="902"/>
      <c r="E65" s="902"/>
      <c r="F65" s="902"/>
      <c r="G65" s="902"/>
      <c r="H65" s="902"/>
      <c r="I65" s="902"/>
      <c r="J65" s="902"/>
      <c r="K65" s="902"/>
      <c r="L65" s="905"/>
      <c r="M65" s="905"/>
      <c r="N65" s="843"/>
      <c r="O65" s="905"/>
      <c r="P65" s="843"/>
      <c r="Q65" s="905"/>
      <c r="R65" s="904"/>
      <c r="S65" s="904"/>
      <c r="T65" s="904"/>
      <c r="U65" s="904"/>
      <c r="V65" s="904"/>
      <c r="W65" s="904"/>
      <c r="X65" s="904"/>
      <c r="Y65" s="904"/>
      <c r="Z65" s="843"/>
      <c r="AA65" s="843"/>
      <c r="AB65" s="843"/>
      <c r="AC65" s="843"/>
      <c r="AD65" s="843"/>
      <c r="AE65" s="843"/>
      <c r="AF65" s="843"/>
    </row>
    <row r="66" spans="2:36" s="906" customFormat="1" x14ac:dyDescent="0.2">
      <c r="B66" s="904"/>
      <c r="C66" s="902"/>
      <c r="D66" s="902"/>
      <c r="E66" s="902"/>
      <c r="F66" s="902"/>
      <c r="G66" s="902"/>
      <c r="H66" s="902"/>
      <c r="I66" s="902"/>
      <c r="J66" s="902"/>
      <c r="K66" s="902"/>
      <c r="L66" s="905"/>
      <c r="M66" s="905"/>
      <c r="N66" s="843"/>
      <c r="O66" s="905"/>
      <c r="P66" s="843"/>
      <c r="Q66" s="905"/>
      <c r="R66" s="904"/>
      <c r="S66" s="904"/>
      <c r="T66" s="904"/>
      <c r="U66" s="904"/>
      <c r="V66" s="904"/>
      <c r="W66" s="904"/>
      <c r="X66" s="904"/>
      <c r="Y66" s="904"/>
      <c r="Z66" s="843"/>
      <c r="AA66" s="843"/>
      <c r="AB66" s="843"/>
      <c r="AC66" s="843"/>
      <c r="AD66" s="843"/>
      <c r="AE66" s="843"/>
      <c r="AF66" s="843"/>
    </row>
    <row r="67" spans="2:36" s="906" customFormat="1" x14ac:dyDescent="0.2">
      <c r="B67" s="904"/>
      <c r="C67" s="902"/>
      <c r="D67" s="902"/>
      <c r="E67" s="902"/>
      <c r="F67" s="902"/>
      <c r="G67" s="902"/>
      <c r="H67" s="902"/>
      <c r="I67" s="902"/>
      <c r="J67" s="902"/>
      <c r="K67" s="902"/>
      <c r="L67" s="902"/>
      <c r="M67" s="905"/>
      <c r="N67" s="905"/>
      <c r="O67" s="843"/>
      <c r="P67" s="905"/>
      <c r="Q67" s="843"/>
      <c r="R67" s="905"/>
      <c r="S67" s="904"/>
      <c r="T67" s="904"/>
      <c r="U67" s="904"/>
      <c r="V67" s="904"/>
      <c r="W67" s="904"/>
      <c r="X67" s="904"/>
      <c r="Y67" s="904"/>
      <c r="Z67" s="904"/>
      <c r="AA67" s="843"/>
      <c r="AB67" s="843"/>
      <c r="AC67" s="843"/>
      <c r="AD67" s="843"/>
      <c r="AE67" s="843"/>
      <c r="AF67" s="843"/>
      <c r="AG67" s="843"/>
    </row>
    <row r="68" spans="2:36" s="843" customFormat="1" ht="13.5" thickBot="1" x14ac:dyDescent="0.25">
      <c r="N68" s="860"/>
      <c r="O68" s="860"/>
      <c r="P68" s="860"/>
      <c r="Q68" s="860"/>
      <c r="R68" s="860"/>
      <c r="S68" s="860"/>
      <c r="T68" s="860"/>
      <c r="U68" s="860"/>
      <c r="V68" s="860"/>
      <c r="W68" s="860"/>
      <c r="X68" s="860"/>
      <c r="Y68" s="860"/>
      <c r="Z68" s="860"/>
      <c r="AA68" s="860"/>
      <c r="AB68" s="860"/>
      <c r="AC68" s="999">
        <f>'Mayo - 2018'!AC101</f>
        <v>4742643.6959750419</v>
      </c>
    </row>
    <row r="69" spans="2:36" ht="13.5" thickBot="1" x14ac:dyDescent="0.25">
      <c r="B69" s="907" t="s">
        <v>3</v>
      </c>
      <c r="C69" s="908">
        <f>SUMIF(Tarifas!E4:E303,'Junio - 2018'!C71,Tarifas!D4:D303)</f>
        <v>59</v>
      </c>
      <c r="D69" s="909" t="s">
        <v>147</v>
      </c>
      <c r="E69" s="910"/>
      <c r="F69" s="910" t="s">
        <v>145</v>
      </c>
      <c r="G69" s="910" t="s">
        <v>287</v>
      </c>
      <c r="H69" s="910" t="s">
        <v>148</v>
      </c>
      <c r="I69" s="911"/>
      <c r="J69" s="2320" t="s">
        <v>120</v>
      </c>
      <c r="K69" s="2321"/>
      <c r="L69" s="2321"/>
      <c r="M69" s="2322"/>
      <c r="N69" s="2311" t="s">
        <v>270</v>
      </c>
      <c r="O69" s="2312"/>
      <c r="P69" s="2313"/>
      <c r="Q69" s="2309" t="s">
        <v>271</v>
      </c>
      <c r="R69" s="2310"/>
      <c r="S69" s="2310"/>
      <c r="T69" s="2310"/>
      <c r="U69" s="2310"/>
      <c r="V69" s="2310"/>
      <c r="W69" s="2332"/>
      <c r="X69" s="2323" t="s">
        <v>121</v>
      </c>
      <c r="Y69" s="2324"/>
      <c r="Z69" s="2324"/>
      <c r="AA69" s="2324"/>
      <c r="AB69" s="2324"/>
      <c r="AC69" s="2325"/>
      <c r="AD69" s="1033"/>
      <c r="AG69" s="843"/>
      <c r="AH69" s="843"/>
      <c r="AI69" s="843"/>
      <c r="AJ69" s="843"/>
    </row>
    <row r="70" spans="2:36" ht="51.75" thickBot="1" x14ac:dyDescent="0.25">
      <c r="C70" s="1053" t="s">
        <v>122</v>
      </c>
      <c r="D70" s="1016" t="s">
        <v>125</v>
      </c>
      <c r="E70" s="1017" t="s">
        <v>277</v>
      </c>
      <c r="F70" s="1017" t="s">
        <v>149</v>
      </c>
      <c r="G70" s="1017" t="s">
        <v>151</v>
      </c>
      <c r="H70" s="1017" t="s">
        <v>152</v>
      </c>
      <c r="I70" s="1018" t="s">
        <v>123</v>
      </c>
      <c r="J70" s="1027" t="s">
        <v>296</v>
      </c>
      <c r="K70" s="1028" t="s">
        <v>293</v>
      </c>
      <c r="L70" s="1028" t="s">
        <v>294</v>
      </c>
      <c r="M70" s="1054" t="s">
        <v>267</v>
      </c>
      <c r="N70" s="974" t="s">
        <v>266</v>
      </c>
      <c r="O70" s="975" t="s">
        <v>269</v>
      </c>
      <c r="P70" s="975" t="s">
        <v>267</v>
      </c>
      <c r="Q70" s="976" t="s">
        <v>314</v>
      </c>
      <c r="R70" s="977" t="s">
        <v>320</v>
      </c>
      <c r="S70" s="976" t="s">
        <v>317</v>
      </c>
      <c r="T70" s="978" t="s">
        <v>316</v>
      </c>
      <c r="U70" s="979" t="s">
        <v>319</v>
      </c>
      <c r="V70" s="980" t="s">
        <v>315</v>
      </c>
      <c r="W70" s="977" t="s">
        <v>318</v>
      </c>
      <c r="X70" s="1029" t="s">
        <v>207</v>
      </c>
      <c r="Y70" s="1030" t="s">
        <v>112</v>
      </c>
      <c r="Z70" s="1031" t="s">
        <v>118</v>
      </c>
      <c r="AA70" s="1031" t="s">
        <v>119</v>
      </c>
      <c r="AB70" s="1031" t="s">
        <v>114</v>
      </c>
      <c r="AC70" s="1032" t="s">
        <v>113</v>
      </c>
      <c r="AG70" s="843"/>
      <c r="AH70" s="843"/>
      <c r="AI70" s="843"/>
      <c r="AJ70" s="843"/>
    </row>
    <row r="71" spans="2:36" x14ac:dyDescent="0.2">
      <c r="C71" s="387">
        <v>43252</v>
      </c>
      <c r="D71" s="1389">
        <f>($E$22*$H$22)/$G$22</f>
        <v>155314.35733333332</v>
      </c>
      <c r="E71" s="1355">
        <f>($F$22*$I$22)/$G$22</f>
        <v>14901.782933333334</v>
      </c>
      <c r="F71" s="1327">
        <f>N71+O71+P71</f>
        <v>188917.595</v>
      </c>
      <c r="G71" s="1390">
        <f t="shared" ref="G71:G100" si="2">TRUNC(IFERROR(K$22/L$22,0),8)</f>
        <v>1.00893743</v>
      </c>
      <c r="H71" s="1357">
        <f>ROUND(J$22*G71*F71,4)</f>
        <v>190.60599999999999</v>
      </c>
      <c r="I71" s="1391">
        <f t="shared" ref="I71:I100" si="3">SUM(D71:H71)</f>
        <v>359325.35020409664</v>
      </c>
      <c r="J71" s="1369">
        <v>74999.700364137767</v>
      </c>
      <c r="K71" s="1370">
        <v>113813.09508315276</v>
      </c>
      <c r="L71" s="1370">
        <v>0</v>
      </c>
      <c r="M71" s="1370">
        <v>0</v>
      </c>
      <c r="N71" s="1322">
        <v>76177.574999999997</v>
      </c>
      <c r="O71" s="1323">
        <v>112740.02</v>
      </c>
      <c r="P71" s="1361">
        <v>0</v>
      </c>
      <c r="Q71" s="724">
        <v>76177.58</v>
      </c>
      <c r="R71" s="1362">
        <f t="shared" ref="R71:R100" si="4">N71-Q71</f>
        <v>-5.0000000046566129E-3</v>
      </c>
      <c r="S71" s="1365">
        <v>76719.646999999997</v>
      </c>
      <c r="T71" s="1336">
        <v>36020.362999999998</v>
      </c>
      <c r="U71" s="1362">
        <f t="shared" ref="U71:U100" si="5">O71-(S71+T71)</f>
        <v>1.0000000009313226E-2</v>
      </c>
      <c r="V71" s="1373">
        <v>0</v>
      </c>
      <c r="W71" s="1375">
        <f t="shared" ref="W71:W100" si="6">P71-V71</f>
        <v>0</v>
      </c>
      <c r="X71" s="532"/>
      <c r="Y71" s="520">
        <f>X71-Z71</f>
        <v>-188812.79544729053</v>
      </c>
      <c r="Z71" s="520">
        <f t="shared" ref="Z71:Z100" si="7">J71+K71+L71</f>
        <v>188812.79544729053</v>
      </c>
      <c r="AA71" s="520">
        <f t="shared" ref="AA71:AA100" si="8">(R71+S71+W71)*1.055056</f>
        <v>80943.518609951992</v>
      </c>
      <c r="AB71" s="520">
        <f>Z71-AA71</f>
        <v>107869.27683733853</v>
      </c>
      <c r="AC71" s="525">
        <f>AC68+AB71</f>
        <v>4850512.9728123806</v>
      </c>
      <c r="AG71" s="843"/>
      <c r="AH71" s="843"/>
      <c r="AI71" s="843"/>
      <c r="AJ71" s="843"/>
    </row>
    <row r="72" spans="2:36" x14ac:dyDescent="0.2">
      <c r="C72" s="387">
        <f t="shared" ref="C72:C100" si="9">C71+1</f>
        <v>43253</v>
      </c>
      <c r="D72" s="1392">
        <f t="shared" ref="D72:D100" si="10">($E$22*$H$22)/$G$22</f>
        <v>155314.35733333332</v>
      </c>
      <c r="E72" s="1368">
        <f t="shared" ref="E72:E100" si="11">($F$22*$I$22)/$G$22</f>
        <v>14901.782933333334</v>
      </c>
      <c r="F72" s="389">
        <f t="shared" ref="F72:F100" si="12">N72+O72+P72</f>
        <v>188736.834</v>
      </c>
      <c r="G72" s="1393">
        <f t="shared" si="2"/>
        <v>1.00893743</v>
      </c>
      <c r="H72" s="390">
        <f t="shared" ref="H72:H100" si="13">ROUND(J$22*G72*F72,4)</f>
        <v>190.4237</v>
      </c>
      <c r="I72" s="1394">
        <f t="shared" si="3"/>
        <v>359144.40690409666</v>
      </c>
      <c r="J72" s="1369">
        <v>74999.700364137767</v>
      </c>
      <c r="K72" s="1370">
        <v>113513.45922090963</v>
      </c>
      <c r="L72" s="1370">
        <v>0</v>
      </c>
      <c r="M72" s="1370">
        <v>0</v>
      </c>
      <c r="N72" s="725">
        <v>75730.483999999997</v>
      </c>
      <c r="O72" s="320">
        <v>113006.35</v>
      </c>
      <c r="P72" s="1371">
        <v>0</v>
      </c>
      <c r="Q72" s="725">
        <v>75730.48</v>
      </c>
      <c r="R72" s="1372">
        <f t="shared" si="4"/>
        <v>4.0000000008149073E-3</v>
      </c>
      <c r="S72" s="1373">
        <v>76627.180999999997</v>
      </c>
      <c r="T72" s="1374">
        <v>36379.159</v>
      </c>
      <c r="U72" s="1372">
        <f t="shared" si="5"/>
        <v>1.0000000009313226E-2</v>
      </c>
      <c r="V72" s="1373">
        <v>0</v>
      </c>
      <c r="W72" s="1395">
        <f t="shared" si="6"/>
        <v>0</v>
      </c>
      <c r="X72" s="532"/>
      <c r="Y72" s="520">
        <f t="shared" ref="Y72:Y100" si="14">X72-Z72</f>
        <v>-188513.1595850474</v>
      </c>
      <c r="Z72" s="520">
        <f t="shared" si="7"/>
        <v>188513.1595850474</v>
      </c>
      <c r="AA72" s="520">
        <f t="shared" si="8"/>
        <v>80845.971297359996</v>
      </c>
      <c r="AB72" s="520">
        <f t="shared" ref="AB72:AB100" si="15">Z72-AA72</f>
        <v>107667.1882876874</v>
      </c>
      <c r="AC72" s="525">
        <f>AC71+AB72</f>
        <v>4958180.1611000681</v>
      </c>
      <c r="AG72" s="843"/>
      <c r="AH72" s="843"/>
      <c r="AI72" s="843"/>
      <c r="AJ72" s="843"/>
    </row>
    <row r="73" spans="2:36" x14ac:dyDescent="0.2">
      <c r="C73" s="387">
        <f t="shared" si="9"/>
        <v>43254</v>
      </c>
      <c r="D73" s="1392">
        <f t="shared" si="10"/>
        <v>155314.35733333332</v>
      </c>
      <c r="E73" s="1368">
        <f t="shared" si="11"/>
        <v>14901.782933333334</v>
      </c>
      <c r="F73" s="389">
        <f t="shared" si="12"/>
        <v>188946.86499999999</v>
      </c>
      <c r="G73" s="1393">
        <f t="shared" si="2"/>
        <v>1.00893743</v>
      </c>
      <c r="H73" s="390">
        <f t="shared" si="13"/>
        <v>190.63560000000001</v>
      </c>
      <c r="I73" s="1394">
        <f t="shared" si="3"/>
        <v>359354.64980409661</v>
      </c>
      <c r="J73" s="1369">
        <v>74999.700364137767</v>
      </c>
      <c r="K73" s="1370">
        <v>113513.45922090963</v>
      </c>
      <c r="L73" s="1370">
        <v>0</v>
      </c>
      <c r="M73" s="1370">
        <v>0</v>
      </c>
      <c r="N73" s="724">
        <v>75651.764999999999</v>
      </c>
      <c r="O73" s="318">
        <v>113295.1</v>
      </c>
      <c r="P73" s="1371">
        <v>0</v>
      </c>
      <c r="Q73" s="724">
        <v>75651.77</v>
      </c>
      <c r="R73" s="1372">
        <f t="shared" si="4"/>
        <v>-5.0000000046566129E-3</v>
      </c>
      <c r="S73" s="1373">
        <v>76602.157999999996</v>
      </c>
      <c r="T73" s="1374">
        <v>36692.946000000004</v>
      </c>
      <c r="U73" s="1372">
        <f t="shared" si="5"/>
        <v>-3.999999986262992E-3</v>
      </c>
      <c r="V73" s="1373">
        <v>0</v>
      </c>
      <c r="W73" s="1395">
        <f t="shared" si="6"/>
        <v>0</v>
      </c>
      <c r="X73" s="532"/>
      <c r="Y73" s="520">
        <f t="shared" si="14"/>
        <v>-188513.1595850474</v>
      </c>
      <c r="Z73" s="520">
        <f t="shared" si="7"/>
        <v>188513.1595850474</v>
      </c>
      <c r="AA73" s="520">
        <f t="shared" si="8"/>
        <v>80819.561135567987</v>
      </c>
      <c r="AB73" s="520">
        <f t="shared" si="15"/>
        <v>107693.59844947941</v>
      </c>
      <c r="AC73" s="525">
        <f t="shared" ref="AC73:AC100" si="16">AC72+AB73</f>
        <v>5065873.7595495479</v>
      </c>
      <c r="AG73" s="843"/>
      <c r="AH73" s="843"/>
      <c r="AI73" s="843"/>
      <c r="AJ73" s="843"/>
    </row>
    <row r="74" spans="2:36" x14ac:dyDescent="0.2">
      <c r="C74" s="387">
        <f t="shared" si="9"/>
        <v>43255</v>
      </c>
      <c r="D74" s="1392">
        <f t="shared" si="10"/>
        <v>155314.35733333332</v>
      </c>
      <c r="E74" s="1368">
        <f t="shared" si="11"/>
        <v>14901.782933333334</v>
      </c>
      <c r="F74" s="389">
        <f t="shared" si="12"/>
        <v>186704.769</v>
      </c>
      <c r="G74" s="1393">
        <f t="shared" si="2"/>
        <v>1.00893743</v>
      </c>
      <c r="H74" s="390">
        <f t="shared" si="13"/>
        <v>188.3734</v>
      </c>
      <c r="I74" s="1394">
        <f t="shared" si="3"/>
        <v>357110.29160409659</v>
      </c>
      <c r="J74" s="1369">
        <v>74999.700364137767</v>
      </c>
      <c r="K74" s="1370">
        <v>113513.45922090963</v>
      </c>
      <c r="L74" s="1370">
        <v>0</v>
      </c>
      <c r="M74" s="1370">
        <v>0</v>
      </c>
      <c r="N74" s="725">
        <v>75686.789000000004</v>
      </c>
      <c r="O74" s="320">
        <v>111017.98</v>
      </c>
      <c r="P74" s="1371">
        <v>0</v>
      </c>
      <c r="Q74" s="725">
        <v>75688.789999999994</v>
      </c>
      <c r="R74" s="1372">
        <f t="shared" si="4"/>
        <v>-2.0009999999892898</v>
      </c>
      <c r="S74" s="1373">
        <v>74844.38</v>
      </c>
      <c r="T74" s="1374">
        <v>36173.614999999998</v>
      </c>
      <c r="U74" s="1372">
        <f t="shared" si="5"/>
        <v>-1.4999999999417923E-2</v>
      </c>
      <c r="V74" s="1373">
        <v>0</v>
      </c>
      <c r="W74" s="1395">
        <f t="shared" si="6"/>
        <v>0</v>
      </c>
      <c r="X74" s="532"/>
      <c r="Y74" s="520">
        <f t="shared" si="14"/>
        <v>-188513.1595850474</v>
      </c>
      <c r="Z74" s="520">
        <f t="shared" si="7"/>
        <v>188513.1595850474</v>
      </c>
      <c r="AA74" s="520">
        <f t="shared" si="8"/>
        <v>78962.901018224016</v>
      </c>
      <c r="AB74" s="520">
        <f t="shared" si="15"/>
        <v>109550.25856682338</v>
      </c>
      <c r="AC74" s="525">
        <f t="shared" si="16"/>
        <v>5175424.0181163717</v>
      </c>
      <c r="AG74" s="843"/>
      <c r="AH74" s="843"/>
      <c r="AI74" s="843"/>
      <c r="AJ74" s="843"/>
    </row>
    <row r="75" spans="2:36" x14ac:dyDescent="0.2">
      <c r="C75" s="387">
        <f t="shared" si="9"/>
        <v>43256</v>
      </c>
      <c r="D75" s="1392">
        <f t="shared" si="10"/>
        <v>155314.35733333332</v>
      </c>
      <c r="E75" s="1368">
        <f t="shared" si="11"/>
        <v>14901.782933333334</v>
      </c>
      <c r="F75" s="389">
        <f t="shared" si="12"/>
        <v>188416.587</v>
      </c>
      <c r="G75" s="1393">
        <f t="shared" si="2"/>
        <v>1.00893743</v>
      </c>
      <c r="H75" s="390">
        <f t="shared" si="13"/>
        <v>190.10050000000001</v>
      </c>
      <c r="I75" s="1394">
        <f t="shared" si="3"/>
        <v>358823.83670409664</v>
      </c>
      <c r="J75" s="1369">
        <v>74999.700364137767</v>
      </c>
      <c r="K75" s="1370">
        <v>113613.68952694166</v>
      </c>
      <c r="L75" s="1370">
        <v>0</v>
      </c>
      <c r="M75" s="1370">
        <v>0</v>
      </c>
      <c r="N75" s="724">
        <v>75845.426999999996</v>
      </c>
      <c r="O75" s="318">
        <v>112571.16</v>
      </c>
      <c r="P75" s="1371">
        <v>0</v>
      </c>
      <c r="Q75" s="724">
        <v>75845.429999999993</v>
      </c>
      <c r="R75" s="1372">
        <f t="shared" si="4"/>
        <v>-2.9999999969732016E-3</v>
      </c>
      <c r="S75" s="1373">
        <v>76131.774000000005</v>
      </c>
      <c r="T75" s="1374">
        <v>36439.411</v>
      </c>
      <c r="U75" s="1372">
        <f t="shared" si="5"/>
        <v>-2.4999999994179234E-2</v>
      </c>
      <c r="V75" s="1373">
        <v>0</v>
      </c>
      <c r="W75" s="1395">
        <f t="shared" si="6"/>
        <v>0</v>
      </c>
      <c r="X75" s="532"/>
      <c r="Y75" s="520">
        <f t="shared" si="14"/>
        <v>-188613.38989107942</v>
      </c>
      <c r="Z75" s="520">
        <f t="shared" si="7"/>
        <v>188613.38989107942</v>
      </c>
      <c r="AA75" s="520">
        <f t="shared" si="8"/>
        <v>80323.281784176012</v>
      </c>
      <c r="AB75" s="520">
        <f t="shared" si="15"/>
        <v>108290.10810690341</v>
      </c>
      <c r="AC75" s="525">
        <f t="shared" si="16"/>
        <v>5283714.1262232754</v>
      </c>
      <c r="AG75" s="843"/>
      <c r="AH75" s="843"/>
      <c r="AI75" s="843"/>
      <c r="AJ75" s="843"/>
    </row>
    <row r="76" spans="2:36" x14ac:dyDescent="0.2">
      <c r="C76" s="387">
        <f t="shared" si="9"/>
        <v>43257</v>
      </c>
      <c r="D76" s="1392">
        <f t="shared" si="10"/>
        <v>155314.35733333332</v>
      </c>
      <c r="E76" s="1368">
        <f t="shared" si="11"/>
        <v>14901.782933333334</v>
      </c>
      <c r="F76" s="389">
        <f t="shared" si="12"/>
        <v>188716.02299999999</v>
      </c>
      <c r="G76" s="1393">
        <f t="shared" si="2"/>
        <v>1.00893743</v>
      </c>
      <c r="H76" s="390">
        <f t="shared" si="13"/>
        <v>190.40270000000001</v>
      </c>
      <c r="I76" s="1394">
        <f t="shared" si="3"/>
        <v>359123.5749040966</v>
      </c>
      <c r="J76" s="1369">
        <v>74999.700364137767</v>
      </c>
      <c r="K76" s="1370">
        <v>113613.68952694166</v>
      </c>
      <c r="L76" s="1370">
        <v>0</v>
      </c>
      <c r="M76" s="1370">
        <v>0</v>
      </c>
      <c r="N76" s="725">
        <v>75657.062999999995</v>
      </c>
      <c r="O76" s="320">
        <v>113058.96</v>
      </c>
      <c r="P76" s="1371">
        <v>0</v>
      </c>
      <c r="Q76" s="725">
        <v>75657.06</v>
      </c>
      <c r="R76" s="1372">
        <f t="shared" si="4"/>
        <v>2.9999999969732016E-3</v>
      </c>
      <c r="S76" s="1373">
        <v>75991.679999999993</v>
      </c>
      <c r="T76" s="1374">
        <v>37067.309000000001</v>
      </c>
      <c r="U76" s="1372">
        <f t="shared" si="5"/>
        <v>-2.8999999994994141E-2</v>
      </c>
      <c r="V76" s="1373">
        <v>0</v>
      </c>
      <c r="W76" s="1395">
        <f t="shared" si="6"/>
        <v>0</v>
      </c>
      <c r="X76" s="532"/>
      <c r="Y76" s="520">
        <f t="shared" si="14"/>
        <v>-188613.38989107942</v>
      </c>
      <c r="Z76" s="520">
        <f t="shared" si="7"/>
        <v>188613.38989107942</v>
      </c>
      <c r="AA76" s="520">
        <f t="shared" si="8"/>
        <v>80175.481099247991</v>
      </c>
      <c r="AB76" s="520">
        <f t="shared" si="15"/>
        <v>108437.90879183143</v>
      </c>
      <c r="AC76" s="525">
        <f t="shared" si="16"/>
        <v>5392152.0350151071</v>
      </c>
      <c r="AG76" s="843"/>
      <c r="AH76" s="843"/>
      <c r="AI76" s="843"/>
      <c r="AJ76" s="843"/>
    </row>
    <row r="77" spans="2:36" x14ac:dyDescent="0.2">
      <c r="C77" s="387">
        <f t="shared" si="9"/>
        <v>43258</v>
      </c>
      <c r="D77" s="1392">
        <f t="shared" si="10"/>
        <v>155314.35733333332</v>
      </c>
      <c r="E77" s="1368">
        <f t="shared" si="11"/>
        <v>14901.782933333334</v>
      </c>
      <c r="F77" s="389">
        <f t="shared" si="12"/>
        <v>189031.76699999999</v>
      </c>
      <c r="G77" s="1393">
        <f t="shared" si="2"/>
        <v>1.00893743</v>
      </c>
      <c r="H77" s="390">
        <f t="shared" si="13"/>
        <v>190.72120000000001</v>
      </c>
      <c r="I77" s="1394">
        <f t="shared" si="3"/>
        <v>359439.63740409666</v>
      </c>
      <c r="J77" s="1369">
        <v>74999.700364137767</v>
      </c>
      <c r="K77" s="1370">
        <v>114498.88138758246</v>
      </c>
      <c r="L77" s="1370">
        <v>0</v>
      </c>
      <c r="M77" s="1370">
        <v>0</v>
      </c>
      <c r="N77" s="724">
        <v>75715.476999999999</v>
      </c>
      <c r="O77" s="318">
        <v>113316.29</v>
      </c>
      <c r="P77" s="1371">
        <v>0</v>
      </c>
      <c r="Q77" s="724">
        <v>75715.5</v>
      </c>
      <c r="R77" s="1372">
        <f t="shared" si="4"/>
        <v>-2.3000000001047738E-2</v>
      </c>
      <c r="S77" s="1373">
        <v>76526.084000000003</v>
      </c>
      <c r="T77" s="1374">
        <v>36790.212</v>
      </c>
      <c r="U77" s="1372">
        <f t="shared" si="5"/>
        <v>-6.0000000084983185E-3</v>
      </c>
      <c r="V77" s="1373">
        <v>0</v>
      </c>
      <c r="W77" s="1395">
        <f t="shared" si="6"/>
        <v>0</v>
      </c>
      <c r="X77" s="532"/>
      <c r="Y77" s="520">
        <f t="shared" si="14"/>
        <v>-189498.58175172022</v>
      </c>
      <c r="Z77" s="520">
        <f t="shared" si="7"/>
        <v>189498.58175172022</v>
      </c>
      <c r="AA77" s="520">
        <f t="shared" si="8"/>
        <v>80739.279814416004</v>
      </c>
      <c r="AB77" s="520">
        <f t="shared" si="15"/>
        <v>108759.30193730422</v>
      </c>
      <c r="AC77" s="525">
        <f t="shared" si="16"/>
        <v>5500911.3369524116</v>
      </c>
      <c r="AG77" s="843"/>
      <c r="AH77" s="843"/>
      <c r="AI77" s="843"/>
      <c r="AJ77" s="843"/>
    </row>
    <row r="78" spans="2:36" x14ac:dyDescent="0.2">
      <c r="C78" s="387">
        <f t="shared" si="9"/>
        <v>43259</v>
      </c>
      <c r="D78" s="1392">
        <f t="shared" si="10"/>
        <v>155314.35733333332</v>
      </c>
      <c r="E78" s="1368">
        <f t="shared" si="11"/>
        <v>14901.782933333334</v>
      </c>
      <c r="F78" s="389">
        <f t="shared" si="12"/>
        <v>188358.16200000001</v>
      </c>
      <c r="G78" s="1393">
        <f t="shared" si="2"/>
        <v>1.00893743</v>
      </c>
      <c r="H78" s="390">
        <f t="shared" si="13"/>
        <v>190.04159999999999</v>
      </c>
      <c r="I78" s="1394">
        <f t="shared" si="3"/>
        <v>358765.35280409665</v>
      </c>
      <c r="J78" s="1369">
        <v>75999.893312752145</v>
      </c>
      <c r="K78" s="1370">
        <v>116656.47060690357</v>
      </c>
      <c r="L78" s="1370">
        <v>0</v>
      </c>
      <c r="M78" s="1370">
        <v>0</v>
      </c>
      <c r="N78" s="725">
        <v>75451.922000000006</v>
      </c>
      <c r="O78" s="320">
        <v>112906.24000000001</v>
      </c>
      <c r="P78" s="1371">
        <v>0</v>
      </c>
      <c r="Q78" s="725">
        <v>75451.899999999994</v>
      </c>
      <c r="R78" s="1372">
        <f t="shared" si="4"/>
        <v>2.2000000011757948E-2</v>
      </c>
      <c r="S78" s="1373">
        <v>76020.942999999999</v>
      </c>
      <c r="T78" s="1374">
        <v>36885.279999999999</v>
      </c>
      <c r="U78" s="1372">
        <f t="shared" si="5"/>
        <v>1.7000000007101335E-2</v>
      </c>
      <c r="V78" s="1373">
        <v>0</v>
      </c>
      <c r="W78" s="1395">
        <f t="shared" si="6"/>
        <v>0</v>
      </c>
      <c r="X78" s="532"/>
      <c r="Y78" s="520">
        <f t="shared" si="14"/>
        <v>-192656.36391965573</v>
      </c>
      <c r="Z78" s="520">
        <f t="shared" si="7"/>
        <v>192656.36391965573</v>
      </c>
      <c r="AA78" s="520">
        <f t="shared" si="8"/>
        <v>80206.375249040007</v>
      </c>
      <c r="AB78" s="520">
        <f t="shared" si="15"/>
        <v>112449.98867061573</v>
      </c>
      <c r="AC78" s="525">
        <f t="shared" si="16"/>
        <v>5613361.325623027</v>
      </c>
      <c r="AF78" s="829"/>
    </row>
    <row r="79" spans="2:36" x14ac:dyDescent="0.2">
      <c r="C79" s="387">
        <f t="shared" si="9"/>
        <v>43260</v>
      </c>
      <c r="D79" s="1392">
        <f t="shared" si="10"/>
        <v>155314.35733333332</v>
      </c>
      <c r="E79" s="1368">
        <f t="shared" si="11"/>
        <v>14901.782933333334</v>
      </c>
      <c r="F79" s="389">
        <f t="shared" si="12"/>
        <v>188555.889</v>
      </c>
      <c r="G79" s="1393">
        <f t="shared" si="2"/>
        <v>1.00893743</v>
      </c>
      <c r="H79" s="390">
        <f t="shared" si="13"/>
        <v>190.24109999999999</v>
      </c>
      <c r="I79" s="1394">
        <f t="shared" si="3"/>
        <v>358963.27930409659</v>
      </c>
      <c r="J79" s="1369">
        <v>74999.700364137767</v>
      </c>
      <c r="K79" s="1370">
        <v>112899.41671448181</v>
      </c>
      <c r="L79" s="1370">
        <v>0</v>
      </c>
      <c r="M79" s="1370">
        <v>0</v>
      </c>
      <c r="N79" s="724">
        <v>75511.608999999997</v>
      </c>
      <c r="O79" s="318">
        <v>113044.28</v>
      </c>
      <c r="P79" s="1371">
        <v>0</v>
      </c>
      <c r="Q79" s="724">
        <v>75511.600000000006</v>
      </c>
      <c r="R79" s="1372">
        <f t="shared" si="4"/>
        <v>8.9999999909196049E-3</v>
      </c>
      <c r="S79" s="1373">
        <v>75946.812000000005</v>
      </c>
      <c r="T79" s="1374">
        <v>37097.462</v>
      </c>
      <c r="U79" s="1372">
        <f t="shared" si="5"/>
        <v>5.9999999939464033E-3</v>
      </c>
      <c r="V79" s="1373">
        <v>0</v>
      </c>
      <c r="W79" s="1395">
        <f t="shared" si="6"/>
        <v>0</v>
      </c>
      <c r="X79" s="532"/>
      <c r="Y79" s="520">
        <f t="shared" si="14"/>
        <v>-187899.11707861957</v>
      </c>
      <c r="Z79" s="520">
        <f t="shared" si="7"/>
        <v>187899.11707861957</v>
      </c>
      <c r="AA79" s="520">
        <f t="shared" si="8"/>
        <v>80128.149176975989</v>
      </c>
      <c r="AB79" s="520">
        <f t="shared" si="15"/>
        <v>107770.96790164358</v>
      </c>
      <c r="AC79" s="525">
        <f t="shared" si="16"/>
        <v>5721132.2935246704</v>
      </c>
      <c r="AF79" s="829"/>
    </row>
    <row r="80" spans="2:36" x14ac:dyDescent="0.2">
      <c r="C80" s="387">
        <f t="shared" si="9"/>
        <v>43261</v>
      </c>
      <c r="D80" s="1392">
        <f t="shared" si="10"/>
        <v>155314.35733333332</v>
      </c>
      <c r="E80" s="1368">
        <f t="shared" si="11"/>
        <v>14901.782933333334</v>
      </c>
      <c r="F80" s="389">
        <f t="shared" si="12"/>
        <v>187353.573</v>
      </c>
      <c r="G80" s="1393">
        <f t="shared" si="2"/>
        <v>1.00893743</v>
      </c>
      <c r="H80" s="390">
        <f t="shared" si="13"/>
        <v>189.02799999999999</v>
      </c>
      <c r="I80" s="1394">
        <f t="shared" si="3"/>
        <v>357759.75020409661</v>
      </c>
      <c r="J80" s="1369">
        <v>74999.700364137767</v>
      </c>
      <c r="K80" s="1370">
        <v>112899.41671448181</v>
      </c>
      <c r="L80" s="1370">
        <v>0</v>
      </c>
      <c r="M80" s="1370">
        <v>0</v>
      </c>
      <c r="N80" s="725">
        <v>74181.633000000002</v>
      </c>
      <c r="O80" s="320">
        <v>113171.94</v>
      </c>
      <c r="P80" s="1371">
        <v>0</v>
      </c>
      <c r="Q80" s="725">
        <v>74181.63</v>
      </c>
      <c r="R80" s="1372">
        <f t="shared" si="4"/>
        <v>2.9999999969732016E-3</v>
      </c>
      <c r="S80" s="1373">
        <v>76046.857999999993</v>
      </c>
      <c r="T80" s="1374">
        <v>37125.091999999997</v>
      </c>
      <c r="U80" s="1372">
        <f t="shared" si="5"/>
        <v>-9.9999999802093953E-3</v>
      </c>
      <c r="V80" s="1373">
        <v>0</v>
      </c>
      <c r="W80" s="1395">
        <f t="shared" si="6"/>
        <v>0</v>
      </c>
      <c r="X80" s="532"/>
      <c r="Y80" s="520">
        <f t="shared" si="14"/>
        <v>-187899.11707861957</v>
      </c>
      <c r="Z80" s="520">
        <f t="shared" si="7"/>
        <v>187899.11707861957</v>
      </c>
      <c r="AA80" s="520">
        <f t="shared" si="8"/>
        <v>80233.696979215994</v>
      </c>
      <c r="AB80" s="520">
        <f t="shared" si="15"/>
        <v>107665.42009940358</v>
      </c>
      <c r="AC80" s="525">
        <f t="shared" si="16"/>
        <v>5828797.7136240741</v>
      </c>
      <c r="AF80" s="829"/>
    </row>
    <row r="81" spans="3:36" x14ac:dyDescent="0.2">
      <c r="C81" s="387">
        <f t="shared" si="9"/>
        <v>43262</v>
      </c>
      <c r="D81" s="1392">
        <f t="shared" si="10"/>
        <v>155314.35733333332</v>
      </c>
      <c r="E81" s="1368">
        <f t="shared" si="11"/>
        <v>14901.782933333334</v>
      </c>
      <c r="F81" s="389">
        <f t="shared" si="12"/>
        <v>188934.12099999998</v>
      </c>
      <c r="G81" s="1393">
        <f t="shared" si="2"/>
        <v>1.00893743</v>
      </c>
      <c r="H81" s="390">
        <f t="shared" si="13"/>
        <v>190.62270000000001</v>
      </c>
      <c r="I81" s="1394">
        <f t="shared" si="3"/>
        <v>359341.89290409663</v>
      </c>
      <c r="J81" s="1369">
        <v>74999.700364137767</v>
      </c>
      <c r="K81" s="1370">
        <v>112899.41671448181</v>
      </c>
      <c r="L81" s="1370">
        <v>0</v>
      </c>
      <c r="M81" s="1370">
        <v>0</v>
      </c>
      <c r="N81" s="724">
        <v>75793.460999999996</v>
      </c>
      <c r="O81" s="318">
        <v>113140.66</v>
      </c>
      <c r="P81" s="1371">
        <v>0</v>
      </c>
      <c r="Q81" s="724">
        <v>75793.460000000006</v>
      </c>
      <c r="R81" s="1372">
        <f t="shared" si="4"/>
        <v>9.9999998928979039E-4</v>
      </c>
      <c r="S81" s="1373">
        <v>76550.413</v>
      </c>
      <c r="T81" s="1374">
        <v>36590.273000000001</v>
      </c>
      <c r="U81" s="1372">
        <f t="shared" si="5"/>
        <v>-2.599999999802094E-2</v>
      </c>
      <c r="V81" s="1373">
        <v>0</v>
      </c>
      <c r="W81" s="1395">
        <f t="shared" si="6"/>
        <v>0</v>
      </c>
      <c r="X81" s="532"/>
      <c r="Y81" s="520">
        <f t="shared" si="14"/>
        <v>-187899.11707861957</v>
      </c>
      <c r="Z81" s="520">
        <f t="shared" si="7"/>
        <v>187899.11707861957</v>
      </c>
      <c r="AA81" s="520">
        <f t="shared" si="8"/>
        <v>80764.973593183982</v>
      </c>
      <c r="AB81" s="520">
        <f t="shared" si="15"/>
        <v>107134.14348543559</v>
      </c>
      <c r="AC81" s="525">
        <f t="shared" si="16"/>
        <v>5935931.8571095094</v>
      </c>
      <c r="AF81" s="829"/>
    </row>
    <row r="82" spans="3:36" x14ac:dyDescent="0.2">
      <c r="C82" s="387">
        <f t="shared" si="9"/>
        <v>43263</v>
      </c>
      <c r="D82" s="1392">
        <f t="shared" si="10"/>
        <v>155314.35733333332</v>
      </c>
      <c r="E82" s="1368">
        <f t="shared" si="11"/>
        <v>14901.782933333334</v>
      </c>
      <c r="F82" s="389">
        <f t="shared" si="12"/>
        <v>188126.61199999999</v>
      </c>
      <c r="G82" s="1393">
        <f t="shared" si="2"/>
        <v>1.00893743</v>
      </c>
      <c r="H82" s="390">
        <f t="shared" si="13"/>
        <v>189.80799999999999</v>
      </c>
      <c r="I82" s="1394">
        <f t="shared" si="3"/>
        <v>358533.56920409662</v>
      </c>
      <c r="J82" s="1369">
        <v>74999.700364137767</v>
      </c>
      <c r="K82" s="1370">
        <v>113000.70207636681</v>
      </c>
      <c r="L82" s="1370">
        <v>0</v>
      </c>
      <c r="M82" s="1370">
        <v>0</v>
      </c>
      <c r="N82" s="725">
        <v>75204.661999999997</v>
      </c>
      <c r="O82" s="320">
        <v>112921.95</v>
      </c>
      <c r="P82" s="1371">
        <v>0</v>
      </c>
      <c r="Q82" s="725">
        <v>75204.66</v>
      </c>
      <c r="R82" s="1372">
        <f t="shared" si="4"/>
        <v>1.999999993131496E-3</v>
      </c>
      <c r="S82" s="1373">
        <v>76390.793000000005</v>
      </c>
      <c r="T82" s="1374">
        <v>36531.15</v>
      </c>
      <c r="U82" s="1372">
        <f t="shared" si="5"/>
        <v>6.9999999977881089E-3</v>
      </c>
      <c r="V82" s="1373">
        <v>0</v>
      </c>
      <c r="W82" s="1395">
        <f t="shared" si="6"/>
        <v>0</v>
      </c>
      <c r="X82" s="532"/>
      <c r="Y82" s="520">
        <f t="shared" si="14"/>
        <v>-188000.40244050458</v>
      </c>
      <c r="Z82" s="520">
        <f t="shared" si="7"/>
        <v>188000.40244050458</v>
      </c>
      <c r="AA82" s="520">
        <f t="shared" si="8"/>
        <v>80596.566609519999</v>
      </c>
      <c r="AB82" s="520">
        <f t="shared" si="15"/>
        <v>107403.83583098458</v>
      </c>
      <c r="AC82" s="525">
        <f t="shared" si="16"/>
        <v>6043335.692940494</v>
      </c>
      <c r="AF82" s="829"/>
    </row>
    <row r="83" spans="3:36" x14ac:dyDescent="0.2">
      <c r="C83" s="387">
        <f t="shared" si="9"/>
        <v>43264</v>
      </c>
      <c r="D83" s="1392">
        <f t="shared" si="10"/>
        <v>155314.35733333332</v>
      </c>
      <c r="E83" s="1368">
        <f t="shared" si="11"/>
        <v>14901.782933333334</v>
      </c>
      <c r="F83" s="389">
        <f t="shared" si="12"/>
        <v>188879.62400000001</v>
      </c>
      <c r="G83" s="1393">
        <f t="shared" si="2"/>
        <v>1.00893743</v>
      </c>
      <c r="H83" s="390">
        <f t="shared" si="13"/>
        <v>190.5677</v>
      </c>
      <c r="I83" s="1394">
        <f t="shared" si="3"/>
        <v>359287.34090409667</v>
      </c>
      <c r="J83" s="1369">
        <v>74999.700364137767</v>
      </c>
      <c r="K83" s="1370">
        <v>112999.64702051383</v>
      </c>
      <c r="L83" s="1370">
        <v>0</v>
      </c>
      <c r="M83" s="1370">
        <v>0</v>
      </c>
      <c r="N83" s="724">
        <v>75616.483999999997</v>
      </c>
      <c r="O83" s="318">
        <v>113263.14</v>
      </c>
      <c r="P83" s="1371">
        <v>0</v>
      </c>
      <c r="Q83" s="724">
        <v>75616.479999999996</v>
      </c>
      <c r="R83" s="1372">
        <f t="shared" si="4"/>
        <v>4.0000000008149073E-3</v>
      </c>
      <c r="S83" s="1373">
        <v>76298.263999999996</v>
      </c>
      <c r="T83" s="1374">
        <v>36964.879000000001</v>
      </c>
      <c r="U83" s="1372">
        <f t="shared" si="5"/>
        <v>-2.9999999969732016E-3</v>
      </c>
      <c r="V83" s="1373">
        <v>0</v>
      </c>
      <c r="W83" s="1395">
        <f t="shared" si="6"/>
        <v>0</v>
      </c>
      <c r="X83" s="532"/>
      <c r="Y83" s="520">
        <f t="shared" si="14"/>
        <v>-187999.3473846516</v>
      </c>
      <c r="Z83" s="520">
        <f t="shared" si="7"/>
        <v>187999.3473846516</v>
      </c>
      <c r="AA83" s="520">
        <f t="shared" si="8"/>
        <v>80498.945443007993</v>
      </c>
      <c r="AB83" s="520">
        <f t="shared" si="15"/>
        <v>107500.40194164361</v>
      </c>
      <c r="AC83" s="525">
        <f t="shared" si="16"/>
        <v>6150836.0948821381</v>
      </c>
      <c r="AF83" s="829"/>
    </row>
    <row r="84" spans="3:36" x14ac:dyDescent="0.2">
      <c r="C84" s="387">
        <f t="shared" si="9"/>
        <v>43265</v>
      </c>
      <c r="D84" s="1392">
        <f t="shared" si="10"/>
        <v>155314.35733333332</v>
      </c>
      <c r="E84" s="1368">
        <f t="shared" si="11"/>
        <v>14901.782933333334</v>
      </c>
      <c r="F84" s="389">
        <f t="shared" si="12"/>
        <v>188845.63099999999</v>
      </c>
      <c r="G84" s="1393">
        <f t="shared" si="2"/>
        <v>1.00893743</v>
      </c>
      <c r="H84" s="390">
        <f t="shared" si="13"/>
        <v>190.5334</v>
      </c>
      <c r="I84" s="1394">
        <f t="shared" si="3"/>
        <v>359253.31360409665</v>
      </c>
      <c r="J84" s="1369">
        <v>74999.700364137767</v>
      </c>
      <c r="K84" s="1370">
        <v>112834.00325159774</v>
      </c>
      <c r="L84" s="1370">
        <v>0</v>
      </c>
      <c r="M84" s="1370">
        <v>0</v>
      </c>
      <c r="N84" s="725">
        <v>75663.031000000003</v>
      </c>
      <c r="O84" s="320">
        <v>113182.6</v>
      </c>
      <c r="P84" s="1371">
        <v>0</v>
      </c>
      <c r="Q84" s="725">
        <v>75663.031000000003</v>
      </c>
      <c r="R84" s="1372">
        <f t="shared" si="4"/>
        <v>0</v>
      </c>
      <c r="S84" s="1373">
        <v>76165.035000000003</v>
      </c>
      <c r="T84" s="1374">
        <v>0</v>
      </c>
      <c r="U84" s="1372">
        <f t="shared" si="5"/>
        <v>37017.565000000002</v>
      </c>
      <c r="V84" s="1373">
        <v>0</v>
      </c>
      <c r="W84" s="1395">
        <f t="shared" si="6"/>
        <v>0</v>
      </c>
      <c r="X84" s="532"/>
      <c r="Y84" s="520">
        <f t="shared" si="14"/>
        <v>-187833.70361573552</v>
      </c>
      <c r="Z84" s="520">
        <f t="shared" si="7"/>
        <v>187833.70361573552</v>
      </c>
      <c r="AA84" s="520">
        <f t="shared" si="8"/>
        <v>80358.37716696001</v>
      </c>
      <c r="AB84" s="520">
        <f t="shared" si="15"/>
        <v>107475.32644877551</v>
      </c>
      <c r="AC84" s="525">
        <f t="shared" si="16"/>
        <v>6258311.4213309139</v>
      </c>
      <c r="AF84" s="829"/>
    </row>
    <row r="85" spans="3:36" x14ac:dyDescent="0.2">
      <c r="C85" s="387">
        <f t="shared" si="9"/>
        <v>43266</v>
      </c>
      <c r="D85" s="1392">
        <f t="shared" si="10"/>
        <v>155314.35733333332</v>
      </c>
      <c r="E85" s="1368">
        <f t="shared" si="11"/>
        <v>14901.782933333334</v>
      </c>
      <c r="F85" s="389">
        <f t="shared" si="12"/>
        <v>187699.49031299999</v>
      </c>
      <c r="G85" s="1393">
        <f t="shared" si="2"/>
        <v>1.00893743</v>
      </c>
      <c r="H85" s="390">
        <f t="shared" si="13"/>
        <v>189.37700000000001</v>
      </c>
      <c r="I85" s="1394">
        <f t="shared" si="3"/>
        <v>358106.01651709661</v>
      </c>
      <c r="J85" s="1369">
        <v>74999.700364137767</v>
      </c>
      <c r="K85" s="1370">
        <v>112939.50883689462</v>
      </c>
      <c r="L85" s="1370">
        <v>0</v>
      </c>
      <c r="M85" s="1370">
        <v>0</v>
      </c>
      <c r="N85" s="724">
        <v>74461.070313000004</v>
      </c>
      <c r="O85" s="318">
        <v>113238.42</v>
      </c>
      <c r="P85" s="1371">
        <v>0</v>
      </c>
      <c r="Q85" s="724">
        <v>74461.070000000007</v>
      </c>
      <c r="R85" s="1372">
        <f t="shared" si="4"/>
        <v>3.1299999682232738E-4</v>
      </c>
      <c r="S85" s="1373">
        <v>76031.588000000003</v>
      </c>
      <c r="T85" s="1374">
        <v>37206.841</v>
      </c>
      <c r="U85" s="1372">
        <f t="shared" si="5"/>
        <v>-9.0000000054715201E-3</v>
      </c>
      <c r="V85" s="1373">
        <v>0</v>
      </c>
      <c r="W85" s="1395">
        <f t="shared" si="6"/>
        <v>0</v>
      </c>
      <c r="X85" s="532"/>
      <c r="Y85" s="520">
        <f t="shared" si="14"/>
        <v>-187939.20920103238</v>
      </c>
      <c r="Z85" s="520">
        <f t="shared" si="7"/>
        <v>187939.20920103238</v>
      </c>
      <c r="AA85" s="520">
        <f t="shared" si="8"/>
        <v>80217.583439160531</v>
      </c>
      <c r="AB85" s="520">
        <f t="shared" si="15"/>
        <v>107721.62576187185</v>
      </c>
      <c r="AC85" s="525">
        <f t="shared" si="16"/>
        <v>6366033.0470927861</v>
      </c>
      <c r="AF85" s="829"/>
    </row>
    <row r="86" spans="3:36" x14ac:dyDescent="0.2">
      <c r="C86" s="387">
        <f t="shared" si="9"/>
        <v>43267</v>
      </c>
      <c r="D86" s="1392">
        <f t="shared" si="10"/>
        <v>155314.35733333332</v>
      </c>
      <c r="E86" s="1368">
        <f t="shared" si="11"/>
        <v>14901.782933333334</v>
      </c>
      <c r="F86" s="389">
        <f t="shared" si="12"/>
        <v>188590.77499999999</v>
      </c>
      <c r="G86" s="1393">
        <f t="shared" si="2"/>
        <v>1.00893743</v>
      </c>
      <c r="H86" s="390">
        <f t="shared" si="13"/>
        <v>190.27629999999999</v>
      </c>
      <c r="I86" s="1394">
        <f t="shared" si="3"/>
        <v>358998.20050409669</v>
      </c>
      <c r="J86" s="1369">
        <v>74999.700364137767</v>
      </c>
      <c r="K86" s="1370">
        <v>112900.47177033477</v>
      </c>
      <c r="L86" s="1370">
        <v>0</v>
      </c>
      <c r="M86" s="1370">
        <v>0</v>
      </c>
      <c r="N86" s="725">
        <v>75268.875</v>
      </c>
      <c r="O86" s="320">
        <v>113321.9</v>
      </c>
      <c r="P86" s="1371">
        <v>0</v>
      </c>
      <c r="Q86" s="725">
        <v>75268.88</v>
      </c>
      <c r="R86" s="1372">
        <f t="shared" si="4"/>
        <v>-5.0000000046566129E-3</v>
      </c>
      <c r="S86" s="1373">
        <v>76080.622000000003</v>
      </c>
      <c r="T86" s="1374">
        <v>37241.273000000001</v>
      </c>
      <c r="U86" s="1372">
        <f t="shared" si="5"/>
        <v>4.9999999901046976E-3</v>
      </c>
      <c r="V86" s="1373">
        <v>0</v>
      </c>
      <c r="W86" s="1395">
        <f t="shared" si="6"/>
        <v>0</v>
      </c>
      <c r="X86" s="532"/>
      <c r="Y86" s="520">
        <f t="shared" si="14"/>
        <v>-187900.17213447252</v>
      </c>
      <c r="Z86" s="520">
        <f t="shared" si="7"/>
        <v>187900.17213447252</v>
      </c>
      <c r="AA86" s="520">
        <f t="shared" si="8"/>
        <v>80269.311449551999</v>
      </c>
      <c r="AB86" s="520">
        <f t="shared" si="15"/>
        <v>107630.86068492052</v>
      </c>
      <c r="AC86" s="525">
        <f t="shared" si="16"/>
        <v>6473663.9077777062</v>
      </c>
      <c r="AF86" s="829"/>
    </row>
    <row r="87" spans="3:36" x14ac:dyDescent="0.2">
      <c r="C87" s="387">
        <f t="shared" si="9"/>
        <v>43268</v>
      </c>
      <c r="D87" s="1392">
        <f t="shared" si="10"/>
        <v>155314.35733333332</v>
      </c>
      <c r="E87" s="1368">
        <f t="shared" si="11"/>
        <v>14901.782933333334</v>
      </c>
      <c r="F87" s="389">
        <f t="shared" si="12"/>
        <v>188803.89374999999</v>
      </c>
      <c r="G87" s="1393">
        <f t="shared" si="2"/>
        <v>1.00893743</v>
      </c>
      <c r="H87" s="390">
        <f t="shared" si="13"/>
        <v>190.4913</v>
      </c>
      <c r="I87" s="1394">
        <f t="shared" si="3"/>
        <v>359211.53425409662</v>
      </c>
      <c r="J87" s="1369">
        <v>74999.700364137767</v>
      </c>
      <c r="K87" s="1370">
        <v>112900.47177033477</v>
      </c>
      <c r="L87" s="1370">
        <v>0</v>
      </c>
      <c r="M87" s="1370">
        <v>0</v>
      </c>
      <c r="N87" s="724">
        <v>75434.34375</v>
      </c>
      <c r="O87" s="318">
        <v>113369.55</v>
      </c>
      <c r="P87" s="1371">
        <v>0</v>
      </c>
      <c r="Q87" s="724">
        <v>75434.34</v>
      </c>
      <c r="R87" s="1372">
        <f t="shared" si="4"/>
        <v>3.7500000034924597E-3</v>
      </c>
      <c r="S87" s="1373">
        <v>76096.351999999999</v>
      </c>
      <c r="T87" s="1374">
        <v>37273.180999999997</v>
      </c>
      <c r="U87" s="1372">
        <f t="shared" si="5"/>
        <v>1.7000000007101335E-2</v>
      </c>
      <c r="V87" s="1373">
        <v>0</v>
      </c>
      <c r="W87" s="1395">
        <f t="shared" si="6"/>
        <v>0</v>
      </c>
      <c r="X87" s="532"/>
      <c r="Y87" s="520">
        <f t="shared" si="14"/>
        <v>-187900.17213447252</v>
      </c>
      <c r="Z87" s="520">
        <f t="shared" si="7"/>
        <v>187900.17213447252</v>
      </c>
      <c r="AA87" s="520">
        <f t="shared" si="8"/>
        <v>80285.916712172009</v>
      </c>
      <c r="AB87" s="520">
        <f t="shared" si="15"/>
        <v>107614.25542230051</v>
      </c>
      <c r="AC87" s="525">
        <f t="shared" si="16"/>
        <v>6581278.1632000068</v>
      </c>
      <c r="AF87" s="829"/>
    </row>
    <row r="88" spans="3:36" x14ac:dyDescent="0.2">
      <c r="C88" s="387">
        <f t="shared" si="9"/>
        <v>43269</v>
      </c>
      <c r="D88" s="1392">
        <f t="shared" si="10"/>
        <v>155314.35733333332</v>
      </c>
      <c r="E88" s="1368">
        <f t="shared" si="11"/>
        <v>14901.782933333334</v>
      </c>
      <c r="F88" s="389">
        <f t="shared" si="12"/>
        <v>223036.31946950092</v>
      </c>
      <c r="G88" s="1393">
        <f t="shared" si="2"/>
        <v>1.00893743</v>
      </c>
      <c r="H88" s="390">
        <f t="shared" si="13"/>
        <v>225.02969999999999</v>
      </c>
      <c r="I88" s="1394">
        <f t="shared" si="3"/>
        <v>393478.49837359757</v>
      </c>
      <c r="J88" s="1369">
        <v>74999.700364137767</v>
      </c>
      <c r="K88" s="1370">
        <v>112900.47177033477</v>
      </c>
      <c r="L88" s="1370">
        <v>0</v>
      </c>
      <c r="M88" s="1370">
        <v>34424.362370664923</v>
      </c>
      <c r="N88" s="725">
        <v>75536.960938000004</v>
      </c>
      <c r="O88" s="320">
        <v>113143.06</v>
      </c>
      <c r="P88" s="1371">
        <v>34356.298531500921</v>
      </c>
      <c r="Q88" s="725">
        <v>75537</v>
      </c>
      <c r="R88" s="1372">
        <f t="shared" si="4"/>
        <v>-3.9061999996192753E-2</v>
      </c>
      <c r="S88" s="1373">
        <v>76162.236000000004</v>
      </c>
      <c r="T88" s="1374">
        <v>36980.845999999998</v>
      </c>
      <c r="U88" s="1372">
        <f t="shared" si="5"/>
        <v>-2.1999999997206032E-2</v>
      </c>
      <c r="V88" s="1373">
        <v>34356.300000000003</v>
      </c>
      <c r="W88" s="1395">
        <f t="shared" si="6"/>
        <v>-1.4684990819660015E-3</v>
      </c>
      <c r="X88" s="532"/>
      <c r="Y88" s="520">
        <f t="shared" si="14"/>
        <v>-187900.17213447252</v>
      </c>
      <c r="Z88" s="520">
        <f t="shared" si="7"/>
        <v>187900.17213447252</v>
      </c>
      <c r="AA88" s="520">
        <f t="shared" si="8"/>
        <v>80355.38130326978</v>
      </c>
      <c r="AB88" s="520">
        <f t="shared" si="15"/>
        <v>107544.79083120274</v>
      </c>
      <c r="AC88" s="525">
        <f t="shared" si="16"/>
        <v>6688822.9540312095</v>
      </c>
      <c r="AF88" s="829"/>
    </row>
    <row r="89" spans="3:36" x14ac:dyDescent="0.2">
      <c r="C89" s="387">
        <f t="shared" si="9"/>
        <v>43270</v>
      </c>
      <c r="D89" s="1392">
        <f t="shared" si="10"/>
        <v>155314.35733333332</v>
      </c>
      <c r="E89" s="1368">
        <f t="shared" si="11"/>
        <v>14901.782933333334</v>
      </c>
      <c r="F89" s="389">
        <f t="shared" si="12"/>
        <v>188733.56093800001</v>
      </c>
      <c r="G89" s="1393">
        <f t="shared" si="2"/>
        <v>1.00893743</v>
      </c>
      <c r="H89" s="390">
        <f t="shared" si="13"/>
        <v>190.4204</v>
      </c>
      <c r="I89" s="1394">
        <f t="shared" si="3"/>
        <v>359141.13054209662</v>
      </c>
      <c r="J89" s="1369">
        <v>74999.700364137767</v>
      </c>
      <c r="K89" s="1370">
        <v>112999.64702051383</v>
      </c>
      <c r="L89" s="1370">
        <v>0</v>
      </c>
      <c r="M89" s="1370">
        <v>0</v>
      </c>
      <c r="N89" s="724">
        <v>75824.710938000004</v>
      </c>
      <c r="O89" s="318">
        <v>112908.85</v>
      </c>
      <c r="P89" s="1371">
        <v>0</v>
      </c>
      <c r="Q89" s="724">
        <v>75824.710000000006</v>
      </c>
      <c r="R89" s="1372">
        <f t="shared" si="4"/>
        <v>9.3799999740440398E-4</v>
      </c>
      <c r="S89" s="1373">
        <v>76259.259000000005</v>
      </c>
      <c r="T89" s="1374">
        <v>36649.584000000003</v>
      </c>
      <c r="U89" s="1372">
        <f t="shared" si="5"/>
        <v>6.9999999977881089E-3</v>
      </c>
      <c r="V89" s="1373">
        <v>0</v>
      </c>
      <c r="W89" s="1395">
        <f t="shared" si="6"/>
        <v>0</v>
      </c>
      <c r="X89" s="532"/>
      <c r="Y89" s="520">
        <f t="shared" si="14"/>
        <v>-187999.3473846516</v>
      </c>
      <c r="Z89" s="520">
        <f t="shared" si="7"/>
        <v>187999.3473846516</v>
      </c>
      <c r="AA89" s="520">
        <f t="shared" si="8"/>
        <v>80457.789753146528</v>
      </c>
      <c r="AB89" s="520">
        <f t="shared" si="15"/>
        <v>107541.55763150507</v>
      </c>
      <c r="AC89" s="525">
        <f t="shared" si="16"/>
        <v>6796364.5116627142</v>
      </c>
      <c r="AF89" s="829"/>
    </row>
    <row r="90" spans="3:36" x14ac:dyDescent="0.2">
      <c r="C90" s="387">
        <f t="shared" si="9"/>
        <v>43271</v>
      </c>
      <c r="D90" s="1392">
        <f t="shared" si="10"/>
        <v>155314.35733333332</v>
      </c>
      <c r="E90" s="1368">
        <f t="shared" si="11"/>
        <v>14901.782933333334</v>
      </c>
      <c r="F90" s="389">
        <f t="shared" si="12"/>
        <v>166900.99890599999</v>
      </c>
      <c r="G90" s="1393">
        <f t="shared" si="2"/>
        <v>1.00893743</v>
      </c>
      <c r="H90" s="390">
        <f t="shared" si="13"/>
        <v>168.39269999999999</v>
      </c>
      <c r="I90" s="1394">
        <f t="shared" si="3"/>
        <v>337286.54081009666</v>
      </c>
      <c r="J90" s="1369">
        <v>74999.700364137767</v>
      </c>
      <c r="K90" s="1370">
        <v>112998.59196466087</v>
      </c>
      <c r="L90" s="1370">
        <v>0</v>
      </c>
      <c r="M90" s="1370">
        <v>0</v>
      </c>
      <c r="N90" s="725">
        <v>54051.878905999998</v>
      </c>
      <c r="O90" s="320">
        <v>112849.12</v>
      </c>
      <c r="P90" s="1371">
        <v>0</v>
      </c>
      <c r="Q90" s="725">
        <v>54051.88</v>
      </c>
      <c r="R90" s="1372">
        <f t="shared" si="4"/>
        <v>-1.0939999992842786E-3</v>
      </c>
      <c r="S90" s="1373">
        <v>76349.164000000004</v>
      </c>
      <c r="T90" s="1374">
        <v>36499.951000000001</v>
      </c>
      <c r="U90" s="1372">
        <f t="shared" si="5"/>
        <v>4.9999999901046976E-3</v>
      </c>
      <c r="V90" s="1373">
        <v>0</v>
      </c>
      <c r="W90" s="1395">
        <f t="shared" si="6"/>
        <v>0</v>
      </c>
      <c r="X90" s="532"/>
      <c r="Y90" s="520">
        <f t="shared" si="14"/>
        <v>-187998.29232879862</v>
      </c>
      <c r="Z90" s="520">
        <f t="shared" si="7"/>
        <v>187998.29232879862</v>
      </c>
      <c r="AA90" s="520">
        <f t="shared" si="8"/>
        <v>80552.642418952746</v>
      </c>
      <c r="AB90" s="520">
        <f t="shared" si="15"/>
        <v>107445.64990984587</v>
      </c>
      <c r="AC90" s="525">
        <f t="shared" si="16"/>
        <v>6903810.1615725597</v>
      </c>
      <c r="AF90" s="829"/>
    </row>
    <row r="91" spans="3:36" x14ac:dyDescent="0.2">
      <c r="C91" s="387">
        <f t="shared" si="9"/>
        <v>43272</v>
      </c>
      <c r="D91" s="1392">
        <f t="shared" si="10"/>
        <v>155314.35733333332</v>
      </c>
      <c r="E91" s="1368">
        <f t="shared" si="11"/>
        <v>14901.782933333334</v>
      </c>
      <c r="F91" s="389">
        <f t="shared" si="12"/>
        <v>241160.53282142515</v>
      </c>
      <c r="G91" s="1393">
        <f t="shared" si="2"/>
        <v>1.00893743</v>
      </c>
      <c r="H91" s="390">
        <f t="shared" si="13"/>
        <v>243.3159</v>
      </c>
      <c r="I91" s="1394">
        <f t="shared" si="3"/>
        <v>411620.99792552175</v>
      </c>
      <c r="J91" s="1369">
        <v>74999.700364137767</v>
      </c>
      <c r="K91" s="1370">
        <v>112999.64702051383</v>
      </c>
      <c r="L91" s="1370">
        <v>0</v>
      </c>
      <c r="M91" s="1370">
        <v>52113.428801539267</v>
      </c>
      <c r="N91" s="724">
        <v>75909.8125</v>
      </c>
      <c r="O91" s="318">
        <v>113173.98</v>
      </c>
      <c r="P91" s="1371">
        <v>52076.740321425161</v>
      </c>
      <c r="Q91" s="724">
        <v>75909.81</v>
      </c>
      <c r="R91" s="1372">
        <f t="shared" si="4"/>
        <v>2.5000000023283064E-3</v>
      </c>
      <c r="S91" s="1373">
        <v>76386.106</v>
      </c>
      <c r="T91" s="1374">
        <v>36787.853999999999</v>
      </c>
      <c r="U91" s="1372">
        <f t="shared" si="5"/>
        <v>2.0000000004074536E-2</v>
      </c>
      <c r="V91" s="1373">
        <v>52076.74</v>
      </c>
      <c r="W91" s="1395">
        <f t="shared" si="6"/>
        <v>3.2142516283784062E-4</v>
      </c>
      <c r="X91" s="532"/>
      <c r="Y91" s="520">
        <f t="shared" si="14"/>
        <v>-187999.3473846516</v>
      </c>
      <c r="Z91" s="520">
        <f t="shared" si="7"/>
        <v>187999.3473846516</v>
      </c>
      <c r="AA91" s="520">
        <f t="shared" si="8"/>
        <v>80591.622428697548</v>
      </c>
      <c r="AB91" s="520">
        <f t="shared" si="15"/>
        <v>107407.72495595405</v>
      </c>
      <c r="AC91" s="525">
        <f t="shared" si="16"/>
        <v>7011217.8865285134</v>
      </c>
      <c r="AF91" s="829"/>
    </row>
    <row r="92" spans="3:36" x14ac:dyDescent="0.2">
      <c r="C92" s="387">
        <f t="shared" si="9"/>
        <v>43273</v>
      </c>
      <c r="D92" s="1392">
        <f t="shared" si="10"/>
        <v>155314.35733333332</v>
      </c>
      <c r="E92" s="1368">
        <f t="shared" si="11"/>
        <v>14901.782933333334</v>
      </c>
      <c r="F92" s="389">
        <f t="shared" si="12"/>
        <v>235886.83207568381</v>
      </c>
      <c r="G92" s="1393">
        <f t="shared" si="2"/>
        <v>1.00893743</v>
      </c>
      <c r="H92" s="390">
        <f t="shared" si="13"/>
        <v>237.99510000000001</v>
      </c>
      <c r="I92" s="1394">
        <f t="shared" si="3"/>
        <v>406341.97637978045</v>
      </c>
      <c r="J92" s="1369">
        <v>74999.700364137767</v>
      </c>
      <c r="K92" s="1370">
        <v>112999.64702051383</v>
      </c>
      <c r="L92" s="1370">
        <v>0</v>
      </c>
      <c r="M92" s="1370">
        <v>46609.202416601212</v>
      </c>
      <c r="N92" s="725">
        <v>75610.75</v>
      </c>
      <c r="O92" s="320">
        <v>113712.08</v>
      </c>
      <c r="P92" s="1371">
        <v>46564.002075683791</v>
      </c>
      <c r="Q92" s="725">
        <v>75610.75</v>
      </c>
      <c r="R92" s="1372">
        <f t="shared" si="4"/>
        <v>0</v>
      </c>
      <c r="S92" s="1373">
        <v>76866.206999999995</v>
      </c>
      <c r="T92" s="1374">
        <v>36845.881000000001</v>
      </c>
      <c r="U92" s="1372">
        <f t="shared" si="5"/>
        <v>-7.9999999870778993E-3</v>
      </c>
      <c r="V92" s="1373">
        <v>46563.53</v>
      </c>
      <c r="W92" s="1395">
        <f t="shared" si="6"/>
        <v>0.47207568379235454</v>
      </c>
      <c r="X92" s="532"/>
      <c r="Y92" s="520">
        <f t="shared" si="14"/>
        <v>-187999.3473846516</v>
      </c>
      <c r="Z92" s="520">
        <f t="shared" si="7"/>
        <v>187999.3473846516</v>
      </c>
      <c r="AA92" s="520">
        <f t="shared" si="8"/>
        <v>81098.650958874627</v>
      </c>
      <c r="AB92" s="520">
        <f t="shared" si="15"/>
        <v>106900.69642577697</v>
      </c>
      <c r="AC92" s="525">
        <f t="shared" si="16"/>
        <v>7118118.5829542903</v>
      </c>
      <c r="AF92" s="829"/>
    </row>
    <row r="93" spans="3:36" x14ac:dyDescent="0.2">
      <c r="C93" s="387">
        <f t="shared" si="9"/>
        <v>43274</v>
      </c>
      <c r="D93" s="1392">
        <f t="shared" si="10"/>
        <v>155314.35733333332</v>
      </c>
      <c r="E93" s="1368">
        <f t="shared" si="11"/>
        <v>14901.782933333334</v>
      </c>
      <c r="F93" s="389">
        <f t="shared" si="12"/>
        <v>228730.31878089602</v>
      </c>
      <c r="G93" s="1393">
        <f t="shared" si="2"/>
        <v>1.00893743</v>
      </c>
      <c r="H93" s="390">
        <f t="shared" si="13"/>
        <v>230.77459999999999</v>
      </c>
      <c r="I93" s="1394">
        <f t="shared" si="3"/>
        <v>399178.24258499267</v>
      </c>
      <c r="J93" s="1369">
        <v>74999.700364137767</v>
      </c>
      <c r="K93" s="1370">
        <v>112899.41671448181</v>
      </c>
      <c r="L93" s="1370">
        <v>0</v>
      </c>
      <c r="M93" s="1370">
        <v>40000.332553604858</v>
      </c>
      <c r="N93" s="724">
        <v>75726.236999999994</v>
      </c>
      <c r="O93" s="318">
        <v>113053.08</v>
      </c>
      <c r="P93" s="1371">
        <v>39951.001780896047</v>
      </c>
      <c r="Q93" s="724">
        <v>75726.23</v>
      </c>
      <c r="R93" s="1372">
        <f t="shared" si="4"/>
        <v>6.9999999977881089E-3</v>
      </c>
      <c r="S93" s="1373">
        <v>76801.209000000003</v>
      </c>
      <c r="T93" s="1374">
        <v>36251.892999999996</v>
      </c>
      <c r="U93" s="1372">
        <f t="shared" si="5"/>
        <v>-2.1999999997206032E-2</v>
      </c>
      <c r="V93" s="1373">
        <v>39951.379999999997</v>
      </c>
      <c r="W93" s="1395">
        <f t="shared" si="6"/>
        <v>-0.37821910394995939</v>
      </c>
      <c r="X93" s="532"/>
      <c r="Y93" s="520">
        <f t="shared" si="14"/>
        <v>-187899.11707861957</v>
      </c>
      <c r="Z93" s="520">
        <f t="shared" si="7"/>
        <v>187899.11707861957</v>
      </c>
      <c r="AA93" s="520">
        <f t="shared" si="8"/>
        <v>81029.184705761058</v>
      </c>
      <c r="AB93" s="520">
        <f t="shared" si="15"/>
        <v>106869.93237285852</v>
      </c>
      <c r="AC93" s="525">
        <f t="shared" si="16"/>
        <v>7224988.5153271491</v>
      </c>
      <c r="AF93" s="829"/>
    </row>
    <row r="94" spans="3:36" x14ac:dyDescent="0.2">
      <c r="C94" s="387">
        <f t="shared" si="9"/>
        <v>43275</v>
      </c>
      <c r="D94" s="1392">
        <f t="shared" si="10"/>
        <v>155314.35733333332</v>
      </c>
      <c r="E94" s="1368">
        <f t="shared" si="11"/>
        <v>14901.782933333334</v>
      </c>
      <c r="F94" s="389">
        <f t="shared" si="12"/>
        <v>229108.07928223338</v>
      </c>
      <c r="G94" s="1393">
        <f t="shared" si="2"/>
        <v>1.00893743</v>
      </c>
      <c r="H94" s="390">
        <f t="shared" si="13"/>
        <v>231.1557</v>
      </c>
      <c r="I94" s="1394">
        <f t="shared" si="3"/>
        <v>399556.38418633002</v>
      </c>
      <c r="J94" s="1369">
        <v>74999.700364137767</v>
      </c>
      <c r="K94" s="1370">
        <v>112899.41671448181</v>
      </c>
      <c r="L94" s="1370">
        <v>0</v>
      </c>
      <c r="M94" s="1370">
        <v>40000.332553604858</v>
      </c>
      <c r="N94" s="725">
        <v>75568.1875</v>
      </c>
      <c r="O94" s="320">
        <v>113558.89</v>
      </c>
      <c r="P94" s="1371">
        <v>39981.001782233354</v>
      </c>
      <c r="Q94" s="725">
        <v>75568.19</v>
      </c>
      <c r="R94" s="1372">
        <f t="shared" si="4"/>
        <v>-2.5000000023283064E-3</v>
      </c>
      <c r="S94" s="1373">
        <v>76887.304999999993</v>
      </c>
      <c r="T94" s="1374">
        <v>36671.561000000002</v>
      </c>
      <c r="U94" s="1372">
        <f t="shared" si="5"/>
        <v>2.4000000004889444E-2</v>
      </c>
      <c r="V94" s="1373">
        <v>39981.279999999999</v>
      </c>
      <c r="W94" s="1395">
        <f t="shared" si="6"/>
        <v>-0.27821776664495701</v>
      </c>
      <c r="X94" s="532"/>
      <c r="Y94" s="520">
        <f t="shared" si="14"/>
        <v>-187899.11707861957</v>
      </c>
      <c r="Z94" s="520">
        <f t="shared" si="7"/>
        <v>187899.11707861957</v>
      </c>
      <c r="AA94" s="520">
        <f t="shared" si="8"/>
        <v>81120.116291115992</v>
      </c>
      <c r="AB94" s="520">
        <f t="shared" si="15"/>
        <v>106779.00078750358</v>
      </c>
      <c r="AC94" s="525">
        <f t="shared" si="16"/>
        <v>7331767.5161146531</v>
      </c>
      <c r="AG94" s="843"/>
      <c r="AH94" s="843"/>
      <c r="AI94" s="843"/>
      <c r="AJ94" s="843"/>
    </row>
    <row r="95" spans="3:36" x14ac:dyDescent="0.2">
      <c r="C95" s="387">
        <f t="shared" si="9"/>
        <v>43276</v>
      </c>
      <c r="D95" s="1392">
        <f t="shared" si="10"/>
        <v>155314.35733333332</v>
      </c>
      <c r="E95" s="1368">
        <f t="shared" si="11"/>
        <v>14901.782933333334</v>
      </c>
      <c r="F95" s="389">
        <f t="shared" si="12"/>
        <v>229209.1309813846</v>
      </c>
      <c r="G95" s="1393">
        <f t="shared" si="2"/>
        <v>1.00893743</v>
      </c>
      <c r="H95" s="390">
        <f t="shared" si="13"/>
        <v>231.2577</v>
      </c>
      <c r="I95" s="1394">
        <f t="shared" si="3"/>
        <v>399657.53788548126</v>
      </c>
      <c r="J95" s="1369">
        <v>74999.700364137767</v>
      </c>
      <c r="K95" s="1370">
        <v>112899.41671448181</v>
      </c>
      <c r="L95" s="1370">
        <v>0</v>
      </c>
      <c r="M95" s="1370">
        <v>40000.332553604858</v>
      </c>
      <c r="N95" s="724">
        <v>75804.929688000004</v>
      </c>
      <c r="O95" s="318">
        <v>113511.7</v>
      </c>
      <c r="P95" s="1371">
        <v>39892.501293384601</v>
      </c>
      <c r="Q95" s="724">
        <v>75804.929999999993</v>
      </c>
      <c r="R95" s="1372">
        <f t="shared" si="4"/>
        <v>-3.1199998920783401E-4</v>
      </c>
      <c r="S95" s="1373">
        <v>76782.854999999996</v>
      </c>
      <c r="T95" s="1374">
        <v>36728.845000000001</v>
      </c>
      <c r="U95" s="1372">
        <f t="shared" si="5"/>
        <v>0</v>
      </c>
      <c r="V95" s="1373">
        <v>39892.480000000003</v>
      </c>
      <c r="W95" s="1395">
        <f t="shared" si="6"/>
        <v>2.1293384597811382E-2</v>
      </c>
      <c r="X95" s="532"/>
      <c r="Y95" s="520">
        <f t="shared" si="14"/>
        <v>-187899.11707861957</v>
      </c>
      <c r="Z95" s="520">
        <f t="shared" si="7"/>
        <v>187899.11707861957</v>
      </c>
      <c r="AA95" s="520">
        <f t="shared" si="8"/>
        <v>81010.234001415709</v>
      </c>
      <c r="AB95" s="520">
        <f t="shared" si="15"/>
        <v>106888.88307720386</v>
      </c>
      <c r="AC95" s="525">
        <f t="shared" si="16"/>
        <v>7438656.3991918573</v>
      </c>
      <c r="AG95" s="843"/>
      <c r="AH95" s="843"/>
      <c r="AI95" s="843"/>
      <c r="AJ95" s="843"/>
    </row>
    <row r="96" spans="3:36" x14ac:dyDescent="0.2">
      <c r="C96" s="387">
        <f t="shared" si="9"/>
        <v>43277</v>
      </c>
      <c r="D96" s="1392">
        <f t="shared" si="10"/>
        <v>155314.35733333332</v>
      </c>
      <c r="E96" s="1368">
        <f t="shared" si="11"/>
        <v>14901.782933333334</v>
      </c>
      <c r="F96" s="389">
        <f t="shared" si="12"/>
        <v>230252.29429246823</v>
      </c>
      <c r="G96" s="1393">
        <f t="shared" si="2"/>
        <v>1.00893743</v>
      </c>
      <c r="H96" s="390">
        <f t="shared" si="13"/>
        <v>232.31020000000001</v>
      </c>
      <c r="I96" s="1394">
        <f t="shared" si="3"/>
        <v>400701.75369656488</v>
      </c>
      <c r="J96" s="1369">
        <v>74999.700364137767</v>
      </c>
      <c r="K96" s="1370">
        <v>112999.64702051383</v>
      </c>
      <c r="L96" s="1370">
        <v>0</v>
      </c>
      <c r="M96" s="1370">
        <v>40001.387609457823</v>
      </c>
      <c r="N96" s="725">
        <v>75771.5625</v>
      </c>
      <c r="O96" s="320">
        <v>114270.13</v>
      </c>
      <c r="P96" s="1371">
        <v>40210.601792468231</v>
      </c>
      <c r="Q96" s="725">
        <v>75771</v>
      </c>
      <c r="R96" s="1372">
        <f t="shared" si="4"/>
        <v>0.5625</v>
      </c>
      <c r="S96" s="1373">
        <v>77213.873000000007</v>
      </c>
      <c r="T96" s="1374">
        <v>37056.264999999999</v>
      </c>
      <c r="U96" s="1372">
        <f t="shared" si="5"/>
        <v>-8.0000000016298145E-3</v>
      </c>
      <c r="V96" s="1373">
        <v>40224.485999999997</v>
      </c>
      <c r="W96" s="1395">
        <f t="shared" si="6"/>
        <v>-13.884207531766151</v>
      </c>
      <c r="X96" s="532"/>
      <c r="Y96" s="520">
        <f t="shared" si="14"/>
        <v>-187999.3473846516</v>
      </c>
      <c r="Z96" s="520">
        <f t="shared" si="7"/>
        <v>187999.3473846516</v>
      </c>
      <c r="AA96" s="520">
        <f t="shared" si="8"/>
        <v>81450.904844426375</v>
      </c>
      <c r="AB96" s="520">
        <f t="shared" si="15"/>
        <v>106548.44254022522</v>
      </c>
      <c r="AC96" s="525">
        <f t="shared" si="16"/>
        <v>7545204.8417320829</v>
      </c>
      <c r="AG96" s="843"/>
      <c r="AH96" s="843"/>
      <c r="AI96" s="843"/>
      <c r="AJ96" s="843"/>
    </row>
    <row r="97" spans="2:42" x14ac:dyDescent="0.2">
      <c r="C97" s="387">
        <f t="shared" si="9"/>
        <v>43278</v>
      </c>
      <c r="D97" s="1392">
        <f t="shared" si="10"/>
        <v>155314.35733333332</v>
      </c>
      <c r="E97" s="1368">
        <f t="shared" si="11"/>
        <v>14901.782933333334</v>
      </c>
      <c r="F97" s="389">
        <f t="shared" si="12"/>
        <v>189523.71437499998</v>
      </c>
      <c r="G97" s="1393">
        <f t="shared" si="2"/>
        <v>1.00893743</v>
      </c>
      <c r="H97" s="390">
        <f t="shared" si="13"/>
        <v>191.2176</v>
      </c>
      <c r="I97" s="1394">
        <f t="shared" si="3"/>
        <v>359932.0811790966</v>
      </c>
      <c r="J97" s="1369">
        <v>74999.700364137767</v>
      </c>
      <c r="K97" s="1370">
        <v>113000.70207636681</v>
      </c>
      <c r="L97" s="1370">
        <v>0</v>
      </c>
      <c r="M97" s="1370">
        <v>0</v>
      </c>
      <c r="N97" s="724">
        <v>75329.734375</v>
      </c>
      <c r="O97" s="318">
        <v>114193.98</v>
      </c>
      <c r="P97" s="1371">
        <v>0</v>
      </c>
      <c r="Q97" s="724">
        <v>75329.733999999997</v>
      </c>
      <c r="R97" s="1372">
        <f t="shared" si="4"/>
        <v>3.7500000325962901E-4</v>
      </c>
      <c r="S97" s="1373">
        <v>77189.145000000004</v>
      </c>
      <c r="T97" s="1374">
        <v>37004.839999999997</v>
      </c>
      <c r="U97" s="1372">
        <f t="shared" si="5"/>
        <v>-5.0000000046566129E-3</v>
      </c>
      <c r="V97" s="1373">
        <v>0</v>
      </c>
      <c r="W97" s="1395">
        <f t="shared" si="6"/>
        <v>0</v>
      </c>
      <c r="X97" s="532"/>
      <c r="Y97" s="520">
        <f t="shared" si="14"/>
        <v>-188000.40244050458</v>
      </c>
      <c r="Z97" s="520">
        <f t="shared" si="7"/>
        <v>188000.40244050458</v>
      </c>
      <c r="AA97" s="520">
        <f t="shared" si="8"/>
        <v>81438.870962766014</v>
      </c>
      <c r="AB97" s="520">
        <f t="shared" si="15"/>
        <v>106561.53147773856</v>
      </c>
      <c r="AC97" s="525">
        <f t="shared" si="16"/>
        <v>7651766.3732098211</v>
      </c>
      <c r="AG97" s="843"/>
      <c r="AH97" s="843"/>
      <c r="AI97" s="843"/>
      <c r="AJ97" s="843"/>
    </row>
    <row r="98" spans="2:42" x14ac:dyDescent="0.2">
      <c r="C98" s="387">
        <f t="shared" si="9"/>
        <v>43279</v>
      </c>
      <c r="D98" s="1392">
        <f t="shared" si="10"/>
        <v>155314.35733333332</v>
      </c>
      <c r="E98" s="1368">
        <f t="shared" si="11"/>
        <v>14901.782933333334</v>
      </c>
      <c r="F98" s="389">
        <f t="shared" si="12"/>
        <v>190495.06562499999</v>
      </c>
      <c r="G98" s="1393">
        <f t="shared" si="2"/>
        <v>1.00893743</v>
      </c>
      <c r="H98" s="390">
        <f t="shared" si="13"/>
        <v>192.19759999999999</v>
      </c>
      <c r="I98" s="1394">
        <f t="shared" si="3"/>
        <v>360904.41242909664</v>
      </c>
      <c r="J98" s="1369">
        <v>74999.700364137767</v>
      </c>
      <c r="K98" s="1370">
        <v>113499.74349482103</v>
      </c>
      <c r="L98" s="1370">
        <v>0</v>
      </c>
      <c r="M98" s="1370">
        <v>0</v>
      </c>
      <c r="N98" s="725">
        <v>75203.015625</v>
      </c>
      <c r="O98" s="320">
        <v>115292.05</v>
      </c>
      <c r="P98" s="1371">
        <v>0</v>
      </c>
      <c r="Q98" s="725">
        <v>75203.016000000003</v>
      </c>
      <c r="R98" s="1372">
        <f t="shared" si="4"/>
        <v>-3.7500000325962901E-4</v>
      </c>
      <c r="S98" s="1373">
        <v>78044.828999999998</v>
      </c>
      <c r="T98" s="1374">
        <v>37247.222999999998</v>
      </c>
      <c r="U98" s="1372">
        <f t="shared" si="5"/>
        <v>-1.999999993131496E-3</v>
      </c>
      <c r="V98" s="1373">
        <v>0</v>
      </c>
      <c r="W98" s="1395">
        <f t="shared" si="6"/>
        <v>0</v>
      </c>
      <c r="X98" s="532"/>
      <c r="Y98" s="520">
        <f t="shared" si="14"/>
        <v>-188499.44385895878</v>
      </c>
      <c r="Z98" s="520">
        <f t="shared" si="7"/>
        <v>188499.44385895878</v>
      </c>
      <c r="AA98" s="520">
        <f t="shared" si="8"/>
        <v>82341.664709777993</v>
      </c>
      <c r="AB98" s="520">
        <f t="shared" si="15"/>
        <v>106157.77914918079</v>
      </c>
      <c r="AC98" s="525">
        <f t="shared" si="16"/>
        <v>7757924.1523590023</v>
      </c>
      <c r="AG98" s="843"/>
      <c r="AH98" s="843"/>
      <c r="AI98" s="843"/>
      <c r="AJ98" s="843"/>
    </row>
    <row r="99" spans="2:42" x14ac:dyDescent="0.2">
      <c r="C99" s="387">
        <f t="shared" si="9"/>
        <v>43280</v>
      </c>
      <c r="D99" s="1392">
        <f t="shared" si="10"/>
        <v>155314.35733333332</v>
      </c>
      <c r="E99" s="1368">
        <f t="shared" si="11"/>
        <v>14901.782933333334</v>
      </c>
      <c r="F99" s="389">
        <f t="shared" si="12"/>
        <v>189542.92281299998</v>
      </c>
      <c r="G99" s="1393">
        <f t="shared" si="2"/>
        <v>1.00893743</v>
      </c>
      <c r="H99" s="390">
        <f t="shared" si="13"/>
        <v>191.23689999999999</v>
      </c>
      <c r="I99" s="1394">
        <f t="shared" si="3"/>
        <v>359951.30891709664</v>
      </c>
      <c r="J99" s="1369">
        <v>74999.700364137767</v>
      </c>
      <c r="K99" s="1370">
        <v>114499.93644343542</v>
      </c>
      <c r="L99" s="1370">
        <v>0</v>
      </c>
      <c r="M99" s="1370">
        <v>0</v>
      </c>
      <c r="N99" s="724">
        <v>75343.132813000004</v>
      </c>
      <c r="O99" s="318">
        <v>114199.79</v>
      </c>
      <c r="P99" s="1371">
        <v>0</v>
      </c>
      <c r="Q99" s="724">
        <v>75343.133000000002</v>
      </c>
      <c r="R99" s="1372">
        <f t="shared" si="4"/>
        <v>-1.8699999782256782E-4</v>
      </c>
      <c r="S99" s="1373">
        <v>76723.937999999995</v>
      </c>
      <c r="T99" s="1374">
        <v>37475.856</v>
      </c>
      <c r="U99" s="1372">
        <f t="shared" si="5"/>
        <v>-4.0000000008149073E-3</v>
      </c>
      <c r="V99" s="1373">
        <v>0</v>
      </c>
      <c r="W99" s="1395">
        <f t="shared" si="6"/>
        <v>0</v>
      </c>
      <c r="X99" s="532"/>
      <c r="Y99" s="520">
        <f t="shared" si="14"/>
        <v>-189499.6368075732</v>
      </c>
      <c r="Z99" s="520">
        <f t="shared" si="7"/>
        <v>189499.6368075732</v>
      </c>
      <c r="AA99" s="520">
        <f t="shared" si="8"/>
        <v>80948.050933232531</v>
      </c>
      <c r="AB99" s="520">
        <f t="shared" si="15"/>
        <v>108551.58587434067</v>
      </c>
      <c r="AC99" s="525">
        <f t="shared" si="16"/>
        <v>7866475.7382333428</v>
      </c>
      <c r="AG99" s="843"/>
      <c r="AH99" s="843"/>
      <c r="AI99" s="843"/>
      <c r="AJ99" s="843"/>
    </row>
    <row r="100" spans="2:42" ht="13.5" thickBot="1" x14ac:dyDescent="0.25">
      <c r="C100" s="393">
        <f t="shared" si="9"/>
        <v>43281</v>
      </c>
      <c r="D100" s="1396">
        <f t="shared" si="10"/>
        <v>155314.35733333332</v>
      </c>
      <c r="E100" s="1376">
        <f t="shared" si="11"/>
        <v>14901.782933333334</v>
      </c>
      <c r="F100" s="1397">
        <f t="shared" si="12"/>
        <v>189177.31125</v>
      </c>
      <c r="G100" s="1398">
        <f t="shared" si="2"/>
        <v>1.00893743</v>
      </c>
      <c r="H100" s="396">
        <f t="shared" si="13"/>
        <v>190.8681</v>
      </c>
      <c r="I100" s="1399">
        <f t="shared" si="3"/>
        <v>359585.32855409669</v>
      </c>
      <c r="J100" s="1377">
        <v>0</v>
      </c>
      <c r="K100" s="1378">
        <v>0</v>
      </c>
      <c r="L100" s="1378">
        <v>0</v>
      </c>
      <c r="M100" s="1378">
        <v>0</v>
      </c>
      <c r="N100" s="749">
        <v>75543.78125</v>
      </c>
      <c r="O100" s="750">
        <v>113633.53</v>
      </c>
      <c r="P100" s="1379">
        <v>0</v>
      </c>
      <c r="Q100" s="1400">
        <v>75543.781000000003</v>
      </c>
      <c r="R100" s="1380">
        <f t="shared" si="4"/>
        <v>2.499999973224476E-4</v>
      </c>
      <c r="S100" s="1381">
        <v>76113.370999999999</v>
      </c>
      <c r="T100" s="1382">
        <v>37520.159</v>
      </c>
      <c r="U100" s="1380">
        <f t="shared" si="5"/>
        <v>0</v>
      </c>
      <c r="V100" s="1381">
        <v>0</v>
      </c>
      <c r="W100" s="1401">
        <f t="shared" si="6"/>
        <v>0</v>
      </c>
      <c r="X100" s="560"/>
      <c r="Y100" s="528">
        <f t="shared" si="14"/>
        <v>0</v>
      </c>
      <c r="Z100" s="528">
        <f t="shared" si="7"/>
        <v>0</v>
      </c>
      <c r="AA100" s="528">
        <f t="shared" si="8"/>
        <v>80303.869017539997</v>
      </c>
      <c r="AB100" s="528">
        <f t="shared" si="15"/>
        <v>-80303.869017539997</v>
      </c>
      <c r="AC100" s="529">
        <f t="shared" si="16"/>
        <v>7786171.8692158032</v>
      </c>
      <c r="AG100" s="843"/>
      <c r="AH100" s="843"/>
      <c r="AI100" s="843"/>
      <c r="AJ100" s="843"/>
    </row>
    <row r="101" spans="2:42" ht="13.5" thickBot="1" x14ac:dyDescent="0.25">
      <c r="C101" s="953"/>
      <c r="D101" s="954">
        <f>SUM(D71:D100)</f>
        <v>4659430.7199999979</v>
      </c>
      <c r="E101" s="954">
        <f>SUM(E71:E100)</f>
        <v>447053.48799999966</v>
      </c>
      <c r="F101" s="955">
        <f>SUM(F71:F100)</f>
        <v>5935375.2926735934</v>
      </c>
      <c r="G101" s="955"/>
      <c r="H101" s="956">
        <f t="shared" ref="H101:M101" si="17">SUM(H71:H100)</f>
        <v>5988.4223999999995</v>
      </c>
      <c r="I101" s="954">
        <f t="shared" si="17"/>
        <v>11047878.191196492</v>
      </c>
      <c r="J101" s="1024">
        <f t="shared" si="17"/>
        <v>2175991.5035086097</v>
      </c>
      <c r="K101" s="1024">
        <f t="shared" si="17"/>
        <v>3286605.5426388583</v>
      </c>
      <c r="L101" s="1024">
        <f t="shared" si="17"/>
        <v>0</v>
      </c>
      <c r="M101" s="1024">
        <f t="shared" si="17"/>
        <v>293149.37885907775</v>
      </c>
      <c r="N101" s="1024">
        <f>SUM(N71:N100)</f>
        <v>2244276.365096</v>
      </c>
      <c r="O101" s="1024">
        <f>SUM(O71:O100)</f>
        <v>3398066.78</v>
      </c>
      <c r="P101" s="1024">
        <f>SUM(P71:P100)</f>
        <v>293032.14757759211</v>
      </c>
      <c r="Q101" s="996">
        <f t="shared" ref="Q101:W101" si="18">SUM(Q71:Q100)</f>
        <v>2244277.8249999997</v>
      </c>
      <c r="R101" s="996">
        <f t="shared" si="18"/>
        <v>-1.4599040000102832</v>
      </c>
      <c r="S101" s="996">
        <f t="shared" si="18"/>
        <v>2292850.0809999998</v>
      </c>
      <c r="T101" s="996">
        <f t="shared" si="18"/>
        <v>1068199.2040000001</v>
      </c>
      <c r="U101" s="996">
        <f t="shared" si="18"/>
        <v>37017.495000000068</v>
      </c>
      <c r="V101" s="996">
        <f t="shared" si="18"/>
        <v>293046.196</v>
      </c>
      <c r="W101" s="996">
        <f t="shared" si="18"/>
        <v>-14.04842240789003</v>
      </c>
      <c r="X101" s="1056">
        <f>SUM(X71:X100)</f>
        <v>0</v>
      </c>
      <c r="Y101" s="959"/>
      <c r="Z101" s="960">
        <f>SUM(Z71:Z100)</f>
        <v>5462597.0461474685</v>
      </c>
      <c r="AA101" s="960">
        <f>SUM(AA71:AA100)</f>
        <v>2419068.8729067096</v>
      </c>
      <c r="AB101" s="960">
        <f>SUM(AB71:AB100)</f>
        <v>3043528.1732407585</v>
      </c>
      <c r="AC101" s="961" t="e">
        <f>#REF!</f>
        <v>#REF!</v>
      </c>
      <c r="AG101" s="843"/>
      <c r="AH101" s="843"/>
      <c r="AI101" s="843"/>
      <c r="AJ101" s="843"/>
      <c r="AP101" s="958" t="e">
        <f>#REF!</f>
        <v>#REF!</v>
      </c>
    </row>
    <row r="102" spans="2:42" ht="15" customHeight="1" thickBot="1" x14ac:dyDescent="0.25">
      <c r="B102" s="843"/>
      <c r="C102" s="843"/>
      <c r="D102" s="843"/>
      <c r="E102" s="843"/>
      <c r="F102" s="843"/>
      <c r="G102" s="843"/>
      <c r="H102" s="843"/>
      <c r="I102" s="843"/>
      <c r="J102" s="843"/>
      <c r="K102" s="843"/>
      <c r="L102" s="843"/>
      <c r="N102" s="843"/>
      <c r="S102" s="997">
        <f>S101/(S101+T101)</f>
        <v>0.68218282047595735</v>
      </c>
      <c r="T102" s="998">
        <f>T101/(S101+T101)</f>
        <v>0.31781717952404265</v>
      </c>
      <c r="Z102" s="829"/>
      <c r="AA102" s="829"/>
      <c r="AB102" s="829"/>
      <c r="AC102" s="829"/>
      <c r="AD102" s="829"/>
      <c r="AG102" s="843"/>
      <c r="AH102" s="843"/>
      <c r="AI102" s="843"/>
      <c r="AJ102" s="843"/>
    </row>
    <row r="103" spans="2:42" x14ac:dyDescent="0.2">
      <c r="D103" s="962" t="s">
        <v>155</v>
      </c>
      <c r="E103" s="963" t="s">
        <v>156</v>
      </c>
      <c r="F103" s="964" t="s">
        <v>112</v>
      </c>
      <c r="Z103" s="829"/>
      <c r="AA103" s="829"/>
      <c r="AG103" s="843"/>
      <c r="AH103" s="843"/>
      <c r="AI103" s="843"/>
    </row>
    <row r="104" spans="2:42" x14ac:dyDescent="0.2">
      <c r="D104" s="965">
        <v>4659430.72</v>
      </c>
      <c r="E104" s="966">
        <f>D101</f>
        <v>4659430.7199999979</v>
      </c>
      <c r="F104" s="967">
        <f>D104-E104</f>
        <v>0</v>
      </c>
      <c r="G104" s="968"/>
      <c r="H104" s="968"/>
      <c r="I104" s="968"/>
      <c r="O104" s="827"/>
      <c r="P104" s="827"/>
      <c r="Q104" s="827"/>
      <c r="V104" s="829">
        <f>V101*0.94708628903179</f>
        <v>277540.03428452258</v>
      </c>
      <c r="Z104" s="829"/>
      <c r="AA104" s="829"/>
      <c r="AB104" s="829"/>
      <c r="AG104" s="843"/>
      <c r="AH104" s="843"/>
      <c r="AI104" s="843"/>
    </row>
    <row r="105" spans="2:42" x14ac:dyDescent="0.2">
      <c r="D105" s="965">
        <v>447053.49</v>
      </c>
      <c r="E105" s="966">
        <f>E101</f>
        <v>447053.48799999966</v>
      </c>
      <c r="F105" s="967">
        <f>D105-E105</f>
        <v>2.0000003278255463E-3</v>
      </c>
      <c r="G105" s="968"/>
      <c r="H105" s="968"/>
      <c r="I105" s="968"/>
      <c r="O105" s="827"/>
      <c r="P105" s="827"/>
      <c r="Q105" s="827"/>
      <c r="S105" s="958">
        <f>S101+T101</f>
        <v>3361049.2850000001</v>
      </c>
      <c r="Z105" s="829"/>
      <c r="AA105" s="829"/>
      <c r="AB105" s="829"/>
      <c r="AG105" s="843"/>
      <c r="AH105" s="843"/>
      <c r="AI105" s="843"/>
    </row>
    <row r="106" spans="2:42" ht="13.5" thickBot="1" x14ac:dyDescent="0.25">
      <c r="D106" s="969">
        <f>2264.33+3428.44+295.67</f>
        <v>5988.4400000000005</v>
      </c>
      <c r="E106" s="970">
        <f>ROUND(H101,2)</f>
        <v>5988.42</v>
      </c>
      <c r="F106" s="971">
        <f>D106-E106</f>
        <v>2.0000000000436557E-2</v>
      </c>
      <c r="G106" s="968"/>
      <c r="J106" s="1055"/>
      <c r="K106" s="1055"/>
      <c r="L106" s="1055"/>
      <c r="M106" s="1055"/>
      <c r="O106" s="827"/>
      <c r="P106" s="827"/>
      <c r="Q106" s="827"/>
      <c r="R106" s="828"/>
      <c r="S106" s="828"/>
      <c r="Z106" s="829"/>
      <c r="AA106" s="829"/>
      <c r="AB106" s="829"/>
      <c r="AG106" s="843"/>
      <c r="AH106" s="843"/>
      <c r="AI106" s="843"/>
    </row>
    <row r="107" spans="2:42" x14ac:dyDescent="0.2">
      <c r="D107" s="968"/>
      <c r="J107" s="1055"/>
      <c r="K107" s="1055"/>
      <c r="L107" s="1055"/>
      <c r="M107" s="1055"/>
      <c r="O107" s="827"/>
      <c r="P107" s="827"/>
      <c r="Q107" s="827"/>
      <c r="R107" s="828"/>
      <c r="S107" s="828"/>
    </row>
    <row r="108" spans="2:42" x14ac:dyDescent="0.2">
      <c r="J108" s="1055"/>
      <c r="K108" s="1055"/>
      <c r="L108" s="1055"/>
      <c r="M108" s="1055"/>
      <c r="O108" s="827"/>
      <c r="P108" s="827"/>
      <c r="Q108" s="827"/>
      <c r="R108" s="828"/>
      <c r="S108" s="828"/>
    </row>
    <row r="109" spans="2:42" x14ac:dyDescent="0.2">
      <c r="J109" s="1055"/>
      <c r="K109" s="1055"/>
      <c r="L109" s="1055"/>
      <c r="M109" s="1055"/>
      <c r="O109" s="827"/>
      <c r="P109" s="827"/>
      <c r="Q109" s="827"/>
      <c r="R109" s="828"/>
      <c r="S109" s="828"/>
    </row>
    <row r="110" spans="2:42" x14ac:dyDescent="0.2">
      <c r="J110" s="1055"/>
      <c r="K110" s="1055"/>
      <c r="L110" s="1055"/>
      <c r="M110" s="1055"/>
      <c r="O110" s="827"/>
      <c r="P110" s="827"/>
      <c r="Q110" s="827"/>
      <c r="R110" s="828"/>
      <c r="S110" s="828"/>
    </row>
    <row r="111" spans="2:42" x14ac:dyDescent="0.2">
      <c r="J111" s="1055"/>
      <c r="K111" s="1055"/>
      <c r="L111" s="1055"/>
      <c r="M111" s="1055"/>
      <c r="O111" s="827"/>
      <c r="P111" s="827"/>
      <c r="Q111" s="827"/>
      <c r="R111" s="828"/>
      <c r="S111" s="828"/>
    </row>
    <row r="112" spans="2:42" x14ac:dyDescent="0.2">
      <c r="J112" s="1055"/>
      <c r="K112" s="1055"/>
      <c r="L112" s="1055"/>
      <c r="M112" s="1055"/>
      <c r="O112" s="827"/>
      <c r="P112" s="827"/>
      <c r="Q112" s="827"/>
      <c r="R112" s="828"/>
      <c r="S112" s="828"/>
    </row>
    <row r="113" spans="10:19" x14ac:dyDescent="0.2">
      <c r="J113" s="1055"/>
      <c r="K113" s="1055"/>
      <c r="L113" s="1055"/>
      <c r="M113" s="1055"/>
      <c r="O113" s="827"/>
      <c r="P113" s="827"/>
      <c r="Q113" s="827"/>
      <c r="R113" s="828"/>
      <c r="S113" s="828"/>
    </row>
    <row r="114" spans="10:19" x14ac:dyDescent="0.2">
      <c r="J114" s="1055"/>
      <c r="K114" s="1055"/>
      <c r="L114" s="1055"/>
      <c r="M114" s="1055"/>
      <c r="O114" s="827"/>
      <c r="P114" s="827"/>
      <c r="Q114" s="827"/>
      <c r="R114" s="828"/>
      <c r="S114" s="828"/>
    </row>
    <row r="115" spans="10:19" x14ac:dyDescent="0.2">
      <c r="J115" s="1055"/>
      <c r="K115" s="1055"/>
      <c r="L115" s="1055"/>
      <c r="M115" s="1055"/>
      <c r="O115" s="827"/>
      <c r="P115" s="827"/>
      <c r="Q115" s="827"/>
      <c r="R115" s="828"/>
      <c r="S115" s="828"/>
    </row>
    <row r="116" spans="10:19" x14ac:dyDescent="0.2">
      <c r="J116" s="1055"/>
      <c r="K116" s="1055"/>
      <c r="L116" s="1055"/>
      <c r="M116" s="1055"/>
      <c r="O116" s="827"/>
      <c r="P116" s="827"/>
      <c r="Q116" s="827"/>
      <c r="R116" s="828"/>
      <c r="S116" s="828"/>
    </row>
    <row r="117" spans="10:19" x14ac:dyDescent="0.2">
      <c r="J117" s="1055"/>
      <c r="K117" s="1055"/>
      <c r="L117" s="1055"/>
      <c r="M117" s="1055"/>
      <c r="O117" s="827"/>
      <c r="P117" s="827"/>
      <c r="Q117" s="827"/>
      <c r="R117" s="828"/>
      <c r="S117" s="828"/>
    </row>
    <row r="118" spans="10:19" x14ac:dyDescent="0.2">
      <c r="J118" s="1055"/>
      <c r="K118" s="1055"/>
      <c r="L118" s="1055"/>
      <c r="M118" s="1055"/>
      <c r="O118" s="827"/>
      <c r="P118" s="827"/>
      <c r="Q118" s="827"/>
      <c r="R118" s="828"/>
      <c r="S118" s="828"/>
    </row>
    <row r="119" spans="10:19" x14ac:dyDescent="0.2">
      <c r="J119" s="1055"/>
      <c r="K119" s="1055"/>
      <c r="L119" s="1055"/>
      <c r="M119" s="1055"/>
      <c r="O119" s="827"/>
      <c r="P119" s="827"/>
      <c r="Q119" s="827"/>
      <c r="R119" s="828"/>
      <c r="S119" s="828"/>
    </row>
    <row r="120" spans="10:19" x14ac:dyDescent="0.2">
      <c r="J120" s="1055"/>
      <c r="K120" s="1055"/>
      <c r="L120" s="1055"/>
      <c r="M120" s="1055"/>
      <c r="O120" s="827"/>
      <c r="P120" s="827"/>
      <c r="Q120" s="827"/>
      <c r="R120" s="828"/>
      <c r="S120" s="828"/>
    </row>
    <row r="121" spans="10:19" x14ac:dyDescent="0.2">
      <c r="J121" s="1055"/>
      <c r="K121" s="1055"/>
      <c r="L121" s="1055"/>
      <c r="M121" s="1055"/>
      <c r="O121" s="827"/>
      <c r="P121" s="827"/>
      <c r="Q121" s="827"/>
      <c r="R121" s="828"/>
      <c r="S121" s="828"/>
    </row>
    <row r="122" spans="10:19" x14ac:dyDescent="0.2">
      <c r="J122" s="1055"/>
      <c r="K122" s="1055"/>
      <c r="L122" s="1055"/>
      <c r="M122" s="1055"/>
      <c r="O122" s="827"/>
      <c r="P122" s="827"/>
      <c r="Q122" s="827"/>
      <c r="R122" s="828"/>
      <c r="S122" s="828"/>
    </row>
    <row r="123" spans="10:19" x14ac:dyDescent="0.2">
      <c r="J123" s="1055"/>
      <c r="K123" s="1055"/>
      <c r="L123" s="1055"/>
      <c r="M123" s="1055"/>
      <c r="O123" s="827"/>
      <c r="P123" s="827"/>
      <c r="Q123" s="827"/>
      <c r="R123" s="828"/>
      <c r="S123" s="828"/>
    </row>
    <row r="124" spans="10:19" x14ac:dyDescent="0.2">
      <c r="J124" s="1055"/>
      <c r="K124" s="1055"/>
      <c r="L124" s="1055"/>
      <c r="M124" s="1055"/>
      <c r="O124" s="827"/>
      <c r="P124" s="827"/>
      <c r="Q124" s="827"/>
      <c r="R124" s="828"/>
      <c r="S124" s="828"/>
    </row>
    <row r="125" spans="10:19" x14ac:dyDescent="0.2">
      <c r="J125" s="1055"/>
      <c r="K125" s="1055"/>
      <c r="L125" s="1055"/>
      <c r="M125" s="1055"/>
      <c r="O125" s="827"/>
      <c r="P125" s="827"/>
      <c r="Q125" s="827"/>
      <c r="R125" s="828"/>
      <c r="S125" s="828"/>
    </row>
    <row r="126" spans="10:19" x14ac:dyDescent="0.2">
      <c r="J126" s="1055"/>
      <c r="K126" s="1055"/>
      <c r="L126" s="1055"/>
      <c r="M126" s="1055"/>
      <c r="O126" s="827"/>
      <c r="P126" s="827"/>
      <c r="Q126" s="827"/>
      <c r="R126" s="828"/>
      <c r="S126" s="828"/>
    </row>
    <row r="127" spans="10:19" x14ac:dyDescent="0.2">
      <c r="J127" s="1055"/>
      <c r="K127" s="1055"/>
      <c r="L127" s="1055"/>
      <c r="M127" s="1055"/>
      <c r="O127" s="827"/>
      <c r="P127" s="827"/>
      <c r="Q127" s="827"/>
      <c r="R127" s="828"/>
      <c r="S127" s="828"/>
    </row>
    <row r="128" spans="10:19" x14ac:dyDescent="0.2">
      <c r="J128" s="1055"/>
      <c r="K128" s="1055"/>
      <c r="L128" s="1055"/>
      <c r="M128" s="1055"/>
      <c r="O128" s="827"/>
      <c r="P128" s="827"/>
      <c r="Q128" s="827"/>
      <c r="R128" s="828"/>
      <c r="S128" s="828"/>
    </row>
    <row r="129" spans="10:19" x14ac:dyDescent="0.2">
      <c r="J129" s="1055"/>
      <c r="K129" s="1055"/>
      <c r="L129" s="1055"/>
      <c r="M129" s="1055"/>
      <c r="O129" s="827"/>
      <c r="P129" s="827"/>
      <c r="Q129" s="827"/>
      <c r="R129" s="828"/>
      <c r="S129" s="828"/>
    </row>
    <row r="130" spans="10:19" x14ac:dyDescent="0.2">
      <c r="J130" s="1055"/>
      <c r="K130" s="1055"/>
      <c r="L130" s="1055"/>
      <c r="M130" s="1055"/>
      <c r="O130" s="827"/>
      <c r="P130" s="827"/>
      <c r="Q130" s="827"/>
      <c r="R130" s="828"/>
      <c r="S130" s="828"/>
    </row>
    <row r="131" spans="10:19" x14ac:dyDescent="0.2">
      <c r="J131" s="1055"/>
      <c r="K131" s="1055"/>
      <c r="L131" s="1055"/>
      <c r="M131" s="1055"/>
      <c r="O131" s="827"/>
      <c r="P131" s="827"/>
      <c r="Q131" s="827"/>
      <c r="R131" s="828"/>
      <c r="S131" s="828"/>
    </row>
    <row r="132" spans="10:19" x14ac:dyDescent="0.2">
      <c r="J132" s="1055"/>
      <c r="K132" s="1055"/>
      <c r="L132" s="1055"/>
      <c r="M132" s="1055"/>
      <c r="O132" s="827"/>
      <c r="P132" s="827"/>
      <c r="Q132" s="827"/>
      <c r="R132" s="828"/>
      <c r="S132" s="828"/>
    </row>
    <row r="133" spans="10:19" x14ac:dyDescent="0.2">
      <c r="J133" s="1055"/>
      <c r="K133" s="1055"/>
      <c r="L133" s="1055"/>
      <c r="M133" s="1055"/>
      <c r="O133" s="827"/>
      <c r="P133" s="827"/>
      <c r="Q133" s="827"/>
      <c r="R133" s="828"/>
      <c r="S133" s="828"/>
    </row>
    <row r="134" spans="10:19" x14ac:dyDescent="0.2">
      <c r="J134" s="1055"/>
      <c r="K134" s="1055"/>
      <c r="L134" s="1055"/>
      <c r="M134" s="1055"/>
      <c r="O134" s="828"/>
      <c r="P134" s="1035"/>
      <c r="Q134" s="828"/>
      <c r="R134" s="828"/>
      <c r="S134" s="828"/>
    </row>
    <row r="135" spans="10:19" x14ac:dyDescent="0.2">
      <c r="J135" s="1055"/>
      <c r="K135" s="1055"/>
      <c r="L135" s="1055"/>
      <c r="M135" s="1055"/>
      <c r="O135" s="828"/>
      <c r="P135" s="1035"/>
      <c r="Q135" s="828"/>
      <c r="R135" s="828"/>
      <c r="S135" s="828"/>
    </row>
    <row r="136" spans="10:19" x14ac:dyDescent="0.2">
      <c r="O136" s="828"/>
      <c r="P136" s="828"/>
      <c r="Q136" s="828"/>
      <c r="R136" s="828"/>
      <c r="S136" s="828"/>
    </row>
    <row r="137" spans="10:19" x14ac:dyDescent="0.2">
      <c r="O137" s="828"/>
      <c r="P137" s="828"/>
      <c r="Q137" s="828"/>
      <c r="R137" s="828"/>
      <c r="S137" s="828"/>
    </row>
  </sheetData>
  <mergeCells count="11">
    <mergeCell ref="C3:M4"/>
    <mergeCell ref="C5:M5"/>
    <mergeCell ref="C6:M6"/>
    <mergeCell ref="C14:E14"/>
    <mergeCell ref="C15:E15"/>
    <mergeCell ref="N69:P69"/>
    <mergeCell ref="X69:AC69"/>
    <mergeCell ref="C17:E17"/>
    <mergeCell ref="C16:E16"/>
    <mergeCell ref="J69:M69"/>
    <mergeCell ref="Q69:W69"/>
  </mergeCells>
  <conditionalFormatting sqref="N71:O100">
    <cfRule type="cellIs" dxfId="106" priority="4" stopIfTrue="1" operator="equal">
      <formula>0</formula>
    </cfRule>
  </conditionalFormatting>
  <conditionalFormatting sqref="Q71:Q99">
    <cfRule type="cellIs" dxfId="105" priority="3" stopIfTrue="1" operator="equal">
      <formula>0</formula>
    </cfRule>
  </conditionalFormatting>
  <conditionalFormatting sqref="Q100">
    <cfRule type="cellIs" dxfId="104" priority="2" stopIfTrue="1" operator="equal">
      <formula>0</formula>
    </cfRule>
  </conditionalFormatting>
  <printOptions horizontalCentered="1"/>
  <pageMargins left="0.59055118110236227" right="0.39370078740157483" top="0" bottom="0" header="0" footer="0.51181102362204722"/>
  <pageSetup scale="47" orientation="landscape" r:id="rId1"/>
  <drawing r:id="rId2"/>
  <legacyDrawing r:id="rId3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2:AP136"/>
  <sheetViews>
    <sheetView topLeftCell="A21" workbookViewId="0"/>
  </sheetViews>
  <sheetFormatPr baseColWidth="10" defaultColWidth="11" defaultRowHeight="12.75" x14ac:dyDescent="0.2"/>
  <cols>
    <col min="1" max="1" width="11" style="829"/>
    <col min="2" max="2" width="3.875" style="829" bestFit="1" customWidth="1"/>
    <col min="3" max="3" width="16.125" style="829" customWidth="1"/>
    <col min="4" max="4" width="15.5" style="829" bestFit="1" customWidth="1"/>
    <col min="5" max="5" width="18.375" style="829" bestFit="1" customWidth="1"/>
    <col min="6" max="6" width="17.375" style="829" bestFit="1" customWidth="1"/>
    <col min="7" max="8" width="13.375" style="829" bestFit="1" customWidth="1"/>
    <col min="9" max="9" width="18.125" style="829" bestFit="1" customWidth="1"/>
    <col min="10" max="10" width="20.5" style="829" customWidth="1"/>
    <col min="11" max="11" width="13.625" style="829" bestFit="1" customWidth="1"/>
    <col min="12" max="12" width="16" style="829" customWidth="1"/>
    <col min="13" max="13" width="15.125" style="829" bestFit="1" customWidth="1"/>
    <col min="14" max="14" width="16.125" style="827" bestFit="1" customWidth="1"/>
    <col min="15" max="15" width="11.375" style="829" bestFit="1" customWidth="1"/>
    <col min="16" max="16" width="11.125" style="829" bestFit="1" customWidth="1"/>
    <col min="17" max="17" width="15.375" style="829" customWidth="1"/>
    <col min="18" max="18" width="17.125" style="829" bestFit="1" customWidth="1"/>
    <col min="19" max="19" width="11.875" style="829" bestFit="1" customWidth="1"/>
    <col min="20" max="20" width="11.125" style="829" bestFit="1" customWidth="1"/>
    <col min="21" max="21" width="16" style="829" bestFit="1" customWidth="1"/>
    <col min="22" max="22" width="17.625" style="829" bestFit="1" customWidth="1"/>
    <col min="23" max="23" width="14.625" style="829" bestFit="1" customWidth="1"/>
    <col min="24" max="24" width="17.125" style="829" bestFit="1" customWidth="1"/>
    <col min="25" max="25" width="18.125" style="829" bestFit="1" customWidth="1"/>
    <col min="26" max="26" width="11.125" style="843" bestFit="1" customWidth="1"/>
    <col min="27" max="27" width="14" style="843" bestFit="1" customWidth="1"/>
    <col min="28" max="28" width="11" style="843"/>
    <col min="29" max="30" width="14.125" style="843" customWidth="1"/>
    <col min="31" max="32" width="11" style="843"/>
    <col min="33" max="38" width="11" style="829"/>
    <col min="39" max="39" width="11.125" style="829" bestFit="1" customWidth="1"/>
    <col min="40" max="16384" width="11" style="829"/>
  </cols>
  <sheetData>
    <row r="2" spans="2:35" x14ac:dyDescent="0.2">
      <c r="B2" s="827"/>
      <c r="C2" s="828"/>
      <c r="D2" s="828"/>
      <c r="E2" s="828"/>
      <c r="F2" s="828"/>
      <c r="G2" s="828"/>
      <c r="H2" s="828"/>
      <c r="I2" s="828"/>
      <c r="J2" s="828"/>
      <c r="K2" s="828"/>
      <c r="L2" s="828"/>
      <c r="M2" s="828"/>
      <c r="N2" s="828"/>
      <c r="Z2" s="829"/>
      <c r="AA2" s="829"/>
      <c r="AB2" s="829"/>
      <c r="AC2" s="829"/>
      <c r="AD2" s="829"/>
      <c r="AE2" s="829"/>
      <c r="AF2" s="829"/>
    </row>
    <row r="3" spans="2:35" ht="15" customHeight="1" x14ac:dyDescent="0.2">
      <c r="B3" s="827"/>
      <c r="C3" s="2295"/>
      <c r="D3" s="2295"/>
      <c r="E3" s="2295"/>
      <c r="F3" s="2295"/>
      <c r="G3" s="2295"/>
      <c r="H3" s="2295"/>
      <c r="I3" s="2295"/>
      <c r="J3" s="2295"/>
      <c r="K3" s="2295"/>
      <c r="L3" s="2295"/>
      <c r="M3" s="2295"/>
      <c r="N3" s="828"/>
      <c r="Z3" s="829"/>
      <c r="AA3" s="829"/>
      <c r="AB3" s="829"/>
      <c r="AC3" s="829"/>
      <c r="AD3" s="829"/>
      <c r="AE3" s="829"/>
      <c r="AF3" s="829"/>
    </row>
    <row r="4" spans="2:35" ht="15" customHeight="1" x14ac:dyDescent="0.2">
      <c r="B4" s="827"/>
      <c r="C4" s="2295"/>
      <c r="D4" s="2295"/>
      <c r="E4" s="2295"/>
      <c r="F4" s="2295"/>
      <c r="G4" s="2295"/>
      <c r="H4" s="2295"/>
      <c r="I4" s="2295"/>
      <c r="J4" s="2295"/>
      <c r="K4" s="2295"/>
      <c r="L4" s="2295"/>
      <c r="M4" s="2295"/>
      <c r="N4" s="828"/>
      <c r="Z4" s="829"/>
      <c r="AA4" s="829"/>
      <c r="AB4" s="829"/>
      <c r="AC4" s="829"/>
      <c r="AD4" s="829"/>
      <c r="AE4" s="829"/>
      <c r="AF4" s="829"/>
    </row>
    <row r="5" spans="2:35" x14ac:dyDescent="0.2">
      <c r="B5" s="827"/>
      <c r="C5" s="2296"/>
      <c r="D5" s="2296"/>
      <c r="E5" s="2296"/>
      <c r="F5" s="2296"/>
      <c r="G5" s="2296"/>
      <c r="H5" s="2296"/>
      <c r="I5" s="2296"/>
      <c r="J5" s="2296"/>
      <c r="K5" s="2296"/>
      <c r="L5" s="2296"/>
      <c r="M5" s="2296"/>
      <c r="N5" s="828"/>
      <c r="Z5" s="829"/>
      <c r="AA5" s="829"/>
      <c r="AB5" s="829"/>
      <c r="AC5" s="829"/>
      <c r="AD5" s="829"/>
      <c r="AE5" s="829"/>
      <c r="AF5" s="829"/>
    </row>
    <row r="6" spans="2:35" x14ac:dyDescent="0.2">
      <c r="B6" s="827"/>
      <c r="C6" s="2296"/>
      <c r="D6" s="2296"/>
      <c r="E6" s="2296"/>
      <c r="F6" s="2296"/>
      <c r="G6" s="2296"/>
      <c r="H6" s="2296"/>
      <c r="I6" s="2296"/>
      <c r="J6" s="2296"/>
      <c r="K6" s="2296"/>
      <c r="L6" s="2296"/>
      <c r="M6" s="2296"/>
      <c r="N6" s="828"/>
      <c r="Z6" s="829"/>
      <c r="AA6" s="829"/>
      <c r="AB6" s="829"/>
      <c r="AC6" s="829"/>
      <c r="AD6" s="829"/>
      <c r="AE6" s="829"/>
      <c r="AF6" s="829"/>
    </row>
    <row r="7" spans="2:35" x14ac:dyDescent="0.2">
      <c r="B7" s="827"/>
      <c r="C7" s="830">
        <v>43101</v>
      </c>
      <c r="D7" s="830"/>
      <c r="E7" s="830"/>
      <c r="F7" s="830"/>
      <c r="G7" s="830"/>
      <c r="H7" s="830"/>
      <c r="I7" s="830"/>
      <c r="J7" s="830"/>
      <c r="K7" s="830"/>
      <c r="L7" s="830"/>
      <c r="M7" s="830"/>
      <c r="N7" s="830"/>
      <c r="O7" s="830"/>
      <c r="P7" s="830"/>
      <c r="Q7" s="830"/>
      <c r="R7" s="827"/>
      <c r="S7" s="827"/>
      <c r="T7" s="827"/>
      <c r="U7" s="827"/>
      <c r="V7" s="827"/>
      <c r="W7" s="827"/>
      <c r="X7" s="827"/>
      <c r="Y7" s="827"/>
      <c r="Z7" s="829"/>
      <c r="AA7" s="829"/>
      <c r="AB7" s="829"/>
      <c r="AC7" s="829"/>
      <c r="AD7" s="829"/>
      <c r="AE7" s="829"/>
      <c r="AF7" s="829"/>
    </row>
    <row r="8" spans="2:35" ht="19.5" customHeight="1" x14ac:dyDescent="0.2">
      <c r="B8" s="827"/>
      <c r="C8" s="831"/>
      <c r="D8" s="831"/>
      <c r="E8" s="831"/>
      <c r="F8" s="831"/>
      <c r="G8" s="831"/>
      <c r="H8" s="831"/>
      <c r="I8" s="831"/>
      <c r="J8" s="831"/>
      <c r="K8" s="831"/>
      <c r="L8" s="831"/>
      <c r="M8" s="828"/>
      <c r="N8" s="828"/>
      <c r="O8" s="827"/>
      <c r="P8" s="827"/>
      <c r="Q8" s="827"/>
      <c r="R8" s="827"/>
      <c r="S8" s="827"/>
      <c r="T8" s="827"/>
      <c r="U8" s="827"/>
      <c r="V8" s="827"/>
      <c r="W8" s="827"/>
      <c r="X8" s="827"/>
      <c r="Y8" s="827"/>
      <c r="Z8" s="829"/>
      <c r="AA8" s="829"/>
      <c r="AB8" s="829"/>
      <c r="AC8" s="829"/>
      <c r="AD8" s="829"/>
      <c r="AE8" s="829"/>
      <c r="AF8" s="829"/>
    </row>
    <row r="9" spans="2:35" ht="19.5" customHeight="1" x14ac:dyDescent="0.2">
      <c r="B9" s="827"/>
      <c r="C9" s="831"/>
      <c r="D9" s="831"/>
      <c r="E9" s="831"/>
      <c r="F9" s="831"/>
      <c r="G9" s="831"/>
      <c r="H9" s="831"/>
      <c r="I9" s="831"/>
      <c r="J9" s="831"/>
      <c r="K9" s="831"/>
      <c r="L9" s="831"/>
      <c r="M9" s="828"/>
      <c r="N9" s="828"/>
      <c r="O9" s="827"/>
      <c r="P9" s="827"/>
      <c r="Q9" s="827"/>
      <c r="R9" s="827"/>
      <c r="S9" s="827"/>
      <c r="T9" s="827"/>
      <c r="U9" s="827"/>
      <c r="V9" s="827"/>
      <c r="W9" s="827"/>
      <c r="X9" s="827"/>
      <c r="Y9" s="827"/>
      <c r="Z9" s="829"/>
      <c r="AA9" s="829"/>
      <c r="AB9" s="829"/>
      <c r="AC9" s="829"/>
      <c r="AD9" s="829"/>
      <c r="AE9" s="829"/>
      <c r="AF9" s="829"/>
    </row>
    <row r="10" spans="2:35" ht="19.5" customHeight="1" x14ac:dyDescent="0.2">
      <c r="B10" s="827"/>
      <c r="C10" s="831"/>
      <c r="D10" s="831"/>
      <c r="E10" s="831"/>
      <c r="F10" s="831"/>
      <c r="G10" s="831"/>
      <c r="H10" s="831"/>
      <c r="I10" s="831"/>
      <c r="J10" s="831"/>
      <c r="K10" s="831"/>
      <c r="L10" s="831"/>
      <c r="M10" s="828"/>
      <c r="N10" s="828"/>
      <c r="O10" s="827"/>
      <c r="P10" s="827"/>
      <c r="Q10" s="827"/>
      <c r="R10" s="827"/>
      <c r="S10" s="827"/>
      <c r="T10" s="827"/>
      <c r="U10" s="827"/>
      <c r="V10" s="827"/>
      <c r="W10" s="827"/>
      <c r="X10" s="827"/>
      <c r="Y10" s="827"/>
      <c r="Z10" s="829"/>
      <c r="AA10" s="829"/>
      <c r="AB10" s="829"/>
      <c r="AC10" s="829"/>
      <c r="AD10" s="829"/>
      <c r="AE10" s="829"/>
      <c r="AF10" s="829"/>
    </row>
    <row r="11" spans="2:35" ht="19.5" customHeight="1" x14ac:dyDescent="0.2">
      <c r="B11" s="827"/>
      <c r="C11" s="831"/>
      <c r="D11" s="831"/>
      <c r="E11" s="831"/>
      <c r="F11" s="831"/>
      <c r="G11" s="831"/>
      <c r="H11" s="831"/>
      <c r="I11" s="831"/>
      <c r="J11" s="831"/>
      <c r="K11" s="831"/>
      <c r="L11" s="831"/>
      <c r="M11" s="828"/>
      <c r="N11" s="828"/>
      <c r="O11" s="827"/>
      <c r="P11" s="827"/>
      <c r="Q11" s="827"/>
      <c r="R11" s="827"/>
      <c r="S11" s="827"/>
      <c r="T11" s="827"/>
      <c r="U11" s="827"/>
      <c r="V11" s="827"/>
      <c r="W11" s="827"/>
      <c r="X11" s="827"/>
      <c r="Y11" s="827"/>
      <c r="Z11" s="829"/>
      <c r="AA11" s="829"/>
      <c r="AB11" s="829"/>
      <c r="AC11" s="829"/>
      <c r="AD11" s="829"/>
      <c r="AE11" s="829"/>
      <c r="AF11" s="829"/>
    </row>
    <row r="12" spans="2:35" ht="19.5" customHeight="1" x14ac:dyDescent="0.2">
      <c r="B12" s="827"/>
      <c r="C12" s="831"/>
      <c r="D12" s="831"/>
      <c r="E12" s="831"/>
      <c r="F12" s="831"/>
      <c r="G12" s="831"/>
      <c r="H12" s="831"/>
      <c r="I12" s="831"/>
      <c r="J12" s="831"/>
      <c r="K12" s="831"/>
      <c r="L12" s="831"/>
      <c r="M12" s="828"/>
      <c r="N12" s="828"/>
      <c r="O12" s="827"/>
      <c r="P12" s="827"/>
      <c r="Q12" s="827"/>
      <c r="R12" s="827"/>
      <c r="S12" s="827"/>
      <c r="T12" s="827"/>
      <c r="U12" s="827"/>
      <c r="V12" s="827"/>
      <c r="W12" s="827"/>
      <c r="X12" s="827"/>
      <c r="Y12" s="827"/>
      <c r="Z12" s="829"/>
      <c r="AA12" s="829"/>
      <c r="AB12" s="829"/>
      <c r="AC12" s="829"/>
      <c r="AD12" s="829"/>
      <c r="AE12" s="829"/>
      <c r="AF12" s="829"/>
    </row>
    <row r="13" spans="2:35" ht="19.5" customHeight="1" thickBot="1" x14ac:dyDescent="0.25">
      <c r="B13" s="827"/>
      <c r="C13" s="831"/>
      <c r="D13" s="831"/>
      <c r="E13" s="831"/>
      <c r="F13" s="831"/>
      <c r="G13" s="831"/>
      <c r="H13" s="831"/>
      <c r="I13" s="831"/>
      <c r="J13" s="831"/>
      <c r="K13" s="831"/>
      <c r="L13" s="831"/>
      <c r="M13" s="828"/>
      <c r="N13" s="828"/>
      <c r="O13" s="827"/>
      <c r="P13" s="827"/>
      <c r="Q13" s="827"/>
      <c r="R13" s="827"/>
      <c r="S13" s="827"/>
      <c r="T13" s="827"/>
      <c r="U13" s="827"/>
      <c r="V13" s="827"/>
      <c r="W13" s="827"/>
      <c r="X13" s="827"/>
      <c r="Y13" s="827"/>
      <c r="Z13" s="829"/>
      <c r="AA13" s="829"/>
      <c r="AB13" s="829"/>
      <c r="AC13" s="829"/>
      <c r="AD13" s="829"/>
      <c r="AE13" s="829"/>
      <c r="AF13" s="829"/>
    </row>
    <row r="14" spans="2:35" ht="26.25" thickBot="1" x14ac:dyDescent="0.25">
      <c r="B14" s="827"/>
      <c r="C14" s="2333" t="s">
        <v>6</v>
      </c>
      <c r="D14" s="2334"/>
      <c r="E14" s="2335"/>
      <c r="F14" s="832" t="s">
        <v>227</v>
      </c>
      <c r="G14" s="832" t="s">
        <v>230</v>
      </c>
      <c r="H14" s="832" t="s">
        <v>228</v>
      </c>
      <c r="I14" s="832" t="s">
        <v>229</v>
      </c>
      <c r="J14" s="833" t="s">
        <v>126</v>
      </c>
      <c r="K14" s="833" t="s">
        <v>133</v>
      </c>
      <c r="L14" s="832" t="s">
        <v>127</v>
      </c>
      <c r="M14" s="834" t="s">
        <v>128</v>
      </c>
      <c r="N14" s="828"/>
      <c r="O14" s="827"/>
      <c r="P14" s="827"/>
      <c r="Q14" s="827"/>
      <c r="R14" s="827"/>
      <c r="S14" s="827"/>
      <c r="T14" s="827"/>
      <c r="U14" s="827"/>
      <c r="V14" s="827"/>
      <c r="W14" s="827"/>
      <c r="X14" s="827"/>
      <c r="Y14" s="827"/>
      <c r="Z14" s="829"/>
      <c r="AA14" s="829"/>
      <c r="AB14" s="829"/>
      <c r="AC14" s="829"/>
      <c r="AD14" s="829"/>
      <c r="AE14" s="829"/>
      <c r="AF14" s="829"/>
    </row>
    <row r="15" spans="2:35" ht="13.5" thickBot="1" x14ac:dyDescent="0.25">
      <c r="B15" s="827"/>
      <c r="C15" s="2329" t="s">
        <v>131</v>
      </c>
      <c r="D15" s="2330"/>
      <c r="E15" s="2331"/>
      <c r="F15" s="835"/>
      <c r="G15" s="836" t="s">
        <v>165</v>
      </c>
      <c r="H15" s="835"/>
      <c r="I15" s="837">
        <f>IF(D105=0,E105,D105)</f>
        <v>4659430.72</v>
      </c>
      <c r="J15" s="835">
        <f>I15*0.16</f>
        <v>745508.91519999993</v>
      </c>
      <c r="K15" s="835">
        <f>I15+J15</f>
        <v>5404939.6351999994</v>
      </c>
      <c r="L15" s="838" t="s">
        <v>286</v>
      </c>
      <c r="M15" s="839">
        <v>18.8339</v>
      </c>
      <c r="O15" s="827"/>
      <c r="P15" s="827"/>
      <c r="Q15" s="827"/>
      <c r="R15" s="827"/>
      <c r="S15" s="827"/>
      <c r="T15" s="827"/>
      <c r="U15" s="827"/>
      <c r="V15" s="827"/>
      <c r="W15" s="827"/>
      <c r="X15" s="827"/>
      <c r="Y15" s="827"/>
      <c r="Z15" s="829"/>
      <c r="AA15" s="829"/>
      <c r="AB15" s="829"/>
      <c r="AC15" s="829"/>
      <c r="AD15" s="829"/>
      <c r="AE15" s="829"/>
      <c r="AF15" s="829"/>
    </row>
    <row r="16" spans="2:35" ht="13.5" thickBot="1" x14ac:dyDescent="0.25">
      <c r="B16" s="827"/>
      <c r="C16" s="2329" t="s">
        <v>275</v>
      </c>
      <c r="D16" s="2330"/>
      <c r="E16" s="2331"/>
      <c r="F16" s="840"/>
      <c r="G16" s="840"/>
      <c r="H16" s="840"/>
      <c r="I16" s="837">
        <f>IF(D106=0,E106,D106)</f>
        <v>447053.49</v>
      </c>
      <c r="J16" s="841">
        <f>I16*0.16</f>
        <v>71528.558399999994</v>
      </c>
      <c r="K16" s="841">
        <f>I16+J16</f>
        <v>518582.04839999997</v>
      </c>
      <c r="L16" s="838" t="s">
        <v>289</v>
      </c>
      <c r="M16" s="842">
        <v>19.213699999999999</v>
      </c>
      <c r="O16" s="827"/>
      <c r="P16" s="827"/>
      <c r="Q16" s="827"/>
      <c r="R16" s="827"/>
      <c r="S16" s="827"/>
      <c r="T16" s="827"/>
      <c r="U16" s="827"/>
      <c r="V16" s="827"/>
      <c r="W16" s="827"/>
      <c r="X16" s="827"/>
      <c r="Y16" s="827"/>
      <c r="Z16" s="827"/>
      <c r="AA16" s="827"/>
      <c r="AB16" s="827"/>
      <c r="AG16" s="843"/>
      <c r="AH16" s="843"/>
      <c r="AI16" s="843"/>
    </row>
    <row r="17" spans="2:33" ht="39" thickBot="1" x14ac:dyDescent="0.25">
      <c r="B17" s="827"/>
      <c r="C17" s="2326" t="s">
        <v>132</v>
      </c>
      <c r="D17" s="2327"/>
      <c r="E17" s="2328"/>
      <c r="F17" s="844"/>
      <c r="G17" s="845" t="s">
        <v>165</v>
      </c>
      <c r="H17" s="844"/>
      <c r="I17" s="846">
        <f>IF(D107=0,E107,D107)</f>
        <v>8179.71</v>
      </c>
      <c r="J17" s="844">
        <f>I17*0.16</f>
        <v>1308.7536</v>
      </c>
      <c r="K17" s="844">
        <f>I17+J17</f>
        <v>9488.4635999999991</v>
      </c>
      <c r="L17" s="847" t="s">
        <v>346</v>
      </c>
      <c r="M17" s="848">
        <v>18.8339</v>
      </c>
      <c r="O17" s="827"/>
      <c r="P17" s="827"/>
      <c r="Q17" s="827"/>
      <c r="R17" s="827"/>
      <c r="S17" s="827"/>
      <c r="T17" s="827"/>
      <c r="U17" s="827"/>
      <c r="V17" s="827"/>
      <c r="W17" s="827"/>
      <c r="X17" s="827"/>
      <c r="Y17" s="827"/>
      <c r="Z17" s="829"/>
      <c r="AA17" s="829"/>
      <c r="AB17" s="829"/>
      <c r="AC17" s="829"/>
      <c r="AD17" s="829"/>
      <c r="AE17" s="829"/>
      <c r="AF17" s="829"/>
    </row>
    <row r="18" spans="2:33" x14ac:dyDescent="0.2">
      <c r="B18" s="827"/>
      <c r="C18" s="831"/>
      <c r="D18" s="831"/>
      <c r="E18" s="831"/>
      <c r="F18" s="831"/>
      <c r="G18" s="831"/>
      <c r="H18" s="827"/>
      <c r="I18" s="827"/>
      <c r="J18" s="827"/>
      <c r="K18" s="827"/>
      <c r="L18" s="827"/>
      <c r="M18" s="827"/>
      <c r="O18" s="827"/>
      <c r="P18" s="827"/>
      <c r="Q18" s="827"/>
      <c r="R18" s="827"/>
      <c r="S18" s="827"/>
      <c r="T18" s="827"/>
      <c r="U18" s="827"/>
      <c r="V18" s="827"/>
      <c r="W18" s="827"/>
      <c r="X18" s="827"/>
      <c r="Y18" s="827"/>
    </row>
    <row r="19" spans="2:33" x14ac:dyDescent="0.2">
      <c r="B19" s="827"/>
      <c r="C19" s="831"/>
      <c r="D19" s="831"/>
      <c r="E19" s="831"/>
      <c r="F19" s="831"/>
      <c r="G19" s="831"/>
      <c r="H19" s="827"/>
      <c r="I19" s="827"/>
      <c r="J19" s="827"/>
      <c r="K19" s="827"/>
      <c r="L19" s="827"/>
      <c r="O19" s="827"/>
      <c r="P19" s="827"/>
      <c r="Q19" s="827"/>
      <c r="R19" s="827"/>
      <c r="S19" s="827"/>
      <c r="T19" s="827"/>
      <c r="U19" s="827"/>
      <c r="V19" s="827"/>
      <c r="W19" s="827"/>
      <c r="X19" s="827"/>
      <c r="Y19" s="827"/>
    </row>
    <row r="20" spans="2:33" ht="13.5" thickBot="1" x14ac:dyDescent="0.25">
      <c r="B20" s="827"/>
      <c r="C20" s="849"/>
      <c r="D20" s="831"/>
      <c r="E20" s="831"/>
      <c r="F20" s="831"/>
      <c r="G20" s="831"/>
      <c r="H20" s="831"/>
      <c r="I20" s="831"/>
      <c r="J20" s="831"/>
      <c r="K20" s="831"/>
      <c r="L20" s="831"/>
      <c r="M20" s="831"/>
      <c r="N20" s="831"/>
      <c r="O20" s="831"/>
      <c r="P20" s="831"/>
      <c r="Q20" s="831"/>
      <c r="R20" s="827"/>
      <c r="S20" s="827"/>
      <c r="T20" s="827"/>
      <c r="U20" s="827"/>
      <c r="V20" s="827"/>
      <c r="W20" s="827"/>
      <c r="X20" s="827"/>
      <c r="Y20" s="827"/>
      <c r="Z20" s="827"/>
      <c r="AG20" s="843"/>
    </row>
    <row r="21" spans="2:33" ht="51.75" thickBot="1" x14ac:dyDescent="0.25">
      <c r="B21" s="827"/>
      <c r="C21" s="850" t="s">
        <v>134</v>
      </c>
      <c r="D21" s="832" t="s">
        <v>135</v>
      </c>
      <c r="E21" s="832" t="s">
        <v>285</v>
      </c>
      <c r="F21" s="832" t="s">
        <v>278</v>
      </c>
      <c r="G21" s="832" t="s">
        <v>153</v>
      </c>
      <c r="H21" s="832" t="s">
        <v>279</v>
      </c>
      <c r="I21" s="832" t="s">
        <v>281</v>
      </c>
      <c r="J21" s="832" t="s">
        <v>280</v>
      </c>
      <c r="K21" s="832" t="s">
        <v>245</v>
      </c>
      <c r="L21" s="832" t="s">
        <v>246</v>
      </c>
      <c r="M21" s="832"/>
      <c r="N21" s="834" t="s">
        <v>158</v>
      </c>
      <c r="O21" s="831"/>
      <c r="P21" s="831"/>
      <c r="Q21" s="831"/>
      <c r="R21" s="831"/>
      <c r="S21" s="831"/>
      <c r="T21" s="831"/>
      <c r="U21" s="831"/>
      <c r="V21" s="827"/>
      <c r="W21" s="827"/>
      <c r="X21" s="827"/>
      <c r="Y21" s="827"/>
      <c r="Z21" s="827"/>
      <c r="AG21" s="843"/>
    </row>
    <row r="22" spans="2:33" ht="13.5" thickBot="1" x14ac:dyDescent="0.25">
      <c r="B22" s="827"/>
      <c r="C22" s="851">
        <v>850</v>
      </c>
      <c r="D22" s="1010">
        <v>850</v>
      </c>
      <c r="E22" s="852">
        <v>31482640</v>
      </c>
      <c r="F22" s="852">
        <v>31482640</v>
      </c>
      <c r="G22" s="852">
        <v>31</v>
      </c>
      <c r="H22" s="853">
        <f>VLOOKUP(C69,Tarifas!D4:H303,3)</f>
        <v>0.14799999999999999</v>
      </c>
      <c r="I22" s="853">
        <v>1.4200000000000001E-2</v>
      </c>
      <c r="J22" s="853">
        <f>VLOOKUP(C69,Tarifas!D4:H303,5)</f>
        <v>1E-3</v>
      </c>
      <c r="K22" s="853">
        <v>204.2</v>
      </c>
      <c r="L22" s="853">
        <v>201.4</v>
      </c>
      <c r="M22" s="853"/>
      <c r="N22" s="854">
        <f>F102</f>
        <v>8067542.2104437696</v>
      </c>
      <c r="O22" s="855"/>
      <c r="P22" s="855"/>
      <c r="Q22" s="831"/>
      <c r="R22" s="831"/>
      <c r="S22" s="831"/>
      <c r="T22" s="831"/>
      <c r="U22" s="831"/>
      <c r="V22" s="827"/>
      <c r="W22" s="827"/>
      <c r="X22" s="827"/>
      <c r="Y22" s="827"/>
      <c r="Z22" s="827"/>
      <c r="AG22" s="843"/>
    </row>
    <row r="23" spans="2:33" x14ac:dyDescent="0.2">
      <c r="B23" s="827"/>
      <c r="C23" s="831"/>
      <c r="D23" s="831"/>
      <c r="E23" s="831"/>
      <c r="F23" s="831"/>
      <c r="G23" s="831"/>
      <c r="H23" s="831"/>
      <c r="I23" s="831"/>
      <c r="J23" s="831"/>
      <c r="K23" s="856"/>
      <c r="L23" s="831"/>
      <c r="M23" s="831"/>
      <c r="N23" s="831"/>
      <c r="O23" s="831"/>
      <c r="P23" s="831"/>
      <c r="Q23" s="831"/>
      <c r="R23" s="831"/>
      <c r="S23" s="831"/>
      <c r="T23" s="827"/>
      <c r="U23" s="827"/>
      <c r="V23" s="827"/>
      <c r="W23" s="827"/>
      <c r="X23" s="827"/>
      <c r="Y23" s="827"/>
      <c r="Z23" s="827"/>
      <c r="AG23" s="843"/>
    </row>
    <row r="24" spans="2:33" x14ac:dyDescent="0.2">
      <c r="B24" s="827"/>
      <c r="C24" s="831"/>
      <c r="D24" s="831"/>
      <c r="E24" s="831"/>
      <c r="F24" s="831"/>
      <c r="G24" s="831"/>
      <c r="H24" s="831"/>
      <c r="I24" s="831"/>
      <c r="J24" s="831"/>
      <c r="K24" s="831"/>
      <c r="L24" s="831"/>
      <c r="M24" s="831"/>
      <c r="N24" s="831"/>
      <c r="O24" s="831"/>
      <c r="P24" s="831"/>
      <c r="Q24" s="827"/>
      <c r="R24" s="827"/>
      <c r="S24" s="827"/>
      <c r="T24" s="827"/>
      <c r="U24" s="827"/>
      <c r="V24" s="827"/>
      <c r="W24" s="827"/>
      <c r="X24" s="827"/>
      <c r="Y24" s="827"/>
      <c r="Z24" s="827"/>
      <c r="AG24" s="843"/>
    </row>
    <row r="25" spans="2:33" x14ac:dyDescent="0.2">
      <c r="B25" s="827"/>
      <c r="C25" s="831"/>
      <c r="D25" s="831"/>
      <c r="E25" s="831"/>
      <c r="F25" s="831"/>
      <c r="G25" s="831"/>
      <c r="H25" s="831"/>
      <c r="I25" s="831"/>
      <c r="J25" s="831"/>
      <c r="K25" s="831"/>
      <c r="L25" s="831"/>
      <c r="M25" s="831"/>
      <c r="N25" s="831"/>
      <c r="O25" s="827"/>
      <c r="P25" s="827"/>
      <c r="Q25" s="857" t="s">
        <v>235</v>
      </c>
      <c r="R25" s="827"/>
      <c r="S25" s="827"/>
      <c r="T25" s="827"/>
      <c r="U25" s="827"/>
      <c r="V25" s="827"/>
      <c r="W25" s="827"/>
      <c r="X25" s="843"/>
      <c r="Y25" s="843"/>
      <c r="AE25" s="829"/>
      <c r="AF25" s="829"/>
    </row>
    <row r="26" spans="2:33" ht="13.5" thickBot="1" x14ac:dyDescent="0.25">
      <c r="B26" s="827"/>
      <c r="C26" s="858" t="s">
        <v>86</v>
      </c>
      <c r="D26" s="858"/>
      <c r="E26" s="858"/>
      <c r="F26" s="858"/>
      <c r="G26" s="858"/>
      <c r="H26" s="859"/>
      <c r="I26" s="858"/>
      <c r="J26" s="858"/>
      <c r="K26" s="858"/>
      <c r="L26" s="859"/>
      <c r="M26" s="860"/>
      <c r="N26" s="861"/>
      <c r="Q26" s="827"/>
      <c r="R26" s="827"/>
      <c r="S26" s="827"/>
      <c r="T26" s="827"/>
      <c r="U26" s="827"/>
      <c r="V26" s="827"/>
      <c r="W26" s="827"/>
      <c r="X26" s="843"/>
      <c r="Y26" s="843"/>
      <c r="Z26" s="862"/>
      <c r="AE26" s="829"/>
      <c r="AF26" s="829"/>
    </row>
    <row r="27" spans="2:33" ht="35.1" customHeight="1" thickBot="1" x14ac:dyDescent="0.25">
      <c r="B27" s="827"/>
      <c r="C27" s="850" t="s">
        <v>87</v>
      </c>
      <c r="D27" s="832" t="s">
        <v>88</v>
      </c>
      <c r="E27" s="832" t="s">
        <v>237</v>
      </c>
      <c r="F27" s="833" t="s">
        <v>160</v>
      </c>
      <c r="G27" s="832" t="s">
        <v>236</v>
      </c>
      <c r="H27" s="833" t="s">
        <v>232</v>
      </c>
      <c r="I27" s="833" t="s">
        <v>233</v>
      </c>
      <c r="J27" s="833" t="s">
        <v>20</v>
      </c>
      <c r="K27" s="832" t="s">
        <v>91</v>
      </c>
      <c r="L27" s="832" t="s">
        <v>93</v>
      </c>
      <c r="M27" s="832" t="s">
        <v>94</v>
      </c>
      <c r="N27" s="863" t="s">
        <v>95</v>
      </c>
      <c r="P27" s="850" t="s">
        <v>237</v>
      </c>
      <c r="Q27" s="833" t="s">
        <v>160</v>
      </c>
      <c r="R27" s="832" t="s">
        <v>236</v>
      </c>
      <c r="S27" s="833" t="s">
        <v>232</v>
      </c>
      <c r="T27" s="833" t="s">
        <v>233</v>
      </c>
      <c r="U27" s="833" t="s">
        <v>20</v>
      </c>
      <c r="V27" s="832" t="s">
        <v>91</v>
      </c>
      <c r="W27" s="832" t="s">
        <v>93</v>
      </c>
      <c r="X27" s="832" t="s">
        <v>94</v>
      </c>
      <c r="Y27" s="834" t="s">
        <v>95</v>
      </c>
      <c r="Z27" s="861"/>
      <c r="AE27" s="829"/>
      <c r="AF27" s="829"/>
    </row>
    <row r="28" spans="2:33" ht="35.1" customHeight="1" thickBot="1" x14ac:dyDescent="0.25">
      <c r="B28" s="827"/>
      <c r="C28" s="864"/>
      <c r="D28" s="836"/>
      <c r="E28" s="836"/>
      <c r="F28" s="836"/>
      <c r="G28" s="836"/>
      <c r="H28" s="836"/>
      <c r="I28" s="836"/>
      <c r="J28" s="972" t="s">
        <v>97</v>
      </c>
      <c r="K28" s="841">
        <v>0</v>
      </c>
      <c r="L28" s="866">
        <f>K28/$K$33</f>
        <v>0</v>
      </c>
      <c r="M28" s="835">
        <f>ROUND(L28*H$15,2)</f>
        <v>0</v>
      </c>
      <c r="N28" s="867">
        <f>M28*$M$15</f>
        <v>0</v>
      </c>
      <c r="P28" s="864"/>
      <c r="Q28" s="836"/>
      <c r="R28" s="836"/>
      <c r="S28" s="836">
        <v>2233</v>
      </c>
      <c r="T28" s="836">
        <v>453882</v>
      </c>
      <c r="U28" s="865" t="s">
        <v>97</v>
      </c>
      <c r="V28" s="841">
        <v>80000</v>
      </c>
      <c r="W28" s="866">
        <f>IFERROR(V28/$V$33,0)</f>
        <v>9.4117647058823528E-2</v>
      </c>
      <c r="X28" s="1677">
        <f>ROUND(W28*I$15,2)</f>
        <v>438534.66</v>
      </c>
      <c r="Y28" s="1678">
        <f>X28*M$15</f>
        <v>8259317.9329739995</v>
      </c>
      <c r="Z28" s="860"/>
      <c r="AA28" s="1059">
        <f>Y28+Y29+Y44+Y30</f>
        <v>28721268.757336002</v>
      </c>
      <c r="AE28" s="829"/>
      <c r="AF28" s="829"/>
    </row>
    <row r="29" spans="2:33" ht="35.1" customHeight="1" thickBot="1" x14ac:dyDescent="0.25">
      <c r="B29" s="827"/>
      <c r="C29" s="864"/>
      <c r="D29" s="836"/>
      <c r="E29" s="836"/>
      <c r="F29" s="836"/>
      <c r="G29" s="836"/>
      <c r="H29" s="836"/>
      <c r="I29" s="836"/>
      <c r="J29" s="972" t="s">
        <v>100</v>
      </c>
      <c r="K29" s="841">
        <v>0</v>
      </c>
      <c r="L29" s="866">
        <f t="shared" ref="L29:L32" si="0">K29/$K$33</f>
        <v>0</v>
      </c>
      <c r="M29" s="835">
        <f>ROUND(L29*H$15,2)</f>
        <v>0</v>
      </c>
      <c r="N29" s="867">
        <f>M29*$M$15</f>
        <v>0</v>
      </c>
      <c r="P29" s="864"/>
      <c r="Q29" s="836"/>
      <c r="R29" s="836"/>
      <c r="S29" s="836">
        <v>2233</v>
      </c>
      <c r="T29" s="836">
        <v>453882</v>
      </c>
      <c r="U29" s="865" t="s">
        <v>100</v>
      </c>
      <c r="V29" s="841">
        <v>40000</v>
      </c>
      <c r="W29" s="866">
        <f>IFERROR(V29/$V$33,0)</f>
        <v>4.7058823529411764E-2</v>
      </c>
      <c r="X29" s="1677">
        <f>ROUND(W29*I$15,2)</f>
        <v>219267.33</v>
      </c>
      <c r="Y29" s="1678">
        <f>X29*M$15</f>
        <v>4129658.9664869998</v>
      </c>
      <c r="Z29" s="860"/>
      <c r="AE29" s="829"/>
      <c r="AF29" s="829"/>
    </row>
    <row r="30" spans="2:33" ht="35.1" customHeight="1" thickBot="1" x14ac:dyDescent="0.25">
      <c r="B30" s="827"/>
      <c r="C30" s="864"/>
      <c r="D30" s="836"/>
      <c r="E30" s="836"/>
      <c r="F30" s="836"/>
      <c r="G30" s="836"/>
      <c r="H30" s="836"/>
      <c r="I30" s="836"/>
      <c r="J30" s="972" t="s">
        <v>288</v>
      </c>
      <c r="K30" s="841">
        <v>0</v>
      </c>
      <c r="L30" s="866">
        <f t="shared" si="0"/>
        <v>0</v>
      </c>
      <c r="M30" s="835">
        <f>ROUND(L30*H$15,2)</f>
        <v>0</v>
      </c>
      <c r="N30" s="867">
        <f>M30*$M$15</f>
        <v>0</v>
      </c>
      <c r="P30" s="864"/>
      <c r="Q30" s="836"/>
      <c r="R30" s="836"/>
      <c r="S30" s="836"/>
      <c r="T30" s="836"/>
      <c r="U30" s="865" t="s">
        <v>268</v>
      </c>
      <c r="V30" s="841">
        <f>P102/G22</f>
        <v>74996.413546347423</v>
      </c>
      <c r="W30" s="866">
        <f>IFERROR(V30/$V$33,0)</f>
        <v>8.8231074760408729E-2</v>
      </c>
      <c r="X30" s="1677">
        <f>ROUND(W30*I$15,2)</f>
        <v>411106.58</v>
      </c>
      <c r="Y30" s="1678">
        <f>X30*M$15</f>
        <v>7742740.2170620002</v>
      </c>
      <c r="Z30" s="860"/>
      <c r="AE30" s="829"/>
      <c r="AF30" s="829"/>
    </row>
    <row r="31" spans="2:33" ht="35.1" customHeight="1" thickBot="1" x14ac:dyDescent="0.25">
      <c r="B31" s="827"/>
      <c r="C31" s="864">
        <v>800832451</v>
      </c>
      <c r="D31" s="869">
        <v>258</v>
      </c>
      <c r="E31" s="869" t="s">
        <v>239</v>
      </c>
      <c r="F31" s="836" t="s">
        <v>238</v>
      </c>
      <c r="G31" s="836">
        <v>100887241</v>
      </c>
      <c r="H31" s="836">
        <v>7249</v>
      </c>
      <c r="I31" s="836">
        <v>468079</v>
      </c>
      <c r="J31" s="972" t="s">
        <v>23</v>
      </c>
      <c r="K31" s="841">
        <v>80000</v>
      </c>
      <c r="L31" s="866">
        <f t="shared" si="0"/>
        <v>9.4117647058823528E-2</v>
      </c>
      <c r="M31" s="835">
        <f>ROUND(L31*I$15,2)</f>
        <v>438534.66</v>
      </c>
      <c r="N31" s="867">
        <f>M31*M15</f>
        <v>8259317.9329739995</v>
      </c>
      <c r="P31" s="870" t="s">
        <v>239</v>
      </c>
      <c r="Q31" s="836" t="s">
        <v>238</v>
      </c>
      <c r="R31" s="836" t="s">
        <v>222</v>
      </c>
      <c r="S31" s="836">
        <v>7249</v>
      </c>
      <c r="T31" s="836">
        <v>468079</v>
      </c>
      <c r="U31" s="865" t="s">
        <v>23</v>
      </c>
      <c r="V31" s="841">
        <f>W31*K33</f>
        <v>80000</v>
      </c>
      <c r="W31" s="866">
        <f>L31</f>
        <v>9.4117647058823528E-2</v>
      </c>
      <c r="X31" s="1677">
        <f>ROUND(W31*I$15,2)</f>
        <v>438534.66</v>
      </c>
      <c r="Y31" s="1678">
        <f>X31*M$15</f>
        <v>8259317.9329739995</v>
      </c>
      <c r="Z31" s="860"/>
      <c r="AE31" s="829"/>
      <c r="AF31" s="829"/>
    </row>
    <row r="32" spans="2:33" ht="35.1" customHeight="1" thickBot="1" x14ac:dyDescent="0.25">
      <c r="B32" s="827"/>
      <c r="C32" s="851">
        <v>800832451</v>
      </c>
      <c r="D32" s="853">
        <v>11</v>
      </c>
      <c r="E32" s="853" t="s">
        <v>242</v>
      </c>
      <c r="F32" s="845" t="s">
        <v>221</v>
      </c>
      <c r="G32" s="845" t="s">
        <v>222</v>
      </c>
      <c r="H32" s="845">
        <v>2233</v>
      </c>
      <c r="I32" s="845">
        <v>453851</v>
      </c>
      <c r="J32" s="973" t="s">
        <v>159</v>
      </c>
      <c r="K32" s="852">
        <f>850000-K28-K29-K30-K31</f>
        <v>770000</v>
      </c>
      <c r="L32" s="872">
        <f t="shared" si="0"/>
        <v>0.90588235294117647</v>
      </c>
      <c r="M32" s="844">
        <f>ROUND(L32*I$15,2)</f>
        <v>4220896.0599999996</v>
      </c>
      <c r="N32" s="873">
        <f>M32*M15</f>
        <v>79495934.304433987</v>
      </c>
      <c r="P32" s="874"/>
      <c r="Q32" s="875" t="s">
        <v>221</v>
      </c>
      <c r="R32" s="875" t="s">
        <v>222</v>
      </c>
      <c r="S32" s="875">
        <v>2233</v>
      </c>
      <c r="T32" s="875">
        <v>453851</v>
      </c>
      <c r="U32" s="876" t="s">
        <v>159</v>
      </c>
      <c r="V32" s="877">
        <f>850000-V28-V29-V30-V31</f>
        <v>575003.58645365259</v>
      </c>
      <c r="W32" s="878">
        <f>IFERROR(V32/$V$33,0)</f>
        <v>0.67647480759253242</v>
      </c>
      <c r="X32" s="1695">
        <f>ROUND(W32*I$15,2)</f>
        <v>3151987.5</v>
      </c>
      <c r="Y32" s="1696">
        <f>X32*M$15</f>
        <v>59364217.376249999</v>
      </c>
      <c r="Z32" s="860"/>
      <c r="AE32" s="829"/>
      <c r="AF32" s="829"/>
    </row>
    <row r="33" spans="2:32" ht="35.1" customHeight="1" x14ac:dyDescent="0.2">
      <c r="B33" s="827"/>
      <c r="C33" s="881">
        <v>3000623</v>
      </c>
      <c r="D33" s="882" t="s">
        <v>102</v>
      </c>
      <c r="E33" s="882"/>
      <c r="F33" s="882"/>
      <c r="G33" s="882"/>
      <c r="H33" s="882"/>
      <c r="I33" s="883"/>
      <c r="J33" s="883"/>
      <c r="K33" s="884">
        <f>SUM(K28:K32)</f>
        <v>850000</v>
      </c>
      <c r="L33" s="885">
        <f>SUM(L28:L32)</f>
        <v>1</v>
      </c>
      <c r="M33" s="886">
        <f>SUM(M28:M32)</f>
        <v>4659430.72</v>
      </c>
      <c r="N33" s="886">
        <f>SUM(N28:N32)</f>
        <v>87755252.237407982</v>
      </c>
      <c r="P33" s="882"/>
      <c r="Q33" s="882"/>
      <c r="R33" s="882"/>
      <c r="S33" s="882"/>
      <c r="T33" s="883"/>
      <c r="U33" s="883"/>
      <c r="V33" s="884">
        <f>SUM(V28:V32)</f>
        <v>850000</v>
      </c>
      <c r="W33" s="885">
        <f>SUM(W28:W32)</f>
        <v>1</v>
      </c>
      <c r="X33" s="1662">
        <f>SUM(X28:X32)</f>
        <v>4659430.7300000004</v>
      </c>
      <c r="Y33" s="1662">
        <f>SUM(Y28:Y32)</f>
        <v>87755252.425746992</v>
      </c>
      <c r="Z33" s="827"/>
      <c r="AE33" s="829"/>
      <c r="AF33" s="829"/>
    </row>
    <row r="34" spans="2:32" ht="20.100000000000001" customHeight="1" x14ac:dyDescent="0.2">
      <c r="B34" s="827"/>
      <c r="C34" s="860"/>
      <c r="D34" s="860"/>
      <c r="E34" s="860"/>
      <c r="F34" s="860"/>
      <c r="G34" s="888"/>
      <c r="H34" s="888"/>
      <c r="I34" s="860"/>
      <c r="J34" s="860"/>
      <c r="K34" s="860"/>
      <c r="L34" s="860"/>
      <c r="M34" s="889"/>
      <c r="P34" s="860"/>
      <c r="Q34" s="860"/>
      <c r="R34" s="888"/>
      <c r="S34" s="888"/>
      <c r="T34" s="860"/>
      <c r="U34" s="860"/>
      <c r="V34" s="860"/>
      <c r="W34" s="860"/>
      <c r="X34" s="1681"/>
      <c r="Y34" s="1682">
        <v>0</v>
      </c>
      <c r="Z34" s="827"/>
      <c r="AE34" s="829"/>
      <c r="AF34" s="829"/>
    </row>
    <row r="35" spans="2:32" ht="20.100000000000001" customHeight="1" x14ac:dyDescent="0.2">
      <c r="B35" s="827"/>
      <c r="C35" s="860"/>
      <c r="D35" s="860"/>
      <c r="E35" s="860"/>
      <c r="F35" s="860"/>
      <c r="G35" s="888"/>
      <c r="H35" s="888"/>
      <c r="I35" s="860"/>
      <c r="J35" s="860"/>
      <c r="K35" s="860"/>
      <c r="L35" s="860"/>
      <c r="M35" s="889"/>
      <c r="P35" s="860"/>
      <c r="Q35" s="860"/>
      <c r="R35" s="888"/>
      <c r="S35" s="888"/>
      <c r="T35" s="860"/>
      <c r="U35" s="860"/>
      <c r="V35" s="860"/>
      <c r="W35" s="892">
        <f>1-W33</f>
        <v>0</v>
      </c>
      <c r="X35" s="1681"/>
      <c r="Y35" s="1682"/>
      <c r="Z35" s="827"/>
      <c r="AE35" s="829"/>
      <c r="AF35" s="829"/>
    </row>
    <row r="36" spans="2:32" x14ac:dyDescent="0.2">
      <c r="X36" s="968"/>
      <c r="Y36" s="968"/>
    </row>
    <row r="37" spans="2:32" ht="20.100000000000001" customHeight="1" thickBot="1" x14ac:dyDescent="0.25">
      <c r="B37" s="827"/>
      <c r="C37" s="858" t="s">
        <v>274</v>
      </c>
      <c r="D37" s="858"/>
      <c r="E37" s="858"/>
      <c r="F37" s="858"/>
      <c r="G37" s="858"/>
      <c r="H37" s="859"/>
      <c r="I37" s="858"/>
      <c r="J37" s="858"/>
      <c r="K37" s="858"/>
      <c r="L37" s="859"/>
      <c r="M37" s="860"/>
      <c r="N37" s="861"/>
      <c r="P37" s="858"/>
      <c r="Q37" s="858"/>
      <c r="R37" s="858"/>
      <c r="S37" s="859"/>
      <c r="T37" s="858"/>
      <c r="U37" s="858"/>
      <c r="V37" s="858"/>
      <c r="W37" s="860"/>
      <c r="X37" s="1683"/>
      <c r="Y37" s="1684"/>
      <c r="Z37" s="862"/>
      <c r="AE37" s="829"/>
      <c r="AF37" s="829"/>
    </row>
    <row r="38" spans="2:32" ht="35.1" customHeight="1" thickBot="1" x14ac:dyDescent="0.25">
      <c r="B38" s="827"/>
      <c r="C38" s="850" t="s">
        <v>87</v>
      </c>
      <c r="D38" s="895" t="s">
        <v>88</v>
      </c>
      <c r="E38" s="895" t="s">
        <v>237</v>
      </c>
      <c r="F38" s="896" t="s">
        <v>160</v>
      </c>
      <c r="G38" s="895" t="s">
        <v>236</v>
      </c>
      <c r="H38" s="896" t="s">
        <v>232</v>
      </c>
      <c r="I38" s="896" t="s">
        <v>233</v>
      </c>
      <c r="J38" s="896" t="s">
        <v>20</v>
      </c>
      <c r="K38" s="832" t="s">
        <v>91</v>
      </c>
      <c r="L38" s="895" t="s">
        <v>93</v>
      </c>
      <c r="M38" s="895" t="s">
        <v>94</v>
      </c>
      <c r="N38" s="897" t="s">
        <v>95</v>
      </c>
      <c r="P38" s="1075" t="s">
        <v>237</v>
      </c>
      <c r="Q38" s="896" t="s">
        <v>160</v>
      </c>
      <c r="R38" s="895" t="s">
        <v>236</v>
      </c>
      <c r="S38" s="896" t="s">
        <v>232</v>
      </c>
      <c r="T38" s="896" t="s">
        <v>233</v>
      </c>
      <c r="U38" s="896" t="s">
        <v>20</v>
      </c>
      <c r="V38" s="832" t="s">
        <v>91</v>
      </c>
      <c r="W38" s="895" t="s">
        <v>93</v>
      </c>
      <c r="X38" s="1685" t="s">
        <v>94</v>
      </c>
      <c r="Y38" s="1686" t="s">
        <v>95</v>
      </c>
      <c r="Z38" s="862"/>
      <c r="AE38" s="829"/>
      <c r="AF38" s="829"/>
    </row>
    <row r="39" spans="2:32" ht="35.1" customHeight="1" thickBot="1" x14ac:dyDescent="0.25">
      <c r="B39" s="827"/>
      <c r="C39" s="864">
        <v>800861096</v>
      </c>
      <c r="D39" s="869">
        <v>1</v>
      </c>
      <c r="E39" s="869" t="s">
        <v>242</v>
      </c>
      <c r="F39" s="836" t="s">
        <v>221</v>
      </c>
      <c r="G39" s="836" t="s">
        <v>222</v>
      </c>
      <c r="H39" s="836">
        <v>2233</v>
      </c>
      <c r="I39" s="836">
        <v>453882</v>
      </c>
      <c r="J39" s="865" t="s">
        <v>97</v>
      </c>
      <c r="K39" s="841">
        <v>1068199.2040000001</v>
      </c>
      <c r="L39" s="866">
        <v>1</v>
      </c>
      <c r="M39" s="1698">
        <f>ROUND(L39*I$16,2)</f>
        <v>447053.49</v>
      </c>
      <c r="N39" s="1699">
        <f>M39*$M$16</f>
        <v>8589551.6408129986</v>
      </c>
      <c r="P39" s="864" t="s">
        <v>242</v>
      </c>
      <c r="Q39" s="836" t="s">
        <v>221</v>
      </c>
      <c r="R39" s="836" t="s">
        <v>222</v>
      </c>
      <c r="S39" s="836">
        <v>2233</v>
      </c>
      <c r="T39" s="836">
        <v>453882</v>
      </c>
      <c r="U39" s="865" t="s">
        <v>97</v>
      </c>
      <c r="V39" s="841">
        <v>80000</v>
      </c>
      <c r="W39" s="866">
        <f>IFERROR(V39/$V$44,0)</f>
        <v>0.66666666666666663</v>
      </c>
      <c r="X39" s="1677">
        <f>ROUND(W39*I$16,2)</f>
        <v>298035.65999999997</v>
      </c>
      <c r="Y39" s="1678">
        <f>X39*$M$16</f>
        <v>5726367.7605419997</v>
      </c>
      <c r="Z39" s="862"/>
      <c r="AE39" s="829"/>
      <c r="AF39" s="829"/>
    </row>
    <row r="40" spans="2:32" ht="35.1" customHeight="1" thickBot="1" x14ac:dyDescent="0.25">
      <c r="B40" s="827"/>
      <c r="C40" s="864">
        <v>800861096</v>
      </c>
      <c r="D40" s="869">
        <v>1</v>
      </c>
      <c r="E40" s="869" t="s">
        <v>242</v>
      </c>
      <c r="F40" s="836" t="s">
        <v>221</v>
      </c>
      <c r="G40" s="836" t="s">
        <v>222</v>
      </c>
      <c r="H40" s="836">
        <v>2233</v>
      </c>
      <c r="I40" s="836">
        <v>453882</v>
      </c>
      <c r="J40" s="865" t="s">
        <v>100</v>
      </c>
      <c r="K40" s="841">
        <v>2292850.0809999998</v>
      </c>
      <c r="L40" s="866">
        <v>0</v>
      </c>
      <c r="M40" s="1698">
        <f>ROUND(L40*I$16,2)</f>
        <v>0</v>
      </c>
      <c r="N40" s="1699">
        <f>M40*$M$16</f>
        <v>0</v>
      </c>
      <c r="P40" s="864"/>
      <c r="Q40" s="836"/>
      <c r="R40" s="836"/>
      <c r="S40" s="836"/>
      <c r="T40" s="836"/>
      <c r="U40" s="865" t="s">
        <v>100</v>
      </c>
      <c r="V40" s="841">
        <v>40000</v>
      </c>
      <c r="W40" s="866">
        <f t="shared" ref="W40:W43" si="1">IFERROR(V40/$V$44,0)</f>
        <v>0.33333333333333331</v>
      </c>
      <c r="X40" s="1677">
        <f>ROUND(W40*I$16,2)</f>
        <v>149017.82999999999</v>
      </c>
      <c r="Y40" s="1678">
        <f>X40*$M$16</f>
        <v>2863183.8802709999</v>
      </c>
      <c r="Z40" s="862"/>
      <c r="AE40" s="829"/>
      <c r="AF40" s="829"/>
    </row>
    <row r="41" spans="2:32" ht="35.1" customHeight="1" thickBot="1" x14ac:dyDescent="0.25">
      <c r="B41" s="827"/>
      <c r="C41" s="864"/>
      <c r="D41" s="836"/>
      <c r="E41" s="836"/>
      <c r="F41" s="836"/>
      <c r="G41" s="836"/>
      <c r="H41" s="836"/>
      <c r="I41" s="836"/>
      <c r="J41" s="972" t="s">
        <v>288</v>
      </c>
      <c r="K41" s="841"/>
      <c r="L41" s="866">
        <f>IFERROR(K41/K$44,0)</f>
        <v>0</v>
      </c>
      <c r="M41" s="1698">
        <f>ROUND(L41*I$16,2)</f>
        <v>0</v>
      </c>
      <c r="N41" s="1699">
        <f>M41*$M$16</f>
        <v>0</v>
      </c>
      <c r="P41" s="864"/>
      <c r="Q41" s="836"/>
      <c r="R41" s="836"/>
      <c r="S41" s="836"/>
      <c r="T41" s="836"/>
      <c r="U41" s="836" t="s">
        <v>268</v>
      </c>
      <c r="V41" s="841"/>
      <c r="W41" s="866">
        <f t="shared" si="1"/>
        <v>0</v>
      </c>
      <c r="X41" s="1677">
        <f>ROUND(W41*I$16,2)</f>
        <v>0</v>
      </c>
      <c r="Y41" s="1678">
        <f>X41*$M$16</f>
        <v>0</v>
      </c>
      <c r="Z41" s="862"/>
      <c r="AE41" s="829"/>
      <c r="AF41" s="829"/>
    </row>
    <row r="42" spans="2:32" ht="35.1" customHeight="1" thickBot="1" x14ac:dyDescent="0.25">
      <c r="B42" s="827"/>
      <c r="C42" s="864"/>
      <c r="D42" s="1000"/>
      <c r="E42" s="1000"/>
      <c r="F42" s="836"/>
      <c r="G42" s="836"/>
      <c r="H42" s="836"/>
      <c r="I42" s="836"/>
      <c r="J42" s="865" t="s">
        <v>23</v>
      </c>
      <c r="K42" s="841"/>
      <c r="L42" s="866">
        <f>IFERROR(K42/K$44,0)</f>
        <v>0</v>
      </c>
      <c r="M42" s="1698">
        <f>ROUND(L42*I$16,2)</f>
        <v>0</v>
      </c>
      <c r="N42" s="1699">
        <f>M42*$M$16</f>
        <v>0</v>
      </c>
      <c r="P42" s="1076"/>
      <c r="Q42" s="836"/>
      <c r="R42" s="836"/>
      <c r="S42" s="836"/>
      <c r="T42" s="836"/>
      <c r="U42" s="865" t="s">
        <v>23</v>
      </c>
      <c r="V42" s="841"/>
      <c r="W42" s="866">
        <f t="shared" si="1"/>
        <v>0</v>
      </c>
      <c r="X42" s="1677">
        <f>ROUND(W42*I$16,2)</f>
        <v>0</v>
      </c>
      <c r="Y42" s="1678">
        <f>X42*$M$16</f>
        <v>0</v>
      </c>
      <c r="Z42" s="862"/>
      <c r="AE42" s="829"/>
      <c r="AF42" s="829"/>
    </row>
    <row r="43" spans="2:32" ht="35.1" customHeight="1" thickBot="1" x14ac:dyDescent="0.25">
      <c r="B43" s="827"/>
      <c r="C43" s="1004"/>
      <c r="D43" s="1003"/>
      <c r="E43" s="1003"/>
      <c r="F43" s="1003"/>
      <c r="G43" s="1003"/>
      <c r="H43" s="1003"/>
      <c r="I43" s="1003"/>
      <c r="J43" s="871" t="s">
        <v>159</v>
      </c>
      <c r="K43" s="852"/>
      <c r="L43" s="872">
        <v>0</v>
      </c>
      <c r="M43" s="1700">
        <f>ROUND(L43*I$16,2)</f>
        <v>0</v>
      </c>
      <c r="N43" s="1701">
        <f>M43*$M$16</f>
        <v>0</v>
      </c>
      <c r="P43" s="900"/>
      <c r="Q43" s="845"/>
      <c r="R43" s="845"/>
      <c r="S43" s="845"/>
      <c r="T43" s="845"/>
      <c r="U43" s="871" t="s">
        <v>159</v>
      </c>
      <c r="V43" s="852"/>
      <c r="W43" s="872">
        <f t="shared" si="1"/>
        <v>0</v>
      </c>
      <c r="X43" s="1679">
        <f>ROUND(W43*I$16,2)</f>
        <v>0</v>
      </c>
      <c r="Y43" s="1680">
        <f>X43*$M$16</f>
        <v>0</v>
      </c>
      <c r="Z43" s="862"/>
      <c r="AE43" s="829"/>
      <c r="AF43" s="829"/>
    </row>
    <row r="44" spans="2:32" ht="20.100000000000001" customHeight="1" x14ac:dyDescent="0.2">
      <c r="B44" s="827"/>
      <c r="C44" s="881">
        <v>3000623</v>
      </c>
      <c r="D44" s="882" t="s">
        <v>102</v>
      </c>
      <c r="E44" s="882"/>
      <c r="F44" s="882"/>
      <c r="G44" s="882"/>
      <c r="H44" s="882"/>
      <c r="I44" s="883"/>
      <c r="J44" s="883"/>
      <c r="K44" s="884">
        <f>SUM(K39:K43)</f>
        <v>3361049.2850000001</v>
      </c>
      <c r="L44" s="885">
        <f>SUM(L39:L43)</f>
        <v>1</v>
      </c>
      <c r="M44" s="1702">
        <f>SUM(M39:M43)</f>
        <v>447053.49</v>
      </c>
      <c r="N44" s="1702">
        <f>SUM(N39:N43)</f>
        <v>8589551.6408129986</v>
      </c>
      <c r="P44" s="882"/>
      <c r="Q44" s="882"/>
      <c r="R44" s="882"/>
      <c r="S44" s="882"/>
      <c r="T44" s="883"/>
      <c r="U44" s="883"/>
      <c r="V44" s="884">
        <f>SUM(V39:V43)</f>
        <v>120000</v>
      </c>
      <c r="W44" s="885">
        <f>SUM(W39:W43)</f>
        <v>1</v>
      </c>
      <c r="X44" s="1662">
        <f>SUM(X39:X43)</f>
        <v>447053.49</v>
      </c>
      <c r="Y44" s="1662">
        <f>SUM(Y39:Y43)</f>
        <v>8589551.6408130005</v>
      </c>
      <c r="Z44" s="862"/>
      <c r="AE44" s="829"/>
      <c r="AF44" s="829"/>
    </row>
    <row r="45" spans="2:32" ht="20.100000000000001" customHeight="1" x14ac:dyDescent="0.2">
      <c r="B45" s="827"/>
      <c r="C45" s="899"/>
      <c r="D45" s="858"/>
      <c r="E45" s="858"/>
      <c r="F45" s="858"/>
      <c r="G45" s="858"/>
      <c r="H45" s="859"/>
      <c r="I45" s="858"/>
      <c r="J45" s="858"/>
      <c r="K45" s="858"/>
      <c r="L45" s="860"/>
      <c r="M45" s="860"/>
      <c r="N45" s="843"/>
      <c r="P45" s="858"/>
      <c r="Q45" s="858"/>
      <c r="R45" s="858"/>
      <c r="S45" s="859"/>
      <c r="T45" s="858"/>
      <c r="U45" s="858"/>
      <c r="V45" s="858"/>
      <c r="W45" s="860"/>
      <c r="X45" s="1683"/>
      <c r="Y45" s="1684"/>
      <c r="Z45" s="862"/>
      <c r="AE45" s="829"/>
      <c r="AF45" s="829"/>
    </row>
    <row r="46" spans="2:32" ht="20.100000000000001" customHeight="1" x14ac:dyDescent="0.2">
      <c r="B46" s="827"/>
      <c r="C46" s="899"/>
      <c r="D46" s="858"/>
      <c r="E46" s="858"/>
      <c r="F46" s="858"/>
      <c r="G46" s="858"/>
      <c r="H46" s="859"/>
      <c r="I46" s="858"/>
      <c r="J46" s="858"/>
      <c r="K46" s="858"/>
      <c r="L46" s="860"/>
      <c r="M46" s="860"/>
      <c r="N46" s="843"/>
      <c r="P46" s="858"/>
      <c r="Q46" s="858"/>
      <c r="R46" s="858"/>
      <c r="S46" s="859"/>
      <c r="T46" s="858"/>
      <c r="U46" s="858"/>
      <c r="V46" s="858"/>
      <c r="W46" s="860"/>
      <c r="X46" s="1683"/>
      <c r="Y46" s="1684"/>
      <c r="Z46" s="862"/>
      <c r="AE46" s="829"/>
      <c r="AF46" s="829"/>
    </row>
    <row r="47" spans="2:32" ht="20.100000000000001" customHeight="1" x14ac:dyDescent="0.2">
      <c r="B47" s="827"/>
      <c r="C47" s="899"/>
      <c r="D47" s="858"/>
      <c r="E47" s="858"/>
      <c r="F47" s="858"/>
      <c r="G47" s="858"/>
      <c r="H47" s="859"/>
      <c r="I47" s="858"/>
      <c r="J47" s="858"/>
      <c r="K47" s="858"/>
      <c r="L47" s="860"/>
      <c r="M47" s="860"/>
      <c r="N47" s="843"/>
      <c r="P47" s="858"/>
      <c r="Q47" s="858"/>
      <c r="R47" s="858"/>
      <c r="S47" s="859"/>
      <c r="T47" s="858"/>
      <c r="U47" s="858"/>
      <c r="V47" s="858"/>
      <c r="W47" s="860"/>
      <c r="X47" s="1683"/>
      <c r="Y47" s="1684"/>
      <c r="Z47" s="862"/>
      <c r="AE47" s="829"/>
      <c r="AF47" s="829"/>
    </row>
    <row r="48" spans="2:32" ht="35.1" customHeight="1" thickBot="1" x14ac:dyDescent="0.25">
      <c r="B48" s="827"/>
      <c r="C48" s="899" t="s">
        <v>103</v>
      </c>
      <c r="D48" s="858"/>
      <c r="E48" s="858"/>
      <c r="F48" s="858"/>
      <c r="G48" s="858"/>
      <c r="H48" s="859"/>
      <c r="I48" s="858"/>
      <c r="J48" s="858"/>
      <c r="K48" s="858"/>
      <c r="L48" s="860"/>
      <c r="M48" s="860"/>
      <c r="N48" s="843"/>
      <c r="P48" s="858"/>
      <c r="Q48" s="858"/>
      <c r="R48" s="858"/>
      <c r="S48" s="859"/>
      <c r="T48" s="858"/>
      <c r="U48" s="858"/>
      <c r="V48" s="858"/>
      <c r="W48" s="860"/>
      <c r="X48" s="1683"/>
      <c r="Y48" s="1684"/>
      <c r="Z48" s="862"/>
      <c r="AE48" s="829"/>
      <c r="AF48" s="829"/>
    </row>
    <row r="49" spans="2:32" ht="35.1" customHeight="1" thickBot="1" x14ac:dyDescent="0.25">
      <c r="B49" s="827"/>
      <c r="C49" s="850" t="s">
        <v>87</v>
      </c>
      <c r="D49" s="832" t="s">
        <v>88</v>
      </c>
      <c r="E49" s="832" t="s">
        <v>237</v>
      </c>
      <c r="F49" s="833" t="s">
        <v>160</v>
      </c>
      <c r="G49" s="832" t="s">
        <v>90</v>
      </c>
      <c r="H49" s="833" t="s">
        <v>232</v>
      </c>
      <c r="I49" s="833" t="s">
        <v>233</v>
      </c>
      <c r="J49" s="833" t="s">
        <v>20</v>
      </c>
      <c r="K49" s="832" t="s">
        <v>234</v>
      </c>
      <c r="L49" s="832" t="s">
        <v>93</v>
      </c>
      <c r="M49" s="832" t="s">
        <v>94</v>
      </c>
      <c r="N49" s="863" t="s">
        <v>95</v>
      </c>
      <c r="P49" s="850" t="s">
        <v>237</v>
      </c>
      <c r="Q49" s="833" t="s">
        <v>160</v>
      </c>
      <c r="R49" s="832" t="s">
        <v>90</v>
      </c>
      <c r="S49" s="833" t="s">
        <v>232</v>
      </c>
      <c r="T49" s="833" t="s">
        <v>233</v>
      </c>
      <c r="U49" s="833" t="s">
        <v>20</v>
      </c>
      <c r="V49" s="832" t="s">
        <v>234</v>
      </c>
      <c r="W49" s="832" t="s">
        <v>93</v>
      </c>
      <c r="X49" s="1687" t="s">
        <v>94</v>
      </c>
      <c r="Y49" s="1688" t="s">
        <v>95</v>
      </c>
      <c r="Z49" s="861"/>
      <c r="AE49" s="829"/>
      <c r="AF49" s="829"/>
    </row>
    <row r="50" spans="2:32" ht="35.1" customHeight="1" thickBot="1" x14ac:dyDescent="0.25">
      <c r="B50" s="827"/>
      <c r="C50" s="864">
        <v>800832773</v>
      </c>
      <c r="D50" s="869">
        <v>257</v>
      </c>
      <c r="E50" s="869" t="s">
        <v>239</v>
      </c>
      <c r="F50" s="836" t="s">
        <v>238</v>
      </c>
      <c r="G50" s="836">
        <v>100887241</v>
      </c>
      <c r="H50" s="836">
        <v>7237</v>
      </c>
      <c r="I50" s="836">
        <v>468074</v>
      </c>
      <c r="J50" s="972" t="s">
        <v>97</v>
      </c>
      <c r="K50" s="841">
        <f>O102*S103</f>
        <v>2272099.0927212019</v>
      </c>
      <c r="L50" s="866">
        <f>K50/$K$54</f>
        <v>0.28163460858994638</v>
      </c>
      <c r="M50" s="835">
        <v>2303.6888539630031</v>
      </c>
      <c r="N50" s="867">
        <f>M50*O50</f>
        <v>44308.921048239004</v>
      </c>
      <c r="O50" s="2">
        <v>19.233899999999998</v>
      </c>
      <c r="P50" s="864"/>
      <c r="Q50" s="836"/>
      <c r="R50" s="836">
        <v>20823</v>
      </c>
      <c r="S50" s="836"/>
      <c r="T50" s="836"/>
      <c r="U50" s="865" t="s">
        <v>97</v>
      </c>
      <c r="V50" s="841">
        <f>$O$102*S$103</f>
        <v>2272099.0927212019</v>
      </c>
      <c r="W50" s="866">
        <f>V50/$K$54</f>
        <v>0.28163460858994638</v>
      </c>
      <c r="X50" s="835">
        <v>2303.6888539630031</v>
      </c>
      <c r="Y50" s="867">
        <f>X50*O50</f>
        <v>44308.921048239004</v>
      </c>
      <c r="AE50" s="829"/>
      <c r="AF50" s="829"/>
    </row>
    <row r="51" spans="2:32" ht="35.1" customHeight="1" thickBot="1" x14ac:dyDescent="0.25">
      <c r="B51" s="827"/>
      <c r="C51" s="864">
        <v>800832773</v>
      </c>
      <c r="D51" s="869">
        <v>257</v>
      </c>
      <c r="E51" s="869" t="s">
        <v>239</v>
      </c>
      <c r="F51" s="836" t="s">
        <v>238</v>
      </c>
      <c r="G51" s="836">
        <v>100887241</v>
      </c>
      <c r="H51" s="836">
        <v>7237</v>
      </c>
      <c r="I51" s="836">
        <v>468074</v>
      </c>
      <c r="J51" s="972" t="s">
        <v>100</v>
      </c>
      <c r="K51" s="841">
        <f>O102*T103</f>
        <v>1168887.2972787975</v>
      </c>
      <c r="L51" s="866">
        <f>K51/$K$54</f>
        <v>0.14488765807331308</v>
      </c>
      <c r="M51" s="835">
        <v>1185.1387322438932</v>
      </c>
      <c r="N51" s="867">
        <f>M51*O50</f>
        <v>22794.839862105815</v>
      </c>
      <c r="O51" s="2"/>
      <c r="P51" s="864"/>
      <c r="Q51" s="836"/>
      <c r="R51" s="836">
        <v>20824</v>
      </c>
      <c r="S51" s="836"/>
      <c r="T51" s="836"/>
      <c r="U51" s="865" t="s">
        <v>97</v>
      </c>
      <c r="V51" s="841">
        <f>$O$102*T$103</f>
        <v>1168887.2972787975</v>
      </c>
      <c r="W51" s="866">
        <f>V51/$K$54</f>
        <v>0.14488765807331308</v>
      </c>
      <c r="X51" s="835">
        <v>1185.1387322438932</v>
      </c>
      <c r="Y51" s="867">
        <f>X51*O50</f>
        <v>22794.839862105815</v>
      </c>
      <c r="AE51" s="829"/>
      <c r="AF51" s="829"/>
    </row>
    <row r="52" spans="2:32" ht="35.1" customHeight="1" thickBot="1" x14ac:dyDescent="0.25">
      <c r="B52" s="827"/>
      <c r="C52" s="864">
        <v>800832773</v>
      </c>
      <c r="D52" s="869">
        <v>257</v>
      </c>
      <c r="E52" s="869" t="s">
        <v>239</v>
      </c>
      <c r="F52" s="836" t="s">
        <v>238</v>
      </c>
      <c r="G52" s="836">
        <v>100887241</v>
      </c>
      <c r="H52" s="836">
        <v>7237</v>
      </c>
      <c r="I52" s="836">
        <v>468074</v>
      </c>
      <c r="J52" s="972" t="s">
        <v>268</v>
      </c>
      <c r="K52" s="841">
        <f>P102</f>
        <v>2324888.81993677</v>
      </c>
      <c r="L52" s="866">
        <f>K52/$K$54</f>
        <v>0.28817807943131729</v>
      </c>
      <c r="M52" s="1167">
        <f>L52*$I$17</f>
        <v>2357.2131181051404</v>
      </c>
      <c r="N52" s="867">
        <f>O52*M52</f>
        <v>45820.215753663157</v>
      </c>
      <c r="O52" s="2">
        <v>19.438300000000002</v>
      </c>
      <c r="P52" s="864"/>
      <c r="Q52" s="836"/>
      <c r="R52" s="836">
        <v>22228</v>
      </c>
      <c r="S52" s="836"/>
      <c r="T52" s="836"/>
      <c r="U52" s="865" t="s">
        <v>100</v>
      </c>
      <c r="V52" s="841">
        <f>P102</f>
        <v>2324888.81993677</v>
      </c>
      <c r="W52" s="866">
        <f>V52/$K$54</f>
        <v>0.28817807943131729</v>
      </c>
      <c r="X52" s="835">
        <f>W52*$I$17</f>
        <v>2357.2131181051404</v>
      </c>
      <c r="Y52" s="867">
        <f>X52*O52</f>
        <v>45820.215753663157</v>
      </c>
      <c r="AE52" s="829"/>
      <c r="AF52" s="829"/>
    </row>
    <row r="53" spans="2:32" ht="35.1" customHeight="1" thickBot="1" x14ac:dyDescent="0.25">
      <c r="B53" s="827"/>
      <c r="C53" s="851">
        <v>800832773</v>
      </c>
      <c r="D53" s="853">
        <v>258</v>
      </c>
      <c r="E53" s="853" t="s">
        <v>239</v>
      </c>
      <c r="F53" s="845" t="s">
        <v>238</v>
      </c>
      <c r="G53" s="845">
        <v>100887241</v>
      </c>
      <c r="H53" s="845">
        <v>7237</v>
      </c>
      <c r="I53" s="845">
        <v>468074</v>
      </c>
      <c r="J53" s="973" t="s">
        <v>23</v>
      </c>
      <c r="K53" s="852">
        <f>N102</f>
        <v>2301667.0005070004</v>
      </c>
      <c r="L53" s="872">
        <f>K53/$K$54</f>
        <v>0.28529965390542317</v>
      </c>
      <c r="M53" s="844">
        <v>2333.6724137931037</v>
      </c>
      <c r="N53" s="873">
        <f>M53*O53</f>
        <v>43952.152874137937</v>
      </c>
      <c r="O53" s="2">
        <v>18.8339</v>
      </c>
      <c r="P53" s="900"/>
      <c r="Q53" s="845" t="s">
        <v>221</v>
      </c>
      <c r="R53" s="845" t="s">
        <v>222</v>
      </c>
      <c r="S53" s="845"/>
      <c r="T53" s="845"/>
      <c r="U53" s="871" t="s">
        <v>23</v>
      </c>
      <c r="V53" s="852">
        <f>N102</f>
        <v>2301667.0005070004</v>
      </c>
      <c r="W53" s="872">
        <f>V53/$K$54</f>
        <v>0.28529965390542317</v>
      </c>
      <c r="X53" s="844">
        <v>2333.6724137931037</v>
      </c>
      <c r="Y53" s="873">
        <f>X53*O53</f>
        <v>43952.152874137937</v>
      </c>
      <c r="AE53" s="829"/>
      <c r="AF53" s="829"/>
    </row>
    <row r="54" spans="2:32" ht="13.5" thickBot="1" x14ac:dyDescent="0.25">
      <c r="B54" s="827"/>
      <c r="C54" s="901"/>
      <c r="D54" s="901"/>
      <c r="E54" s="901"/>
      <c r="F54" s="902"/>
      <c r="G54" s="902"/>
      <c r="H54" s="902"/>
      <c r="I54" s="902"/>
      <c r="J54" s="902"/>
      <c r="K54" s="1001">
        <f>SUM(K50:K53)</f>
        <v>8067542.2104437705</v>
      </c>
      <c r="L54" s="903">
        <f>SUM(L50:L53)</f>
        <v>0.99999999999999978</v>
      </c>
      <c r="M54" s="1002">
        <f>SUM(M50:M53)</f>
        <v>8179.7131181051409</v>
      </c>
      <c r="N54" s="1002">
        <f>SUM(N50:N53)</f>
        <v>156876.12953814591</v>
      </c>
      <c r="O54" s="843"/>
      <c r="P54" s="843"/>
      <c r="Q54" s="827"/>
      <c r="R54" s="827"/>
      <c r="S54" s="827"/>
      <c r="T54" s="827"/>
      <c r="U54" s="827"/>
      <c r="V54" s="1001">
        <v>8067542.2104437705</v>
      </c>
      <c r="W54" s="903">
        <v>0.99999999999999978</v>
      </c>
      <c r="X54" s="844">
        <v>8179.7131181051409</v>
      </c>
      <c r="Y54" s="1661">
        <f>SUM(Y50:Y53)</f>
        <v>156876.12953814591</v>
      </c>
      <c r="AE54" s="829"/>
      <c r="AF54" s="829"/>
    </row>
    <row r="55" spans="2:32" s="906" customFormat="1" x14ac:dyDescent="0.2">
      <c r="B55" s="904"/>
      <c r="C55" s="902"/>
      <c r="D55" s="902"/>
      <c r="E55" s="902"/>
      <c r="F55" s="902"/>
      <c r="G55" s="902"/>
      <c r="H55" s="902"/>
      <c r="I55" s="902"/>
      <c r="J55" s="902"/>
      <c r="K55" s="902"/>
      <c r="L55" s="902"/>
      <c r="M55" s="905"/>
      <c r="N55" s="905"/>
      <c r="O55" s="843"/>
      <c r="P55" s="843"/>
      <c r="Q55" s="904"/>
      <c r="R55" s="904"/>
      <c r="S55" s="904"/>
      <c r="T55" s="904"/>
      <c r="U55" s="904"/>
      <c r="V55" s="904"/>
      <c r="W55" s="904"/>
      <c r="X55" s="1002"/>
      <c r="Y55" s="843"/>
      <c r="Z55" s="843"/>
      <c r="AA55" s="843"/>
      <c r="AB55" s="843"/>
      <c r="AC55" s="843"/>
      <c r="AD55" s="843"/>
    </row>
    <row r="56" spans="2:32" s="906" customFormat="1" x14ac:dyDescent="0.2">
      <c r="B56" s="904"/>
      <c r="C56" s="902"/>
      <c r="D56" s="902"/>
      <c r="E56" s="902"/>
      <c r="F56" s="902"/>
      <c r="G56" s="902"/>
      <c r="H56" s="902"/>
      <c r="I56" s="902"/>
      <c r="J56" s="902"/>
      <c r="K56" s="905">
        <v>3488.8275862068967</v>
      </c>
      <c r="L56" s="905">
        <f>K56*S103</f>
        <v>2303.6888539630031</v>
      </c>
      <c r="M56" s="905"/>
      <c r="N56" s="843"/>
      <c r="O56" s="904"/>
      <c r="P56" s="904"/>
      <c r="Q56" s="904"/>
      <c r="R56" s="904"/>
      <c r="S56" s="904"/>
      <c r="T56" s="904"/>
      <c r="U56" s="904"/>
      <c r="V56" s="843"/>
      <c r="W56" s="843"/>
      <c r="X56" s="843"/>
      <c r="Y56" s="843"/>
      <c r="Z56" s="843"/>
      <c r="AA56" s="843"/>
      <c r="AB56" s="843"/>
    </row>
    <row r="57" spans="2:32" s="906" customFormat="1" x14ac:dyDescent="0.2">
      <c r="B57" s="904"/>
      <c r="C57" s="902"/>
      <c r="D57" s="902"/>
      <c r="E57" s="902"/>
      <c r="F57" s="902"/>
      <c r="G57" s="902"/>
      <c r="H57" s="902"/>
      <c r="I57" s="902"/>
      <c r="J57" s="902"/>
      <c r="K57" s="902"/>
      <c r="L57" s="905">
        <f>K56*T103</f>
        <v>1185.1387322438932</v>
      </c>
      <c r="M57" s="905"/>
      <c r="N57" s="843"/>
      <c r="O57" s="843"/>
      <c r="P57" s="904"/>
      <c r="Q57" s="904"/>
      <c r="R57" s="904"/>
      <c r="S57" s="904"/>
      <c r="T57" s="904"/>
      <c r="U57" s="904"/>
      <c r="V57" s="904"/>
      <c r="W57" s="843"/>
      <c r="X57" s="843"/>
      <c r="Y57" s="843"/>
      <c r="Z57" s="843"/>
      <c r="AA57" s="843"/>
      <c r="AB57" s="843"/>
      <c r="AC57" s="843"/>
    </row>
    <row r="58" spans="2:32" s="906" customFormat="1" x14ac:dyDescent="0.2">
      <c r="B58" s="904"/>
      <c r="C58" s="902"/>
      <c r="D58" s="902"/>
      <c r="E58" s="902"/>
      <c r="F58" s="902"/>
      <c r="G58" s="902"/>
      <c r="H58" s="902"/>
      <c r="I58" s="902"/>
      <c r="J58" s="902"/>
      <c r="K58" s="902"/>
      <c r="L58" s="905"/>
      <c r="M58" s="905"/>
      <c r="N58" s="843"/>
      <c r="O58" s="905"/>
      <c r="P58" s="843"/>
      <c r="Q58" s="905"/>
      <c r="R58" s="904"/>
      <c r="S58" s="904"/>
      <c r="T58" s="904"/>
      <c r="U58" s="904"/>
      <c r="V58" s="904"/>
      <c r="W58" s="904"/>
      <c r="X58" s="904"/>
      <c r="Y58" s="904"/>
      <c r="Z58" s="843"/>
      <c r="AA58" s="843"/>
      <c r="AB58" s="843"/>
      <c r="AC58" s="843"/>
      <c r="AD58" s="843"/>
      <c r="AE58" s="843"/>
      <c r="AF58" s="843"/>
    </row>
    <row r="59" spans="2:32" s="906" customFormat="1" x14ac:dyDescent="0.2">
      <c r="B59" s="904"/>
      <c r="C59" s="902"/>
      <c r="D59" s="902"/>
      <c r="E59" s="902"/>
      <c r="F59" s="902"/>
      <c r="G59" s="902"/>
      <c r="H59" s="902"/>
      <c r="I59" s="902"/>
      <c r="J59" s="902"/>
      <c r="K59" s="902"/>
      <c r="L59" s="905"/>
      <c r="M59" s="905"/>
      <c r="N59" s="843"/>
      <c r="O59" s="905"/>
      <c r="P59" s="843"/>
      <c r="Q59" s="905"/>
      <c r="R59" s="904"/>
      <c r="S59" s="904"/>
      <c r="T59" s="904"/>
      <c r="U59" s="904"/>
      <c r="V59" s="904"/>
      <c r="W59" s="904"/>
      <c r="X59" s="904"/>
      <c r="Y59" s="904"/>
      <c r="Z59" s="843"/>
      <c r="AA59" s="843"/>
      <c r="AB59" s="843"/>
      <c r="AC59" s="843"/>
      <c r="AD59" s="843"/>
      <c r="AE59" s="843"/>
      <c r="AF59" s="843"/>
    </row>
    <row r="60" spans="2:32" s="906" customFormat="1" x14ac:dyDescent="0.2">
      <c r="B60" s="904"/>
      <c r="C60" s="902"/>
      <c r="D60" s="902"/>
      <c r="E60" s="902"/>
      <c r="F60" s="902"/>
      <c r="G60" s="902"/>
      <c r="H60" s="902"/>
      <c r="I60" s="902"/>
      <c r="J60" s="902"/>
      <c r="K60" s="902"/>
      <c r="L60" s="905"/>
      <c r="M60" s="905"/>
      <c r="N60" s="843"/>
      <c r="O60" s="905"/>
      <c r="P60" s="843"/>
      <c r="Q60" s="905"/>
      <c r="R60" s="904"/>
      <c r="S60" s="904"/>
      <c r="T60" s="904"/>
      <c r="U60" s="904"/>
      <c r="V60" s="904"/>
      <c r="W60" s="904"/>
      <c r="X60" s="904"/>
      <c r="Y60" s="904"/>
      <c r="Z60" s="843"/>
      <c r="AA60" s="843"/>
      <c r="AB60" s="843"/>
      <c r="AC60" s="843"/>
      <c r="AD60" s="843"/>
      <c r="AE60" s="843"/>
      <c r="AF60" s="843"/>
    </row>
    <row r="61" spans="2:32" s="906" customFormat="1" x14ac:dyDescent="0.2">
      <c r="B61" s="904"/>
      <c r="C61" s="902"/>
      <c r="D61" s="902"/>
      <c r="E61" s="902"/>
      <c r="F61" s="902"/>
      <c r="G61" s="902"/>
      <c r="H61" s="902"/>
      <c r="I61" s="902"/>
      <c r="J61" s="902"/>
      <c r="K61" s="902"/>
      <c r="L61" s="905"/>
      <c r="M61" s="905"/>
      <c r="N61" s="843"/>
      <c r="O61" s="905"/>
      <c r="P61" s="843"/>
      <c r="Q61" s="905"/>
      <c r="R61" s="904"/>
      <c r="S61" s="904"/>
      <c r="T61" s="904"/>
      <c r="U61" s="904"/>
      <c r="V61" s="904"/>
      <c r="W61" s="904"/>
      <c r="X61" s="904"/>
      <c r="Y61" s="904"/>
      <c r="Z61" s="843"/>
      <c r="AA61" s="843"/>
      <c r="AB61" s="843"/>
      <c r="AC61" s="843"/>
      <c r="AD61" s="843"/>
      <c r="AE61" s="843"/>
      <c r="AF61" s="843"/>
    </row>
    <row r="62" spans="2:32" s="906" customFormat="1" x14ac:dyDescent="0.2">
      <c r="B62" s="904"/>
      <c r="C62" s="902"/>
      <c r="D62" s="902"/>
      <c r="E62" s="902"/>
      <c r="F62" s="902"/>
      <c r="G62" s="902"/>
      <c r="H62" s="902"/>
      <c r="I62" s="902"/>
      <c r="J62" s="902"/>
      <c r="K62" s="902"/>
      <c r="L62" s="905"/>
      <c r="M62" s="905"/>
      <c r="N62" s="843"/>
      <c r="O62" s="905"/>
      <c r="P62" s="843"/>
      <c r="Q62" s="905"/>
      <c r="R62" s="904"/>
      <c r="S62" s="904"/>
      <c r="T62" s="904"/>
      <c r="U62" s="904"/>
      <c r="V62" s="904"/>
      <c r="W62" s="904"/>
      <c r="X62" s="904"/>
      <c r="Y62" s="904"/>
      <c r="Z62" s="843"/>
      <c r="AA62" s="843"/>
      <c r="AB62" s="843"/>
      <c r="AC62" s="843"/>
      <c r="AD62" s="843"/>
      <c r="AE62" s="843"/>
      <c r="AF62" s="843"/>
    </row>
    <row r="63" spans="2:32" s="906" customFormat="1" x14ac:dyDescent="0.2">
      <c r="B63" s="904"/>
      <c r="C63" s="902"/>
      <c r="D63" s="902"/>
      <c r="E63" s="902"/>
      <c r="F63" s="902"/>
      <c r="G63" s="902"/>
      <c r="H63" s="902"/>
      <c r="I63" s="902"/>
      <c r="J63" s="902"/>
      <c r="K63" s="902"/>
      <c r="L63" s="905"/>
      <c r="M63" s="905"/>
      <c r="N63" s="843"/>
      <c r="O63" s="905"/>
      <c r="P63" s="843"/>
      <c r="Q63" s="905"/>
      <c r="R63" s="904"/>
      <c r="S63" s="904"/>
      <c r="T63" s="904"/>
      <c r="U63" s="904"/>
      <c r="V63" s="904"/>
      <c r="W63" s="904"/>
      <c r="X63" s="904"/>
      <c r="Y63" s="904"/>
      <c r="Z63" s="843"/>
      <c r="AA63" s="843"/>
      <c r="AB63" s="843"/>
      <c r="AC63" s="843"/>
      <c r="AD63" s="843"/>
      <c r="AE63" s="843"/>
      <c r="AF63" s="843"/>
    </row>
    <row r="64" spans="2:32" s="906" customFormat="1" x14ac:dyDescent="0.2">
      <c r="B64" s="904"/>
      <c r="C64" s="902"/>
      <c r="D64" s="902"/>
      <c r="E64" s="902"/>
      <c r="F64" s="902"/>
      <c r="G64" s="902"/>
      <c r="H64" s="902"/>
      <c r="I64" s="902"/>
      <c r="J64" s="902"/>
      <c r="K64" s="902"/>
      <c r="L64" s="905"/>
      <c r="M64" s="905"/>
      <c r="N64" s="843"/>
      <c r="O64" s="905"/>
      <c r="P64" s="843"/>
      <c r="Q64" s="905"/>
      <c r="R64" s="904"/>
      <c r="S64" s="904"/>
      <c r="T64" s="904"/>
      <c r="U64" s="904"/>
      <c r="V64" s="904"/>
      <c r="W64" s="904"/>
      <c r="X64" s="904"/>
      <c r="Y64" s="904"/>
      <c r="Z64" s="843"/>
      <c r="AA64" s="843"/>
      <c r="AB64" s="843"/>
      <c r="AC64" s="843"/>
      <c r="AD64" s="843"/>
      <c r="AE64" s="843"/>
      <c r="AF64" s="843"/>
    </row>
    <row r="65" spans="2:36" s="906" customFormat="1" x14ac:dyDescent="0.2">
      <c r="B65" s="904"/>
      <c r="C65" s="902"/>
      <c r="D65" s="902"/>
      <c r="E65" s="902"/>
      <c r="F65" s="902"/>
      <c r="G65" s="902"/>
      <c r="H65" s="902"/>
      <c r="I65" s="902"/>
      <c r="J65" s="902"/>
      <c r="K65" s="902"/>
      <c r="L65" s="905"/>
      <c r="M65" s="905"/>
      <c r="N65" s="843"/>
      <c r="O65" s="905"/>
      <c r="P65" s="843"/>
      <c r="Q65" s="905"/>
      <c r="R65" s="904"/>
      <c r="S65" s="904"/>
      <c r="T65" s="904"/>
      <c r="U65" s="904"/>
      <c r="V65" s="904"/>
      <c r="W65" s="904"/>
      <c r="X65" s="904"/>
      <c r="Y65" s="904"/>
      <c r="Z65" s="843"/>
      <c r="AA65" s="843"/>
      <c r="AB65" s="843"/>
      <c r="AC65" s="843"/>
      <c r="AD65" s="843"/>
      <c r="AE65" s="843"/>
      <c r="AF65" s="843"/>
    </row>
    <row r="66" spans="2:36" s="906" customFormat="1" x14ac:dyDescent="0.2">
      <c r="B66" s="904"/>
      <c r="C66" s="902"/>
      <c r="D66" s="902"/>
      <c r="E66" s="902"/>
      <c r="F66" s="902"/>
      <c r="G66" s="902"/>
      <c r="H66" s="902"/>
      <c r="I66" s="902"/>
      <c r="J66" s="902"/>
      <c r="K66" s="902"/>
      <c r="L66" s="905"/>
      <c r="M66" s="905"/>
      <c r="N66" s="843"/>
      <c r="O66" s="905"/>
      <c r="P66" s="843"/>
      <c r="Q66" s="905"/>
      <c r="R66" s="904"/>
      <c r="S66" s="904"/>
      <c r="T66" s="904"/>
      <c r="U66" s="904"/>
      <c r="V66" s="904"/>
      <c r="W66" s="904"/>
      <c r="X66" s="904"/>
      <c r="Y66" s="904"/>
      <c r="Z66" s="843"/>
      <c r="AA66" s="843"/>
      <c r="AB66" s="843"/>
      <c r="AC66" s="843"/>
      <c r="AD66" s="843"/>
      <c r="AE66" s="843"/>
      <c r="AF66" s="843"/>
    </row>
    <row r="67" spans="2:36" s="906" customFormat="1" x14ac:dyDescent="0.2">
      <c r="B67" s="904"/>
      <c r="C67" s="902"/>
      <c r="D67" s="902"/>
      <c r="E67" s="902"/>
      <c r="F67" s="902"/>
      <c r="G67" s="902"/>
      <c r="H67" s="902"/>
      <c r="I67" s="902"/>
      <c r="J67" s="902"/>
      <c r="K67" s="902"/>
      <c r="L67" s="902"/>
      <c r="M67" s="905"/>
      <c r="N67" s="905"/>
      <c r="O67" s="843"/>
      <c r="P67" s="905"/>
      <c r="Q67" s="843"/>
      <c r="R67" s="905"/>
      <c r="S67" s="904"/>
      <c r="T67" s="904"/>
      <c r="U67" s="904"/>
      <c r="V67" s="904"/>
      <c r="W67" s="904"/>
      <c r="X67" s="904"/>
      <c r="Y67" s="904"/>
      <c r="Z67" s="904"/>
      <c r="AA67" s="843"/>
      <c r="AB67" s="843"/>
      <c r="AC67" s="843"/>
      <c r="AD67" s="843"/>
      <c r="AE67" s="843"/>
      <c r="AF67" s="843"/>
      <c r="AG67" s="843"/>
    </row>
    <row r="68" spans="2:36" s="843" customFormat="1" ht="13.5" thickBot="1" x14ac:dyDescent="0.25">
      <c r="N68" s="860"/>
      <c r="O68" s="860"/>
    </row>
    <row r="69" spans="2:36" ht="15" customHeight="1" thickBot="1" x14ac:dyDescent="0.25">
      <c r="B69" s="907" t="s">
        <v>3</v>
      </c>
      <c r="C69" s="908">
        <f>SUMIF(Tarifas!E4:E303,'Julio - 2018 '!C71,Tarifas!D4:D303)</f>
        <v>60</v>
      </c>
      <c r="D69" s="909" t="s">
        <v>147</v>
      </c>
      <c r="E69" s="910"/>
      <c r="F69" s="910" t="s">
        <v>145</v>
      </c>
      <c r="G69" s="910" t="s">
        <v>287</v>
      </c>
      <c r="H69" s="910" t="s">
        <v>148</v>
      </c>
      <c r="I69" s="1057"/>
      <c r="J69" s="2320" t="s">
        <v>120</v>
      </c>
      <c r="K69" s="2321"/>
      <c r="L69" s="2321"/>
      <c r="M69" s="2322"/>
      <c r="N69" s="1351" t="s">
        <v>270</v>
      </c>
      <c r="O69" s="1026"/>
      <c r="P69" s="1352"/>
      <c r="Q69" s="2309" t="s">
        <v>271</v>
      </c>
      <c r="R69" s="2310"/>
      <c r="S69" s="2310"/>
      <c r="T69" s="2310"/>
      <c r="U69" s="2310"/>
      <c r="V69" s="2310"/>
      <c r="W69" s="2332"/>
      <c r="X69" s="2323" t="s">
        <v>121</v>
      </c>
      <c r="Y69" s="2324"/>
      <c r="Z69" s="2324"/>
      <c r="AA69" s="2324"/>
      <c r="AB69" s="2324"/>
      <c r="AC69" s="2325"/>
      <c r="AD69" s="1033"/>
      <c r="AG69" s="843"/>
      <c r="AH69" s="843"/>
      <c r="AI69" s="843"/>
      <c r="AJ69" s="843"/>
    </row>
    <row r="70" spans="2:36" ht="51.75" thickBot="1" x14ac:dyDescent="0.25">
      <c r="C70" s="914" t="s">
        <v>122</v>
      </c>
      <c r="D70" s="1016" t="s">
        <v>125</v>
      </c>
      <c r="E70" s="1017" t="s">
        <v>277</v>
      </c>
      <c r="F70" s="1017" t="s">
        <v>149</v>
      </c>
      <c r="G70" s="1017" t="s">
        <v>151</v>
      </c>
      <c r="H70" s="1017" t="s">
        <v>152</v>
      </c>
      <c r="I70" s="1017" t="s">
        <v>123</v>
      </c>
      <c r="J70" s="1020" t="s">
        <v>370</v>
      </c>
      <c r="K70" s="1021" t="s">
        <v>293</v>
      </c>
      <c r="L70" s="1021" t="s">
        <v>294</v>
      </c>
      <c r="M70" s="1022" t="s">
        <v>267</v>
      </c>
      <c r="N70" s="974" t="s">
        <v>266</v>
      </c>
      <c r="O70" s="975" t="s">
        <v>269</v>
      </c>
      <c r="P70" s="1036" t="s">
        <v>267</v>
      </c>
      <c r="Q70" s="976" t="s">
        <v>314</v>
      </c>
      <c r="R70" s="977" t="s">
        <v>320</v>
      </c>
      <c r="S70" s="976" t="s">
        <v>317</v>
      </c>
      <c r="T70" s="978" t="s">
        <v>316</v>
      </c>
      <c r="U70" s="979" t="s">
        <v>319</v>
      </c>
      <c r="V70" s="980" t="s">
        <v>315</v>
      </c>
      <c r="W70" s="977" t="s">
        <v>318</v>
      </c>
      <c r="X70" s="1029" t="s">
        <v>207</v>
      </c>
      <c r="Y70" s="1030" t="s">
        <v>112</v>
      </c>
      <c r="Z70" s="1031" t="s">
        <v>118</v>
      </c>
      <c r="AA70" s="1031" t="s">
        <v>119</v>
      </c>
      <c r="AB70" s="1031" t="s">
        <v>114</v>
      </c>
      <c r="AC70" s="1032" t="s">
        <v>113</v>
      </c>
      <c r="AG70" s="843"/>
      <c r="AH70" s="843"/>
      <c r="AI70" s="843"/>
      <c r="AJ70" s="843"/>
    </row>
    <row r="71" spans="2:36" x14ac:dyDescent="0.2">
      <c r="C71" s="1402">
        <v>43282</v>
      </c>
      <c r="D71" s="1389">
        <f>($E$22*$H$22)/$G$22</f>
        <v>150304.21677419354</v>
      </c>
      <c r="E71" s="1355">
        <f>($F$22*$I$22)/$G$22</f>
        <v>14421.080258064516</v>
      </c>
      <c r="F71" s="1327">
        <f>N71+O71+P71</f>
        <v>186233.102813</v>
      </c>
      <c r="G71" s="1390">
        <f t="shared" ref="G71:G101" si="2">TRUNC(IFERROR(K$22/L$22,0),8)</f>
        <v>1.0139026799999999</v>
      </c>
      <c r="H71" s="1357">
        <f t="shared" ref="H71:H101" si="3">ROUND(J$22*G71*F71,4)</f>
        <v>188.82220000000001</v>
      </c>
      <c r="I71" s="1357">
        <f t="shared" ref="I71:I101" si="4">SUM(D71:H71)</f>
        <v>351148.23594793811</v>
      </c>
      <c r="J71" s="1359">
        <v>74999.700364137767</v>
      </c>
      <c r="K71" s="1360">
        <v>114495.71622002355</v>
      </c>
      <c r="L71" s="1360">
        <v>0</v>
      </c>
      <c r="M71" s="1361">
        <v>0</v>
      </c>
      <c r="N71" s="1322">
        <v>76034.882813000004</v>
      </c>
      <c r="O71" s="1323">
        <v>110198.22</v>
      </c>
      <c r="P71" s="1361">
        <v>0</v>
      </c>
      <c r="Q71" s="318">
        <v>76034.899999999994</v>
      </c>
      <c r="R71" s="1362">
        <f t="shared" ref="R71:R101" si="5">N71-Q71</f>
        <v>-1.7186999990371987E-2</v>
      </c>
      <c r="S71" s="1365">
        <v>72900.373999999996</v>
      </c>
      <c r="T71" s="1336">
        <v>36020.362999999998</v>
      </c>
      <c r="U71" s="1362">
        <f t="shared" ref="U71:U101" si="6">O71-(S71+T71)</f>
        <v>1277.4830000000075</v>
      </c>
      <c r="V71" s="1365">
        <v>0</v>
      </c>
      <c r="W71" s="1375">
        <f t="shared" ref="W71:W101" si="7">P71-V71</f>
        <v>0</v>
      </c>
      <c r="X71" s="532"/>
      <c r="Y71" s="520">
        <f>X71+-Z71</f>
        <v>-189495.41658416131</v>
      </c>
      <c r="Z71" s="520">
        <f>J71+K71+M71</f>
        <v>189495.41658416131</v>
      </c>
      <c r="AA71" s="520">
        <f t="shared" ref="AA71:AA101" si="8">(U71+V71+W71)*1.055056</f>
        <v>1347.8161040480079</v>
      </c>
      <c r="AB71" s="520">
        <f>Z71-AA71</f>
        <v>188147.60048011329</v>
      </c>
      <c r="AC71" s="525">
        <f>X71+AB71</f>
        <v>188147.60048011329</v>
      </c>
      <c r="AG71" s="843"/>
      <c r="AH71" s="843"/>
      <c r="AI71" s="843"/>
      <c r="AJ71" s="843"/>
    </row>
    <row r="72" spans="2:36" x14ac:dyDescent="0.2">
      <c r="C72" s="387">
        <f t="shared" ref="C72:C101" si="9">C71+1</f>
        <v>43283</v>
      </c>
      <c r="D72" s="1392">
        <f t="shared" ref="D72:D101" si="10">($E$22*$H$22)/$G$22</f>
        <v>150304.21677419354</v>
      </c>
      <c r="E72" s="1368">
        <f t="shared" ref="E72:E101" si="11">($F$22*$I$22)/$G$22</f>
        <v>14421.080258064516</v>
      </c>
      <c r="F72" s="389">
        <f t="shared" ref="F72:F101" si="12">N72+O72+P72</f>
        <v>203226.94919294765</v>
      </c>
      <c r="G72" s="1393">
        <f t="shared" si="2"/>
        <v>1.0139026799999999</v>
      </c>
      <c r="H72" s="390">
        <f t="shared" si="3"/>
        <v>206.0523</v>
      </c>
      <c r="I72" s="390">
        <f t="shared" si="4"/>
        <v>368159.31242788571</v>
      </c>
      <c r="J72" s="1369">
        <v>74999.700364137767</v>
      </c>
      <c r="K72" s="1370">
        <v>114499.93644343542</v>
      </c>
      <c r="L72" s="1370">
        <v>0</v>
      </c>
      <c r="M72" s="1371">
        <v>14000.591168895537</v>
      </c>
      <c r="N72" s="725">
        <v>75511.976563000004</v>
      </c>
      <c r="O72" s="320">
        <v>113583.3</v>
      </c>
      <c r="P72" s="1403">
        <v>14131.672629947656</v>
      </c>
      <c r="Q72" s="320">
        <v>75512</v>
      </c>
      <c r="R72" s="1372">
        <f t="shared" si="5"/>
        <v>-2.3436999996192753E-2</v>
      </c>
      <c r="S72" s="1373">
        <v>75982.587</v>
      </c>
      <c r="T72" s="1374">
        <v>37600.731</v>
      </c>
      <c r="U72" s="1372">
        <f t="shared" si="6"/>
        <v>-1.7999999996391125E-2</v>
      </c>
      <c r="V72" s="1373">
        <v>14000</v>
      </c>
      <c r="W72" s="1395">
        <f t="shared" si="7"/>
        <v>131.67262994765588</v>
      </c>
      <c r="X72" s="532"/>
      <c r="Y72" s="520">
        <f t="shared" ref="Y72:Y100" si="13">X72+-Z72</f>
        <v>-203500.22797646874</v>
      </c>
      <c r="Z72" s="520">
        <f t="shared" ref="Z72:Z101" si="14">J72+K72+M72</f>
        <v>203500.22797646874</v>
      </c>
      <c r="AA72" s="520">
        <f t="shared" si="8"/>
        <v>14909.687007254057</v>
      </c>
      <c r="AB72" s="520">
        <f t="shared" ref="AB72:AB101" si="15">Z72-AA72</f>
        <v>188590.54096921469</v>
      </c>
      <c r="AC72" s="525">
        <f t="shared" ref="AC72:AC101" si="16">X72+AB72</f>
        <v>188590.54096921469</v>
      </c>
      <c r="AG72" s="843"/>
      <c r="AH72" s="843"/>
      <c r="AI72" s="843"/>
      <c r="AJ72" s="843"/>
    </row>
    <row r="73" spans="2:36" x14ac:dyDescent="0.2">
      <c r="C73" s="387">
        <f t="shared" si="9"/>
        <v>43284</v>
      </c>
      <c r="D73" s="1392">
        <f t="shared" si="10"/>
        <v>150304.21677419354</v>
      </c>
      <c r="E73" s="1368">
        <f t="shared" si="11"/>
        <v>14421.080258064516</v>
      </c>
      <c r="F73" s="389">
        <f t="shared" si="12"/>
        <v>250299.99973409317</v>
      </c>
      <c r="G73" s="1393">
        <f t="shared" si="2"/>
        <v>1.0139026799999999</v>
      </c>
      <c r="H73" s="390">
        <f t="shared" si="3"/>
        <v>253.77979999999999</v>
      </c>
      <c r="I73" s="390">
        <f t="shared" si="4"/>
        <v>415280.09046903125</v>
      </c>
      <c r="J73" s="1369">
        <v>75999.893312752145</v>
      </c>
      <c r="K73" s="1370">
        <v>115000.03291774262</v>
      </c>
      <c r="L73" s="1370">
        <v>0</v>
      </c>
      <c r="M73" s="1371">
        <v>61312.460783573944</v>
      </c>
      <c r="N73" s="724">
        <v>75391.971000000005</v>
      </c>
      <c r="O73" s="318">
        <v>113573.87</v>
      </c>
      <c r="P73" s="1403">
        <v>61334.158734093166</v>
      </c>
      <c r="Q73" s="318">
        <v>75392</v>
      </c>
      <c r="R73" s="1372">
        <f t="shared" si="5"/>
        <v>-2.8999999994994141E-2</v>
      </c>
      <c r="S73" s="1373">
        <v>75793.876999999993</v>
      </c>
      <c r="T73" s="1374">
        <v>37780.006999999998</v>
      </c>
      <c r="U73" s="1372">
        <f t="shared" si="6"/>
        <v>-1.3999999995576218E-2</v>
      </c>
      <c r="V73" s="1373">
        <v>61313</v>
      </c>
      <c r="W73" s="1395">
        <f t="shared" si="7"/>
        <v>21.158734093165549</v>
      </c>
      <c r="X73" s="532"/>
      <c r="Y73" s="520">
        <f t="shared" si="13"/>
        <v>-252312.38701406869</v>
      </c>
      <c r="Z73" s="520">
        <f t="shared" si="14"/>
        <v>252312.38701406869</v>
      </c>
      <c r="AA73" s="520">
        <f t="shared" si="8"/>
        <v>64710.957406573405</v>
      </c>
      <c r="AB73" s="520">
        <f t="shared" si="15"/>
        <v>187601.42960749529</v>
      </c>
      <c r="AC73" s="525">
        <f t="shared" si="16"/>
        <v>187601.42960749529</v>
      </c>
      <c r="AG73" s="843"/>
      <c r="AH73" s="843"/>
      <c r="AI73" s="843"/>
      <c r="AJ73" s="843"/>
    </row>
    <row r="74" spans="2:36" x14ac:dyDescent="0.2">
      <c r="C74" s="387">
        <f t="shared" si="9"/>
        <v>43285</v>
      </c>
      <c r="D74" s="1392">
        <f t="shared" si="10"/>
        <v>150304.21677419354</v>
      </c>
      <c r="E74" s="1368">
        <f t="shared" si="11"/>
        <v>14421.080258064516</v>
      </c>
      <c r="F74" s="389">
        <f t="shared" si="12"/>
        <v>252052.62910148225</v>
      </c>
      <c r="G74" s="1393">
        <f t="shared" si="2"/>
        <v>1.0139026799999999</v>
      </c>
      <c r="H74" s="390">
        <f t="shared" si="3"/>
        <v>255.55680000000001</v>
      </c>
      <c r="I74" s="390">
        <f t="shared" si="4"/>
        <v>417034.49683642038</v>
      </c>
      <c r="J74" s="1369">
        <v>75999.893312752145</v>
      </c>
      <c r="K74" s="1370">
        <v>113798.32430121119</v>
      </c>
      <c r="L74" s="1370">
        <v>0</v>
      </c>
      <c r="M74" s="1371">
        <v>62620.730041255221</v>
      </c>
      <c r="N74" s="725">
        <v>75524.445313000004</v>
      </c>
      <c r="O74" s="320">
        <v>113973.91</v>
      </c>
      <c r="P74" s="1403">
        <v>62554.273788482235</v>
      </c>
      <c r="Q74" s="320">
        <v>75524.445000000007</v>
      </c>
      <c r="R74" s="1372">
        <f t="shared" si="5"/>
        <v>3.1299999682232738E-4</v>
      </c>
      <c r="S74" s="1373">
        <v>76339.675000000003</v>
      </c>
      <c r="T74" s="1374">
        <v>37634.233</v>
      </c>
      <c r="U74" s="1372">
        <f t="shared" si="6"/>
        <v>2.0000000076834112E-3</v>
      </c>
      <c r="V74" s="1373">
        <v>62621</v>
      </c>
      <c r="W74" s="1395">
        <f t="shared" si="7"/>
        <v>-66.726211517765478</v>
      </c>
      <c r="X74" s="532"/>
      <c r="Y74" s="520">
        <f t="shared" si="13"/>
        <v>-252418.94765521857</v>
      </c>
      <c r="Z74" s="520">
        <f t="shared" si="14"/>
        <v>252418.94765521857</v>
      </c>
      <c r="AA74" s="520">
        <f t="shared" si="8"/>
        <v>65998.263996292924</v>
      </c>
      <c r="AB74" s="520">
        <f t="shared" si="15"/>
        <v>186420.68365892564</v>
      </c>
      <c r="AC74" s="525">
        <f t="shared" si="16"/>
        <v>186420.68365892564</v>
      </c>
      <c r="AG74" s="843"/>
      <c r="AH74" s="843"/>
      <c r="AI74" s="843"/>
      <c r="AJ74" s="843"/>
    </row>
    <row r="75" spans="2:36" x14ac:dyDescent="0.2">
      <c r="C75" s="387">
        <f t="shared" si="9"/>
        <v>43286</v>
      </c>
      <c r="D75" s="1392">
        <f t="shared" si="10"/>
        <v>150304.21677419354</v>
      </c>
      <c r="E75" s="1368">
        <f t="shared" si="11"/>
        <v>14421.080258064516</v>
      </c>
      <c r="F75" s="389">
        <f t="shared" si="12"/>
        <v>260330.47414894804</v>
      </c>
      <c r="G75" s="1393">
        <f t="shared" si="2"/>
        <v>1.0139026799999999</v>
      </c>
      <c r="H75" s="390">
        <f t="shared" si="3"/>
        <v>263.94979999999998</v>
      </c>
      <c r="I75" s="390">
        <f t="shared" si="4"/>
        <v>425320.73488388612</v>
      </c>
      <c r="J75" s="1369">
        <v>75999.893312752145</v>
      </c>
      <c r="K75" s="1370">
        <v>113798.32430121119</v>
      </c>
      <c r="L75" s="1370">
        <v>0</v>
      </c>
      <c r="M75" s="1371">
        <v>70700.347763290032</v>
      </c>
      <c r="N75" s="724">
        <v>75493.388000000006</v>
      </c>
      <c r="O75" s="318">
        <v>114196.45</v>
      </c>
      <c r="P75" s="1403">
        <v>70640.636148948062</v>
      </c>
      <c r="Q75" s="318">
        <v>75493.388000000006</v>
      </c>
      <c r="R75" s="1372">
        <f t="shared" si="5"/>
        <v>0</v>
      </c>
      <c r="S75" s="1373">
        <v>76489.572</v>
      </c>
      <c r="T75" s="1374">
        <v>37706.877999999997</v>
      </c>
      <c r="U75" s="1372">
        <f t="shared" si="6"/>
        <v>0</v>
      </c>
      <c r="V75" s="1373">
        <v>70700</v>
      </c>
      <c r="W75" s="1395">
        <f t="shared" si="7"/>
        <v>-59.363851051937672</v>
      </c>
      <c r="X75" s="532"/>
      <c r="Y75" s="520">
        <f t="shared" si="13"/>
        <v>-260498.5653772534</v>
      </c>
      <c r="Z75" s="520">
        <f t="shared" si="14"/>
        <v>260498.5653772534</v>
      </c>
      <c r="AA75" s="520">
        <f t="shared" si="8"/>
        <v>74529.827012764552</v>
      </c>
      <c r="AB75" s="520">
        <f t="shared" si="15"/>
        <v>185968.73836448885</v>
      </c>
      <c r="AC75" s="525">
        <f t="shared" si="16"/>
        <v>185968.73836448885</v>
      </c>
      <c r="AG75" s="843"/>
      <c r="AH75" s="843"/>
      <c r="AI75" s="843"/>
      <c r="AJ75" s="843"/>
    </row>
    <row r="76" spans="2:36" x14ac:dyDescent="0.2">
      <c r="C76" s="387">
        <f t="shared" si="9"/>
        <v>43287</v>
      </c>
      <c r="D76" s="1392">
        <f t="shared" si="10"/>
        <v>150304.21677419354</v>
      </c>
      <c r="E76" s="1368">
        <f t="shared" si="11"/>
        <v>14421.080258064516</v>
      </c>
      <c r="F76" s="389">
        <f t="shared" si="12"/>
        <v>267728.11419836205</v>
      </c>
      <c r="G76" s="1393">
        <f t="shared" si="2"/>
        <v>1.0139026799999999</v>
      </c>
      <c r="H76" s="390">
        <f t="shared" si="3"/>
        <v>271.45030000000003</v>
      </c>
      <c r="I76" s="390">
        <f t="shared" si="4"/>
        <v>432725.87543330016</v>
      </c>
      <c r="J76" s="1369">
        <v>75999.893312752145</v>
      </c>
      <c r="K76" s="1370">
        <v>114005.11524839306</v>
      </c>
      <c r="L76" s="1370">
        <v>0</v>
      </c>
      <c r="M76" s="1371">
        <v>70700.347763290032</v>
      </c>
      <c r="N76" s="725">
        <v>75297.804688000004</v>
      </c>
      <c r="O76" s="320">
        <v>113682.04</v>
      </c>
      <c r="P76" s="1403">
        <v>78748.269510362079</v>
      </c>
      <c r="Q76" s="320">
        <v>75297.8</v>
      </c>
      <c r="R76" s="1372">
        <f t="shared" si="5"/>
        <v>4.6880000008968636E-3</v>
      </c>
      <c r="S76" s="1373">
        <v>75574.66</v>
      </c>
      <c r="T76" s="1374">
        <v>38107.375</v>
      </c>
      <c r="U76" s="1372">
        <f t="shared" si="6"/>
        <v>4.9999999901046976E-3</v>
      </c>
      <c r="V76" s="1373">
        <v>78478.53</v>
      </c>
      <c r="W76" s="1395">
        <f t="shared" si="7"/>
        <v>269.73951036208018</v>
      </c>
      <c r="X76" s="532"/>
      <c r="Y76" s="520">
        <f t="shared" si="13"/>
        <v>-260705.35632443527</v>
      </c>
      <c r="Z76" s="520">
        <f t="shared" si="14"/>
        <v>260705.35632443527</v>
      </c>
      <c r="AA76" s="520">
        <f t="shared" si="8"/>
        <v>83083.839511804559</v>
      </c>
      <c r="AB76" s="520">
        <f t="shared" si="15"/>
        <v>177621.5168126307</v>
      </c>
      <c r="AC76" s="525">
        <f t="shared" si="16"/>
        <v>177621.5168126307</v>
      </c>
      <c r="AG76" s="843"/>
      <c r="AH76" s="843"/>
      <c r="AI76" s="843"/>
      <c r="AJ76" s="843"/>
    </row>
    <row r="77" spans="2:36" x14ac:dyDescent="0.2">
      <c r="C77" s="387">
        <f t="shared" si="9"/>
        <v>43288</v>
      </c>
      <c r="D77" s="1392">
        <f t="shared" si="10"/>
        <v>150304.21677419354</v>
      </c>
      <c r="E77" s="1368">
        <f t="shared" si="11"/>
        <v>14421.080258064516</v>
      </c>
      <c r="F77" s="389">
        <f t="shared" si="12"/>
        <v>232511.78614504408</v>
      </c>
      <c r="G77" s="1393">
        <f t="shared" si="2"/>
        <v>1.0139026799999999</v>
      </c>
      <c r="H77" s="390">
        <f t="shared" si="3"/>
        <v>235.74430000000001</v>
      </c>
      <c r="I77" s="390">
        <f t="shared" si="4"/>
        <v>397473.84137998219</v>
      </c>
      <c r="J77" s="1369">
        <v>75999.893312752145</v>
      </c>
      <c r="K77" s="1370">
        <v>113399.513188789</v>
      </c>
      <c r="L77" s="1370">
        <v>0</v>
      </c>
      <c r="M77" s="1371">
        <v>67882.293580010461</v>
      </c>
      <c r="N77" s="724">
        <v>75526.358999999997</v>
      </c>
      <c r="O77" s="318">
        <v>108865.46</v>
      </c>
      <c r="P77" s="1403">
        <v>48119.967145044058</v>
      </c>
      <c r="Q77" s="318">
        <v>75526.36</v>
      </c>
      <c r="R77" s="1372">
        <f t="shared" si="5"/>
        <v>-1.0000000038417056E-3</v>
      </c>
      <c r="S77" s="1373">
        <v>70960.184999999998</v>
      </c>
      <c r="T77" s="1374">
        <v>37905.288</v>
      </c>
      <c r="U77" s="1372">
        <f t="shared" si="6"/>
        <v>-1.2999999991734512E-2</v>
      </c>
      <c r="V77" s="1373">
        <v>48084</v>
      </c>
      <c r="W77" s="1395">
        <f t="shared" si="7"/>
        <v>35.96714504405827</v>
      </c>
      <c r="X77" s="532"/>
      <c r="Y77" s="520">
        <f t="shared" si="13"/>
        <v>-257281.70008155162</v>
      </c>
      <c r="Z77" s="520">
        <f t="shared" si="14"/>
        <v>257281.70008155162</v>
      </c>
      <c r="AA77" s="520">
        <f t="shared" si="8"/>
        <v>50769.24634045361</v>
      </c>
      <c r="AB77" s="520">
        <f t="shared" si="15"/>
        <v>206512.453741098</v>
      </c>
      <c r="AC77" s="525">
        <f t="shared" si="16"/>
        <v>206512.453741098</v>
      </c>
      <c r="AG77" s="843"/>
      <c r="AH77" s="843"/>
      <c r="AI77" s="843"/>
      <c r="AJ77" s="843"/>
    </row>
    <row r="78" spans="2:36" x14ac:dyDescent="0.2">
      <c r="C78" s="387">
        <f t="shared" si="9"/>
        <v>43289</v>
      </c>
      <c r="D78" s="1392">
        <f t="shared" si="10"/>
        <v>150304.21677419354</v>
      </c>
      <c r="E78" s="1368">
        <f t="shared" si="11"/>
        <v>14421.080258064516</v>
      </c>
      <c r="F78" s="389">
        <f t="shared" si="12"/>
        <v>258974.04616185732</v>
      </c>
      <c r="G78" s="1393">
        <f t="shared" si="2"/>
        <v>1.0139026799999999</v>
      </c>
      <c r="H78" s="390">
        <f t="shared" si="3"/>
        <v>262.5745</v>
      </c>
      <c r="I78" s="390">
        <f t="shared" si="4"/>
        <v>423962.93159679539</v>
      </c>
      <c r="J78" s="1369">
        <v>75999.893312752145</v>
      </c>
      <c r="K78" s="1370">
        <v>113399.513188789</v>
      </c>
      <c r="L78" s="1370">
        <v>0</v>
      </c>
      <c r="M78" s="1371">
        <v>75084.104832375262</v>
      </c>
      <c r="N78" s="725">
        <v>75396.007813000004</v>
      </c>
      <c r="O78" s="320">
        <v>108452.82</v>
      </c>
      <c r="P78" s="1403">
        <v>75125.218348857306</v>
      </c>
      <c r="Q78" s="320">
        <v>75396.009999999995</v>
      </c>
      <c r="R78" s="1372">
        <f t="shared" si="5"/>
        <v>-2.1869999909540638E-3</v>
      </c>
      <c r="S78" s="1373">
        <v>70625.739000000001</v>
      </c>
      <c r="T78" s="1374">
        <v>37827.078999999998</v>
      </c>
      <c r="U78" s="1372">
        <f t="shared" si="6"/>
        <v>2.0000000076834112E-3</v>
      </c>
      <c r="V78" s="1373">
        <v>75084</v>
      </c>
      <c r="W78" s="1395">
        <f t="shared" si="7"/>
        <v>41.21834885730641</v>
      </c>
      <c r="X78" s="532"/>
      <c r="Y78" s="520">
        <f t="shared" si="13"/>
        <v>-264483.51133391639</v>
      </c>
      <c r="Z78" s="520">
        <f t="shared" si="14"/>
        <v>264483.51133391639</v>
      </c>
      <c r="AA78" s="520">
        <f t="shared" si="8"/>
        <v>79261.314480383997</v>
      </c>
      <c r="AB78" s="520">
        <f t="shared" si="15"/>
        <v>185222.1968535324</v>
      </c>
      <c r="AC78" s="525">
        <f t="shared" si="16"/>
        <v>185222.1968535324</v>
      </c>
      <c r="AF78" s="829"/>
    </row>
    <row r="79" spans="2:36" x14ac:dyDescent="0.2">
      <c r="C79" s="387">
        <f t="shared" si="9"/>
        <v>43290</v>
      </c>
      <c r="D79" s="1392">
        <f t="shared" si="10"/>
        <v>150304.21677419354</v>
      </c>
      <c r="E79" s="1368">
        <f t="shared" si="11"/>
        <v>14421.080258064516</v>
      </c>
      <c r="F79" s="389">
        <f t="shared" si="12"/>
        <v>261797.10703662501</v>
      </c>
      <c r="G79" s="1393">
        <f t="shared" si="2"/>
        <v>1.0139026799999999</v>
      </c>
      <c r="H79" s="390">
        <f t="shared" si="3"/>
        <v>265.43680000000001</v>
      </c>
      <c r="I79" s="390">
        <f t="shared" si="4"/>
        <v>426788.85477156308</v>
      </c>
      <c r="J79" s="1369">
        <v>75999.893312752145</v>
      </c>
      <c r="K79" s="1370">
        <v>113399.513188789</v>
      </c>
      <c r="L79" s="1370">
        <v>0</v>
      </c>
      <c r="M79" s="1371">
        <v>75084.104832375262</v>
      </c>
      <c r="N79" s="724">
        <v>75142.929688000004</v>
      </c>
      <c r="O79" s="318">
        <v>111534.17</v>
      </c>
      <c r="P79" s="1403">
        <v>75120.007348625018</v>
      </c>
      <c r="Q79" s="318">
        <v>75142.929999999993</v>
      </c>
      <c r="R79" s="1372">
        <f t="shared" si="5"/>
        <v>-3.1199998920783401E-4</v>
      </c>
      <c r="S79" s="1373">
        <v>73617.153000000006</v>
      </c>
      <c r="T79" s="1374">
        <v>37916.993000000002</v>
      </c>
      <c r="U79" s="1372">
        <f t="shared" si="6"/>
        <v>2.3999999990337528E-2</v>
      </c>
      <c r="V79" s="1373">
        <v>75084</v>
      </c>
      <c r="W79" s="1395">
        <f t="shared" si="7"/>
        <v>36.007348625018494</v>
      </c>
      <c r="X79" s="532"/>
      <c r="Y79" s="520">
        <f t="shared" si="13"/>
        <v>-264483.51133391639</v>
      </c>
      <c r="Z79" s="520">
        <f t="shared" si="14"/>
        <v>264483.51133391639</v>
      </c>
      <c r="AA79" s="520">
        <f t="shared" si="8"/>
        <v>79255.839794554908</v>
      </c>
      <c r="AB79" s="520">
        <f t="shared" si="15"/>
        <v>185227.67153936147</v>
      </c>
      <c r="AC79" s="525">
        <f t="shared" si="16"/>
        <v>185227.67153936147</v>
      </c>
      <c r="AF79" s="829"/>
    </row>
    <row r="80" spans="2:36" x14ac:dyDescent="0.2">
      <c r="C80" s="387">
        <f t="shared" si="9"/>
        <v>43291</v>
      </c>
      <c r="D80" s="1392">
        <f t="shared" si="10"/>
        <v>150304.21677419354</v>
      </c>
      <c r="E80" s="1368">
        <f t="shared" si="11"/>
        <v>14421.080258064516</v>
      </c>
      <c r="F80" s="389">
        <f t="shared" si="12"/>
        <v>260869.68306646234</v>
      </c>
      <c r="G80" s="1393">
        <f t="shared" si="2"/>
        <v>1.0139026799999999</v>
      </c>
      <c r="H80" s="390">
        <f t="shared" si="3"/>
        <v>264.49650000000003</v>
      </c>
      <c r="I80" s="390">
        <f t="shared" si="4"/>
        <v>425860.49050140043</v>
      </c>
      <c r="J80" s="1369">
        <v>74999.700364137767</v>
      </c>
      <c r="K80" s="1370">
        <v>112996.48185295492</v>
      </c>
      <c r="L80" s="1370">
        <v>0</v>
      </c>
      <c r="M80" s="1371">
        <v>27778.565552814664</v>
      </c>
      <c r="N80" s="725">
        <v>75348.34375</v>
      </c>
      <c r="O80" s="320">
        <v>111122.84</v>
      </c>
      <c r="P80" s="1403">
        <v>74398.49931646233</v>
      </c>
      <c r="Q80" s="320">
        <v>75348.343999999997</v>
      </c>
      <c r="R80" s="1372">
        <f t="shared" si="5"/>
        <v>-2.499999973224476E-4</v>
      </c>
      <c r="S80" s="1373">
        <v>73169.433999999994</v>
      </c>
      <c r="T80" s="1374">
        <v>37953.402000000002</v>
      </c>
      <c r="U80" s="1372">
        <f t="shared" si="6"/>
        <v>4.0000000008149073E-3</v>
      </c>
      <c r="V80" s="1373">
        <v>78780.78</v>
      </c>
      <c r="W80" s="1395">
        <f t="shared" si="7"/>
        <v>-4382.2806835376687</v>
      </c>
      <c r="X80" s="532"/>
      <c r="Y80" s="520">
        <f t="shared" si="13"/>
        <v>-215774.74776990735</v>
      </c>
      <c r="Z80" s="520">
        <f t="shared" si="14"/>
        <v>215774.74776990735</v>
      </c>
      <c r="AA80" s="520">
        <f t="shared" si="8"/>
        <v>78494.587315053475</v>
      </c>
      <c r="AB80" s="520">
        <f t="shared" si="15"/>
        <v>137280.16045485387</v>
      </c>
      <c r="AC80" s="525">
        <f t="shared" si="16"/>
        <v>137280.16045485387</v>
      </c>
      <c r="AF80" s="829"/>
    </row>
    <row r="81" spans="3:36" x14ac:dyDescent="0.2">
      <c r="C81" s="387">
        <f t="shared" si="9"/>
        <v>43292</v>
      </c>
      <c r="D81" s="1392">
        <f t="shared" si="10"/>
        <v>150304.21677419354</v>
      </c>
      <c r="E81" s="1368">
        <f t="shared" si="11"/>
        <v>14421.080258064516</v>
      </c>
      <c r="F81" s="389">
        <f t="shared" si="12"/>
        <v>270371.38145535009</v>
      </c>
      <c r="G81" s="1393">
        <f t="shared" si="2"/>
        <v>1.0139026799999999</v>
      </c>
      <c r="H81" s="390">
        <f t="shared" si="3"/>
        <v>274.13029999999998</v>
      </c>
      <c r="I81" s="390">
        <f t="shared" si="4"/>
        <v>435371.82269028819</v>
      </c>
      <c r="J81" s="1369">
        <v>74989.149805608075</v>
      </c>
      <c r="K81" s="1370">
        <v>113354.14578711134</v>
      </c>
      <c r="L81" s="1370">
        <v>0</v>
      </c>
      <c r="M81" s="1371">
        <v>78788.405932148598</v>
      </c>
      <c r="N81" s="724">
        <v>75766.71875</v>
      </c>
      <c r="O81" s="318">
        <v>111482.21</v>
      </c>
      <c r="P81" s="1403">
        <v>83122.452705350064</v>
      </c>
      <c r="Q81" s="318">
        <v>75766.717999999993</v>
      </c>
      <c r="R81" s="1372">
        <f t="shared" si="5"/>
        <v>7.5000000651925802E-4</v>
      </c>
      <c r="S81" s="1373">
        <v>73682.717000000004</v>
      </c>
      <c r="T81" s="1374">
        <v>37799.482000000004</v>
      </c>
      <c r="U81" s="1372">
        <f t="shared" si="6"/>
        <v>1.0999999998603016E-2</v>
      </c>
      <c r="V81" s="1373">
        <v>78788.72</v>
      </c>
      <c r="W81" s="1395">
        <f t="shared" si="7"/>
        <v>4333.732705350063</v>
      </c>
      <c r="X81" s="532"/>
      <c r="Y81" s="520">
        <f t="shared" si="13"/>
        <v>-267131.70152486803</v>
      </c>
      <c r="Z81" s="520">
        <f t="shared" si="14"/>
        <v>267131.70152486803</v>
      </c>
      <c r="AA81" s="520">
        <f t="shared" si="8"/>
        <v>87698.85406711181</v>
      </c>
      <c r="AB81" s="520">
        <f t="shared" si="15"/>
        <v>179432.84745775623</v>
      </c>
      <c r="AC81" s="525">
        <f t="shared" si="16"/>
        <v>179432.84745775623</v>
      </c>
      <c r="AF81" s="829"/>
    </row>
    <row r="82" spans="3:36" x14ac:dyDescent="0.2">
      <c r="C82" s="387">
        <f t="shared" si="9"/>
        <v>43293</v>
      </c>
      <c r="D82" s="1392">
        <f t="shared" si="10"/>
        <v>150304.21677419354</v>
      </c>
      <c r="E82" s="1368">
        <f t="shared" si="11"/>
        <v>14421.080258064516</v>
      </c>
      <c r="F82" s="389">
        <f t="shared" si="12"/>
        <v>272003.77212882286</v>
      </c>
      <c r="G82" s="1393">
        <f t="shared" si="2"/>
        <v>1.0139026799999999</v>
      </c>
      <c r="H82" s="390">
        <f t="shared" si="3"/>
        <v>275.78539999999998</v>
      </c>
      <c r="I82" s="390">
        <f t="shared" si="4"/>
        <v>437005.86846376094</v>
      </c>
      <c r="J82" s="1369">
        <v>74999.700364137767</v>
      </c>
      <c r="K82" s="1370">
        <v>113999.83996912822</v>
      </c>
      <c r="L82" s="1370">
        <v>0</v>
      </c>
      <c r="M82" s="1371">
        <v>83838.958300310085</v>
      </c>
      <c r="N82" s="725">
        <v>75660.734375</v>
      </c>
      <c r="O82" s="320">
        <v>112133.19</v>
      </c>
      <c r="P82" s="1403">
        <v>84209.847753822876</v>
      </c>
      <c r="Q82" s="320">
        <v>75660.733999999997</v>
      </c>
      <c r="R82" s="1372">
        <f t="shared" si="5"/>
        <v>3.7500000325962901E-4</v>
      </c>
      <c r="S82" s="1373">
        <v>74514.678</v>
      </c>
      <c r="T82" s="1374">
        <v>37618.527999999998</v>
      </c>
      <c r="U82" s="1372">
        <f t="shared" si="6"/>
        <v>-1.6000000003259629E-2</v>
      </c>
      <c r="V82" s="1373">
        <v>83839.289999999994</v>
      </c>
      <c r="W82" s="1395">
        <f t="shared" si="7"/>
        <v>370.55775382288266</v>
      </c>
      <c r="X82" s="532"/>
      <c r="Y82" s="520">
        <f t="shared" si="13"/>
        <v>-272838.49863357609</v>
      </c>
      <c r="Z82" s="520">
        <f t="shared" si="14"/>
        <v>272838.49863357609</v>
      </c>
      <c r="AA82" s="520">
        <f t="shared" si="8"/>
        <v>88846.088250861343</v>
      </c>
      <c r="AB82" s="520">
        <f t="shared" si="15"/>
        <v>183992.41038271476</v>
      </c>
      <c r="AC82" s="525">
        <f t="shared" si="16"/>
        <v>183992.41038271476</v>
      </c>
      <c r="AF82" s="829"/>
    </row>
    <row r="83" spans="3:36" x14ac:dyDescent="0.2">
      <c r="C83" s="387">
        <f t="shared" si="9"/>
        <v>43294</v>
      </c>
      <c r="D83" s="1392">
        <f t="shared" si="10"/>
        <v>150304.21677419354</v>
      </c>
      <c r="E83" s="1368">
        <f t="shared" si="11"/>
        <v>14421.080258064516</v>
      </c>
      <c r="F83" s="389">
        <f t="shared" si="12"/>
        <v>268115.95666671451</v>
      </c>
      <c r="G83" s="1393">
        <f t="shared" si="2"/>
        <v>1.0139026799999999</v>
      </c>
      <c r="H83" s="390">
        <f t="shared" si="3"/>
        <v>271.84350000000001</v>
      </c>
      <c r="I83" s="390">
        <f t="shared" si="4"/>
        <v>433114.11110165261</v>
      </c>
      <c r="J83" s="1369">
        <v>74999.700364137767</v>
      </c>
      <c r="K83" s="1370">
        <v>111999.45407189944</v>
      </c>
      <c r="L83" s="1370">
        <v>0</v>
      </c>
      <c r="M83" s="1371">
        <v>80819.388449113481</v>
      </c>
      <c r="N83" s="724">
        <v>75769.414063000004</v>
      </c>
      <c r="O83" s="318">
        <v>111504.09</v>
      </c>
      <c r="P83" s="1403">
        <v>80842.452603714482</v>
      </c>
      <c r="Q83" s="318">
        <v>75769.414000000004</v>
      </c>
      <c r="R83" s="1372">
        <f t="shared" si="5"/>
        <v>6.2999999499879777E-5</v>
      </c>
      <c r="S83" s="1373">
        <v>73649.038</v>
      </c>
      <c r="T83" s="1374">
        <v>37855.061000000002</v>
      </c>
      <c r="U83" s="1372">
        <f t="shared" si="6"/>
        <v>-9.0000000054715201E-3</v>
      </c>
      <c r="V83" s="1373">
        <v>80819.710000000006</v>
      </c>
      <c r="W83" s="1395">
        <f t="shared" si="7"/>
        <v>22.74260371447599</v>
      </c>
      <c r="X83" s="532"/>
      <c r="Y83" s="520">
        <f t="shared" si="13"/>
        <v>-267818.5428851507</v>
      </c>
      <c r="Z83" s="520">
        <f t="shared" si="14"/>
        <v>267818.5428851507</v>
      </c>
      <c r="AA83" s="520">
        <f t="shared" si="8"/>
        <v>85293.30517876058</v>
      </c>
      <c r="AB83" s="520">
        <f t="shared" si="15"/>
        <v>182525.23770639012</v>
      </c>
      <c r="AC83" s="525">
        <f t="shared" si="16"/>
        <v>182525.23770639012</v>
      </c>
      <c r="AF83" s="829"/>
    </row>
    <row r="84" spans="3:36" x14ac:dyDescent="0.2">
      <c r="C84" s="387">
        <f t="shared" si="9"/>
        <v>43295</v>
      </c>
      <c r="D84" s="1392">
        <f t="shared" si="10"/>
        <v>150304.21677419354</v>
      </c>
      <c r="E84" s="1368">
        <f t="shared" si="11"/>
        <v>14421.080258064516</v>
      </c>
      <c r="F84" s="389">
        <f t="shared" si="12"/>
        <v>266777.00831188104</v>
      </c>
      <c r="G84" s="1393">
        <f t="shared" si="2"/>
        <v>1.0139026799999999</v>
      </c>
      <c r="H84" s="390">
        <f t="shared" si="3"/>
        <v>270.48590000000002</v>
      </c>
      <c r="I84" s="390">
        <f t="shared" si="4"/>
        <v>431773.80514681916</v>
      </c>
      <c r="J84" s="1369">
        <v>74999.700364137767</v>
      </c>
      <c r="K84" s="1370">
        <v>111999.45407189944</v>
      </c>
      <c r="L84" s="1370">
        <v>0</v>
      </c>
      <c r="M84" s="1371">
        <v>79844.516840970333</v>
      </c>
      <c r="N84" s="725">
        <v>75555.71875</v>
      </c>
      <c r="O84" s="320">
        <v>111317.29</v>
      </c>
      <c r="P84" s="1403">
        <v>79903.99956188105</v>
      </c>
      <c r="Q84" s="320">
        <v>75555.718999999997</v>
      </c>
      <c r="R84" s="1372">
        <f t="shared" si="5"/>
        <v>-2.499999973224476E-4</v>
      </c>
      <c r="S84" s="1373">
        <v>73189.361999999994</v>
      </c>
      <c r="T84" s="1374">
        <v>38127.932999999997</v>
      </c>
      <c r="U84" s="1372">
        <f t="shared" si="6"/>
        <v>-4.9999999901046976E-3</v>
      </c>
      <c r="V84" s="1373">
        <v>79844.83</v>
      </c>
      <c r="W84" s="1395">
        <f t="shared" si="7"/>
        <v>59.169561881048139</v>
      </c>
      <c r="X84" s="532"/>
      <c r="Y84" s="520">
        <f t="shared" si="13"/>
        <v>-266843.67127700755</v>
      </c>
      <c r="Z84" s="520">
        <f t="shared" si="14"/>
        <v>266843.67127700755</v>
      </c>
      <c r="AA84" s="520">
        <f t="shared" si="8"/>
        <v>84303.188886479984</v>
      </c>
      <c r="AB84" s="520">
        <f t="shared" si="15"/>
        <v>182540.48239052756</v>
      </c>
      <c r="AC84" s="525">
        <f t="shared" si="16"/>
        <v>182540.48239052756</v>
      </c>
      <c r="AF84" s="829"/>
    </row>
    <row r="85" spans="3:36" x14ac:dyDescent="0.2">
      <c r="C85" s="387">
        <f t="shared" si="9"/>
        <v>43296</v>
      </c>
      <c r="D85" s="1392">
        <f t="shared" si="10"/>
        <v>150304.21677419354</v>
      </c>
      <c r="E85" s="1368">
        <f t="shared" si="11"/>
        <v>14421.080258064516</v>
      </c>
      <c r="F85" s="389">
        <f t="shared" si="12"/>
        <v>262823.25563706853</v>
      </c>
      <c r="G85" s="1393">
        <f t="shared" si="2"/>
        <v>1.0139026799999999</v>
      </c>
      <c r="H85" s="390">
        <f t="shared" si="3"/>
        <v>266.47719999999998</v>
      </c>
      <c r="I85" s="390">
        <f t="shared" si="4"/>
        <v>427816.04377200664</v>
      </c>
      <c r="J85" s="1369">
        <v>74999.700364137767</v>
      </c>
      <c r="K85" s="1370">
        <v>111999.45407189944</v>
      </c>
      <c r="L85" s="1370">
        <v>0</v>
      </c>
      <c r="M85" s="1371">
        <v>79844.516840970333</v>
      </c>
      <c r="N85" s="724">
        <v>75330.914063000004</v>
      </c>
      <c r="O85" s="318">
        <v>107314.94</v>
      </c>
      <c r="P85" s="1403">
        <v>80177.401574068499</v>
      </c>
      <c r="Q85" s="318">
        <v>75330.91</v>
      </c>
      <c r="R85" s="1372">
        <f t="shared" si="5"/>
        <v>4.063000000314787E-3</v>
      </c>
      <c r="S85" s="1373">
        <v>69368.759000000005</v>
      </c>
      <c r="T85" s="1374">
        <v>37946.160000000003</v>
      </c>
      <c r="U85" s="1372">
        <f t="shared" si="6"/>
        <v>2.0999999993364327E-2</v>
      </c>
      <c r="V85" s="1373">
        <v>79844.83</v>
      </c>
      <c r="W85" s="1395">
        <f t="shared" si="7"/>
        <v>332.57157406849728</v>
      </c>
      <c r="X85" s="532"/>
      <c r="Y85" s="520">
        <f t="shared" si="13"/>
        <v>-266843.67127700755</v>
      </c>
      <c r="Z85" s="520">
        <f t="shared" si="14"/>
        <v>266843.67127700755</v>
      </c>
      <c r="AA85" s="520">
        <f t="shared" si="8"/>
        <v>84591.670751306403</v>
      </c>
      <c r="AB85" s="520">
        <f t="shared" si="15"/>
        <v>182252.00052570115</v>
      </c>
      <c r="AC85" s="525">
        <f t="shared" si="16"/>
        <v>182252.00052570115</v>
      </c>
      <c r="AF85" s="829"/>
    </row>
    <row r="86" spans="3:36" x14ac:dyDescent="0.2">
      <c r="C86" s="387">
        <f t="shared" si="9"/>
        <v>43297</v>
      </c>
      <c r="D86" s="1392">
        <f t="shared" si="10"/>
        <v>150304.21677419354</v>
      </c>
      <c r="E86" s="1368">
        <f t="shared" si="11"/>
        <v>14421.080258064516</v>
      </c>
      <c r="F86" s="389">
        <f t="shared" si="12"/>
        <v>263939.78875565744</v>
      </c>
      <c r="G86" s="1393">
        <f t="shared" si="2"/>
        <v>1.0139026799999999</v>
      </c>
      <c r="H86" s="390">
        <f t="shared" si="3"/>
        <v>267.60930000000002</v>
      </c>
      <c r="I86" s="390">
        <f t="shared" si="4"/>
        <v>428933.70899059554</v>
      </c>
      <c r="J86" s="1369">
        <v>74999.700364137767</v>
      </c>
      <c r="K86" s="1370">
        <v>111999.45407189944</v>
      </c>
      <c r="L86" s="1370">
        <v>0</v>
      </c>
      <c r="M86" s="1371">
        <v>79844.516840970333</v>
      </c>
      <c r="N86" s="725">
        <v>74260.367188000004</v>
      </c>
      <c r="O86" s="320">
        <v>109645.84</v>
      </c>
      <c r="P86" s="1403">
        <v>80033.581567657428</v>
      </c>
      <c r="Q86" s="320">
        <v>74260.37</v>
      </c>
      <c r="R86" s="1372">
        <f t="shared" si="5"/>
        <v>-2.8119999915361404E-3</v>
      </c>
      <c r="S86" s="1373">
        <v>71172.024000000005</v>
      </c>
      <c r="T86" s="1374">
        <v>38473.834000000003</v>
      </c>
      <c r="U86" s="1372">
        <f t="shared" si="6"/>
        <v>-1.800000001094304E-2</v>
      </c>
      <c r="V86" s="1373">
        <v>79997.847999999998</v>
      </c>
      <c r="W86" s="1395">
        <f t="shared" si="7"/>
        <v>35.733567657429376</v>
      </c>
      <c r="X86" s="532"/>
      <c r="Y86" s="520">
        <f t="shared" si="13"/>
        <v>-266843.67127700755</v>
      </c>
      <c r="Z86" s="520">
        <f t="shared" si="14"/>
        <v>266843.67127700755</v>
      </c>
      <c r="AA86" s="520">
        <f t="shared" si="8"/>
        <v>84439.891443438362</v>
      </c>
      <c r="AB86" s="520">
        <f t="shared" si="15"/>
        <v>182403.77983356919</v>
      </c>
      <c r="AC86" s="525">
        <f t="shared" si="16"/>
        <v>182403.77983356919</v>
      </c>
      <c r="AF86" s="829"/>
    </row>
    <row r="87" spans="3:36" x14ac:dyDescent="0.2">
      <c r="C87" s="387">
        <f t="shared" si="9"/>
        <v>43298</v>
      </c>
      <c r="D87" s="1392">
        <f t="shared" si="10"/>
        <v>150304.21677419354</v>
      </c>
      <c r="E87" s="1368">
        <f t="shared" si="11"/>
        <v>14421.080258064516</v>
      </c>
      <c r="F87" s="389">
        <f t="shared" si="12"/>
        <v>267593.26058126619</v>
      </c>
      <c r="G87" s="1393">
        <f t="shared" si="2"/>
        <v>1.0139026799999999</v>
      </c>
      <c r="H87" s="390">
        <f t="shared" si="3"/>
        <v>271.31349999999998</v>
      </c>
      <c r="I87" s="390">
        <f t="shared" si="4"/>
        <v>432590.88501620427</v>
      </c>
      <c r="J87" s="1369">
        <v>74999.700364137767</v>
      </c>
      <c r="K87" s="1370">
        <v>111306.28237649896</v>
      </c>
      <c r="L87" s="1370">
        <v>0</v>
      </c>
      <c r="M87" s="1371">
        <v>109722.64354119284</v>
      </c>
      <c r="N87" s="724">
        <v>75317.546875</v>
      </c>
      <c r="O87" s="318">
        <v>109132.71</v>
      </c>
      <c r="P87" s="1403">
        <v>83143.003706266172</v>
      </c>
      <c r="Q87" s="318">
        <v>75317.55</v>
      </c>
      <c r="R87" s="1372">
        <f t="shared" si="5"/>
        <v>-3.125000002910383E-3</v>
      </c>
      <c r="S87" s="1373">
        <v>70533.919999999998</v>
      </c>
      <c r="T87" s="1374">
        <v>38598.788</v>
      </c>
      <c r="U87" s="1372">
        <f t="shared" si="6"/>
        <v>2.0000000076834112E-3</v>
      </c>
      <c r="V87" s="1373">
        <v>83023.422999999995</v>
      </c>
      <c r="W87" s="1395">
        <f t="shared" si="7"/>
        <v>119.580706266177</v>
      </c>
      <c r="X87" s="532"/>
      <c r="Y87" s="520">
        <f t="shared" si="13"/>
        <v>-296028.62628182955</v>
      </c>
      <c r="Z87" s="520">
        <f t="shared" si="14"/>
        <v>296028.62628182955</v>
      </c>
      <c r="AA87" s="520">
        <f t="shared" si="8"/>
        <v>87720.52702843037</v>
      </c>
      <c r="AB87" s="520">
        <f t="shared" si="15"/>
        <v>208308.09925339918</v>
      </c>
      <c r="AC87" s="525">
        <f t="shared" si="16"/>
        <v>208308.09925339918</v>
      </c>
      <c r="AF87" s="829"/>
    </row>
    <row r="88" spans="3:36" x14ac:dyDescent="0.2">
      <c r="C88" s="387">
        <f t="shared" si="9"/>
        <v>43299</v>
      </c>
      <c r="D88" s="1392">
        <f t="shared" si="10"/>
        <v>150304.21677419354</v>
      </c>
      <c r="E88" s="1368">
        <f t="shared" si="11"/>
        <v>14421.080258064516</v>
      </c>
      <c r="F88" s="389">
        <f t="shared" si="12"/>
        <v>261288.34646532801</v>
      </c>
      <c r="G88" s="1393">
        <f t="shared" si="2"/>
        <v>1.0139026799999999</v>
      </c>
      <c r="H88" s="390">
        <f t="shared" si="3"/>
        <v>264.92099999999999</v>
      </c>
      <c r="I88" s="390">
        <f t="shared" si="4"/>
        <v>426279.57840026607</v>
      </c>
      <c r="J88" s="1369">
        <v>74999.700364137767</v>
      </c>
      <c r="K88" s="1370">
        <v>111999.45407189944</v>
      </c>
      <c r="L88" s="1370">
        <v>0</v>
      </c>
      <c r="M88" s="1371">
        <v>82829.26984901898</v>
      </c>
      <c r="N88" s="725">
        <v>71620.132813000004</v>
      </c>
      <c r="O88" s="320">
        <v>107735.21</v>
      </c>
      <c r="P88" s="1403">
        <v>81933.003652327985</v>
      </c>
      <c r="Q88" s="320">
        <v>71620.13</v>
      </c>
      <c r="R88" s="1372">
        <f t="shared" si="5"/>
        <v>2.8129999991506338E-3</v>
      </c>
      <c r="S88" s="1373">
        <v>69530.490000000005</v>
      </c>
      <c r="T88" s="1374">
        <v>38204.720000000001</v>
      </c>
      <c r="U88" s="1372">
        <f t="shared" si="6"/>
        <v>0</v>
      </c>
      <c r="V88" s="1373">
        <v>81903.25</v>
      </c>
      <c r="W88" s="1395">
        <f t="shared" si="7"/>
        <v>29.753652327985037</v>
      </c>
      <c r="X88" s="532"/>
      <c r="Y88" s="520">
        <f t="shared" si="13"/>
        <v>-269828.42428505619</v>
      </c>
      <c r="Z88" s="520">
        <f t="shared" si="14"/>
        <v>269828.42428505619</v>
      </c>
      <c r="AA88" s="520">
        <f t="shared" si="8"/>
        <v>86443.907101410558</v>
      </c>
      <c r="AB88" s="520">
        <f t="shared" si="15"/>
        <v>183384.51718364563</v>
      </c>
      <c r="AC88" s="525">
        <f t="shared" si="16"/>
        <v>183384.51718364563</v>
      </c>
      <c r="AF88" s="829"/>
    </row>
    <row r="89" spans="3:36" x14ac:dyDescent="0.2">
      <c r="C89" s="387">
        <f t="shared" si="9"/>
        <v>43300</v>
      </c>
      <c r="D89" s="1392">
        <f t="shared" si="10"/>
        <v>150304.21677419354</v>
      </c>
      <c r="E89" s="1368">
        <f t="shared" si="11"/>
        <v>14421.080258064516</v>
      </c>
      <c r="F89" s="389">
        <f t="shared" si="12"/>
        <v>269430.93736630428</v>
      </c>
      <c r="G89" s="1393">
        <f t="shared" si="2"/>
        <v>1.0139026799999999</v>
      </c>
      <c r="H89" s="390">
        <f t="shared" si="3"/>
        <v>273.17669999999998</v>
      </c>
      <c r="I89" s="390">
        <f t="shared" si="4"/>
        <v>434430.42500124237</v>
      </c>
      <c r="J89" s="1369">
        <v>74999.700364137767</v>
      </c>
      <c r="K89" s="1370">
        <v>112395.10001676274</v>
      </c>
      <c r="L89" s="1370">
        <v>0</v>
      </c>
      <c r="M89" s="1371">
        <v>81818.526341874895</v>
      </c>
      <c r="N89" s="724">
        <v>73464.023438000004</v>
      </c>
      <c r="O89" s="318">
        <v>107842.91</v>
      </c>
      <c r="P89" s="1403">
        <v>88124.003928304257</v>
      </c>
      <c r="Q89" s="318">
        <v>73464.02</v>
      </c>
      <c r="R89" s="1372">
        <f t="shared" si="5"/>
        <v>3.4379999997327104E-3</v>
      </c>
      <c r="S89" s="1373">
        <v>70343.076000000001</v>
      </c>
      <c r="T89" s="1374">
        <v>37502.79</v>
      </c>
      <c r="U89" s="1372">
        <f t="shared" si="6"/>
        <v>-2.9560000000055879</v>
      </c>
      <c r="V89" s="1373">
        <v>88097.512000000002</v>
      </c>
      <c r="W89" s="1395">
        <f t="shared" si="7"/>
        <v>26.491928304254543</v>
      </c>
      <c r="X89" s="532"/>
      <c r="Y89" s="520">
        <f t="shared" si="13"/>
        <v>-269213.32672277541</v>
      </c>
      <c r="Z89" s="520">
        <f t="shared" si="14"/>
        <v>269213.32672277541</v>
      </c>
      <c r="AA89" s="520">
        <f t="shared" si="8"/>
        <v>92972.640343044972</v>
      </c>
      <c r="AB89" s="520">
        <f t="shared" si="15"/>
        <v>176240.68637973044</v>
      </c>
      <c r="AC89" s="525">
        <f t="shared" si="16"/>
        <v>176240.68637973044</v>
      </c>
      <c r="AF89" s="829"/>
    </row>
    <row r="90" spans="3:36" x14ac:dyDescent="0.2">
      <c r="C90" s="387">
        <f t="shared" si="9"/>
        <v>43301</v>
      </c>
      <c r="D90" s="1392">
        <f t="shared" si="10"/>
        <v>150304.21677419354</v>
      </c>
      <c r="E90" s="1368">
        <f t="shared" si="11"/>
        <v>14421.080258064516</v>
      </c>
      <c r="F90" s="389">
        <f t="shared" si="12"/>
        <v>285784.78352487832</v>
      </c>
      <c r="G90" s="1393">
        <f t="shared" si="2"/>
        <v>1.0139026799999999</v>
      </c>
      <c r="H90" s="390">
        <f t="shared" si="3"/>
        <v>289.75799999999998</v>
      </c>
      <c r="I90" s="390">
        <f t="shared" si="4"/>
        <v>450800.85245981638</v>
      </c>
      <c r="J90" s="1369">
        <v>74999.700364137767</v>
      </c>
      <c r="K90" s="1370">
        <v>109500.02675621644</v>
      </c>
      <c r="L90" s="1370">
        <v>0</v>
      </c>
      <c r="M90" s="1371">
        <v>101640.91570745209</v>
      </c>
      <c r="N90" s="725">
        <v>73765.569000000003</v>
      </c>
      <c r="O90" s="320">
        <v>110512.21</v>
      </c>
      <c r="P90" s="1403">
        <v>101507.00452487834</v>
      </c>
      <c r="Q90" s="320">
        <v>73765.570000000007</v>
      </c>
      <c r="R90" s="1372">
        <f t="shared" si="5"/>
        <v>-1.0000000038417056E-3</v>
      </c>
      <c r="S90" s="1373">
        <v>72745.116999999998</v>
      </c>
      <c r="T90" s="1374">
        <v>37767.06</v>
      </c>
      <c r="U90" s="1372">
        <f t="shared" si="6"/>
        <v>3.3000000010360964E-2</v>
      </c>
      <c r="V90" s="1373">
        <v>101452.6</v>
      </c>
      <c r="W90" s="1395">
        <f t="shared" si="7"/>
        <v>54.404524878336815</v>
      </c>
      <c r="X90" s="532"/>
      <c r="Y90" s="520">
        <f t="shared" si="13"/>
        <v>-286140.6428278063</v>
      </c>
      <c r="Z90" s="520">
        <f t="shared" si="14"/>
        <v>286140.6428278063</v>
      </c>
      <c r="AA90" s="520">
        <f t="shared" si="8"/>
        <v>107095.60898284806</v>
      </c>
      <c r="AB90" s="520">
        <f t="shared" si="15"/>
        <v>179045.03384495823</v>
      </c>
      <c r="AC90" s="525">
        <f t="shared" si="16"/>
        <v>179045.03384495823</v>
      </c>
      <c r="AF90" s="829"/>
    </row>
    <row r="91" spans="3:36" x14ac:dyDescent="0.2">
      <c r="C91" s="387">
        <f t="shared" si="9"/>
        <v>43302</v>
      </c>
      <c r="D91" s="1392">
        <f t="shared" si="10"/>
        <v>150304.21677419354</v>
      </c>
      <c r="E91" s="1368">
        <f t="shared" si="11"/>
        <v>14421.080258064516</v>
      </c>
      <c r="F91" s="389">
        <f t="shared" si="12"/>
        <v>272175.05705927149</v>
      </c>
      <c r="G91" s="1393">
        <f t="shared" si="2"/>
        <v>1.0139026799999999</v>
      </c>
      <c r="H91" s="390">
        <f t="shared" si="3"/>
        <v>275.959</v>
      </c>
      <c r="I91" s="390">
        <f t="shared" si="4"/>
        <v>437177.32699420955</v>
      </c>
      <c r="J91" s="1369">
        <v>74999.700364137767</v>
      </c>
      <c r="K91" s="1370">
        <v>110530.81632456693</v>
      </c>
      <c r="L91" s="1370">
        <v>0</v>
      </c>
      <c r="M91" s="1371">
        <v>101640.91570745209</v>
      </c>
      <c r="N91" s="724">
        <v>73103.903000000006</v>
      </c>
      <c r="O91" s="318">
        <v>108009.15</v>
      </c>
      <c r="P91" s="1403">
        <v>91062.004059271494</v>
      </c>
      <c r="Q91" s="318">
        <v>73103.91</v>
      </c>
      <c r="R91" s="1372">
        <f t="shared" si="5"/>
        <v>-6.9999999977881089E-3</v>
      </c>
      <c r="S91" s="1373">
        <v>70535.159</v>
      </c>
      <c r="T91" s="1374">
        <v>37473.995999999999</v>
      </c>
      <c r="U91" s="1372">
        <f t="shared" si="6"/>
        <v>-5.0000000046566129E-3</v>
      </c>
      <c r="V91" s="1373">
        <v>91010.361999999994</v>
      </c>
      <c r="W91" s="1395">
        <f t="shared" si="7"/>
        <v>51.642059271500329</v>
      </c>
      <c r="X91" s="532"/>
      <c r="Y91" s="520">
        <f t="shared" si="13"/>
        <v>-287171.43239615677</v>
      </c>
      <c r="Z91" s="520">
        <f t="shared" si="14"/>
        <v>287171.43239615677</v>
      </c>
      <c r="AA91" s="520">
        <f t="shared" si="8"/>
        <v>96075.50847947874</v>
      </c>
      <c r="AB91" s="520">
        <f t="shared" si="15"/>
        <v>191095.92391667803</v>
      </c>
      <c r="AC91" s="525">
        <f t="shared" si="16"/>
        <v>191095.92391667803</v>
      </c>
      <c r="AF91" s="829"/>
    </row>
    <row r="92" spans="3:36" x14ac:dyDescent="0.2">
      <c r="C92" s="387">
        <f t="shared" si="9"/>
        <v>43303</v>
      </c>
      <c r="D92" s="1392">
        <f t="shared" si="10"/>
        <v>150304.21677419354</v>
      </c>
      <c r="E92" s="1368">
        <f t="shared" si="11"/>
        <v>14421.080258064516</v>
      </c>
      <c r="F92" s="389">
        <f t="shared" si="12"/>
        <v>271543.11874727148</v>
      </c>
      <c r="G92" s="1393">
        <f t="shared" si="2"/>
        <v>1.0139026799999999</v>
      </c>
      <c r="H92" s="390">
        <f t="shared" si="3"/>
        <v>275.31830000000002</v>
      </c>
      <c r="I92" s="390">
        <f t="shared" si="4"/>
        <v>436544.74798220955</v>
      </c>
      <c r="J92" s="1369">
        <v>74999.700364137767</v>
      </c>
      <c r="K92" s="1370">
        <v>110530.81632456693</v>
      </c>
      <c r="L92" s="1370">
        <v>0</v>
      </c>
      <c r="M92" s="1371">
        <v>103638.13643712197</v>
      </c>
      <c r="N92" s="725">
        <v>71863.054688000004</v>
      </c>
      <c r="O92" s="320">
        <v>108618.06</v>
      </c>
      <c r="P92" s="1403">
        <v>91062.004059271494</v>
      </c>
      <c r="Q92" s="320">
        <v>71863.05</v>
      </c>
      <c r="R92" s="1372">
        <f t="shared" si="5"/>
        <v>4.6880000008968636E-3</v>
      </c>
      <c r="S92" s="1373">
        <v>71808.979000000007</v>
      </c>
      <c r="T92" s="1374">
        <v>36809.103999999999</v>
      </c>
      <c r="U92" s="1372">
        <f t="shared" si="6"/>
        <v>-2.3000000015599653E-2</v>
      </c>
      <c r="V92" s="1373">
        <v>91010.361999999994</v>
      </c>
      <c r="W92" s="1395">
        <f t="shared" si="7"/>
        <v>51.642059271500329</v>
      </c>
      <c r="X92" s="532"/>
      <c r="Y92" s="520">
        <f t="shared" si="13"/>
        <v>-289168.65312582668</v>
      </c>
      <c r="Z92" s="520">
        <f t="shared" si="14"/>
        <v>289168.65312582668</v>
      </c>
      <c r="AA92" s="520">
        <f t="shared" si="8"/>
        <v>96075.489488470732</v>
      </c>
      <c r="AB92" s="520">
        <f t="shared" si="15"/>
        <v>193093.16363735596</v>
      </c>
      <c r="AC92" s="525">
        <f t="shared" si="16"/>
        <v>193093.16363735596</v>
      </c>
      <c r="AF92" s="829"/>
    </row>
    <row r="93" spans="3:36" x14ac:dyDescent="0.2">
      <c r="C93" s="387">
        <f t="shared" si="9"/>
        <v>43304</v>
      </c>
      <c r="D93" s="1392">
        <f t="shared" si="10"/>
        <v>150304.21677419354</v>
      </c>
      <c r="E93" s="1368">
        <f t="shared" si="11"/>
        <v>14421.080258064516</v>
      </c>
      <c r="F93" s="389">
        <f t="shared" si="12"/>
        <v>265971.00160531473</v>
      </c>
      <c r="G93" s="1393">
        <f t="shared" si="2"/>
        <v>1.0139026799999999</v>
      </c>
      <c r="H93" s="390">
        <f t="shared" si="3"/>
        <v>269.6687</v>
      </c>
      <c r="I93" s="390">
        <f t="shared" si="4"/>
        <v>430966.98124025279</v>
      </c>
      <c r="J93" s="1369">
        <v>74999.700364137767</v>
      </c>
      <c r="K93" s="1370">
        <v>110530.81632456693</v>
      </c>
      <c r="L93" s="1370">
        <v>0</v>
      </c>
      <c r="M93" s="1371">
        <v>80808.837890583789</v>
      </c>
      <c r="N93" s="724">
        <v>74055.039999999994</v>
      </c>
      <c r="O93" s="318">
        <v>111037.61</v>
      </c>
      <c r="P93" s="1403">
        <v>80878.351605314747</v>
      </c>
      <c r="Q93" s="318">
        <v>74055.039999999994</v>
      </c>
      <c r="R93" s="1372">
        <f t="shared" si="5"/>
        <v>0</v>
      </c>
      <c r="S93" s="1373">
        <v>74114.058000000005</v>
      </c>
      <c r="T93" s="1374">
        <v>36923.584999999999</v>
      </c>
      <c r="U93" s="1372">
        <f t="shared" si="6"/>
        <v>-3.3000000010360964E-2</v>
      </c>
      <c r="V93" s="1373">
        <v>80809.16</v>
      </c>
      <c r="W93" s="1395">
        <f t="shared" si="7"/>
        <v>69.191605314743356</v>
      </c>
      <c r="X93" s="532"/>
      <c r="Y93" s="520">
        <f t="shared" si="13"/>
        <v>-266339.35457928851</v>
      </c>
      <c r="Z93" s="520">
        <f t="shared" si="14"/>
        <v>266339.35457928851</v>
      </c>
      <c r="AA93" s="520">
        <f t="shared" si="8"/>
        <v>85331.155314448944</v>
      </c>
      <c r="AB93" s="520">
        <f t="shared" si="15"/>
        <v>181008.19926483958</v>
      </c>
      <c r="AC93" s="525">
        <f t="shared" si="16"/>
        <v>181008.19926483958</v>
      </c>
      <c r="AF93" s="829"/>
    </row>
    <row r="94" spans="3:36" x14ac:dyDescent="0.2">
      <c r="C94" s="387">
        <f t="shared" si="9"/>
        <v>43305</v>
      </c>
      <c r="D94" s="1392">
        <f t="shared" si="10"/>
        <v>150304.21677419354</v>
      </c>
      <c r="E94" s="1368">
        <f t="shared" si="11"/>
        <v>14421.080258064516</v>
      </c>
      <c r="F94" s="389">
        <f t="shared" si="12"/>
        <v>269382.39172391151</v>
      </c>
      <c r="G94" s="1393">
        <f t="shared" si="2"/>
        <v>1.0139026799999999</v>
      </c>
      <c r="H94" s="390">
        <f t="shared" si="3"/>
        <v>273.1275</v>
      </c>
      <c r="I94" s="390">
        <f t="shared" si="4"/>
        <v>434381.8301588496</v>
      </c>
      <c r="J94" s="1369">
        <v>74999.700364137767</v>
      </c>
      <c r="K94" s="1370">
        <v>109243.64818394503</v>
      </c>
      <c r="L94" s="1370">
        <v>0</v>
      </c>
      <c r="M94" s="1371">
        <v>82735.369878104757</v>
      </c>
      <c r="N94" s="725">
        <v>74276.058000000005</v>
      </c>
      <c r="O94" s="320">
        <v>111567.49</v>
      </c>
      <c r="P94" s="1403">
        <v>83538.84372391153</v>
      </c>
      <c r="Q94" s="320">
        <v>74276.05</v>
      </c>
      <c r="R94" s="1372">
        <f t="shared" si="5"/>
        <v>8.0000000016298145E-3</v>
      </c>
      <c r="S94" s="1373">
        <v>74540.308000000005</v>
      </c>
      <c r="T94" s="1374">
        <v>37027.182000000001</v>
      </c>
      <c r="U94" s="1372">
        <f t="shared" si="6"/>
        <v>0</v>
      </c>
      <c r="V94" s="1373">
        <v>82820.820000000007</v>
      </c>
      <c r="W94" s="1395">
        <f t="shared" si="7"/>
        <v>718.02372391152312</v>
      </c>
      <c r="X94" s="532"/>
      <c r="Y94" s="520">
        <f t="shared" si="13"/>
        <v>-266978.71842618758</v>
      </c>
      <c r="Z94" s="520">
        <f t="shared" si="14"/>
        <v>266978.71842618758</v>
      </c>
      <c r="AA94" s="520">
        <f t="shared" si="8"/>
        <v>88138.1583039752</v>
      </c>
      <c r="AB94" s="520">
        <f t="shared" si="15"/>
        <v>178840.5601222124</v>
      </c>
      <c r="AC94" s="525">
        <f t="shared" si="16"/>
        <v>178840.5601222124</v>
      </c>
      <c r="AG94" s="843"/>
      <c r="AH94" s="843"/>
      <c r="AI94" s="843"/>
      <c r="AJ94" s="843"/>
    </row>
    <row r="95" spans="3:36" x14ac:dyDescent="0.2">
      <c r="C95" s="387">
        <f t="shared" si="9"/>
        <v>43306</v>
      </c>
      <c r="D95" s="1392">
        <f t="shared" si="10"/>
        <v>150304.21677419354</v>
      </c>
      <c r="E95" s="1368">
        <f t="shared" si="11"/>
        <v>14421.080258064516</v>
      </c>
      <c r="F95" s="389">
        <f t="shared" si="12"/>
        <v>270141.45211826282</v>
      </c>
      <c r="G95" s="1393">
        <f t="shared" si="2"/>
        <v>1.0139026799999999</v>
      </c>
      <c r="H95" s="390">
        <f t="shared" si="3"/>
        <v>273.89710000000002</v>
      </c>
      <c r="I95" s="390">
        <f t="shared" si="4"/>
        <v>435141.66015320091</v>
      </c>
      <c r="J95" s="1369">
        <v>74999.700364137767</v>
      </c>
      <c r="K95" s="1370">
        <v>108724.56070428439</v>
      </c>
      <c r="L95" s="1370">
        <v>0</v>
      </c>
      <c r="M95" s="1371">
        <v>82829.26984901898</v>
      </c>
      <c r="N95" s="724">
        <v>73520.859375</v>
      </c>
      <c r="O95" s="318">
        <v>112647.64</v>
      </c>
      <c r="P95" s="1403">
        <v>83972.952743262809</v>
      </c>
      <c r="Q95" s="318">
        <v>73520.899999999994</v>
      </c>
      <c r="R95" s="1372">
        <f t="shared" si="5"/>
        <v>-4.0624999994179234E-2</v>
      </c>
      <c r="S95" s="1373">
        <v>75180.418999999994</v>
      </c>
      <c r="T95" s="1374">
        <v>37467.207999999999</v>
      </c>
      <c r="U95" s="1372">
        <f t="shared" si="6"/>
        <v>1.3000000006286427E-2</v>
      </c>
      <c r="V95" s="1373">
        <v>82829.600000000006</v>
      </c>
      <c r="W95" s="1395">
        <f t="shared" si="7"/>
        <v>1143.3527432628034</v>
      </c>
      <c r="X95" s="532"/>
      <c r="Y95" s="520">
        <f t="shared" si="13"/>
        <v>-266553.53091744112</v>
      </c>
      <c r="Z95" s="520">
        <f t="shared" si="14"/>
        <v>266553.53091744112</v>
      </c>
      <c r="AA95" s="520">
        <f t="shared" si="8"/>
        <v>88596.181345223886</v>
      </c>
      <c r="AB95" s="520">
        <f t="shared" si="15"/>
        <v>177957.34957221724</v>
      </c>
      <c r="AC95" s="525">
        <f t="shared" si="16"/>
        <v>177957.34957221724</v>
      </c>
      <c r="AG95" s="843"/>
      <c r="AH95" s="843"/>
      <c r="AI95" s="843"/>
      <c r="AJ95" s="843"/>
    </row>
    <row r="96" spans="3:36" x14ac:dyDescent="0.2">
      <c r="C96" s="387">
        <f t="shared" si="9"/>
        <v>43307</v>
      </c>
      <c r="D96" s="1392">
        <f t="shared" si="10"/>
        <v>150304.21677419354</v>
      </c>
      <c r="E96" s="1368">
        <f t="shared" si="11"/>
        <v>14421.080258064516</v>
      </c>
      <c r="F96" s="389">
        <f t="shared" si="12"/>
        <v>266570.00560552021</v>
      </c>
      <c r="G96" s="1393">
        <f t="shared" si="2"/>
        <v>1.0139026799999999</v>
      </c>
      <c r="H96" s="390">
        <f t="shared" si="3"/>
        <v>270.27600000000001</v>
      </c>
      <c r="I96" s="390">
        <f t="shared" si="4"/>
        <v>431566.59254045831</v>
      </c>
      <c r="J96" s="1369">
        <v>73999.507415523374</v>
      </c>
      <c r="K96" s="1370">
        <v>108724.56070428439</v>
      </c>
      <c r="L96" s="1370">
        <v>0</v>
      </c>
      <c r="M96" s="1371">
        <v>82829.26984901898</v>
      </c>
      <c r="N96" s="725">
        <v>72657.024999999994</v>
      </c>
      <c r="O96" s="320">
        <v>113030.02</v>
      </c>
      <c r="P96" s="1403">
        <v>80882.960605520217</v>
      </c>
      <c r="Q96" s="320">
        <v>72657.02</v>
      </c>
      <c r="R96" s="1372">
        <f t="shared" si="5"/>
        <v>4.9999999901046976E-3</v>
      </c>
      <c r="S96" s="1373">
        <v>75286.259000000005</v>
      </c>
      <c r="T96" s="1374">
        <v>37743.741000000002</v>
      </c>
      <c r="U96" s="1372">
        <f t="shared" si="6"/>
        <v>2.0000000004074536E-2</v>
      </c>
      <c r="V96" s="1373">
        <v>82829.600000000006</v>
      </c>
      <c r="W96" s="1395">
        <f t="shared" si="7"/>
        <v>-1946.6393944797892</v>
      </c>
      <c r="X96" s="532"/>
      <c r="Y96" s="520">
        <f t="shared" si="13"/>
        <v>-265553.33796882676</v>
      </c>
      <c r="Z96" s="520">
        <f t="shared" si="14"/>
        <v>265553.33796882676</v>
      </c>
      <c r="AA96" s="520">
        <f t="shared" si="8"/>
        <v>85336.073985737748</v>
      </c>
      <c r="AB96" s="520">
        <f t="shared" si="15"/>
        <v>180217.26398308901</v>
      </c>
      <c r="AC96" s="525">
        <f t="shared" si="16"/>
        <v>180217.26398308901</v>
      </c>
      <c r="AG96" s="843"/>
      <c r="AH96" s="843"/>
      <c r="AI96" s="843"/>
      <c r="AJ96" s="843"/>
    </row>
    <row r="97" spans="2:42" x14ac:dyDescent="0.2">
      <c r="C97" s="387">
        <f t="shared" si="9"/>
        <v>43308</v>
      </c>
      <c r="D97" s="1392">
        <f t="shared" si="10"/>
        <v>150304.21677419354</v>
      </c>
      <c r="E97" s="1368">
        <f t="shared" si="11"/>
        <v>14421.080258064516</v>
      </c>
      <c r="F97" s="389">
        <f t="shared" si="12"/>
        <v>265968.70489617635</v>
      </c>
      <c r="G97" s="1393">
        <f t="shared" si="2"/>
        <v>1.0139026799999999</v>
      </c>
      <c r="H97" s="390">
        <f t="shared" si="3"/>
        <v>269.66640000000001</v>
      </c>
      <c r="I97" s="390">
        <f t="shared" si="4"/>
        <v>430964.68223111442</v>
      </c>
      <c r="J97" s="1369">
        <v>73999.507415523374</v>
      </c>
      <c r="K97" s="1370">
        <v>111783.16762204084</v>
      </c>
      <c r="L97" s="1370">
        <v>0</v>
      </c>
      <c r="M97" s="1371">
        <v>81818.526341874895</v>
      </c>
      <c r="N97" s="724">
        <v>71946.28125</v>
      </c>
      <c r="O97" s="318">
        <v>112227.42</v>
      </c>
      <c r="P97" s="1403">
        <v>81795.003646176367</v>
      </c>
      <c r="Q97" s="318">
        <v>71946.28</v>
      </c>
      <c r="R97" s="1372">
        <f t="shared" si="5"/>
        <v>1.2500000011641532E-3</v>
      </c>
      <c r="S97" s="1373">
        <v>74373.638000000006</v>
      </c>
      <c r="T97" s="1374">
        <v>37853.78</v>
      </c>
      <c r="U97" s="1372">
        <f t="shared" si="6"/>
        <v>1.999999993131496E-3</v>
      </c>
      <c r="V97" s="1373">
        <v>81818.850000000006</v>
      </c>
      <c r="W97" s="1395">
        <f t="shared" si="7"/>
        <v>-23.84635382363922</v>
      </c>
      <c r="X97" s="532"/>
      <c r="Y97" s="520">
        <f t="shared" si="13"/>
        <v>-267601.2013794391</v>
      </c>
      <c r="Z97" s="520">
        <f t="shared" si="14"/>
        <v>267601.2013794391</v>
      </c>
      <c r="AA97" s="520">
        <f t="shared" si="8"/>
        <v>86298.311477032243</v>
      </c>
      <c r="AB97" s="520">
        <f t="shared" si="15"/>
        <v>181302.88990240684</v>
      </c>
      <c r="AC97" s="525">
        <f t="shared" si="16"/>
        <v>181302.88990240684</v>
      </c>
      <c r="AG97" s="843"/>
      <c r="AH97" s="843"/>
      <c r="AI97" s="843"/>
      <c r="AJ97" s="843"/>
    </row>
    <row r="98" spans="2:42" x14ac:dyDescent="0.2">
      <c r="C98" s="387">
        <f t="shared" si="9"/>
        <v>43309</v>
      </c>
      <c r="D98" s="1392">
        <f t="shared" si="10"/>
        <v>150304.21677419354</v>
      </c>
      <c r="E98" s="1368">
        <f t="shared" si="11"/>
        <v>14421.080258064516</v>
      </c>
      <c r="F98" s="389">
        <f t="shared" si="12"/>
        <v>264701.26021216303</v>
      </c>
      <c r="G98" s="1393">
        <f t="shared" si="2"/>
        <v>1.0139026799999999</v>
      </c>
      <c r="H98" s="390">
        <f t="shared" si="3"/>
        <v>268.38130000000001</v>
      </c>
      <c r="I98" s="390">
        <f t="shared" si="4"/>
        <v>429695.95244710112</v>
      </c>
      <c r="J98" s="1369">
        <v>72999.314466908982</v>
      </c>
      <c r="K98" s="1370">
        <v>109911.49853887425</v>
      </c>
      <c r="L98" s="1370">
        <v>0</v>
      </c>
      <c r="M98" s="1371">
        <v>81818.526341874895</v>
      </c>
      <c r="N98" s="725">
        <v>71421.726563000004</v>
      </c>
      <c r="O98" s="320">
        <v>111417.53</v>
      </c>
      <c r="P98" s="1403">
        <v>81862.003649163016</v>
      </c>
      <c r="Q98" s="320">
        <v>71421.73</v>
      </c>
      <c r="R98" s="1372">
        <f t="shared" si="5"/>
        <v>-3.4369999921182171E-3</v>
      </c>
      <c r="S98" s="1373">
        <v>73701.55</v>
      </c>
      <c r="T98" s="1374">
        <v>37715.989000000001</v>
      </c>
      <c r="U98" s="1372">
        <f t="shared" si="6"/>
        <v>-9.0000000054715201E-3</v>
      </c>
      <c r="V98" s="1373">
        <v>81818.850000000006</v>
      </c>
      <c r="W98" s="1395">
        <f t="shared" si="7"/>
        <v>43.153649163010414</v>
      </c>
      <c r="X98" s="532"/>
      <c r="Y98" s="520">
        <f t="shared" si="13"/>
        <v>-264729.33934765816</v>
      </c>
      <c r="Z98" s="520">
        <f t="shared" si="14"/>
        <v>264729.33934765816</v>
      </c>
      <c r="AA98" s="520">
        <f t="shared" si="8"/>
        <v>86368.988626567327</v>
      </c>
      <c r="AB98" s="520">
        <f t="shared" si="15"/>
        <v>178360.35072109083</v>
      </c>
      <c r="AC98" s="525">
        <f t="shared" si="16"/>
        <v>178360.35072109083</v>
      </c>
      <c r="AG98" s="843"/>
      <c r="AH98" s="843"/>
      <c r="AI98" s="843"/>
      <c r="AJ98" s="843"/>
    </row>
    <row r="99" spans="2:42" x14ac:dyDescent="0.2">
      <c r="C99" s="387">
        <f t="shared" si="9"/>
        <v>43310</v>
      </c>
      <c r="D99" s="1392">
        <f t="shared" si="10"/>
        <v>150304.21677419354</v>
      </c>
      <c r="E99" s="1368">
        <f t="shared" si="11"/>
        <v>14421.080258064516</v>
      </c>
      <c r="F99" s="389">
        <f t="shared" si="12"/>
        <v>264380.20239889552</v>
      </c>
      <c r="G99" s="1393">
        <f t="shared" si="2"/>
        <v>1.0139026799999999</v>
      </c>
      <c r="H99" s="390">
        <f t="shared" si="3"/>
        <v>268.05579999999998</v>
      </c>
      <c r="I99" s="390">
        <f t="shared" si="4"/>
        <v>429374.56913383357</v>
      </c>
      <c r="J99" s="1369">
        <v>72999.314466908982</v>
      </c>
      <c r="K99" s="1370">
        <v>109911.49853887425</v>
      </c>
      <c r="L99" s="1370">
        <v>0</v>
      </c>
      <c r="M99" s="1371">
        <v>81818.526341874895</v>
      </c>
      <c r="N99" s="724">
        <v>71427.96875</v>
      </c>
      <c r="O99" s="318">
        <v>111096.23</v>
      </c>
      <c r="P99" s="1403">
        <v>81856.003648895552</v>
      </c>
      <c r="Q99" s="318">
        <v>71427.97</v>
      </c>
      <c r="R99" s="1372">
        <f t="shared" si="5"/>
        <v>-1.2500000011641532E-3</v>
      </c>
      <c r="S99" s="1373">
        <v>73771.48</v>
      </c>
      <c r="T99" s="1374">
        <v>37324.735000000001</v>
      </c>
      <c r="U99" s="1372">
        <f t="shared" si="6"/>
        <v>1.4999999999417923E-2</v>
      </c>
      <c r="V99" s="1373">
        <v>81818.850000000006</v>
      </c>
      <c r="W99" s="1395">
        <f t="shared" si="7"/>
        <v>37.153648895546212</v>
      </c>
      <c r="X99" s="532"/>
      <c r="Y99" s="520">
        <f t="shared" si="13"/>
        <v>-264729.33934765816</v>
      </c>
      <c r="Z99" s="520">
        <f t="shared" si="14"/>
        <v>264729.33934765816</v>
      </c>
      <c r="AA99" s="520">
        <f t="shared" si="8"/>
        <v>86362.683611629138</v>
      </c>
      <c r="AB99" s="520">
        <f t="shared" si="15"/>
        <v>178366.65573602903</v>
      </c>
      <c r="AC99" s="525">
        <f t="shared" si="16"/>
        <v>178366.65573602903</v>
      </c>
      <c r="AG99" s="843"/>
      <c r="AH99" s="843"/>
      <c r="AI99" s="843"/>
      <c r="AJ99" s="843"/>
    </row>
    <row r="100" spans="2:42" x14ac:dyDescent="0.2">
      <c r="C100" s="387">
        <f t="shared" si="9"/>
        <v>43311</v>
      </c>
      <c r="D100" s="1392">
        <f t="shared" si="10"/>
        <v>150304.21677419354</v>
      </c>
      <c r="E100" s="1368">
        <f t="shared" si="11"/>
        <v>14421.080258064516</v>
      </c>
      <c r="F100" s="389">
        <f t="shared" si="12"/>
        <v>265708.93645988958</v>
      </c>
      <c r="G100" s="1393">
        <f>TRUNC(IFERROR(K$22/L$22,0),8)</f>
        <v>1.0139026799999999</v>
      </c>
      <c r="H100" s="390">
        <f>ROUND(J$22*G100*F100,4)</f>
        <v>269.40300000000002</v>
      </c>
      <c r="I100" s="390">
        <f>SUM(D100:H100)</f>
        <v>430704.65039482765</v>
      </c>
      <c r="J100" s="1369">
        <v>72999.314466908982</v>
      </c>
      <c r="K100" s="1370">
        <v>109911.49853887425</v>
      </c>
      <c r="L100" s="1370">
        <v>0</v>
      </c>
      <c r="M100" s="1371">
        <v>81818.526341874895</v>
      </c>
      <c r="N100" s="724">
        <v>72818.632813000004</v>
      </c>
      <c r="O100" s="318">
        <v>111079.3</v>
      </c>
      <c r="P100" s="1403">
        <v>81811.0036468896</v>
      </c>
      <c r="Q100" s="318">
        <v>72818.600000000006</v>
      </c>
      <c r="R100" s="1372">
        <f t="shared" si="5"/>
        <v>3.2812999997986481E-2</v>
      </c>
      <c r="S100" s="1373">
        <v>73950.284</v>
      </c>
      <c r="T100" s="1374">
        <v>37129.006000000001</v>
      </c>
      <c r="U100" s="1372">
        <f t="shared" si="6"/>
        <v>9.9999999947613105E-3</v>
      </c>
      <c r="V100" s="1373">
        <v>81818.850000000006</v>
      </c>
      <c r="W100" s="1395">
        <f t="shared" si="7"/>
        <v>-7.8463531104061985</v>
      </c>
      <c r="X100" s="532"/>
      <c r="Y100" s="520">
        <f t="shared" si="13"/>
        <v>-264729.33934765816</v>
      </c>
      <c r="Z100" s="520">
        <f t="shared" si="14"/>
        <v>264729.33934765816</v>
      </c>
      <c r="AA100" s="520">
        <f t="shared" si="8"/>
        <v>86315.200814232754</v>
      </c>
      <c r="AB100" s="520">
        <f>Z100-AA100</f>
        <v>178414.1385334254</v>
      </c>
      <c r="AC100" s="525">
        <f t="shared" si="16"/>
        <v>178414.1385334254</v>
      </c>
      <c r="AG100" s="843"/>
      <c r="AH100" s="843"/>
      <c r="AI100" s="843"/>
      <c r="AJ100" s="843"/>
    </row>
    <row r="101" spans="2:42" ht="13.5" thickBot="1" x14ac:dyDescent="0.25">
      <c r="C101" s="393">
        <f t="shared" si="9"/>
        <v>43312</v>
      </c>
      <c r="D101" s="1396">
        <f t="shared" si="10"/>
        <v>150304.21677419354</v>
      </c>
      <c r="E101" s="1376">
        <f t="shared" si="11"/>
        <v>14421.080258064516</v>
      </c>
      <c r="F101" s="1397">
        <f t="shared" si="12"/>
        <v>268847.69712500001</v>
      </c>
      <c r="G101" s="1398">
        <f t="shared" si="2"/>
        <v>1.0139026799999999</v>
      </c>
      <c r="H101" s="396">
        <f t="shared" si="3"/>
        <v>272.58539999999999</v>
      </c>
      <c r="I101" s="396">
        <f t="shared" si="4"/>
        <v>433846.59345993807</v>
      </c>
      <c r="J101" s="1377">
        <v>0</v>
      </c>
      <c r="K101" s="1378">
        <v>0</v>
      </c>
      <c r="L101" s="1378">
        <v>0</v>
      </c>
      <c r="M101" s="1379">
        <v>82998.233999999997</v>
      </c>
      <c r="N101" s="749">
        <v>73397.203125</v>
      </c>
      <c r="O101" s="750">
        <v>112452.26</v>
      </c>
      <c r="P101" s="1379">
        <v>82998.233999999997</v>
      </c>
      <c r="Q101" s="750">
        <v>73397.202999999994</v>
      </c>
      <c r="R101" s="1380">
        <f t="shared" si="5"/>
        <v>1.2500000593718141E-4</v>
      </c>
      <c r="S101" s="1381">
        <v>73812.948999999993</v>
      </c>
      <c r="T101" s="1382">
        <v>38639.317000000003</v>
      </c>
      <c r="U101" s="1380">
        <f t="shared" si="6"/>
        <v>-6.0000000084983185E-3</v>
      </c>
      <c r="V101" s="1381">
        <v>82829.600000000006</v>
      </c>
      <c r="W101" s="1401">
        <f t="shared" si="7"/>
        <v>168.63399999999092</v>
      </c>
      <c r="X101" s="560"/>
      <c r="Y101" s="528" t="e">
        <f>X101+#REF!-Z101</f>
        <v>#REF!</v>
      </c>
      <c r="Z101" s="528">
        <f t="shared" si="14"/>
        <v>82998.233999999997</v>
      </c>
      <c r="AA101" s="528">
        <f t="shared" si="8"/>
        <v>87567.778440767986</v>
      </c>
      <c r="AB101" s="528">
        <f t="shared" si="15"/>
        <v>-4569.5444407679897</v>
      </c>
      <c r="AC101" s="529">
        <f t="shared" si="16"/>
        <v>-4569.5444407679897</v>
      </c>
      <c r="AG101" s="843"/>
      <c r="AH101" s="843"/>
      <c r="AI101" s="843"/>
      <c r="AJ101" s="843"/>
    </row>
    <row r="102" spans="2:42" s="2" customFormat="1" ht="13.5" thickBot="1" x14ac:dyDescent="0.25">
      <c r="C102" s="953"/>
      <c r="D102" s="954">
        <f>SUM(D71:D101)</f>
        <v>4659430.72</v>
      </c>
      <c r="E102" s="954">
        <f>SUM(E71:E101)</f>
        <v>447053.48799999978</v>
      </c>
      <c r="F102" s="955">
        <f>SUM(F71:F101)</f>
        <v>8067542.2104437696</v>
      </c>
      <c r="G102" s="955"/>
      <c r="H102" s="956">
        <f t="shared" ref="H102:P102" si="17">SUM(H71:H101)</f>
        <v>8179.7025999999996</v>
      </c>
      <c r="I102" s="954">
        <f t="shared" si="17"/>
        <v>13182237.552026851</v>
      </c>
      <c r="J102" s="1024">
        <f t="shared" si="17"/>
        <v>2248980.2674169885</v>
      </c>
      <c r="K102" s="1024">
        <f t="shared" si="17"/>
        <v>3359148.0179214315</v>
      </c>
      <c r="L102" s="1024">
        <f t="shared" si="17"/>
        <v>0</v>
      </c>
      <c r="M102" s="1025">
        <f t="shared" si="17"/>
        <v>2328909.3439407023</v>
      </c>
      <c r="N102" s="957">
        <f t="shared" si="17"/>
        <v>2301667.0005070004</v>
      </c>
      <c r="O102" s="957">
        <f t="shared" si="17"/>
        <v>3440986.3899999997</v>
      </c>
      <c r="P102" s="996">
        <f t="shared" si="17"/>
        <v>2324888.81993677</v>
      </c>
      <c r="Q102" s="996">
        <f t="shared" ref="Q102:X102" si="18">SUM(Q71:Q101)</f>
        <v>2301667.0650000004</v>
      </c>
      <c r="R102" s="996">
        <f t="shared" si="18"/>
        <v>-6.4492999939830042E-2</v>
      </c>
      <c r="S102" s="996">
        <f t="shared" si="18"/>
        <v>2271257.52</v>
      </c>
      <c r="T102" s="996">
        <f t="shared" si="18"/>
        <v>1168454.3480000005</v>
      </c>
      <c r="U102" s="996">
        <f t="shared" si="18"/>
        <v>1274.5219999999681</v>
      </c>
      <c r="V102" s="996">
        <f t="shared" si="18"/>
        <v>2323172.2270000004</v>
      </c>
      <c r="W102" s="996">
        <f t="shared" si="18"/>
        <v>1716.5929367698463</v>
      </c>
      <c r="X102" s="958">
        <f t="shared" si="18"/>
        <v>0</v>
      </c>
      <c r="Y102" s="959"/>
      <c r="Z102" s="960">
        <f>SUM(Z71:Z101)</f>
        <v>7937037.6292791218</v>
      </c>
      <c r="AA102" s="960">
        <f>SUM(AA71:AA101)</f>
        <v>2454232.5908904402</v>
      </c>
      <c r="AB102" s="960">
        <f>SUM(AB71:AB101)</f>
        <v>5482805.0383886844</v>
      </c>
      <c r="AC102" s="960">
        <f>SUM(AC71:AC101)</f>
        <v>5482805.0383886844</v>
      </c>
      <c r="AD102" s="360"/>
      <c r="AE102" s="360"/>
      <c r="AF102" s="360"/>
      <c r="AG102" s="360"/>
      <c r="AH102" s="360"/>
      <c r="AI102" s="360"/>
      <c r="AJ102" s="360"/>
      <c r="AP102" s="361" t="e">
        <f>#REF!</f>
        <v>#REF!</v>
      </c>
    </row>
    <row r="103" spans="2:42" ht="15" customHeight="1" thickBot="1" x14ac:dyDescent="0.25">
      <c r="B103" s="843"/>
      <c r="C103" s="843"/>
      <c r="D103" s="843"/>
      <c r="E103" s="843"/>
      <c r="F103" s="843"/>
      <c r="G103" s="843"/>
      <c r="H103" s="843"/>
      <c r="I103" s="843"/>
      <c r="J103" s="843"/>
      <c r="K103" s="843"/>
      <c r="M103" s="843"/>
      <c r="N103" s="843"/>
      <c r="S103" s="997">
        <f>S102/(S102+T102)</f>
        <v>0.66030458572118966</v>
      </c>
      <c r="T103" s="998">
        <f>T102/(S102+T102)</f>
        <v>0.33969541427881023</v>
      </c>
      <c r="Z103" s="829"/>
      <c r="AA103" s="829"/>
      <c r="AB103" s="829"/>
      <c r="AC103" s="829"/>
      <c r="AD103" s="829"/>
      <c r="AG103" s="843"/>
      <c r="AH103" s="843"/>
      <c r="AI103" s="843"/>
      <c r="AJ103" s="843"/>
    </row>
    <row r="104" spans="2:42" x14ac:dyDescent="0.2">
      <c r="D104" s="962" t="s">
        <v>155</v>
      </c>
      <c r="E104" s="963" t="s">
        <v>156</v>
      </c>
      <c r="F104" s="964" t="s">
        <v>112</v>
      </c>
      <c r="N104" s="829"/>
      <c r="O104" s="827"/>
      <c r="Z104" s="829"/>
    </row>
    <row r="105" spans="2:42" x14ac:dyDescent="0.2">
      <c r="D105" s="965">
        <v>4659430.72</v>
      </c>
      <c r="E105" s="966">
        <f>D102</f>
        <v>4659430.72</v>
      </c>
      <c r="F105" s="967">
        <f>D105-E105</f>
        <v>0</v>
      </c>
      <c r="G105" s="968"/>
      <c r="H105" s="968"/>
      <c r="I105" s="968"/>
      <c r="N105" s="829"/>
      <c r="O105" s="827"/>
      <c r="T105" s="1008">
        <f>1-S103-T103</f>
        <v>0</v>
      </c>
      <c r="Z105" s="829"/>
    </row>
    <row r="106" spans="2:42" x14ac:dyDescent="0.2">
      <c r="D106" s="965">
        <v>447053.49</v>
      </c>
      <c r="E106" s="966">
        <f>E102</f>
        <v>447053.48799999978</v>
      </c>
      <c r="F106" s="967">
        <f>D106-E106</f>
        <v>2.0000002114102244E-3</v>
      </c>
      <c r="G106" s="968"/>
      <c r="H106" s="968"/>
      <c r="I106" s="968"/>
      <c r="J106" s="1023"/>
      <c r="K106" s="1023"/>
      <c r="N106" s="829"/>
      <c r="V106" s="1038">
        <f>V102*0.94708628903179</f>
        <v>2200244.5632511498</v>
      </c>
      <c r="Y106" s="843"/>
    </row>
    <row r="107" spans="2:42" ht="13.5" thickBot="1" x14ac:dyDescent="0.25">
      <c r="D107" s="969">
        <f>5822.5+2357.21</f>
        <v>8179.71</v>
      </c>
      <c r="E107" s="970">
        <f>ROUND(H102,2)</f>
        <v>8179.7</v>
      </c>
      <c r="F107" s="971">
        <f>D107-E107</f>
        <v>1.0000000000218279E-2</v>
      </c>
      <c r="G107" s="968"/>
      <c r="J107" s="1023"/>
      <c r="K107" s="1023"/>
      <c r="N107" s="829"/>
      <c r="T107" s="958">
        <f>S102+T102</f>
        <v>3439711.8680000007</v>
      </c>
    </row>
    <row r="108" spans="2:42" x14ac:dyDescent="0.2">
      <c r="D108" s="968"/>
      <c r="J108" s="1023"/>
      <c r="K108" s="1023"/>
      <c r="N108" s="829"/>
    </row>
    <row r="109" spans="2:42" x14ac:dyDescent="0.2">
      <c r="J109" s="1023"/>
      <c r="K109" s="1023"/>
      <c r="N109" s="829"/>
    </row>
    <row r="110" spans="2:42" x14ac:dyDescent="0.2">
      <c r="J110" s="1023"/>
      <c r="K110" s="1023"/>
      <c r="N110" s="829"/>
    </row>
    <row r="111" spans="2:42" x14ac:dyDescent="0.2">
      <c r="J111" s="1023"/>
      <c r="K111" s="1023"/>
      <c r="N111" s="829"/>
    </row>
    <row r="112" spans="2:42" x14ac:dyDescent="0.2">
      <c r="J112" s="1023"/>
      <c r="K112" s="1023"/>
      <c r="N112" s="829"/>
    </row>
    <row r="113" spans="10:14" x14ac:dyDescent="0.2">
      <c r="J113" s="1023"/>
      <c r="K113" s="1023"/>
      <c r="N113" s="829"/>
    </row>
    <row r="114" spans="10:14" x14ac:dyDescent="0.2">
      <c r="J114" s="1023"/>
      <c r="K114" s="1023"/>
      <c r="N114" s="829"/>
    </row>
    <row r="115" spans="10:14" x14ac:dyDescent="0.2">
      <c r="J115" s="1023"/>
      <c r="K115" s="1023"/>
      <c r="N115" s="829"/>
    </row>
    <row r="116" spans="10:14" x14ac:dyDescent="0.2">
      <c r="J116" s="1023"/>
      <c r="K116" s="1023"/>
      <c r="N116" s="829"/>
    </row>
    <row r="117" spans="10:14" x14ac:dyDescent="0.2">
      <c r="J117" s="1023"/>
      <c r="K117" s="1023"/>
      <c r="N117" s="829"/>
    </row>
    <row r="118" spans="10:14" x14ac:dyDescent="0.2">
      <c r="J118" s="1023"/>
      <c r="K118" s="1023"/>
      <c r="N118" s="829"/>
    </row>
    <row r="119" spans="10:14" x14ac:dyDescent="0.2">
      <c r="J119" s="1023"/>
      <c r="K119" s="1023"/>
      <c r="N119" s="829"/>
    </row>
    <row r="120" spans="10:14" x14ac:dyDescent="0.2">
      <c r="J120" s="1023"/>
      <c r="K120" s="1023"/>
      <c r="N120" s="829"/>
    </row>
    <row r="121" spans="10:14" x14ac:dyDescent="0.2">
      <c r="J121" s="1023"/>
      <c r="K121" s="1023"/>
      <c r="N121" s="829"/>
    </row>
    <row r="122" spans="10:14" x14ac:dyDescent="0.2">
      <c r="J122" s="1023"/>
      <c r="K122" s="1023"/>
      <c r="N122" s="829"/>
    </row>
    <row r="123" spans="10:14" x14ac:dyDescent="0.2">
      <c r="J123" s="1023"/>
      <c r="K123" s="1023"/>
      <c r="N123" s="829"/>
    </row>
    <row r="124" spans="10:14" x14ac:dyDescent="0.2">
      <c r="J124" s="1023"/>
      <c r="K124" s="1023"/>
      <c r="N124" s="829"/>
    </row>
    <row r="125" spans="10:14" x14ac:dyDescent="0.2">
      <c r="J125" s="1023"/>
      <c r="K125" s="1023"/>
      <c r="N125" s="829"/>
    </row>
    <row r="126" spans="10:14" x14ac:dyDescent="0.2">
      <c r="J126" s="1023"/>
      <c r="K126" s="1023"/>
      <c r="N126" s="829"/>
    </row>
    <row r="127" spans="10:14" x14ac:dyDescent="0.2">
      <c r="J127" s="1023"/>
      <c r="K127" s="1023"/>
      <c r="N127" s="829"/>
    </row>
    <row r="128" spans="10:14" x14ac:dyDescent="0.2">
      <c r="J128" s="1023"/>
      <c r="K128" s="1023"/>
      <c r="N128" s="829"/>
    </row>
    <row r="129" spans="10:14" x14ac:dyDescent="0.2">
      <c r="J129" s="1023"/>
      <c r="K129" s="1023"/>
      <c r="N129" s="829"/>
    </row>
    <row r="130" spans="10:14" x14ac:dyDescent="0.2">
      <c r="J130" s="1023"/>
      <c r="K130" s="1023"/>
      <c r="N130" s="829"/>
    </row>
    <row r="131" spans="10:14" x14ac:dyDescent="0.2">
      <c r="J131" s="1023"/>
      <c r="K131" s="1023"/>
      <c r="N131" s="829"/>
    </row>
    <row r="132" spans="10:14" x14ac:dyDescent="0.2">
      <c r="J132" s="1023"/>
      <c r="K132" s="1023"/>
      <c r="N132" s="829"/>
    </row>
    <row r="133" spans="10:14" x14ac:dyDescent="0.2">
      <c r="J133" s="1023"/>
      <c r="K133" s="1023"/>
      <c r="N133" s="829"/>
    </row>
    <row r="134" spans="10:14" x14ac:dyDescent="0.2">
      <c r="J134" s="1023"/>
      <c r="K134" s="1023"/>
      <c r="N134" s="829"/>
    </row>
    <row r="135" spans="10:14" x14ac:dyDescent="0.2">
      <c r="J135" s="1023"/>
      <c r="K135" s="1023"/>
      <c r="N135" s="829"/>
    </row>
    <row r="136" spans="10:14" x14ac:dyDescent="0.2">
      <c r="J136" s="1023"/>
      <c r="K136" s="1023"/>
      <c r="N136" s="829"/>
    </row>
  </sheetData>
  <mergeCells count="10">
    <mergeCell ref="Q69:W69"/>
    <mergeCell ref="X69:AC69"/>
    <mergeCell ref="J69:M69"/>
    <mergeCell ref="C17:E17"/>
    <mergeCell ref="C3:M4"/>
    <mergeCell ref="C5:M5"/>
    <mergeCell ref="C6:M6"/>
    <mergeCell ref="C14:E14"/>
    <mergeCell ref="C15:E15"/>
    <mergeCell ref="C16:E16"/>
  </mergeCells>
  <conditionalFormatting sqref="N71:O71 N72:P100 N101:O101">
    <cfRule type="cellIs" dxfId="103" priority="7" stopIfTrue="1" operator="equal">
      <formula>0</formula>
    </cfRule>
  </conditionalFormatting>
  <conditionalFormatting sqref="Q71:Q99 Q101">
    <cfRule type="cellIs" dxfId="102" priority="5" stopIfTrue="1" operator="equal">
      <formula>0</formula>
    </cfRule>
  </conditionalFormatting>
  <conditionalFormatting sqref="Q100">
    <cfRule type="cellIs" dxfId="101" priority="4" stopIfTrue="1" operator="equal">
      <formula>0</formula>
    </cfRule>
  </conditionalFormatting>
  <printOptions horizontalCentered="1"/>
  <pageMargins left="0.59055118110236227" right="0.39370078740157483" top="0" bottom="0" header="0" footer="0.51181102362204722"/>
  <pageSetup scale="38" orientation="landscape" r:id="rId1"/>
  <drawing r:id="rId2"/>
  <legacyDrawing r:id="rId3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P136"/>
  <sheetViews>
    <sheetView topLeftCell="A27" workbookViewId="0"/>
  </sheetViews>
  <sheetFormatPr baseColWidth="10" defaultColWidth="11" defaultRowHeight="12.75" x14ac:dyDescent="0.2"/>
  <cols>
    <col min="1" max="1" width="11" style="827"/>
    <col min="2" max="2" width="3.875" style="827" bestFit="1" customWidth="1"/>
    <col min="3" max="3" width="16.125" style="829" customWidth="1"/>
    <col min="4" max="4" width="13.375" style="829" bestFit="1" customWidth="1"/>
    <col min="5" max="5" width="18.375" style="829" bestFit="1" customWidth="1"/>
    <col min="6" max="6" width="17.375" style="829" bestFit="1" customWidth="1"/>
    <col min="7" max="8" width="13.375" style="829" bestFit="1" customWidth="1"/>
    <col min="9" max="9" width="15.125" style="829" customWidth="1"/>
    <col min="10" max="10" width="20.5" style="829" customWidth="1"/>
    <col min="11" max="11" width="12.625" style="829" bestFit="1" customWidth="1"/>
    <col min="12" max="12" width="16" style="829" customWidth="1"/>
    <col min="13" max="13" width="15.125" style="829" bestFit="1" customWidth="1"/>
    <col min="14" max="14" width="16.125" style="827" bestFit="1" customWidth="1"/>
    <col min="15" max="15" width="11.375" style="829" bestFit="1" customWidth="1"/>
    <col min="16" max="16" width="18" style="829" customWidth="1"/>
    <col min="17" max="17" width="16.5" style="829" bestFit="1" customWidth="1"/>
    <col min="18" max="18" width="13.375" style="829" customWidth="1"/>
    <col min="19" max="19" width="11.875" style="829" bestFit="1" customWidth="1"/>
    <col min="20" max="20" width="11.125" style="829" bestFit="1" customWidth="1"/>
    <col min="21" max="21" width="17.5" style="829" customWidth="1"/>
    <col min="22" max="22" width="15.125" style="829" customWidth="1"/>
    <col min="23" max="23" width="11.125" style="829" bestFit="1" customWidth="1"/>
    <col min="24" max="24" width="19.625" style="829" customWidth="1"/>
    <col min="25" max="25" width="17.875" style="829" customWidth="1"/>
    <col min="26" max="26" width="11.125" style="843" bestFit="1" customWidth="1"/>
    <col min="27" max="27" width="14" style="843" bestFit="1" customWidth="1"/>
    <col min="28" max="32" width="11" style="843"/>
    <col min="33" max="38" width="11" style="829"/>
    <col min="39" max="39" width="11.125" style="829" bestFit="1" customWidth="1"/>
    <col min="40" max="16384" width="11" style="829"/>
  </cols>
  <sheetData>
    <row r="1" spans="3:35" x14ac:dyDescent="0.2">
      <c r="O1" s="827"/>
      <c r="P1" s="827"/>
      <c r="Q1" s="827"/>
      <c r="R1" s="827"/>
      <c r="S1" s="827"/>
      <c r="T1" s="827"/>
      <c r="U1" s="827"/>
      <c r="V1" s="827"/>
      <c r="W1" s="827"/>
      <c r="X1" s="827"/>
      <c r="Y1" s="827"/>
      <c r="Z1" s="860"/>
      <c r="AA1" s="860"/>
      <c r="AB1" s="860"/>
      <c r="AC1" s="860"/>
    </row>
    <row r="2" spans="3:35" x14ac:dyDescent="0.2">
      <c r="C2" s="828"/>
      <c r="D2" s="828"/>
      <c r="E2" s="828"/>
      <c r="F2" s="828"/>
      <c r="G2" s="828"/>
      <c r="H2" s="828"/>
      <c r="I2" s="828"/>
      <c r="J2" s="828"/>
      <c r="K2" s="828"/>
      <c r="L2" s="828"/>
      <c r="M2" s="828"/>
      <c r="N2" s="828"/>
      <c r="O2" s="827"/>
      <c r="P2" s="827"/>
      <c r="Q2" s="827"/>
      <c r="R2" s="827"/>
      <c r="S2" s="827"/>
      <c r="T2" s="827"/>
      <c r="U2" s="827"/>
      <c r="V2" s="827"/>
      <c r="W2" s="827"/>
      <c r="X2" s="827"/>
      <c r="Y2" s="827"/>
      <c r="Z2" s="827"/>
      <c r="AA2" s="827"/>
      <c r="AB2" s="827"/>
      <c r="AC2" s="827"/>
      <c r="AD2" s="829"/>
      <c r="AE2" s="829"/>
      <c r="AF2" s="829"/>
    </row>
    <row r="3" spans="3:35" ht="15" customHeight="1" x14ac:dyDescent="0.2">
      <c r="C3" s="2295"/>
      <c r="D3" s="2295"/>
      <c r="E3" s="2295"/>
      <c r="F3" s="2295"/>
      <c r="G3" s="2295"/>
      <c r="H3" s="2295"/>
      <c r="I3" s="2295"/>
      <c r="J3" s="2295"/>
      <c r="K3" s="2295"/>
      <c r="L3" s="2295"/>
      <c r="M3" s="2295"/>
      <c r="N3" s="828"/>
      <c r="O3" s="827"/>
      <c r="P3" s="827"/>
      <c r="Q3" s="827"/>
      <c r="R3" s="827"/>
      <c r="S3" s="827"/>
      <c r="T3" s="827"/>
      <c r="U3" s="827"/>
      <c r="V3" s="827"/>
      <c r="W3" s="827"/>
      <c r="X3" s="827"/>
      <c r="Y3" s="827"/>
      <c r="Z3" s="827"/>
      <c r="AA3" s="827"/>
      <c r="AB3" s="827"/>
      <c r="AC3" s="827"/>
      <c r="AD3" s="829"/>
      <c r="AE3" s="829"/>
      <c r="AF3" s="829"/>
    </row>
    <row r="4" spans="3:35" ht="15" customHeight="1" x14ac:dyDescent="0.2">
      <c r="C4" s="2295"/>
      <c r="D4" s="2295"/>
      <c r="E4" s="2295"/>
      <c r="F4" s="2295"/>
      <c r="G4" s="2295"/>
      <c r="H4" s="2295"/>
      <c r="I4" s="2295"/>
      <c r="J4" s="2295"/>
      <c r="K4" s="2295"/>
      <c r="L4" s="2295"/>
      <c r="M4" s="2295"/>
      <c r="N4" s="828"/>
      <c r="O4" s="827"/>
      <c r="P4" s="827"/>
      <c r="Q4" s="827"/>
      <c r="R4" s="827"/>
      <c r="S4" s="827"/>
      <c r="T4" s="827"/>
      <c r="U4" s="827"/>
      <c r="V4" s="827"/>
      <c r="W4" s="827"/>
      <c r="X4" s="827"/>
      <c r="Y4" s="827"/>
      <c r="Z4" s="827"/>
      <c r="AA4" s="827"/>
      <c r="AB4" s="827"/>
      <c r="AC4" s="827"/>
      <c r="AD4" s="829"/>
      <c r="AE4" s="829"/>
      <c r="AF4" s="829"/>
    </row>
    <row r="5" spans="3:35" x14ac:dyDescent="0.2">
      <c r="C5" s="2296"/>
      <c r="D5" s="2296"/>
      <c r="E5" s="2296"/>
      <c r="F5" s="2296"/>
      <c r="G5" s="2296"/>
      <c r="H5" s="2296"/>
      <c r="I5" s="2296"/>
      <c r="J5" s="2296"/>
      <c r="K5" s="2296"/>
      <c r="L5" s="2296"/>
      <c r="M5" s="2296"/>
      <c r="N5" s="828"/>
      <c r="O5" s="827"/>
      <c r="P5" s="827"/>
      <c r="Q5" s="827"/>
      <c r="R5" s="827"/>
      <c r="S5" s="827"/>
      <c r="T5" s="827"/>
      <c r="U5" s="827"/>
      <c r="V5" s="827"/>
      <c r="W5" s="827"/>
      <c r="X5" s="827"/>
      <c r="Y5" s="827"/>
      <c r="Z5" s="827"/>
      <c r="AA5" s="827"/>
      <c r="AB5" s="827"/>
      <c r="AC5" s="827"/>
      <c r="AD5" s="829"/>
      <c r="AE5" s="829"/>
      <c r="AF5" s="829"/>
    </row>
    <row r="6" spans="3:35" x14ac:dyDescent="0.2">
      <c r="C6" s="2296"/>
      <c r="D6" s="2296"/>
      <c r="E6" s="2296"/>
      <c r="F6" s="2296"/>
      <c r="G6" s="2296"/>
      <c r="H6" s="2296"/>
      <c r="I6" s="2296"/>
      <c r="J6" s="2296"/>
      <c r="K6" s="2296"/>
      <c r="L6" s="2296"/>
      <c r="M6" s="2296"/>
      <c r="N6" s="828"/>
      <c r="O6" s="827"/>
      <c r="P6" s="827"/>
      <c r="Q6" s="827"/>
      <c r="R6" s="827"/>
      <c r="S6" s="827"/>
      <c r="T6" s="827"/>
      <c r="U6" s="827"/>
      <c r="V6" s="827"/>
      <c r="W6" s="827"/>
      <c r="X6" s="827"/>
      <c r="Y6" s="827"/>
      <c r="Z6" s="827"/>
      <c r="AA6" s="827"/>
      <c r="AB6" s="827"/>
      <c r="AC6" s="827"/>
      <c r="AD6" s="829"/>
      <c r="AE6" s="829"/>
      <c r="AF6" s="829"/>
    </row>
    <row r="7" spans="3:35" x14ac:dyDescent="0.2">
      <c r="C7" s="830">
        <v>43101</v>
      </c>
      <c r="D7" s="830"/>
      <c r="E7" s="830"/>
      <c r="F7" s="830"/>
      <c r="G7" s="830"/>
      <c r="H7" s="830"/>
      <c r="I7" s="830"/>
      <c r="J7" s="830"/>
      <c r="K7" s="830"/>
      <c r="L7" s="830"/>
      <c r="M7" s="830"/>
      <c r="N7" s="830"/>
      <c r="O7" s="830"/>
      <c r="P7" s="830"/>
      <c r="Q7" s="830"/>
      <c r="R7" s="827"/>
      <c r="S7" s="827"/>
      <c r="T7" s="827"/>
      <c r="U7" s="827"/>
      <c r="V7" s="827"/>
      <c r="W7" s="827"/>
      <c r="X7" s="827"/>
      <c r="Y7" s="827"/>
      <c r="Z7" s="827"/>
      <c r="AA7" s="827"/>
      <c r="AB7" s="827"/>
      <c r="AC7" s="827"/>
      <c r="AD7" s="829"/>
      <c r="AE7" s="829"/>
      <c r="AF7" s="829"/>
    </row>
    <row r="8" spans="3:35" ht="19.5" customHeight="1" x14ac:dyDescent="0.2">
      <c r="C8" s="1009"/>
      <c r="D8" s="1009"/>
      <c r="E8" s="1009"/>
      <c r="F8" s="1009"/>
      <c r="G8" s="1009"/>
      <c r="H8" s="1009"/>
      <c r="I8" s="1009"/>
      <c r="J8" s="1009"/>
      <c r="K8" s="1009"/>
      <c r="L8" s="1009"/>
      <c r="M8" s="828"/>
      <c r="N8" s="828"/>
      <c r="O8" s="827"/>
      <c r="P8" s="827"/>
      <c r="Q8" s="827"/>
      <c r="R8" s="827"/>
      <c r="S8" s="827"/>
      <c r="T8" s="827"/>
      <c r="U8" s="827"/>
      <c r="V8" s="827"/>
      <c r="W8" s="827"/>
      <c r="X8" s="827"/>
      <c r="Y8" s="827"/>
      <c r="Z8" s="827"/>
      <c r="AA8" s="827"/>
      <c r="AB8" s="827"/>
      <c r="AC8" s="827"/>
      <c r="AD8" s="829"/>
      <c r="AE8" s="829"/>
      <c r="AF8" s="829"/>
    </row>
    <row r="9" spans="3:35" ht="19.5" customHeight="1" x14ac:dyDescent="0.2">
      <c r="C9" s="1009"/>
      <c r="D9" s="1009"/>
      <c r="E9" s="1009"/>
      <c r="F9" s="1009"/>
      <c r="G9" s="1009"/>
      <c r="H9" s="1009"/>
      <c r="I9" s="1009"/>
      <c r="J9" s="1009"/>
      <c r="K9" s="1009"/>
      <c r="L9" s="1009"/>
      <c r="M9" s="828"/>
      <c r="N9" s="828"/>
      <c r="O9" s="827"/>
      <c r="P9" s="827"/>
      <c r="Q9" s="827"/>
      <c r="R9" s="827"/>
      <c r="S9" s="827"/>
      <c r="T9" s="827"/>
      <c r="U9" s="827"/>
      <c r="V9" s="827"/>
      <c r="W9" s="827"/>
      <c r="X9" s="827"/>
      <c r="Y9" s="827"/>
      <c r="Z9" s="827"/>
      <c r="AA9" s="827"/>
      <c r="AB9" s="827"/>
      <c r="AC9" s="827"/>
      <c r="AD9" s="829"/>
      <c r="AE9" s="829"/>
      <c r="AF9" s="829"/>
    </row>
    <row r="10" spans="3:35" ht="19.5" customHeight="1" x14ac:dyDescent="0.2">
      <c r="C10" s="1009"/>
      <c r="D10" s="1009"/>
      <c r="E10" s="1009"/>
      <c r="F10" s="1009"/>
      <c r="G10" s="1009"/>
      <c r="H10" s="1009"/>
      <c r="I10" s="1009"/>
      <c r="J10" s="1009"/>
      <c r="K10" s="1009"/>
      <c r="L10" s="1009"/>
      <c r="M10" s="828"/>
      <c r="N10" s="828"/>
      <c r="O10" s="827"/>
      <c r="P10" s="827"/>
      <c r="Q10" s="827"/>
      <c r="R10" s="827"/>
      <c r="S10" s="827"/>
      <c r="T10" s="827"/>
      <c r="U10" s="827"/>
      <c r="V10" s="827"/>
      <c r="W10" s="827"/>
      <c r="X10" s="827"/>
      <c r="Y10" s="827"/>
      <c r="Z10" s="827"/>
      <c r="AA10" s="827"/>
      <c r="AB10" s="827"/>
      <c r="AC10" s="827"/>
      <c r="AD10" s="829"/>
      <c r="AE10" s="829"/>
      <c r="AF10" s="829"/>
    </row>
    <row r="11" spans="3:35" ht="19.5" customHeight="1" x14ac:dyDescent="0.2">
      <c r="C11" s="1009"/>
      <c r="D11" s="1009"/>
      <c r="E11" s="1009"/>
      <c r="F11" s="1009"/>
      <c r="G11" s="1009"/>
      <c r="H11" s="1009"/>
      <c r="I11" s="1009"/>
      <c r="J11" s="1009"/>
      <c r="K11" s="1009"/>
      <c r="L11" s="1009"/>
      <c r="M11" s="828"/>
      <c r="N11" s="828"/>
      <c r="O11" s="827"/>
      <c r="P11" s="827"/>
      <c r="Q11" s="827"/>
      <c r="R11" s="827"/>
      <c r="S11" s="827"/>
      <c r="T11" s="827"/>
      <c r="U11" s="827"/>
      <c r="V11" s="827"/>
      <c r="W11" s="827"/>
      <c r="X11" s="827"/>
      <c r="Y11" s="827"/>
      <c r="Z11" s="827"/>
      <c r="AA11" s="827"/>
      <c r="AB11" s="827"/>
      <c r="AC11" s="827"/>
      <c r="AD11" s="829"/>
      <c r="AE11" s="829"/>
      <c r="AF11" s="829"/>
    </row>
    <row r="12" spans="3:35" ht="19.5" customHeight="1" x14ac:dyDescent="0.2">
      <c r="C12" s="1009"/>
      <c r="D12" s="1009"/>
      <c r="E12" s="1009"/>
      <c r="F12" s="1009"/>
      <c r="G12" s="1009"/>
      <c r="H12" s="1009"/>
      <c r="I12" s="1009"/>
      <c r="J12" s="1009"/>
      <c r="K12" s="1009"/>
      <c r="L12" s="1009"/>
      <c r="M12" s="828"/>
      <c r="N12" s="828"/>
      <c r="O12" s="827"/>
      <c r="P12" s="827"/>
      <c r="Q12" s="827"/>
      <c r="R12" s="827"/>
      <c r="S12" s="827"/>
      <c r="T12" s="827"/>
      <c r="U12" s="827"/>
      <c r="V12" s="827"/>
      <c r="W12" s="827"/>
      <c r="X12" s="827"/>
      <c r="Y12" s="827"/>
      <c r="Z12" s="827"/>
      <c r="AA12" s="827"/>
      <c r="AB12" s="827"/>
      <c r="AC12" s="827"/>
      <c r="AD12" s="829"/>
      <c r="AE12" s="829"/>
      <c r="AF12" s="829"/>
    </row>
    <row r="13" spans="3:35" ht="19.5" customHeight="1" thickBot="1" x14ac:dyDescent="0.25">
      <c r="C13" s="1009"/>
      <c r="D13" s="1009"/>
      <c r="E13" s="1009"/>
      <c r="F13" s="1009"/>
      <c r="G13" s="1009"/>
      <c r="H13" s="1009"/>
      <c r="I13" s="1009"/>
      <c r="J13" s="1009"/>
      <c r="K13" s="1009"/>
      <c r="L13" s="1009"/>
      <c r="M13" s="828"/>
      <c r="N13" s="828"/>
      <c r="O13" s="827"/>
      <c r="P13" s="827"/>
      <c r="Q13" s="827"/>
      <c r="R13" s="827"/>
      <c r="S13" s="827"/>
      <c r="T13" s="827"/>
      <c r="U13" s="827"/>
      <c r="V13" s="827"/>
      <c r="W13" s="827"/>
      <c r="X13" s="827"/>
      <c r="Y13" s="827"/>
      <c r="Z13" s="827"/>
      <c r="AA13" s="827"/>
      <c r="AB13" s="827"/>
      <c r="AC13" s="827"/>
      <c r="AD13" s="829"/>
      <c r="AE13" s="829"/>
      <c r="AF13" s="829"/>
    </row>
    <row r="14" spans="3:35" ht="26.25" thickBot="1" x14ac:dyDescent="0.25">
      <c r="C14" s="2333" t="s">
        <v>6</v>
      </c>
      <c r="D14" s="2334"/>
      <c r="E14" s="2335"/>
      <c r="F14" s="832" t="s">
        <v>227</v>
      </c>
      <c r="G14" s="832" t="s">
        <v>230</v>
      </c>
      <c r="H14" s="832" t="s">
        <v>228</v>
      </c>
      <c r="I14" s="832" t="s">
        <v>229</v>
      </c>
      <c r="J14" s="833" t="s">
        <v>126</v>
      </c>
      <c r="K14" s="833" t="s">
        <v>133</v>
      </c>
      <c r="L14" s="832" t="s">
        <v>127</v>
      </c>
      <c r="M14" s="834" t="s">
        <v>128</v>
      </c>
      <c r="N14" s="828"/>
      <c r="O14" s="827"/>
      <c r="P14" s="827"/>
      <c r="Q14" s="827"/>
      <c r="R14" s="827"/>
      <c r="S14" s="827"/>
      <c r="T14" s="827"/>
      <c r="U14" s="827"/>
      <c r="V14" s="827"/>
      <c r="W14" s="827"/>
      <c r="X14" s="827"/>
      <c r="Y14" s="827"/>
      <c r="Z14" s="827"/>
      <c r="AA14" s="827"/>
      <c r="AB14" s="827"/>
      <c r="AC14" s="827"/>
      <c r="AD14" s="829"/>
      <c r="AE14" s="829"/>
      <c r="AF14" s="829"/>
    </row>
    <row r="15" spans="3:35" ht="13.5" thickBot="1" x14ac:dyDescent="0.25">
      <c r="C15" s="2329" t="s">
        <v>131</v>
      </c>
      <c r="D15" s="2330"/>
      <c r="E15" s="2331"/>
      <c r="F15" s="835"/>
      <c r="G15" s="836" t="s">
        <v>165</v>
      </c>
      <c r="H15" s="835"/>
      <c r="I15" s="837">
        <f>IF(D105=0,E105,D105)</f>
        <v>4659430.72</v>
      </c>
      <c r="J15" s="835">
        <f>I15*0.16</f>
        <v>745508.91519999993</v>
      </c>
      <c r="K15" s="835">
        <f>I15+J15</f>
        <v>5404939.6351999994</v>
      </c>
      <c r="L15" s="838" t="s">
        <v>291</v>
      </c>
      <c r="M15" s="839">
        <v>18.851600000000001</v>
      </c>
      <c r="O15" s="827"/>
      <c r="P15" s="827"/>
      <c r="Q15" s="827"/>
      <c r="R15" s="827"/>
      <c r="S15" s="827"/>
      <c r="T15" s="827"/>
      <c r="U15" s="827"/>
      <c r="V15" s="827"/>
      <c r="W15" s="827"/>
      <c r="X15" s="827"/>
      <c r="Y15" s="827"/>
      <c r="Z15" s="827"/>
      <c r="AA15" s="827"/>
      <c r="AB15" s="827"/>
      <c r="AC15" s="827"/>
      <c r="AD15" s="829"/>
      <c r="AE15" s="829"/>
      <c r="AF15" s="829"/>
    </row>
    <row r="16" spans="3:35" ht="13.5" thickBot="1" x14ac:dyDescent="0.25">
      <c r="C16" s="2329" t="s">
        <v>275</v>
      </c>
      <c r="D16" s="2330"/>
      <c r="E16" s="2331"/>
      <c r="F16" s="840"/>
      <c r="G16" s="840"/>
      <c r="H16" s="840"/>
      <c r="I16" s="837">
        <f>IF(D106=0,E106,D106)</f>
        <v>447053.49</v>
      </c>
      <c r="J16" s="841">
        <f>I16*0.16</f>
        <v>71528.558399999994</v>
      </c>
      <c r="K16" s="841">
        <f>I16+J16</f>
        <v>518582.04839999997</v>
      </c>
      <c r="L16" s="838" t="s">
        <v>292</v>
      </c>
      <c r="M16" s="842">
        <v>18.851600000000001</v>
      </c>
      <c r="O16" s="827"/>
      <c r="P16" s="827"/>
      <c r="Q16" s="827"/>
      <c r="R16" s="827"/>
      <c r="S16" s="827"/>
      <c r="T16" s="827"/>
      <c r="U16" s="827"/>
      <c r="V16" s="827"/>
      <c r="W16" s="827"/>
      <c r="X16" s="827"/>
      <c r="Y16" s="827"/>
      <c r="Z16" s="827"/>
      <c r="AA16" s="827"/>
      <c r="AB16" s="827"/>
      <c r="AC16" s="860"/>
      <c r="AG16" s="843"/>
      <c r="AH16" s="843"/>
      <c r="AI16" s="843"/>
    </row>
    <row r="17" spans="3:33" ht="26.25" thickBot="1" x14ac:dyDescent="0.25">
      <c r="C17" s="2326" t="s">
        <v>132</v>
      </c>
      <c r="D17" s="2327"/>
      <c r="E17" s="2328"/>
      <c r="F17" s="844"/>
      <c r="G17" s="845" t="s">
        <v>165</v>
      </c>
      <c r="H17" s="844"/>
      <c r="I17" s="846">
        <f>IF(D107=0,E107,D107)</f>
        <v>8307.2999999999993</v>
      </c>
      <c r="J17" s="844">
        <f>I17*0.16</f>
        <v>1329.1679999999999</v>
      </c>
      <c r="K17" s="844">
        <f>I17+J17</f>
        <v>9636.4679999999989</v>
      </c>
      <c r="L17" s="847" t="s">
        <v>347</v>
      </c>
      <c r="M17" s="848">
        <v>18.851600000000001</v>
      </c>
      <c r="O17" s="827"/>
      <c r="P17" s="827"/>
      <c r="Q17" s="827"/>
      <c r="R17" s="827"/>
      <c r="S17" s="827"/>
      <c r="T17" s="827"/>
      <c r="U17" s="827"/>
      <c r="V17" s="827"/>
      <c r="W17" s="827"/>
      <c r="X17" s="827"/>
      <c r="Y17" s="827"/>
      <c r="Z17" s="827"/>
      <c r="AA17" s="827"/>
      <c r="AB17" s="827"/>
      <c r="AC17" s="827"/>
      <c r="AD17" s="829"/>
      <c r="AE17" s="829"/>
      <c r="AF17" s="829"/>
    </row>
    <row r="18" spans="3:33" x14ac:dyDescent="0.2">
      <c r="C18" s="1009"/>
      <c r="D18" s="1009"/>
      <c r="E18" s="1009"/>
      <c r="F18" s="1009"/>
      <c r="G18" s="1009"/>
      <c r="H18" s="827"/>
      <c r="I18" s="827"/>
      <c r="J18" s="827"/>
      <c r="K18" s="827"/>
      <c r="L18" s="827"/>
      <c r="M18" s="827"/>
      <c r="O18" s="827"/>
      <c r="P18" s="827"/>
      <c r="Q18" s="827"/>
      <c r="R18" s="827"/>
      <c r="S18" s="827"/>
      <c r="T18" s="827"/>
      <c r="U18" s="827"/>
      <c r="V18" s="827"/>
      <c r="W18" s="827"/>
      <c r="X18" s="827"/>
      <c r="Y18" s="827"/>
      <c r="Z18" s="860"/>
      <c r="AA18" s="860"/>
      <c r="AB18" s="860"/>
      <c r="AC18" s="860"/>
    </row>
    <row r="19" spans="3:33" x14ac:dyDescent="0.2">
      <c r="C19" s="1009"/>
      <c r="D19" s="1009"/>
      <c r="E19" s="1009"/>
      <c r="F19" s="1009"/>
      <c r="G19" s="1009"/>
      <c r="H19" s="827"/>
      <c r="I19" s="827"/>
      <c r="J19" s="827"/>
      <c r="K19" s="827"/>
      <c r="L19" s="827"/>
      <c r="O19" s="827"/>
      <c r="P19" s="827"/>
      <c r="Q19" s="827"/>
      <c r="R19" s="827"/>
      <c r="S19" s="827"/>
      <c r="T19" s="827"/>
      <c r="U19" s="827"/>
      <c r="V19" s="827"/>
      <c r="W19" s="827"/>
      <c r="X19" s="827"/>
      <c r="Y19" s="827"/>
      <c r="Z19" s="860"/>
      <c r="AA19" s="860"/>
      <c r="AB19" s="860"/>
      <c r="AC19" s="860"/>
    </row>
    <row r="20" spans="3:33" ht="13.5" thickBot="1" x14ac:dyDescent="0.25">
      <c r="C20" s="849"/>
      <c r="D20" s="1009"/>
      <c r="E20" s="1009"/>
      <c r="F20" s="1009"/>
      <c r="G20" s="1009"/>
      <c r="H20" s="1009"/>
      <c r="I20" s="1009"/>
      <c r="J20" s="1009"/>
      <c r="K20" s="1009"/>
      <c r="L20" s="1009"/>
      <c r="M20" s="1009"/>
      <c r="N20" s="1009"/>
      <c r="O20" s="1009"/>
      <c r="P20" s="1009"/>
      <c r="Q20" s="1009"/>
      <c r="R20" s="827"/>
      <c r="S20" s="827"/>
      <c r="T20" s="827"/>
      <c r="U20" s="827"/>
      <c r="V20" s="827"/>
      <c r="W20" s="827"/>
      <c r="X20" s="827"/>
      <c r="Y20" s="827"/>
      <c r="Z20" s="827"/>
      <c r="AA20" s="860"/>
      <c r="AB20" s="860"/>
      <c r="AC20" s="860"/>
      <c r="AG20" s="843"/>
    </row>
    <row r="21" spans="3:33" ht="51.75" thickBot="1" x14ac:dyDescent="0.25">
      <c r="C21" s="850" t="s">
        <v>134</v>
      </c>
      <c r="D21" s="832" t="s">
        <v>135</v>
      </c>
      <c r="E21" s="832" t="s">
        <v>285</v>
      </c>
      <c r="F21" s="832" t="s">
        <v>278</v>
      </c>
      <c r="G21" s="832" t="s">
        <v>153</v>
      </c>
      <c r="H21" s="832" t="s">
        <v>279</v>
      </c>
      <c r="I21" s="832" t="s">
        <v>281</v>
      </c>
      <c r="J21" s="832" t="s">
        <v>280</v>
      </c>
      <c r="K21" s="832" t="s">
        <v>245</v>
      </c>
      <c r="L21" s="832" t="s">
        <v>246</v>
      </c>
      <c r="M21" s="832"/>
      <c r="N21" s="834" t="s">
        <v>158</v>
      </c>
      <c r="O21" s="1009"/>
      <c r="P21" s="1009"/>
      <c r="Q21" s="1009"/>
      <c r="R21" s="1009"/>
      <c r="S21" s="1009"/>
      <c r="T21" s="1009"/>
      <c r="U21" s="1009"/>
      <c r="V21" s="827"/>
      <c r="W21" s="827"/>
      <c r="X21" s="827"/>
      <c r="Y21" s="827"/>
      <c r="Z21" s="827"/>
      <c r="AA21" s="860"/>
      <c r="AB21" s="860"/>
      <c r="AC21" s="860"/>
      <c r="AG21" s="843"/>
    </row>
    <row r="22" spans="3:33" ht="13.5" thickBot="1" x14ac:dyDescent="0.25">
      <c r="C22" s="851">
        <v>850</v>
      </c>
      <c r="D22" s="1010">
        <v>850</v>
      </c>
      <c r="E22" s="852">
        <v>31482640</v>
      </c>
      <c r="F22" s="852">
        <v>31482640</v>
      </c>
      <c r="G22" s="852">
        <v>31</v>
      </c>
      <c r="H22" s="853">
        <f>VLOOKUP(C69,Tarifas!D4:H303,3)</f>
        <v>0.14799999999999999</v>
      </c>
      <c r="I22" s="853">
        <v>1.4200000000000001E-2</v>
      </c>
      <c r="J22" s="1697">
        <f>VLOOKUP(C69,Tarifas!D4:H303,5)</f>
        <v>1E-3</v>
      </c>
      <c r="K22" s="1697">
        <v>204.7</v>
      </c>
      <c r="L22" s="1697">
        <v>201.4</v>
      </c>
      <c r="M22" s="853"/>
      <c r="N22" s="854">
        <f>F102</f>
        <v>8173058.4342236025</v>
      </c>
      <c r="O22" s="855"/>
      <c r="P22" s="855"/>
      <c r="Q22" s="1009"/>
      <c r="R22" s="1009"/>
      <c r="S22" s="1009"/>
      <c r="T22" s="1009"/>
      <c r="U22" s="1009"/>
      <c r="V22" s="827"/>
      <c r="W22" s="827"/>
      <c r="X22" s="827"/>
      <c r="Y22" s="827"/>
      <c r="Z22" s="827"/>
      <c r="AA22" s="860"/>
      <c r="AB22" s="860"/>
      <c r="AC22" s="860"/>
      <c r="AG22" s="843"/>
    </row>
    <row r="23" spans="3:33" x14ac:dyDescent="0.2">
      <c r="C23" s="1009"/>
      <c r="D23" s="1009"/>
      <c r="E23" s="1009"/>
      <c r="F23" s="1009"/>
      <c r="G23" s="1009"/>
      <c r="H23" s="1009"/>
      <c r="I23" s="1009"/>
      <c r="J23" s="1009"/>
      <c r="K23" s="856"/>
      <c r="L23" s="1009"/>
      <c r="M23" s="1009"/>
      <c r="N23" s="1009"/>
      <c r="O23" s="1009"/>
      <c r="P23" s="1009"/>
      <c r="Q23" s="1009"/>
      <c r="R23" s="1009"/>
      <c r="S23" s="1009"/>
      <c r="T23" s="827"/>
      <c r="U23" s="827"/>
      <c r="V23" s="827"/>
      <c r="W23" s="827"/>
      <c r="X23" s="827"/>
      <c r="Y23" s="827"/>
      <c r="Z23" s="827"/>
      <c r="AA23" s="860"/>
      <c r="AB23" s="860"/>
      <c r="AC23" s="860"/>
      <c r="AG23" s="843"/>
    </row>
    <row r="24" spans="3:33" x14ac:dyDescent="0.2">
      <c r="C24" s="1009"/>
      <c r="D24" s="1009"/>
      <c r="E24" s="1009"/>
      <c r="F24" s="1009"/>
      <c r="G24" s="1009"/>
      <c r="H24" s="1009"/>
      <c r="I24" s="1009"/>
      <c r="J24" s="1009"/>
      <c r="K24" s="1009"/>
      <c r="L24" s="1009"/>
      <c r="M24" s="1009"/>
      <c r="N24" s="1009"/>
      <c r="O24" s="1009"/>
      <c r="P24" s="1009"/>
      <c r="Q24" s="827"/>
      <c r="R24" s="827"/>
      <c r="S24" s="827"/>
      <c r="T24" s="827"/>
      <c r="U24" s="827"/>
      <c r="V24" s="827"/>
      <c r="W24" s="827"/>
      <c r="X24" s="827"/>
      <c r="Y24" s="827"/>
      <c r="Z24" s="827"/>
      <c r="AA24" s="860"/>
      <c r="AB24" s="860"/>
      <c r="AC24" s="860"/>
      <c r="AG24" s="843"/>
    </row>
    <row r="25" spans="3:33" x14ac:dyDescent="0.2">
      <c r="C25" s="1009"/>
      <c r="D25" s="1009"/>
      <c r="E25" s="1009"/>
      <c r="F25" s="1009"/>
      <c r="G25" s="1009"/>
      <c r="H25" s="1009"/>
      <c r="I25" s="1009"/>
      <c r="J25" s="1009"/>
      <c r="K25" s="1009"/>
      <c r="L25" s="1009"/>
      <c r="M25" s="1009"/>
      <c r="N25" s="1009"/>
      <c r="O25" s="827"/>
      <c r="P25" s="827"/>
      <c r="Q25" s="857" t="s">
        <v>235</v>
      </c>
      <c r="R25" s="827"/>
      <c r="S25" s="827"/>
      <c r="T25" s="827"/>
      <c r="U25" s="827"/>
      <c r="V25" s="827"/>
      <c r="W25" s="827"/>
      <c r="X25" s="843"/>
      <c r="Y25" s="843"/>
      <c r="AA25" s="860"/>
      <c r="AB25" s="860"/>
      <c r="AC25" s="860"/>
      <c r="AE25" s="829"/>
      <c r="AF25" s="829"/>
    </row>
    <row r="26" spans="3:33" ht="13.5" thickBot="1" x14ac:dyDescent="0.25">
      <c r="C26" s="858" t="s">
        <v>86</v>
      </c>
      <c r="D26" s="858"/>
      <c r="E26" s="858"/>
      <c r="F26" s="858"/>
      <c r="G26" s="858"/>
      <c r="H26" s="859"/>
      <c r="I26" s="858"/>
      <c r="J26" s="858"/>
      <c r="K26" s="858"/>
      <c r="L26" s="859"/>
      <c r="M26" s="860"/>
      <c r="N26" s="861"/>
      <c r="Q26" s="827"/>
      <c r="R26" s="827"/>
      <c r="S26" s="827"/>
      <c r="T26" s="827"/>
      <c r="U26" s="827"/>
      <c r="V26" s="827"/>
      <c r="W26" s="827"/>
      <c r="X26" s="843"/>
      <c r="Y26" s="843"/>
      <c r="Z26" s="862"/>
      <c r="AA26" s="860"/>
      <c r="AB26" s="860"/>
      <c r="AC26" s="860"/>
      <c r="AE26" s="829"/>
      <c r="AF26" s="829"/>
    </row>
    <row r="27" spans="3:33" ht="35.1" customHeight="1" thickBot="1" x14ac:dyDescent="0.25">
      <c r="C27" s="850" t="s">
        <v>87</v>
      </c>
      <c r="D27" s="832" t="s">
        <v>88</v>
      </c>
      <c r="E27" s="832" t="s">
        <v>237</v>
      </c>
      <c r="F27" s="833" t="s">
        <v>160</v>
      </c>
      <c r="G27" s="832" t="s">
        <v>236</v>
      </c>
      <c r="H27" s="833" t="s">
        <v>232</v>
      </c>
      <c r="I27" s="833" t="s">
        <v>233</v>
      </c>
      <c r="J27" s="833" t="s">
        <v>20</v>
      </c>
      <c r="K27" s="832" t="s">
        <v>91</v>
      </c>
      <c r="L27" s="832" t="s">
        <v>93</v>
      </c>
      <c r="M27" s="832" t="s">
        <v>94</v>
      </c>
      <c r="N27" s="863" t="s">
        <v>95</v>
      </c>
      <c r="O27" s="827"/>
      <c r="P27" s="850" t="s">
        <v>237</v>
      </c>
      <c r="Q27" s="833" t="s">
        <v>160</v>
      </c>
      <c r="R27" s="832" t="s">
        <v>236</v>
      </c>
      <c r="S27" s="833" t="s">
        <v>232</v>
      </c>
      <c r="T27" s="833" t="s">
        <v>233</v>
      </c>
      <c r="U27" s="833" t="s">
        <v>20</v>
      </c>
      <c r="V27" s="832" t="s">
        <v>91</v>
      </c>
      <c r="W27" s="832" t="s">
        <v>93</v>
      </c>
      <c r="X27" s="832" t="s">
        <v>94</v>
      </c>
      <c r="Y27" s="834" t="s">
        <v>95</v>
      </c>
      <c r="Z27" s="861"/>
      <c r="AA27" s="860"/>
      <c r="AB27" s="860"/>
      <c r="AC27" s="860"/>
      <c r="AE27" s="829"/>
      <c r="AF27" s="829"/>
    </row>
    <row r="28" spans="3:33" ht="35.1" customHeight="1" thickBot="1" x14ac:dyDescent="0.25">
      <c r="C28" s="864"/>
      <c r="D28" s="836"/>
      <c r="E28" s="836"/>
      <c r="F28" s="836"/>
      <c r="G28" s="836"/>
      <c r="H28" s="836"/>
      <c r="I28" s="836"/>
      <c r="J28" s="972" t="s">
        <v>97</v>
      </c>
      <c r="K28" s="841">
        <v>0</v>
      </c>
      <c r="L28" s="866">
        <f>K28/$K$33</f>
        <v>0</v>
      </c>
      <c r="M28" s="835">
        <f>ROUND(L28*H$15,2)</f>
        <v>0</v>
      </c>
      <c r="N28" s="867">
        <f>M28*$M$15</f>
        <v>0</v>
      </c>
      <c r="O28" s="827"/>
      <c r="P28" s="864"/>
      <c r="Q28" s="836"/>
      <c r="R28" s="836"/>
      <c r="S28" s="836">
        <v>2233</v>
      </c>
      <c r="T28" s="836">
        <v>453882</v>
      </c>
      <c r="U28" s="865" t="s">
        <v>97</v>
      </c>
      <c r="V28" s="841">
        <v>80000</v>
      </c>
      <c r="W28" s="866">
        <f>IFERROR(V28/$V$33,0)</f>
        <v>9.4117647058823528E-2</v>
      </c>
      <c r="X28" s="1677">
        <f>ROUND(W28*I$15,2)</f>
        <v>438534.66</v>
      </c>
      <c r="Y28" s="1678">
        <f>X28*M$15</f>
        <v>8267079.996456</v>
      </c>
      <c r="Z28" s="860"/>
      <c r="AA28" s="1067">
        <f>Y28+Y29+Y44+Y30</f>
        <v>30705189.732847996</v>
      </c>
      <c r="AB28" s="860"/>
      <c r="AC28" s="860"/>
      <c r="AE28" s="829"/>
      <c r="AF28" s="829"/>
    </row>
    <row r="29" spans="3:33" ht="35.1" customHeight="1" thickBot="1" x14ac:dyDescent="0.25">
      <c r="C29" s="864"/>
      <c r="D29" s="836"/>
      <c r="E29" s="836"/>
      <c r="F29" s="836"/>
      <c r="G29" s="836"/>
      <c r="H29" s="836"/>
      <c r="I29" s="836"/>
      <c r="J29" s="972" t="s">
        <v>100</v>
      </c>
      <c r="K29" s="841">
        <v>0</v>
      </c>
      <c r="L29" s="866">
        <f t="shared" ref="L29:L32" si="0">K29/$K$33</f>
        <v>0</v>
      </c>
      <c r="M29" s="835">
        <f>ROUND(L29*H$15,2)</f>
        <v>0</v>
      </c>
      <c r="N29" s="867">
        <f>M29*$M$15</f>
        <v>0</v>
      </c>
      <c r="O29" s="827"/>
      <c r="P29" s="864"/>
      <c r="Q29" s="836"/>
      <c r="R29" s="836"/>
      <c r="S29" s="836">
        <v>2233</v>
      </c>
      <c r="T29" s="836">
        <v>453882</v>
      </c>
      <c r="U29" s="865" t="s">
        <v>100</v>
      </c>
      <c r="V29" s="841">
        <v>40000</v>
      </c>
      <c r="W29" s="866">
        <f>IFERROR(V29/$V$33,0)</f>
        <v>4.7058823529411764E-2</v>
      </c>
      <c r="X29" s="1677">
        <f>ROUND(W29*I$15,2)</f>
        <v>219267.33</v>
      </c>
      <c r="Y29" s="1678">
        <f>X29*M$15</f>
        <v>4133539.998228</v>
      </c>
      <c r="Z29" s="860"/>
      <c r="AA29" s="860"/>
      <c r="AB29" s="860"/>
      <c r="AC29" s="860"/>
      <c r="AE29" s="829"/>
      <c r="AF29" s="829"/>
    </row>
    <row r="30" spans="3:33" ht="35.1" customHeight="1" thickBot="1" x14ac:dyDescent="0.25">
      <c r="C30" s="864"/>
      <c r="D30" s="836"/>
      <c r="E30" s="836"/>
      <c r="F30" s="836"/>
      <c r="G30" s="836"/>
      <c r="H30" s="836"/>
      <c r="I30" s="836"/>
      <c r="J30" s="972" t="s">
        <v>288</v>
      </c>
      <c r="K30" s="841">
        <v>0</v>
      </c>
      <c r="L30" s="866">
        <f t="shared" si="0"/>
        <v>0</v>
      </c>
      <c r="M30" s="835">
        <f>ROUND(L30*H$15,2)</f>
        <v>0</v>
      </c>
      <c r="N30" s="867">
        <f>M30*$M$15</f>
        <v>0</v>
      </c>
      <c r="O30" s="827"/>
      <c r="P30" s="864"/>
      <c r="Q30" s="836"/>
      <c r="R30" s="836"/>
      <c r="S30" s="836"/>
      <c r="T30" s="836"/>
      <c r="U30" s="865" t="s">
        <v>268</v>
      </c>
      <c r="V30" s="841">
        <f>P102/G22</f>
        <v>95578.088450696858</v>
      </c>
      <c r="W30" s="866">
        <f>IFERROR(V30/$V$33,0)</f>
        <v>0.11244480994199631</v>
      </c>
      <c r="X30" s="1677">
        <f>ROUND(W30*I$15,2)</f>
        <v>523928.8</v>
      </c>
      <c r="Y30" s="1678">
        <f>X30*M$15</f>
        <v>9876896.1660799999</v>
      </c>
      <c r="Z30" s="860"/>
      <c r="AA30" s="860"/>
      <c r="AB30" s="860"/>
      <c r="AC30" s="860"/>
      <c r="AE30" s="829"/>
      <c r="AF30" s="829"/>
    </row>
    <row r="31" spans="3:33" ht="35.1" customHeight="1" thickBot="1" x14ac:dyDescent="0.25">
      <c r="C31" s="864">
        <v>800832451</v>
      </c>
      <c r="D31" s="869">
        <v>259</v>
      </c>
      <c r="E31" s="869" t="s">
        <v>239</v>
      </c>
      <c r="F31" s="836" t="s">
        <v>238</v>
      </c>
      <c r="G31" s="836">
        <v>100887241</v>
      </c>
      <c r="H31" s="836">
        <v>7249</v>
      </c>
      <c r="I31" s="836">
        <v>468079</v>
      </c>
      <c r="J31" s="972" t="s">
        <v>23</v>
      </c>
      <c r="K31" s="841">
        <v>80000</v>
      </c>
      <c r="L31" s="866">
        <f t="shared" si="0"/>
        <v>9.4117647058823528E-2</v>
      </c>
      <c r="M31" s="835">
        <f>ROUND(L31*I$15,2)</f>
        <v>438534.66</v>
      </c>
      <c r="N31" s="867">
        <f>M31*M15</f>
        <v>8267079.996456</v>
      </c>
      <c r="O31" s="827"/>
      <c r="P31" s="870" t="s">
        <v>239</v>
      </c>
      <c r="Q31" s="836" t="s">
        <v>238</v>
      </c>
      <c r="R31" s="836" t="s">
        <v>222</v>
      </c>
      <c r="S31" s="836">
        <v>7249</v>
      </c>
      <c r="T31" s="836">
        <v>468079</v>
      </c>
      <c r="U31" s="865" t="s">
        <v>23</v>
      </c>
      <c r="V31" s="841">
        <f>W31*K33</f>
        <v>80000</v>
      </c>
      <c r="W31" s="866">
        <f>L31</f>
        <v>9.4117647058823528E-2</v>
      </c>
      <c r="X31" s="1677">
        <f>ROUND(W31*I$15,2)</f>
        <v>438534.66</v>
      </c>
      <c r="Y31" s="1678">
        <f>X31*M$15</f>
        <v>8267079.996456</v>
      </c>
      <c r="Z31" s="860"/>
      <c r="AA31" s="860"/>
      <c r="AB31" s="860"/>
      <c r="AC31" s="860"/>
      <c r="AE31" s="829"/>
      <c r="AF31" s="829"/>
    </row>
    <row r="32" spans="3:33" ht="35.1" customHeight="1" thickBot="1" x14ac:dyDescent="0.25">
      <c r="C32" s="851">
        <v>800832451</v>
      </c>
      <c r="D32" s="853">
        <v>12</v>
      </c>
      <c r="E32" s="853" t="s">
        <v>242</v>
      </c>
      <c r="F32" s="845" t="s">
        <v>221</v>
      </c>
      <c r="G32" s="845" t="s">
        <v>222</v>
      </c>
      <c r="H32" s="845">
        <v>2233</v>
      </c>
      <c r="I32" s="845">
        <v>453851</v>
      </c>
      <c r="J32" s="973" t="s">
        <v>159</v>
      </c>
      <c r="K32" s="852">
        <f>850000-K28-K29-K30-K31</f>
        <v>770000</v>
      </c>
      <c r="L32" s="872">
        <f t="shared" si="0"/>
        <v>0.90588235294117647</v>
      </c>
      <c r="M32" s="844">
        <f>ROUND(L32*I$15,2)</f>
        <v>4220896.0599999996</v>
      </c>
      <c r="N32" s="873">
        <f>M32*M15</f>
        <v>79570644.164695993</v>
      </c>
      <c r="O32" s="827"/>
      <c r="P32" s="874"/>
      <c r="Q32" s="875" t="s">
        <v>221</v>
      </c>
      <c r="R32" s="875" t="s">
        <v>222</v>
      </c>
      <c r="S32" s="875">
        <v>2233</v>
      </c>
      <c r="T32" s="875">
        <v>453851</v>
      </c>
      <c r="U32" s="876" t="s">
        <v>159</v>
      </c>
      <c r="V32" s="877">
        <f>850000-V28-V29-V30-V31</f>
        <v>554421.9115493031</v>
      </c>
      <c r="W32" s="878">
        <f>IFERROR(V32/$V$33,0)</f>
        <v>0.65226107241094478</v>
      </c>
      <c r="X32" s="1695">
        <f>ROUND(W32*I$15,2)</f>
        <v>3039165.28</v>
      </c>
      <c r="Y32" s="1696">
        <f>X32*M$15</f>
        <v>57293128.192447998</v>
      </c>
      <c r="Z32" s="860"/>
      <c r="AA32" s="860"/>
      <c r="AB32" s="860"/>
      <c r="AC32" s="860"/>
      <c r="AE32" s="829"/>
      <c r="AF32" s="829"/>
    </row>
    <row r="33" spans="3:32" ht="35.1" customHeight="1" x14ac:dyDescent="0.2">
      <c r="C33" s="881">
        <v>3000623</v>
      </c>
      <c r="D33" s="882" t="s">
        <v>102</v>
      </c>
      <c r="E33" s="882"/>
      <c r="F33" s="882"/>
      <c r="G33" s="882"/>
      <c r="H33" s="882"/>
      <c r="I33" s="883"/>
      <c r="J33" s="883"/>
      <c r="K33" s="884">
        <f>SUM(K28:K32)</f>
        <v>850000</v>
      </c>
      <c r="L33" s="885">
        <f>SUM(L28:L32)</f>
        <v>1</v>
      </c>
      <c r="M33" s="886">
        <f>SUM(M28:M32)</f>
        <v>4659430.72</v>
      </c>
      <c r="N33" s="886">
        <f>SUM(N28:N32)</f>
        <v>87837724.16115199</v>
      </c>
      <c r="O33" s="827"/>
      <c r="P33" s="882"/>
      <c r="Q33" s="882"/>
      <c r="R33" s="882"/>
      <c r="S33" s="882"/>
      <c r="T33" s="883"/>
      <c r="U33" s="883"/>
      <c r="V33" s="884">
        <f>SUM(V28:V32)</f>
        <v>850000</v>
      </c>
      <c r="W33" s="885">
        <f>SUM(W28:W32)</f>
        <v>0.99999999999999989</v>
      </c>
      <c r="X33" s="1662">
        <f>SUM(X28:X32)</f>
        <v>4659430.7299999995</v>
      </c>
      <c r="Y33" s="1662">
        <f>SUM(Y28:Y32)</f>
        <v>87837724.349667996</v>
      </c>
      <c r="Z33" s="827"/>
      <c r="AA33" s="860"/>
      <c r="AB33" s="860"/>
      <c r="AC33" s="860"/>
      <c r="AE33" s="829"/>
      <c r="AF33" s="829"/>
    </row>
    <row r="34" spans="3:32" ht="20.100000000000001" customHeight="1" x14ac:dyDescent="0.2">
      <c r="C34" s="860"/>
      <c r="D34" s="860"/>
      <c r="E34" s="860"/>
      <c r="F34" s="860"/>
      <c r="G34" s="888"/>
      <c r="H34" s="888"/>
      <c r="I34" s="860"/>
      <c r="J34" s="860"/>
      <c r="K34" s="860"/>
      <c r="L34" s="860"/>
      <c r="M34" s="889"/>
      <c r="O34" s="827"/>
      <c r="P34" s="860"/>
      <c r="Q34" s="860"/>
      <c r="R34" s="888"/>
      <c r="S34" s="888"/>
      <c r="T34" s="860"/>
      <c r="U34" s="860"/>
      <c r="V34" s="860"/>
      <c r="W34" s="860"/>
      <c r="X34" s="1681"/>
      <c r="Y34" s="1682">
        <v>0</v>
      </c>
      <c r="Z34" s="827"/>
      <c r="AA34" s="860"/>
      <c r="AB34" s="860"/>
      <c r="AC34" s="860"/>
      <c r="AE34" s="829"/>
      <c r="AF34" s="829"/>
    </row>
    <row r="35" spans="3:32" ht="20.100000000000001" customHeight="1" x14ac:dyDescent="0.2">
      <c r="C35" s="860"/>
      <c r="D35" s="860"/>
      <c r="E35" s="860"/>
      <c r="F35" s="860"/>
      <c r="G35" s="888"/>
      <c r="H35" s="888"/>
      <c r="I35" s="860"/>
      <c r="J35" s="860"/>
      <c r="K35" s="860"/>
      <c r="L35" s="860"/>
      <c r="M35" s="889"/>
      <c r="O35" s="827"/>
      <c r="P35" s="860"/>
      <c r="Q35" s="860"/>
      <c r="R35" s="888"/>
      <c r="S35" s="888"/>
      <c r="T35" s="860"/>
      <c r="U35" s="860"/>
      <c r="V35" s="860"/>
      <c r="W35" s="892">
        <f>1-W33</f>
        <v>0</v>
      </c>
      <c r="X35" s="1681"/>
      <c r="Y35" s="1682"/>
      <c r="Z35" s="827"/>
      <c r="AA35" s="860"/>
      <c r="AB35" s="860"/>
      <c r="AC35" s="860"/>
      <c r="AE35" s="829"/>
      <c r="AF35" s="829"/>
    </row>
    <row r="36" spans="3:32" x14ac:dyDescent="0.2">
      <c r="O36" s="827"/>
      <c r="X36" s="968"/>
      <c r="Y36" s="968"/>
      <c r="AA36" s="860"/>
      <c r="AB36" s="860"/>
      <c r="AC36" s="860"/>
    </row>
    <row r="37" spans="3:32" ht="20.100000000000001" customHeight="1" thickBot="1" x14ac:dyDescent="0.25">
      <c r="C37" s="858" t="s">
        <v>274</v>
      </c>
      <c r="D37" s="858"/>
      <c r="E37" s="858"/>
      <c r="F37" s="858"/>
      <c r="G37" s="858"/>
      <c r="H37" s="859"/>
      <c r="I37" s="858"/>
      <c r="J37" s="858"/>
      <c r="K37" s="858"/>
      <c r="L37" s="859"/>
      <c r="M37" s="860"/>
      <c r="N37" s="861"/>
      <c r="O37" s="827"/>
      <c r="P37" s="858"/>
      <c r="Q37" s="858"/>
      <c r="R37" s="858"/>
      <c r="S37" s="859"/>
      <c r="T37" s="858"/>
      <c r="U37" s="858"/>
      <c r="V37" s="858"/>
      <c r="W37" s="860"/>
      <c r="X37" s="1683"/>
      <c r="Y37" s="1684"/>
      <c r="Z37" s="862"/>
      <c r="AA37" s="860"/>
      <c r="AB37" s="860"/>
      <c r="AC37" s="860"/>
      <c r="AE37" s="829"/>
      <c r="AF37" s="829"/>
    </row>
    <row r="38" spans="3:32" ht="35.1" customHeight="1" thickBot="1" x14ac:dyDescent="0.25">
      <c r="C38" s="850" t="s">
        <v>87</v>
      </c>
      <c r="D38" s="895" t="s">
        <v>88</v>
      </c>
      <c r="E38" s="895" t="s">
        <v>237</v>
      </c>
      <c r="F38" s="896" t="s">
        <v>160</v>
      </c>
      <c r="G38" s="895" t="s">
        <v>236</v>
      </c>
      <c r="H38" s="896" t="s">
        <v>232</v>
      </c>
      <c r="I38" s="896" t="s">
        <v>233</v>
      </c>
      <c r="J38" s="896" t="s">
        <v>20</v>
      </c>
      <c r="K38" s="832" t="s">
        <v>91</v>
      </c>
      <c r="L38" s="895" t="s">
        <v>93</v>
      </c>
      <c r="M38" s="895" t="s">
        <v>94</v>
      </c>
      <c r="N38" s="897" t="s">
        <v>95</v>
      </c>
      <c r="O38" s="827"/>
      <c r="P38" s="1075" t="s">
        <v>237</v>
      </c>
      <c r="Q38" s="896" t="s">
        <v>160</v>
      </c>
      <c r="R38" s="895" t="s">
        <v>236</v>
      </c>
      <c r="S38" s="896" t="s">
        <v>232</v>
      </c>
      <c r="T38" s="896" t="s">
        <v>233</v>
      </c>
      <c r="U38" s="896" t="s">
        <v>20</v>
      </c>
      <c r="V38" s="832" t="s">
        <v>91</v>
      </c>
      <c r="W38" s="895" t="s">
        <v>93</v>
      </c>
      <c r="X38" s="1685" t="s">
        <v>94</v>
      </c>
      <c r="Y38" s="1686" t="s">
        <v>95</v>
      </c>
      <c r="Z38" s="862"/>
      <c r="AA38" s="860"/>
      <c r="AB38" s="860"/>
      <c r="AC38" s="860"/>
      <c r="AE38" s="829"/>
      <c r="AF38" s="829"/>
    </row>
    <row r="39" spans="3:32" ht="35.1" customHeight="1" thickBot="1" x14ac:dyDescent="0.25">
      <c r="C39" s="864">
        <v>800861096</v>
      </c>
      <c r="D39" s="869">
        <v>2</v>
      </c>
      <c r="E39" s="869" t="s">
        <v>242</v>
      </c>
      <c r="F39" s="836" t="s">
        <v>221</v>
      </c>
      <c r="G39" s="836" t="s">
        <v>222</v>
      </c>
      <c r="H39" s="836">
        <v>2233</v>
      </c>
      <c r="I39" s="836">
        <v>453882</v>
      </c>
      <c r="J39" s="865" t="s">
        <v>97</v>
      </c>
      <c r="K39" s="841">
        <v>80000</v>
      </c>
      <c r="L39" s="866">
        <v>0</v>
      </c>
      <c r="M39" s="1677">
        <f>ROUND(L39*I$16,2)</f>
        <v>0</v>
      </c>
      <c r="N39" s="1678">
        <f>M39*$M$16</f>
        <v>0</v>
      </c>
      <c r="O39" s="827"/>
      <c r="P39" s="864" t="s">
        <v>242</v>
      </c>
      <c r="Q39" s="836" t="s">
        <v>221</v>
      </c>
      <c r="R39" s="836" t="s">
        <v>222</v>
      </c>
      <c r="S39" s="836">
        <v>2233</v>
      </c>
      <c r="T39" s="836">
        <v>453882</v>
      </c>
      <c r="U39" s="865" t="s">
        <v>97</v>
      </c>
      <c r="V39" s="841">
        <v>80000</v>
      </c>
      <c r="W39" s="866">
        <f>V39/$K$44</f>
        <v>0.66666666666666663</v>
      </c>
      <c r="X39" s="1677">
        <f>ROUND(W39*I$16,2)</f>
        <v>298035.65999999997</v>
      </c>
      <c r="Y39" s="1678">
        <f>X39*$M$16</f>
        <v>5618449.0480559999</v>
      </c>
      <c r="Z39" s="862"/>
      <c r="AA39" s="860"/>
      <c r="AB39" s="860"/>
      <c r="AC39" s="860"/>
      <c r="AE39" s="829"/>
      <c r="AF39" s="829"/>
    </row>
    <row r="40" spans="3:32" ht="35.1" customHeight="1" thickBot="1" x14ac:dyDescent="0.25">
      <c r="C40" s="864">
        <v>800861096</v>
      </c>
      <c r="D40" s="869">
        <v>2</v>
      </c>
      <c r="E40" s="869" t="s">
        <v>242</v>
      </c>
      <c r="F40" s="836" t="s">
        <v>221</v>
      </c>
      <c r="G40" s="836" t="s">
        <v>222</v>
      </c>
      <c r="H40" s="836">
        <v>2233</v>
      </c>
      <c r="I40" s="836">
        <v>453882</v>
      </c>
      <c r="J40" s="865" t="s">
        <v>100</v>
      </c>
      <c r="K40" s="841">
        <v>40000</v>
      </c>
      <c r="L40" s="866">
        <v>0</v>
      </c>
      <c r="M40" s="1677">
        <f>ROUND(L40*I$16,2)</f>
        <v>0</v>
      </c>
      <c r="N40" s="1678">
        <f>M40*$M$16</f>
        <v>0</v>
      </c>
      <c r="O40" s="827"/>
      <c r="P40" s="864"/>
      <c r="Q40" s="836"/>
      <c r="R40" s="836"/>
      <c r="S40" s="836"/>
      <c r="T40" s="836"/>
      <c r="U40" s="865" t="s">
        <v>100</v>
      </c>
      <c r="V40" s="841">
        <v>40000</v>
      </c>
      <c r="W40" s="866">
        <f t="shared" ref="W40:W43" si="1">V40/$K$44</f>
        <v>0.33333333333333331</v>
      </c>
      <c r="X40" s="1677">
        <f>ROUND(W40*I$16,2)</f>
        <v>149017.82999999999</v>
      </c>
      <c r="Y40" s="1678">
        <f>X40*$M$16</f>
        <v>2809224.524028</v>
      </c>
      <c r="Z40" s="862"/>
      <c r="AA40" s="860"/>
      <c r="AB40" s="860"/>
      <c r="AC40" s="860"/>
      <c r="AE40" s="829"/>
      <c r="AF40" s="829"/>
    </row>
    <row r="41" spans="3:32" ht="35.1" customHeight="1" thickBot="1" x14ac:dyDescent="0.25">
      <c r="C41" s="864"/>
      <c r="D41" s="836"/>
      <c r="E41" s="836"/>
      <c r="F41" s="836"/>
      <c r="G41" s="836"/>
      <c r="H41" s="836"/>
      <c r="I41" s="836"/>
      <c r="J41" s="972" t="s">
        <v>288</v>
      </c>
      <c r="K41" s="841"/>
      <c r="L41" s="866">
        <f>IFERROR(K41/K$44,0)</f>
        <v>0</v>
      </c>
      <c r="M41" s="1677">
        <f>ROUND(L41*I$16,2)</f>
        <v>0</v>
      </c>
      <c r="N41" s="1678">
        <f>M41*$M$16</f>
        <v>0</v>
      </c>
      <c r="O41" s="827"/>
      <c r="P41" s="864"/>
      <c r="Q41" s="836"/>
      <c r="R41" s="836"/>
      <c r="S41" s="836"/>
      <c r="T41" s="836"/>
      <c r="U41" s="836" t="s">
        <v>268</v>
      </c>
      <c r="V41" s="841"/>
      <c r="W41" s="866">
        <f t="shared" si="1"/>
        <v>0</v>
      </c>
      <c r="X41" s="1677">
        <f>ROUND(W41*I$16,2)</f>
        <v>0</v>
      </c>
      <c r="Y41" s="1678">
        <f>X41*$M$16</f>
        <v>0</v>
      </c>
      <c r="Z41" s="862"/>
      <c r="AA41" s="860"/>
      <c r="AB41" s="860"/>
      <c r="AC41" s="860"/>
      <c r="AE41" s="829"/>
      <c r="AF41" s="829"/>
    </row>
    <row r="42" spans="3:32" ht="35.1" customHeight="1" thickBot="1" x14ac:dyDescent="0.25">
      <c r="C42" s="864"/>
      <c r="D42" s="1000"/>
      <c r="E42" s="1000"/>
      <c r="F42" s="836"/>
      <c r="G42" s="836"/>
      <c r="H42" s="836"/>
      <c r="I42" s="836"/>
      <c r="J42" s="865" t="s">
        <v>23</v>
      </c>
      <c r="K42" s="841"/>
      <c r="L42" s="866">
        <f>IFERROR(K42/K$44,0)</f>
        <v>0</v>
      </c>
      <c r="M42" s="1677">
        <f>ROUND(L42*I$16,2)</f>
        <v>0</v>
      </c>
      <c r="N42" s="1678">
        <f>M42*$M$16</f>
        <v>0</v>
      </c>
      <c r="O42" s="827"/>
      <c r="P42" s="1076"/>
      <c r="Q42" s="836"/>
      <c r="R42" s="836"/>
      <c r="S42" s="836"/>
      <c r="T42" s="836"/>
      <c r="U42" s="865" t="s">
        <v>23</v>
      </c>
      <c r="V42" s="841"/>
      <c r="W42" s="866">
        <f t="shared" si="1"/>
        <v>0</v>
      </c>
      <c r="X42" s="1677">
        <f>ROUND(W42*I$16,2)</f>
        <v>0</v>
      </c>
      <c r="Y42" s="1678">
        <f>X42*$M$16</f>
        <v>0</v>
      </c>
      <c r="Z42" s="862"/>
      <c r="AA42" s="860"/>
      <c r="AB42" s="860"/>
      <c r="AC42" s="860"/>
      <c r="AE42" s="829"/>
      <c r="AF42" s="829"/>
    </row>
    <row r="43" spans="3:32" ht="35.1" customHeight="1" thickBot="1" x14ac:dyDescent="0.25">
      <c r="C43" s="1004"/>
      <c r="D43" s="1003"/>
      <c r="E43" s="1003"/>
      <c r="F43" s="1003"/>
      <c r="G43" s="1003"/>
      <c r="H43" s="1003"/>
      <c r="I43" s="1003"/>
      <c r="J43" s="871" t="s">
        <v>159</v>
      </c>
      <c r="K43" s="852"/>
      <c r="L43" s="872">
        <v>1</v>
      </c>
      <c r="M43" s="1679">
        <f>ROUND(L43*I$16,2)</f>
        <v>447053.49</v>
      </c>
      <c r="N43" s="1680">
        <f>M43*$M$16</f>
        <v>8427673.5720840003</v>
      </c>
      <c r="O43" s="827"/>
      <c r="P43" s="900"/>
      <c r="Q43" s="845"/>
      <c r="R43" s="845"/>
      <c r="S43" s="845"/>
      <c r="T43" s="845"/>
      <c r="U43" s="871" t="s">
        <v>159</v>
      </c>
      <c r="V43" s="852"/>
      <c r="W43" s="872">
        <f t="shared" si="1"/>
        <v>0</v>
      </c>
      <c r="X43" s="1679">
        <f>ROUND(W43*I$16,2)</f>
        <v>0</v>
      </c>
      <c r="Y43" s="1680">
        <f>X43*$M$16</f>
        <v>0</v>
      </c>
      <c r="Z43" s="862"/>
      <c r="AA43" s="860"/>
      <c r="AB43" s="860"/>
      <c r="AC43" s="860"/>
      <c r="AE43" s="829"/>
      <c r="AF43" s="829"/>
    </row>
    <row r="44" spans="3:32" ht="20.100000000000001" customHeight="1" x14ac:dyDescent="0.2">
      <c r="C44" s="881">
        <v>3000623</v>
      </c>
      <c r="D44" s="882" t="s">
        <v>102</v>
      </c>
      <c r="E44" s="882"/>
      <c r="F44" s="882"/>
      <c r="G44" s="882"/>
      <c r="H44" s="882"/>
      <c r="I44" s="883"/>
      <c r="J44" s="883"/>
      <c r="K44" s="884">
        <f>SUM(K39:K43)</f>
        <v>120000</v>
      </c>
      <c r="L44" s="885">
        <f>SUM(L39:L43)</f>
        <v>1</v>
      </c>
      <c r="M44" s="1662">
        <f>SUM(M39:M43)</f>
        <v>447053.49</v>
      </c>
      <c r="N44" s="1662">
        <f>SUM(N39:N43)</f>
        <v>8427673.5720840003</v>
      </c>
      <c r="O44" s="827"/>
      <c r="P44" s="882"/>
      <c r="Q44" s="882"/>
      <c r="R44" s="882"/>
      <c r="S44" s="882"/>
      <c r="T44" s="883"/>
      <c r="U44" s="883"/>
      <c r="V44" s="884">
        <f>SUM(V39:V43)</f>
        <v>120000</v>
      </c>
      <c r="W44" s="1660">
        <f>SUM(W39:W43)</f>
        <v>1</v>
      </c>
      <c r="X44" s="1662">
        <f>SUM(X39:X43)</f>
        <v>447053.49</v>
      </c>
      <c r="Y44" s="1662">
        <f>SUM(Y39:Y43)</f>
        <v>8427673.5720840003</v>
      </c>
      <c r="Z44" s="862"/>
      <c r="AA44" s="860"/>
      <c r="AB44" s="860"/>
      <c r="AC44" s="860"/>
      <c r="AE44" s="829"/>
      <c r="AF44" s="829"/>
    </row>
    <row r="45" spans="3:32" ht="20.100000000000001" customHeight="1" x14ac:dyDescent="0.2">
      <c r="C45" s="899"/>
      <c r="D45" s="858"/>
      <c r="E45" s="858"/>
      <c r="F45" s="858"/>
      <c r="G45" s="858"/>
      <c r="H45" s="859"/>
      <c r="I45" s="858"/>
      <c r="J45" s="858"/>
      <c r="K45" s="858"/>
      <c r="L45" s="860"/>
      <c r="M45" s="1683"/>
      <c r="N45" s="1683"/>
      <c r="O45" s="827"/>
      <c r="P45" s="858"/>
      <c r="Q45" s="858"/>
      <c r="R45" s="858"/>
      <c r="S45" s="859"/>
      <c r="T45" s="858"/>
      <c r="U45" s="858"/>
      <c r="V45" s="858"/>
      <c r="W45" s="860"/>
      <c r="X45" s="860"/>
      <c r="Y45" s="893"/>
      <c r="Z45" s="862"/>
      <c r="AA45" s="860"/>
      <c r="AB45" s="860"/>
      <c r="AC45" s="860"/>
      <c r="AE45" s="829"/>
      <c r="AF45" s="829"/>
    </row>
    <row r="46" spans="3:32" ht="20.100000000000001" customHeight="1" x14ac:dyDescent="0.2">
      <c r="C46" s="899"/>
      <c r="D46" s="858"/>
      <c r="E46" s="858"/>
      <c r="F46" s="858"/>
      <c r="G46" s="858"/>
      <c r="H46" s="859"/>
      <c r="I46" s="858"/>
      <c r="J46" s="858"/>
      <c r="K46" s="858"/>
      <c r="L46" s="860"/>
      <c r="M46" s="1683"/>
      <c r="N46" s="1683"/>
      <c r="O46" s="827"/>
      <c r="P46" s="858"/>
      <c r="Q46" s="858"/>
      <c r="R46" s="858"/>
      <c r="S46" s="859"/>
      <c r="T46" s="858"/>
      <c r="U46" s="858"/>
      <c r="V46" s="858"/>
      <c r="W46" s="860"/>
      <c r="X46" s="860"/>
      <c r="Y46" s="893"/>
      <c r="Z46" s="862"/>
      <c r="AA46" s="860"/>
      <c r="AB46" s="860"/>
      <c r="AC46" s="860"/>
      <c r="AE46" s="829"/>
      <c r="AF46" s="829"/>
    </row>
    <row r="47" spans="3:32" ht="20.100000000000001" customHeight="1" x14ac:dyDescent="0.2">
      <c r="C47" s="899"/>
      <c r="D47" s="858"/>
      <c r="E47" s="858"/>
      <c r="F47" s="858"/>
      <c r="G47" s="858"/>
      <c r="H47" s="859"/>
      <c r="I47" s="858"/>
      <c r="J47" s="858"/>
      <c r="K47" s="858"/>
      <c r="L47" s="860"/>
      <c r="M47" s="1683"/>
      <c r="N47" s="1683"/>
      <c r="O47" s="827"/>
      <c r="P47" s="858"/>
      <c r="Q47" s="858"/>
      <c r="R47" s="858"/>
      <c r="S47" s="859"/>
      <c r="T47" s="858"/>
      <c r="U47" s="858"/>
      <c r="V47" s="858"/>
      <c r="W47" s="860"/>
      <c r="X47" s="860"/>
      <c r="Y47" s="893"/>
      <c r="Z47" s="862"/>
      <c r="AA47" s="860"/>
      <c r="AB47" s="860"/>
      <c r="AC47" s="860"/>
      <c r="AE47" s="829"/>
      <c r="AF47" s="829"/>
    </row>
    <row r="48" spans="3:32" ht="35.1" customHeight="1" thickBot="1" x14ac:dyDescent="0.25">
      <c r="C48" s="899" t="s">
        <v>103</v>
      </c>
      <c r="D48" s="858"/>
      <c r="E48" s="858"/>
      <c r="F48" s="858"/>
      <c r="G48" s="858"/>
      <c r="H48" s="859"/>
      <c r="I48" s="858"/>
      <c r="J48" s="858"/>
      <c r="K48" s="858"/>
      <c r="L48" s="860"/>
      <c r="M48" s="1683"/>
      <c r="N48" s="1683"/>
      <c r="O48" s="827"/>
      <c r="P48" s="858"/>
      <c r="Q48" s="858"/>
      <c r="R48" s="858"/>
      <c r="S48" s="859"/>
      <c r="T48" s="858"/>
      <c r="U48" s="858"/>
      <c r="V48" s="858"/>
      <c r="W48" s="860"/>
      <c r="X48" s="860"/>
      <c r="Y48" s="893"/>
      <c r="Z48" s="862"/>
      <c r="AA48" s="860"/>
      <c r="AB48" s="860"/>
      <c r="AC48" s="860"/>
      <c r="AE48" s="829"/>
      <c r="AF48" s="829"/>
    </row>
    <row r="49" spans="1:32" ht="35.1" customHeight="1" thickBot="1" x14ac:dyDescent="0.25">
      <c r="C49" s="850" t="s">
        <v>87</v>
      </c>
      <c r="D49" s="832" t="s">
        <v>88</v>
      </c>
      <c r="E49" s="832" t="s">
        <v>237</v>
      </c>
      <c r="F49" s="833" t="s">
        <v>160</v>
      </c>
      <c r="G49" s="832" t="s">
        <v>90</v>
      </c>
      <c r="H49" s="833" t="s">
        <v>232</v>
      </c>
      <c r="I49" s="833" t="s">
        <v>233</v>
      </c>
      <c r="J49" s="833" t="s">
        <v>20</v>
      </c>
      <c r="K49" s="832" t="s">
        <v>234</v>
      </c>
      <c r="L49" s="832" t="s">
        <v>93</v>
      </c>
      <c r="M49" s="1687" t="s">
        <v>94</v>
      </c>
      <c r="N49" s="1691" t="s">
        <v>95</v>
      </c>
      <c r="O49" s="827"/>
      <c r="P49" s="850" t="s">
        <v>237</v>
      </c>
      <c r="Q49" s="833" t="s">
        <v>160</v>
      </c>
      <c r="R49" s="832" t="s">
        <v>90</v>
      </c>
      <c r="S49" s="833" t="s">
        <v>232</v>
      </c>
      <c r="T49" s="833" t="s">
        <v>233</v>
      </c>
      <c r="U49" s="833" t="s">
        <v>20</v>
      </c>
      <c r="V49" s="832" t="s">
        <v>234</v>
      </c>
      <c r="W49" s="832" t="s">
        <v>93</v>
      </c>
      <c r="X49" s="832" t="s">
        <v>94</v>
      </c>
      <c r="Y49" s="834" t="s">
        <v>95</v>
      </c>
      <c r="Z49" s="861"/>
      <c r="AA49" s="860"/>
      <c r="AB49" s="860"/>
      <c r="AC49" s="860"/>
      <c r="AE49" s="829"/>
      <c r="AF49" s="829"/>
    </row>
    <row r="50" spans="1:32" ht="35.1" customHeight="1" thickBot="1" x14ac:dyDescent="0.25">
      <c r="C50" s="864">
        <v>800832773</v>
      </c>
      <c r="D50" s="1000">
        <v>258</v>
      </c>
      <c r="E50" s="836" t="s">
        <v>239</v>
      </c>
      <c r="F50" s="836" t="s">
        <v>238</v>
      </c>
      <c r="G50" s="836">
        <v>100887241</v>
      </c>
      <c r="H50" s="836">
        <v>7237</v>
      </c>
      <c r="I50" s="836">
        <v>468074</v>
      </c>
      <c r="J50" s="972" t="s">
        <v>97</v>
      </c>
      <c r="K50" s="841">
        <f>O102*S103</f>
        <v>1885664.6383025267</v>
      </c>
      <c r="L50" s="866">
        <f>K50/$K$54</f>
        <v>0.23071713648914527</v>
      </c>
      <c r="M50" s="835">
        <f>L50*$I$17</f>
        <v>1916.6364679562764</v>
      </c>
      <c r="N50" s="835">
        <f>M50*O50</f>
        <v>36131.66403932454</v>
      </c>
      <c r="O50" s="1">
        <v>18.851600000000001</v>
      </c>
      <c r="P50" s="1658" t="s">
        <v>358</v>
      </c>
      <c r="Q50" s="836"/>
      <c r="R50" s="836">
        <v>20823</v>
      </c>
      <c r="S50" s="836"/>
      <c r="T50" s="836"/>
      <c r="U50" s="865" t="s">
        <v>97</v>
      </c>
      <c r="V50" s="841">
        <v>1885664.6383025267</v>
      </c>
      <c r="W50" s="866">
        <f>V50/$K$54</f>
        <v>0.23071713648914527</v>
      </c>
      <c r="X50" s="1677">
        <f>W50*$I$17</f>
        <v>1916.6364679562764</v>
      </c>
      <c r="Y50" s="867">
        <f>IF(Z48=0,N50,(M50*Z48))</f>
        <v>36131.66403932454</v>
      </c>
      <c r="Z50" s="860"/>
      <c r="AA50" s="860"/>
      <c r="AB50" s="860"/>
      <c r="AC50" s="860"/>
      <c r="AE50" s="829"/>
      <c r="AF50" s="829"/>
    </row>
    <row r="51" spans="1:32" ht="35.1" customHeight="1" thickBot="1" x14ac:dyDescent="0.25">
      <c r="C51" s="864">
        <v>800832773</v>
      </c>
      <c r="D51" s="836">
        <v>258</v>
      </c>
      <c r="E51" s="836" t="s">
        <v>239</v>
      </c>
      <c r="F51" s="836" t="s">
        <v>238</v>
      </c>
      <c r="G51" s="836">
        <v>100887241</v>
      </c>
      <c r="H51" s="836">
        <v>7237</v>
      </c>
      <c r="I51" s="836">
        <v>468074</v>
      </c>
      <c r="J51" s="972" t="s">
        <v>100</v>
      </c>
      <c r="K51" s="841">
        <f>O102*T103</f>
        <v>1029118.3216974727</v>
      </c>
      <c r="L51" s="866">
        <f t="shared" ref="L51:L53" si="2">K51/$K$54</f>
        <v>0.12591593832098102</v>
      </c>
      <c r="M51" s="835">
        <f>L51*$I$17</f>
        <v>1046.0214744138855</v>
      </c>
      <c r="N51" s="835">
        <f>M51*O50</f>
        <v>19719.178427060804</v>
      </c>
      <c r="O51" s="1"/>
      <c r="P51" s="1658"/>
      <c r="Q51" s="836"/>
      <c r="R51" s="836">
        <v>20824</v>
      </c>
      <c r="S51" s="836"/>
      <c r="T51" s="836"/>
      <c r="U51" s="865" t="s">
        <v>97</v>
      </c>
      <c r="V51" s="841">
        <v>1029118.3216974727</v>
      </c>
      <c r="W51" s="866">
        <f t="shared" ref="W51:W53" si="3">V51/$K$54</f>
        <v>0.12591593832098102</v>
      </c>
      <c r="X51" s="1677">
        <f t="shared" ref="X51:X53" si="4">W51*$I$17</f>
        <v>1046.0214744138855</v>
      </c>
      <c r="Y51" s="867">
        <f>IF(Z49=0,N51,(M51*Z49))</f>
        <v>19719.178427060804</v>
      </c>
      <c r="Z51" s="860"/>
      <c r="AA51" s="860"/>
      <c r="AB51" s="860"/>
      <c r="AC51" s="860"/>
      <c r="AE51" s="829"/>
      <c r="AF51" s="829"/>
    </row>
    <row r="52" spans="1:32" ht="35.1" customHeight="1" thickBot="1" x14ac:dyDescent="0.25">
      <c r="C52" s="864">
        <v>800832773</v>
      </c>
      <c r="D52" s="836">
        <v>258</v>
      </c>
      <c r="E52" s="836" t="s">
        <v>239</v>
      </c>
      <c r="F52" s="836" t="s">
        <v>238</v>
      </c>
      <c r="G52" s="836">
        <v>100887241</v>
      </c>
      <c r="H52" s="836">
        <v>7237</v>
      </c>
      <c r="I52" s="836">
        <v>468074</v>
      </c>
      <c r="J52" s="972" t="s">
        <v>268</v>
      </c>
      <c r="K52" s="841">
        <f>P102</f>
        <v>2962920.7419716027</v>
      </c>
      <c r="L52" s="866">
        <f t="shared" si="2"/>
        <v>0.36252288733979482</v>
      </c>
      <c r="M52" s="835">
        <f>L52*$I$17</f>
        <v>3011.5863819978772</v>
      </c>
      <c r="N52" s="835">
        <f>M52*O52</f>
        <v>58540.119569189344</v>
      </c>
      <c r="O52" s="1">
        <v>19.438300000000002</v>
      </c>
      <c r="P52" s="1658">
        <v>329</v>
      </c>
      <c r="Q52" s="836"/>
      <c r="R52" s="836">
        <v>22228</v>
      </c>
      <c r="S52" s="836"/>
      <c r="T52" s="836"/>
      <c r="U52" s="865" t="s">
        <v>100</v>
      </c>
      <c r="V52" s="841">
        <v>2962920.7419716027</v>
      </c>
      <c r="W52" s="866">
        <f t="shared" si="3"/>
        <v>0.36252288733979482</v>
      </c>
      <c r="X52" s="1677">
        <f t="shared" si="4"/>
        <v>3011.5863819978772</v>
      </c>
      <c r="Y52" s="867">
        <f>IF(Z50=0,N52,(M52*Z50))</f>
        <v>58540.119569189344</v>
      </c>
      <c r="Z52" s="860"/>
      <c r="AA52" s="860"/>
      <c r="AB52" s="860"/>
      <c r="AC52" s="860"/>
      <c r="AE52" s="829"/>
      <c r="AF52" s="829"/>
    </row>
    <row r="53" spans="1:32" ht="35.1" customHeight="1" thickBot="1" x14ac:dyDescent="0.25">
      <c r="C53" s="851">
        <v>800832773</v>
      </c>
      <c r="D53" s="853">
        <v>258</v>
      </c>
      <c r="E53" s="853" t="s">
        <v>239</v>
      </c>
      <c r="F53" s="845" t="s">
        <v>238</v>
      </c>
      <c r="G53" s="845">
        <v>100887241</v>
      </c>
      <c r="H53" s="845">
        <v>7237</v>
      </c>
      <c r="I53" s="845">
        <v>468074</v>
      </c>
      <c r="J53" s="973" t="s">
        <v>23</v>
      </c>
      <c r="K53" s="852">
        <f>N102</f>
        <v>2295354.7322520004</v>
      </c>
      <c r="L53" s="866">
        <f t="shared" si="2"/>
        <v>0.280844037850079</v>
      </c>
      <c r="M53" s="844">
        <f>L53*$I$17</f>
        <v>2333.0556756319611</v>
      </c>
      <c r="N53" s="835">
        <f>M53*O53</f>
        <v>43981.832374743484</v>
      </c>
      <c r="O53" s="1">
        <v>18.851600000000001</v>
      </c>
      <c r="P53" s="1659" t="s">
        <v>358</v>
      </c>
      <c r="Q53" s="845" t="s">
        <v>221</v>
      </c>
      <c r="R53" s="845" t="s">
        <v>222</v>
      </c>
      <c r="S53" s="845"/>
      <c r="T53" s="845"/>
      <c r="U53" s="871" t="s">
        <v>23</v>
      </c>
      <c r="V53" s="852">
        <v>2295354.7322520004</v>
      </c>
      <c r="W53" s="872">
        <f t="shared" si="3"/>
        <v>0.280844037850079</v>
      </c>
      <c r="X53" s="1679">
        <f t="shared" si="4"/>
        <v>2333.0556756319611</v>
      </c>
      <c r="Y53" s="873">
        <f>IF(Z51=0,N53,(M53*Z51))</f>
        <v>43981.832374743484</v>
      </c>
      <c r="Z53" s="860"/>
      <c r="AA53" s="860"/>
      <c r="AB53" s="860"/>
      <c r="AC53" s="860"/>
      <c r="AE53" s="829"/>
      <c r="AF53" s="829"/>
    </row>
    <row r="54" spans="1:32" ht="13.5" thickBot="1" x14ac:dyDescent="0.25">
      <c r="C54" s="901"/>
      <c r="D54" s="901"/>
      <c r="E54" s="901"/>
      <c r="F54" s="902"/>
      <c r="G54" s="902"/>
      <c r="H54" s="902"/>
      <c r="I54" s="902"/>
      <c r="J54" s="902"/>
      <c r="K54" s="1001">
        <f>SUM(K50:K53)</f>
        <v>8173058.4342236016</v>
      </c>
      <c r="L54" s="903">
        <f>SUM(L50:L53)</f>
        <v>1</v>
      </c>
      <c r="M54" s="1002">
        <f>SUM(M50:M53)</f>
        <v>8307.2999999999993</v>
      </c>
      <c r="N54" s="1002">
        <f>SUM(N50:N53)</f>
        <v>158372.79441031817</v>
      </c>
      <c r="O54" s="860"/>
      <c r="P54" s="860"/>
      <c r="Q54" s="827"/>
      <c r="R54" s="827"/>
      <c r="S54" s="827"/>
      <c r="T54" s="827"/>
      <c r="U54" s="827"/>
      <c r="V54" s="1654">
        <f>SUM(V49:V53)</f>
        <v>8173058.4342236016</v>
      </c>
      <c r="W54" s="1655">
        <f>SUM(W49:W53)</f>
        <v>1</v>
      </c>
      <c r="X54" s="1656">
        <f>SUM(X49:X53)</f>
        <v>8307.2999999999993</v>
      </c>
      <c r="Y54" s="1657">
        <f>SUM(Y50:Y53)</f>
        <v>158372.79441031817</v>
      </c>
      <c r="Z54" s="860"/>
      <c r="AA54" s="860"/>
      <c r="AB54" s="860"/>
      <c r="AC54" s="860"/>
      <c r="AE54" s="829"/>
      <c r="AF54" s="829"/>
    </row>
    <row r="55" spans="1:32" s="906" customFormat="1" x14ac:dyDescent="0.2">
      <c r="A55" s="904"/>
      <c r="B55" s="904"/>
      <c r="C55" s="902"/>
      <c r="D55" s="902"/>
      <c r="E55" s="902"/>
      <c r="F55" s="902"/>
      <c r="G55" s="902"/>
      <c r="H55" s="902"/>
      <c r="I55" s="902"/>
      <c r="J55" s="902"/>
      <c r="K55" s="902"/>
      <c r="L55" s="902"/>
      <c r="M55" s="905"/>
      <c r="N55" s="905"/>
      <c r="O55" s="860"/>
      <c r="P55" s="860"/>
      <c r="Q55" s="904"/>
      <c r="R55" s="904"/>
      <c r="S55" s="904"/>
      <c r="T55" s="904"/>
      <c r="U55" s="904"/>
      <c r="V55" s="904"/>
      <c r="W55" s="904"/>
      <c r="X55" s="860"/>
      <c r="Y55" s="860"/>
      <c r="Z55" s="860"/>
      <c r="AA55" s="860"/>
      <c r="AB55" s="860"/>
      <c r="AC55" s="860"/>
      <c r="AD55" s="843"/>
    </row>
    <row r="56" spans="1:32" s="906" customFormat="1" x14ac:dyDescent="0.2">
      <c r="A56" s="904"/>
      <c r="B56" s="904"/>
      <c r="C56" s="902"/>
      <c r="D56" s="902"/>
      <c r="E56" s="902"/>
      <c r="F56" s="902"/>
      <c r="G56" s="902"/>
      <c r="H56" s="902"/>
      <c r="I56" s="902"/>
      <c r="J56" s="902"/>
      <c r="K56" s="902"/>
      <c r="L56" s="905"/>
      <c r="M56" s="905"/>
      <c r="N56" s="860"/>
      <c r="O56" s="904"/>
      <c r="P56" s="904"/>
      <c r="Q56" s="904"/>
      <c r="R56" s="904"/>
      <c r="S56" s="904"/>
      <c r="T56" s="904"/>
      <c r="U56" s="904"/>
      <c r="V56" s="860"/>
      <c r="W56" s="860"/>
      <c r="X56" s="860"/>
      <c r="Y56" s="860"/>
      <c r="Z56" s="860"/>
      <c r="AA56" s="860"/>
      <c r="AB56" s="860"/>
      <c r="AC56" s="904"/>
    </row>
    <row r="57" spans="1:32" s="906" customFormat="1" x14ac:dyDescent="0.2">
      <c r="A57" s="904"/>
      <c r="B57" s="904"/>
      <c r="C57" s="902"/>
      <c r="D57" s="902"/>
      <c r="E57" s="902"/>
      <c r="F57" s="902"/>
      <c r="G57" s="902"/>
      <c r="H57" s="902"/>
      <c r="I57" s="902"/>
      <c r="J57" s="902"/>
      <c r="K57" s="902"/>
      <c r="L57" s="905"/>
      <c r="M57" s="905"/>
      <c r="N57" s="860"/>
      <c r="O57" s="860"/>
      <c r="P57" s="904"/>
      <c r="Q57" s="904"/>
      <c r="R57" s="904"/>
      <c r="S57" s="904"/>
      <c r="T57" s="904"/>
      <c r="U57" s="904"/>
      <c r="V57" s="904"/>
      <c r="W57" s="860"/>
      <c r="X57" s="860"/>
      <c r="Y57" s="860"/>
      <c r="Z57" s="860"/>
      <c r="AA57" s="860"/>
      <c r="AB57" s="860"/>
      <c r="AC57" s="860"/>
    </row>
    <row r="58" spans="1:32" s="906" customFormat="1" x14ac:dyDescent="0.2">
      <c r="A58" s="904"/>
      <c r="B58" s="904"/>
      <c r="C58" s="902"/>
      <c r="D58" s="902"/>
      <c r="E58" s="902"/>
      <c r="F58" s="902"/>
      <c r="G58" s="902"/>
      <c r="H58" s="902"/>
      <c r="I58" s="902"/>
      <c r="J58" s="902"/>
      <c r="K58" s="902"/>
      <c r="L58" s="905"/>
      <c r="M58" s="905"/>
      <c r="N58" s="860"/>
      <c r="O58" s="905"/>
      <c r="P58" s="860"/>
      <c r="Q58" s="905"/>
      <c r="R58" s="904"/>
      <c r="S58" s="904"/>
      <c r="T58" s="904"/>
      <c r="U58" s="904"/>
      <c r="V58" s="904"/>
      <c r="W58" s="904"/>
      <c r="X58" s="904"/>
      <c r="Y58" s="904"/>
      <c r="Z58" s="860"/>
      <c r="AA58" s="860"/>
      <c r="AB58" s="860"/>
      <c r="AC58" s="860"/>
      <c r="AD58" s="843"/>
      <c r="AE58" s="843"/>
      <c r="AF58" s="843"/>
    </row>
    <row r="59" spans="1:32" s="906" customFormat="1" x14ac:dyDescent="0.2">
      <c r="A59" s="904"/>
      <c r="B59" s="904"/>
      <c r="C59" s="902"/>
      <c r="D59" s="902"/>
      <c r="E59" s="902"/>
      <c r="F59" s="902"/>
      <c r="G59" s="902"/>
      <c r="H59" s="902"/>
      <c r="I59" s="902"/>
      <c r="J59" s="902"/>
      <c r="K59" s="902"/>
      <c r="L59" s="905"/>
      <c r="M59" s="905"/>
      <c r="N59" s="860"/>
      <c r="O59" s="905"/>
      <c r="P59" s="860"/>
      <c r="Q59" s="905"/>
      <c r="R59" s="904"/>
      <c r="S59" s="904"/>
      <c r="T59" s="904"/>
      <c r="U59" s="904"/>
      <c r="V59" s="904"/>
      <c r="W59" s="904"/>
      <c r="X59" s="904"/>
      <c r="Y59" s="904"/>
      <c r="Z59" s="860"/>
      <c r="AA59" s="860"/>
      <c r="AB59" s="860"/>
      <c r="AC59" s="860"/>
      <c r="AD59" s="843"/>
      <c r="AE59" s="843"/>
      <c r="AF59" s="843"/>
    </row>
    <row r="60" spans="1:32" s="906" customFormat="1" x14ac:dyDescent="0.2">
      <c r="A60" s="904"/>
      <c r="B60" s="904"/>
      <c r="C60" s="902"/>
      <c r="D60" s="902"/>
      <c r="E60" s="902"/>
      <c r="F60" s="902"/>
      <c r="G60" s="902"/>
      <c r="H60" s="902"/>
      <c r="I60" s="902"/>
      <c r="J60" s="902"/>
      <c r="K60" s="902"/>
      <c r="L60" s="905"/>
      <c r="M60" s="905"/>
      <c r="N60" s="860"/>
      <c r="O60" s="905"/>
      <c r="P60" s="860"/>
      <c r="Q60" s="905"/>
      <c r="R60" s="904"/>
      <c r="S60" s="904"/>
      <c r="T60" s="904"/>
      <c r="U60" s="904"/>
      <c r="V60" s="904"/>
      <c r="W60" s="904"/>
      <c r="X60" s="904"/>
      <c r="Y60" s="904"/>
      <c r="Z60" s="860"/>
      <c r="AA60" s="860"/>
      <c r="AB60" s="860"/>
      <c r="AC60" s="860"/>
      <c r="AD60" s="843"/>
      <c r="AE60" s="843"/>
      <c r="AF60" s="843"/>
    </row>
    <row r="61" spans="1:32" s="906" customFormat="1" x14ac:dyDescent="0.2">
      <c r="A61" s="904"/>
      <c r="B61" s="904"/>
      <c r="C61" s="902"/>
      <c r="D61" s="902"/>
      <c r="E61" s="902"/>
      <c r="F61" s="902"/>
      <c r="G61" s="902"/>
      <c r="H61" s="902"/>
      <c r="I61" s="902"/>
      <c r="J61" s="902"/>
      <c r="K61" s="902"/>
      <c r="L61" s="905"/>
      <c r="M61" s="905"/>
      <c r="N61" s="860"/>
      <c r="O61" s="905"/>
      <c r="P61" s="860"/>
      <c r="Q61" s="905"/>
      <c r="R61" s="904"/>
      <c r="S61" s="904"/>
      <c r="T61" s="904"/>
      <c r="U61" s="904"/>
      <c r="V61" s="904"/>
      <c r="W61" s="904"/>
      <c r="X61" s="904"/>
      <c r="Y61" s="904"/>
      <c r="Z61" s="860"/>
      <c r="AA61" s="860"/>
      <c r="AB61" s="860"/>
      <c r="AC61" s="860"/>
      <c r="AD61" s="843"/>
      <c r="AE61" s="843"/>
      <c r="AF61" s="843"/>
    </row>
    <row r="62" spans="1:32" s="906" customFormat="1" x14ac:dyDescent="0.2">
      <c r="A62" s="904"/>
      <c r="B62" s="904"/>
      <c r="C62" s="902"/>
      <c r="D62" s="902"/>
      <c r="E62" s="902"/>
      <c r="F62" s="902"/>
      <c r="G62" s="902"/>
      <c r="H62" s="902"/>
      <c r="I62" s="902"/>
      <c r="J62" s="902"/>
      <c r="K62" s="902"/>
      <c r="L62" s="905"/>
      <c r="M62" s="905"/>
      <c r="N62" s="860"/>
      <c r="O62" s="905"/>
      <c r="P62" s="860"/>
      <c r="Q62" s="905"/>
      <c r="R62" s="904"/>
      <c r="S62" s="904"/>
      <c r="T62" s="904"/>
      <c r="U62" s="904"/>
      <c r="V62" s="904"/>
      <c r="W62" s="904"/>
      <c r="X62" s="904"/>
      <c r="Y62" s="904"/>
      <c r="Z62" s="860"/>
      <c r="AA62" s="860"/>
      <c r="AB62" s="860"/>
      <c r="AC62" s="860"/>
      <c r="AD62" s="843"/>
      <c r="AE62" s="843"/>
      <c r="AF62" s="843"/>
    </row>
    <row r="63" spans="1:32" s="906" customFormat="1" x14ac:dyDescent="0.2">
      <c r="A63" s="904"/>
      <c r="B63" s="904"/>
      <c r="C63" s="902"/>
      <c r="D63" s="902"/>
      <c r="E63" s="902"/>
      <c r="F63" s="902"/>
      <c r="G63" s="902"/>
      <c r="H63" s="902"/>
      <c r="I63" s="902"/>
      <c r="J63" s="902"/>
      <c r="K63" s="902"/>
      <c r="L63" s="905"/>
      <c r="M63" s="905"/>
      <c r="N63" s="860"/>
      <c r="O63" s="905"/>
      <c r="P63" s="860"/>
      <c r="Q63" s="905"/>
      <c r="R63" s="904"/>
      <c r="S63" s="904"/>
      <c r="T63" s="904"/>
      <c r="U63" s="904"/>
      <c r="V63" s="904"/>
      <c r="W63" s="904"/>
      <c r="X63" s="904"/>
      <c r="Y63" s="904"/>
      <c r="Z63" s="860"/>
      <c r="AA63" s="860"/>
      <c r="AB63" s="860"/>
      <c r="AC63" s="860"/>
      <c r="AD63" s="843"/>
      <c r="AE63" s="843"/>
      <c r="AF63" s="843"/>
    </row>
    <row r="64" spans="1:32" s="906" customFormat="1" x14ac:dyDescent="0.2">
      <c r="A64" s="904"/>
      <c r="B64" s="904"/>
      <c r="C64" s="902"/>
      <c r="D64" s="902"/>
      <c r="E64" s="902"/>
      <c r="F64" s="902"/>
      <c r="G64" s="902"/>
      <c r="H64" s="902"/>
      <c r="I64" s="902"/>
      <c r="J64" s="902"/>
      <c r="K64" s="902"/>
      <c r="L64" s="905"/>
      <c r="M64" s="905"/>
      <c r="N64" s="860"/>
      <c r="O64" s="905"/>
      <c r="P64" s="860"/>
      <c r="Q64" s="905"/>
      <c r="R64" s="904"/>
      <c r="S64" s="904"/>
      <c r="T64" s="904"/>
      <c r="U64" s="904"/>
      <c r="V64" s="904"/>
      <c r="W64" s="904"/>
      <c r="X64" s="904"/>
      <c r="Y64" s="904"/>
      <c r="Z64" s="860"/>
      <c r="AA64" s="860"/>
      <c r="AB64" s="860"/>
      <c r="AC64" s="860"/>
      <c r="AD64" s="843"/>
      <c r="AE64" s="843"/>
      <c r="AF64" s="843"/>
    </row>
    <row r="65" spans="1:36" s="906" customFormat="1" x14ac:dyDescent="0.2">
      <c r="A65" s="904"/>
      <c r="B65" s="904"/>
      <c r="C65" s="902"/>
      <c r="D65" s="902"/>
      <c r="E65" s="902"/>
      <c r="F65" s="902"/>
      <c r="G65" s="902"/>
      <c r="H65" s="902"/>
      <c r="I65" s="902"/>
      <c r="J65" s="902"/>
      <c r="K65" s="902"/>
      <c r="L65" s="905"/>
      <c r="M65" s="905"/>
      <c r="N65" s="860"/>
      <c r="O65" s="905"/>
      <c r="P65" s="860"/>
      <c r="Q65" s="905"/>
      <c r="R65" s="904"/>
      <c r="S65" s="904"/>
      <c r="T65" s="904"/>
      <c r="U65" s="904"/>
      <c r="V65" s="904"/>
      <c r="W65" s="904"/>
      <c r="X65" s="904"/>
      <c r="Y65" s="904"/>
      <c r="Z65" s="860"/>
      <c r="AA65" s="860"/>
      <c r="AB65" s="860"/>
      <c r="AC65" s="860"/>
      <c r="AD65" s="843"/>
      <c r="AE65" s="843"/>
      <c r="AF65" s="843"/>
    </row>
    <row r="66" spans="1:36" s="906" customFormat="1" x14ac:dyDescent="0.2">
      <c r="A66" s="904"/>
      <c r="B66" s="904"/>
      <c r="C66" s="902"/>
      <c r="D66" s="902"/>
      <c r="E66" s="902"/>
      <c r="F66" s="902"/>
      <c r="G66" s="902"/>
      <c r="H66" s="902"/>
      <c r="I66" s="902"/>
      <c r="J66" s="902"/>
      <c r="K66" s="902"/>
      <c r="L66" s="905"/>
      <c r="M66" s="905"/>
      <c r="N66" s="860"/>
      <c r="O66" s="905"/>
      <c r="P66" s="860"/>
      <c r="Q66" s="905"/>
      <c r="R66" s="904"/>
      <c r="S66" s="904"/>
      <c r="T66" s="904"/>
      <c r="U66" s="904"/>
      <c r="V66" s="904"/>
      <c r="W66" s="904"/>
      <c r="X66" s="904"/>
      <c r="Y66" s="904"/>
      <c r="Z66" s="860"/>
      <c r="AA66" s="860"/>
      <c r="AB66" s="860"/>
      <c r="AC66" s="860"/>
      <c r="AD66" s="843"/>
      <c r="AE66" s="843"/>
      <c r="AF66" s="843"/>
    </row>
    <row r="67" spans="1:36" s="906" customFormat="1" x14ac:dyDescent="0.2">
      <c r="A67" s="904"/>
      <c r="B67" s="904"/>
      <c r="C67" s="902"/>
      <c r="D67" s="902"/>
      <c r="E67" s="902"/>
      <c r="F67" s="902"/>
      <c r="G67" s="902"/>
      <c r="H67" s="902"/>
      <c r="I67" s="902"/>
      <c r="J67" s="902"/>
      <c r="K67" s="902"/>
      <c r="L67" s="902"/>
      <c r="M67" s="905"/>
      <c r="N67" s="905"/>
      <c r="O67" s="860"/>
      <c r="P67" s="905"/>
      <c r="Q67" s="843"/>
      <c r="R67" s="905"/>
      <c r="S67" s="904"/>
      <c r="T67" s="904"/>
      <c r="U67" s="904"/>
      <c r="V67" s="904"/>
      <c r="W67" s="904"/>
      <c r="X67" s="904"/>
      <c r="Y67" s="904"/>
      <c r="Z67" s="904"/>
      <c r="AA67" s="860"/>
      <c r="AB67" s="860"/>
      <c r="AC67" s="860"/>
      <c r="AD67" s="843"/>
      <c r="AE67" s="843"/>
      <c r="AF67" s="843"/>
      <c r="AG67" s="843"/>
    </row>
    <row r="68" spans="1:36" s="843" customFormat="1" ht="15" customHeight="1" thickBot="1" x14ac:dyDescent="0.25">
      <c r="A68" s="860"/>
      <c r="B68" s="860"/>
      <c r="N68" s="860"/>
      <c r="O68" s="860"/>
      <c r="P68" s="860"/>
      <c r="Q68" s="860"/>
      <c r="R68" s="860"/>
      <c r="S68" s="860"/>
      <c r="T68" s="860"/>
      <c r="U68" s="860"/>
      <c r="V68" s="860"/>
      <c r="W68" s="860"/>
      <c r="X68" s="860"/>
      <c r="Y68" s="860"/>
      <c r="Z68" s="860"/>
      <c r="AA68" s="860"/>
      <c r="AB68" s="860"/>
      <c r="AC68" s="999" t="e">
        <f>'Junio - 2018'!AC101</f>
        <v>#REF!</v>
      </c>
    </row>
    <row r="69" spans="1:36" ht="15" customHeight="1" thickBot="1" x14ac:dyDescent="0.25">
      <c r="B69" s="1068" t="s">
        <v>3</v>
      </c>
      <c r="C69" s="908">
        <f>SUMIF(Tarifas!E4:E303,'Agosto - 2018'!C71,Tarifas!D4:D303)</f>
        <v>61</v>
      </c>
      <c r="D69" s="909" t="s">
        <v>147</v>
      </c>
      <c r="E69" s="910"/>
      <c r="F69" s="910" t="s">
        <v>145</v>
      </c>
      <c r="G69" s="910" t="s">
        <v>287</v>
      </c>
      <c r="H69" s="910" t="s">
        <v>148</v>
      </c>
      <c r="I69" s="911"/>
      <c r="J69" s="2320" t="s">
        <v>120</v>
      </c>
      <c r="K69" s="2321"/>
      <c r="L69" s="2321"/>
      <c r="M69" s="2322"/>
      <c r="N69" s="2311" t="s">
        <v>270</v>
      </c>
      <c r="O69" s="2312"/>
      <c r="P69" s="2313"/>
      <c r="Q69" s="2309" t="s">
        <v>271</v>
      </c>
      <c r="R69" s="2310"/>
      <c r="S69" s="2310"/>
      <c r="T69" s="2310"/>
      <c r="U69" s="2310"/>
      <c r="V69" s="2310"/>
      <c r="W69" s="2332"/>
      <c r="X69" s="2323" t="s">
        <v>121</v>
      </c>
      <c r="Y69" s="2324"/>
      <c r="Z69" s="2324"/>
      <c r="AA69" s="2324"/>
      <c r="AB69" s="2324"/>
      <c r="AC69" s="2324"/>
      <c r="AD69" s="1034"/>
      <c r="AG69" s="843"/>
      <c r="AH69" s="843"/>
      <c r="AI69" s="843"/>
      <c r="AJ69" s="843"/>
    </row>
    <row r="70" spans="1:36" ht="51.75" thickBot="1" x14ac:dyDescent="0.25">
      <c r="C70" s="914" t="s">
        <v>122</v>
      </c>
      <c r="D70" s="915" t="s">
        <v>125</v>
      </c>
      <c r="E70" s="916" t="s">
        <v>277</v>
      </c>
      <c r="F70" s="916" t="s">
        <v>149</v>
      </c>
      <c r="G70" s="916" t="s">
        <v>151</v>
      </c>
      <c r="H70" s="916" t="s">
        <v>152</v>
      </c>
      <c r="I70" s="917" t="s">
        <v>123</v>
      </c>
      <c r="J70" s="1020" t="s">
        <v>371</v>
      </c>
      <c r="K70" s="1021" t="s">
        <v>293</v>
      </c>
      <c r="L70" s="1021" t="s">
        <v>294</v>
      </c>
      <c r="M70" s="1022" t="s">
        <v>267</v>
      </c>
      <c r="N70" s="974" t="s">
        <v>266</v>
      </c>
      <c r="O70" s="975" t="s">
        <v>269</v>
      </c>
      <c r="P70" s="975" t="s">
        <v>267</v>
      </c>
      <c r="Q70" s="814" t="s">
        <v>314</v>
      </c>
      <c r="R70" s="815" t="s">
        <v>320</v>
      </c>
      <c r="S70" s="814" t="s">
        <v>317</v>
      </c>
      <c r="T70" s="813" t="s">
        <v>316</v>
      </c>
      <c r="U70" s="816" t="s">
        <v>319</v>
      </c>
      <c r="V70" s="817" t="s">
        <v>315</v>
      </c>
      <c r="W70" s="815" t="s">
        <v>318</v>
      </c>
      <c r="X70" s="1029" t="s">
        <v>207</v>
      </c>
      <c r="Y70" s="1030" t="s">
        <v>112</v>
      </c>
      <c r="Z70" s="1031" t="s">
        <v>118</v>
      </c>
      <c r="AA70" s="1031" t="s">
        <v>119</v>
      </c>
      <c r="AB70" s="1031" t="s">
        <v>114</v>
      </c>
      <c r="AC70" s="1032" t="s">
        <v>113</v>
      </c>
      <c r="AG70" s="843"/>
      <c r="AH70" s="843"/>
      <c r="AI70" s="843"/>
      <c r="AJ70" s="843"/>
    </row>
    <row r="71" spans="1:36" x14ac:dyDescent="0.2">
      <c r="C71" s="1402">
        <v>43313</v>
      </c>
      <c r="D71" s="1389">
        <f>($E$22*$H$22)/$G$22</f>
        <v>150304.21677419354</v>
      </c>
      <c r="E71" s="1355">
        <f>($F$22*$I$22)/$G$22</f>
        <v>14421.080258064516</v>
      </c>
      <c r="F71" s="1327">
        <f t="shared" ref="F71:F101" si="5">N71+O71+P71</f>
        <v>269128.12464859866</v>
      </c>
      <c r="G71" s="1390">
        <f>TRUNC(IFERROR(K$22/L$22,0),8)</f>
        <v>1.0163853</v>
      </c>
      <c r="H71" s="1357">
        <f t="shared" ref="H71:H101" si="6">ROUND(J$22*G71*F71,4)</f>
        <v>273.53789999999998</v>
      </c>
      <c r="I71" s="1391">
        <f t="shared" ref="I71:I101" si="7">SUM(D71:H71)</f>
        <v>434127.97596615675</v>
      </c>
      <c r="J71" s="1359">
        <v>72999.314466908982</v>
      </c>
      <c r="K71" s="1360">
        <v>112801.29652015571</v>
      </c>
      <c r="L71" s="1360">
        <v>0</v>
      </c>
      <c r="M71" s="1361">
        <v>81818.526341874895</v>
      </c>
      <c r="N71" s="1322">
        <v>74416.710999999996</v>
      </c>
      <c r="O71" s="1323">
        <v>112862.07</v>
      </c>
      <c r="P71" s="1404">
        <v>81849.34364859866</v>
      </c>
      <c r="Q71" s="317">
        <v>74416.710000000006</v>
      </c>
      <c r="R71" s="1362">
        <f>N71-Q71</f>
        <v>9.9999998928979039E-4</v>
      </c>
      <c r="S71" s="1365">
        <v>74609.634000000005</v>
      </c>
      <c r="T71" s="1336">
        <v>38252.440999999999</v>
      </c>
      <c r="U71" s="1362">
        <f t="shared" ref="U71:U101" si="8">O71-(S71+T71)</f>
        <v>-5.0000000046566129E-3</v>
      </c>
      <c r="V71" s="1365">
        <v>81849.34</v>
      </c>
      <c r="W71" s="1375">
        <f t="shared" ref="W71:W101" si="9">P71-V71</f>
        <v>3.648598663858138E-3</v>
      </c>
      <c r="X71" s="532"/>
      <c r="Y71" s="520">
        <f>X71-Z71</f>
        <v>-185800.61098706469</v>
      </c>
      <c r="Z71" s="520">
        <f t="shared" ref="Z71:Z101" si="10">J71+K71+L71</f>
        <v>185800.61098706469</v>
      </c>
      <c r="AA71" s="520">
        <f t="shared" ref="AA71:AA101" si="11">(U71+V71+W71)*1.055056</f>
        <v>86355.63583723591</v>
      </c>
      <c r="AB71" s="520">
        <f>Z71-AA71</f>
        <v>99444.975149828781</v>
      </c>
      <c r="AC71" s="525" t="e">
        <f>AC68+AB71</f>
        <v>#REF!</v>
      </c>
      <c r="AG71" s="843"/>
      <c r="AH71" s="843"/>
      <c r="AI71" s="843"/>
      <c r="AJ71" s="843"/>
    </row>
    <row r="72" spans="1:36" x14ac:dyDescent="0.2">
      <c r="C72" s="387">
        <f t="shared" ref="C72:C101" si="12">C71+1</f>
        <v>43314</v>
      </c>
      <c r="D72" s="1392">
        <f t="shared" ref="D72:D101" si="13">($E$22*$H$22)/$G$22</f>
        <v>150304.21677419354</v>
      </c>
      <c r="E72" s="1368">
        <f t="shared" ref="E72:E101" si="14">($F$22*$I$22)/$G$22</f>
        <v>14421.080258064516</v>
      </c>
      <c r="F72" s="392">
        <f t="shared" si="5"/>
        <v>274162.95087162475</v>
      </c>
      <c r="G72" s="1393">
        <f t="shared" ref="G72:G101" si="15">TRUNC(IFERROR(K$22/L$22,0),8)</f>
        <v>1.0163853</v>
      </c>
      <c r="H72" s="390">
        <f t="shared" si="6"/>
        <v>278.65519999999998</v>
      </c>
      <c r="I72" s="1394">
        <f t="shared" si="7"/>
        <v>439167.91948918282</v>
      </c>
      <c r="J72" s="1369">
        <v>73499.410941216178</v>
      </c>
      <c r="K72" s="1370">
        <v>111903.44398927929</v>
      </c>
      <c r="L72" s="1370">
        <v>0</v>
      </c>
      <c r="M72" s="1371">
        <v>86531.460837086386</v>
      </c>
      <c r="N72" s="725">
        <v>74660.702999999994</v>
      </c>
      <c r="O72" s="320">
        <v>112649.74</v>
      </c>
      <c r="P72" s="1403">
        <v>86852.507871624752</v>
      </c>
      <c r="Q72" s="319">
        <v>74660.7</v>
      </c>
      <c r="R72" s="1372">
        <f t="shared" ref="R72:R101" si="16">N72-Q72</f>
        <v>2.9999999969732016E-3</v>
      </c>
      <c r="S72" s="1373">
        <v>74944.990999999995</v>
      </c>
      <c r="T72" s="1374">
        <v>37704.739000000001</v>
      </c>
      <c r="U72" s="1372">
        <f t="shared" si="8"/>
        <v>1.0000000009313226E-2</v>
      </c>
      <c r="V72" s="1373">
        <v>86852.504000000001</v>
      </c>
      <c r="W72" s="1395">
        <f t="shared" si="9"/>
        <v>3.8716247509000823E-3</v>
      </c>
      <c r="X72" s="532"/>
      <c r="Y72" s="520">
        <f t="shared" ref="Y72:Y101" si="17">X72-Z72</f>
        <v>-185402.85493049546</v>
      </c>
      <c r="Z72" s="520">
        <f t="shared" si="10"/>
        <v>185402.85493049546</v>
      </c>
      <c r="AA72" s="520">
        <f t="shared" si="11"/>
        <v>91634.270095564934</v>
      </c>
      <c r="AB72" s="520">
        <f t="shared" ref="AB72:AB101" si="18">Z72-AA72</f>
        <v>93768.584834930531</v>
      </c>
      <c r="AC72" s="525" t="e">
        <f>AC71+AB72</f>
        <v>#REF!</v>
      </c>
      <c r="AG72" s="843"/>
      <c r="AH72" s="843"/>
      <c r="AI72" s="843"/>
      <c r="AJ72" s="843"/>
    </row>
    <row r="73" spans="1:36" x14ac:dyDescent="0.2">
      <c r="C73" s="387">
        <f t="shared" si="12"/>
        <v>43315</v>
      </c>
      <c r="D73" s="1392">
        <f t="shared" si="13"/>
        <v>150304.21677419354</v>
      </c>
      <c r="E73" s="1368">
        <f t="shared" si="14"/>
        <v>14421.080258064516</v>
      </c>
      <c r="F73" s="392">
        <f t="shared" si="5"/>
        <v>269826.41264752462</v>
      </c>
      <c r="G73" s="1393">
        <f t="shared" si="15"/>
        <v>1.0163853</v>
      </c>
      <c r="H73" s="390">
        <f t="shared" si="6"/>
        <v>274.24759999999998</v>
      </c>
      <c r="I73" s="1394">
        <f t="shared" si="7"/>
        <v>434826.97366508271</v>
      </c>
      <c r="J73" s="1369">
        <v>73999.507415523374</v>
      </c>
      <c r="K73" s="1370">
        <v>111932.98555316242</v>
      </c>
      <c r="L73" s="1370">
        <v>0</v>
      </c>
      <c r="M73" s="1371">
        <v>81818.526341874895</v>
      </c>
      <c r="N73" s="724">
        <v>75034.692999999999</v>
      </c>
      <c r="O73" s="318">
        <v>112966.47</v>
      </c>
      <c r="P73" s="1403">
        <v>81825.24964752463</v>
      </c>
      <c r="Q73" s="317">
        <v>75034.7</v>
      </c>
      <c r="R73" s="1372">
        <f t="shared" si="16"/>
        <v>-6.9999999977881089E-3</v>
      </c>
      <c r="S73" s="1373">
        <v>75126.267000000007</v>
      </c>
      <c r="T73" s="1374">
        <v>37840.224000000002</v>
      </c>
      <c r="U73" s="1372">
        <f t="shared" si="8"/>
        <v>-2.1000000007916242E-2</v>
      </c>
      <c r="V73" s="1373">
        <v>81825.245999999999</v>
      </c>
      <c r="W73" s="1395">
        <f t="shared" si="9"/>
        <v>3.647524630650878E-3</v>
      </c>
      <c r="X73" s="532"/>
      <c r="Y73" s="520">
        <f t="shared" si="17"/>
        <v>-185932.49296868581</v>
      </c>
      <c r="Z73" s="520">
        <f t="shared" si="10"/>
        <v>185932.49296868581</v>
      </c>
      <c r="AA73" s="520">
        <f t="shared" si="11"/>
        <v>86330.198435942744</v>
      </c>
      <c r="AB73" s="520">
        <f t="shared" si="18"/>
        <v>99602.294532743064</v>
      </c>
      <c r="AC73" s="525" t="e">
        <f t="shared" ref="AC73:AC100" si="19">AC72+AB73</f>
        <v>#REF!</v>
      </c>
      <c r="AG73" s="843"/>
      <c r="AH73" s="843"/>
      <c r="AI73" s="843"/>
      <c r="AJ73" s="843"/>
    </row>
    <row r="74" spans="1:36" x14ac:dyDescent="0.2">
      <c r="C74" s="387">
        <f t="shared" si="12"/>
        <v>43316</v>
      </c>
      <c r="D74" s="1392">
        <f t="shared" si="13"/>
        <v>150304.21677419354</v>
      </c>
      <c r="E74" s="1368">
        <f t="shared" si="14"/>
        <v>14421.080258064516</v>
      </c>
      <c r="F74" s="392">
        <f t="shared" si="5"/>
        <v>272288.11480521702</v>
      </c>
      <c r="G74" s="1393">
        <f t="shared" si="15"/>
        <v>1.0163853</v>
      </c>
      <c r="H74" s="390">
        <f t="shared" si="6"/>
        <v>276.74959999999999</v>
      </c>
      <c r="I74" s="1394">
        <f t="shared" si="7"/>
        <v>437291.17782277509</v>
      </c>
      <c r="J74" s="1369">
        <v>73999.507415523374</v>
      </c>
      <c r="K74" s="1370">
        <v>113201.16268843086</v>
      </c>
      <c r="L74" s="1370">
        <v>0</v>
      </c>
      <c r="M74" s="1371">
        <v>85186.264624551201</v>
      </c>
      <c r="N74" s="725">
        <v>74497.648000000001</v>
      </c>
      <c r="O74" s="320">
        <v>112427.69</v>
      </c>
      <c r="P74" s="1403">
        <v>85362.776805217014</v>
      </c>
      <c r="Q74" s="319">
        <v>74497.649999999994</v>
      </c>
      <c r="R74" s="1372">
        <f t="shared" si="16"/>
        <v>-1.999999993131496E-3</v>
      </c>
      <c r="S74" s="1373">
        <v>74297.167000000001</v>
      </c>
      <c r="T74" s="1374">
        <v>38130.538</v>
      </c>
      <c r="U74" s="1372">
        <f t="shared" si="8"/>
        <v>-1.4999999999417923E-2</v>
      </c>
      <c r="V74" s="1373">
        <v>85362.773000000001</v>
      </c>
      <c r="W74" s="1395">
        <f t="shared" si="9"/>
        <v>3.805217012995854E-3</v>
      </c>
      <c r="X74" s="532"/>
      <c r="Y74" s="520">
        <f t="shared" si="17"/>
        <v>-187200.67010395424</v>
      </c>
      <c r="Z74" s="520">
        <f t="shared" si="10"/>
        <v>187200.67010395424</v>
      </c>
      <c r="AA74" s="520">
        <f t="shared" si="11"/>
        <v>90062.494019165038</v>
      </c>
      <c r="AB74" s="520">
        <f t="shared" si="18"/>
        <v>97138.1760847892</v>
      </c>
      <c r="AC74" s="525" t="e">
        <f t="shared" si="19"/>
        <v>#REF!</v>
      </c>
      <c r="AG74" s="843"/>
      <c r="AH74" s="843"/>
      <c r="AI74" s="843"/>
      <c r="AJ74" s="843"/>
    </row>
    <row r="75" spans="1:36" x14ac:dyDescent="0.2">
      <c r="C75" s="387">
        <f t="shared" si="12"/>
        <v>43317</v>
      </c>
      <c r="D75" s="1392">
        <f t="shared" si="13"/>
        <v>150304.21677419354</v>
      </c>
      <c r="E75" s="1368">
        <f t="shared" si="14"/>
        <v>14421.080258064516</v>
      </c>
      <c r="F75" s="392">
        <f t="shared" si="5"/>
        <v>273218.9708735501</v>
      </c>
      <c r="G75" s="1393">
        <f t="shared" si="15"/>
        <v>1.0163853</v>
      </c>
      <c r="H75" s="390">
        <f t="shared" si="6"/>
        <v>277.69569999999999</v>
      </c>
      <c r="I75" s="1394">
        <f t="shared" si="7"/>
        <v>438222.97999110818</v>
      </c>
      <c r="J75" s="1369">
        <v>73999.507415523374</v>
      </c>
      <c r="K75" s="1370">
        <v>111476.14636882694</v>
      </c>
      <c r="L75" s="1370">
        <v>0</v>
      </c>
      <c r="M75" s="1371">
        <v>86911.280944155136</v>
      </c>
      <c r="N75" s="724">
        <v>73444.932000000001</v>
      </c>
      <c r="O75" s="318">
        <v>112878.34</v>
      </c>
      <c r="P75" s="1403">
        <v>86895.698873550093</v>
      </c>
      <c r="Q75" s="317">
        <v>73444.899999999994</v>
      </c>
      <c r="R75" s="1372">
        <f t="shared" si="16"/>
        <v>3.2000000006519258E-2</v>
      </c>
      <c r="S75" s="1373">
        <v>74584.917000000001</v>
      </c>
      <c r="T75" s="1374">
        <v>38293.411</v>
      </c>
      <c r="U75" s="1372">
        <f t="shared" si="8"/>
        <v>1.1999999987892807E-2</v>
      </c>
      <c r="V75" s="1373">
        <v>86895.695000000007</v>
      </c>
      <c r="W75" s="1395">
        <f t="shared" si="9"/>
        <v>3.8735500857001171E-3</v>
      </c>
      <c r="X75" s="532"/>
      <c r="Y75" s="520">
        <f t="shared" si="17"/>
        <v>-185475.65378435032</v>
      </c>
      <c r="Z75" s="520">
        <f t="shared" si="10"/>
        <v>185475.65378435032</v>
      </c>
      <c r="AA75" s="520">
        <f t="shared" si="11"/>
        <v>91679.841131404261</v>
      </c>
      <c r="AB75" s="520">
        <f t="shared" si="18"/>
        <v>93795.812652946057</v>
      </c>
      <c r="AC75" s="525" t="e">
        <f t="shared" si="19"/>
        <v>#REF!</v>
      </c>
      <c r="AG75" s="843"/>
      <c r="AH75" s="843"/>
      <c r="AI75" s="843"/>
      <c r="AJ75" s="843"/>
    </row>
    <row r="76" spans="1:36" x14ac:dyDescent="0.2">
      <c r="C76" s="387">
        <f t="shared" si="12"/>
        <v>43318</v>
      </c>
      <c r="D76" s="1392">
        <f t="shared" si="13"/>
        <v>150304.21677419354</v>
      </c>
      <c r="E76" s="1368">
        <f t="shared" si="14"/>
        <v>14421.080258064516</v>
      </c>
      <c r="F76" s="392">
        <f t="shared" si="5"/>
        <v>310265.3806037727</v>
      </c>
      <c r="G76" s="1393">
        <f t="shared" si="15"/>
        <v>1.0163853</v>
      </c>
      <c r="H76" s="390">
        <f t="shared" si="6"/>
        <v>315.3492</v>
      </c>
      <c r="I76" s="1394">
        <f t="shared" si="7"/>
        <v>475307.04322133079</v>
      </c>
      <c r="J76" s="1369">
        <v>73999.507415523374</v>
      </c>
      <c r="K76" s="1370">
        <v>116449.6796597217</v>
      </c>
      <c r="L76" s="1370">
        <v>0</v>
      </c>
      <c r="M76" s="1371">
        <v>125675.0880380806</v>
      </c>
      <c r="N76" s="725">
        <v>74707.031000000003</v>
      </c>
      <c r="O76" s="320">
        <v>109848.41</v>
      </c>
      <c r="P76" s="1403">
        <v>125709.93960377271</v>
      </c>
      <c r="Q76" s="319">
        <v>74707</v>
      </c>
      <c r="R76" s="1372">
        <f t="shared" si="16"/>
        <v>3.1000000002677552E-2</v>
      </c>
      <c r="S76" s="1373">
        <v>71506.402000000002</v>
      </c>
      <c r="T76" s="1374">
        <v>38342.008999999998</v>
      </c>
      <c r="U76" s="1372">
        <f t="shared" si="8"/>
        <v>-9.9999998928979039E-4</v>
      </c>
      <c r="V76" s="1373">
        <v>125709.93399999999</v>
      </c>
      <c r="W76" s="1395">
        <f t="shared" si="9"/>
        <v>5.6037727190414444E-3</v>
      </c>
      <c r="X76" s="532"/>
      <c r="Y76" s="520">
        <f t="shared" si="17"/>
        <v>-190449.18707524508</v>
      </c>
      <c r="Z76" s="520">
        <f t="shared" si="10"/>
        <v>190449.18707524508</v>
      </c>
      <c r="AA76" s="520">
        <f t="shared" si="11"/>
        <v>132631.02498354204</v>
      </c>
      <c r="AB76" s="520">
        <f t="shared" si="18"/>
        <v>57818.162091703038</v>
      </c>
      <c r="AC76" s="525" t="e">
        <f t="shared" si="19"/>
        <v>#REF!</v>
      </c>
      <c r="AG76" s="843"/>
      <c r="AH76" s="843"/>
      <c r="AI76" s="843"/>
      <c r="AJ76" s="843"/>
    </row>
    <row r="77" spans="1:36" x14ac:dyDescent="0.2">
      <c r="C77" s="387">
        <f t="shared" si="12"/>
        <v>43319</v>
      </c>
      <c r="D77" s="1392">
        <f t="shared" si="13"/>
        <v>150304.21677419354</v>
      </c>
      <c r="E77" s="1368">
        <f t="shared" si="14"/>
        <v>14421.080258064516</v>
      </c>
      <c r="F77" s="392">
        <f t="shared" si="5"/>
        <v>313345.36960758385</v>
      </c>
      <c r="G77" s="1393">
        <f t="shared" si="15"/>
        <v>1.0163853</v>
      </c>
      <c r="H77" s="390">
        <f t="shared" si="6"/>
        <v>318.4796</v>
      </c>
      <c r="I77" s="1394">
        <f t="shared" si="7"/>
        <v>478390.16262514197</v>
      </c>
      <c r="J77" s="1369">
        <v>72999.314466908982</v>
      </c>
      <c r="K77" s="1370">
        <v>112495.33032279476</v>
      </c>
      <c r="L77" s="1370">
        <v>0</v>
      </c>
      <c r="M77" s="1371">
        <v>162252.81940465479</v>
      </c>
      <c r="N77" s="724">
        <v>74766.483999999997</v>
      </c>
      <c r="O77" s="318">
        <v>112783.45</v>
      </c>
      <c r="P77" s="1403">
        <v>125795.43560758387</v>
      </c>
      <c r="Q77" s="317">
        <v>74766.5</v>
      </c>
      <c r="R77" s="1372">
        <f t="shared" si="16"/>
        <v>-1.6000000003259629E-2</v>
      </c>
      <c r="S77" s="1373">
        <v>74434.259999999995</v>
      </c>
      <c r="T77" s="1374">
        <v>38349.161999999997</v>
      </c>
      <c r="U77" s="1372">
        <f t="shared" si="8"/>
        <v>2.8000000005704351E-2</v>
      </c>
      <c r="V77" s="1373">
        <v>125795.43</v>
      </c>
      <c r="W77" s="1395">
        <f t="shared" si="9"/>
        <v>5.6075838801916689E-3</v>
      </c>
      <c r="X77" s="532"/>
      <c r="Y77" s="520">
        <f t="shared" si="17"/>
        <v>-185494.64478970374</v>
      </c>
      <c r="Z77" s="520">
        <f t="shared" si="10"/>
        <v>185494.64478970374</v>
      </c>
      <c r="AA77" s="520">
        <f t="shared" si="11"/>
        <v>132721.25865196303</v>
      </c>
      <c r="AB77" s="520">
        <f t="shared" si="18"/>
        <v>52773.386137740716</v>
      </c>
      <c r="AC77" s="525" t="e">
        <f t="shared" si="19"/>
        <v>#REF!</v>
      </c>
      <c r="AG77" s="843"/>
      <c r="AH77" s="843"/>
      <c r="AI77" s="843"/>
      <c r="AJ77" s="843"/>
    </row>
    <row r="78" spans="1:36" x14ac:dyDescent="0.2">
      <c r="C78" s="387">
        <f t="shared" si="12"/>
        <v>43320</v>
      </c>
      <c r="D78" s="1392">
        <f t="shared" si="13"/>
        <v>150304.21677419354</v>
      </c>
      <c r="E78" s="1368">
        <f t="shared" si="14"/>
        <v>14421.080258064516</v>
      </c>
      <c r="F78" s="392">
        <f t="shared" si="5"/>
        <v>269932.9096471818</v>
      </c>
      <c r="G78" s="1393">
        <f t="shared" si="15"/>
        <v>1.0163853</v>
      </c>
      <c r="H78" s="390">
        <f t="shared" si="6"/>
        <v>274.35579999999999</v>
      </c>
      <c r="I78" s="1394">
        <f t="shared" si="7"/>
        <v>434933.57886473992</v>
      </c>
      <c r="J78" s="1369">
        <v>73999.507415523374</v>
      </c>
      <c r="K78" s="1370">
        <v>122225.05539887273</v>
      </c>
      <c r="L78" s="1370">
        <v>0</v>
      </c>
      <c r="M78" s="1371">
        <v>121330.36803555522</v>
      </c>
      <c r="N78" s="725">
        <v>75244.641000000003</v>
      </c>
      <c r="O78" s="320">
        <v>112870.71</v>
      </c>
      <c r="P78" s="1403">
        <v>81817.558647181781</v>
      </c>
      <c r="Q78" s="319">
        <v>75244.600000000006</v>
      </c>
      <c r="R78" s="1372">
        <f t="shared" si="16"/>
        <v>4.0999999997438863E-2</v>
      </c>
      <c r="S78" s="1373">
        <v>74704.566999999995</v>
      </c>
      <c r="T78" s="1374">
        <v>38166.141000000003</v>
      </c>
      <c r="U78" s="1372">
        <f t="shared" si="8"/>
        <v>2.0000000076834112E-3</v>
      </c>
      <c r="V78" s="1373">
        <v>81817.554999999993</v>
      </c>
      <c r="W78" s="1395">
        <f t="shared" si="9"/>
        <v>3.6471817875280976E-3</v>
      </c>
      <c r="X78" s="532"/>
      <c r="Y78" s="520">
        <f t="shared" si="17"/>
        <v>-196224.56281439611</v>
      </c>
      <c r="Z78" s="520">
        <f t="shared" si="10"/>
        <v>196224.56281439611</v>
      </c>
      <c r="AA78" s="520">
        <f t="shared" si="11"/>
        <v>86322.108266173032</v>
      </c>
      <c r="AB78" s="520">
        <f t="shared" si="18"/>
        <v>109902.45454822308</v>
      </c>
      <c r="AC78" s="525" t="e">
        <f t="shared" si="19"/>
        <v>#REF!</v>
      </c>
      <c r="AF78" s="829"/>
    </row>
    <row r="79" spans="1:36" x14ac:dyDescent="0.2">
      <c r="C79" s="387">
        <f t="shared" si="12"/>
        <v>43321</v>
      </c>
      <c r="D79" s="1392">
        <f t="shared" si="13"/>
        <v>150304.21677419354</v>
      </c>
      <c r="E79" s="1368">
        <f t="shared" si="14"/>
        <v>14421.080258064516</v>
      </c>
      <c r="F79" s="392">
        <f t="shared" si="5"/>
        <v>272384.2307624917</v>
      </c>
      <c r="G79" s="1393">
        <f t="shared" si="15"/>
        <v>1.0163853</v>
      </c>
      <c r="H79" s="390">
        <f t="shared" si="6"/>
        <v>276.84730000000002</v>
      </c>
      <c r="I79" s="1394">
        <f t="shared" si="7"/>
        <v>437387.39148004982</v>
      </c>
      <c r="J79" s="1369">
        <v>73999.507415523374</v>
      </c>
      <c r="K79" s="1370">
        <v>111744.13055548101</v>
      </c>
      <c r="L79" s="1370">
        <v>0</v>
      </c>
      <c r="M79" s="1371">
        <v>119723.51797148379</v>
      </c>
      <c r="N79" s="724">
        <v>74767.093999999997</v>
      </c>
      <c r="O79" s="318">
        <v>113212.82</v>
      </c>
      <c r="P79" s="1403">
        <v>84404.316762491726</v>
      </c>
      <c r="Q79" s="317">
        <v>74767.09</v>
      </c>
      <c r="R79" s="1372">
        <f t="shared" si="16"/>
        <v>4.0000000008149073E-3</v>
      </c>
      <c r="S79" s="1373">
        <v>74659.362999999998</v>
      </c>
      <c r="T79" s="1374">
        <v>38553.472999999998</v>
      </c>
      <c r="U79" s="1372">
        <f t="shared" si="8"/>
        <v>-1.5999999988707714E-2</v>
      </c>
      <c r="V79" s="1373">
        <v>84404.312999999995</v>
      </c>
      <c r="W79" s="1395">
        <f t="shared" si="9"/>
        <v>3.7624917313223705E-3</v>
      </c>
      <c r="X79" s="532"/>
      <c r="Y79" s="520">
        <f t="shared" si="17"/>
        <v>-185743.63797100438</v>
      </c>
      <c r="Z79" s="520">
        <f t="shared" si="10"/>
        <v>185743.63797100438</v>
      </c>
      <c r="AA79" s="520">
        <f t="shared" si="11"/>
        <v>89051.263945271479</v>
      </c>
      <c r="AB79" s="520">
        <f t="shared" si="18"/>
        <v>96692.374025732905</v>
      </c>
      <c r="AC79" s="525" t="e">
        <f t="shared" si="19"/>
        <v>#REF!</v>
      </c>
      <c r="AF79" s="829"/>
    </row>
    <row r="80" spans="1:36" x14ac:dyDescent="0.2">
      <c r="C80" s="387">
        <f t="shared" si="12"/>
        <v>43322</v>
      </c>
      <c r="D80" s="1392">
        <f t="shared" si="13"/>
        <v>150304.21677419354</v>
      </c>
      <c r="E80" s="1368">
        <f t="shared" si="14"/>
        <v>14421.080258064516</v>
      </c>
      <c r="F80" s="392">
        <f t="shared" si="5"/>
        <v>301456.88075153477</v>
      </c>
      <c r="G80" s="1393">
        <f t="shared" si="15"/>
        <v>1.0163853</v>
      </c>
      <c r="H80" s="390">
        <f t="shared" si="6"/>
        <v>306.3963</v>
      </c>
      <c r="I80" s="1394">
        <f t="shared" si="7"/>
        <v>466489.59046909289</v>
      </c>
      <c r="J80" s="1369">
        <v>73999.507415523374</v>
      </c>
      <c r="K80" s="1370">
        <v>102897.48722833789</v>
      </c>
      <c r="L80" s="1370">
        <v>0</v>
      </c>
      <c r="M80" s="1371">
        <v>109891.45247766784</v>
      </c>
      <c r="N80" s="725">
        <v>74492.851999999999</v>
      </c>
      <c r="O80" s="320">
        <v>112903.02</v>
      </c>
      <c r="P80" s="1403">
        <v>114061.00875153478</v>
      </c>
      <c r="Q80" s="319">
        <v>74492.850000000006</v>
      </c>
      <c r="R80" s="1372">
        <f t="shared" si="16"/>
        <v>1.999999993131496E-3</v>
      </c>
      <c r="S80" s="1373">
        <v>75884.316000000006</v>
      </c>
      <c r="T80" s="1374">
        <v>37018.705999999998</v>
      </c>
      <c r="U80" s="1372">
        <f t="shared" si="8"/>
        <v>-1.999999993131496E-3</v>
      </c>
      <c r="V80" s="1373">
        <v>114061.004</v>
      </c>
      <c r="W80" s="1395">
        <f t="shared" si="9"/>
        <v>4.7515347832813859E-3</v>
      </c>
      <c r="X80" s="532"/>
      <c r="Y80" s="520">
        <f t="shared" si="17"/>
        <v>-176896.99464386125</v>
      </c>
      <c r="Z80" s="520">
        <f t="shared" si="10"/>
        <v>176896.99464386125</v>
      </c>
      <c r="AA80" s="520">
        <f t="shared" si="11"/>
        <v>120340.74953924729</v>
      </c>
      <c r="AB80" s="520">
        <f t="shared" si="18"/>
        <v>56556.245104613961</v>
      </c>
      <c r="AC80" s="525" t="e">
        <f t="shared" si="19"/>
        <v>#REF!</v>
      </c>
      <c r="AF80" s="829"/>
    </row>
    <row r="81" spans="3:36" x14ac:dyDescent="0.2">
      <c r="C81" s="387">
        <f t="shared" si="12"/>
        <v>43323</v>
      </c>
      <c r="D81" s="1392">
        <f t="shared" si="13"/>
        <v>150304.21677419354</v>
      </c>
      <c r="E81" s="1368">
        <f t="shared" si="14"/>
        <v>14421.080258064516</v>
      </c>
      <c r="F81" s="392">
        <f t="shared" si="5"/>
        <v>190364.78656688269</v>
      </c>
      <c r="G81" s="1393">
        <f t="shared" si="15"/>
        <v>1.0163853</v>
      </c>
      <c r="H81" s="390">
        <f t="shared" si="6"/>
        <v>193.48400000000001</v>
      </c>
      <c r="I81" s="1394">
        <f t="shared" si="7"/>
        <v>355284.58398444077</v>
      </c>
      <c r="J81" s="1369">
        <v>73999.507415523374</v>
      </c>
      <c r="K81" s="1370">
        <v>113175.84134795962</v>
      </c>
      <c r="L81" s="1370">
        <v>0</v>
      </c>
      <c r="M81" s="1371">
        <v>81910.316201083187</v>
      </c>
      <c r="N81" s="724">
        <v>72824.991999999998</v>
      </c>
      <c r="O81" s="318">
        <v>109902.39999999999</v>
      </c>
      <c r="P81" s="1403">
        <v>7637.3945668827</v>
      </c>
      <c r="Q81" s="317">
        <v>72824.990000000005</v>
      </c>
      <c r="R81" s="1372">
        <f t="shared" si="16"/>
        <v>1.999999993131496E-3</v>
      </c>
      <c r="S81" s="1373">
        <v>71389.354999999996</v>
      </c>
      <c r="T81" s="1374">
        <v>38513.025000000001</v>
      </c>
      <c r="U81" s="1372">
        <f t="shared" si="8"/>
        <v>1.9999999989522621E-2</v>
      </c>
      <c r="V81" s="1373">
        <v>7637.3940000000002</v>
      </c>
      <c r="W81" s="1395">
        <f t="shared" si="9"/>
        <v>5.6688269978621975E-4</v>
      </c>
      <c r="X81" s="532"/>
      <c r="Y81" s="520">
        <f t="shared" si="17"/>
        <v>-187175.34876348299</v>
      </c>
      <c r="Z81" s="520">
        <f t="shared" si="10"/>
        <v>187175.34876348299</v>
      </c>
      <c r="AA81" s="520">
        <f t="shared" si="11"/>
        <v>8057.900063276983</v>
      </c>
      <c r="AB81" s="520">
        <f t="shared" si="18"/>
        <v>179117.44870020601</v>
      </c>
      <c r="AC81" s="525" t="e">
        <f t="shared" si="19"/>
        <v>#REF!</v>
      </c>
      <c r="AF81" s="829"/>
    </row>
    <row r="82" spans="3:36" x14ac:dyDescent="0.2">
      <c r="C82" s="387">
        <f t="shared" si="12"/>
        <v>43324</v>
      </c>
      <c r="D82" s="1392">
        <f t="shared" si="13"/>
        <v>150304.21677419354</v>
      </c>
      <c r="E82" s="1368">
        <f t="shared" si="14"/>
        <v>14421.080258064516</v>
      </c>
      <c r="F82" s="392">
        <f t="shared" si="5"/>
        <v>180832.326</v>
      </c>
      <c r="G82" s="1393">
        <f t="shared" si="15"/>
        <v>1.0163853</v>
      </c>
      <c r="H82" s="390">
        <f t="shared" si="6"/>
        <v>183.7953</v>
      </c>
      <c r="I82" s="1394">
        <f t="shared" si="7"/>
        <v>345742.43471755809</v>
      </c>
      <c r="J82" s="1369">
        <v>73999.507415523374</v>
      </c>
      <c r="K82" s="1370">
        <v>113175.84134795962</v>
      </c>
      <c r="L82" s="1370">
        <v>0</v>
      </c>
      <c r="M82" s="1371">
        <v>81765.773549226462</v>
      </c>
      <c r="N82" s="725">
        <v>71585.016000000003</v>
      </c>
      <c r="O82" s="320">
        <v>109247.31</v>
      </c>
      <c r="P82" s="1371">
        <v>0</v>
      </c>
      <c r="Q82" s="319">
        <v>71585.02</v>
      </c>
      <c r="R82" s="1372">
        <f t="shared" si="16"/>
        <v>-4.0000000008149073E-3</v>
      </c>
      <c r="S82" s="1373">
        <v>70534.3</v>
      </c>
      <c r="T82" s="1374">
        <v>38713.021000000001</v>
      </c>
      <c r="U82" s="1372">
        <f t="shared" si="8"/>
        <v>-1.0999999998603016E-2</v>
      </c>
      <c r="V82" s="1373">
        <v>0</v>
      </c>
      <c r="W82" s="1395">
        <f t="shared" si="9"/>
        <v>0</v>
      </c>
      <c r="X82" s="532"/>
      <c r="Y82" s="520">
        <f t="shared" si="17"/>
        <v>-187175.34876348299</v>
      </c>
      <c r="Z82" s="520">
        <f t="shared" si="10"/>
        <v>187175.34876348299</v>
      </c>
      <c r="AA82" s="520">
        <f t="shared" si="11"/>
        <v>-1.1605615998526103E-2</v>
      </c>
      <c r="AB82" s="520">
        <f t="shared" si="18"/>
        <v>187175.36036909898</v>
      </c>
      <c r="AC82" s="525" t="e">
        <f t="shared" si="19"/>
        <v>#REF!</v>
      </c>
      <c r="AF82" s="829"/>
    </row>
    <row r="83" spans="3:36" x14ac:dyDescent="0.2">
      <c r="C83" s="387">
        <f t="shared" si="12"/>
        <v>43325</v>
      </c>
      <c r="D83" s="1392">
        <f t="shared" si="13"/>
        <v>150304.21677419354</v>
      </c>
      <c r="E83" s="1368">
        <f t="shared" si="14"/>
        <v>14421.080258064516</v>
      </c>
      <c r="F83" s="392">
        <f t="shared" si="5"/>
        <v>183655.30805752595</v>
      </c>
      <c r="G83" s="1393">
        <f t="shared" si="15"/>
        <v>1.0163853</v>
      </c>
      <c r="H83" s="390">
        <f t="shared" si="6"/>
        <v>186.66460000000001</v>
      </c>
      <c r="I83" s="1394">
        <f t="shared" si="7"/>
        <v>348568.28607508406</v>
      </c>
      <c r="J83" s="1369">
        <v>73999.507415523374</v>
      </c>
      <c r="K83" s="1370">
        <v>112799.18640844976</v>
      </c>
      <c r="L83" s="1370">
        <v>0</v>
      </c>
      <c r="M83" s="1371">
        <v>0</v>
      </c>
      <c r="N83" s="724">
        <v>72645.164000000004</v>
      </c>
      <c r="O83" s="318">
        <v>109719.66</v>
      </c>
      <c r="P83" s="1403">
        <v>1290.4840575259154</v>
      </c>
      <c r="Q83" s="317">
        <v>72645</v>
      </c>
      <c r="R83" s="1372">
        <f t="shared" si="16"/>
        <v>0.16400000000430737</v>
      </c>
      <c r="S83" s="1373">
        <v>70879.216</v>
      </c>
      <c r="T83" s="1374">
        <v>38840.457999999999</v>
      </c>
      <c r="U83" s="1372">
        <f>O83-(S83+T83)</f>
        <v>-1.3999999995576218E-2</v>
      </c>
      <c r="V83" s="1373">
        <v>1290.4839999999999</v>
      </c>
      <c r="W83" s="1395">
        <f>P83-V83</f>
        <v>5.7525915508449543E-5</v>
      </c>
      <c r="X83" s="532"/>
      <c r="Y83" s="520">
        <f t="shared" si="17"/>
        <v>-186798.69382397312</v>
      </c>
      <c r="Z83" s="520">
        <f t="shared" si="10"/>
        <v>186798.69382397312</v>
      </c>
      <c r="AA83" s="520">
        <f t="shared" si="11"/>
        <v>1361.5181770130669</v>
      </c>
      <c r="AB83" s="520">
        <f t="shared" si="18"/>
        <v>185437.17564696007</v>
      </c>
      <c r="AC83" s="525" t="e">
        <f t="shared" si="19"/>
        <v>#REF!</v>
      </c>
      <c r="AF83" s="829"/>
    </row>
    <row r="84" spans="3:36" x14ac:dyDescent="0.2">
      <c r="C84" s="387">
        <f t="shared" si="12"/>
        <v>43326</v>
      </c>
      <c r="D84" s="1392">
        <f t="shared" si="13"/>
        <v>150304.21677419354</v>
      </c>
      <c r="E84" s="1368">
        <f t="shared" si="14"/>
        <v>14421.080258064516</v>
      </c>
      <c r="F84" s="392">
        <f t="shared" si="5"/>
        <v>241974.20712033764</v>
      </c>
      <c r="G84" s="1393">
        <f t="shared" si="15"/>
        <v>1.0163853</v>
      </c>
      <c r="H84" s="390">
        <f t="shared" si="6"/>
        <v>245.93899999999999</v>
      </c>
      <c r="I84" s="1394">
        <f t="shared" si="7"/>
        <v>406946.45953789575</v>
      </c>
      <c r="J84" s="1369">
        <v>73999.507415523374</v>
      </c>
      <c r="K84" s="1370">
        <v>99599.382631957531</v>
      </c>
      <c r="L84" s="1370">
        <v>0</v>
      </c>
      <c r="M84" s="1371">
        <v>0</v>
      </c>
      <c r="N84" s="725">
        <v>74233.460999999996</v>
      </c>
      <c r="O84" s="320">
        <v>97741.93</v>
      </c>
      <c r="P84" s="1403">
        <v>69998.816120337622</v>
      </c>
      <c r="Q84" s="319">
        <v>74233.460999999996</v>
      </c>
      <c r="R84" s="1372">
        <f t="shared" si="16"/>
        <v>0</v>
      </c>
      <c r="S84" s="1373">
        <v>73207.717000000004</v>
      </c>
      <c r="T84" s="1374">
        <v>24534.225999999999</v>
      </c>
      <c r="U84" s="1372">
        <f t="shared" si="8"/>
        <v>-1.3000000006286427E-2</v>
      </c>
      <c r="V84" s="1373">
        <v>69998.812999999995</v>
      </c>
      <c r="W84" s="1395">
        <f t="shared" si="9"/>
        <v>3.1203376274788752E-3</v>
      </c>
      <c r="X84" s="532"/>
      <c r="Y84" s="520">
        <f t="shared" si="17"/>
        <v>-173598.89004748091</v>
      </c>
      <c r="Z84" s="520">
        <f t="shared" si="10"/>
        <v>173598.89004748091</v>
      </c>
      <c r="AA84" s="520">
        <f t="shared" si="11"/>
        <v>73852.657224930925</v>
      </c>
      <c r="AB84" s="520">
        <f t="shared" si="18"/>
        <v>99746.23282254998</v>
      </c>
      <c r="AC84" s="525" t="e">
        <f t="shared" si="19"/>
        <v>#REF!</v>
      </c>
      <c r="AF84" s="829"/>
    </row>
    <row r="85" spans="3:36" x14ac:dyDescent="0.2">
      <c r="C85" s="387">
        <f t="shared" si="12"/>
        <v>43327</v>
      </c>
      <c r="D85" s="1392">
        <f t="shared" si="13"/>
        <v>150304.21677419354</v>
      </c>
      <c r="E85" s="1368">
        <f t="shared" si="14"/>
        <v>14421.080258064516</v>
      </c>
      <c r="F85" s="392">
        <f t="shared" si="5"/>
        <v>277757.88901093195</v>
      </c>
      <c r="G85" s="1393">
        <f t="shared" si="15"/>
        <v>1.0163853</v>
      </c>
      <c r="H85" s="390">
        <f t="shared" si="6"/>
        <v>282.30900000000003</v>
      </c>
      <c r="I85" s="1394">
        <f t="shared" si="7"/>
        <v>442766.51142849005</v>
      </c>
      <c r="J85" s="1369">
        <v>73999.507415523374</v>
      </c>
      <c r="K85" s="1370">
        <v>112799.18640844976</v>
      </c>
      <c r="L85" s="1370">
        <v>0</v>
      </c>
      <c r="M85" s="1371">
        <v>0</v>
      </c>
      <c r="N85" s="724">
        <v>73303.390625</v>
      </c>
      <c r="O85" s="318">
        <v>106064.49</v>
      </c>
      <c r="P85" s="1403">
        <v>98390.008385931986</v>
      </c>
      <c r="Q85" s="317">
        <v>73303.399999999994</v>
      </c>
      <c r="R85" s="1372">
        <f t="shared" si="16"/>
        <v>-9.3749999941792339E-3</v>
      </c>
      <c r="S85" s="1373">
        <v>71397.247000000003</v>
      </c>
      <c r="T85" s="1374">
        <v>34667.249000000003</v>
      </c>
      <c r="U85" s="1372">
        <f t="shared" si="8"/>
        <v>-6.0000000084983185E-3</v>
      </c>
      <c r="V85" s="1373">
        <v>98390.004000000001</v>
      </c>
      <c r="W85" s="1395">
        <f t="shared" si="9"/>
        <v>4.3859319848706946E-3</v>
      </c>
      <c r="X85" s="532"/>
      <c r="Y85" s="520">
        <f t="shared" si="17"/>
        <v>-186798.69382397312</v>
      </c>
      <c r="Z85" s="520">
        <f t="shared" si="10"/>
        <v>186798.69382397312</v>
      </c>
      <c r="AA85" s="520">
        <f t="shared" si="11"/>
        <v>103806.96235729185</v>
      </c>
      <c r="AB85" s="520">
        <f t="shared" si="18"/>
        <v>82991.731466681274</v>
      </c>
      <c r="AC85" s="525" t="e">
        <f t="shared" si="19"/>
        <v>#REF!</v>
      </c>
      <c r="AF85" s="829"/>
    </row>
    <row r="86" spans="3:36" x14ac:dyDescent="0.2">
      <c r="C86" s="387">
        <f t="shared" si="12"/>
        <v>43328</v>
      </c>
      <c r="D86" s="1392">
        <f t="shared" si="13"/>
        <v>150304.21677419354</v>
      </c>
      <c r="E86" s="1368">
        <f t="shared" si="14"/>
        <v>14421.080258064516</v>
      </c>
      <c r="F86" s="392">
        <f t="shared" si="5"/>
        <v>277169.97917134658</v>
      </c>
      <c r="G86" s="1393">
        <f t="shared" si="15"/>
        <v>1.0163853</v>
      </c>
      <c r="H86" s="390">
        <f t="shared" si="6"/>
        <v>281.7115</v>
      </c>
      <c r="I86" s="1394">
        <f t="shared" si="7"/>
        <v>442178.00408890465</v>
      </c>
      <c r="J86" s="1369">
        <v>73999.507415523374</v>
      </c>
      <c r="K86" s="1370">
        <v>107001.6544963864</v>
      </c>
      <c r="L86" s="1370">
        <v>0</v>
      </c>
      <c r="M86" s="1371">
        <v>94565.71115744354</v>
      </c>
      <c r="N86" s="725">
        <v>74108.173999999999</v>
      </c>
      <c r="O86" s="320">
        <v>109485.61</v>
      </c>
      <c r="P86" s="1403">
        <v>93576.195171346611</v>
      </c>
      <c r="Q86" s="319">
        <v>74108.2</v>
      </c>
      <c r="R86" s="1372">
        <f t="shared" si="16"/>
        <v>-2.599999999802094E-2</v>
      </c>
      <c r="S86" s="1373">
        <v>71495.97</v>
      </c>
      <c r="T86" s="1374">
        <v>37989.631999999998</v>
      </c>
      <c r="U86" s="1372">
        <f t="shared" si="8"/>
        <v>8.0000000016298145E-3</v>
      </c>
      <c r="V86" s="1373">
        <v>93576.191000000006</v>
      </c>
      <c r="W86" s="1395">
        <f t="shared" si="9"/>
        <v>4.1713466052897274E-3</v>
      </c>
      <c r="X86" s="532"/>
      <c r="Y86" s="520">
        <f t="shared" si="17"/>
        <v>-181001.16191190976</v>
      </c>
      <c r="Z86" s="520">
        <f t="shared" si="10"/>
        <v>181001.16191190976</v>
      </c>
      <c r="AA86" s="520">
        <f t="shared" si="11"/>
        <v>98728.134613148271</v>
      </c>
      <c r="AB86" s="520">
        <f t="shared" si="18"/>
        <v>82273.027298761488</v>
      </c>
      <c r="AC86" s="525" t="e">
        <f t="shared" si="19"/>
        <v>#REF!</v>
      </c>
      <c r="AF86" s="829"/>
    </row>
    <row r="87" spans="3:36" x14ac:dyDescent="0.2">
      <c r="C87" s="387">
        <f t="shared" si="12"/>
        <v>43329</v>
      </c>
      <c r="D87" s="1392">
        <f t="shared" si="13"/>
        <v>150304.21677419354</v>
      </c>
      <c r="E87" s="1368">
        <f t="shared" si="14"/>
        <v>14421.080258064516</v>
      </c>
      <c r="F87" s="392">
        <f t="shared" si="5"/>
        <v>307153.17614354967</v>
      </c>
      <c r="G87" s="1393">
        <f t="shared" si="15"/>
        <v>1.0163853</v>
      </c>
      <c r="H87" s="390">
        <f t="shared" si="6"/>
        <v>312.18599999999998</v>
      </c>
      <c r="I87" s="1394">
        <f t="shared" si="7"/>
        <v>472191.67556110775</v>
      </c>
      <c r="J87" s="1369">
        <v>73999.507415523374</v>
      </c>
      <c r="K87" s="1370">
        <v>109998.01311881769</v>
      </c>
      <c r="L87" s="1370">
        <v>0</v>
      </c>
      <c r="M87" s="1371">
        <v>124957.65005806184</v>
      </c>
      <c r="N87" s="724">
        <v>72952.101563000004</v>
      </c>
      <c r="O87" s="318">
        <v>109012.1</v>
      </c>
      <c r="P87" s="1403">
        <v>125188.97458054966</v>
      </c>
      <c r="Q87" s="317">
        <v>72952.100000000006</v>
      </c>
      <c r="R87" s="1372">
        <f t="shared" si="16"/>
        <v>1.5629999979864806E-3</v>
      </c>
      <c r="S87" s="1373">
        <v>70695.941000000006</v>
      </c>
      <c r="T87" s="1374">
        <v>38316.178</v>
      </c>
      <c r="U87" s="1372">
        <f t="shared" si="8"/>
        <v>-1.9000000000232831E-2</v>
      </c>
      <c r="V87" s="1373">
        <v>125188.969</v>
      </c>
      <c r="W87" s="1395">
        <f t="shared" si="9"/>
        <v>5.5805496667744592E-3</v>
      </c>
      <c r="X87" s="532"/>
      <c r="Y87" s="520">
        <f t="shared" si="17"/>
        <v>-183997.52053434105</v>
      </c>
      <c r="Z87" s="520">
        <f t="shared" si="10"/>
        <v>183997.52053434105</v>
      </c>
      <c r="AA87" s="520">
        <f t="shared" si="11"/>
        <v>132081.35871899241</v>
      </c>
      <c r="AB87" s="520">
        <f t="shared" si="18"/>
        <v>51916.161815348634</v>
      </c>
      <c r="AC87" s="525" t="e">
        <f t="shared" si="19"/>
        <v>#REF!</v>
      </c>
      <c r="AF87" s="829"/>
    </row>
    <row r="88" spans="3:36" x14ac:dyDescent="0.2">
      <c r="C88" s="387">
        <f t="shared" si="12"/>
        <v>43330</v>
      </c>
      <c r="D88" s="1392">
        <f t="shared" si="13"/>
        <v>150304.21677419354</v>
      </c>
      <c r="E88" s="1368">
        <f t="shared" si="14"/>
        <v>14421.080258064516</v>
      </c>
      <c r="F88" s="392">
        <f t="shared" si="5"/>
        <v>295739.46109946346</v>
      </c>
      <c r="G88" s="1393">
        <f t="shared" si="15"/>
        <v>1.0163853</v>
      </c>
      <c r="H88" s="390">
        <f t="shared" si="6"/>
        <v>300.58519999999999</v>
      </c>
      <c r="I88" s="1394">
        <f t="shared" si="7"/>
        <v>460766.35971702152</v>
      </c>
      <c r="J88" s="1369">
        <v>73999.507415523374</v>
      </c>
      <c r="K88" s="1370">
        <v>110165.76699943973</v>
      </c>
      <c r="L88" s="1370">
        <v>0</v>
      </c>
      <c r="M88" s="1371">
        <v>120527.47053144599</v>
      </c>
      <c r="N88" s="725">
        <v>73016.256999999998</v>
      </c>
      <c r="O88" s="320">
        <v>108326.48</v>
      </c>
      <c r="P88" s="1403">
        <v>114396.72409946345</v>
      </c>
      <c r="Q88" s="319">
        <v>73016.3</v>
      </c>
      <c r="R88" s="1372">
        <f t="shared" si="16"/>
        <v>-4.3000000005122274E-2</v>
      </c>
      <c r="S88" s="1373">
        <v>70423.248000000007</v>
      </c>
      <c r="T88" s="1374">
        <v>37903.228999999999</v>
      </c>
      <c r="U88" s="1372">
        <f t="shared" si="8"/>
        <v>2.9999999824212864E-3</v>
      </c>
      <c r="V88" s="1373">
        <v>114396.719</v>
      </c>
      <c r="W88" s="1395">
        <f t="shared" si="9"/>
        <v>5.0994634511880577E-3</v>
      </c>
      <c r="X88" s="532"/>
      <c r="Y88" s="520">
        <f t="shared" si="17"/>
        <v>-184165.27441496309</v>
      </c>
      <c r="Z88" s="520">
        <f t="shared" si="10"/>
        <v>184165.27441496309</v>
      </c>
      <c r="AA88" s="520">
        <f t="shared" si="11"/>
        <v>120694.95330665149</v>
      </c>
      <c r="AB88" s="520">
        <f t="shared" si="18"/>
        <v>63470.321108311604</v>
      </c>
      <c r="AC88" s="525" t="e">
        <f t="shared" si="19"/>
        <v>#REF!</v>
      </c>
      <c r="AF88" s="829"/>
    </row>
    <row r="89" spans="3:36" x14ac:dyDescent="0.2">
      <c r="C89" s="387">
        <f t="shared" si="12"/>
        <v>43331</v>
      </c>
      <c r="D89" s="1392">
        <f t="shared" si="13"/>
        <v>150304.21677419354</v>
      </c>
      <c r="E89" s="1368">
        <f t="shared" si="14"/>
        <v>14421.080258064516</v>
      </c>
      <c r="F89" s="392">
        <f t="shared" si="5"/>
        <v>284068.4744432302</v>
      </c>
      <c r="G89" s="1393">
        <f t="shared" si="15"/>
        <v>1.0163853</v>
      </c>
      <c r="H89" s="390">
        <f t="shared" si="6"/>
        <v>288.72300000000001</v>
      </c>
      <c r="I89" s="1394">
        <f t="shared" si="7"/>
        <v>449083.51086078829</v>
      </c>
      <c r="J89" s="1369">
        <v>73999.507415523374</v>
      </c>
      <c r="K89" s="1370">
        <v>110165.76699943973</v>
      </c>
      <c r="L89" s="1370">
        <v>0</v>
      </c>
      <c r="M89" s="1371">
        <v>108070.42607544376</v>
      </c>
      <c r="N89" s="724">
        <v>72182.640625</v>
      </c>
      <c r="O89" s="318">
        <v>103798.04</v>
      </c>
      <c r="P89" s="1403">
        <v>108087.79381823023</v>
      </c>
      <c r="Q89" s="317">
        <v>72182.64</v>
      </c>
      <c r="R89" s="1372">
        <f t="shared" si="16"/>
        <v>6.2500000058207661E-4</v>
      </c>
      <c r="S89" s="1373">
        <v>71008.385999999999</v>
      </c>
      <c r="T89" s="1374">
        <v>32789.654999999999</v>
      </c>
      <c r="U89" s="1372">
        <f t="shared" si="8"/>
        <v>-1.0000000038417056E-3</v>
      </c>
      <c r="V89" s="1373">
        <v>108087.789</v>
      </c>
      <c r="W89" s="1395">
        <f t="shared" si="9"/>
        <v>4.8182302271015942E-3</v>
      </c>
      <c r="X89" s="532"/>
      <c r="Y89" s="520">
        <f t="shared" si="17"/>
        <v>-184165.27441496309</v>
      </c>
      <c r="Z89" s="520">
        <f t="shared" si="10"/>
        <v>184165.27441496309</v>
      </c>
      <c r="AA89" s="520">
        <f t="shared" si="11"/>
        <v>114038.67433963071</v>
      </c>
      <c r="AB89" s="520">
        <f t="shared" si="18"/>
        <v>70126.600075332375</v>
      </c>
      <c r="AC89" s="525" t="e">
        <f t="shared" si="19"/>
        <v>#REF!</v>
      </c>
      <c r="AF89" s="829"/>
    </row>
    <row r="90" spans="3:36" x14ac:dyDescent="0.2">
      <c r="C90" s="387">
        <f t="shared" si="12"/>
        <v>43332</v>
      </c>
      <c r="D90" s="1392">
        <f t="shared" si="13"/>
        <v>150304.21677419354</v>
      </c>
      <c r="E90" s="1368">
        <f t="shared" si="14"/>
        <v>14421.080258064516</v>
      </c>
      <c r="F90" s="392">
        <f t="shared" si="5"/>
        <v>256685.01318115141</v>
      </c>
      <c r="G90" s="1393">
        <f t="shared" si="15"/>
        <v>1.0163853</v>
      </c>
      <c r="H90" s="390">
        <f t="shared" si="6"/>
        <v>260.89089999999999</v>
      </c>
      <c r="I90" s="1394">
        <f t="shared" si="7"/>
        <v>421672.21749870951</v>
      </c>
      <c r="J90" s="1369">
        <v>73999.507415523374</v>
      </c>
      <c r="K90" s="1370">
        <v>100165.94762500176</v>
      </c>
      <c r="L90" s="1370">
        <v>0</v>
      </c>
      <c r="M90" s="1371">
        <v>124567.2793924634</v>
      </c>
      <c r="N90" s="725">
        <v>74398.734375</v>
      </c>
      <c r="O90" s="320">
        <v>74469.45</v>
      </c>
      <c r="P90" s="1403">
        <v>107816.8288061514</v>
      </c>
      <c r="Q90" s="319">
        <v>74398.73</v>
      </c>
      <c r="R90" s="1372">
        <f t="shared" si="16"/>
        <v>4.3750000040745363E-3</v>
      </c>
      <c r="S90" s="1373">
        <v>74392.410999999993</v>
      </c>
      <c r="T90" s="1374">
        <v>77.025000000000006</v>
      </c>
      <c r="U90" s="1372">
        <f t="shared" si="8"/>
        <v>1.4000000010128133E-2</v>
      </c>
      <c r="V90" s="1373">
        <v>107816.82399999999</v>
      </c>
      <c r="W90" s="1395">
        <f t="shared" si="9"/>
        <v>4.8061514098662883E-3</v>
      </c>
      <c r="X90" s="532"/>
      <c r="Y90" s="520">
        <f t="shared" si="17"/>
        <v>-174165.45504052512</v>
      </c>
      <c r="Z90" s="520">
        <f t="shared" si="10"/>
        <v>174165.45504052512</v>
      </c>
      <c r="AA90" s="520">
        <f t="shared" si="11"/>
        <v>113752.80690368688</v>
      </c>
      <c r="AB90" s="520">
        <f t="shared" si="18"/>
        <v>60412.648136838237</v>
      </c>
      <c r="AC90" s="525" t="e">
        <f t="shared" si="19"/>
        <v>#REF!</v>
      </c>
      <c r="AF90" s="829"/>
    </row>
    <row r="91" spans="3:36" x14ac:dyDescent="0.2">
      <c r="C91" s="387">
        <f t="shared" si="12"/>
        <v>43333</v>
      </c>
      <c r="D91" s="1392">
        <f t="shared" si="13"/>
        <v>150304.21677419354</v>
      </c>
      <c r="E91" s="1368">
        <f t="shared" si="14"/>
        <v>14421.080258064516</v>
      </c>
      <c r="F91" s="392">
        <f t="shared" si="5"/>
        <v>258169.64372759144</v>
      </c>
      <c r="G91" s="1393">
        <f t="shared" si="15"/>
        <v>1.0163853</v>
      </c>
      <c r="H91" s="390">
        <f t="shared" si="6"/>
        <v>262.39980000000003</v>
      </c>
      <c r="I91" s="1394">
        <f t="shared" si="7"/>
        <v>423158.35694514954</v>
      </c>
      <c r="J91" s="1369">
        <v>73999.507415523374</v>
      </c>
      <c r="K91" s="1370">
        <v>101499.53822315428</v>
      </c>
      <c r="L91" s="1370">
        <v>0</v>
      </c>
      <c r="M91" s="1371">
        <v>104535.98896799839</v>
      </c>
      <c r="N91" s="724">
        <v>74697.421875</v>
      </c>
      <c r="O91" s="318">
        <v>74613.600000000006</v>
      </c>
      <c r="P91" s="1403">
        <v>108858.62185259143</v>
      </c>
      <c r="Q91" s="317">
        <v>74697.42</v>
      </c>
      <c r="R91" s="1372">
        <f t="shared" si="16"/>
        <v>1.8750000017462298E-3</v>
      </c>
      <c r="S91" s="1373">
        <v>74527.087</v>
      </c>
      <c r="T91" s="1374">
        <v>86.51</v>
      </c>
      <c r="U91" s="1372">
        <f t="shared" si="8"/>
        <v>3.0000000115251169E-3</v>
      </c>
      <c r="V91" s="1373">
        <v>108858.617</v>
      </c>
      <c r="W91" s="1395">
        <f t="shared" si="9"/>
        <v>4.8525914316996932E-3</v>
      </c>
      <c r="X91" s="532"/>
      <c r="Y91" s="520">
        <f t="shared" si="17"/>
        <v>-175499.04563867766</v>
      </c>
      <c r="Z91" s="520">
        <f t="shared" si="10"/>
        <v>175499.04563867766</v>
      </c>
      <c r="AA91" s="520">
        <f t="shared" si="11"/>
        <v>114851.94530247571</v>
      </c>
      <c r="AB91" s="520">
        <f t="shared" si="18"/>
        <v>60647.100336201955</v>
      </c>
      <c r="AC91" s="525" t="e">
        <f t="shared" si="19"/>
        <v>#REF!</v>
      </c>
      <c r="AF91" s="829"/>
    </row>
    <row r="92" spans="3:36" x14ac:dyDescent="0.2">
      <c r="C92" s="387">
        <f t="shared" si="12"/>
        <v>43334</v>
      </c>
      <c r="D92" s="1392">
        <f t="shared" si="13"/>
        <v>150304.21677419354</v>
      </c>
      <c r="E92" s="1368">
        <f t="shared" si="14"/>
        <v>14421.080258064516</v>
      </c>
      <c r="F92" s="392">
        <f t="shared" si="5"/>
        <v>274449.97096551803</v>
      </c>
      <c r="G92" s="1393">
        <f t="shared" si="15"/>
        <v>1.0163853</v>
      </c>
      <c r="H92" s="390">
        <f t="shared" si="6"/>
        <v>278.94690000000003</v>
      </c>
      <c r="I92" s="1394">
        <f t="shared" si="7"/>
        <v>439455.23128307611</v>
      </c>
      <c r="J92" s="1369">
        <v>73999.507415523374</v>
      </c>
      <c r="K92" s="1370">
        <v>84636.580525154481</v>
      </c>
      <c r="L92" s="1370">
        <v>0</v>
      </c>
      <c r="M92" s="1371">
        <v>108070.42607544376</v>
      </c>
      <c r="N92" s="725">
        <v>74960.964999999997</v>
      </c>
      <c r="O92" s="320">
        <v>65664</v>
      </c>
      <c r="P92" s="1403">
        <v>133825.00596551807</v>
      </c>
      <c r="Q92" s="319">
        <v>74960.97</v>
      </c>
      <c r="R92" s="1372">
        <f t="shared" si="16"/>
        <v>-5.0000000046566129E-3</v>
      </c>
      <c r="S92" s="1373">
        <v>44889.69</v>
      </c>
      <c r="T92" s="1374">
        <v>20774.311000000002</v>
      </c>
      <c r="U92" s="1372">
        <f t="shared" si="8"/>
        <v>-1.0000000038417056E-3</v>
      </c>
      <c r="V92" s="1373">
        <v>133825</v>
      </c>
      <c r="W92" s="1395">
        <f t="shared" si="9"/>
        <v>5.9655180666595697E-3</v>
      </c>
      <c r="X92" s="532"/>
      <c r="Y92" s="520">
        <f t="shared" si="17"/>
        <v>-158636.08794067785</v>
      </c>
      <c r="Z92" s="520">
        <f t="shared" si="10"/>
        <v>158636.08794067785</v>
      </c>
      <c r="AA92" s="520">
        <f t="shared" si="11"/>
        <v>141192.87443889963</v>
      </c>
      <c r="AB92" s="520">
        <f t="shared" si="18"/>
        <v>17443.213501778228</v>
      </c>
      <c r="AC92" s="525" t="e">
        <f t="shared" si="19"/>
        <v>#REF!</v>
      </c>
      <c r="AF92" s="829"/>
    </row>
    <row r="93" spans="3:36" x14ac:dyDescent="0.2">
      <c r="C93" s="387">
        <f t="shared" si="12"/>
        <v>43335</v>
      </c>
      <c r="D93" s="1392">
        <f t="shared" si="13"/>
        <v>150304.21677419354</v>
      </c>
      <c r="E93" s="1368">
        <f t="shared" si="14"/>
        <v>14421.080258064516</v>
      </c>
      <c r="F93" s="392">
        <f t="shared" si="5"/>
        <v>225616.64136580491</v>
      </c>
      <c r="G93" s="1393">
        <f t="shared" si="15"/>
        <v>1.0163853</v>
      </c>
      <c r="H93" s="390">
        <f t="shared" si="6"/>
        <v>229.3134</v>
      </c>
      <c r="I93" s="1394">
        <f t="shared" si="7"/>
        <v>390572.26818336296</v>
      </c>
      <c r="J93" s="1369">
        <v>73999.507415523374</v>
      </c>
      <c r="K93" s="1370">
        <v>57688.343928626236</v>
      </c>
      <c r="L93" s="1370">
        <v>0</v>
      </c>
      <c r="M93" s="1371">
        <v>97970.376394973748</v>
      </c>
      <c r="N93" s="724">
        <v>74943.125</v>
      </c>
      <c r="O93" s="318">
        <v>52735.02</v>
      </c>
      <c r="P93" s="1403">
        <v>97938.496365804924</v>
      </c>
      <c r="Q93" s="317">
        <v>74943.125</v>
      </c>
      <c r="R93" s="1372">
        <f t="shared" si="16"/>
        <v>0</v>
      </c>
      <c r="S93" s="1373">
        <v>16636.455999999998</v>
      </c>
      <c r="T93" s="1374">
        <v>36098.574999999997</v>
      </c>
      <c r="U93" s="1372">
        <f t="shared" si="8"/>
        <v>-1.0999999998603016E-2</v>
      </c>
      <c r="V93" s="1373">
        <v>97983.491999999998</v>
      </c>
      <c r="W93" s="1395">
        <f t="shared" si="9"/>
        <v>-44.995634195074672</v>
      </c>
      <c r="X93" s="532"/>
      <c r="Y93" s="520">
        <f t="shared" si="17"/>
        <v>-131687.85134414962</v>
      </c>
      <c r="Z93" s="520">
        <f t="shared" si="10"/>
        <v>131687.85134414962</v>
      </c>
      <c r="AA93" s="520">
        <f t="shared" si="11"/>
        <v>103330.58661610469</v>
      </c>
      <c r="AB93" s="520">
        <f t="shared" si="18"/>
        <v>28357.264728044931</v>
      </c>
      <c r="AC93" s="525" t="e">
        <f t="shared" si="19"/>
        <v>#REF!</v>
      </c>
      <c r="AF93" s="829"/>
    </row>
    <row r="94" spans="3:36" x14ac:dyDescent="0.2">
      <c r="C94" s="387">
        <f t="shared" si="12"/>
        <v>43336</v>
      </c>
      <c r="D94" s="1392">
        <f t="shared" si="13"/>
        <v>150304.21677419354</v>
      </c>
      <c r="E94" s="1368">
        <f t="shared" si="14"/>
        <v>14421.080258064516</v>
      </c>
      <c r="F94" s="392">
        <f t="shared" si="5"/>
        <v>220821.57485421328</v>
      </c>
      <c r="G94" s="1393">
        <f t="shared" si="15"/>
        <v>1.0163853</v>
      </c>
      <c r="H94" s="390">
        <f t="shared" si="6"/>
        <v>224.43979999999999</v>
      </c>
      <c r="I94" s="1394">
        <f t="shared" si="7"/>
        <v>385772.32807177136</v>
      </c>
      <c r="J94" s="1369">
        <v>73999.507415523374</v>
      </c>
      <c r="K94" s="1370">
        <v>91030.218994145209</v>
      </c>
      <c r="L94" s="1370">
        <v>0</v>
      </c>
      <c r="M94" s="1371">
        <v>108070.42607544376</v>
      </c>
      <c r="N94" s="725">
        <v>75059.25</v>
      </c>
      <c r="O94" s="320">
        <v>36867.32</v>
      </c>
      <c r="P94" s="1403">
        <v>108895.00485421327</v>
      </c>
      <c r="Q94" s="319">
        <v>75059.25</v>
      </c>
      <c r="R94" s="1372">
        <f t="shared" si="16"/>
        <v>0</v>
      </c>
      <c r="S94" s="1373">
        <v>8672.5499999999993</v>
      </c>
      <c r="T94" s="1374">
        <v>28194.75</v>
      </c>
      <c r="U94" s="1372">
        <f t="shared" si="8"/>
        <v>1.9999999996798579E-2</v>
      </c>
      <c r="V94" s="1373">
        <v>108895.383</v>
      </c>
      <c r="W94" s="1395">
        <f t="shared" si="9"/>
        <v>-0.37814578672987409</v>
      </c>
      <c r="X94" s="532"/>
      <c r="Y94" s="520">
        <f t="shared" si="17"/>
        <v>-165029.72640966857</v>
      </c>
      <c r="Z94" s="520">
        <f t="shared" si="10"/>
        <v>165029.72640966857</v>
      </c>
      <c r="AA94" s="520">
        <f t="shared" si="11"/>
        <v>114890.34934258682</v>
      </c>
      <c r="AB94" s="520">
        <f t="shared" si="18"/>
        <v>50139.377067081747</v>
      </c>
      <c r="AC94" s="525" t="e">
        <f t="shared" si="19"/>
        <v>#REF!</v>
      </c>
      <c r="AG94" s="843"/>
      <c r="AH94" s="843"/>
      <c r="AI94" s="843"/>
      <c r="AJ94" s="843"/>
    </row>
    <row r="95" spans="3:36" x14ac:dyDescent="0.2">
      <c r="C95" s="387">
        <f t="shared" si="12"/>
        <v>43337</v>
      </c>
      <c r="D95" s="1392">
        <f t="shared" si="13"/>
        <v>150304.21677419354</v>
      </c>
      <c r="E95" s="1368">
        <f t="shared" si="14"/>
        <v>14421.080258064516</v>
      </c>
      <c r="F95" s="392">
        <f t="shared" si="5"/>
        <v>262476.79345903412</v>
      </c>
      <c r="G95" s="1393">
        <f t="shared" si="15"/>
        <v>1.0163853</v>
      </c>
      <c r="H95" s="390">
        <f t="shared" si="6"/>
        <v>266.77760000000001</v>
      </c>
      <c r="I95" s="1394">
        <f t="shared" si="7"/>
        <v>427469.88447659218</v>
      </c>
      <c r="J95" s="1369">
        <v>73999.507415523374</v>
      </c>
      <c r="K95" s="1370">
        <v>49408.265594527351</v>
      </c>
      <c r="L95" s="1370">
        <v>0</v>
      </c>
      <c r="M95" s="1371">
        <v>95588.060278970283</v>
      </c>
      <c r="N95" s="724">
        <v>74630.008000000002</v>
      </c>
      <c r="O95" s="318">
        <v>65383.78</v>
      </c>
      <c r="P95" s="1403">
        <v>122463.00545903412</v>
      </c>
      <c r="Q95" s="317">
        <v>74630.009999999995</v>
      </c>
      <c r="R95" s="1372">
        <f t="shared" si="16"/>
        <v>-1.999999993131496E-3</v>
      </c>
      <c r="S95" s="1373">
        <v>30113.169000000002</v>
      </c>
      <c r="T95" s="1374">
        <v>35270.620999999999</v>
      </c>
      <c r="U95" s="1372">
        <f t="shared" si="8"/>
        <v>-1.0000000002037268E-2</v>
      </c>
      <c r="V95" s="1373">
        <v>122463.125</v>
      </c>
      <c r="W95" s="1395">
        <f t="shared" si="9"/>
        <v>-0.11954096588306129</v>
      </c>
      <c r="X95" s="532"/>
      <c r="Y95" s="520">
        <f t="shared" si="17"/>
        <v>-123407.77301005073</v>
      </c>
      <c r="Z95" s="520">
        <f t="shared" si="10"/>
        <v>123407.77301005073</v>
      </c>
      <c r="AA95" s="520">
        <f t="shared" si="11"/>
        <v>129205.31813702668</v>
      </c>
      <c r="AB95" s="520">
        <f t="shared" si="18"/>
        <v>-5797.5451269759506</v>
      </c>
      <c r="AC95" s="525" t="e">
        <f t="shared" si="19"/>
        <v>#REF!</v>
      </c>
      <c r="AG95" s="843"/>
      <c r="AH95" s="843"/>
      <c r="AI95" s="843"/>
      <c r="AJ95" s="843"/>
    </row>
    <row r="96" spans="3:36" x14ac:dyDescent="0.2">
      <c r="C96" s="387">
        <f t="shared" si="12"/>
        <v>43338</v>
      </c>
      <c r="D96" s="1392">
        <f t="shared" si="13"/>
        <v>150304.21677419354</v>
      </c>
      <c r="E96" s="1368">
        <f t="shared" si="14"/>
        <v>14421.080258064516</v>
      </c>
      <c r="F96" s="392">
        <f t="shared" si="5"/>
        <v>248786.436362924</v>
      </c>
      <c r="G96" s="1393">
        <f t="shared" si="15"/>
        <v>1.0163853</v>
      </c>
      <c r="H96" s="390">
        <f t="shared" si="6"/>
        <v>252.8629</v>
      </c>
      <c r="I96" s="1394">
        <f t="shared" si="7"/>
        <v>413765.6126804821</v>
      </c>
      <c r="J96" s="1369">
        <v>73999.507415523374</v>
      </c>
      <c r="K96" s="1370">
        <v>51021.445993716596</v>
      </c>
      <c r="L96" s="1370">
        <v>0</v>
      </c>
      <c r="M96" s="1371">
        <v>100677.64971369162</v>
      </c>
      <c r="N96" s="725">
        <v>73116.171875</v>
      </c>
      <c r="O96" s="320">
        <v>74992.259999999995</v>
      </c>
      <c r="P96" s="1403">
        <v>100678.004487924</v>
      </c>
      <c r="Q96" s="319">
        <v>73116.2</v>
      </c>
      <c r="R96" s="1372">
        <f t="shared" si="16"/>
        <v>-2.8124999997089617E-2</v>
      </c>
      <c r="S96" s="1373">
        <v>38720.597999999998</v>
      </c>
      <c r="T96" s="1374">
        <v>36271.680999999997</v>
      </c>
      <c r="U96" s="1372">
        <f t="shared" si="8"/>
        <v>-1.9000000000232831E-2</v>
      </c>
      <c r="V96" s="1373">
        <v>100960.80499999999</v>
      </c>
      <c r="W96" s="1395">
        <f t="shared" si="9"/>
        <v>-282.80051207599172</v>
      </c>
      <c r="X96" s="532"/>
      <c r="Y96" s="520">
        <f t="shared" si="17"/>
        <v>-125020.95340923997</v>
      </c>
      <c r="Z96" s="520">
        <f t="shared" si="10"/>
        <v>125020.95340923997</v>
      </c>
      <c r="AA96" s="520">
        <f t="shared" si="11"/>
        <v>106220.91265694714</v>
      </c>
      <c r="AB96" s="520">
        <f t="shared" si="18"/>
        <v>18800.040752292829</v>
      </c>
      <c r="AC96" s="525" t="e">
        <f t="shared" si="19"/>
        <v>#REF!</v>
      </c>
      <c r="AG96" s="843"/>
      <c r="AH96" s="843"/>
      <c r="AI96" s="843"/>
      <c r="AJ96" s="843"/>
    </row>
    <row r="97" spans="2:42" x14ac:dyDescent="0.2">
      <c r="C97" s="387">
        <f t="shared" si="12"/>
        <v>43339</v>
      </c>
      <c r="D97" s="1392">
        <f t="shared" si="13"/>
        <v>150304.21677419354</v>
      </c>
      <c r="E97" s="1368">
        <f t="shared" si="14"/>
        <v>14421.080258064516</v>
      </c>
      <c r="F97" s="392">
        <f t="shared" si="5"/>
        <v>252084.53979514466</v>
      </c>
      <c r="G97" s="1393">
        <f t="shared" si="15"/>
        <v>1.0163853</v>
      </c>
      <c r="H97" s="390">
        <f t="shared" si="6"/>
        <v>256.21499999999997</v>
      </c>
      <c r="I97" s="1394">
        <f t="shared" si="7"/>
        <v>417067.06821270275</v>
      </c>
      <c r="J97" s="1369">
        <v>73999.507415523374</v>
      </c>
      <c r="K97" s="1370">
        <v>0</v>
      </c>
      <c r="L97" s="1370">
        <v>0</v>
      </c>
      <c r="M97" s="1371">
        <v>102293.99528043976</v>
      </c>
      <c r="N97" s="724">
        <v>74115.367188000004</v>
      </c>
      <c r="O97" s="318">
        <v>74616.679999999993</v>
      </c>
      <c r="P97" s="1403">
        <v>103352.49260714467</v>
      </c>
      <c r="Q97" s="317">
        <v>74115.399999999994</v>
      </c>
      <c r="R97" s="1372">
        <f t="shared" si="16"/>
        <v>-3.2811999990371987E-2</v>
      </c>
      <c r="S97" s="1373">
        <v>38656.373</v>
      </c>
      <c r="T97" s="1374">
        <v>35960.319000000003</v>
      </c>
      <c r="U97" s="1372">
        <f t="shared" si="8"/>
        <v>-1.2000000016996637E-2</v>
      </c>
      <c r="V97" s="1373">
        <v>103352.488</v>
      </c>
      <c r="W97" s="1395">
        <f t="shared" si="9"/>
        <v>4.6071446704445407E-3</v>
      </c>
      <c r="X97" s="532"/>
      <c r="Y97" s="520">
        <f t="shared" si="17"/>
        <v>-73999.507415523374</v>
      </c>
      <c r="Z97" s="520">
        <f t="shared" si="10"/>
        <v>73999.507415523374</v>
      </c>
      <c r="AA97" s="520">
        <f t="shared" si="11"/>
        <v>109042.65477945161</v>
      </c>
      <c r="AB97" s="520">
        <f t="shared" si="18"/>
        <v>-35043.147363928234</v>
      </c>
      <c r="AC97" s="525" t="e">
        <f t="shared" si="19"/>
        <v>#REF!</v>
      </c>
      <c r="AG97" s="843"/>
      <c r="AH97" s="843"/>
      <c r="AI97" s="843"/>
      <c r="AJ97" s="843"/>
    </row>
    <row r="98" spans="2:42" x14ac:dyDescent="0.2">
      <c r="C98" s="387">
        <f t="shared" si="12"/>
        <v>43340</v>
      </c>
      <c r="D98" s="1392">
        <f t="shared" si="13"/>
        <v>150304.21677419354</v>
      </c>
      <c r="E98" s="1368">
        <f t="shared" si="14"/>
        <v>14421.080258064516</v>
      </c>
      <c r="F98" s="392">
        <f t="shared" si="5"/>
        <v>247749.75835146249</v>
      </c>
      <c r="G98" s="1393">
        <f t="shared" si="15"/>
        <v>1.0163853</v>
      </c>
      <c r="H98" s="390">
        <f t="shared" si="6"/>
        <v>251.8092</v>
      </c>
      <c r="I98" s="1394">
        <f t="shared" si="7"/>
        <v>412727.8809690206</v>
      </c>
      <c r="J98" s="1369">
        <v>73999.507415523374</v>
      </c>
      <c r="K98" s="1370">
        <v>22175.16391769754</v>
      </c>
      <c r="L98" s="1370">
        <v>0</v>
      </c>
      <c r="M98" s="1371">
        <v>100495.12505112801</v>
      </c>
      <c r="N98" s="725">
        <v>73896.335938000004</v>
      </c>
      <c r="O98" s="320">
        <v>74845.820000000007</v>
      </c>
      <c r="P98" s="1403">
        <v>99007.602413462475</v>
      </c>
      <c r="Q98" s="319">
        <v>73896.3</v>
      </c>
      <c r="R98" s="1372">
        <f t="shared" si="16"/>
        <v>3.5938000000896864E-2</v>
      </c>
      <c r="S98" s="1373">
        <v>38727.42</v>
      </c>
      <c r="T98" s="1374">
        <v>36118.396999999997</v>
      </c>
      <c r="U98" s="1372">
        <f t="shared" si="8"/>
        <v>3.0000000115251169E-3</v>
      </c>
      <c r="V98" s="1373">
        <v>99007.597999999998</v>
      </c>
      <c r="W98" s="1395">
        <f t="shared" si="9"/>
        <v>4.4134624768048525E-3</v>
      </c>
      <c r="X98" s="532"/>
      <c r="Y98" s="520">
        <f t="shared" si="17"/>
        <v>-96174.671333220918</v>
      </c>
      <c r="Z98" s="520">
        <f t="shared" si="10"/>
        <v>96174.671333220918</v>
      </c>
      <c r="AA98" s="520">
        <f t="shared" si="11"/>
        <v>104458.56813710608</v>
      </c>
      <c r="AB98" s="520">
        <f t="shared" si="18"/>
        <v>-8283.8968038851599</v>
      </c>
      <c r="AC98" s="525" t="e">
        <f t="shared" si="19"/>
        <v>#REF!</v>
      </c>
      <c r="AG98" s="843"/>
      <c r="AH98" s="843"/>
      <c r="AI98" s="843"/>
      <c r="AJ98" s="843"/>
    </row>
    <row r="99" spans="2:42" x14ac:dyDescent="0.2">
      <c r="C99" s="387">
        <f t="shared" si="12"/>
        <v>43341</v>
      </c>
      <c r="D99" s="1392">
        <f t="shared" si="13"/>
        <v>150304.21677419354</v>
      </c>
      <c r="E99" s="1368">
        <f t="shared" si="14"/>
        <v>14421.080258064516</v>
      </c>
      <c r="F99" s="392">
        <f t="shared" si="5"/>
        <v>287552.55577378703</v>
      </c>
      <c r="G99" s="1393">
        <f t="shared" si="15"/>
        <v>1.0163853</v>
      </c>
      <c r="H99" s="390">
        <f t="shared" si="6"/>
        <v>292.26420000000002</v>
      </c>
      <c r="I99" s="1394">
        <f t="shared" si="7"/>
        <v>452571.13339134509</v>
      </c>
      <c r="J99" s="1369">
        <v>73999.507415523374</v>
      </c>
      <c r="K99" s="1370">
        <v>72539.310115014596</v>
      </c>
      <c r="L99" s="1370">
        <v>0</v>
      </c>
      <c r="M99" s="1371">
        <v>138260.84930814503</v>
      </c>
      <c r="N99" s="724">
        <v>74100.640625</v>
      </c>
      <c r="O99" s="318">
        <v>75515.62</v>
      </c>
      <c r="P99" s="1403">
        <v>137936.29514878703</v>
      </c>
      <c r="Q99" s="317">
        <v>74100.600000000006</v>
      </c>
      <c r="R99" s="1372">
        <f t="shared" si="16"/>
        <v>4.0624999994179234E-2</v>
      </c>
      <c r="S99" s="1373">
        <v>38773.921999999999</v>
      </c>
      <c r="T99" s="1374">
        <v>36741.701999999997</v>
      </c>
      <c r="U99" s="1372">
        <f t="shared" si="8"/>
        <v>-4.0000000008149073E-3</v>
      </c>
      <c r="V99" s="1373">
        <v>137936.28899999999</v>
      </c>
      <c r="W99" s="1395">
        <f t="shared" si="9"/>
        <v>6.1487870407290757E-3</v>
      </c>
      <c r="X99" s="532"/>
      <c r="Y99" s="520">
        <f t="shared" si="17"/>
        <v>-146538.81753053796</v>
      </c>
      <c r="Z99" s="520">
        <f t="shared" si="10"/>
        <v>146538.81753053796</v>
      </c>
      <c r="AA99" s="520">
        <f t="shared" si="11"/>
        <v>145530.51159427463</v>
      </c>
      <c r="AB99" s="520">
        <f t="shared" si="18"/>
        <v>1008.3059362633212</v>
      </c>
      <c r="AC99" s="525" t="e">
        <f t="shared" si="19"/>
        <v>#REF!</v>
      </c>
      <c r="AG99" s="843"/>
      <c r="AH99" s="843"/>
      <c r="AI99" s="843"/>
      <c r="AJ99" s="843"/>
    </row>
    <row r="100" spans="2:42" x14ac:dyDescent="0.2">
      <c r="C100" s="387">
        <f t="shared" si="12"/>
        <v>43342</v>
      </c>
      <c r="D100" s="1392">
        <f t="shared" si="13"/>
        <v>150304.21677419354</v>
      </c>
      <c r="E100" s="1368">
        <f t="shared" si="14"/>
        <v>14421.080258064516</v>
      </c>
      <c r="F100" s="392">
        <f t="shared" si="5"/>
        <v>282040.86776166782</v>
      </c>
      <c r="G100" s="1393">
        <f t="shared" si="15"/>
        <v>1.0163853</v>
      </c>
      <c r="H100" s="390">
        <f t="shared" si="6"/>
        <v>286.66219999999998</v>
      </c>
      <c r="I100" s="1394">
        <f t="shared" si="7"/>
        <v>447053.84337922593</v>
      </c>
      <c r="J100" s="1369">
        <v>73999.507415523374</v>
      </c>
      <c r="K100" s="1370">
        <v>58466.975148117184</v>
      </c>
      <c r="L100" s="1370">
        <v>0</v>
      </c>
      <c r="M100" s="1371">
        <v>134088.10340965356</v>
      </c>
      <c r="N100" s="724">
        <v>74342.796875</v>
      </c>
      <c r="O100" s="318">
        <v>75641.919999999998</v>
      </c>
      <c r="P100" s="1403">
        <v>132056.15088666781</v>
      </c>
      <c r="Q100" s="317">
        <v>74342.8</v>
      </c>
      <c r="R100" s="1372">
        <f t="shared" si="16"/>
        <v>-3.125000002910383E-3</v>
      </c>
      <c r="S100" s="1373">
        <v>38792.807000000001</v>
      </c>
      <c r="T100" s="1374">
        <v>36849.110999999997</v>
      </c>
      <c r="U100" s="1372">
        <f t="shared" si="8"/>
        <v>1.999999993131496E-3</v>
      </c>
      <c r="V100" s="1373">
        <v>132056.14499999999</v>
      </c>
      <c r="W100" s="1395">
        <f t="shared" si="9"/>
        <v>5.886667815502733E-3</v>
      </c>
      <c r="X100" s="532"/>
      <c r="Y100" s="520">
        <f t="shared" si="17"/>
        <v>-132466.48256364057</v>
      </c>
      <c r="Z100" s="520">
        <f t="shared" si="10"/>
        <v>132466.48256364057</v>
      </c>
      <c r="AA100" s="520">
        <f t="shared" si="11"/>
        <v>139326.63643999619</v>
      </c>
      <c r="AB100" s="520">
        <f t="shared" si="18"/>
        <v>-6860.1538763556164</v>
      </c>
      <c r="AC100" s="525" t="e">
        <f t="shared" si="19"/>
        <v>#REF!</v>
      </c>
      <c r="AG100" s="843"/>
      <c r="AH100" s="843"/>
      <c r="AI100" s="843"/>
      <c r="AJ100" s="843"/>
    </row>
    <row r="101" spans="2:42" ht="13.5" thickBot="1" x14ac:dyDescent="0.25">
      <c r="C101" s="393">
        <f t="shared" si="12"/>
        <v>43343</v>
      </c>
      <c r="D101" s="1396">
        <f t="shared" si="13"/>
        <v>150304.21677419354</v>
      </c>
      <c r="E101" s="1376">
        <f t="shared" si="14"/>
        <v>14421.080258064516</v>
      </c>
      <c r="F101" s="395">
        <f t="shared" si="5"/>
        <v>291899.68579295499</v>
      </c>
      <c r="G101" s="1398">
        <f t="shared" si="15"/>
        <v>1.0163853</v>
      </c>
      <c r="H101" s="396">
        <f t="shared" si="6"/>
        <v>296.6825</v>
      </c>
      <c r="I101" s="1399">
        <f t="shared" si="7"/>
        <v>456922.68171051308</v>
      </c>
      <c r="J101" s="1377">
        <v>73999.507415523374</v>
      </c>
      <c r="K101" s="1378">
        <v>44117.160491888986</v>
      </c>
      <c r="L101" s="1378">
        <v>0</v>
      </c>
      <c r="M101" s="1379">
        <v>103727.81618462432</v>
      </c>
      <c r="N101" s="749">
        <v>74209.929688000004</v>
      </c>
      <c r="O101" s="750">
        <v>80736.75</v>
      </c>
      <c r="P101" s="1405">
        <v>136953.00610495495</v>
      </c>
      <c r="Q101" s="688">
        <v>74209.929999999993</v>
      </c>
      <c r="R101" s="1380">
        <f t="shared" si="16"/>
        <v>-3.1199998920783401E-4</v>
      </c>
      <c r="S101" s="1381">
        <v>56978.934000000001</v>
      </c>
      <c r="T101" s="1382">
        <v>23757.826000000001</v>
      </c>
      <c r="U101" s="1380">
        <f t="shared" si="8"/>
        <v>-1.0000000009313226E-2</v>
      </c>
      <c r="V101" s="1381">
        <v>136952.78099999999</v>
      </c>
      <c r="W101" s="1401">
        <f t="shared" si="9"/>
        <v>0.2251049549668096</v>
      </c>
      <c r="X101" s="560"/>
      <c r="Y101" s="528">
        <f t="shared" si="17"/>
        <v>-118116.66790741237</v>
      </c>
      <c r="Z101" s="528">
        <f t="shared" si="10"/>
        <v>118116.66790741237</v>
      </c>
      <c r="AA101" s="528">
        <f t="shared" si="11"/>
        <v>144493.08025850935</v>
      </c>
      <c r="AB101" s="528">
        <f t="shared" si="18"/>
        <v>-26376.41235109698</v>
      </c>
      <c r="AC101" s="529" t="e">
        <f>AC99+AB101</f>
        <v>#REF!</v>
      </c>
      <c r="AG101" s="843"/>
      <c r="AH101" s="843"/>
      <c r="AI101" s="843"/>
      <c r="AJ101" s="843"/>
    </row>
    <row r="102" spans="2:42" ht="13.5" thickBot="1" x14ac:dyDescent="0.25">
      <c r="C102" s="953"/>
      <c r="D102" s="954">
        <f>SUM(D71:D101)</f>
        <v>4659430.72</v>
      </c>
      <c r="E102" s="954">
        <f>SUM(E71:E101)</f>
        <v>447053.48799999978</v>
      </c>
      <c r="F102" s="955">
        <f>SUM(F71:F101)</f>
        <v>8173058.4342236025</v>
      </c>
      <c r="G102" s="955"/>
      <c r="H102" s="956">
        <f t="shared" ref="H102:M102" si="20">SUM(H71:H101)</f>
        <v>8306.9761999999992</v>
      </c>
      <c r="I102" s="954">
        <f t="shared" si="20"/>
        <v>13287881.126367906</v>
      </c>
      <c r="J102" s="996">
        <f t="shared" si="20"/>
        <v>2291484.2475096877</v>
      </c>
      <c r="K102" s="996">
        <f t="shared" si="20"/>
        <v>2848756.3086009673</v>
      </c>
      <c r="L102" s="996">
        <f t="shared" si="20"/>
        <v>0</v>
      </c>
      <c r="M102" s="996">
        <f t="shared" si="20"/>
        <v>2991282.7487226659</v>
      </c>
      <c r="N102" s="996">
        <f>SUM(N71:N101)</f>
        <v>2295354.7322520004</v>
      </c>
      <c r="O102" s="996">
        <f>SUM(O71:O101)</f>
        <v>2914782.9599999995</v>
      </c>
      <c r="P102" s="996">
        <f>SUM(P71:P101)</f>
        <v>2962920.7419716027</v>
      </c>
      <c r="Q102" s="996">
        <f t="shared" ref="Q102:X102" si="21">SUM(Q71:Q101)</f>
        <v>2295354.5459999996</v>
      </c>
      <c r="R102" s="996">
        <f t="shared" si="21"/>
        <v>0.18625200001406483</v>
      </c>
      <c r="S102" s="996">
        <f t="shared" si="21"/>
        <v>1885664.6809999999</v>
      </c>
      <c r="T102" s="996">
        <f t="shared" si="21"/>
        <v>1029118.3450000001</v>
      </c>
      <c r="U102" s="996">
        <f t="shared" si="21"/>
        <v>-6.6000000020721927E-2</v>
      </c>
      <c r="V102" s="996">
        <f t="shared" si="21"/>
        <v>2963248.7039999999</v>
      </c>
      <c r="W102" s="996">
        <f t="shared" si="21"/>
        <v>-327.96202839757734</v>
      </c>
      <c r="X102" s="958">
        <f t="shared" si="21"/>
        <v>0</v>
      </c>
      <c r="Y102" s="959"/>
      <c r="Z102" s="960">
        <f>SUM(Z71:Z101)</f>
        <v>5140240.5561106568</v>
      </c>
      <c r="AA102" s="960">
        <f>SUM(AA71:AA101)</f>
        <v>3126047.2367078941</v>
      </c>
      <c r="AB102" s="960">
        <f>SUM(AB71:AB101)</f>
        <v>2014193.3194027608</v>
      </c>
      <c r="AC102" s="960" t="e">
        <f>SUM(AC71:AC101)</f>
        <v>#REF!</v>
      </c>
      <c r="AG102" s="843"/>
      <c r="AH102" s="843"/>
      <c r="AI102" s="843"/>
      <c r="AJ102" s="843"/>
      <c r="AP102" s="958" t="e">
        <f>#REF!</f>
        <v>#REF!</v>
      </c>
    </row>
    <row r="103" spans="2:42" ht="15" customHeight="1" thickBot="1" x14ac:dyDescent="0.25">
      <c r="B103" s="860"/>
      <c r="C103" s="860"/>
      <c r="D103" s="843"/>
      <c r="E103" s="843"/>
      <c r="F103" s="843"/>
      <c r="G103" s="860"/>
      <c r="H103" s="860"/>
      <c r="I103" s="860"/>
      <c r="J103" s="860"/>
      <c r="K103" s="860"/>
      <c r="L103" s="860"/>
      <c r="M103" s="827"/>
      <c r="N103" s="860"/>
      <c r="O103" s="827"/>
      <c r="P103" s="827"/>
      <c r="Q103" s="827"/>
      <c r="R103" s="827"/>
      <c r="S103" s="1069">
        <f>S102/(S102+T102)</f>
        <v>0.64693140593306031</v>
      </c>
      <c r="T103" s="1070">
        <f>T102/(S102+T102)</f>
        <v>0.35306859406693969</v>
      </c>
      <c r="U103" s="827"/>
      <c r="V103" s="827"/>
      <c r="W103" s="827"/>
      <c r="X103" s="827"/>
      <c r="Y103" s="827"/>
      <c r="Z103" s="827"/>
      <c r="AA103" s="827"/>
      <c r="AB103" s="827"/>
      <c r="AC103" s="827"/>
      <c r="AD103" s="829"/>
      <c r="AG103" s="843"/>
      <c r="AH103" s="843"/>
      <c r="AI103" s="843"/>
      <c r="AJ103" s="843"/>
    </row>
    <row r="104" spans="2:42" x14ac:dyDescent="0.2">
      <c r="C104" s="827"/>
      <c r="D104" s="962" t="s">
        <v>155</v>
      </c>
      <c r="E104" s="963" t="s">
        <v>156</v>
      </c>
      <c r="F104" s="964" t="s">
        <v>112</v>
      </c>
      <c r="G104" s="827"/>
      <c r="H104" s="827"/>
      <c r="I104" s="827"/>
      <c r="J104" s="827"/>
      <c r="K104" s="827"/>
      <c r="L104" s="827"/>
      <c r="M104" s="827"/>
      <c r="O104" s="827"/>
      <c r="P104" s="827"/>
      <c r="Q104" s="827"/>
      <c r="R104" s="827"/>
      <c r="S104" s="827"/>
      <c r="T104" s="827"/>
      <c r="U104" s="827"/>
      <c r="V104" s="827"/>
      <c r="W104" s="827"/>
      <c r="X104" s="827"/>
      <c r="Y104" s="827"/>
      <c r="Z104" s="827"/>
      <c r="AA104" s="860"/>
      <c r="AB104" s="860"/>
      <c r="AC104" s="860"/>
    </row>
    <row r="105" spans="2:42" x14ac:dyDescent="0.2">
      <c r="C105" s="827"/>
      <c r="D105" s="965">
        <v>4659430.72</v>
      </c>
      <c r="E105" s="966">
        <f>D102</f>
        <v>4659430.72</v>
      </c>
      <c r="F105" s="967">
        <f>D105-E105</f>
        <v>0</v>
      </c>
      <c r="G105" s="1071"/>
      <c r="H105" s="1071"/>
      <c r="I105" s="1071"/>
      <c r="J105" s="827"/>
      <c r="K105" s="827"/>
      <c r="L105" s="827"/>
      <c r="M105" s="827"/>
      <c r="O105" s="827"/>
      <c r="P105" s="827"/>
      <c r="Q105" s="827"/>
      <c r="R105" s="827"/>
      <c r="S105" s="827"/>
      <c r="T105" s="1072">
        <f>1-S103-T103</f>
        <v>0</v>
      </c>
      <c r="U105" s="827"/>
      <c r="V105" s="1073">
        <f>V102*0.94708628903179</f>
        <v>2806452.2185496213</v>
      </c>
      <c r="W105" s="827"/>
      <c r="X105" s="827"/>
      <c r="Y105" s="827"/>
      <c r="Z105" s="827"/>
      <c r="AA105" s="860"/>
      <c r="AB105" s="860"/>
      <c r="AC105" s="860"/>
    </row>
    <row r="106" spans="2:42" x14ac:dyDescent="0.2">
      <c r="C106" s="827"/>
      <c r="D106" s="965">
        <v>447053.49</v>
      </c>
      <c r="E106" s="966">
        <f>E102</f>
        <v>447053.48799999978</v>
      </c>
      <c r="F106" s="967">
        <f>D106-E106</f>
        <v>2.0000002114102244E-3</v>
      </c>
      <c r="G106" s="1071"/>
      <c r="H106" s="1071"/>
      <c r="I106" s="1071"/>
      <c r="J106" s="827"/>
      <c r="K106" s="827"/>
      <c r="L106" s="827"/>
      <c r="M106" s="827"/>
      <c r="O106" s="827"/>
      <c r="P106" s="827"/>
      <c r="Q106" s="827"/>
      <c r="R106" s="827"/>
      <c r="S106" s="827"/>
      <c r="T106" s="827"/>
      <c r="U106" s="827"/>
      <c r="V106" s="827"/>
      <c r="W106" s="827"/>
      <c r="X106" s="827"/>
      <c r="Y106" s="860"/>
      <c r="Z106" s="860"/>
      <c r="AA106" s="860"/>
      <c r="AB106" s="860"/>
      <c r="AC106" s="860"/>
    </row>
    <row r="107" spans="2:42" ht="13.5" thickBot="1" x14ac:dyDescent="0.25">
      <c r="C107" s="827"/>
      <c r="D107" s="969">
        <f>2962.54+2332.96+3011.8</f>
        <v>8307.2999999999993</v>
      </c>
      <c r="E107" s="970">
        <f>ROUND(H102,2)</f>
        <v>8306.98</v>
      </c>
      <c r="F107" s="971">
        <f>D107-E107</f>
        <v>0.31999999999970896</v>
      </c>
      <c r="G107" s="1071"/>
      <c r="H107" s="827"/>
      <c r="I107" s="827"/>
      <c r="J107" s="827"/>
      <c r="K107" s="827"/>
      <c r="L107" s="827"/>
      <c r="M107" s="827"/>
      <c r="O107" s="827"/>
      <c r="P107" s="827"/>
      <c r="Q107" s="827"/>
      <c r="R107" s="827"/>
      <c r="S107" s="827"/>
      <c r="T107" s="827"/>
      <c r="U107" s="827"/>
      <c r="V107" s="827"/>
      <c r="W107" s="827"/>
      <c r="X107" s="827"/>
      <c r="Y107" s="860"/>
      <c r="Z107" s="860"/>
      <c r="AA107" s="860"/>
      <c r="AB107" s="860"/>
      <c r="AC107" s="860"/>
    </row>
    <row r="108" spans="2:42" x14ac:dyDescent="0.2">
      <c r="C108" s="827"/>
      <c r="D108" s="1071"/>
      <c r="E108" s="827"/>
      <c r="F108" s="827"/>
      <c r="G108" s="827"/>
      <c r="H108" s="827"/>
      <c r="I108" s="827"/>
      <c r="J108" s="827"/>
      <c r="K108" s="827"/>
      <c r="L108" s="827"/>
      <c r="M108" s="827"/>
      <c r="O108" s="827"/>
      <c r="P108" s="827"/>
      <c r="Q108" s="827"/>
      <c r="R108" s="827"/>
      <c r="S108" s="827"/>
      <c r="T108" s="827"/>
      <c r="U108" s="827"/>
      <c r="V108" s="827"/>
      <c r="W108" s="827"/>
      <c r="X108" s="827"/>
      <c r="Y108" s="827"/>
      <c r="Z108" s="860"/>
      <c r="AA108" s="860"/>
      <c r="AB108" s="860"/>
      <c r="AC108" s="860"/>
    </row>
    <row r="109" spans="2:42" x14ac:dyDescent="0.2">
      <c r="C109" s="827"/>
      <c r="D109" s="827"/>
      <c r="E109" s="827"/>
      <c r="F109" s="827"/>
      <c r="G109" s="827"/>
      <c r="H109" s="827"/>
      <c r="I109" s="827"/>
      <c r="J109" s="827"/>
      <c r="K109" s="827"/>
      <c r="L109" s="827"/>
      <c r="M109" s="827"/>
      <c r="O109" s="827"/>
      <c r="P109" s="827"/>
      <c r="Q109" s="827"/>
      <c r="R109" s="827"/>
      <c r="S109" s="1074">
        <f>S102+T102</f>
        <v>2914783.0260000001</v>
      </c>
      <c r="T109" s="827"/>
      <c r="U109" s="827"/>
      <c r="V109" s="827"/>
      <c r="W109" s="827"/>
      <c r="X109" s="827"/>
      <c r="Y109" s="827"/>
      <c r="Z109" s="860"/>
      <c r="AA109" s="860"/>
      <c r="AB109" s="860"/>
      <c r="AC109" s="860"/>
    </row>
    <row r="110" spans="2:42" x14ac:dyDescent="0.2">
      <c r="C110" s="827"/>
      <c r="D110" s="827"/>
      <c r="E110" s="827"/>
      <c r="F110" s="827"/>
      <c r="G110" s="827"/>
      <c r="H110" s="827"/>
      <c r="I110" s="827"/>
      <c r="J110" s="827"/>
      <c r="K110" s="827"/>
      <c r="L110" s="827"/>
      <c r="M110" s="827"/>
      <c r="O110" s="827"/>
      <c r="P110" s="827"/>
      <c r="Q110" s="827"/>
      <c r="R110" s="827"/>
      <c r="S110" s="827"/>
      <c r="T110" s="827"/>
      <c r="U110" s="827"/>
      <c r="V110" s="827"/>
      <c r="W110" s="827"/>
      <c r="X110" s="827"/>
      <c r="Y110" s="827"/>
      <c r="Z110" s="860"/>
      <c r="AA110" s="860"/>
      <c r="AB110" s="860"/>
      <c r="AC110" s="860"/>
    </row>
    <row r="111" spans="2:42" x14ac:dyDescent="0.2">
      <c r="C111" s="827"/>
      <c r="D111" s="827"/>
      <c r="E111" s="827"/>
      <c r="F111" s="827"/>
      <c r="G111" s="827"/>
      <c r="H111" s="827"/>
      <c r="I111" s="827"/>
      <c r="J111" s="827"/>
      <c r="K111" s="827"/>
      <c r="L111" s="827"/>
      <c r="M111" s="827"/>
      <c r="O111" s="827"/>
      <c r="P111" s="827"/>
      <c r="Q111" s="827"/>
      <c r="R111" s="827"/>
      <c r="S111" s="827"/>
      <c r="T111" s="827"/>
      <c r="U111" s="827"/>
      <c r="V111" s="827"/>
      <c r="W111" s="827"/>
      <c r="X111" s="827"/>
      <c r="Y111" s="827"/>
      <c r="Z111" s="860"/>
      <c r="AA111" s="860"/>
      <c r="AB111" s="860"/>
      <c r="AC111" s="860"/>
    </row>
    <row r="112" spans="2:42" x14ac:dyDescent="0.2">
      <c r="C112" s="827"/>
      <c r="D112" s="827"/>
      <c r="E112" s="827"/>
      <c r="F112" s="827"/>
      <c r="G112" s="827"/>
      <c r="H112" s="827"/>
      <c r="I112" s="827"/>
      <c r="J112" s="827"/>
      <c r="K112" s="827"/>
      <c r="L112" s="827"/>
      <c r="M112" s="827"/>
      <c r="O112" s="827"/>
      <c r="P112" s="827"/>
      <c r="Q112" s="827"/>
      <c r="R112" s="827"/>
      <c r="S112" s="827"/>
      <c r="T112" s="827"/>
      <c r="U112" s="827"/>
      <c r="V112" s="827"/>
      <c r="W112" s="827"/>
      <c r="X112" s="827"/>
      <c r="Y112" s="827"/>
      <c r="Z112" s="860"/>
      <c r="AA112" s="860"/>
      <c r="AB112" s="860"/>
      <c r="AC112" s="860"/>
    </row>
    <row r="113" spans="3:29" x14ac:dyDescent="0.2">
      <c r="C113" s="827"/>
      <c r="D113" s="827"/>
      <c r="E113" s="827"/>
      <c r="F113" s="827"/>
      <c r="G113" s="827"/>
      <c r="H113" s="827"/>
      <c r="I113" s="827"/>
      <c r="J113" s="827"/>
      <c r="K113" s="827"/>
      <c r="L113" s="827"/>
      <c r="M113" s="827"/>
      <c r="O113" s="827"/>
      <c r="P113" s="827"/>
      <c r="Q113" s="827"/>
      <c r="R113" s="827"/>
      <c r="S113" s="827"/>
      <c r="T113" s="827"/>
      <c r="U113" s="827"/>
      <c r="V113" s="827"/>
      <c r="W113" s="827"/>
      <c r="X113" s="827"/>
      <c r="Y113" s="827"/>
      <c r="Z113" s="860"/>
      <c r="AA113" s="860"/>
      <c r="AB113" s="860"/>
      <c r="AC113" s="860"/>
    </row>
    <row r="114" spans="3:29" x14ac:dyDescent="0.2">
      <c r="C114" s="827"/>
      <c r="D114" s="827"/>
      <c r="E114" s="827"/>
      <c r="F114" s="827"/>
      <c r="G114" s="827"/>
      <c r="H114" s="827"/>
      <c r="I114" s="827"/>
      <c r="J114" s="827"/>
      <c r="K114" s="827"/>
      <c r="L114" s="827"/>
      <c r="M114" s="827"/>
      <c r="O114" s="827"/>
      <c r="P114" s="827"/>
      <c r="Q114" s="827"/>
      <c r="R114" s="827"/>
      <c r="S114" s="827"/>
      <c r="T114" s="827"/>
      <c r="U114" s="827"/>
      <c r="V114" s="827"/>
      <c r="W114" s="827"/>
      <c r="X114" s="827"/>
      <c r="Y114" s="827"/>
      <c r="Z114" s="860"/>
      <c r="AA114" s="860"/>
      <c r="AB114" s="860"/>
      <c r="AC114" s="860"/>
    </row>
    <row r="115" spans="3:29" x14ac:dyDescent="0.2">
      <c r="C115" s="827"/>
      <c r="D115" s="827"/>
      <c r="E115" s="827"/>
      <c r="F115" s="827"/>
      <c r="G115" s="827"/>
      <c r="H115" s="827"/>
      <c r="I115" s="827"/>
      <c r="J115" s="827"/>
      <c r="K115" s="827"/>
      <c r="L115" s="827"/>
      <c r="M115" s="827"/>
      <c r="O115" s="827"/>
      <c r="P115" s="827"/>
      <c r="Q115" s="827"/>
      <c r="R115" s="827"/>
      <c r="S115" s="827"/>
      <c r="T115" s="827"/>
      <c r="U115" s="827"/>
      <c r="V115" s="827"/>
      <c r="W115" s="827"/>
      <c r="X115" s="827"/>
      <c r="Y115" s="827"/>
      <c r="Z115" s="860"/>
      <c r="AA115" s="860"/>
      <c r="AB115" s="860"/>
      <c r="AC115" s="860"/>
    </row>
    <row r="116" spans="3:29" x14ac:dyDescent="0.2">
      <c r="C116" s="827"/>
      <c r="D116" s="827"/>
      <c r="E116" s="827"/>
      <c r="F116" s="827"/>
      <c r="G116" s="827"/>
      <c r="H116" s="827"/>
      <c r="I116" s="827"/>
      <c r="J116" s="827"/>
      <c r="K116" s="827"/>
      <c r="L116" s="827"/>
      <c r="M116" s="827"/>
      <c r="O116" s="827"/>
      <c r="P116" s="827"/>
      <c r="Q116" s="827"/>
      <c r="R116" s="827"/>
      <c r="S116" s="827"/>
      <c r="T116" s="827"/>
      <c r="U116" s="827"/>
      <c r="V116" s="827"/>
      <c r="W116" s="827"/>
      <c r="X116" s="827"/>
      <c r="Y116" s="827"/>
      <c r="Z116" s="860"/>
      <c r="AA116" s="860"/>
      <c r="AB116" s="860"/>
      <c r="AC116" s="860"/>
    </row>
    <row r="117" spans="3:29" x14ac:dyDescent="0.2">
      <c r="C117" s="827"/>
      <c r="D117" s="827"/>
      <c r="E117" s="827"/>
      <c r="F117" s="827"/>
      <c r="G117" s="827"/>
      <c r="H117" s="827"/>
      <c r="I117" s="827"/>
      <c r="J117" s="827"/>
      <c r="K117" s="827"/>
      <c r="L117" s="827"/>
      <c r="M117" s="827"/>
      <c r="O117" s="827"/>
      <c r="P117" s="827"/>
      <c r="Q117" s="827"/>
      <c r="R117" s="827"/>
      <c r="S117" s="827"/>
      <c r="T117" s="827"/>
      <c r="U117" s="827"/>
      <c r="V117" s="827"/>
      <c r="W117" s="827"/>
      <c r="X117" s="827"/>
      <c r="Y117" s="827"/>
      <c r="Z117" s="860"/>
      <c r="AA117" s="860"/>
      <c r="AB117" s="860"/>
      <c r="AC117" s="860"/>
    </row>
    <row r="118" spans="3:29" x14ac:dyDescent="0.2">
      <c r="C118" s="827"/>
      <c r="D118" s="827"/>
      <c r="E118" s="827"/>
      <c r="F118" s="827"/>
      <c r="G118" s="827"/>
      <c r="H118" s="827"/>
      <c r="I118" s="827"/>
      <c r="J118" s="827"/>
      <c r="K118" s="827"/>
      <c r="L118" s="827"/>
      <c r="M118" s="827"/>
      <c r="O118" s="827"/>
      <c r="P118" s="827"/>
      <c r="Q118" s="827"/>
      <c r="R118" s="827"/>
      <c r="S118" s="827"/>
      <c r="T118" s="827"/>
      <c r="U118" s="827"/>
      <c r="V118" s="827"/>
      <c r="W118" s="827"/>
      <c r="X118" s="827"/>
      <c r="Y118" s="827"/>
      <c r="Z118" s="860"/>
      <c r="AA118" s="860"/>
      <c r="AB118" s="860"/>
      <c r="AC118" s="860"/>
    </row>
    <row r="119" spans="3:29" x14ac:dyDescent="0.2">
      <c r="C119" s="827"/>
      <c r="D119" s="827"/>
      <c r="E119" s="827"/>
      <c r="F119" s="827"/>
      <c r="G119" s="827"/>
      <c r="H119" s="827"/>
      <c r="I119" s="827"/>
      <c r="J119" s="827"/>
      <c r="K119" s="827"/>
      <c r="L119" s="827"/>
      <c r="M119" s="827"/>
      <c r="O119" s="827"/>
      <c r="P119" s="827"/>
      <c r="Q119" s="827"/>
      <c r="R119" s="827"/>
      <c r="S119" s="827"/>
      <c r="T119" s="827"/>
      <c r="U119" s="827"/>
      <c r="V119" s="827"/>
      <c r="W119" s="827"/>
      <c r="X119" s="827"/>
      <c r="Y119" s="827"/>
      <c r="Z119" s="860"/>
      <c r="AA119" s="860"/>
      <c r="AB119" s="860"/>
      <c r="AC119" s="860"/>
    </row>
    <row r="120" spans="3:29" x14ac:dyDescent="0.2">
      <c r="C120" s="827"/>
      <c r="D120" s="827"/>
      <c r="E120" s="827"/>
      <c r="F120" s="827"/>
      <c r="G120" s="827"/>
      <c r="H120" s="827"/>
      <c r="I120" s="827"/>
      <c r="J120" s="827"/>
      <c r="K120" s="827"/>
      <c r="L120" s="827"/>
      <c r="M120" s="827"/>
      <c r="O120" s="827"/>
      <c r="P120" s="827"/>
      <c r="Q120" s="827"/>
      <c r="R120" s="827"/>
      <c r="S120" s="827"/>
      <c r="T120" s="827"/>
      <c r="U120" s="827"/>
      <c r="V120" s="827"/>
      <c r="W120" s="827"/>
      <c r="X120" s="827"/>
      <c r="Y120" s="827"/>
      <c r="Z120" s="860"/>
      <c r="AA120" s="860"/>
      <c r="AB120" s="860"/>
      <c r="AC120" s="860"/>
    </row>
    <row r="121" spans="3:29" x14ac:dyDescent="0.2">
      <c r="C121" s="827"/>
      <c r="D121" s="827"/>
      <c r="E121" s="827"/>
      <c r="F121" s="827"/>
      <c r="G121" s="827"/>
      <c r="H121" s="827"/>
      <c r="I121" s="827"/>
      <c r="J121" s="827"/>
      <c r="K121" s="827"/>
      <c r="L121" s="827"/>
      <c r="M121" s="827"/>
      <c r="O121" s="827"/>
      <c r="P121" s="827"/>
      <c r="Q121" s="827"/>
      <c r="R121" s="827"/>
      <c r="S121" s="827"/>
      <c r="T121" s="827"/>
      <c r="U121" s="827"/>
      <c r="V121" s="827"/>
      <c r="W121" s="827"/>
      <c r="X121" s="827"/>
      <c r="Y121" s="827"/>
      <c r="Z121" s="860"/>
      <c r="AA121" s="860"/>
      <c r="AB121" s="860"/>
      <c r="AC121" s="860"/>
    </row>
    <row r="122" spans="3:29" x14ac:dyDescent="0.2">
      <c r="N122" s="829"/>
    </row>
    <row r="123" spans="3:29" x14ac:dyDescent="0.2">
      <c r="N123" s="829"/>
    </row>
    <row r="124" spans="3:29" x14ac:dyDescent="0.2">
      <c r="N124" s="829"/>
    </row>
    <row r="125" spans="3:29" x14ac:dyDescent="0.2">
      <c r="N125" s="829"/>
    </row>
    <row r="126" spans="3:29" x14ac:dyDescent="0.2">
      <c r="N126" s="829"/>
    </row>
    <row r="127" spans="3:29" x14ac:dyDescent="0.2">
      <c r="N127" s="829"/>
    </row>
    <row r="128" spans="3:29" x14ac:dyDescent="0.2">
      <c r="N128" s="829"/>
    </row>
    <row r="129" spans="14:14" x14ac:dyDescent="0.2">
      <c r="N129" s="829"/>
    </row>
    <row r="130" spans="14:14" x14ac:dyDescent="0.2">
      <c r="N130" s="829"/>
    </row>
    <row r="131" spans="14:14" x14ac:dyDescent="0.2">
      <c r="N131" s="829"/>
    </row>
    <row r="132" spans="14:14" x14ac:dyDescent="0.2">
      <c r="N132" s="829"/>
    </row>
    <row r="133" spans="14:14" x14ac:dyDescent="0.2">
      <c r="N133" s="829"/>
    </row>
    <row r="134" spans="14:14" x14ac:dyDescent="0.2">
      <c r="N134" s="829"/>
    </row>
    <row r="135" spans="14:14" x14ac:dyDescent="0.2">
      <c r="N135" s="829"/>
    </row>
    <row r="136" spans="14:14" x14ac:dyDescent="0.2">
      <c r="N136" s="829"/>
    </row>
  </sheetData>
  <mergeCells count="11">
    <mergeCell ref="C16:E16"/>
    <mergeCell ref="N69:P69"/>
    <mergeCell ref="Q69:W69"/>
    <mergeCell ref="X69:AC69"/>
    <mergeCell ref="J69:M69"/>
    <mergeCell ref="C17:E17"/>
    <mergeCell ref="C3:M4"/>
    <mergeCell ref="C5:M5"/>
    <mergeCell ref="C6:M6"/>
    <mergeCell ref="C14:E14"/>
    <mergeCell ref="C15:E15"/>
  </mergeCells>
  <conditionalFormatting sqref="N71:P81 N83:P101 N82:O82">
    <cfRule type="cellIs" dxfId="100" priority="4" stopIfTrue="1" operator="equal">
      <formula>0</formula>
    </cfRule>
  </conditionalFormatting>
  <conditionalFormatting sqref="Q71:Q99 Q101">
    <cfRule type="cellIs" dxfId="99" priority="3" stopIfTrue="1" operator="equal">
      <formula>0</formula>
    </cfRule>
  </conditionalFormatting>
  <conditionalFormatting sqref="Q100">
    <cfRule type="cellIs" dxfId="98" priority="2" stopIfTrue="1" operator="equal">
      <formula>0</formula>
    </cfRule>
  </conditionalFormatting>
  <printOptions horizontalCentered="1"/>
  <pageMargins left="0.59055118110236227" right="0.39370078740157483" top="0" bottom="0" header="0" footer="0.51181102362204722"/>
  <pageSetup scale="39" orientation="landscape" r:id="rId1"/>
  <drawing r:id="rId2"/>
  <legacyDrawing r:id="rId3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2:AP136"/>
  <sheetViews>
    <sheetView topLeftCell="A14" workbookViewId="0"/>
  </sheetViews>
  <sheetFormatPr baseColWidth="10" defaultColWidth="11" defaultRowHeight="12.75" x14ac:dyDescent="0.2"/>
  <cols>
    <col min="1" max="1" width="11" style="829"/>
    <col min="2" max="2" width="3.875" style="829" bestFit="1" customWidth="1"/>
    <col min="3" max="3" width="16.125" style="829" customWidth="1"/>
    <col min="4" max="4" width="13.875" style="829" customWidth="1"/>
    <col min="5" max="5" width="18.375" style="829" bestFit="1" customWidth="1"/>
    <col min="6" max="6" width="17.375" style="829" bestFit="1" customWidth="1"/>
    <col min="7" max="8" width="13.375" style="829" bestFit="1" customWidth="1"/>
    <col min="9" max="9" width="15.125" style="829" customWidth="1"/>
    <col min="10" max="10" width="20.5" style="829" customWidth="1"/>
    <col min="11" max="11" width="12.625" style="829" bestFit="1" customWidth="1"/>
    <col min="12" max="12" width="16" style="829" customWidth="1"/>
    <col min="13" max="13" width="19.5" style="829" customWidth="1"/>
    <col min="14" max="14" width="23.625" style="827" customWidth="1"/>
    <col min="15" max="15" width="11.375" style="829" bestFit="1" customWidth="1"/>
    <col min="16" max="16" width="11.125" style="829" bestFit="1" customWidth="1"/>
    <col min="17" max="17" width="18" style="829" bestFit="1" customWidth="1"/>
    <col min="18" max="18" width="10.875" style="829" customWidth="1"/>
    <col min="19" max="19" width="11.875" style="829" bestFit="1" customWidth="1"/>
    <col min="20" max="20" width="14.625" style="829" bestFit="1" customWidth="1"/>
    <col min="21" max="21" width="20.625" style="829" bestFit="1" customWidth="1"/>
    <col min="22" max="22" width="14" style="829" bestFit="1" customWidth="1"/>
    <col min="23" max="23" width="11.125" style="829" bestFit="1" customWidth="1"/>
    <col min="24" max="24" width="15.5" style="829" bestFit="1" customWidth="1"/>
    <col min="25" max="25" width="16.125" style="829" bestFit="1" customWidth="1"/>
    <col min="26" max="26" width="11.125" style="843" bestFit="1" customWidth="1"/>
    <col min="27" max="27" width="14" style="843" bestFit="1" customWidth="1"/>
    <col min="28" max="32" width="11" style="843"/>
    <col min="33" max="38" width="11" style="829"/>
    <col min="39" max="39" width="11.125" style="829" bestFit="1" customWidth="1"/>
    <col min="40" max="16384" width="11" style="829"/>
  </cols>
  <sheetData>
    <row r="2" spans="2:35" x14ac:dyDescent="0.2">
      <c r="B2" s="827"/>
      <c r="C2" s="828"/>
      <c r="D2" s="828"/>
      <c r="E2" s="828"/>
      <c r="F2" s="828"/>
      <c r="G2" s="828"/>
      <c r="H2" s="828"/>
      <c r="I2" s="828"/>
      <c r="J2" s="828"/>
      <c r="K2" s="828"/>
      <c r="L2" s="828"/>
      <c r="M2" s="828"/>
      <c r="N2" s="828"/>
      <c r="Z2" s="829"/>
      <c r="AA2" s="829"/>
      <c r="AB2" s="829"/>
      <c r="AC2" s="829"/>
      <c r="AD2" s="829"/>
      <c r="AE2" s="829"/>
      <c r="AF2" s="829"/>
    </row>
    <row r="3" spans="2:35" ht="15" customHeight="1" x14ac:dyDescent="0.2">
      <c r="B3" s="827"/>
      <c r="C3" s="2295"/>
      <c r="D3" s="2295"/>
      <c r="E3" s="2295"/>
      <c r="F3" s="2295"/>
      <c r="G3" s="2295"/>
      <c r="H3" s="2295"/>
      <c r="I3" s="2295"/>
      <c r="J3" s="2295"/>
      <c r="K3" s="2295"/>
      <c r="L3" s="2295"/>
      <c r="M3" s="2295"/>
      <c r="N3" s="828"/>
      <c r="Z3" s="829"/>
      <c r="AA3" s="829"/>
      <c r="AB3" s="829"/>
      <c r="AC3" s="829"/>
      <c r="AD3" s="829"/>
      <c r="AE3" s="829"/>
      <c r="AF3" s="829"/>
    </row>
    <row r="4" spans="2:35" ht="15" customHeight="1" x14ac:dyDescent="0.2">
      <c r="B4" s="827"/>
      <c r="C4" s="2295"/>
      <c r="D4" s="2295"/>
      <c r="E4" s="2295"/>
      <c r="F4" s="2295"/>
      <c r="G4" s="2295"/>
      <c r="H4" s="2295"/>
      <c r="I4" s="2295"/>
      <c r="J4" s="2295"/>
      <c r="K4" s="2295"/>
      <c r="L4" s="2295"/>
      <c r="M4" s="2295"/>
      <c r="N4" s="828"/>
      <c r="Z4" s="829"/>
      <c r="AA4" s="829"/>
      <c r="AB4" s="829"/>
      <c r="AC4" s="829"/>
      <c r="AD4" s="829"/>
      <c r="AE4" s="829"/>
      <c r="AF4" s="829"/>
    </row>
    <row r="5" spans="2:35" x14ac:dyDescent="0.2">
      <c r="B5" s="827"/>
      <c r="C5" s="2296"/>
      <c r="D5" s="2296"/>
      <c r="E5" s="2296"/>
      <c r="F5" s="2296"/>
      <c r="G5" s="2296"/>
      <c r="H5" s="2296"/>
      <c r="I5" s="2296"/>
      <c r="J5" s="2296"/>
      <c r="K5" s="2296"/>
      <c r="L5" s="2296"/>
      <c r="M5" s="2296"/>
      <c r="N5" s="828"/>
      <c r="Z5" s="829"/>
      <c r="AA5" s="829"/>
      <c r="AB5" s="829"/>
      <c r="AC5" s="829"/>
      <c r="AD5" s="829"/>
      <c r="AE5" s="829"/>
      <c r="AF5" s="829"/>
    </row>
    <row r="6" spans="2:35" x14ac:dyDescent="0.2">
      <c r="B6" s="827"/>
      <c r="C6" s="2296"/>
      <c r="D6" s="2296"/>
      <c r="E6" s="2296"/>
      <c r="F6" s="2296"/>
      <c r="G6" s="2296"/>
      <c r="H6" s="2296"/>
      <c r="I6" s="2296"/>
      <c r="J6" s="2296"/>
      <c r="K6" s="2296"/>
      <c r="L6" s="2296"/>
      <c r="M6" s="2296"/>
      <c r="N6" s="828"/>
      <c r="Z6" s="829"/>
      <c r="AA6" s="829"/>
      <c r="AB6" s="829"/>
      <c r="AC6" s="829"/>
      <c r="AD6" s="829"/>
      <c r="AE6" s="829"/>
      <c r="AF6" s="829"/>
    </row>
    <row r="7" spans="2:35" x14ac:dyDescent="0.2">
      <c r="B7" s="827"/>
      <c r="C7" s="830">
        <v>43101</v>
      </c>
      <c r="D7" s="830"/>
      <c r="E7" s="830"/>
      <c r="F7" s="830"/>
      <c r="G7" s="830"/>
      <c r="H7" s="830"/>
      <c r="I7" s="830"/>
      <c r="J7" s="830"/>
      <c r="K7" s="830"/>
      <c r="L7" s="830"/>
      <c r="M7" s="830"/>
      <c r="N7" s="830"/>
      <c r="O7" s="830"/>
      <c r="P7" s="830"/>
      <c r="Q7" s="830"/>
      <c r="R7" s="827"/>
      <c r="S7" s="827"/>
      <c r="T7" s="827"/>
      <c r="U7" s="827"/>
      <c r="V7" s="827"/>
      <c r="W7" s="827"/>
      <c r="X7" s="827"/>
      <c r="Y7" s="827"/>
      <c r="Z7" s="829"/>
      <c r="AA7" s="829"/>
      <c r="AB7" s="829"/>
      <c r="AC7" s="829"/>
      <c r="AD7" s="829"/>
      <c r="AE7" s="829"/>
      <c r="AF7" s="829"/>
    </row>
    <row r="8" spans="2:35" ht="19.5" customHeight="1" x14ac:dyDescent="0.2">
      <c r="B8" s="827"/>
      <c r="C8" s="1011"/>
      <c r="D8" s="1011"/>
      <c r="E8" s="1011"/>
      <c r="F8" s="1011"/>
      <c r="G8" s="1011"/>
      <c r="H8" s="1011"/>
      <c r="I8" s="1011"/>
      <c r="J8" s="1011"/>
      <c r="K8" s="1011"/>
      <c r="L8" s="1011"/>
      <c r="M8" s="828"/>
      <c r="N8" s="828"/>
      <c r="O8" s="827"/>
      <c r="P8" s="827"/>
      <c r="Q8" s="827"/>
      <c r="R8" s="827"/>
      <c r="S8" s="827"/>
      <c r="T8" s="827"/>
      <c r="U8" s="827"/>
      <c r="V8" s="827"/>
      <c r="W8" s="827"/>
      <c r="X8" s="827"/>
      <c r="Y8" s="827"/>
      <c r="Z8" s="829"/>
      <c r="AA8" s="829"/>
      <c r="AB8" s="829"/>
      <c r="AC8" s="829"/>
      <c r="AD8" s="829"/>
      <c r="AE8" s="829"/>
      <c r="AF8" s="829"/>
    </row>
    <row r="9" spans="2:35" ht="19.5" customHeight="1" x14ac:dyDescent="0.2">
      <c r="B9" s="827"/>
      <c r="C9" s="1011"/>
      <c r="D9" s="1011"/>
      <c r="E9" s="1011"/>
      <c r="F9" s="1011"/>
      <c r="G9" s="1011"/>
      <c r="H9" s="1011"/>
      <c r="I9" s="1011"/>
      <c r="J9" s="1011"/>
      <c r="K9" s="1011"/>
      <c r="L9" s="1011"/>
      <c r="M9" s="828"/>
      <c r="N9" s="828"/>
      <c r="O9" s="827"/>
      <c r="P9" s="827"/>
      <c r="Q9" s="827"/>
      <c r="R9" s="827"/>
      <c r="S9" s="827"/>
      <c r="T9" s="827"/>
      <c r="U9" s="827"/>
      <c r="V9" s="827"/>
      <c r="W9" s="827"/>
      <c r="X9" s="827"/>
      <c r="Y9" s="827"/>
      <c r="Z9" s="829"/>
      <c r="AA9" s="829"/>
      <c r="AB9" s="829"/>
      <c r="AC9" s="829"/>
      <c r="AD9" s="829"/>
      <c r="AE9" s="829"/>
      <c r="AF9" s="829"/>
    </row>
    <row r="10" spans="2:35" ht="19.5" customHeight="1" x14ac:dyDescent="0.2">
      <c r="B10" s="827"/>
      <c r="C10" s="1011"/>
      <c r="D10" s="1011"/>
      <c r="E10" s="1011"/>
      <c r="F10" s="1011"/>
      <c r="G10" s="1011"/>
      <c r="H10" s="1011"/>
      <c r="I10" s="1011"/>
      <c r="J10" s="1011"/>
      <c r="K10" s="1011"/>
      <c r="L10" s="1011"/>
      <c r="M10" s="828"/>
      <c r="N10" s="828"/>
      <c r="O10" s="827"/>
      <c r="P10" s="827"/>
      <c r="Q10" s="827"/>
      <c r="R10" s="827"/>
      <c r="S10" s="827"/>
      <c r="T10" s="827"/>
      <c r="U10" s="827"/>
      <c r="V10" s="827"/>
      <c r="W10" s="827"/>
      <c r="X10" s="827"/>
      <c r="Y10" s="827"/>
      <c r="Z10" s="829"/>
      <c r="AA10" s="829"/>
      <c r="AB10" s="829"/>
      <c r="AC10" s="829"/>
      <c r="AD10" s="829"/>
      <c r="AE10" s="829"/>
      <c r="AF10" s="829"/>
    </row>
    <row r="11" spans="2:35" ht="19.5" customHeight="1" x14ac:dyDescent="0.2">
      <c r="B11" s="827"/>
      <c r="C11" s="1011"/>
      <c r="D11" s="1011"/>
      <c r="E11" s="1011"/>
      <c r="F11" s="1011"/>
      <c r="G11" s="1011"/>
      <c r="H11" s="1011"/>
      <c r="I11" s="1011"/>
      <c r="J11" s="1011"/>
      <c r="K11" s="1011"/>
      <c r="L11" s="1011"/>
      <c r="M11" s="828"/>
      <c r="N11" s="828"/>
      <c r="O11" s="827"/>
      <c r="P11" s="827"/>
      <c r="Q11" s="827"/>
      <c r="R11" s="827"/>
      <c r="S11" s="827"/>
      <c r="T11" s="827"/>
      <c r="U11" s="827"/>
      <c r="V11" s="827"/>
      <c r="W11" s="827"/>
      <c r="X11" s="827"/>
      <c r="Y11" s="827"/>
      <c r="Z11" s="829"/>
      <c r="AA11" s="829"/>
      <c r="AB11" s="829"/>
      <c r="AC11" s="829"/>
      <c r="AD11" s="829"/>
      <c r="AE11" s="829"/>
      <c r="AF11" s="829"/>
    </row>
    <row r="12" spans="2:35" ht="19.5" customHeight="1" x14ac:dyDescent="0.2">
      <c r="B12" s="827"/>
      <c r="C12" s="1011"/>
      <c r="D12" s="1011"/>
      <c r="E12" s="1011"/>
      <c r="F12" s="1011"/>
      <c r="G12" s="1011"/>
      <c r="H12" s="1011"/>
      <c r="I12" s="1011"/>
      <c r="J12" s="1011"/>
      <c r="K12" s="1011"/>
      <c r="L12" s="1011"/>
      <c r="M12" s="828"/>
      <c r="N12" s="828"/>
      <c r="O12" s="827"/>
      <c r="P12" s="827"/>
      <c r="Q12" s="827"/>
      <c r="R12" s="827"/>
      <c r="S12" s="827"/>
      <c r="T12" s="827"/>
      <c r="U12" s="827"/>
      <c r="V12" s="827"/>
      <c r="W12" s="827"/>
      <c r="X12" s="827"/>
      <c r="Y12" s="827"/>
      <c r="Z12" s="829"/>
      <c r="AA12" s="829"/>
      <c r="AB12" s="829"/>
      <c r="AC12" s="829"/>
      <c r="AD12" s="829"/>
      <c r="AE12" s="829"/>
      <c r="AF12" s="829"/>
    </row>
    <row r="13" spans="2:35" ht="19.5" customHeight="1" thickBot="1" x14ac:dyDescent="0.25">
      <c r="B13" s="827"/>
      <c r="C13" s="1011"/>
      <c r="D13" s="1011"/>
      <c r="E13" s="1011"/>
      <c r="F13" s="1011"/>
      <c r="G13" s="1011"/>
      <c r="H13" s="1011"/>
      <c r="I13" s="1011"/>
      <c r="J13" s="1011"/>
      <c r="K13" s="1011"/>
      <c r="L13" s="1011"/>
      <c r="M13" s="828"/>
      <c r="N13" s="828"/>
      <c r="O13" s="827"/>
      <c r="P13" s="827"/>
      <c r="Q13" s="827"/>
      <c r="R13" s="827"/>
      <c r="S13" s="827"/>
      <c r="T13" s="827"/>
      <c r="U13" s="827"/>
      <c r="V13" s="827"/>
      <c r="W13" s="827"/>
      <c r="X13" s="827"/>
      <c r="Y13" s="827"/>
      <c r="Z13" s="829"/>
      <c r="AA13" s="829"/>
      <c r="AB13" s="829"/>
      <c r="AC13" s="829"/>
      <c r="AD13" s="829"/>
      <c r="AE13" s="829"/>
      <c r="AF13" s="829"/>
    </row>
    <row r="14" spans="2:35" ht="26.25" thickBot="1" x14ac:dyDescent="0.25">
      <c r="B14" s="827"/>
      <c r="C14" s="2333" t="s">
        <v>6</v>
      </c>
      <c r="D14" s="2334"/>
      <c r="E14" s="2335"/>
      <c r="F14" s="832" t="s">
        <v>227</v>
      </c>
      <c r="G14" s="832" t="s">
        <v>230</v>
      </c>
      <c r="H14" s="832" t="s">
        <v>228</v>
      </c>
      <c r="I14" s="832" t="s">
        <v>229</v>
      </c>
      <c r="J14" s="833" t="s">
        <v>126</v>
      </c>
      <c r="K14" s="833" t="s">
        <v>133</v>
      </c>
      <c r="L14" s="832" t="s">
        <v>127</v>
      </c>
      <c r="M14" s="834" t="s">
        <v>128</v>
      </c>
      <c r="N14" s="828"/>
      <c r="O14" s="827"/>
      <c r="P14" s="827"/>
      <c r="Q14" s="827"/>
      <c r="R14" s="827"/>
      <c r="S14" s="827"/>
      <c r="T14" s="827"/>
      <c r="U14" s="827"/>
      <c r="V14" s="827"/>
      <c r="W14" s="827"/>
      <c r="X14" s="827"/>
      <c r="Y14" s="827"/>
      <c r="Z14" s="829"/>
      <c r="AA14" s="829"/>
      <c r="AB14" s="829"/>
      <c r="AC14" s="829"/>
      <c r="AD14" s="829"/>
      <c r="AE14" s="829"/>
      <c r="AF14" s="829"/>
    </row>
    <row r="15" spans="2:35" ht="13.5" thickBot="1" x14ac:dyDescent="0.25">
      <c r="B15" s="827"/>
      <c r="C15" s="2329" t="s">
        <v>131</v>
      </c>
      <c r="D15" s="2330"/>
      <c r="E15" s="2331"/>
      <c r="F15" s="835"/>
      <c r="G15" s="836" t="s">
        <v>165</v>
      </c>
      <c r="H15" s="835"/>
      <c r="I15" s="837">
        <f>IF(D105=0,E105,D105)</f>
        <v>4659430.72</v>
      </c>
      <c r="J15" s="835">
        <f>I15*0.16</f>
        <v>745508.91519999993</v>
      </c>
      <c r="K15" s="835">
        <f>I15+J15</f>
        <v>5404939.6351999994</v>
      </c>
      <c r="L15" s="838" t="s">
        <v>348</v>
      </c>
      <c r="M15" s="839">
        <v>19.438300000000002</v>
      </c>
      <c r="O15" s="827"/>
      <c r="P15" s="827"/>
      <c r="Q15" s="827"/>
      <c r="R15" s="827"/>
      <c r="S15" s="827"/>
      <c r="T15" s="827"/>
      <c r="U15" s="827"/>
      <c r="V15" s="827"/>
      <c r="W15" s="827"/>
      <c r="X15" s="827"/>
      <c r="Y15" s="827"/>
      <c r="Z15" s="829"/>
      <c r="AA15" s="829"/>
      <c r="AB15" s="829"/>
      <c r="AC15" s="829"/>
      <c r="AD15" s="829"/>
      <c r="AE15" s="829"/>
      <c r="AF15" s="829"/>
    </row>
    <row r="16" spans="2:35" ht="13.5" thickBot="1" x14ac:dyDescent="0.25">
      <c r="B16" s="827"/>
      <c r="C16" s="2329" t="s">
        <v>275</v>
      </c>
      <c r="D16" s="2330"/>
      <c r="E16" s="2331"/>
      <c r="F16" s="840"/>
      <c r="G16" s="840"/>
      <c r="H16" s="840"/>
      <c r="I16" s="837">
        <f>IF(D106=0,E106,D106)</f>
        <v>447053.49</v>
      </c>
      <c r="J16" s="841">
        <f>I16*0.16</f>
        <v>71528.558399999994</v>
      </c>
      <c r="K16" s="841">
        <f>I16+J16</f>
        <v>518582.04839999997</v>
      </c>
      <c r="L16" s="838" t="s">
        <v>349</v>
      </c>
      <c r="M16" s="839">
        <v>19.438300000000002</v>
      </c>
      <c r="O16" s="827"/>
      <c r="P16" s="827"/>
      <c r="Q16" s="827"/>
      <c r="R16" s="827"/>
      <c r="S16" s="827"/>
      <c r="T16" s="827"/>
      <c r="U16" s="827"/>
      <c r="V16" s="827"/>
      <c r="W16" s="827"/>
      <c r="X16" s="827"/>
      <c r="Y16" s="827"/>
      <c r="Z16" s="827"/>
      <c r="AA16" s="827"/>
      <c r="AB16" s="827"/>
      <c r="AG16" s="843"/>
      <c r="AH16" s="843"/>
      <c r="AI16" s="843"/>
    </row>
    <row r="17" spans="2:33" ht="26.25" thickBot="1" x14ac:dyDescent="0.25">
      <c r="B17" s="827"/>
      <c r="C17" s="2326" t="s">
        <v>132</v>
      </c>
      <c r="D17" s="2327"/>
      <c r="E17" s="2328"/>
      <c r="F17" s="844"/>
      <c r="G17" s="845" t="s">
        <v>165</v>
      </c>
      <c r="H17" s="844"/>
      <c r="I17" s="846">
        <f>IF(D107=0,E107,D107)</f>
        <v>9195.26</v>
      </c>
      <c r="J17" s="844">
        <f>I17*0.16</f>
        <v>1471.2416000000001</v>
      </c>
      <c r="K17" s="844">
        <f>I17+J17</f>
        <v>10666.5016</v>
      </c>
      <c r="L17" s="847" t="s">
        <v>350</v>
      </c>
      <c r="M17" s="839">
        <v>19.438300000000002</v>
      </c>
      <c r="O17" s="827"/>
      <c r="P17" s="827"/>
      <c r="Q17" s="827"/>
      <c r="R17" s="827"/>
      <c r="S17" s="827"/>
      <c r="T17" s="827"/>
      <c r="U17" s="827"/>
      <c r="V17" s="827"/>
      <c r="W17" s="827"/>
      <c r="X17" s="827"/>
      <c r="Y17" s="827"/>
      <c r="Z17" s="829"/>
      <c r="AA17" s="829"/>
      <c r="AB17" s="829"/>
      <c r="AC17" s="829"/>
      <c r="AD17" s="829"/>
      <c r="AE17" s="829"/>
      <c r="AF17" s="829"/>
    </row>
    <row r="18" spans="2:33" x14ac:dyDescent="0.2">
      <c r="B18" s="827"/>
      <c r="C18" s="1011"/>
      <c r="D18" s="1011"/>
      <c r="E18" s="1011"/>
      <c r="F18" s="1011"/>
      <c r="G18" s="1011"/>
      <c r="H18" s="827"/>
      <c r="I18" s="827"/>
      <c r="J18" s="827"/>
      <c r="K18" s="827"/>
      <c r="L18" s="827"/>
      <c r="M18" s="827"/>
      <c r="O18" s="827"/>
      <c r="P18" s="827"/>
      <c r="Q18" s="827"/>
      <c r="R18" s="827"/>
      <c r="S18" s="827"/>
      <c r="T18" s="827"/>
      <c r="U18" s="827"/>
      <c r="V18" s="827"/>
      <c r="W18" s="827"/>
      <c r="X18" s="827"/>
      <c r="Y18" s="827"/>
    </row>
    <row r="19" spans="2:33" x14ac:dyDescent="0.2">
      <c r="B19" s="827"/>
      <c r="C19" s="1011"/>
      <c r="D19" s="1011"/>
      <c r="E19" s="1011"/>
      <c r="F19" s="1011"/>
      <c r="G19" s="1011"/>
      <c r="H19" s="827"/>
      <c r="I19" s="827"/>
      <c r="J19" s="827"/>
      <c r="K19" s="827"/>
      <c r="L19" s="827"/>
      <c r="O19" s="827"/>
      <c r="P19" s="827"/>
      <c r="Q19" s="827"/>
      <c r="R19" s="827"/>
      <c r="S19" s="827"/>
      <c r="T19" s="827"/>
      <c r="U19" s="827"/>
      <c r="V19" s="827"/>
      <c r="W19" s="827"/>
      <c r="X19" s="827"/>
      <c r="Y19" s="827"/>
    </row>
    <row r="20" spans="2:33" ht="13.5" thickBot="1" x14ac:dyDescent="0.25">
      <c r="B20" s="827"/>
      <c r="C20" s="849"/>
      <c r="D20" s="1011"/>
      <c r="E20" s="1011"/>
      <c r="F20" s="1011"/>
      <c r="G20" s="1011"/>
      <c r="H20" s="1011"/>
      <c r="I20" s="1011"/>
      <c r="J20" s="1011"/>
      <c r="K20" s="1011"/>
      <c r="L20" s="1011"/>
      <c r="M20" s="1011"/>
      <c r="N20" s="1011"/>
      <c r="O20" s="1011"/>
      <c r="P20" s="1011"/>
      <c r="Q20" s="1011"/>
      <c r="R20" s="827"/>
      <c r="S20" s="827"/>
      <c r="T20" s="827"/>
      <c r="U20" s="827"/>
      <c r="V20" s="827"/>
      <c r="W20" s="827"/>
      <c r="X20" s="827"/>
      <c r="Y20" s="827"/>
      <c r="Z20" s="827"/>
      <c r="AG20" s="843"/>
    </row>
    <row r="21" spans="2:33" ht="51.75" thickBot="1" x14ac:dyDescent="0.25">
      <c r="B21" s="827"/>
      <c r="C21" s="850" t="s">
        <v>134</v>
      </c>
      <c r="D21" s="832" t="s">
        <v>135</v>
      </c>
      <c r="E21" s="832" t="s">
        <v>285</v>
      </c>
      <c r="F21" s="832" t="s">
        <v>278</v>
      </c>
      <c r="G21" s="832" t="s">
        <v>153</v>
      </c>
      <c r="H21" s="832" t="s">
        <v>279</v>
      </c>
      <c r="I21" s="832" t="s">
        <v>281</v>
      </c>
      <c r="J21" s="832" t="s">
        <v>280</v>
      </c>
      <c r="K21" s="832" t="s">
        <v>245</v>
      </c>
      <c r="L21" s="832" t="s">
        <v>246</v>
      </c>
      <c r="M21" s="832"/>
      <c r="N21" s="834" t="s">
        <v>158</v>
      </c>
      <c r="O21" s="1011"/>
      <c r="P21" s="1011"/>
      <c r="Q21" s="1011"/>
      <c r="R21" s="1011"/>
      <c r="S21" s="1011"/>
      <c r="T21" s="1011"/>
      <c r="U21" s="1011"/>
      <c r="V21" s="827"/>
      <c r="W21" s="827"/>
      <c r="X21" s="827"/>
      <c r="Y21" s="827"/>
      <c r="Z21" s="827"/>
      <c r="AG21" s="843"/>
    </row>
    <row r="22" spans="2:33" ht="13.5" thickBot="1" x14ac:dyDescent="0.25">
      <c r="B22" s="827"/>
      <c r="C22" s="851">
        <v>850</v>
      </c>
      <c r="D22" s="1010">
        <v>850</v>
      </c>
      <c r="E22" s="852">
        <v>31482640</v>
      </c>
      <c r="F22" s="852">
        <v>31482640</v>
      </c>
      <c r="G22" s="852">
        <v>30</v>
      </c>
      <c r="H22" s="853">
        <f>VLOOKUP(C69,Tarifas!D4:H303,3)</f>
        <v>0.14799999999999999</v>
      </c>
      <c r="I22" s="1694">
        <v>1.4200000000000001E-2</v>
      </c>
      <c r="J22" s="1694">
        <f>VLOOKUP(C69,Tarifas!D4:H303,5)</f>
        <v>1E-3</v>
      </c>
      <c r="K22" s="1693">
        <v>203</v>
      </c>
      <c r="L22" s="1693">
        <v>201.4</v>
      </c>
      <c r="M22" s="853"/>
      <c r="N22" s="854">
        <f>F102</f>
        <v>9122786.297378175</v>
      </c>
      <c r="O22" s="855"/>
      <c r="P22" s="855"/>
      <c r="Q22" s="1011"/>
      <c r="R22" s="1011"/>
      <c r="S22" s="1011"/>
      <c r="T22" s="1011"/>
      <c r="U22" s="1011"/>
      <c r="V22" s="827"/>
      <c r="W22" s="827"/>
      <c r="X22" s="827"/>
      <c r="Y22" s="827"/>
      <c r="Z22" s="827"/>
      <c r="AG22" s="843"/>
    </row>
    <row r="23" spans="2:33" x14ac:dyDescent="0.2">
      <c r="B23" s="827"/>
      <c r="C23" s="1011"/>
      <c r="D23" s="1011"/>
      <c r="E23" s="1011"/>
      <c r="F23" s="1011"/>
      <c r="G23" s="1011"/>
      <c r="H23" s="1011"/>
      <c r="I23" s="1011"/>
      <c r="J23" s="1011"/>
      <c r="K23" s="856"/>
      <c r="L23" s="1011"/>
      <c r="M23" s="1011"/>
      <c r="N23" s="1011"/>
      <c r="O23" s="1011"/>
      <c r="P23" s="1011"/>
      <c r="Q23" s="1011"/>
      <c r="R23" s="1011"/>
      <c r="S23" s="1011"/>
      <c r="T23" s="827"/>
      <c r="U23" s="827"/>
      <c r="V23" s="827"/>
      <c r="W23" s="827"/>
      <c r="X23" s="827"/>
      <c r="Y23" s="827"/>
      <c r="Z23" s="827"/>
      <c r="AG23" s="843"/>
    </row>
    <row r="24" spans="2:33" x14ac:dyDescent="0.2">
      <c r="B24" s="827"/>
      <c r="C24" s="1011"/>
      <c r="D24" s="1011"/>
      <c r="E24" s="1011"/>
      <c r="F24" s="1011"/>
      <c r="G24" s="1011"/>
      <c r="H24" s="1011"/>
      <c r="I24" s="1011"/>
      <c r="J24" s="1011"/>
      <c r="K24" s="1011"/>
      <c r="L24" s="1011"/>
      <c r="M24" s="1011"/>
      <c r="N24" s="1011"/>
      <c r="O24" s="1011"/>
      <c r="P24" s="1011"/>
      <c r="Q24" s="827"/>
      <c r="R24" s="827"/>
      <c r="S24" s="827"/>
      <c r="T24" s="827"/>
      <c r="U24" s="827"/>
      <c r="V24" s="827"/>
      <c r="W24" s="827"/>
      <c r="X24" s="827"/>
      <c r="Y24" s="827"/>
      <c r="Z24" s="827"/>
      <c r="AG24" s="843"/>
    </row>
    <row r="25" spans="2:33" ht="14.25" customHeight="1" x14ac:dyDescent="0.2">
      <c r="B25" s="827"/>
      <c r="C25" s="1011"/>
      <c r="D25" s="1011"/>
      <c r="E25" s="1011"/>
      <c r="F25" s="1011"/>
      <c r="G25" s="1011"/>
      <c r="H25" s="1011"/>
      <c r="I25" s="1011"/>
      <c r="J25" s="1011"/>
      <c r="K25" s="1011"/>
      <c r="L25" s="1011"/>
      <c r="M25" s="1011"/>
      <c r="N25" s="1011"/>
      <c r="O25" s="827"/>
      <c r="P25" s="2336" t="s">
        <v>235</v>
      </c>
      <c r="Q25" s="2336"/>
      <c r="R25" s="827"/>
      <c r="S25" s="827"/>
      <c r="T25" s="827"/>
      <c r="U25" s="827"/>
      <c r="V25" s="827"/>
      <c r="W25" s="827"/>
      <c r="X25" s="843"/>
      <c r="Y25" s="843"/>
      <c r="AE25" s="829"/>
      <c r="AF25" s="829"/>
    </row>
    <row r="26" spans="2:33" ht="13.5" thickBot="1" x14ac:dyDescent="0.25">
      <c r="B26" s="827"/>
      <c r="C26" s="858" t="s">
        <v>86</v>
      </c>
      <c r="D26" s="858"/>
      <c r="E26" s="858"/>
      <c r="F26" s="858"/>
      <c r="G26" s="858"/>
      <c r="H26" s="859"/>
      <c r="I26" s="858"/>
      <c r="J26" s="858"/>
      <c r="K26" s="858"/>
      <c r="L26" s="859"/>
      <c r="M26" s="860"/>
      <c r="N26" s="861"/>
      <c r="Q26" s="827"/>
      <c r="R26" s="827"/>
      <c r="S26" s="827"/>
      <c r="T26" s="827"/>
      <c r="U26" s="827"/>
      <c r="V26" s="827"/>
      <c r="W26" s="827"/>
      <c r="X26" s="843"/>
      <c r="Y26" s="843"/>
      <c r="Z26" s="862"/>
      <c r="AE26" s="829"/>
      <c r="AF26" s="829"/>
    </row>
    <row r="27" spans="2:33" ht="35.1" customHeight="1" thickBot="1" x14ac:dyDescent="0.25">
      <c r="B27" s="827"/>
      <c r="C27" s="850" t="s">
        <v>87</v>
      </c>
      <c r="D27" s="832" t="s">
        <v>88</v>
      </c>
      <c r="E27" s="832" t="s">
        <v>237</v>
      </c>
      <c r="F27" s="833" t="s">
        <v>160</v>
      </c>
      <c r="G27" s="832" t="s">
        <v>236</v>
      </c>
      <c r="H27" s="833" t="s">
        <v>232</v>
      </c>
      <c r="I27" s="833" t="s">
        <v>233</v>
      </c>
      <c r="J27" s="833" t="s">
        <v>20</v>
      </c>
      <c r="K27" s="832" t="s">
        <v>91</v>
      </c>
      <c r="L27" s="832" t="s">
        <v>93</v>
      </c>
      <c r="M27" s="832" t="s">
        <v>94</v>
      </c>
      <c r="N27" s="863" t="s">
        <v>95</v>
      </c>
      <c r="P27" s="850" t="s">
        <v>237</v>
      </c>
      <c r="Q27" s="833" t="s">
        <v>160</v>
      </c>
      <c r="R27" s="832" t="s">
        <v>236</v>
      </c>
      <c r="S27" s="833" t="s">
        <v>232</v>
      </c>
      <c r="T27" s="833" t="s">
        <v>233</v>
      </c>
      <c r="U27" s="833" t="s">
        <v>20</v>
      </c>
      <c r="V27" s="832" t="s">
        <v>91</v>
      </c>
      <c r="W27" s="832" t="s">
        <v>93</v>
      </c>
      <c r="X27" s="832" t="s">
        <v>94</v>
      </c>
      <c r="Y27" s="834" t="s">
        <v>95</v>
      </c>
      <c r="Z27" s="861"/>
      <c r="AE27" s="829"/>
      <c r="AF27" s="829"/>
    </row>
    <row r="28" spans="2:33" ht="35.1" customHeight="1" thickBot="1" x14ac:dyDescent="0.25">
      <c r="B28" s="827"/>
      <c r="C28" s="864"/>
      <c r="D28" s="836"/>
      <c r="E28" s="836"/>
      <c r="F28" s="836"/>
      <c r="G28" s="836"/>
      <c r="H28" s="836"/>
      <c r="I28" s="836"/>
      <c r="J28" s="972" t="s">
        <v>97</v>
      </c>
      <c r="K28" s="841">
        <v>0</v>
      </c>
      <c r="L28" s="866">
        <f>K28/$K$33</f>
        <v>0</v>
      </c>
      <c r="M28" s="835">
        <f>L28*$I$15</f>
        <v>0</v>
      </c>
      <c r="N28" s="867">
        <f>M28*$M$15</f>
        <v>0</v>
      </c>
      <c r="P28" s="864"/>
      <c r="Q28" s="836"/>
      <c r="R28" s="836"/>
      <c r="S28" s="836"/>
      <c r="T28" s="836"/>
      <c r="U28" s="865" t="s">
        <v>97</v>
      </c>
      <c r="V28" s="841">
        <v>80000</v>
      </c>
      <c r="W28" s="866">
        <f>IFERROR(V28/$V$33,0)</f>
        <v>9.4117647058823528E-2</v>
      </c>
      <c r="X28" s="1677">
        <f>ROUND(W28*I$15,2)</f>
        <v>438534.66</v>
      </c>
      <c r="Y28" s="1678">
        <f>X28*M$15</f>
        <v>8524368.2814780008</v>
      </c>
      <c r="Z28" s="860"/>
      <c r="AA28" s="1059">
        <f>Y28+Y29+Y44+Y30</f>
        <v>34819439.773446999</v>
      </c>
      <c r="AE28" s="829"/>
      <c r="AF28" s="829"/>
    </row>
    <row r="29" spans="2:33" ht="35.1" customHeight="1" thickBot="1" x14ac:dyDescent="0.25">
      <c r="B29" s="827"/>
      <c r="C29" s="864"/>
      <c r="D29" s="836"/>
      <c r="E29" s="836"/>
      <c r="F29" s="836"/>
      <c r="G29" s="836"/>
      <c r="H29" s="836"/>
      <c r="I29" s="836"/>
      <c r="J29" s="972" t="s">
        <v>100</v>
      </c>
      <c r="K29" s="841">
        <v>0</v>
      </c>
      <c r="L29" s="866">
        <f t="shared" ref="L29:L32" si="0">K29/$K$33</f>
        <v>0</v>
      </c>
      <c r="M29" s="835">
        <f t="shared" ref="M29:M32" si="1">L29*$I$15</f>
        <v>0</v>
      </c>
      <c r="N29" s="867">
        <f>M29*$M$15</f>
        <v>0</v>
      </c>
      <c r="P29" s="864"/>
      <c r="Q29" s="836"/>
      <c r="R29" s="836"/>
      <c r="S29" s="836"/>
      <c r="T29" s="836"/>
      <c r="U29" s="865" t="s">
        <v>100</v>
      </c>
      <c r="V29" s="841">
        <v>40000</v>
      </c>
      <c r="W29" s="866">
        <f>IFERROR(V29/$V$33,0)</f>
        <v>4.7058823529411764E-2</v>
      </c>
      <c r="X29" s="1677">
        <f>ROUND(W29*I$15,2)</f>
        <v>219267.33</v>
      </c>
      <c r="Y29" s="1678">
        <f>X29*M$15</f>
        <v>4262184.1407390004</v>
      </c>
      <c r="Z29" s="860"/>
      <c r="AE29" s="829"/>
      <c r="AF29" s="829"/>
    </row>
    <row r="30" spans="2:33" ht="35.1" customHeight="1" thickBot="1" x14ac:dyDescent="0.25">
      <c r="B30" s="827"/>
      <c r="C30" s="864"/>
      <c r="D30" s="836"/>
      <c r="E30" s="836"/>
      <c r="F30" s="836"/>
      <c r="G30" s="836"/>
      <c r="H30" s="836"/>
      <c r="I30" s="836"/>
      <c r="J30" s="972" t="s">
        <v>288</v>
      </c>
      <c r="K30" s="841">
        <v>0</v>
      </c>
      <c r="L30" s="866">
        <f t="shared" si="0"/>
        <v>0</v>
      </c>
      <c r="M30" s="835">
        <f t="shared" si="1"/>
        <v>0</v>
      </c>
      <c r="N30" s="867">
        <f>M30*$M$15</f>
        <v>0</v>
      </c>
      <c r="P30" s="864"/>
      <c r="Q30" s="836"/>
      <c r="R30" s="836"/>
      <c r="S30" s="836"/>
      <c r="T30" s="836"/>
      <c r="U30" s="865" t="s">
        <v>268</v>
      </c>
      <c r="V30" s="841">
        <f>P102/G22</f>
        <v>125221.50230197253</v>
      </c>
      <c r="W30" s="866">
        <f>IFERROR(V30/$V$33,0)</f>
        <v>0.14731941447290886</v>
      </c>
      <c r="X30" s="1677">
        <f>ROUND(W30*I$15,2)</f>
        <v>686424.61</v>
      </c>
      <c r="Y30" s="1678">
        <f>X30*M$15</f>
        <v>13342927.496563001</v>
      </c>
      <c r="Z30" s="860"/>
      <c r="AE30" s="829"/>
      <c r="AF30" s="829"/>
    </row>
    <row r="31" spans="2:33" ht="35.1" customHeight="1" thickBot="1" x14ac:dyDescent="0.25">
      <c r="B31" s="827"/>
      <c r="C31" s="864">
        <v>800832451</v>
      </c>
      <c r="D31" s="869">
        <v>13</v>
      </c>
      <c r="E31" s="869" t="s">
        <v>242</v>
      </c>
      <c r="F31" s="836" t="s">
        <v>221</v>
      </c>
      <c r="G31" s="836" t="s">
        <v>222</v>
      </c>
      <c r="H31" s="836">
        <v>2280</v>
      </c>
      <c r="I31" s="836">
        <v>453851</v>
      </c>
      <c r="J31" s="972" t="s">
        <v>159</v>
      </c>
      <c r="K31" s="841">
        <v>80000</v>
      </c>
      <c r="L31" s="866">
        <f t="shared" si="0"/>
        <v>9.4117647058823528E-2</v>
      </c>
      <c r="M31" s="835">
        <f t="shared" si="1"/>
        <v>438534.65599999996</v>
      </c>
      <c r="N31" s="867">
        <f>M31*M15</f>
        <v>8524368.2037247997</v>
      </c>
      <c r="P31" s="1076"/>
      <c r="Q31" s="836"/>
      <c r="R31" s="836"/>
      <c r="S31" s="836"/>
      <c r="T31" s="836"/>
      <c r="U31" s="865" t="s">
        <v>23</v>
      </c>
      <c r="V31" s="841">
        <f>W31*K33</f>
        <v>80000</v>
      </c>
      <c r="W31" s="866">
        <f>L31</f>
        <v>9.4117647058823528E-2</v>
      </c>
      <c r="X31" s="1677">
        <f>ROUND(W31*I$15,2)</f>
        <v>438534.66</v>
      </c>
      <c r="Y31" s="1678">
        <f>X31*M$15</f>
        <v>8524368.2814780008</v>
      </c>
      <c r="Z31" s="860"/>
      <c r="AE31" s="829"/>
      <c r="AF31" s="829"/>
    </row>
    <row r="32" spans="2:33" ht="35.1" customHeight="1" thickBot="1" x14ac:dyDescent="0.25">
      <c r="B32" s="827"/>
      <c r="C32" s="851">
        <v>800832451</v>
      </c>
      <c r="D32" s="853">
        <v>13</v>
      </c>
      <c r="E32" s="853" t="s">
        <v>242</v>
      </c>
      <c r="F32" s="845" t="s">
        <v>221</v>
      </c>
      <c r="G32" s="845" t="s">
        <v>222</v>
      </c>
      <c r="H32" s="845">
        <v>2280</v>
      </c>
      <c r="I32" s="845">
        <v>453851</v>
      </c>
      <c r="J32" s="973" t="s">
        <v>159</v>
      </c>
      <c r="K32" s="852">
        <f>850000-K28-K29-K30-K31</f>
        <v>770000</v>
      </c>
      <c r="L32" s="872">
        <f t="shared" si="0"/>
        <v>0.90588235294117647</v>
      </c>
      <c r="M32" s="835">
        <f t="shared" si="1"/>
        <v>4220896.0639999993</v>
      </c>
      <c r="N32" s="873">
        <f>M32*M15</f>
        <v>82047043.960851192</v>
      </c>
      <c r="P32" s="851"/>
      <c r="Q32" s="845"/>
      <c r="R32" s="845"/>
      <c r="S32" s="845"/>
      <c r="T32" s="845"/>
      <c r="U32" s="871" t="s">
        <v>159</v>
      </c>
      <c r="V32" s="852">
        <f>850000-V28-V29-V30-V31</f>
        <v>524778.49769802741</v>
      </c>
      <c r="W32" s="872">
        <f>IFERROR(V32/$V$33,0)</f>
        <v>0.61738646788003226</v>
      </c>
      <c r="X32" s="1679">
        <f>ROUND(W32*I$15,2)</f>
        <v>2876669.47</v>
      </c>
      <c r="Y32" s="1680">
        <f>X32*M$15</f>
        <v>55917564.15870101</v>
      </c>
      <c r="Z32" s="860"/>
      <c r="AE32" s="829"/>
      <c r="AF32" s="829"/>
    </row>
    <row r="33" spans="2:32" ht="35.1" customHeight="1" x14ac:dyDescent="0.2">
      <c r="B33" s="827"/>
      <c r="C33" s="881">
        <v>32001983</v>
      </c>
      <c r="D33" s="882" t="s">
        <v>102</v>
      </c>
      <c r="E33" s="882"/>
      <c r="F33" s="882"/>
      <c r="G33" s="882"/>
      <c r="H33" s="882"/>
      <c r="I33" s="883"/>
      <c r="J33" s="883"/>
      <c r="K33" s="884">
        <f>SUM(K28:K32)</f>
        <v>850000</v>
      </c>
      <c r="L33" s="885">
        <f>SUM(L28:L32)</f>
        <v>1</v>
      </c>
      <c r="M33" s="1662">
        <f>SUM(M28:M32)</f>
        <v>4659430.7199999988</v>
      </c>
      <c r="N33" s="1662">
        <f>SUM(N28:N32)</f>
        <v>90571412.164575994</v>
      </c>
      <c r="P33" s="882"/>
      <c r="Q33" s="882"/>
      <c r="R33" s="882"/>
      <c r="S33" s="882"/>
      <c r="T33" s="883"/>
      <c r="U33" s="883"/>
      <c r="V33" s="884">
        <f>SUM(V28:V32)</f>
        <v>850000</v>
      </c>
      <c r="W33" s="885">
        <f>SUM(W28:W32)</f>
        <v>1</v>
      </c>
      <c r="X33" s="1662">
        <f>SUM(X28:X32)</f>
        <v>4659430.7300000004</v>
      </c>
      <c r="Y33" s="1662">
        <f>SUM(Y28:Y32)</f>
        <v>90571412.358959019</v>
      </c>
      <c r="Z33" s="827"/>
      <c r="AE33" s="829"/>
      <c r="AF33" s="829"/>
    </row>
    <row r="34" spans="2:32" ht="20.100000000000001" customHeight="1" x14ac:dyDescent="0.2">
      <c r="B34" s="827"/>
      <c r="C34" s="860"/>
      <c r="D34" s="860"/>
      <c r="E34" s="860"/>
      <c r="F34" s="860"/>
      <c r="G34" s="888"/>
      <c r="H34" s="888"/>
      <c r="I34" s="860"/>
      <c r="J34" s="860"/>
      <c r="K34" s="860"/>
      <c r="L34" s="860"/>
      <c r="M34" s="1681"/>
      <c r="N34" s="1071"/>
      <c r="P34" s="860"/>
      <c r="Q34" s="860"/>
      <c r="R34" s="888"/>
      <c r="S34" s="888"/>
      <c r="T34" s="860"/>
      <c r="U34" s="860"/>
      <c r="V34" s="860"/>
      <c r="W34" s="860"/>
      <c r="X34" s="1681"/>
      <c r="Y34" s="1682"/>
      <c r="Z34" s="827"/>
      <c r="AE34" s="829"/>
      <c r="AF34" s="829"/>
    </row>
    <row r="35" spans="2:32" ht="20.100000000000001" customHeight="1" x14ac:dyDescent="0.2">
      <c r="B35" s="827"/>
      <c r="C35" s="860"/>
      <c r="D35" s="860"/>
      <c r="E35" s="860"/>
      <c r="F35" s="860"/>
      <c r="G35" s="888"/>
      <c r="H35" s="888"/>
      <c r="I35" s="860"/>
      <c r="J35" s="860"/>
      <c r="K35" s="860"/>
      <c r="L35" s="860"/>
      <c r="M35" s="1681"/>
      <c r="N35" s="1071"/>
      <c r="P35" s="860"/>
      <c r="Q35" s="860"/>
      <c r="R35" s="888"/>
      <c r="S35" s="888"/>
      <c r="T35" s="860"/>
      <c r="U35" s="860"/>
      <c r="V35" s="860"/>
      <c r="W35" s="892"/>
      <c r="X35" s="1681"/>
      <c r="Y35" s="1682"/>
      <c r="Z35" s="827"/>
      <c r="AE35" s="829"/>
      <c r="AF35" s="829"/>
    </row>
    <row r="36" spans="2:32" x14ac:dyDescent="0.2">
      <c r="M36" s="968"/>
      <c r="N36" s="1071"/>
      <c r="X36" s="968"/>
      <c r="Y36" s="968"/>
    </row>
    <row r="37" spans="2:32" ht="20.100000000000001" customHeight="1" thickBot="1" x14ac:dyDescent="0.25">
      <c r="B37" s="827"/>
      <c r="C37" s="858" t="s">
        <v>274</v>
      </c>
      <c r="D37" s="858"/>
      <c r="E37" s="858"/>
      <c r="F37" s="858"/>
      <c r="G37" s="858"/>
      <c r="H37" s="859"/>
      <c r="I37" s="858"/>
      <c r="J37" s="858"/>
      <c r="K37" s="858"/>
      <c r="L37" s="859"/>
      <c r="M37" s="1683"/>
      <c r="N37" s="1689"/>
      <c r="P37" s="858"/>
      <c r="Q37" s="858"/>
      <c r="R37" s="858"/>
      <c r="S37" s="859"/>
      <c r="T37" s="858"/>
      <c r="U37" s="858"/>
      <c r="V37" s="858"/>
      <c r="W37" s="860"/>
      <c r="X37" s="1683"/>
      <c r="Y37" s="1684"/>
      <c r="Z37" s="862"/>
      <c r="AE37" s="829"/>
      <c r="AF37" s="829"/>
    </row>
    <row r="38" spans="2:32" ht="35.1" customHeight="1" thickBot="1" x14ac:dyDescent="0.25">
      <c r="B38" s="827"/>
      <c r="C38" s="850" t="s">
        <v>87</v>
      </c>
      <c r="D38" s="895" t="s">
        <v>88</v>
      </c>
      <c r="E38" s="895" t="s">
        <v>237</v>
      </c>
      <c r="F38" s="896" t="s">
        <v>160</v>
      </c>
      <c r="G38" s="895" t="s">
        <v>236</v>
      </c>
      <c r="H38" s="896" t="s">
        <v>232</v>
      </c>
      <c r="I38" s="896" t="s">
        <v>233</v>
      </c>
      <c r="J38" s="896" t="s">
        <v>20</v>
      </c>
      <c r="K38" s="832" t="s">
        <v>91</v>
      </c>
      <c r="L38" s="895" t="s">
        <v>93</v>
      </c>
      <c r="M38" s="1685" t="s">
        <v>94</v>
      </c>
      <c r="N38" s="1686" t="s">
        <v>95</v>
      </c>
      <c r="P38" s="1075" t="s">
        <v>237</v>
      </c>
      <c r="Q38" s="896" t="s">
        <v>160</v>
      </c>
      <c r="R38" s="895" t="s">
        <v>236</v>
      </c>
      <c r="S38" s="896" t="s">
        <v>232</v>
      </c>
      <c r="T38" s="896" t="s">
        <v>233</v>
      </c>
      <c r="U38" s="896" t="s">
        <v>20</v>
      </c>
      <c r="V38" s="832" t="s">
        <v>91</v>
      </c>
      <c r="W38" s="895" t="s">
        <v>93</v>
      </c>
      <c r="X38" s="1685" t="s">
        <v>94</v>
      </c>
      <c r="Y38" s="1686" t="s">
        <v>95</v>
      </c>
      <c r="Z38" s="862"/>
      <c r="AE38" s="829"/>
      <c r="AF38" s="829"/>
    </row>
    <row r="39" spans="2:32" ht="35.1" customHeight="1" thickBot="1" x14ac:dyDescent="0.25">
      <c r="B39" s="827"/>
      <c r="C39" s="864">
        <v>800861096</v>
      </c>
      <c r="D39" s="869">
        <v>3</v>
      </c>
      <c r="E39" s="869" t="s">
        <v>242</v>
      </c>
      <c r="F39" s="836" t="s">
        <v>221</v>
      </c>
      <c r="G39" s="836" t="s">
        <v>222</v>
      </c>
      <c r="H39" s="836">
        <v>2280</v>
      </c>
      <c r="I39" s="836">
        <v>453851</v>
      </c>
      <c r="J39" s="865" t="s">
        <v>97</v>
      </c>
      <c r="K39" s="1840"/>
      <c r="L39" s="866">
        <v>0</v>
      </c>
      <c r="M39" s="835">
        <f>L39*$I$17</f>
        <v>0</v>
      </c>
      <c r="N39" s="1678">
        <f>M39*$M$16</f>
        <v>0</v>
      </c>
      <c r="P39" s="864"/>
      <c r="Q39" s="836"/>
      <c r="R39" s="836"/>
      <c r="S39" s="836"/>
      <c r="T39" s="836"/>
      <c r="U39" s="865" t="s">
        <v>97</v>
      </c>
      <c r="V39" s="841">
        <v>80000</v>
      </c>
      <c r="W39" s="866">
        <f>V39/$V$44</f>
        <v>0.66666666666666663</v>
      </c>
      <c r="X39" s="1677">
        <f>ROUND(W39*I$16,2)</f>
        <v>298035.65999999997</v>
      </c>
      <c r="Y39" s="1678">
        <f>X39*$M$16</f>
        <v>5793306.569778</v>
      </c>
      <c r="Z39" s="862"/>
      <c r="AE39" s="829"/>
      <c r="AF39" s="829"/>
    </row>
    <row r="40" spans="2:32" ht="35.1" customHeight="1" thickBot="1" x14ac:dyDescent="0.25">
      <c r="B40" s="827"/>
      <c r="C40" s="864" t="s">
        <v>101</v>
      </c>
      <c r="D40" s="836" t="s">
        <v>101</v>
      </c>
      <c r="E40" s="836"/>
      <c r="F40" s="836"/>
      <c r="G40" s="836"/>
      <c r="H40" s="836"/>
      <c r="I40" s="836"/>
      <c r="J40" s="865"/>
      <c r="K40" s="865"/>
      <c r="L40" s="866">
        <v>0</v>
      </c>
      <c r="M40" s="1677">
        <f>ROUND(L40*I$16,2)</f>
        <v>0</v>
      </c>
      <c r="N40" s="1678">
        <f>M40*$M$16</f>
        <v>0</v>
      </c>
      <c r="P40" s="864"/>
      <c r="Q40" s="836"/>
      <c r="R40" s="836"/>
      <c r="S40" s="836"/>
      <c r="T40" s="836"/>
      <c r="U40" s="865" t="s">
        <v>100</v>
      </c>
      <c r="V40" s="841">
        <v>40000</v>
      </c>
      <c r="W40" s="866">
        <f t="shared" ref="W40:W43" si="2">V40/$V$44</f>
        <v>0.33333333333333331</v>
      </c>
      <c r="X40" s="1677">
        <f>ROUND(W40*I$16,2)</f>
        <v>149017.82999999999</v>
      </c>
      <c r="Y40" s="1678">
        <f>X40*$M$16</f>
        <v>2896653.284889</v>
      </c>
      <c r="Z40" s="862"/>
      <c r="AE40" s="829"/>
      <c r="AF40" s="829"/>
    </row>
    <row r="41" spans="2:32" ht="35.1" customHeight="1" thickBot="1" x14ac:dyDescent="0.25">
      <c r="B41" s="827"/>
      <c r="C41" s="864"/>
      <c r="D41" s="836"/>
      <c r="E41" s="836"/>
      <c r="F41" s="836"/>
      <c r="G41" s="836"/>
      <c r="H41" s="836"/>
      <c r="I41" s="836"/>
      <c r="J41" s="972"/>
      <c r="K41" s="841"/>
      <c r="L41" s="866">
        <f>IFERROR(K41/K$44,0)</f>
        <v>0</v>
      </c>
      <c r="M41" s="1677">
        <f>ROUND(L41*I$16,2)</f>
        <v>0</v>
      </c>
      <c r="N41" s="1678">
        <f>M41*$M$16</f>
        <v>0</v>
      </c>
      <c r="P41" s="864"/>
      <c r="Q41" s="836"/>
      <c r="R41" s="836"/>
      <c r="S41" s="836"/>
      <c r="T41" s="836"/>
      <c r="U41" s="836" t="s">
        <v>268</v>
      </c>
      <c r="V41" s="841">
        <v>0</v>
      </c>
      <c r="W41" s="866">
        <f t="shared" si="2"/>
        <v>0</v>
      </c>
      <c r="X41" s="1677">
        <f>ROUND(W41*I$16,2)</f>
        <v>0</v>
      </c>
      <c r="Y41" s="1678">
        <f>X41*$M$16</f>
        <v>0</v>
      </c>
      <c r="Z41" s="862"/>
      <c r="AE41" s="829"/>
      <c r="AF41" s="829"/>
    </row>
    <row r="42" spans="2:32" ht="35.1" customHeight="1" thickBot="1" x14ac:dyDescent="0.25">
      <c r="B42" s="827"/>
      <c r="C42" s="864"/>
      <c r="D42" s="1000"/>
      <c r="E42" s="1000"/>
      <c r="F42" s="836"/>
      <c r="G42" s="836"/>
      <c r="H42" s="836"/>
      <c r="I42" s="836"/>
      <c r="J42" s="865"/>
      <c r="K42" s="841"/>
      <c r="L42" s="866">
        <f>IFERROR(#REF!/K$44,0)</f>
        <v>0</v>
      </c>
      <c r="M42" s="1677">
        <f>ROUND(L42*I$16,2)</f>
        <v>0</v>
      </c>
      <c r="N42" s="1678">
        <f>M42*$M$16</f>
        <v>0</v>
      </c>
      <c r="P42" s="1076"/>
      <c r="Q42" s="836"/>
      <c r="R42" s="836"/>
      <c r="S42" s="836"/>
      <c r="T42" s="836"/>
      <c r="U42" s="865" t="s">
        <v>23</v>
      </c>
      <c r="V42" s="841">
        <v>0</v>
      </c>
      <c r="W42" s="866">
        <f t="shared" si="2"/>
        <v>0</v>
      </c>
      <c r="X42" s="1677">
        <f>ROUND(W42*I$16,2)</f>
        <v>0</v>
      </c>
      <c r="Y42" s="1678">
        <f>X42*$M$16</f>
        <v>0</v>
      </c>
      <c r="Z42" s="862"/>
      <c r="AE42" s="829"/>
      <c r="AF42" s="829"/>
    </row>
    <row r="43" spans="2:32" ht="35.1" customHeight="1" thickBot="1" x14ac:dyDescent="0.25">
      <c r="B43" s="827"/>
      <c r="C43" s="851"/>
      <c r="D43" s="845"/>
      <c r="E43" s="845"/>
      <c r="F43" s="845"/>
      <c r="G43" s="845"/>
      <c r="H43" s="845"/>
      <c r="I43" s="845"/>
      <c r="J43" s="1837"/>
      <c r="K43" s="852">
        <v>120000</v>
      </c>
      <c r="L43" s="872">
        <v>1</v>
      </c>
      <c r="M43" s="1679">
        <f>ROUND(L43*I$16,2)</f>
        <v>447053.49</v>
      </c>
      <c r="N43" s="1680">
        <f>M43*$M$16</f>
        <v>8689959.8546670005</v>
      </c>
      <c r="P43" s="1004"/>
      <c r="Q43" s="845"/>
      <c r="R43" s="845"/>
      <c r="S43" s="845"/>
      <c r="T43" s="845"/>
      <c r="U43" s="871" t="s">
        <v>159</v>
      </c>
      <c r="V43" s="852">
        <v>0</v>
      </c>
      <c r="W43" s="872">
        <f t="shared" si="2"/>
        <v>0</v>
      </c>
      <c r="X43" s="1679">
        <f>ROUND(W43*I$16,2)</f>
        <v>0</v>
      </c>
      <c r="Y43" s="1680">
        <f>X43*$M$16</f>
        <v>0</v>
      </c>
      <c r="Z43" s="862"/>
      <c r="AE43" s="829"/>
      <c r="AF43" s="829"/>
    </row>
    <row r="44" spans="2:32" ht="20.100000000000001" customHeight="1" x14ac:dyDescent="0.2">
      <c r="B44" s="827"/>
      <c r="C44" s="881">
        <v>32001983</v>
      </c>
      <c r="D44" s="882" t="s">
        <v>102</v>
      </c>
      <c r="E44" s="882"/>
      <c r="F44" s="882"/>
      <c r="G44" s="882"/>
      <c r="H44" s="882"/>
      <c r="I44" s="883"/>
      <c r="J44" s="883"/>
      <c r="K44" s="884">
        <f>SUM(K41:K43)</f>
        <v>120000</v>
      </c>
      <c r="L44" s="885">
        <f>SUM(L39:L43)</f>
        <v>1</v>
      </c>
      <c r="M44" s="1662">
        <f>SUM(M39:M43)</f>
        <v>447053.49</v>
      </c>
      <c r="N44" s="1662">
        <f>SUM(N39:N43)</f>
        <v>8689959.8546670005</v>
      </c>
      <c r="P44" s="882"/>
      <c r="Q44" s="882"/>
      <c r="R44" s="882"/>
      <c r="S44" s="882"/>
      <c r="T44" s="883"/>
      <c r="U44" s="883"/>
      <c r="V44" s="884">
        <f>SUM(V39:V43)</f>
        <v>120000</v>
      </c>
      <c r="W44" s="885">
        <f>SUM(W39:W43)</f>
        <v>1</v>
      </c>
      <c r="X44" s="1662">
        <f>SUM(X39:X43)</f>
        <v>447053.49</v>
      </c>
      <c r="Y44" s="1662">
        <f>SUM(Y39:Y43)</f>
        <v>8689959.8546670005</v>
      </c>
      <c r="Z44" s="862"/>
      <c r="AE44" s="829"/>
      <c r="AF44" s="829"/>
    </row>
    <row r="45" spans="2:32" ht="20.100000000000001" customHeight="1" x14ac:dyDescent="0.2">
      <c r="B45" s="827"/>
      <c r="C45" s="899"/>
      <c r="D45" s="858"/>
      <c r="E45" s="858"/>
      <c r="F45" s="858"/>
      <c r="G45" s="858"/>
      <c r="H45" s="859"/>
      <c r="I45" s="858"/>
      <c r="J45" s="858"/>
      <c r="K45" s="858"/>
      <c r="L45" s="860"/>
      <c r="M45" s="1683"/>
      <c r="N45" s="1690"/>
      <c r="P45" s="858"/>
      <c r="Q45" s="858"/>
      <c r="R45" s="858"/>
      <c r="S45" s="859"/>
      <c r="T45" s="858"/>
      <c r="U45" s="858"/>
      <c r="V45" s="858"/>
      <c r="W45" s="860"/>
      <c r="X45" s="1683"/>
      <c r="Y45" s="1684"/>
      <c r="Z45" s="862"/>
      <c r="AE45" s="829"/>
      <c r="AF45" s="829"/>
    </row>
    <row r="46" spans="2:32" ht="20.100000000000001" customHeight="1" x14ac:dyDescent="0.2">
      <c r="B46" s="827"/>
      <c r="C46" s="899"/>
      <c r="D46" s="858"/>
      <c r="E46" s="858"/>
      <c r="F46" s="858"/>
      <c r="G46" s="858"/>
      <c r="H46" s="859"/>
      <c r="I46" s="858"/>
      <c r="J46" s="858"/>
      <c r="K46" s="858"/>
      <c r="L46" s="860"/>
      <c r="M46" s="1683"/>
      <c r="N46" s="1690"/>
      <c r="P46" s="858"/>
      <c r="Q46" s="858"/>
      <c r="R46" s="858"/>
      <c r="S46" s="859"/>
      <c r="T46" s="858"/>
      <c r="U46" s="858"/>
      <c r="V46" s="858"/>
      <c r="W46" s="860"/>
      <c r="X46" s="1683"/>
      <c r="Y46" s="1684"/>
      <c r="Z46" s="862"/>
      <c r="AE46" s="829"/>
      <c r="AF46" s="829"/>
    </row>
    <row r="47" spans="2:32" ht="20.100000000000001" customHeight="1" x14ac:dyDescent="0.2">
      <c r="B47" s="827"/>
      <c r="C47" s="899"/>
      <c r="D47" s="858"/>
      <c r="E47" s="858"/>
      <c r="F47" s="858"/>
      <c r="G47" s="858"/>
      <c r="H47" s="859"/>
      <c r="I47" s="858"/>
      <c r="J47" s="858"/>
      <c r="K47" s="858"/>
      <c r="L47" s="860"/>
      <c r="M47" s="1683"/>
      <c r="N47" s="1690"/>
      <c r="P47" s="858"/>
      <c r="Q47" s="858"/>
      <c r="R47" s="858"/>
      <c r="S47" s="859"/>
      <c r="T47" s="858"/>
      <c r="U47" s="858"/>
      <c r="V47" s="858"/>
      <c r="W47" s="860"/>
      <c r="X47" s="1683"/>
      <c r="Y47" s="1684"/>
      <c r="Z47" s="862"/>
      <c r="AE47" s="829"/>
      <c r="AF47" s="829"/>
    </row>
    <row r="48" spans="2:32" ht="35.1" customHeight="1" thickBot="1" x14ac:dyDescent="0.25">
      <c r="B48" s="827"/>
      <c r="C48" s="899" t="s">
        <v>103</v>
      </c>
      <c r="D48" s="858"/>
      <c r="E48" s="858"/>
      <c r="F48" s="858"/>
      <c r="G48" s="858"/>
      <c r="H48" s="859"/>
      <c r="I48" s="858"/>
      <c r="J48" s="858"/>
      <c r="K48" s="858"/>
      <c r="L48" s="860"/>
      <c r="M48" s="1683"/>
      <c r="N48" s="1690"/>
      <c r="P48" s="858"/>
      <c r="Q48" s="858"/>
      <c r="R48" s="858"/>
      <c r="S48" s="859"/>
      <c r="T48" s="858"/>
      <c r="U48" s="858"/>
      <c r="V48" s="858"/>
      <c r="W48" s="860"/>
      <c r="X48" s="1683"/>
      <c r="Y48" s="1684"/>
      <c r="Z48" s="862"/>
      <c r="AE48" s="829"/>
      <c r="AF48" s="829"/>
    </row>
    <row r="49" spans="2:32" ht="35.1" customHeight="1" thickBot="1" x14ac:dyDescent="0.25">
      <c r="B49" s="827"/>
      <c r="C49" s="850" t="s">
        <v>87</v>
      </c>
      <c r="D49" s="832" t="s">
        <v>88</v>
      </c>
      <c r="E49" s="832" t="s">
        <v>237</v>
      </c>
      <c r="F49" s="833" t="s">
        <v>160</v>
      </c>
      <c r="G49" s="832" t="s">
        <v>90</v>
      </c>
      <c r="H49" s="833" t="s">
        <v>232</v>
      </c>
      <c r="I49" s="833" t="s">
        <v>233</v>
      </c>
      <c r="J49" s="833" t="s">
        <v>20</v>
      </c>
      <c r="K49" s="832" t="s">
        <v>234</v>
      </c>
      <c r="L49" s="832" t="s">
        <v>93</v>
      </c>
      <c r="M49" s="1687" t="s">
        <v>94</v>
      </c>
      <c r="N49" s="1691" t="s">
        <v>95</v>
      </c>
      <c r="P49" s="850" t="s">
        <v>237</v>
      </c>
      <c r="Q49" s="833" t="s">
        <v>160</v>
      </c>
      <c r="R49" s="832" t="s">
        <v>90</v>
      </c>
      <c r="S49" s="833" t="s">
        <v>232</v>
      </c>
      <c r="T49" s="833" t="s">
        <v>233</v>
      </c>
      <c r="U49" s="833" t="s">
        <v>20</v>
      </c>
      <c r="V49" s="832" t="s">
        <v>234</v>
      </c>
      <c r="W49" s="832" t="s">
        <v>93</v>
      </c>
      <c r="X49" s="1687" t="s">
        <v>94</v>
      </c>
      <c r="Y49" s="1688" t="s">
        <v>95</v>
      </c>
      <c r="Z49" s="861"/>
      <c r="AE49" s="829"/>
      <c r="AF49" s="829"/>
    </row>
    <row r="50" spans="2:32" ht="35.1" customHeight="1" thickBot="1" x14ac:dyDescent="0.25">
      <c r="B50" s="827"/>
      <c r="C50" s="864">
        <v>800832773</v>
      </c>
      <c r="D50" s="1000">
        <v>259</v>
      </c>
      <c r="E50" s="836" t="s">
        <v>239</v>
      </c>
      <c r="F50" s="836" t="s">
        <v>238</v>
      </c>
      <c r="G50" s="836">
        <v>100887241</v>
      </c>
      <c r="H50" s="836">
        <v>7237</v>
      </c>
      <c r="I50" s="836">
        <v>468074</v>
      </c>
      <c r="J50" s="972" t="s">
        <v>97</v>
      </c>
      <c r="K50" s="841">
        <f>O102*S103</f>
        <v>2123224.4858322646</v>
      </c>
      <c r="L50" s="866">
        <f t="shared" ref="L50:L52" si="3">IFERROR(K50/K$54,0)</f>
        <v>0.2327385972465961</v>
      </c>
      <c r="M50" s="835">
        <f>L50*$I$17</f>
        <v>2140.0919137177352</v>
      </c>
      <c r="N50" s="867">
        <v>178740.22245800003</v>
      </c>
      <c r="O50" s="1839"/>
      <c r="P50" s="864"/>
      <c r="Q50" s="836"/>
      <c r="R50" s="836"/>
      <c r="S50" s="836"/>
      <c r="T50" s="836"/>
      <c r="U50" s="865" t="s">
        <v>97</v>
      </c>
      <c r="V50" s="841">
        <f>$O$102*$S$103</f>
        <v>2123224.4858322646</v>
      </c>
      <c r="W50" s="866">
        <v>0.2327385972465961</v>
      </c>
      <c r="X50" s="835">
        <f>ROUND(W50*I$17,2)</f>
        <v>2140.09</v>
      </c>
      <c r="Y50" s="867">
        <f>X50*$M$17</f>
        <v>41599.711447000009</v>
      </c>
      <c r="AE50" s="829"/>
      <c r="AF50" s="829"/>
    </row>
    <row r="51" spans="2:32" ht="35.1" customHeight="1" thickBot="1" x14ac:dyDescent="0.25">
      <c r="B51" s="827"/>
      <c r="C51" s="864">
        <v>800832773</v>
      </c>
      <c r="D51" s="836">
        <v>259</v>
      </c>
      <c r="E51" s="836" t="s">
        <v>239</v>
      </c>
      <c r="F51" s="836" t="s">
        <v>238</v>
      </c>
      <c r="G51" s="836">
        <v>100887241</v>
      </c>
      <c r="H51" s="836">
        <v>7237</v>
      </c>
      <c r="I51" s="836">
        <v>468074</v>
      </c>
      <c r="J51" s="972" t="s">
        <v>100</v>
      </c>
      <c r="K51" s="841">
        <f>O102*T103</f>
        <v>1089127.4141677348</v>
      </c>
      <c r="L51" s="866">
        <f t="shared" si="3"/>
        <v>0.11938539155309846</v>
      </c>
      <c r="M51" s="835">
        <f>L51*$I$17</f>
        <v>1097.7797155325443</v>
      </c>
      <c r="N51" s="867">
        <v>178740.22245800003</v>
      </c>
      <c r="O51" s="1838"/>
      <c r="P51" s="864"/>
      <c r="Q51" s="836"/>
      <c r="R51" s="836"/>
      <c r="S51" s="836"/>
      <c r="T51" s="836"/>
      <c r="U51" s="865" t="s">
        <v>97</v>
      </c>
      <c r="V51" s="841">
        <f>$O$102*$T$103</f>
        <v>1089127.4141677348</v>
      </c>
      <c r="W51" s="866">
        <v>0.11938539155309846</v>
      </c>
      <c r="X51" s="835">
        <f t="shared" ref="X51:X53" si="4">ROUND(W51*I$17,2)</f>
        <v>1097.78</v>
      </c>
      <c r="Y51" s="867">
        <f t="shared" ref="Y51:Y53" si="5">X51*$M$17</f>
        <v>21338.976974000001</v>
      </c>
      <c r="AE51" s="829"/>
      <c r="AF51" s="829"/>
    </row>
    <row r="52" spans="2:32" ht="35.1" customHeight="1" thickBot="1" x14ac:dyDescent="0.25">
      <c r="B52" s="827"/>
      <c r="C52" s="864">
        <v>800832773</v>
      </c>
      <c r="D52" s="836">
        <v>259</v>
      </c>
      <c r="E52" s="836" t="s">
        <v>239</v>
      </c>
      <c r="F52" s="836" t="s">
        <v>238</v>
      </c>
      <c r="G52" s="836">
        <v>100887241</v>
      </c>
      <c r="H52" s="836">
        <v>7237</v>
      </c>
      <c r="I52" s="836">
        <v>468074</v>
      </c>
      <c r="J52" s="972" t="s">
        <v>268</v>
      </c>
      <c r="K52" s="841">
        <f>P102</f>
        <v>3756645.0690591759</v>
      </c>
      <c r="L52" s="866">
        <f t="shared" si="3"/>
        <v>0.41178702937925987</v>
      </c>
      <c r="M52" s="835">
        <f>L52*$I$17</f>
        <v>3786.4887997699334</v>
      </c>
      <c r="N52" s="867">
        <v>178740.22245800003</v>
      </c>
      <c r="O52" s="1838"/>
      <c r="P52" s="864"/>
      <c r="Q52" s="836"/>
      <c r="R52" s="836"/>
      <c r="S52" s="836"/>
      <c r="T52" s="836"/>
      <c r="U52" s="972" t="s">
        <v>268</v>
      </c>
      <c r="V52" s="841">
        <f>$P$102</f>
        <v>3756645.0690591759</v>
      </c>
      <c r="W52" s="866">
        <v>0.41178702937925987</v>
      </c>
      <c r="X52" s="835">
        <f t="shared" si="4"/>
        <v>3786.49</v>
      </c>
      <c r="Y52" s="867">
        <f t="shared" si="5"/>
        <v>73602.928566999995</v>
      </c>
      <c r="AE52" s="829"/>
      <c r="AF52" s="829"/>
    </row>
    <row r="53" spans="2:32" ht="35.1" customHeight="1" thickBot="1" x14ac:dyDescent="0.25">
      <c r="B53" s="827"/>
      <c r="C53" s="851">
        <v>800832773</v>
      </c>
      <c r="D53" s="853">
        <v>259</v>
      </c>
      <c r="E53" s="853" t="s">
        <v>239</v>
      </c>
      <c r="F53" s="845" t="s">
        <v>238</v>
      </c>
      <c r="G53" s="845">
        <v>100887241</v>
      </c>
      <c r="H53" s="845">
        <v>7237</v>
      </c>
      <c r="I53" s="845">
        <v>468074</v>
      </c>
      <c r="J53" s="973" t="s">
        <v>23</v>
      </c>
      <c r="K53" s="852">
        <f>N102</f>
        <v>2153789.328319001</v>
      </c>
      <c r="L53" s="872">
        <f>IFERROR(K53/K$54,0)</f>
        <v>0.23608898182104573</v>
      </c>
      <c r="M53" s="835">
        <f>L53*$I$17</f>
        <v>2170.8995709797891</v>
      </c>
      <c r="N53" s="867">
        <f t="shared" ref="N53" si="6">M53*$M$17</f>
        <v>42198.59713057644</v>
      </c>
      <c r="O53" s="1839"/>
      <c r="P53" s="1004"/>
      <c r="Q53" s="845"/>
      <c r="R53" s="845"/>
      <c r="S53" s="845"/>
      <c r="T53" s="845"/>
      <c r="U53" s="871" t="s">
        <v>23</v>
      </c>
      <c r="V53" s="852">
        <f>$N$102</f>
        <v>2153789.328319001</v>
      </c>
      <c r="W53" s="872">
        <v>0.23608898182104573</v>
      </c>
      <c r="X53" s="835">
        <f t="shared" si="4"/>
        <v>2170.9</v>
      </c>
      <c r="Y53" s="873">
        <f t="shared" si="5"/>
        <v>42198.605470000002</v>
      </c>
      <c r="AE53" s="829"/>
      <c r="AF53" s="829"/>
    </row>
    <row r="54" spans="2:32" x14ac:dyDescent="0.2">
      <c r="B54" s="827"/>
      <c r="C54" s="881">
        <v>32001984</v>
      </c>
      <c r="D54" s="882" t="s">
        <v>102</v>
      </c>
      <c r="E54" s="901"/>
      <c r="F54" s="902"/>
      <c r="G54" s="902"/>
      <c r="H54" s="902"/>
      <c r="I54" s="902"/>
      <c r="J54" s="902"/>
      <c r="K54" s="1001">
        <f>SUM(K50:K53)</f>
        <v>9122786.297378175</v>
      </c>
      <c r="L54" s="903">
        <f>SUM(L50:L53)</f>
        <v>1</v>
      </c>
      <c r="M54" s="1002">
        <f>SUM(M50:M53)</f>
        <v>9195.260000000002</v>
      </c>
      <c r="N54" s="1002">
        <f>SUM(N50:N53)</f>
        <v>578419.26450457657</v>
      </c>
      <c r="O54" s="843"/>
      <c r="P54" s="843"/>
      <c r="Q54" s="827"/>
      <c r="R54" s="827"/>
      <c r="S54" s="827"/>
      <c r="T54" s="827"/>
      <c r="U54" s="827"/>
      <c r="V54" s="1001">
        <f>SUM(V49:V53)</f>
        <v>9122786.297378175</v>
      </c>
      <c r="W54" s="885">
        <f>SUM(W49:W53)</f>
        <v>1</v>
      </c>
      <c r="X54" s="1662">
        <f>SUM(X50:X53)</f>
        <v>9195.26</v>
      </c>
      <c r="Y54" s="1002">
        <f>SUM(Y50:Y53)</f>
        <v>178740.222458</v>
      </c>
      <c r="AE54" s="829"/>
      <c r="AF54" s="829"/>
    </row>
    <row r="55" spans="2:32" s="906" customFormat="1" x14ac:dyDescent="0.2">
      <c r="B55" s="904"/>
      <c r="C55" s="902"/>
      <c r="D55" s="902"/>
      <c r="E55" s="902"/>
      <c r="F55" s="902"/>
      <c r="G55" s="902"/>
      <c r="H55" s="902"/>
      <c r="I55" s="902"/>
      <c r="J55" s="902"/>
      <c r="K55" s="902"/>
      <c r="L55" s="902"/>
      <c r="M55" s="1692"/>
      <c r="N55" s="1692"/>
      <c r="O55" s="843"/>
      <c r="P55" s="843"/>
      <c r="Q55" s="904"/>
      <c r="R55" s="904"/>
      <c r="S55" s="904"/>
      <c r="T55" s="904"/>
      <c r="U55" s="904"/>
      <c r="V55" s="1001"/>
      <c r="W55" s="885"/>
      <c r="X55" s="843"/>
      <c r="Y55" s="843"/>
      <c r="Z55" s="843"/>
      <c r="AA55" s="843"/>
      <c r="AB55" s="843"/>
      <c r="AC55" s="843"/>
      <c r="AD55" s="843"/>
    </row>
    <row r="56" spans="2:32" s="906" customFormat="1" x14ac:dyDescent="0.2">
      <c r="B56" s="904"/>
      <c r="C56" s="902"/>
      <c r="D56" s="902"/>
      <c r="E56" s="902"/>
      <c r="F56" s="902"/>
      <c r="G56" s="902"/>
      <c r="H56" s="902"/>
      <c r="I56" s="902"/>
      <c r="J56" s="902"/>
      <c r="K56" s="902"/>
      <c r="L56" s="905"/>
      <c r="M56" s="905"/>
      <c r="N56" s="843"/>
      <c r="O56" s="904"/>
      <c r="P56" s="904"/>
      <c r="Q56" s="904"/>
      <c r="R56" s="904"/>
      <c r="S56" s="904"/>
      <c r="T56" s="904"/>
      <c r="U56" s="904"/>
      <c r="V56" s="843"/>
      <c r="W56" s="843"/>
      <c r="X56" s="843"/>
      <c r="Y56" s="843"/>
      <c r="Z56" s="843"/>
      <c r="AA56" s="843"/>
      <c r="AB56" s="843"/>
    </row>
    <row r="57" spans="2:32" s="906" customFormat="1" x14ac:dyDescent="0.2">
      <c r="B57" s="904"/>
      <c r="C57" s="902"/>
      <c r="D57" s="902"/>
      <c r="E57" s="902"/>
      <c r="F57" s="902"/>
      <c r="G57" s="902"/>
      <c r="H57" s="902"/>
      <c r="I57" s="902"/>
      <c r="J57" s="902"/>
      <c r="K57" s="902"/>
      <c r="L57" s="905"/>
      <c r="M57" s="905"/>
      <c r="N57" s="843"/>
      <c r="O57" s="843"/>
      <c r="P57" s="904"/>
      <c r="Q57" s="904"/>
      <c r="R57" s="904"/>
      <c r="S57" s="904"/>
      <c r="T57" s="904"/>
      <c r="U57" s="904"/>
      <c r="V57" s="904"/>
      <c r="W57" s="843"/>
      <c r="X57" s="843"/>
      <c r="Y57" s="843"/>
      <c r="Z57" s="843"/>
      <c r="AA57" s="843"/>
      <c r="AB57" s="843"/>
      <c r="AC57" s="843"/>
    </row>
    <row r="58" spans="2:32" s="906" customFormat="1" x14ac:dyDescent="0.2">
      <c r="B58" s="904"/>
      <c r="C58" s="902"/>
      <c r="D58" s="902"/>
      <c r="E58" s="902"/>
      <c r="F58" s="902"/>
      <c r="G58" s="902"/>
      <c r="H58" s="902"/>
      <c r="I58" s="902"/>
      <c r="J58" s="902"/>
      <c r="K58" s="902"/>
      <c r="L58" s="905"/>
      <c r="M58" s="905"/>
      <c r="N58" s="843"/>
      <c r="O58" s="905"/>
      <c r="P58" s="843"/>
      <c r="Q58" s="905"/>
      <c r="R58" s="904"/>
      <c r="S58" s="904"/>
      <c r="T58" s="904"/>
      <c r="U58" s="904"/>
      <c r="V58" s="904"/>
      <c r="W58" s="904"/>
      <c r="X58" s="904"/>
      <c r="Y58" s="904"/>
      <c r="Z58" s="843"/>
      <c r="AA58" s="843"/>
      <c r="AB58" s="843"/>
      <c r="AC58" s="843"/>
      <c r="AD58" s="843"/>
      <c r="AE58" s="843"/>
      <c r="AF58" s="843"/>
    </row>
    <row r="59" spans="2:32" s="906" customFormat="1" x14ac:dyDescent="0.2">
      <c r="B59" s="904"/>
      <c r="C59" s="902"/>
      <c r="D59" s="902"/>
      <c r="E59" s="902"/>
      <c r="F59" s="902"/>
      <c r="G59" s="902"/>
      <c r="H59" s="902"/>
      <c r="I59" s="902"/>
      <c r="J59" s="902"/>
      <c r="K59" s="902"/>
      <c r="L59" s="905"/>
      <c r="M59" s="905"/>
      <c r="N59" s="843"/>
      <c r="O59" s="905"/>
      <c r="P59" s="843"/>
      <c r="Q59" s="905"/>
      <c r="R59" s="904"/>
      <c r="S59" s="904"/>
      <c r="T59" s="904"/>
      <c r="U59" s="904"/>
      <c r="V59" s="904"/>
      <c r="W59" s="904"/>
      <c r="X59" s="904"/>
      <c r="Y59" s="904"/>
      <c r="Z59" s="843"/>
      <c r="AA59" s="843"/>
      <c r="AB59" s="843"/>
      <c r="AC59" s="843"/>
      <c r="AD59" s="843"/>
      <c r="AE59" s="843"/>
      <c r="AF59" s="843"/>
    </row>
    <row r="60" spans="2:32" s="906" customFormat="1" x14ac:dyDescent="0.2">
      <c r="B60" s="904"/>
      <c r="C60" s="902"/>
      <c r="D60" s="902"/>
      <c r="E60" s="902"/>
      <c r="F60" s="902"/>
      <c r="G60" s="902"/>
      <c r="H60" s="902"/>
      <c r="I60" s="902"/>
      <c r="J60" s="902"/>
      <c r="K60" s="902"/>
      <c r="L60" s="905"/>
      <c r="M60" s="905"/>
      <c r="N60" s="843"/>
      <c r="O60" s="905"/>
      <c r="P60" s="843"/>
      <c r="Q60" s="905"/>
      <c r="R60" s="904"/>
      <c r="S60" s="904"/>
      <c r="T60" s="904"/>
      <c r="U60" s="904"/>
      <c r="V60" s="904"/>
      <c r="W60" s="904"/>
      <c r="X60" s="904"/>
      <c r="Y60" s="904"/>
      <c r="Z60" s="843"/>
      <c r="AA60" s="843"/>
      <c r="AB60" s="843"/>
      <c r="AC60" s="843"/>
      <c r="AD60" s="843"/>
      <c r="AE60" s="843"/>
      <c r="AF60" s="843"/>
    </row>
    <row r="61" spans="2:32" s="906" customFormat="1" ht="15.75" x14ac:dyDescent="0.2">
      <c r="B61" s="904"/>
      <c r="C61" s="902"/>
      <c r="D61" s="1836"/>
      <c r="E61" s="902"/>
      <c r="F61" s="902"/>
      <c r="G61" s="902"/>
      <c r="H61" s="902"/>
      <c r="I61" s="902"/>
      <c r="J61" s="902"/>
      <c r="K61" s="902"/>
      <c r="L61" s="905"/>
      <c r="M61" s="905"/>
      <c r="N61" s="843"/>
      <c r="O61" s="905"/>
      <c r="P61" s="843"/>
      <c r="Q61" s="905"/>
      <c r="R61" s="904"/>
      <c r="S61" s="904"/>
      <c r="T61" s="904"/>
      <c r="U61" s="904"/>
      <c r="V61" s="904"/>
      <c r="W61" s="904"/>
      <c r="X61" s="904"/>
      <c r="Y61" s="904"/>
      <c r="Z61" s="843"/>
      <c r="AA61" s="843"/>
      <c r="AB61" s="843"/>
      <c r="AC61" s="843"/>
      <c r="AD61" s="843"/>
      <c r="AE61" s="843"/>
      <c r="AF61" s="843"/>
    </row>
    <row r="62" spans="2:32" s="906" customFormat="1" x14ac:dyDescent="0.2">
      <c r="B62" s="904"/>
      <c r="C62" s="902"/>
      <c r="D62" s="902"/>
      <c r="E62" s="902"/>
      <c r="F62" s="902"/>
      <c r="G62" s="902"/>
      <c r="H62" s="902"/>
      <c r="I62" s="902"/>
      <c r="J62" s="902"/>
      <c r="K62" s="902"/>
      <c r="L62" s="905"/>
      <c r="M62" s="905"/>
      <c r="N62" s="843"/>
      <c r="O62" s="905"/>
      <c r="P62" s="843"/>
      <c r="Q62" s="905"/>
      <c r="R62" s="904"/>
      <c r="S62" s="904"/>
      <c r="T62" s="904"/>
      <c r="U62" s="904"/>
      <c r="V62" s="904"/>
      <c r="W62" s="904"/>
      <c r="X62" s="904"/>
      <c r="Y62" s="904"/>
      <c r="Z62" s="843"/>
      <c r="AA62" s="843"/>
      <c r="AB62" s="843"/>
      <c r="AC62" s="843"/>
      <c r="AD62" s="843"/>
      <c r="AE62" s="843"/>
      <c r="AF62" s="843"/>
    </row>
    <row r="63" spans="2:32" s="906" customFormat="1" x14ac:dyDescent="0.2">
      <c r="B63" s="904"/>
      <c r="C63" s="902"/>
      <c r="D63" s="902"/>
      <c r="E63" s="902"/>
      <c r="F63" s="902"/>
      <c r="G63" s="902"/>
      <c r="H63" s="902"/>
      <c r="I63" s="902"/>
      <c r="J63" s="902"/>
      <c r="K63" s="902"/>
      <c r="L63" s="905"/>
      <c r="M63" s="905"/>
      <c r="N63" s="843"/>
      <c r="O63" s="905"/>
      <c r="P63" s="843"/>
      <c r="Q63" s="905"/>
      <c r="R63" s="904"/>
      <c r="S63" s="904"/>
      <c r="T63" s="904"/>
      <c r="U63" s="904"/>
      <c r="V63" s="904"/>
      <c r="W63" s="904"/>
      <c r="X63" s="904"/>
      <c r="Y63" s="904"/>
      <c r="Z63" s="843"/>
      <c r="AA63" s="843"/>
      <c r="AB63" s="843"/>
      <c r="AC63" s="843"/>
      <c r="AD63" s="843"/>
      <c r="AE63" s="843"/>
      <c r="AF63" s="843"/>
    </row>
    <row r="64" spans="2:32" s="906" customFormat="1" x14ac:dyDescent="0.2">
      <c r="B64" s="904"/>
      <c r="C64" s="902"/>
      <c r="D64" s="902"/>
      <c r="E64" s="902"/>
      <c r="F64" s="902"/>
      <c r="G64" s="902"/>
      <c r="H64" s="902"/>
      <c r="I64" s="902"/>
      <c r="J64" s="902"/>
      <c r="K64" s="902"/>
      <c r="L64" s="905"/>
      <c r="M64" s="905"/>
      <c r="N64" s="843"/>
      <c r="O64" s="905"/>
      <c r="P64" s="843"/>
      <c r="Q64" s="905"/>
      <c r="R64" s="904"/>
      <c r="S64" s="904"/>
      <c r="T64" s="904"/>
      <c r="U64" s="904"/>
      <c r="V64" s="904"/>
      <c r="W64" s="904"/>
      <c r="X64" s="904"/>
      <c r="Y64" s="904"/>
      <c r="Z64" s="843"/>
      <c r="AA64" s="843"/>
      <c r="AB64" s="843"/>
      <c r="AC64" s="843"/>
      <c r="AD64" s="843"/>
      <c r="AE64" s="843"/>
      <c r="AF64" s="843"/>
    </row>
    <row r="65" spans="2:36" s="906" customFormat="1" x14ac:dyDescent="0.2">
      <c r="B65" s="904"/>
      <c r="C65" s="902"/>
      <c r="D65" s="902"/>
      <c r="E65" s="902"/>
      <c r="F65" s="902"/>
      <c r="G65" s="902"/>
      <c r="H65" s="902"/>
      <c r="I65" s="902"/>
      <c r="J65" s="902"/>
      <c r="K65" s="902"/>
      <c r="L65" s="905"/>
      <c r="M65" s="905"/>
      <c r="N65" s="843"/>
      <c r="O65" s="905"/>
      <c r="P65" s="843"/>
      <c r="Q65" s="905"/>
      <c r="R65" s="904"/>
      <c r="S65" s="904"/>
      <c r="T65" s="904"/>
      <c r="U65" s="904"/>
      <c r="V65" s="904"/>
      <c r="W65" s="904"/>
      <c r="X65" s="904"/>
      <c r="Y65" s="904"/>
      <c r="Z65" s="843"/>
      <c r="AA65" s="843"/>
      <c r="AB65" s="843"/>
      <c r="AC65" s="843"/>
      <c r="AD65" s="843"/>
      <c r="AE65" s="843"/>
      <c r="AF65" s="843"/>
    </row>
    <row r="66" spans="2:36" s="906" customFormat="1" x14ac:dyDescent="0.2">
      <c r="B66" s="904"/>
      <c r="C66" s="902"/>
      <c r="D66" s="902"/>
      <c r="E66" s="902"/>
      <c r="F66" s="902"/>
      <c r="G66" s="902"/>
      <c r="H66" s="902"/>
      <c r="I66" s="902"/>
      <c r="J66" s="902"/>
      <c r="K66" s="902"/>
      <c r="L66" s="905"/>
      <c r="M66" s="905"/>
      <c r="N66" s="843"/>
      <c r="O66" s="905"/>
      <c r="P66" s="843"/>
      <c r="Q66" s="905"/>
      <c r="R66" s="904"/>
      <c r="S66" s="904"/>
      <c r="T66" s="904"/>
      <c r="U66" s="904"/>
      <c r="V66" s="904"/>
      <c r="W66" s="904"/>
      <c r="X66" s="904"/>
      <c r="Y66" s="904"/>
      <c r="Z66" s="843"/>
      <c r="AA66" s="843"/>
      <c r="AB66" s="843"/>
      <c r="AC66" s="843"/>
      <c r="AD66" s="843"/>
      <c r="AE66" s="843"/>
      <c r="AF66" s="843"/>
    </row>
    <row r="67" spans="2:36" s="906" customFormat="1" x14ac:dyDescent="0.2">
      <c r="B67" s="904"/>
      <c r="C67" s="902"/>
      <c r="D67" s="902"/>
      <c r="E67" s="902"/>
      <c r="F67" s="902"/>
      <c r="G67" s="902"/>
      <c r="H67" s="902"/>
      <c r="I67" s="902"/>
      <c r="J67" s="902"/>
      <c r="K67" s="902"/>
      <c r="L67" s="902"/>
      <c r="M67" s="905"/>
      <c r="N67" s="905"/>
      <c r="O67" s="843"/>
      <c r="P67" s="905"/>
      <c r="Q67" s="843"/>
      <c r="R67" s="905"/>
      <c r="S67" s="904"/>
      <c r="T67" s="904"/>
      <c r="U67" s="904"/>
      <c r="V67" s="904"/>
      <c r="W67" s="904"/>
      <c r="X67" s="904"/>
      <c r="Y67" s="904"/>
      <c r="Z67" s="904"/>
      <c r="AA67" s="843"/>
      <c r="AB67" s="843"/>
      <c r="AC67" s="843"/>
      <c r="AD67" s="843"/>
      <c r="AE67" s="843"/>
      <c r="AF67" s="843"/>
      <c r="AG67" s="843"/>
    </row>
    <row r="68" spans="2:36" s="843" customFormat="1" ht="13.5" thickBot="1" x14ac:dyDescent="0.25">
      <c r="N68" s="860"/>
      <c r="O68" s="860"/>
      <c r="P68" s="860"/>
      <c r="Q68" s="860"/>
      <c r="R68" s="860"/>
      <c r="S68" s="860"/>
      <c r="T68" s="860"/>
      <c r="U68" s="860"/>
      <c r="V68" s="860"/>
      <c r="W68" s="860"/>
      <c r="X68" s="860"/>
      <c r="Y68" s="860"/>
      <c r="Z68" s="860"/>
      <c r="AA68" s="860"/>
      <c r="AB68" s="860"/>
      <c r="AC68" s="999" t="e">
        <f>'Junio - 2018'!AC101</f>
        <v>#REF!</v>
      </c>
    </row>
    <row r="69" spans="2:36" ht="13.5" thickBot="1" x14ac:dyDescent="0.25">
      <c r="B69" s="907" t="s">
        <v>3</v>
      </c>
      <c r="C69" s="908">
        <f>SUMIF(Tarifas!E4:E303,'Septiembre - 2018 '!C71,Tarifas!D4:D303)</f>
        <v>62</v>
      </c>
      <c r="D69" s="909" t="s">
        <v>147</v>
      </c>
      <c r="E69" s="910"/>
      <c r="F69" s="910" t="s">
        <v>145</v>
      </c>
      <c r="G69" s="910" t="s">
        <v>287</v>
      </c>
      <c r="H69" s="910" t="s">
        <v>148</v>
      </c>
      <c r="I69" s="911"/>
      <c r="J69" s="1169" t="s">
        <v>120</v>
      </c>
      <c r="K69" s="1170"/>
      <c r="L69" s="1170"/>
      <c r="M69" s="1170"/>
      <c r="N69" s="1162" t="s">
        <v>270</v>
      </c>
      <c r="O69" s="1163"/>
      <c r="P69" s="1163"/>
      <c r="Q69" s="1156" t="s">
        <v>271</v>
      </c>
      <c r="R69" s="1157"/>
      <c r="S69" s="1157"/>
      <c r="T69" s="1157"/>
      <c r="U69" s="1157"/>
      <c r="V69" s="1157"/>
      <c r="W69" s="1158"/>
      <c r="X69" s="1159" t="s">
        <v>121</v>
      </c>
      <c r="Y69" s="1160"/>
      <c r="Z69" s="1160"/>
      <c r="AA69" s="1160"/>
      <c r="AB69" s="1160"/>
      <c r="AC69" s="1160"/>
      <c r="AD69" s="1161"/>
      <c r="AG69" s="843"/>
      <c r="AH69" s="843"/>
      <c r="AI69" s="843"/>
      <c r="AJ69" s="843"/>
    </row>
    <row r="70" spans="2:36" ht="51.75" thickBot="1" x14ac:dyDescent="0.25">
      <c r="C70" s="914" t="s">
        <v>122</v>
      </c>
      <c r="D70" s="1016" t="s">
        <v>125</v>
      </c>
      <c r="E70" s="1017" t="s">
        <v>277</v>
      </c>
      <c r="F70" s="1017" t="s">
        <v>149</v>
      </c>
      <c r="G70" s="1017" t="s">
        <v>151</v>
      </c>
      <c r="H70" s="1017" t="s">
        <v>152</v>
      </c>
      <c r="I70" s="1017" t="s">
        <v>123</v>
      </c>
      <c r="J70" s="1172" t="s">
        <v>372</v>
      </c>
      <c r="K70" s="1173" t="s">
        <v>373</v>
      </c>
      <c r="L70" s="1173" t="s">
        <v>361</v>
      </c>
      <c r="M70" s="1054" t="s">
        <v>267</v>
      </c>
      <c r="N70" s="975" t="s">
        <v>266</v>
      </c>
      <c r="O70" s="975" t="s">
        <v>269</v>
      </c>
      <c r="P70" s="975" t="s">
        <v>267</v>
      </c>
      <c r="Q70" s="976" t="s">
        <v>22</v>
      </c>
      <c r="R70" s="977" t="s">
        <v>272</v>
      </c>
      <c r="S70" s="976" t="s">
        <v>25</v>
      </c>
      <c r="T70" s="978" t="s">
        <v>26</v>
      </c>
      <c r="U70" s="979" t="s">
        <v>272</v>
      </c>
      <c r="V70" s="980" t="s">
        <v>273</v>
      </c>
      <c r="W70" s="977" t="s">
        <v>272</v>
      </c>
      <c r="X70" s="1012" t="s">
        <v>207</v>
      </c>
      <c r="Y70" s="1013"/>
      <c r="Z70" s="1013" t="s">
        <v>112</v>
      </c>
      <c r="AA70" s="1014" t="s">
        <v>118</v>
      </c>
      <c r="AB70" s="1014" t="s">
        <v>119</v>
      </c>
      <c r="AC70" s="1014" t="s">
        <v>114</v>
      </c>
      <c r="AD70" s="1015" t="s">
        <v>113</v>
      </c>
      <c r="AG70" s="843"/>
      <c r="AH70" s="843"/>
      <c r="AI70" s="843"/>
      <c r="AJ70" s="843"/>
    </row>
    <row r="71" spans="2:36" x14ac:dyDescent="0.2">
      <c r="C71" s="1402">
        <v>43344</v>
      </c>
      <c r="D71" s="1392">
        <f>($E$22*$H$22)/$G$22</f>
        <v>155314.35733333332</v>
      </c>
      <c r="E71" s="1368">
        <f>($F$22*$I$22)/$G$22</f>
        <v>14901.782933333334</v>
      </c>
      <c r="F71" s="389">
        <f t="shared" ref="F71:F100" si="7">N71+O71+P71</f>
        <v>331986.37263859267</v>
      </c>
      <c r="G71" s="1406">
        <f>TRUNC(IFERROR(K$22/L$22,0),8)</f>
        <v>1.0079443800000001</v>
      </c>
      <c r="H71" s="390">
        <f t="shared" ref="H71:H100" si="8">ROUND(J$22*G71*F71,4)</f>
        <v>334.62380000000002</v>
      </c>
      <c r="I71" s="1394">
        <f t="shared" ref="I71:I100" si="9">SUM(D71:H71)</f>
        <v>502538.14464963932</v>
      </c>
      <c r="J71" s="1369">
        <v>73999.516784358158</v>
      </c>
      <c r="K71" s="1370">
        <v>99906.416533993368</v>
      </c>
      <c r="L71" s="1370">
        <v>0</v>
      </c>
      <c r="M71" s="1370">
        <v>154546.71102122034</v>
      </c>
      <c r="N71" s="724">
        <v>72181.453125</v>
      </c>
      <c r="O71" s="318">
        <v>105429.25</v>
      </c>
      <c r="P71" s="1320">
        <v>154375.66951359267</v>
      </c>
      <c r="Q71" s="317">
        <v>72181.45</v>
      </c>
      <c r="R71" s="1362">
        <f t="shared" ref="R71:R100" si="10">N71-Q71</f>
        <v>3.125000002910383E-3</v>
      </c>
      <c r="S71" s="1365">
        <v>70705.53</v>
      </c>
      <c r="T71" s="1336">
        <v>34723.716</v>
      </c>
      <c r="U71" s="1362">
        <f>O71-(S71+T71)</f>
        <v>4.0000000008149073E-3</v>
      </c>
      <c r="V71" s="1365">
        <v>154375.64799999999</v>
      </c>
      <c r="W71" s="1375">
        <f>P71-V71</f>
        <v>2.151359268464148E-2</v>
      </c>
      <c r="X71" s="532"/>
      <c r="Y71" s="374"/>
      <c r="Z71" s="520">
        <f>X71+Y71-AA71</f>
        <v>-173905.93331835151</v>
      </c>
      <c r="AA71" s="520">
        <f t="shared" ref="AA71:AA101" si="11">J71+K71+L71</f>
        <v>173905.93331835151</v>
      </c>
      <c r="AB71" s="520">
        <f>(U71+V71+W71)*1.055056</f>
        <v>162874.98059455704</v>
      </c>
      <c r="AC71" s="520">
        <f>AA71-AB71</f>
        <v>11030.952723794471</v>
      </c>
      <c r="AD71" s="525" t="e">
        <f>AC68+AC71</f>
        <v>#REF!</v>
      </c>
      <c r="AG71" s="843"/>
      <c r="AH71" s="843"/>
      <c r="AI71" s="843"/>
      <c r="AJ71" s="843"/>
    </row>
    <row r="72" spans="2:36" x14ac:dyDescent="0.2">
      <c r="C72" s="387">
        <f t="shared" ref="C72:C100" si="12">C71+1</f>
        <v>43345</v>
      </c>
      <c r="D72" s="1392">
        <f t="shared" ref="D72:D100" si="13">($E$22*$H$22)/$G$22</f>
        <v>155314.35733333332</v>
      </c>
      <c r="E72" s="1368">
        <f t="shared" ref="E72:E100" si="14">($F$22*$I$22)/$G$22</f>
        <v>14901.782933333334</v>
      </c>
      <c r="F72" s="392">
        <f t="shared" si="7"/>
        <v>328117.37855630124</v>
      </c>
      <c r="G72" s="1393">
        <f t="shared" ref="G72:G100" si="15">TRUNC(IFERROR(K$22/L$22,0),8)</f>
        <v>1.0079443800000001</v>
      </c>
      <c r="H72" s="390">
        <f t="shared" si="8"/>
        <v>330.72410000000002</v>
      </c>
      <c r="I72" s="1394">
        <f t="shared" si="9"/>
        <v>498665.25086734787</v>
      </c>
      <c r="J72" s="1369">
        <v>73999.516784358158</v>
      </c>
      <c r="K72" s="1370">
        <v>97913.415775408124</v>
      </c>
      <c r="L72" s="1370">
        <v>0</v>
      </c>
      <c r="M72" s="1370">
        <v>152742.56528422682</v>
      </c>
      <c r="N72" s="725">
        <v>70881.4375</v>
      </c>
      <c r="O72" s="320">
        <v>106141.67</v>
      </c>
      <c r="P72" s="1321">
        <v>151094.27105630128</v>
      </c>
      <c r="Q72" s="319">
        <v>70881.440000000002</v>
      </c>
      <c r="R72" s="1372">
        <f t="shared" si="10"/>
        <v>-2.5000000023283064E-3</v>
      </c>
      <c r="S72" s="1373">
        <v>70494.808999999994</v>
      </c>
      <c r="T72" s="1374">
        <v>35646.853000000003</v>
      </c>
      <c r="U72" s="1372">
        <f t="shared" ref="U72:U100" si="16">O72-(S72+T72)</f>
        <v>8.0000000016298145E-3</v>
      </c>
      <c r="V72" s="1373">
        <v>151094.25</v>
      </c>
      <c r="W72" s="1395">
        <f t="shared" ref="W72:W100" si="17">P72-V72</f>
        <v>2.1056301280623302E-2</v>
      </c>
      <c r="X72" s="532"/>
      <c r="Y72" s="374"/>
      <c r="Z72" s="520">
        <f t="shared" ref="Z72:Z101" si="18">X72+Y72-AA72</f>
        <v>-171912.93255976628</v>
      </c>
      <c r="AA72" s="520">
        <f t="shared" si="11"/>
        <v>171912.93255976628</v>
      </c>
      <c r="AB72" s="520">
        <f t="shared" ref="AB72:AB101" si="19">(U72+V72+W72)*1.055056</f>
        <v>159412.92568402502</v>
      </c>
      <c r="AC72" s="520">
        <f t="shared" ref="AC72:AC101" si="20">AA72-AB72</f>
        <v>12500.006875741266</v>
      </c>
      <c r="AD72" s="525" t="e">
        <f>AD71+AC72</f>
        <v>#REF!</v>
      </c>
      <c r="AG72" s="843"/>
      <c r="AH72" s="843"/>
      <c r="AI72" s="843"/>
      <c r="AJ72" s="843"/>
    </row>
    <row r="73" spans="2:36" x14ac:dyDescent="0.2">
      <c r="C73" s="387">
        <f t="shared" si="12"/>
        <v>43346</v>
      </c>
      <c r="D73" s="1392">
        <f t="shared" si="13"/>
        <v>155314.35733333332</v>
      </c>
      <c r="E73" s="1368">
        <f t="shared" si="14"/>
        <v>14901.782933333334</v>
      </c>
      <c r="F73" s="392">
        <f t="shared" si="7"/>
        <v>296487.95080526406</v>
      </c>
      <c r="G73" s="1393">
        <f t="shared" si="15"/>
        <v>1.0079443800000001</v>
      </c>
      <c r="H73" s="390">
        <f t="shared" si="8"/>
        <v>298.84339999999997</v>
      </c>
      <c r="I73" s="1394">
        <f t="shared" si="9"/>
        <v>467003.94241631072</v>
      </c>
      <c r="J73" s="1369">
        <v>73999.516784358158</v>
      </c>
      <c r="K73" s="1370">
        <v>106465.6996023494</v>
      </c>
      <c r="L73" s="1370">
        <v>0</v>
      </c>
      <c r="M73" s="1370">
        <v>118463.79628134967</v>
      </c>
      <c r="N73" s="724">
        <v>71683.945313000004</v>
      </c>
      <c r="O73" s="318">
        <v>106460.02</v>
      </c>
      <c r="P73" s="1320">
        <v>118343.98549226402</v>
      </c>
      <c r="Q73" s="317">
        <v>71683.95</v>
      </c>
      <c r="R73" s="1372">
        <f t="shared" si="10"/>
        <v>-4.6869999932823703E-3</v>
      </c>
      <c r="S73" s="1373">
        <v>70381.263000000006</v>
      </c>
      <c r="T73" s="1374">
        <v>36078.78</v>
      </c>
      <c r="U73" s="1372">
        <f t="shared" si="16"/>
        <v>-2.3000000001047738E-2</v>
      </c>
      <c r="V73" s="1373">
        <v>118343.969</v>
      </c>
      <c r="W73" s="1395">
        <f t="shared" si="17"/>
        <v>1.6492264025146142E-2</v>
      </c>
      <c r="X73" s="532"/>
      <c r="Y73" s="374"/>
      <c r="Z73" s="520">
        <f t="shared" si="18"/>
        <v>-180465.21638670756</v>
      </c>
      <c r="AA73" s="520">
        <f t="shared" si="11"/>
        <v>180465.21638670756</v>
      </c>
      <c r="AB73" s="520">
        <f t="shared" si="19"/>
        <v>124859.5076912381</v>
      </c>
      <c r="AC73" s="520">
        <f t="shared" si="20"/>
        <v>55605.708695469453</v>
      </c>
      <c r="AD73" s="525" t="e">
        <f t="shared" ref="AD73:AD100" si="21">AD72+AC73</f>
        <v>#REF!</v>
      </c>
      <c r="AG73" s="843"/>
      <c r="AH73" s="843"/>
      <c r="AI73" s="843"/>
      <c r="AJ73" s="843"/>
    </row>
    <row r="74" spans="2:36" x14ac:dyDescent="0.2">
      <c r="C74" s="387">
        <f t="shared" si="12"/>
        <v>43347</v>
      </c>
      <c r="D74" s="1392">
        <f t="shared" si="13"/>
        <v>155314.35733333332</v>
      </c>
      <c r="E74" s="1368">
        <f t="shared" si="14"/>
        <v>14901.782933333334</v>
      </c>
      <c r="F74" s="392">
        <f t="shared" si="7"/>
        <v>297640.81067016354</v>
      </c>
      <c r="G74" s="1393">
        <f t="shared" si="15"/>
        <v>1.0079443800000001</v>
      </c>
      <c r="H74" s="390">
        <f t="shared" si="8"/>
        <v>300.00540000000001</v>
      </c>
      <c r="I74" s="1394">
        <f t="shared" si="9"/>
        <v>468157.96428121021</v>
      </c>
      <c r="J74" s="1369">
        <v>73999.516784358158</v>
      </c>
      <c r="K74" s="1370">
        <v>106353.86366777553</v>
      </c>
      <c r="L74" s="1370">
        <v>0</v>
      </c>
      <c r="M74" s="1370">
        <v>118575.63221592354</v>
      </c>
      <c r="N74" s="725">
        <v>71915.587</v>
      </c>
      <c r="O74" s="320">
        <v>106104.68</v>
      </c>
      <c r="P74" s="1321">
        <v>119620.54367016353</v>
      </c>
      <c r="Q74" s="319">
        <v>71915.59</v>
      </c>
      <c r="R74" s="1372">
        <f t="shared" si="10"/>
        <v>-2.9999999969732016E-3</v>
      </c>
      <c r="S74" s="1373">
        <v>70003.707999999999</v>
      </c>
      <c r="T74" s="1374">
        <v>36101.002999999997</v>
      </c>
      <c r="U74" s="1372">
        <f t="shared" si="16"/>
        <v>-3.1000000002677552E-2</v>
      </c>
      <c r="V74" s="1373">
        <v>119620.527</v>
      </c>
      <c r="W74" s="1395">
        <f t="shared" si="17"/>
        <v>1.6670163531671278E-2</v>
      </c>
      <c r="X74" s="532"/>
      <c r="Y74" s="374"/>
      <c r="Z74" s="520">
        <f t="shared" si="18"/>
        <v>-180353.38045213369</v>
      </c>
      <c r="AA74" s="520">
        <f t="shared" si="11"/>
        <v>180353.38045213369</v>
      </c>
      <c r="AB74" s="520">
        <f t="shared" si="19"/>
        <v>126206.33961573205</v>
      </c>
      <c r="AC74" s="520">
        <f t="shared" si="20"/>
        <v>54147.040836401633</v>
      </c>
      <c r="AD74" s="525" t="e">
        <f t="shared" si="21"/>
        <v>#REF!</v>
      </c>
      <c r="AG74" s="843"/>
      <c r="AH74" s="843"/>
      <c r="AI74" s="843"/>
      <c r="AJ74" s="843"/>
    </row>
    <row r="75" spans="2:36" x14ac:dyDescent="0.2">
      <c r="C75" s="387">
        <f t="shared" si="12"/>
        <v>43348</v>
      </c>
      <c r="D75" s="1392">
        <f t="shared" si="13"/>
        <v>155314.35733333332</v>
      </c>
      <c r="E75" s="1368">
        <f t="shared" si="14"/>
        <v>14901.782933333334</v>
      </c>
      <c r="F75" s="392">
        <f t="shared" si="7"/>
        <v>291010.14295839786</v>
      </c>
      <c r="G75" s="1393">
        <f t="shared" si="15"/>
        <v>1.0079443800000001</v>
      </c>
      <c r="H75" s="390">
        <f t="shared" si="8"/>
        <v>293.322</v>
      </c>
      <c r="I75" s="1394">
        <f t="shared" si="9"/>
        <v>461520.61316944449</v>
      </c>
      <c r="J75" s="1369">
        <v>73999.516784358158</v>
      </c>
      <c r="K75" s="1370">
        <v>118439.52999365912</v>
      </c>
      <c r="L75" s="1370">
        <v>0</v>
      </c>
      <c r="M75" s="1370">
        <v>112798.14563359805</v>
      </c>
      <c r="N75" s="724">
        <v>71787.492188000004</v>
      </c>
      <c r="O75" s="318">
        <v>106058.58</v>
      </c>
      <c r="P75" s="1320">
        <v>113164.07077039784</v>
      </c>
      <c r="Q75" s="317">
        <v>71787.490000000005</v>
      </c>
      <c r="R75" s="1372">
        <f t="shared" si="10"/>
        <v>2.1879999985685572E-3</v>
      </c>
      <c r="S75" s="1373">
        <v>70133.209000000003</v>
      </c>
      <c r="T75" s="1374">
        <v>35925.372000000003</v>
      </c>
      <c r="U75" s="1372">
        <f t="shared" si="16"/>
        <v>-1.0000000038417056E-3</v>
      </c>
      <c r="V75" s="1373">
        <v>113164.05499999999</v>
      </c>
      <c r="W75" s="1395">
        <f t="shared" si="17"/>
        <v>1.5770397847518325E-2</v>
      </c>
      <c r="X75" s="532"/>
      <c r="Y75" s="374"/>
      <c r="Z75" s="520">
        <f t="shared" si="18"/>
        <v>-192439.04677801728</v>
      </c>
      <c r="AA75" s="520">
        <f t="shared" si="11"/>
        <v>192439.04677801728</v>
      </c>
      <c r="AB75" s="520">
        <f t="shared" si="19"/>
        <v>119394.43079567686</v>
      </c>
      <c r="AC75" s="520">
        <f t="shared" si="20"/>
        <v>73044.615982340416</v>
      </c>
      <c r="AD75" s="525" t="e">
        <f t="shared" si="21"/>
        <v>#REF!</v>
      </c>
      <c r="AG75" s="843"/>
      <c r="AH75" s="843"/>
      <c r="AI75" s="843"/>
      <c r="AJ75" s="843"/>
    </row>
    <row r="76" spans="2:36" x14ac:dyDescent="0.2">
      <c r="C76" s="387">
        <f t="shared" si="12"/>
        <v>43349</v>
      </c>
      <c r="D76" s="1392">
        <f t="shared" si="13"/>
        <v>155314.35733333332</v>
      </c>
      <c r="E76" s="1368">
        <f t="shared" si="14"/>
        <v>14901.782933333334</v>
      </c>
      <c r="F76" s="392">
        <f t="shared" si="7"/>
        <v>303703.95045881008</v>
      </c>
      <c r="G76" s="1393">
        <f t="shared" si="15"/>
        <v>1.0079443800000001</v>
      </c>
      <c r="H76" s="390">
        <f t="shared" si="8"/>
        <v>306.11669999999998</v>
      </c>
      <c r="I76" s="1394">
        <f t="shared" si="9"/>
        <v>474227.21536985674</v>
      </c>
      <c r="J76" s="1369">
        <v>72000.185689853635</v>
      </c>
      <c r="K76" s="1370">
        <v>89936.137461134378</v>
      </c>
      <c r="L76" s="1370">
        <v>0</v>
      </c>
      <c r="M76" s="1370">
        <v>122898.1965928022</v>
      </c>
      <c r="N76" s="725">
        <v>73206.40625</v>
      </c>
      <c r="O76" s="320">
        <v>107011.82</v>
      </c>
      <c r="P76" s="1321">
        <v>123485.72420881005</v>
      </c>
      <c r="Q76" s="319">
        <v>73206.399999999994</v>
      </c>
      <c r="R76" s="1372">
        <f t="shared" si="10"/>
        <v>6.2500000058207661E-3</v>
      </c>
      <c r="S76" s="1373">
        <v>71074.168999999994</v>
      </c>
      <c r="T76" s="1374">
        <v>35937.667000000001</v>
      </c>
      <c r="U76" s="1372">
        <f t="shared" si="16"/>
        <v>-1.5999999988707714E-2</v>
      </c>
      <c r="V76" s="1373">
        <v>123485.70699999999</v>
      </c>
      <c r="W76" s="1395">
        <f t="shared" si="17"/>
        <v>1.7208810051670298E-2</v>
      </c>
      <c r="X76" s="532"/>
      <c r="Y76" s="374"/>
      <c r="Z76" s="520">
        <f t="shared" si="18"/>
        <v>-161936.32315098803</v>
      </c>
      <c r="AA76" s="520">
        <f t="shared" si="11"/>
        <v>161936.32315098803</v>
      </c>
      <c r="AB76" s="520">
        <f t="shared" si="19"/>
        <v>130284.3373599543</v>
      </c>
      <c r="AC76" s="520">
        <f t="shared" si="20"/>
        <v>31651.98579103373</v>
      </c>
      <c r="AD76" s="525" t="e">
        <f t="shared" si="21"/>
        <v>#REF!</v>
      </c>
      <c r="AG76" s="843"/>
      <c r="AH76" s="843"/>
      <c r="AI76" s="843"/>
      <c r="AJ76" s="843"/>
    </row>
    <row r="77" spans="2:36" x14ac:dyDescent="0.2">
      <c r="C77" s="387">
        <f t="shared" si="12"/>
        <v>43350</v>
      </c>
      <c r="D77" s="1392">
        <f t="shared" si="13"/>
        <v>155314.35733333332</v>
      </c>
      <c r="E77" s="1368">
        <f t="shared" si="14"/>
        <v>14901.782933333334</v>
      </c>
      <c r="F77" s="392">
        <f t="shared" si="7"/>
        <v>280494.77980666759</v>
      </c>
      <c r="G77" s="1393">
        <f t="shared" si="15"/>
        <v>1.0079443800000001</v>
      </c>
      <c r="H77" s="390">
        <f t="shared" si="8"/>
        <v>282.72309999999999</v>
      </c>
      <c r="I77" s="1394">
        <f t="shared" si="9"/>
        <v>450994.65111771424</v>
      </c>
      <c r="J77" s="1369">
        <v>70999.992614608098</v>
      </c>
      <c r="K77" s="1370">
        <v>122667.13933174864</v>
      </c>
      <c r="L77" s="1370">
        <v>0</v>
      </c>
      <c r="M77" s="1370">
        <v>102318.27451923735</v>
      </c>
      <c r="N77" s="724">
        <v>72250.914063000004</v>
      </c>
      <c r="O77" s="318">
        <v>107470.34</v>
      </c>
      <c r="P77" s="1320">
        <v>100773.5257436676</v>
      </c>
      <c r="Q77" s="317">
        <v>72250.91</v>
      </c>
      <c r="R77" s="1372">
        <f t="shared" si="10"/>
        <v>4.063000000314787E-3</v>
      </c>
      <c r="S77" s="1373">
        <v>70969.843999999997</v>
      </c>
      <c r="T77" s="1374">
        <v>36500.514000000003</v>
      </c>
      <c r="U77" s="1372">
        <f t="shared" si="16"/>
        <v>-1.800000001094304E-2</v>
      </c>
      <c r="V77" s="1373">
        <v>100773.512</v>
      </c>
      <c r="W77" s="1395">
        <f t="shared" si="17"/>
        <v>1.3743667601374909E-2</v>
      </c>
      <c r="X77" s="532"/>
      <c r="Y77" s="374"/>
      <c r="Z77" s="520">
        <f t="shared" si="18"/>
        <v>-193667.13194635673</v>
      </c>
      <c r="AA77" s="520">
        <f t="shared" si="11"/>
        <v>193667.13194635673</v>
      </c>
      <c r="AB77" s="520">
        <f t="shared" si="19"/>
        <v>106321.69398600295</v>
      </c>
      <c r="AC77" s="520">
        <f t="shared" si="20"/>
        <v>87345.437960353782</v>
      </c>
      <c r="AD77" s="525" t="e">
        <f t="shared" si="21"/>
        <v>#REF!</v>
      </c>
      <c r="AG77" s="843"/>
      <c r="AH77" s="843"/>
      <c r="AI77" s="843"/>
      <c r="AJ77" s="843"/>
    </row>
    <row r="78" spans="2:36" x14ac:dyDescent="0.2">
      <c r="C78" s="387">
        <f t="shared" si="12"/>
        <v>43351</v>
      </c>
      <c r="D78" s="1392">
        <f t="shared" si="13"/>
        <v>155314.35733333332</v>
      </c>
      <c r="E78" s="1368">
        <f t="shared" si="14"/>
        <v>14901.782933333334</v>
      </c>
      <c r="F78" s="392">
        <f t="shared" si="7"/>
        <v>314641.16491181665</v>
      </c>
      <c r="G78" s="1393">
        <f t="shared" si="15"/>
        <v>1.0079443800000001</v>
      </c>
      <c r="H78" s="390">
        <f t="shared" si="8"/>
        <v>317.14080000000001</v>
      </c>
      <c r="I78" s="1394">
        <f t="shared" si="9"/>
        <v>485175.45392286329</v>
      </c>
      <c r="J78" s="1369">
        <v>70838.56904866657</v>
      </c>
      <c r="K78" s="1370">
        <v>93068.598685189223</v>
      </c>
      <c r="L78" s="1370">
        <v>0</v>
      </c>
      <c r="M78" s="1370">
        <v>139685.19239473442</v>
      </c>
      <c r="N78" s="725">
        <v>70952.890625</v>
      </c>
      <c r="O78" s="320">
        <v>107444.06</v>
      </c>
      <c r="P78" s="1321">
        <v>136244.21428681666</v>
      </c>
      <c r="Q78" s="319">
        <v>70952.899999999994</v>
      </c>
      <c r="R78" s="1372">
        <f t="shared" si="10"/>
        <v>-9.3749999941792339E-3</v>
      </c>
      <c r="S78" s="1373">
        <v>71104.292000000001</v>
      </c>
      <c r="T78" s="1374">
        <v>36339.779000000002</v>
      </c>
      <c r="U78" s="1372">
        <f t="shared" si="16"/>
        <v>-1.0999999998603016E-2</v>
      </c>
      <c r="V78" s="1373">
        <v>136244.19500000001</v>
      </c>
      <c r="W78" s="1395">
        <f t="shared" si="17"/>
        <v>1.9286816648673266E-2</v>
      </c>
      <c r="X78" s="532"/>
      <c r="Y78" s="374"/>
      <c r="Z78" s="520">
        <f t="shared" si="18"/>
        <v>-163907.16773385578</v>
      </c>
      <c r="AA78" s="520">
        <f t="shared" si="11"/>
        <v>163907.16773385578</v>
      </c>
      <c r="AB78" s="520">
        <f t="shared" si="19"/>
        <v>143745.26414297565</v>
      </c>
      <c r="AC78" s="520">
        <f t="shared" si="20"/>
        <v>20161.903590880131</v>
      </c>
      <c r="AD78" s="525" t="e">
        <f t="shared" si="21"/>
        <v>#REF!</v>
      </c>
      <c r="AE78" s="829"/>
      <c r="AF78" s="829"/>
    </row>
    <row r="79" spans="2:36" x14ac:dyDescent="0.2">
      <c r="C79" s="387">
        <f t="shared" si="12"/>
        <v>43352</v>
      </c>
      <c r="D79" s="1392">
        <f t="shared" si="13"/>
        <v>155314.35733333332</v>
      </c>
      <c r="E79" s="1368">
        <f t="shared" si="14"/>
        <v>14901.782933333334</v>
      </c>
      <c r="F79" s="392">
        <f t="shared" si="7"/>
        <v>307896.81673114479</v>
      </c>
      <c r="G79" s="1393">
        <f t="shared" si="15"/>
        <v>1.0079443800000001</v>
      </c>
      <c r="H79" s="390">
        <f t="shared" si="8"/>
        <v>310.34289999999999</v>
      </c>
      <c r="I79" s="1394">
        <f t="shared" si="9"/>
        <v>478424.30784219143</v>
      </c>
      <c r="J79" s="1369">
        <v>71999.130633867084</v>
      </c>
      <c r="K79" s="1370">
        <v>98238.373019264269</v>
      </c>
      <c r="L79" s="1370">
        <v>0</v>
      </c>
      <c r="M79" s="1370">
        <v>133354.85647545886</v>
      </c>
      <c r="N79" s="724">
        <v>70954.125</v>
      </c>
      <c r="O79" s="318">
        <v>105403.4</v>
      </c>
      <c r="P79" s="1320">
        <v>131539.29173114477</v>
      </c>
      <c r="Q79" s="317">
        <v>70954.100000000006</v>
      </c>
      <c r="R79" s="1372">
        <f t="shared" si="10"/>
        <v>2.4999999994179234E-2</v>
      </c>
      <c r="S79" s="1373">
        <v>68851.709000000003</v>
      </c>
      <c r="T79" s="1374">
        <v>36551.680999999997</v>
      </c>
      <c r="U79" s="1372">
        <f t="shared" si="16"/>
        <v>9.9999999947613105E-3</v>
      </c>
      <c r="V79" s="1373">
        <v>131539.27299999999</v>
      </c>
      <c r="W79" s="1395">
        <f t="shared" si="17"/>
        <v>1.8731144780758768E-2</v>
      </c>
      <c r="X79" s="532"/>
      <c r="Y79" s="374"/>
      <c r="Z79" s="520">
        <f t="shared" si="18"/>
        <v>-170237.50365313137</v>
      </c>
      <c r="AA79" s="520">
        <f t="shared" si="11"/>
        <v>170237.50365313137</v>
      </c>
      <c r="AB79" s="520">
        <f t="shared" si="19"/>
        <v>138781.32952725468</v>
      </c>
      <c r="AC79" s="520">
        <f t="shared" si="20"/>
        <v>31456.174125876685</v>
      </c>
      <c r="AD79" s="525" t="e">
        <f t="shared" si="21"/>
        <v>#REF!</v>
      </c>
      <c r="AE79" s="829"/>
      <c r="AF79" s="829"/>
    </row>
    <row r="80" spans="2:36" x14ac:dyDescent="0.2">
      <c r="C80" s="387">
        <f t="shared" si="12"/>
        <v>43353</v>
      </c>
      <c r="D80" s="1392">
        <f t="shared" si="13"/>
        <v>155314.35733333332</v>
      </c>
      <c r="E80" s="1368">
        <f t="shared" si="14"/>
        <v>14901.782933333334</v>
      </c>
      <c r="F80" s="392">
        <f t="shared" si="7"/>
        <v>320785.63315330015</v>
      </c>
      <c r="G80" s="1393">
        <f t="shared" si="15"/>
        <v>1.0079443800000001</v>
      </c>
      <c r="H80" s="390">
        <f t="shared" si="8"/>
        <v>323.33409999999998</v>
      </c>
      <c r="I80" s="1394">
        <f t="shared" si="9"/>
        <v>491326.11546434677</v>
      </c>
      <c r="J80" s="1369">
        <v>71999.130633867084</v>
      </c>
      <c r="K80" s="1370">
        <v>106999.55793154164</v>
      </c>
      <c r="L80" s="1370">
        <v>0</v>
      </c>
      <c r="M80" s="1370">
        <v>149903.40962443172</v>
      </c>
      <c r="N80" s="725">
        <v>71016.359375</v>
      </c>
      <c r="O80" s="320">
        <v>107845.59</v>
      </c>
      <c r="P80" s="1321">
        <v>141923.68377830012</v>
      </c>
      <c r="Q80" s="319">
        <v>71016.399999999994</v>
      </c>
      <c r="R80" s="1372">
        <f t="shared" si="10"/>
        <v>-4.0624999994179234E-2</v>
      </c>
      <c r="S80" s="1373">
        <v>70616.133000000002</v>
      </c>
      <c r="T80" s="1374">
        <v>37229.464</v>
      </c>
      <c r="U80" s="1372">
        <f t="shared" si="16"/>
        <v>-7.0000000123400241E-3</v>
      </c>
      <c r="V80" s="1373">
        <v>141923.66399999999</v>
      </c>
      <c r="W80" s="1395">
        <f t="shared" si="17"/>
        <v>1.977830013493076E-2</v>
      </c>
      <c r="X80" s="532"/>
      <c r="Y80" s="374"/>
      <c r="Z80" s="520">
        <f t="shared" si="18"/>
        <v>-178998.68856540872</v>
      </c>
      <c r="AA80" s="520">
        <f t="shared" si="11"/>
        <v>178998.68856540872</v>
      </c>
      <c r="AB80" s="520">
        <f t="shared" si="19"/>
        <v>149737.42672700621</v>
      </c>
      <c r="AC80" s="520">
        <f t="shared" si="20"/>
        <v>29261.261838402512</v>
      </c>
      <c r="AD80" s="525" t="e">
        <f t="shared" si="21"/>
        <v>#REF!</v>
      </c>
      <c r="AE80" s="829"/>
      <c r="AF80" s="829"/>
    </row>
    <row r="81" spans="3:36" x14ac:dyDescent="0.2">
      <c r="C81" s="387">
        <f t="shared" si="12"/>
        <v>43354</v>
      </c>
      <c r="D81" s="1392">
        <f t="shared" si="13"/>
        <v>155314.35733333332</v>
      </c>
      <c r="E81" s="1368">
        <f t="shared" si="14"/>
        <v>14901.782933333334</v>
      </c>
      <c r="F81" s="392">
        <f t="shared" si="7"/>
        <v>318490.75704087177</v>
      </c>
      <c r="G81" s="1393">
        <f t="shared" si="15"/>
        <v>1.0079443800000001</v>
      </c>
      <c r="H81" s="390">
        <f t="shared" si="8"/>
        <v>321.02100000000002</v>
      </c>
      <c r="I81" s="1394">
        <f t="shared" si="9"/>
        <v>489028.92625191843</v>
      </c>
      <c r="J81" s="1369">
        <v>71714.265517499691</v>
      </c>
      <c r="K81" s="1370">
        <v>106999.55793154164</v>
      </c>
      <c r="L81" s="1370">
        <v>0</v>
      </c>
      <c r="M81" s="1370">
        <v>143522.43101780195</v>
      </c>
      <c r="N81" s="724">
        <v>71824.640625</v>
      </c>
      <c r="O81" s="318">
        <v>107343.12</v>
      </c>
      <c r="P81" s="1320">
        <v>139322.99641587175</v>
      </c>
      <c r="Q81" s="317">
        <v>71824.600000000006</v>
      </c>
      <c r="R81" s="1372">
        <f t="shared" si="10"/>
        <v>4.0624999994179234E-2</v>
      </c>
      <c r="S81" s="1373">
        <v>70820.69</v>
      </c>
      <c r="T81" s="1374">
        <v>36522.428999999996</v>
      </c>
      <c r="U81" s="1372">
        <f t="shared" si="16"/>
        <v>9.9999998928979039E-4</v>
      </c>
      <c r="V81" s="1373">
        <v>139322.97700000001</v>
      </c>
      <c r="W81" s="1395">
        <f t="shared" si="17"/>
        <v>1.941587173496373E-2</v>
      </c>
      <c r="X81" s="532"/>
      <c r="Y81" s="374"/>
      <c r="Z81" s="520">
        <f t="shared" si="18"/>
        <v>-178713.82344904135</v>
      </c>
      <c r="AA81" s="520">
        <f t="shared" si="11"/>
        <v>178713.82344904135</v>
      </c>
      <c r="AB81" s="520">
        <f t="shared" si="19"/>
        <v>146993.56436159997</v>
      </c>
      <c r="AC81" s="520">
        <f t="shared" si="20"/>
        <v>31720.259087441373</v>
      </c>
      <c r="AD81" s="525" t="e">
        <f t="shared" si="21"/>
        <v>#REF!</v>
      </c>
      <c r="AE81" s="829"/>
      <c r="AF81" s="829"/>
    </row>
    <row r="82" spans="3:36" x14ac:dyDescent="0.2">
      <c r="C82" s="387">
        <f t="shared" si="12"/>
        <v>43355</v>
      </c>
      <c r="D82" s="1392">
        <f t="shared" si="13"/>
        <v>155314.35733333332</v>
      </c>
      <c r="E82" s="1368">
        <f t="shared" si="14"/>
        <v>14901.782933333334</v>
      </c>
      <c r="F82" s="392">
        <f t="shared" si="7"/>
        <v>314763.26549009845</v>
      </c>
      <c r="G82" s="1393">
        <f t="shared" si="15"/>
        <v>1.0079443800000001</v>
      </c>
      <c r="H82" s="390">
        <f t="shared" si="8"/>
        <v>317.26389999999998</v>
      </c>
      <c r="I82" s="1394">
        <f t="shared" si="9"/>
        <v>485297.67760114511</v>
      </c>
      <c r="J82" s="1369">
        <v>71999.130633867084</v>
      </c>
      <c r="K82" s="1370">
        <v>107572.45333223607</v>
      </c>
      <c r="L82" s="1370">
        <v>0</v>
      </c>
      <c r="M82" s="1370">
        <v>133354.85647545886</v>
      </c>
      <c r="N82" s="725">
        <v>72989.09375</v>
      </c>
      <c r="O82" s="320">
        <v>107300.34</v>
      </c>
      <c r="P82" s="1321">
        <v>134473.83174009845</v>
      </c>
      <c r="Q82" s="319">
        <v>72989.100000000006</v>
      </c>
      <c r="R82" s="1372">
        <f t="shared" si="10"/>
        <v>-6.2500000058207661E-3</v>
      </c>
      <c r="S82" s="1373">
        <v>70932.357000000004</v>
      </c>
      <c r="T82" s="1374">
        <v>36367.978999999999</v>
      </c>
      <c r="U82" s="1372">
        <f t="shared" si="16"/>
        <v>3.999999986262992E-3</v>
      </c>
      <c r="V82" s="1373">
        <v>134473.81299999999</v>
      </c>
      <c r="W82" s="1395">
        <f t="shared" si="17"/>
        <v>1.8740098457783461E-2</v>
      </c>
      <c r="X82" s="532"/>
      <c r="Y82" s="374"/>
      <c r="Z82" s="520">
        <f t="shared" si="18"/>
        <v>-179571.58396610315</v>
      </c>
      <c r="AA82" s="520">
        <f t="shared" si="11"/>
        <v>179571.58396610315</v>
      </c>
      <c r="AB82" s="520">
        <f t="shared" si="19"/>
        <v>141877.42724060529</v>
      </c>
      <c r="AC82" s="520">
        <f t="shared" si="20"/>
        <v>37694.156725497858</v>
      </c>
      <c r="AD82" s="525" t="e">
        <f t="shared" si="21"/>
        <v>#REF!</v>
      </c>
      <c r="AE82" s="829"/>
      <c r="AF82" s="829"/>
    </row>
    <row r="83" spans="3:36" x14ac:dyDescent="0.2">
      <c r="C83" s="387">
        <f t="shared" si="12"/>
        <v>43356</v>
      </c>
      <c r="D83" s="1392">
        <f t="shared" si="13"/>
        <v>155314.35733333332</v>
      </c>
      <c r="E83" s="1368">
        <f t="shared" si="14"/>
        <v>14901.782933333334</v>
      </c>
      <c r="F83" s="392">
        <f t="shared" si="7"/>
        <v>292673.97182834672</v>
      </c>
      <c r="G83" s="1393">
        <f t="shared" si="15"/>
        <v>1.0079443800000001</v>
      </c>
      <c r="H83" s="390">
        <f t="shared" si="8"/>
        <v>294.9991</v>
      </c>
      <c r="I83" s="1394">
        <f t="shared" si="9"/>
        <v>463186.11913939338</v>
      </c>
      <c r="J83" s="1369">
        <v>71999.130633867084</v>
      </c>
      <c r="K83" s="1370">
        <v>107152.5410495908</v>
      </c>
      <c r="L83" s="1370">
        <v>0</v>
      </c>
      <c r="M83" s="1370">
        <v>112919.47707205082</v>
      </c>
      <c r="N83" s="724">
        <v>73067.492188000004</v>
      </c>
      <c r="O83" s="318">
        <v>107375.62</v>
      </c>
      <c r="P83" s="1320">
        <v>112230.85964034675</v>
      </c>
      <c r="Q83" s="317">
        <v>73067.491999999998</v>
      </c>
      <c r="R83" s="1372">
        <f t="shared" si="10"/>
        <v>1.8800000543706119E-4</v>
      </c>
      <c r="S83" s="1373">
        <v>71017.595000000001</v>
      </c>
      <c r="T83" s="1374">
        <v>36358.016000000003</v>
      </c>
      <c r="U83" s="1372">
        <f t="shared" si="16"/>
        <v>8.9999999909196049E-3</v>
      </c>
      <c r="V83" s="1373">
        <v>112230.844</v>
      </c>
      <c r="W83" s="1395">
        <f t="shared" si="17"/>
        <v>1.5640346755390055E-2</v>
      </c>
      <c r="X83" s="532"/>
      <c r="Y83" s="374"/>
      <c r="Z83" s="520">
        <f t="shared" si="18"/>
        <v>-179151.67168345788</v>
      </c>
      <c r="AA83" s="520">
        <f t="shared" si="11"/>
        <v>179151.67168345788</v>
      </c>
      <c r="AB83" s="520">
        <f t="shared" si="19"/>
        <v>118409.85134420967</v>
      </c>
      <c r="AC83" s="520">
        <f t="shared" si="20"/>
        <v>60741.82033924821</v>
      </c>
      <c r="AD83" s="525" t="e">
        <f t="shared" si="21"/>
        <v>#REF!</v>
      </c>
      <c r="AE83" s="829"/>
      <c r="AF83" s="829"/>
    </row>
    <row r="84" spans="3:36" x14ac:dyDescent="0.2">
      <c r="C84" s="387">
        <f t="shared" si="12"/>
        <v>43357</v>
      </c>
      <c r="D84" s="1392">
        <f t="shared" si="13"/>
        <v>155314.35733333332</v>
      </c>
      <c r="E84" s="1368">
        <f t="shared" si="14"/>
        <v>14901.782933333334</v>
      </c>
      <c r="F84" s="392">
        <f t="shared" si="7"/>
        <v>314279.93796125636</v>
      </c>
      <c r="G84" s="1393">
        <f t="shared" si="15"/>
        <v>1.0079443800000001</v>
      </c>
      <c r="H84" s="390">
        <f t="shared" si="8"/>
        <v>316.77670000000001</v>
      </c>
      <c r="I84" s="1394">
        <f t="shared" si="9"/>
        <v>484813.862872303</v>
      </c>
      <c r="J84" s="1369">
        <v>71999.130633867084</v>
      </c>
      <c r="K84" s="1370">
        <v>107999.75100678718</v>
      </c>
      <c r="L84" s="1370">
        <v>0</v>
      </c>
      <c r="M84" s="1370">
        <v>131806.03428720945</v>
      </c>
      <c r="N84" s="725">
        <v>74183.601563000004</v>
      </c>
      <c r="O84" s="320">
        <v>108075.47</v>
      </c>
      <c r="P84" s="1321">
        <v>132020.86639825639</v>
      </c>
      <c r="Q84" s="319">
        <v>74183.600999999995</v>
      </c>
      <c r="R84" s="1372">
        <f t="shared" si="10"/>
        <v>5.630000086966902E-4</v>
      </c>
      <c r="S84" s="1373">
        <v>71751.058999999994</v>
      </c>
      <c r="T84" s="1374">
        <v>36324.377</v>
      </c>
      <c r="U84" s="1372">
        <f t="shared" si="16"/>
        <v>3.4000000014202669E-2</v>
      </c>
      <c r="V84" s="1373">
        <v>132020.848</v>
      </c>
      <c r="W84" s="1395">
        <f t="shared" si="17"/>
        <v>1.8398256390355527E-2</v>
      </c>
      <c r="X84" s="532"/>
      <c r="Y84" s="374"/>
      <c r="Z84" s="520">
        <f t="shared" si="18"/>
        <v>-179998.88164065426</v>
      </c>
      <c r="AA84" s="520">
        <f t="shared" si="11"/>
        <v>179998.88164065426</v>
      </c>
      <c r="AB84" s="520">
        <f t="shared" si="19"/>
        <v>139289.44309058282</v>
      </c>
      <c r="AC84" s="520">
        <f t="shared" si="20"/>
        <v>40709.438550071442</v>
      </c>
      <c r="AD84" s="525" t="e">
        <f t="shared" si="21"/>
        <v>#REF!</v>
      </c>
      <c r="AE84" s="829"/>
      <c r="AF84" s="829"/>
    </row>
    <row r="85" spans="3:36" x14ac:dyDescent="0.2">
      <c r="C85" s="387">
        <f t="shared" si="12"/>
        <v>43358</v>
      </c>
      <c r="D85" s="1392">
        <f t="shared" si="13"/>
        <v>155314.35733333332</v>
      </c>
      <c r="E85" s="1368">
        <f t="shared" si="14"/>
        <v>14901.782933333334</v>
      </c>
      <c r="F85" s="392">
        <f t="shared" si="7"/>
        <v>319595.81252435967</v>
      </c>
      <c r="G85" s="1393">
        <f t="shared" si="15"/>
        <v>1.0079443800000001</v>
      </c>
      <c r="H85" s="390">
        <f t="shared" si="8"/>
        <v>322.13479999999998</v>
      </c>
      <c r="I85" s="1394">
        <f t="shared" si="9"/>
        <v>490135.09553540632</v>
      </c>
      <c r="J85" s="1369">
        <v>71999.130633867084</v>
      </c>
      <c r="K85" s="1370">
        <v>122004.56417219779</v>
      </c>
      <c r="L85" s="1370">
        <v>0</v>
      </c>
      <c r="M85" s="1370">
        <v>142007.37062112201</v>
      </c>
      <c r="N85" s="724">
        <v>72266.460938000004</v>
      </c>
      <c r="O85" s="318">
        <v>106782.98</v>
      </c>
      <c r="P85" s="1320">
        <v>140546.37158635972</v>
      </c>
      <c r="Q85" s="317">
        <v>72266.460000000006</v>
      </c>
      <c r="R85" s="1372">
        <f t="shared" si="10"/>
        <v>9.3799999740440398E-4</v>
      </c>
      <c r="S85" s="1373">
        <v>70494.080000000002</v>
      </c>
      <c r="T85" s="1374">
        <v>36288.898000000001</v>
      </c>
      <c r="U85" s="1372">
        <f t="shared" si="16"/>
        <v>1.999999993131496E-3</v>
      </c>
      <c r="V85" s="1373">
        <v>140546.35200000001</v>
      </c>
      <c r="W85" s="1395">
        <f t="shared" si="17"/>
        <v>1.95863597036805E-2</v>
      </c>
      <c r="X85" s="532"/>
      <c r="Y85" s="374"/>
      <c r="Z85" s="520">
        <f t="shared" si="18"/>
        <v>-194003.69480606489</v>
      </c>
      <c r="AA85" s="520">
        <f t="shared" si="11"/>
        <v>194003.69480606489</v>
      </c>
      <c r="AB85" s="520">
        <f t="shared" si="19"/>
        <v>148284.29473053032</v>
      </c>
      <c r="AC85" s="520">
        <f t="shared" si="20"/>
        <v>45719.400075534562</v>
      </c>
      <c r="AD85" s="525" t="e">
        <f t="shared" si="21"/>
        <v>#REF!</v>
      </c>
      <c r="AE85" s="829"/>
      <c r="AF85" s="829"/>
    </row>
    <row r="86" spans="3:36" x14ac:dyDescent="0.2">
      <c r="C86" s="387">
        <f t="shared" si="12"/>
        <v>43359</v>
      </c>
      <c r="D86" s="1392">
        <f t="shared" si="13"/>
        <v>155314.35733333332</v>
      </c>
      <c r="E86" s="1368">
        <f t="shared" si="14"/>
        <v>14901.782933333334</v>
      </c>
      <c r="F86" s="392">
        <f t="shared" si="7"/>
        <v>263055.58048132079</v>
      </c>
      <c r="G86" s="1393">
        <f t="shared" si="15"/>
        <v>1.0079443800000001</v>
      </c>
      <c r="H86" s="390">
        <f t="shared" si="8"/>
        <v>265.1454</v>
      </c>
      <c r="I86" s="1394">
        <f t="shared" si="9"/>
        <v>433537.87409236742</v>
      </c>
      <c r="J86" s="1369">
        <v>71999.130633867084</v>
      </c>
      <c r="K86" s="1370">
        <v>122600.67080459624</v>
      </c>
      <c r="L86" s="1370">
        <v>0</v>
      </c>
      <c r="M86" s="1370">
        <v>86153.76174936723</v>
      </c>
      <c r="N86" s="725">
        <v>71765.5625</v>
      </c>
      <c r="O86" s="320">
        <v>105315.33</v>
      </c>
      <c r="P86" s="1321">
        <v>85974.687981320792</v>
      </c>
      <c r="Q86" s="319">
        <v>71765.56</v>
      </c>
      <c r="R86" s="1372">
        <f t="shared" si="10"/>
        <v>2.5000000023283064E-3</v>
      </c>
      <c r="S86" s="1373">
        <v>69247.053</v>
      </c>
      <c r="T86" s="1374">
        <v>36068.256000000001</v>
      </c>
      <c r="U86" s="1372">
        <f t="shared" si="16"/>
        <v>2.0999999993364327E-2</v>
      </c>
      <c r="V86" s="1373">
        <v>85974.676000000007</v>
      </c>
      <c r="W86" s="1395">
        <f t="shared" si="17"/>
        <v>1.1981320785707794E-2</v>
      </c>
      <c r="X86" s="532"/>
      <c r="Y86" s="374"/>
      <c r="Z86" s="520">
        <f t="shared" si="18"/>
        <v>-194599.80143846333</v>
      </c>
      <c r="AA86" s="520">
        <f t="shared" si="11"/>
        <v>194599.80143846333</v>
      </c>
      <c r="AB86" s="520">
        <f t="shared" si="19"/>
        <v>90708.132558996382</v>
      </c>
      <c r="AC86" s="520">
        <f t="shared" si="20"/>
        <v>103891.66887946695</v>
      </c>
      <c r="AD86" s="525" t="e">
        <f t="shared" si="21"/>
        <v>#REF!</v>
      </c>
      <c r="AE86" s="829"/>
      <c r="AF86" s="829"/>
    </row>
    <row r="87" spans="3:36" x14ac:dyDescent="0.2">
      <c r="C87" s="387">
        <f t="shared" si="12"/>
        <v>43360</v>
      </c>
      <c r="D87" s="1392">
        <f t="shared" si="13"/>
        <v>155314.35733333332</v>
      </c>
      <c r="E87" s="1368">
        <f t="shared" si="14"/>
        <v>14901.782933333334</v>
      </c>
      <c r="F87" s="392">
        <f t="shared" si="7"/>
        <v>313760.67600858083</v>
      </c>
      <c r="G87" s="1393">
        <f t="shared" si="15"/>
        <v>1.0079443800000001</v>
      </c>
      <c r="H87" s="390">
        <f t="shared" si="8"/>
        <v>316.25330000000002</v>
      </c>
      <c r="I87" s="1394">
        <f t="shared" si="9"/>
        <v>484294.07751962746</v>
      </c>
      <c r="J87" s="1369">
        <v>71999.130633867084</v>
      </c>
      <c r="K87" s="1370">
        <v>108800.53850057554</v>
      </c>
      <c r="L87" s="1370">
        <v>0</v>
      </c>
      <c r="M87" s="1370">
        <v>109383.98446113543</v>
      </c>
      <c r="N87" s="724">
        <v>72562.070313000004</v>
      </c>
      <c r="O87" s="318">
        <v>107044.22</v>
      </c>
      <c r="P87" s="1320">
        <v>134154.38569558086</v>
      </c>
      <c r="Q87" s="317">
        <v>72562.070000000007</v>
      </c>
      <c r="R87" s="1372">
        <f t="shared" si="10"/>
        <v>3.1299999682232738E-4</v>
      </c>
      <c r="S87" s="1373">
        <v>70884.043000000005</v>
      </c>
      <c r="T87" s="1374">
        <v>36160.184000000001</v>
      </c>
      <c r="U87" s="1372">
        <f t="shared" si="16"/>
        <v>-7.0000000123400241E-3</v>
      </c>
      <c r="V87" s="1373">
        <v>134154.367</v>
      </c>
      <c r="W87" s="1395">
        <f t="shared" si="17"/>
        <v>1.8695580860367045E-2</v>
      </c>
      <c r="X87" s="532"/>
      <c r="Y87" s="374"/>
      <c r="Z87" s="520">
        <f t="shared" si="18"/>
        <v>-180799.66913444264</v>
      </c>
      <c r="AA87" s="520">
        <f t="shared" si="11"/>
        <v>180799.66913444264</v>
      </c>
      <c r="AB87" s="520">
        <f t="shared" si="19"/>
        <v>141540.38216904475</v>
      </c>
      <c r="AC87" s="520">
        <f t="shared" si="20"/>
        <v>39259.286965397885</v>
      </c>
      <c r="AD87" s="525" t="e">
        <f t="shared" si="21"/>
        <v>#REF!</v>
      </c>
      <c r="AE87" s="829"/>
      <c r="AF87" s="829"/>
    </row>
    <row r="88" spans="3:36" x14ac:dyDescent="0.2">
      <c r="C88" s="387">
        <f t="shared" si="12"/>
        <v>43361</v>
      </c>
      <c r="D88" s="1392">
        <f t="shared" si="13"/>
        <v>155314.35733333332</v>
      </c>
      <c r="E88" s="1368">
        <f t="shared" si="14"/>
        <v>14901.782933333334</v>
      </c>
      <c r="F88" s="392">
        <f t="shared" si="7"/>
        <v>322371.53946710797</v>
      </c>
      <c r="G88" s="1393">
        <f t="shared" si="15"/>
        <v>1.0079443800000001</v>
      </c>
      <c r="H88" s="390">
        <f t="shared" si="8"/>
        <v>324.93259999999998</v>
      </c>
      <c r="I88" s="1394">
        <f t="shared" si="9"/>
        <v>492913.62027815462</v>
      </c>
      <c r="J88" s="1369">
        <v>72000.185689853635</v>
      </c>
      <c r="K88" s="1370">
        <v>108499.84754440995</v>
      </c>
      <c r="L88" s="1370">
        <v>0</v>
      </c>
      <c r="M88" s="1370">
        <v>143666.97368795876</v>
      </c>
      <c r="N88" s="725">
        <v>73329.84375</v>
      </c>
      <c r="O88" s="320">
        <v>107557.11</v>
      </c>
      <c r="P88" s="1321">
        <v>141484.58571710801</v>
      </c>
      <c r="Q88" s="319">
        <v>73329.84</v>
      </c>
      <c r="R88" s="1372">
        <f t="shared" si="10"/>
        <v>3.7500000034924597E-3</v>
      </c>
      <c r="S88" s="1373">
        <v>71387.434999999998</v>
      </c>
      <c r="T88" s="1374">
        <v>36169.69</v>
      </c>
      <c r="U88" s="1372">
        <f t="shared" si="16"/>
        <v>-1.4999999999417923E-2</v>
      </c>
      <c r="V88" s="1373">
        <v>141484.56599999999</v>
      </c>
      <c r="W88" s="1395">
        <f t="shared" si="17"/>
        <v>1.9717108021723107E-2</v>
      </c>
      <c r="X88" s="532"/>
      <c r="Y88" s="374"/>
      <c r="Z88" s="520">
        <f t="shared" si="18"/>
        <v>-180500.0332342636</v>
      </c>
      <c r="AA88" s="520">
        <f t="shared" si="11"/>
        <v>180500.0332342636</v>
      </c>
      <c r="AB88" s="520">
        <f t="shared" si="19"/>
        <v>149274.14524250908</v>
      </c>
      <c r="AC88" s="520">
        <f t="shared" si="20"/>
        <v>31225.887991754513</v>
      </c>
      <c r="AD88" s="525" t="e">
        <f t="shared" si="21"/>
        <v>#REF!</v>
      </c>
      <c r="AE88" s="829"/>
      <c r="AF88" s="829"/>
    </row>
    <row r="89" spans="3:36" x14ac:dyDescent="0.2">
      <c r="C89" s="387">
        <f t="shared" si="12"/>
        <v>43362</v>
      </c>
      <c r="D89" s="1392">
        <f t="shared" si="13"/>
        <v>155314.35733333332</v>
      </c>
      <c r="E89" s="1368">
        <f t="shared" si="14"/>
        <v>14901.782933333334</v>
      </c>
      <c r="F89" s="392">
        <f t="shared" si="7"/>
        <v>290265.9061833368</v>
      </c>
      <c r="G89" s="1393">
        <f t="shared" si="15"/>
        <v>1.0079443800000001</v>
      </c>
      <c r="H89" s="390">
        <f t="shared" si="8"/>
        <v>292.57190000000003</v>
      </c>
      <c r="I89" s="1394">
        <f t="shared" si="9"/>
        <v>460775.62629438343</v>
      </c>
      <c r="J89" s="1369">
        <v>72000.185689853635</v>
      </c>
      <c r="K89" s="1370">
        <v>110454.86628747954</v>
      </c>
      <c r="L89" s="1370">
        <v>0</v>
      </c>
      <c r="M89" s="1370">
        <v>113423.79383361978</v>
      </c>
      <c r="N89" s="724">
        <v>67811.039063000004</v>
      </c>
      <c r="O89" s="318">
        <v>106779.73</v>
      </c>
      <c r="P89" s="1320">
        <v>115675.1371203368</v>
      </c>
      <c r="Q89" s="317">
        <v>67811.399999999994</v>
      </c>
      <c r="R89" s="1372">
        <f t="shared" si="10"/>
        <v>-0.36093699999037199</v>
      </c>
      <c r="S89" s="1373">
        <v>70702.928</v>
      </c>
      <c r="T89" s="1374">
        <v>36076.779000000002</v>
      </c>
      <c r="U89" s="1372">
        <f t="shared" si="16"/>
        <v>2.3000000001047738E-2</v>
      </c>
      <c r="V89" s="1373">
        <v>115675.121</v>
      </c>
      <c r="W89" s="1395">
        <f t="shared" si="17"/>
        <v>1.6120336804306135E-2</v>
      </c>
      <c r="X89" s="532"/>
      <c r="Y89" s="374"/>
      <c r="Z89" s="520">
        <f t="shared" si="18"/>
        <v>-182455.05197733318</v>
      </c>
      <c r="AA89" s="520">
        <f t="shared" si="11"/>
        <v>182455.05197733318</v>
      </c>
      <c r="AB89" s="520">
        <f t="shared" si="19"/>
        <v>122043.77173592207</v>
      </c>
      <c r="AC89" s="520">
        <f t="shared" si="20"/>
        <v>60411.280241411107</v>
      </c>
      <c r="AD89" s="525" t="e">
        <f t="shared" si="21"/>
        <v>#REF!</v>
      </c>
      <c r="AE89" s="829"/>
      <c r="AF89" s="829"/>
    </row>
    <row r="90" spans="3:36" x14ac:dyDescent="0.2">
      <c r="C90" s="387">
        <f t="shared" si="12"/>
        <v>43363</v>
      </c>
      <c r="D90" s="1392">
        <f t="shared" si="13"/>
        <v>155314.35733333332</v>
      </c>
      <c r="E90" s="1368">
        <f t="shared" si="14"/>
        <v>14901.782933333334</v>
      </c>
      <c r="F90" s="392">
        <f t="shared" si="7"/>
        <v>314115.74875410541</v>
      </c>
      <c r="G90" s="1393">
        <f t="shared" si="15"/>
        <v>1.0079443800000001</v>
      </c>
      <c r="H90" s="390">
        <f t="shared" si="8"/>
        <v>316.6112</v>
      </c>
      <c r="I90" s="1394">
        <f t="shared" si="9"/>
        <v>484649.50816515204</v>
      </c>
      <c r="J90" s="1369">
        <v>72000.185689853635</v>
      </c>
      <c r="K90" s="1370">
        <v>103883.97760327152</v>
      </c>
      <c r="L90" s="1370">
        <v>0</v>
      </c>
      <c r="M90" s="1370">
        <v>133826.4665014449</v>
      </c>
      <c r="N90" s="725">
        <v>70948.679688000004</v>
      </c>
      <c r="O90" s="320">
        <v>106353.9</v>
      </c>
      <c r="P90" s="1321">
        <v>136813.16906610545</v>
      </c>
      <c r="Q90" s="319">
        <v>70948.7</v>
      </c>
      <c r="R90" s="1372">
        <f t="shared" si="10"/>
        <v>-2.031199999328237E-2</v>
      </c>
      <c r="S90" s="1373">
        <v>70324.34</v>
      </c>
      <c r="T90" s="1374">
        <v>36029.567999999999</v>
      </c>
      <c r="U90" s="1372">
        <f t="shared" si="16"/>
        <v>-8.0000000016298145E-3</v>
      </c>
      <c r="V90" s="1373">
        <v>136813.15</v>
      </c>
      <c r="W90" s="1395">
        <f t="shared" si="17"/>
        <v>1.906610545120202E-2</v>
      </c>
      <c r="X90" s="532"/>
      <c r="Y90" s="374"/>
      <c r="Z90" s="520">
        <f t="shared" si="18"/>
        <v>-175884.16329312517</v>
      </c>
      <c r="AA90" s="520">
        <f t="shared" si="11"/>
        <v>175884.16329312517</v>
      </c>
      <c r="AB90" s="520">
        <f t="shared" si="19"/>
        <v>144345.54646176094</v>
      </c>
      <c r="AC90" s="520">
        <f t="shared" si="20"/>
        <v>31538.616831364227</v>
      </c>
      <c r="AD90" s="525" t="e">
        <f t="shared" si="21"/>
        <v>#REF!</v>
      </c>
      <c r="AE90" s="829"/>
      <c r="AF90" s="829"/>
    </row>
    <row r="91" spans="3:36" x14ac:dyDescent="0.2">
      <c r="C91" s="387">
        <f t="shared" si="12"/>
        <v>43364</v>
      </c>
      <c r="D91" s="1392">
        <f t="shared" si="13"/>
        <v>155314.35733333332</v>
      </c>
      <c r="E91" s="1368">
        <f t="shared" si="14"/>
        <v>14901.782933333334</v>
      </c>
      <c r="F91" s="392">
        <f t="shared" si="7"/>
        <v>311395.10264203127</v>
      </c>
      <c r="G91" s="1393">
        <f t="shared" si="15"/>
        <v>1.0079443800000001</v>
      </c>
      <c r="H91" s="390">
        <f t="shared" si="8"/>
        <v>313.8689</v>
      </c>
      <c r="I91" s="1394">
        <f t="shared" si="9"/>
        <v>481926.11975307792</v>
      </c>
      <c r="J91" s="1369">
        <v>72000.185689853635</v>
      </c>
      <c r="K91" s="1370">
        <v>98935.765026371126</v>
      </c>
      <c r="L91" s="1370">
        <v>0</v>
      </c>
      <c r="M91" s="1370">
        <v>133826.4665014449</v>
      </c>
      <c r="N91" s="724">
        <v>71404.625</v>
      </c>
      <c r="O91" s="318">
        <v>106672.42</v>
      </c>
      <c r="P91" s="1320">
        <v>133318.05764203126</v>
      </c>
      <c r="Q91" s="317">
        <v>71404.600000000006</v>
      </c>
      <c r="R91" s="1372">
        <f t="shared" si="10"/>
        <v>2.4999999994179234E-2</v>
      </c>
      <c r="S91" s="1373">
        <v>70291.153999999995</v>
      </c>
      <c r="T91" s="1374">
        <v>36381.281999999999</v>
      </c>
      <c r="U91" s="1372">
        <f t="shared" si="16"/>
        <v>-1.5999999988707714E-2</v>
      </c>
      <c r="V91" s="1373">
        <v>133318.03899999999</v>
      </c>
      <c r="W91" s="1395">
        <f t="shared" si="17"/>
        <v>1.8642031267518178E-2</v>
      </c>
      <c r="X91" s="532"/>
      <c r="Y91" s="374"/>
      <c r="Z91" s="520">
        <f t="shared" si="18"/>
        <v>-170935.95071622476</v>
      </c>
      <c r="AA91" s="520">
        <f t="shared" si="11"/>
        <v>170935.95071622476</v>
      </c>
      <c r="AB91" s="520">
        <f t="shared" si="19"/>
        <v>140657.99974267493</v>
      </c>
      <c r="AC91" s="520">
        <f t="shared" si="20"/>
        <v>30277.950973549829</v>
      </c>
      <c r="AD91" s="525" t="e">
        <f t="shared" si="21"/>
        <v>#REF!</v>
      </c>
      <c r="AE91" s="829"/>
      <c r="AF91" s="829"/>
    </row>
    <row r="92" spans="3:36" x14ac:dyDescent="0.2">
      <c r="C92" s="387">
        <f t="shared" si="12"/>
        <v>43365</v>
      </c>
      <c r="D92" s="1392">
        <f t="shared" si="13"/>
        <v>155314.35733333332</v>
      </c>
      <c r="E92" s="1368">
        <f t="shared" si="14"/>
        <v>14901.782933333334</v>
      </c>
      <c r="F92" s="392">
        <f t="shared" si="7"/>
        <v>313411.12871199829</v>
      </c>
      <c r="G92" s="1393">
        <f t="shared" si="15"/>
        <v>1.0079443800000001</v>
      </c>
      <c r="H92" s="390">
        <f t="shared" si="8"/>
        <v>315.90100000000001</v>
      </c>
      <c r="I92" s="1394">
        <f t="shared" si="9"/>
        <v>483944.17792304495</v>
      </c>
      <c r="J92" s="1369">
        <v>72000.185689853635</v>
      </c>
      <c r="K92" s="1370">
        <v>101520.65219340863</v>
      </c>
      <c r="L92" s="1370">
        <v>0</v>
      </c>
      <c r="M92" s="1370">
        <v>121817.81926257917</v>
      </c>
      <c r="N92" s="725">
        <v>71087.648438000004</v>
      </c>
      <c r="O92" s="320">
        <v>110297.29</v>
      </c>
      <c r="P92" s="1321">
        <v>132026.19027399831</v>
      </c>
      <c r="Q92" s="319">
        <v>71087.600000000006</v>
      </c>
      <c r="R92" s="1372">
        <f t="shared" si="10"/>
        <v>4.8437999997986481E-2</v>
      </c>
      <c r="S92" s="1373">
        <v>73968.186000000002</v>
      </c>
      <c r="T92" s="1374">
        <v>36329.11</v>
      </c>
      <c r="U92" s="1372">
        <f t="shared" si="16"/>
        <v>-6.0000000084983185E-3</v>
      </c>
      <c r="V92" s="1373">
        <v>132026.17199999999</v>
      </c>
      <c r="W92" s="1395">
        <f t="shared" si="17"/>
        <v>1.8273998313816264E-2</v>
      </c>
      <c r="X92" s="532"/>
      <c r="Y92" s="374"/>
      <c r="Z92" s="520">
        <f t="shared" si="18"/>
        <v>-173520.83788326225</v>
      </c>
      <c r="AA92" s="520">
        <f t="shared" si="11"/>
        <v>173520.83788326225</v>
      </c>
      <c r="AB92" s="520">
        <f t="shared" si="19"/>
        <v>139295.01787538754</v>
      </c>
      <c r="AC92" s="520">
        <f t="shared" si="20"/>
        <v>34225.820007874718</v>
      </c>
      <c r="AD92" s="525" t="e">
        <f t="shared" si="21"/>
        <v>#REF!</v>
      </c>
      <c r="AE92" s="829"/>
      <c r="AF92" s="829"/>
    </row>
    <row r="93" spans="3:36" x14ac:dyDescent="0.2">
      <c r="C93" s="387">
        <f t="shared" si="12"/>
        <v>43366</v>
      </c>
      <c r="D93" s="1392">
        <f t="shared" si="13"/>
        <v>155314.35733333332</v>
      </c>
      <c r="E93" s="1368">
        <f t="shared" si="14"/>
        <v>14901.782933333334</v>
      </c>
      <c r="F93" s="392">
        <f t="shared" si="7"/>
        <v>275293.64564944891</v>
      </c>
      <c r="G93" s="1393">
        <f t="shared" si="15"/>
        <v>1.0079443800000001</v>
      </c>
      <c r="H93" s="390">
        <f t="shared" si="8"/>
        <v>277.48070000000001</v>
      </c>
      <c r="I93" s="1394">
        <f t="shared" si="9"/>
        <v>445788.27456049557</v>
      </c>
      <c r="J93" s="1369">
        <v>72000.185689853635</v>
      </c>
      <c r="K93" s="1370">
        <v>119787.8915444648</v>
      </c>
      <c r="L93" s="1370">
        <v>0</v>
      </c>
      <c r="M93" s="1370">
        <v>106832.85908566738</v>
      </c>
      <c r="N93" s="724">
        <v>66504.757813000004</v>
      </c>
      <c r="O93" s="318">
        <v>102326.58</v>
      </c>
      <c r="P93" s="1320">
        <v>106462.30783644889</v>
      </c>
      <c r="Q93" s="317">
        <v>66504.800000000003</v>
      </c>
      <c r="R93" s="1372">
        <f t="shared" si="10"/>
        <v>-4.2186999999103136E-2</v>
      </c>
      <c r="S93" s="1373">
        <v>66445.850999999995</v>
      </c>
      <c r="T93" s="1374">
        <v>35880.743999999999</v>
      </c>
      <c r="U93" s="1372">
        <f t="shared" si="16"/>
        <v>-1.4999999999417923E-2</v>
      </c>
      <c r="V93" s="1373">
        <v>106462.29300000001</v>
      </c>
      <c r="W93" s="1395">
        <f t="shared" si="17"/>
        <v>1.483644888503477E-2</v>
      </c>
      <c r="X93" s="532"/>
      <c r="Y93" s="374"/>
      <c r="Z93" s="520">
        <f t="shared" si="18"/>
        <v>-191788.07723431842</v>
      </c>
      <c r="AA93" s="520">
        <f t="shared" si="11"/>
        <v>191788.07723431842</v>
      </c>
      <c r="AB93" s="520">
        <f t="shared" si="19"/>
        <v>112323.68083085242</v>
      </c>
      <c r="AC93" s="520">
        <f t="shared" si="20"/>
        <v>79464.396403466002</v>
      </c>
      <c r="AD93" s="525" t="e">
        <f t="shared" si="21"/>
        <v>#REF!</v>
      </c>
      <c r="AE93" s="829"/>
      <c r="AF93" s="829"/>
    </row>
    <row r="94" spans="3:36" x14ac:dyDescent="0.2">
      <c r="C94" s="387">
        <f t="shared" si="12"/>
        <v>43367</v>
      </c>
      <c r="D94" s="1392">
        <f t="shared" si="13"/>
        <v>155314.35733333332</v>
      </c>
      <c r="E94" s="1368">
        <f t="shared" si="14"/>
        <v>14901.782933333334</v>
      </c>
      <c r="F94" s="392">
        <f t="shared" si="7"/>
        <v>299215.69141513208</v>
      </c>
      <c r="G94" s="1393">
        <f t="shared" si="15"/>
        <v>1.0079443800000001</v>
      </c>
      <c r="H94" s="390">
        <f t="shared" si="8"/>
        <v>301.59280000000001</v>
      </c>
      <c r="I94" s="1394">
        <f t="shared" si="9"/>
        <v>469734.43242617871</v>
      </c>
      <c r="J94" s="1369">
        <v>72000.185689853635</v>
      </c>
      <c r="K94" s="1370">
        <v>110097.20230804048</v>
      </c>
      <c r="L94" s="1370">
        <v>0</v>
      </c>
      <c r="M94" s="1370">
        <v>118524.98952856933</v>
      </c>
      <c r="N94" s="725">
        <v>72643.132813000004</v>
      </c>
      <c r="O94" s="320">
        <v>107440.19</v>
      </c>
      <c r="P94" s="1321">
        <v>119132.36860213208</v>
      </c>
      <c r="Q94" s="319">
        <v>72643.133000000002</v>
      </c>
      <c r="R94" s="1372">
        <f t="shared" si="10"/>
        <v>-1.8699999782256782E-4</v>
      </c>
      <c r="S94" s="1373">
        <v>70863.129000000001</v>
      </c>
      <c r="T94" s="1374">
        <v>36577.044999999998</v>
      </c>
      <c r="U94" s="1372">
        <f t="shared" si="16"/>
        <v>1.6000000003259629E-2</v>
      </c>
      <c r="V94" s="1373">
        <v>119132.352</v>
      </c>
      <c r="W94" s="1395">
        <f t="shared" si="17"/>
        <v>1.6602132076513954E-2</v>
      </c>
      <c r="X94" s="532"/>
      <c r="Y94" s="374"/>
      <c r="Z94" s="520">
        <f t="shared" si="18"/>
        <v>-182097.38799789411</v>
      </c>
      <c r="AA94" s="520">
        <f t="shared" si="11"/>
        <v>182097.38799789411</v>
      </c>
      <c r="AB94" s="520">
        <f t="shared" si="19"/>
        <v>125691.33716878707</v>
      </c>
      <c r="AC94" s="520">
        <f t="shared" si="20"/>
        <v>56406.050829107044</v>
      </c>
      <c r="AD94" s="525" t="e">
        <f t="shared" si="21"/>
        <v>#REF!</v>
      </c>
      <c r="AG94" s="843"/>
      <c r="AH94" s="843"/>
      <c r="AI94" s="843"/>
      <c r="AJ94" s="843"/>
    </row>
    <row r="95" spans="3:36" x14ac:dyDescent="0.2">
      <c r="C95" s="387">
        <f t="shared" si="12"/>
        <v>43368</v>
      </c>
      <c r="D95" s="1392">
        <f t="shared" si="13"/>
        <v>155314.35733333332</v>
      </c>
      <c r="E95" s="1368">
        <f t="shared" si="14"/>
        <v>14901.782933333334</v>
      </c>
      <c r="F95" s="392">
        <f t="shared" si="7"/>
        <v>301156.60491632984</v>
      </c>
      <c r="G95" s="1393">
        <f t="shared" si="15"/>
        <v>1.0079443800000001</v>
      </c>
      <c r="H95" s="390">
        <f t="shared" si="8"/>
        <v>303.54910000000001</v>
      </c>
      <c r="I95" s="1394">
        <f t="shared" si="9"/>
        <v>471677.30222737649</v>
      </c>
      <c r="J95" s="1369">
        <v>72000.185689853635</v>
      </c>
      <c r="K95" s="1370">
        <v>107346.67135111525</v>
      </c>
      <c r="L95" s="1370">
        <v>0</v>
      </c>
      <c r="M95" s="1370">
        <v>122815.90222585161</v>
      </c>
      <c r="N95" s="724">
        <v>72014.349000000002</v>
      </c>
      <c r="O95" s="318">
        <v>107755.29</v>
      </c>
      <c r="P95" s="1320">
        <v>121386.96591632983</v>
      </c>
      <c r="Q95" s="317">
        <v>72014.349000000002</v>
      </c>
      <c r="R95" s="1372">
        <f t="shared" si="10"/>
        <v>0</v>
      </c>
      <c r="S95" s="1373">
        <v>71171.551999999996</v>
      </c>
      <c r="T95" s="1374">
        <v>36583.749000000003</v>
      </c>
      <c r="U95" s="1372">
        <f t="shared" si="16"/>
        <v>-1.1000000013154931E-2</v>
      </c>
      <c r="V95" s="1373">
        <v>121386.94899999999</v>
      </c>
      <c r="W95" s="1395">
        <f t="shared" si="17"/>
        <v>1.6916329841478728E-2</v>
      </c>
      <c r="X95" s="532"/>
      <c r="Y95" s="374"/>
      <c r="Z95" s="520">
        <f t="shared" si="18"/>
        <v>-179346.8570409689</v>
      </c>
      <c r="AA95" s="520">
        <f t="shared" si="11"/>
        <v>179346.8570409689</v>
      </c>
      <c r="AB95" s="520">
        <f t="shared" si="19"/>
        <v>128070.03510620327</v>
      </c>
      <c r="AC95" s="520">
        <f t="shared" si="20"/>
        <v>51276.821934765627</v>
      </c>
      <c r="AD95" s="525" t="e">
        <f t="shared" si="21"/>
        <v>#REF!</v>
      </c>
      <c r="AG95" s="843"/>
      <c r="AH95" s="843"/>
      <c r="AI95" s="843"/>
      <c r="AJ95" s="843"/>
    </row>
    <row r="96" spans="3:36" x14ac:dyDescent="0.2">
      <c r="C96" s="387">
        <f t="shared" si="12"/>
        <v>43369</v>
      </c>
      <c r="D96" s="1392">
        <f t="shared" si="13"/>
        <v>155314.35733333332</v>
      </c>
      <c r="E96" s="1368">
        <f t="shared" si="14"/>
        <v>14901.782933333334</v>
      </c>
      <c r="F96" s="392">
        <f t="shared" si="7"/>
        <v>306284.81698582013</v>
      </c>
      <c r="G96" s="1393">
        <f t="shared" si="15"/>
        <v>1.0079443800000001</v>
      </c>
      <c r="H96" s="390">
        <f t="shared" si="8"/>
        <v>308.71809999999999</v>
      </c>
      <c r="I96" s="1394">
        <f t="shared" si="9"/>
        <v>476810.68329686677</v>
      </c>
      <c r="J96" s="1369">
        <v>72000.185689853635</v>
      </c>
      <c r="K96" s="1370">
        <v>107799.29036934345</v>
      </c>
      <c r="L96" s="1370">
        <v>0</v>
      </c>
      <c r="M96" s="1370">
        <v>121604.69795329688</v>
      </c>
      <c r="N96" s="725">
        <v>74076.820313000004</v>
      </c>
      <c r="O96" s="320">
        <v>112568.39</v>
      </c>
      <c r="P96" s="1321">
        <v>119639.60667282011</v>
      </c>
      <c r="Q96" s="319">
        <v>74076.820000000007</v>
      </c>
      <c r="R96" s="1372">
        <f t="shared" si="10"/>
        <v>3.1299999682232738E-4</v>
      </c>
      <c r="S96" s="1373">
        <v>75713.909</v>
      </c>
      <c r="T96" s="1374">
        <v>36854.466999999997</v>
      </c>
      <c r="U96" s="1372">
        <f t="shared" si="16"/>
        <v>1.4000000010128133E-2</v>
      </c>
      <c r="V96" s="1373">
        <v>119639.59</v>
      </c>
      <c r="W96" s="1395">
        <f t="shared" si="17"/>
        <v>1.6672820114763454E-2</v>
      </c>
      <c r="X96" s="532"/>
      <c r="Y96" s="374"/>
      <c r="Z96" s="520">
        <f t="shared" si="18"/>
        <v>-179799.4760591971</v>
      </c>
      <c r="AA96" s="520">
        <f t="shared" si="11"/>
        <v>179799.4760591971</v>
      </c>
      <c r="AB96" s="520">
        <f t="shared" si="19"/>
        <v>126226.49962858291</v>
      </c>
      <c r="AC96" s="520">
        <f t="shared" si="20"/>
        <v>53572.976430614188</v>
      </c>
      <c r="AD96" s="525" t="e">
        <f t="shared" si="21"/>
        <v>#REF!</v>
      </c>
      <c r="AG96" s="843"/>
      <c r="AH96" s="843"/>
      <c r="AI96" s="843"/>
      <c r="AJ96" s="843"/>
    </row>
    <row r="97" spans="2:42" x14ac:dyDescent="0.2">
      <c r="C97" s="387">
        <f t="shared" si="12"/>
        <v>43370</v>
      </c>
      <c r="D97" s="1392">
        <f t="shared" si="13"/>
        <v>155314.35733333332</v>
      </c>
      <c r="E97" s="1368">
        <f t="shared" si="14"/>
        <v>14901.782933333334</v>
      </c>
      <c r="F97" s="392">
        <f t="shared" si="7"/>
        <v>307661.93232855079</v>
      </c>
      <c r="G97" s="1393">
        <f t="shared" si="15"/>
        <v>1.0079443800000001</v>
      </c>
      <c r="H97" s="390">
        <f t="shared" si="8"/>
        <v>310.10610000000003</v>
      </c>
      <c r="I97" s="1394">
        <f t="shared" si="9"/>
        <v>478189.18663959741</v>
      </c>
      <c r="J97" s="1369">
        <v>69537.68501725544</v>
      </c>
      <c r="K97" s="1370">
        <v>110499.17863891447</v>
      </c>
      <c r="L97" s="1370">
        <v>0</v>
      </c>
      <c r="M97" s="1370">
        <v>120595.00937417244</v>
      </c>
      <c r="N97" s="724">
        <v>75029.640625</v>
      </c>
      <c r="O97" s="318">
        <v>112772.17</v>
      </c>
      <c r="P97" s="1320">
        <v>119860.1217035508</v>
      </c>
      <c r="Q97" s="317">
        <v>75029.64</v>
      </c>
      <c r="R97" s="1372">
        <f t="shared" si="10"/>
        <v>6.2500000058207661E-4</v>
      </c>
      <c r="S97" s="1373">
        <v>75866.857999999993</v>
      </c>
      <c r="T97" s="1374">
        <v>36905.300999999999</v>
      </c>
      <c r="U97" s="1372">
        <f t="shared" si="16"/>
        <v>1.1000000013154931E-2</v>
      </c>
      <c r="V97" s="1373">
        <v>119860.105</v>
      </c>
      <c r="W97" s="1395">
        <f t="shared" si="17"/>
        <v>1.6703550805686973E-2</v>
      </c>
      <c r="X97" s="532"/>
      <c r="Y97" s="374"/>
      <c r="Z97" s="520">
        <f t="shared" si="18"/>
        <v>-180036.86365616991</v>
      </c>
      <c r="AA97" s="520">
        <f t="shared" si="11"/>
        <v>180036.86365616991</v>
      </c>
      <c r="AB97" s="520">
        <f t="shared" si="19"/>
        <v>126459.1521696775</v>
      </c>
      <c r="AC97" s="520">
        <f t="shared" si="20"/>
        <v>53577.711486492408</v>
      </c>
      <c r="AD97" s="525" t="e">
        <f t="shared" si="21"/>
        <v>#REF!</v>
      </c>
      <c r="AG97" s="843"/>
      <c r="AH97" s="843"/>
      <c r="AI97" s="843"/>
      <c r="AJ97" s="843"/>
    </row>
    <row r="98" spans="2:42" x14ac:dyDescent="0.2">
      <c r="C98" s="387">
        <f t="shared" si="12"/>
        <v>43371</v>
      </c>
      <c r="D98" s="1392">
        <f t="shared" si="13"/>
        <v>155314.35733333332</v>
      </c>
      <c r="E98" s="1368">
        <f t="shared" si="14"/>
        <v>14901.782933333334</v>
      </c>
      <c r="F98" s="392">
        <f t="shared" si="7"/>
        <v>299935.97300813027</v>
      </c>
      <c r="G98" s="1393">
        <f t="shared" si="15"/>
        <v>1.0079443800000001</v>
      </c>
      <c r="H98" s="390">
        <f t="shared" si="8"/>
        <v>302.31880000000001</v>
      </c>
      <c r="I98" s="1394">
        <f t="shared" si="9"/>
        <v>470455.44001917692</v>
      </c>
      <c r="J98" s="1369">
        <v>72000.185689853635</v>
      </c>
      <c r="K98" s="1370">
        <v>104198.3842872622</v>
      </c>
      <c r="L98" s="1370">
        <v>0</v>
      </c>
      <c r="M98" s="1370">
        <v>116217.58208599339</v>
      </c>
      <c r="N98" s="725">
        <v>71973.546875</v>
      </c>
      <c r="O98" s="320">
        <v>107890.05</v>
      </c>
      <c r="P98" s="1321">
        <v>120072.3761331303</v>
      </c>
      <c r="Q98" s="319">
        <v>71973.547000000006</v>
      </c>
      <c r="R98" s="1372">
        <f t="shared" si="10"/>
        <v>-1.2500000593718141E-4</v>
      </c>
      <c r="S98" s="1373">
        <v>70978.066999999995</v>
      </c>
      <c r="T98" s="1374">
        <v>36911.987999999998</v>
      </c>
      <c r="U98" s="1372">
        <f t="shared" si="16"/>
        <v>-4.9999999901046976E-3</v>
      </c>
      <c r="V98" s="1373">
        <v>120072.359</v>
      </c>
      <c r="W98" s="1395">
        <f t="shared" si="17"/>
        <v>1.7133130299043842E-2</v>
      </c>
      <c r="X98" s="532"/>
      <c r="Y98" s="374"/>
      <c r="Z98" s="520">
        <f t="shared" si="18"/>
        <v>-176198.56997711584</v>
      </c>
      <c r="AA98" s="520">
        <f t="shared" si="11"/>
        <v>176198.56997711584</v>
      </c>
      <c r="AB98" s="520">
        <f t="shared" si="19"/>
        <v>126683.07559823593</v>
      </c>
      <c r="AC98" s="520">
        <f t="shared" si="20"/>
        <v>49515.494378879914</v>
      </c>
      <c r="AD98" s="525" t="e">
        <f t="shared" si="21"/>
        <v>#REF!</v>
      </c>
      <c r="AG98" s="843"/>
      <c r="AH98" s="843"/>
      <c r="AI98" s="843"/>
      <c r="AJ98" s="843"/>
    </row>
    <row r="99" spans="2:42" x14ac:dyDescent="0.2">
      <c r="C99" s="387">
        <f t="shared" si="12"/>
        <v>43372</v>
      </c>
      <c r="D99" s="1392">
        <f t="shared" si="13"/>
        <v>155314.35733333332</v>
      </c>
      <c r="E99" s="1368">
        <f t="shared" si="14"/>
        <v>14901.782933333334</v>
      </c>
      <c r="F99" s="392">
        <f t="shared" si="7"/>
        <v>296799.47851095215</v>
      </c>
      <c r="G99" s="1393">
        <f t="shared" si="15"/>
        <v>1.0079443800000001</v>
      </c>
      <c r="H99" s="390">
        <f t="shared" si="8"/>
        <v>299.1574</v>
      </c>
      <c r="I99" s="1394">
        <f t="shared" si="9"/>
        <v>467315.78412199882</v>
      </c>
      <c r="J99" s="1369">
        <v>72000.185689853635</v>
      </c>
      <c r="K99" s="1370">
        <v>104198.3842872622</v>
      </c>
      <c r="L99" s="1370">
        <v>0</v>
      </c>
      <c r="M99" s="1370">
        <v>116217.58208599339</v>
      </c>
      <c r="N99" s="724">
        <v>70983.947</v>
      </c>
      <c r="O99" s="318">
        <v>105902.3</v>
      </c>
      <c r="P99" s="1320">
        <v>119913.23151095213</v>
      </c>
      <c r="Q99" s="317">
        <v>70983.947</v>
      </c>
      <c r="R99" s="1372">
        <f t="shared" si="10"/>
        <v>0</v>
      </c>
      <c r="S99" s="1373">
        <v>68638.747000000003</v>
      </c>
      <c r="T99" s="1374">
        <v>37263.574999999997</v>
      </c>
      <c r="U99" s="1372">
        <f t="shared" si="16"/>
        <v>-2.1999999997206032E-2</v>
      </c>
      <c r="V99" s="1373">
        <v>119913.215</v>
      </c>
      <c r="W99" s="1395">
        <f t="shared" si="17"/>
        <v>1.6510952133103274E-2</v>
      </c>
      <c r="X99" s="532"/>
      <c r="Y99" s="374"/>
      <c r="Z99" s="520">
        <f t="shared" si="18"/>
        <v>-176198.56997711584</v>
      </c>
      <c r="AA99" s="520">
        <f t="shared" si="11"/>
        <v>176198.56997711584</v>
      </c>
      <c r="AB99" s="520">
        <f t="shared" si="19"/>
        <v>126515.15117378712</v>
      </c>
      <c r="AC99" s="520">
        <f t="shared" si="20"/>
        <v>49683.418803328721</v>
      </c>
      <c r="AD99" s="525" t="e">
        <f t="shared" si="21"/>
        <v>#REF!</v>
      </c>
      <c r="AG99" s="843"/>
      <c r="AH99" s="843"/>
      <c r="AI99" s="843"/>
      <c r="AJ99" s="843"/>
    </row>
    <row r="100" spans="2:42" x14ac:dyDescent="0.2">
      <c r="C100" s="387">
        <f t="shared" si="12"/>
        <v>43373</v>
      </c>
      <c r="D100" s="1392">
        <f t="shared" si="13"/>
        <v>155314.35733333332</v>
      </c>
      <c r="E100" s="1368">
        <f t="shared" si="14"/>
        <v>14901.782933333334</v>
      </c>
      <c r="F100" s="392">
        <f t="shared" si="7"/>
        <v>275493.72677993792</v>
      </c>
      <c r="G100" s="1393">
        <f t="shared" si="15"/>
        <v>1.0079443800000001</v>
      </c>
      <c r="H100" s="390">
        <f t="shared" si="8"/>
        <v>277.68239999999997</v>
      </c>
      <c r="I100" s="1394">
        <f t="shared" si="9"/>
        <v>445988.55739098456</v>
      </c>
      <c r="J100" s="1369">
        <v>72000.185689853635</v>
      </c>
      <c r="K100" s="1370">
        <v>119111.60065708887</v>
      </c>
      <c r="L100" s="1370">
        <v>0</v>
      </c>
      <c r="M100" s="1370">
        <v>101304.36571616672</v>
      </c>
      <c r="N100" s="724">
        <v>70491.765625</v>
      </c>
      <c r="O100" s="318">
        <v>103429.99</v>
      </c>
      <c r="P100" s="1320">
        <v>101571.97115493791</v>
      </c>
      <c r="Q100" s="317">
        <v>70491.764999999999</v>
      </c>
      <c r="R100" s="1372">
        <f t="shared" si="10"/>
        <v>6.2500000058207661E-4</v>
      </c>
      <c r="S100" s="1373">
        <v>67390.805999999997</v>
      </c>
      <c r="T100" s="1374">
        <v>36039.158000000003</v>
      </c>
      <c r="U100" s="1372">
        <f t="shared" si="16"/>
        <v>2.599999999802094E-2</v>
      </c>
      <c r="V100" s="1373">
        <v>101571.95699999999</v>
      </c>
      <c r="W100" s="1395">
        <f t="shared" si="17"/>
        <v>1.4154937918647192E-2</v>
      </c>
      <c r="X100" s="532"/>
      <c r="Y100" s="374"/>
      <c r="Z100" s="520">
        <f t="shared" si="18"/>
        <v>-191111.78634694251</v>
      </c>
      <c r="AA100" s="520">
        <f t="shared" si="11"/>
        <v>191111.78634694251</v>
      </c>
      <c r="AB100" s="520">
        <f t="shared" si="19"/>
        <v>107164.14503030018</v>
      </c>
      <c r="AC100" s="520">
        <f t="shared" si="20"/>
        <v>83947.64131664233</v>
      </c>
      <c r="AD100" s="525" t="e">
        <f t="shared" si="21"/>
        <v>#REF!</v>
      </c>
      <c r="AG100" s="843"/>
      <c r="AH100" s="843"/>
      <c r="AI100" s="843"/>
      <c r="AJ100" s="843"/>
    </row>
    <row r="101" spans="2:42" ht="13.5" thickBot="1" x14ac:dyDescent="0.25">
      <c r="C101" s="393"/>
      <c r="D101" s="1396"/>
      <c r="E101" s="1376"/>
      <c r="F101" s="395"/>
      <c r="G101" s="1398"/>
      <c r="H101" s="396"/>
      <c r="I101" s="1399"/>
      <c r="J101" s="326"/>
      <c r="K101" s="327"/>
      <c r="L101" s="327"/>
      <c r="M101" s="327"/>
      <c r="N101" s="749"/>
      <c r="O101" s="750"/>
      <c r="P101" s="1407"/>
      <c r="Q101" s="688"/>
      <c r="R101" s="1380"/>
      <c r="S101" s="1381"/>
      <c r="T101" s="1382"/>
      <c r="U101" s="1380"/>
      <c r="V101" s="1381"/>
      <c r="W101" s="1401"/>
      <c r="X101" s="560"/>
      <c r="Y101" s="376"/>
      <c r="Z101" s="528">
        <f t="shared" si="18"/>
        <v>0</v>
      </c>
      <c r="AA101" s="528">
        <f t="shared" si="11"/>
        <v>0</v>
      </c>
      <c r="AB101" s="528">
        <f t="shared" si="19"/>
        <v>0</v>
      </c>
      <c r="AC101" s="528">
        <f t="shared" si="20"/>
        <v>0</v>
      </c>
      <c r="AD101" s="529" t="e">
        <f>AD99+AC101</f>
        <v>#REF!</v>
      </c>
      <c r="AG101" s="843"/>
      <c r="AH101" s="843"/>
      <c r="AI101" s="843"/>
      <c r="AJ101" s="843"/>
    </row>
    <row r="102" spans="2:42" ht="13.5" thickBot="1" x14ac:dyDescent="0.25">
      <c r="C102" s="953"/>
      <c r="D102" s="954">
        <f>SUM(D71:D101)</f>
        <v>4659430.7199999979</v>
      </c>
      <c r="E102" s="954">
        <f>SUM(E71:E101)</f>
        <v>447053.48799999966</v>
      </c>
      <c r="F102" s="955">
        <f>SUM(F71:F101)</f>
        <v>9122786.297378175</v>
      </c>
      <c r="G102" s="955"/>
      <c r="H102" s="956">
        <f t="shared" ref="H102:L102" si="22">SUM(H71:H101)</f>
        <v>9195.2615000000023</v>
      </c>
      <c r="I102" s="954">
        <f t="shared" si="22"/>
        <v>14238496.005209574</v>
      </c>
      <c r="J102" s="996">
        <f t="shared" si="22"/>
        <v>2165083.5551588559</v>
      </c>
      <c r="K102" s="996">
        <f t="shared" si="22"/>
        <v>3229452.5208980218</v>
      </c>
      <c r="L102" s="996">
        <f t="shared" si="22"/>
        <v>0</v>
      </c>
      <c r="M102" s="996">
        <f t="shared" ref="M102" si="23">SUM(M71:M101)</f>
        <v>3735109.2035698881</v>
      </c>
      <c r="N102" s="996">
        <f t="shared" ref="N102:X102" si="24">SUM(N71:N101)</f>
        <v>2153789.328319001</v>
      </c>
      <c r="O102" s="996">
        <f t="shared" si="24"/>
        <v>3212351.9</v>
      </c>
      <c r="P102" s="996">
        <f t="shared" si="24"/>
        <v>3756645.0690591759</v>
      </c>
      <c r="Q102" s="996">
        <f t="shared" si="24"/>
        <v>2153789.6540000001</v>
      </c>
      <c r="R102" s="996">
        <f t="shared" si="24"/>
        <v>-0.32568099997297395</v>
      </c>
      <c r="S102" s="996">
        <f t="shared" si="24"/>
        <v>2123224.5050000004</v>
      </c>
      <c r="T102" s="996">
        <f t="shared" si="24"/>
        <v>1089127.4239999999</v>
      </c>
      <c r="U102" s="996">
        <f t="shared" si="24"/>
        <v>-2.9000000038649887E-2</v>
      </c>
      <c r="V102" s="996">
        <f t="shared" si="24"/>
        <v>3756644.544999999</v>
      </c>
      <c r="W102" s="996">
        <f t="shared" si="24"/>
        <v>0.52405917520809453</v>
      </c>
      <c r="X102" s="958">
        <f t="shared" si="24"/>
        <v>0</v>
      </c>
      <c r="Z102" s="959"/>
      <c r="AA102" s="960">
        <f>SUM(AA71:AA101)</f>
        <v>5394536.0760568762</v>
      </c>
      <c r="AB102" s="960">
        <f>SUM(AB71:AB101)</f>
        <v>3963470.8893846725</v>
      </c>
      <c r="AC102" s="960">
        <f>SUM(AC71:AC101)</f>
        <v>1431065.1866722028</v>
      </c>
      <c r="AD102" s="961" t="e">
        <f>#REF!</f>
        <v>#REF!</v>
      </c>
      <c r="AG102" s="843"/>
      <c r="AH102" s="843"/>
      <c r="AI102" s="843"/>
      <c r="AJ102" s="843"/>
      <c r="AP102" s="958" t="e">
        <f>#REF!</f>
        <v>#REF!</v>
      </c>
    </row>
    <row r="103" spans="2:42" ht="15" customHeight="1" thickBot="1" x14ac:dyDescent="0.25">
      <c r="B103" s="843"/>
      <c r="C103" s="843"/>
      <c r="D103" s="843"/>
      <c r="E103" s="843"/>
      <c r="F103" s="843"/>
      <c r="G103" s="843"/>
      <c r="H103" s="843"/>
      <c r="I103" s="843"/>
      <c r="J103" s="843"/>
      <c r="K103" s="843"/>
      <c r="L103" s="843"/>
      <c r="N103" s="843"/>
      <c r="S103" s="997">
        <f>S102/(S102+T102)</f>
        <v>0.66095638084739872</v>
      </c>
      <c r="T103" s="998">
        <f>T102/(S102+T102)</f>
        <v>0.33904361915260117</v>
      </c>
      <c r="Z103" s="829"/>
      <c r="AA103" s="829"/>
      <c r="AB103" s="829"/>
      <c r="AC103" s="829"/>
      <c r="AD103" s="829"/>
      <c r="AG103" s="843"/>
      <c r="AH103" s="843"/>
      <c r="AI103" s="843"/>
      <c r="AJ103" s="843"/>
    </row>
    <row r="104" spans="2:42" x14ac:dyDescent="0.2">
      <c r="D104" s="962" t="s">
        <v>155</v>
      </c>
      <c r="E104" s="963" t="s">
        <v>156</v>
      </c>
      <c r="F104" s="964" t="s">
        <v>112</v>
      </c>
      <c r="N104" s="829"/>
      <c r="O104" s="827"/>
      <c r="Z104" s="829"/>
    </row>
    <row r="105" spans="2:42" x14ac:dyDescent="0.2">
      <c r="D105" s="965">
        <v>4659430.72</v>
      </c>
      <c r="E105" s="966">
        <f>D102</f>
        <v>4659430.7199999979</v>
      </c>
      <c r="F105" s="967">
        <f>D105-E105</f>
        <v>0</v>
      </c>
      <c r="G105" s="968"/>
      <c r="H105" s="968"/>
      <c r="I105" s="968"/>
      <c r="N105" s="829"/>
      <c r="O105" s="827"/>
      <c r="T105" s="1008">
        <f>1-S103-T103</f>
        <v>0</v>
      </c>
      <c r="Z105" s="829"/>
    </row>
    <row r="106" spans="2:42" x14ac:dyDescent="0.2">
      <c r="D106" s="965">
        <f>447053.49</f>
        <v>447053.49</v>
      </c>
      <c r="E106" s="966">
        <f>E102</f>
        <v>447053.48799999966</v>
      </c>
      <c r="F106" s="967">
        <f>D106-E106</f>
        <v>2.0000003278255463E-3</v>
      </c>
      <c r="G106" s="968"/>
      <c r="H106" s="968"/>
      <c r="I106" s="968"/>
      <c r="J106" s="958"/>
      <c r="K106" s="958"/>
      <c r="L106" s="958"/>
      <c r="M106" s="958"/>
      <c r="N106" s="829"/>
      <c r="Z106" s="829"/>
    </row>
    <row r="107" spans="2:42" ht="13.5" thickBot="1" x14ac:dyDescent="0.25">
      <c r="D107" s="969">
        <f>2170.9+3237.87+3786.49</f>
        <v>9195.26</v>
      </c>
      <c r="E107" s="970">
        <f>ROUND(H102,2)</f>
        <v>9195.26</v>
      </c>
      <c r="F107" s="971">
        <f>D107-E107</f>
        <v>0</v>
      </c>
      <c r="G107" s="968"/>
      <c r="J107" s="958"/>
      <c r="K107" s="958"/>
      <c r="L107" s="958"/>
      <c r="M107" s="958"/>
      <c r="N107" s="829"/>
      <c r="Z107" s="829"/>
    </row>
    <row r="108" spans="2:42" x14ac:dyDescent="0.2">
      <c r="D108" s="968"/>
      <c r="J108" s="958"/>
      <c r="K108" s="958"/>
      <c r="L108" s="958"/>
      <c r="M108" s="958"/>
      <c r="N108" s="829"/>
    </row>
    <row r="109" spans="2:42" x14ac:dyDescent="0.2">
      <c r="J109" s="958"/>
      <c r="K109" s="958"/>
      <c r="L109" s="958"/>
      <c r="M109" s="958"/>
      <c r="N109" s="829"/>
    </row>
    <row r="110" spans="2:42" x14ac:dyDescent="0.2">
      <c r="J110" s="958"/>
      <c r="K110" s="958"/>
      <c r="L110" s="958"/>
      <c r="M110" s="958"/>
      <c r="N110" s="829"/>
    </row>
    <row r="111" spans="2:42" x14ac:dyDescent="0.2">
      <c r="J111" s="958"/>
      <c r="K111" s="958"/>
      <c r="L111" s="958"/>
      <c r="M111" s="958"/>
      <c r="N111" s="829"/>
    </row>
    <row r="112" spans="2:42" x14ac:dyDescent="0.2">
      <c r="J112" s="958"/>
      <c r="K112" s="958"/>
      <c r="L112" s="958"/>
      <c r="M112" s="958"/>
      <c r="N112" s="829"/>
    </row>
    <row r="113" spans="10:14" x14ac:dyDescent="0.2">
      <c r="J113" s="958"/>
      <c r="K113" s="958"/>
      <c r="L113" s="958"/>
      <c r="M113" s="958"/>
      <c r="N113" s="829"/>
    </row>
    <row r="114" spans="10:14" x14ac:dyDescent="0.2">
      <c r="J114" s="958"/>
      <c r="K114" s="958"/>
      <c r="L114" s="958"/>
      <c r="M114" s="958"/>
      <c r="N114" s="829"/>
    </row>
    <row r="115" spans="10:14" x14ac:dyDescent="0.2">
      <c r="J115" s="958"/>
      <c r="K115" s="958"/>
      <c r="L115" s="958"/>
      <c r="M115" s="958"/>
      <c r="N115" s="829"/>
    </row>
    <row r="116" spans="10:14" x14ac:dyDescent="0.2">
      <c r="J116" s="958"/>
      <c r="K116" s="958"/>
      <c r="L116" s="958"/>
      <c r="M116" s="958"/>
      <c r="N116" s="829"/>
    </row>
    <row r="117" spans="10:14" x14ac:dyDescent="0.2">
      <c r="J117" s="958"/>
      <c r="K117" s="958"/>
      <c r="L117" s="958"/>
      <c r="M117" s="958"/>
      <c r="N117" s="829"/>
    </row>
    <row r="118" spans="10:14" x14ac:dyDescent="0.2">
      <c r="J118" s="958"/>
      <c r="K118" s="958"/>
      <c r="L118" s="958"/>
      <c r="M118" s="958"/>
      <c r="N118" s="829"/>
    </row>
    <row r="119" spans="10:14" x14ac:dyDescent="0.2">
      <c r="J119" s="958"/>
      <c r="K119" s="958"/>
      <c r="L119" s="958"/>
      <c r="M119" s="958"/>
      <c r="N119" s="829"/>
    </row>
    <row r="120" spans="10:14" x14ac:dyDescent="0.2">
      <c r="J120" s="958"/>
      <c r="K120" s="958"/>
      <c r="L120" s="958"/>
      <c r="M120" s="958"/>
      <c r="N120" s="829"/>
    </row>
    <row r="121" spans="10:14" x14ac:dyDescent="0.2">
      <c r="J121" s="958"/>
      <c r="K121" s="958"/>
      <c r="L121" s="958"/>
      <c r="M121" s="958"/>
      <c r="N121" s="829"/>
    </row>
    <row r="122" spans="10:14" x14ac:dyDescent="0.2">
      <c r="J122" s="958"/>
      <c r="K122" s="958"/>
      <c r="L122" s="958"/>
      <c r="M122" s="958"/>
      <c r="N122" s="829"/>
    </row>
    <row r="123" spans="10:14" x14ac:dyDescent="0.2">
      <c r="J123" s="958"/>
      <c r="K123" s="958"/>
      <c r="L123" s="958"/>
      <c r="M123" s="958"/>
      <c r="N123" s="829"/>
    </row>
    <row r="124" spans="10:14" x14ac:dyDescent="0.2">
      <c r="J124" s="958"/>
      <c r="K124" s="958"/>
      <c r="L124" s="958"/>
      <c r="M124" s="958"/>
      <c r="N124" s="829"/>
    </row>
    <row r="125" spans="10:14" x14ac:dyDescent="0.2">
      <c r="J125" s="958"/>
      <c r="K125" s="958"/>
      <c r="L125" s="958"/>
      <c r="M125" s="958"/>
      <c r="N125" s="829"/>
    </row>
    <row r="126" spans="10:14" x14ac:dyDescent="0.2">
      <c r="J126" s="958"/>
      <c r="K126" s="958"/>
      <c r="L126" s="958"/>
      <c r="M126" s="958"/>
      <c r="N126" s="829"/>
    </row>
    <row r="127" spans="10:14" x14ac:dyDescent="0.2">
      <c r="J127" s="958"/>
      <c r="K127" s="958"/>
      <c r="L127" s="958"/>
      <c r="M127" s="958"/>
      <c r="N127" s="829"/>
    </row>
    <row r="128" spans="10:14" x14ac:dyDescent="0.2">
      <c r="J128" s="958"/>
      <c r="K128" s="958"/>
      <c r="L128" s="958"/>
      <c r="M128" s="958"/>
      <c r="N128" s="829"/>
    </row>
    <row r="129" spans="10:14" x14ac:dyDescent="0.2">
      <c r="J129" s="958"/>
      <c r="K129" s="958"/>
      <c r="L129" s="958"/>
      <c r="M129" s="958"/>
      <c r="N129" s="829"/>
    </row>
    <row r="130" spans="10:14" x14ac:dyDescent="0.2">
      <c r="J130" s="958"/>
      <c r="K130" s="958"/>
      <c r="L130" s="958"/>
      <c r="M130" s="958"/>
      <c r="N130" s="829"/>
    </row>
    <row r="131" spans="10:14" x14ac:dyDescent="0.2">
      <c r="J131" s="958"/>
      <c r="K131" s="958"/>
      <c r="L131" s="958"/>
      <c r="M131" s="958"/>
      <c r="N131" s="829"/>
    </row>
    <row r="132" spans="10:14" x14ac:dyDescent="0.2">
      <c r="J132" s="958"/>
      <c r="K132" s="958"/>
      <c r="L132" s="958"/>
      <c r="M132" s="958"/>
      <c r="N132" s="829"/>
    </row>
    <row r="133" spans="10:14" x14ac:dyDescent="0.2">
      <c r="J133" s="958"/>
      <c r="K133" s="958"/>
      <c r="L133" s="958"/>
      <c r="M133" s="958"/>
      <c r="N133" s="829"/>
    </row>
    <row r="134" spans="10:14" x14ac:dyDescent="0.2">
      <c r="J134" s="958"/>
      <c r="K134" s="958"/>
      <c r="L134" s="958"/>
      <c r="M134" s="958"/>
      <c r="N134" s="829"/>
    </row>
    <row r="135" spans="10:14" x14ac:dyDescent="0.2">
      <c r="J135" s="958"/>
      <c r="K135" s="958"/>
      <c r="L135" s="958"/>
      <c r="M135" s="958"/>
      <c r="N135" s="829"/>
    </row>
    <row r="136" spans="10:14" x14ac:dyDescent="0.2">
      <c r="J136" s="958"/>
      <c r="K136" s="958"/>
      <c r="L136" s="958"/>
      <c r="M136" s="958"/>
    </row>
  </sheetData>
  <mergeCells count="8">
    <mergeCell ref="P25:Q25"/>
    <mergeCell ref="C17:E17"/>
    <mergeCell ref="C3:M4"/>
    <mergeCell ref="C5:M5"/>
    <mergeCell ref="C6:M6"/>
    <mergeCell ref="C14:E14"/>
    <mergeCell ref="C15:E15"/>
    <mergeCell ref="C16:E16"/>
  </mergeCells>
  <conditionalFormatting sqref="N71:P101">
    <cfRule type="cellIs" dxfId="97" priority="3" stopIfTrue="1" operator="equal">
      <formula>0</formula>
    </cfRule>
  </conditionalFormatting>
  <conditionalFormatting sqref="Q71:Q99 Q101">
    <cfRule type="cellIs" dxfId="96" priority="2" stopIfTrue="1" operator="equal">
      <formula>0</formula>
    </cfRule>
  </conditionalFormatting>
  <conditionalFormatting sqref="Q100">
    <cfRule type="cellIs" dxfId="95" priority="1" stopIfTrue="1" operator="equal">
      <formula>0</formula>
    </cfRule>
  </conditionalFormatting>
  <printOptions horizontalCentered="1"/>
  <pageMargins left="0.59055118110236227" right="0.39370078740157483" top="0" bottom="0" header="0" footer="0.51181102362204722"/>
  <pageSetup scale="39" orientation="landscape" r:id="rId1"/>
  <drawing r:id="rId2"/>
  <legacyDrawing r:id="rId3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1:AP139"/>
  <sheetViews>
    <sheetView topLeftCell="A11" workbookViewId="0"/>
  </sheetViews>
  <sheetFormatPr baseColWidth="10" defaultColWidth="11" defaultRowHeight="15" x14ac:dyDescent="0.25"/>
  <cols>
    <col min="1" max="1" width="11" style="1457"/>
    <col min="2" max="2" width="3.875" style="1457" bestFit="1" customWidth="1"/>
    <col min="3" max="3" width="16.125" style="1457" customWidth="1"/>
    <col min="4" max="4" width="15.625" style="1457" customWidth="1"/>
    <col min="5" max="5" width="18.375" style="1457" bestFit="1" customWidth="1"/>
    <col min="6" max="6" width="17.375" style="1457" bestFit="1" customWidth="1"/>
    <col min="7" max="8" width="13.375" style="1457" bestFit="1" customWidth="1"/>
    <col min="9" max="9" width="15.125" style="1457" customWidth="1"/>
    <col min="10" max="10" width="20.5" style="1457" customWidth="1"/>
    <col min="11" max="11" width="17.625" style="1457" bestFit="1" customWidth="1"/>
    <col min="12" max="12" width="16" style="1457" customWidth="1"/>
    <col min="13" max="13" width="20.125" style="1457" bestFit="1" customWidth="1"/>
    <col min="14" max="14" width="19.125" style="1458" bestFit="1" customWidth="1"/>
    <col min="15" max="15" width="14.875" style="1457" customWidth="1"/>
    <col min="16" max="16" width="17.875" style="1457" customWidth="1"/>
    <col min="17" max="17" width="12.625" style="1457" bestFit="1" customWidth="1"/>
    <col min="18" max="18" width="13.5" style="1457" customWidth="1"/>
    <col min="19" max="19" width="11.875" style="1457" bestFit="1" customWidth="1"/>
    <col min="20" max="20" width="11.125" style="1457" bestFit="1" customWidth="1"/>
    <col min="21" max="21" width="14.5" style="1457" customWidth="1"/>
    <col min="22" max="22" width="14.375" style="1457" customWidth="1"/>
    <col min="23" max="23" width="15.5" style="1457" customWidth="1"/>
    <col min="24" max="24" width="24.125" style="1457" customWidth="1"/>
    <col min="25" max="25" width="21.375" style="1457" customWidth="1"/>
    <col min="26" max="26" width="11.125" style="1460" bestFit="1" customWidth="1"/>
    <col min="27" max="27" width="18.125" style="1460" customWidth="1"/>
    <col min="28" max="28" width="13.625" style="1460" customWidth="1"/>
    <col min="29" max="29" width="13.375" style="1460" customWidth="1"/>
    <col min="30" max="30" width="12.625" style="1460" customWidth="1"/>
    <col min="31" max="32" width="11" style="1460"/>
    <col min="33" max="38" width="11" style="1457"/>
    <col min="39" max="39" width="11.125" style="1457" bestFit="1" customWidth="1"/>
    <col min="40" max="16384" width="11" style="1457"/>
  </cols>
  <sheetData>
    <row r="1" spans="2:35" x14ac:dyDescent="0.25">
      <c r="O1" s="1458"/>
      <c r="P1" s="1458"/>
      <c r="Q1" s="1458"/>
      <c r="R1" s="1458"/>
      <c r="S1" s="1458"/>
      <c r="T1" s="1458"/>
      <c r="U1" s="1458"/>
      <c r="V1" s="1458"/>
      <c r="W1" s="1458"/>
      <c r="X1" s="1458"/>
      <c r="Y1" s="1458"/>
      <c r="Z1" s="1459"/>
      <c r="AA1" s="1459"/>
      <c r="AB1" s="1459"/>
      <c r="AC1" s="1459"/>
      <c r="AD1" s="1459"/>
    </row>
    <row r="2" spans="2:35" x14ac:dyDescent="0.25">
      <c r="B2" s="1458"/>
      <c r="C2" s="1461"/>
      <c r="D2" s="1461"/>
      <c r="E2" s="1461"/>
      <c r="F2" s="1461"/>
      <c r="G2" s="1461"/>
      <c r="H2" s="1461"/>
      <c r="I2" s="1461"/>
      <c r="J2" s="1461"/>
      <c r="K2" s="1461"/>
      <c r="L2" s="1461"/>
      <c r="M2" s="1461"/>
      <c r="N2" s="1461"/>
      <c r="O2" s="1458"/>
      <c r="P2" s="1458"/>
      <c r="Q2" s="1458"/>
      <c r="R2" s="1458"/>
      <c r="S2" s="1458"/>
      <c r="T2" s="1458"/>
      <c r="U2" s="1458"/>
      <c r="V2" s="1458"/>
      <c r="W2" s="1458"/>
      <c r="X2" s="1458"/>
      <c r="Y2" s="1458"/>
      <c r="Z2" s="1458"/>
      <c r="AA2" s="1458"/>
      <c r="AB2" s="1458"/>
      <c r="AC2" s="1458"/>
      <c r="AD2" s="1458"/>
      <c r="AE2" s="1457"/>
      <c r="AF2" s="1457"/>
    </row>
    <row r="3" spans="2:35" ht="15" customHeight="1" x14ac:dyDescent="0.25">
      <c r="B3" s="1458"/>
      <c r="C3" s="2349"/>
      <c r="D3" s="2349"/>
      <c r="E3" s="2349"/>
      <c r="F3" s="2349"/>
      <c r="G3" s="2349"/>
      <c r="H3" s="2349"/>
      <c r="I3" s="2349"/>
      <c r="J3" s="2349"/>
      <c r="K3" s="2349"/>
      <c r="L3" s="2349"/>
      <c r="M3" s="2349"/>
      <c r="N3" s="1461"/>
      <c r="O3" s="1458"/>
      <c r="P3" s="1458"/>
      <c r="Q3" s="1458"/>
      <c r="R3" s="1458"/>
      <c r="S3" s="1458"/>
      <c r="T3" s="1458"/>
      <c r="U3" s="1458"/>
      <c r="V3" s="1458"/>
      <c r="W3" s="1458"/>
      <c r="X3" s="1458"/>
      <c r="Y3" s="1458"/>
      <c r="Z3" s="1458"/>
      <c r="AA3" s="1458"/>
      <c r="AB3" s="1458"/>
      <c r="AC3" s="1458"/>
      <c r="AD3" s="1458"/>
      <c r="AE3" s="1457"/>
      <c r="AF3" s="1457"/>
    </row>
    <row r="4" spans="2:35" ht="15" customHeight="1" x14ac:dyDescent="0.25">
      <c r="B4" s="1458"/>
      <c r="C4" s="2349"/>
      <c r="D4" s="2349"/>
      <c r="E4" s="2349"/>
      <c r="F4" s="2349"/>
      <c r="G4" s="2349"/>
      <c r="H4" s="2349"/>
      <c r="I4" s="2349"/>
      <c r="J4" s="2349"/>
      <c r="K4" s="2349"/>
      <c r="L4" s="2349"/>
      <c r="M4" s="2349"/>
      <c r="N4" s="1461"/>
      <c r="O4" s="1458"/>
      <c r="P4" s="1458"/>
      <c r="Q4" s="1458"/>
      <c r="R4" s="1458"/>
      <c r="S4" s="1458"/>
      <c r="T4" s="1458"/>
      <c r="U4" s="1458"/>
      <c r="V4" s="1458"/>
      <c r="W4" s="1458"/>
      <c r="X4" s="1458"/>
      <c r="Y4" s="1458"/>
      <c r="Z4" s="1458"/>
      <c r="AA4" s="1458"/>
      <c r="AB4" s="1458"/>
      <c r="AC4" s="1458"/>
      <c r="AD4" s="1458"/>
      <c r="AE4" s="1457"/>
      <c r="AF4" s="1457"/>
    </row>
    <row r="5" spans="2:35" x14ac:dyDescent="0.25">
      <c r="B5" s="1458"/>
      <c r="C5" s="2350"/>
      <c r="D5" s="2350"/>
      <c r="E5" s="2350"/>
      <c r="F5" s="2350"/>
      <c r="G5" s="2350"/>
      <c r="H5" s="2350"/>
      <c r="I5" s="2350"/>
      <c r="J5" s="2350"/>
      <c r="K5" s="2350"/>
      <c r="L5" s="2350"/>
      <c r="M5" s="2350"/>
      <c r="N5" s="1461"/>
      <c r="O5" s="1458"/>
      <c r="P5" s="1458"/>
      <c r="Q5" s="1458"/>
      <c r="R5" s="1458"/>
      <c r="S5" s="1458"/>
      <c r="T5" s="1458"/>
      <c r="U5" s="1458"/>
      <c r="V5" s="1458"/>
      <c r="W5" s="1458"/>
      <c r="X5" s="1458"/>
      <c r="Y5" s="1458"/>
      <c r="Z5" s="1458"/>
      <c r="AA5" s="1458"/>
      <c r="AB5" s="1458"/>
      <c r="AC5" s="1458"/>
      <c r="AD5" s="1458"/>
      <c r="AE5" s="1457"/>
      <c r="AF5" s="1457"/>
    </row>
    <row r="6" spans="2:35" x14ac:dyDescent="0.25">
      <c r="B6" s="1458"/>
      <c r="C6" s="2350"/>
      <c r="D6" s="2350"/>
      <c r="E6" s="2350"/>
      <c r="F6" s="2350"/>
      <c r="G6" s="2350"/>
      <c r="H6" s="2350"/>
      <c r="I6" s="2350"/>
      <c r="J6" s="2350"/>
      <c r="K6" s="2350"/>
      <c r="L6" s="2350"/>
      <c r="M6" s="2350"/>
      <c r="N6" s="1461"/>
      <c r="O6" s="1458"/>
      <c r="P6" s="1458"/>
      <c r="Q6" s="1458"/>
      <c r="R6" s="1458"/>
      <c r="S6" s="1458"/>
      <c r="T6" s="1458"/>
      <c r="U6" s="1458"/>
      <c r="V6" s="1458"/>
      <c r="W6" s="1458"/>
      <c r="X6" s="1458"/>
      <c r="Y6" s="1458"/>
      <c r="Z6" s="1458"/>
      <c r="AA6" s="1458"/>
      <c r="AB6" s="1458"/>
      <c r="AC6" s="1458"/>
      <c r="AD6" s="1458"/>
      <c r="AE6" s="1457"/>
      <c r="AF6" s="1457"/>
    </row>
    <row r="7" spans="2:35" x14ac:dyDescent="0.25">
      <c r="B7" s="1458"/>
      <c r="C7" s="1462">
        <v>43101</v>
      </c>
      <c r="D7" s="1462"/>
      <c r="E7" s="1462"/>
      <c r="F7" s="1462"/>
      <c r="G7" s="1462"/>
      <c r="H7" s="1462"/>
      <c r="I7" s="1462"/>
      <c r="J7" s="1462"/>
      <c r="K7" s="1462"/>
      <c r="L7" s="1462"/>
      <c r="M7" s="1462"/>
      <c r="N7" s="1462"/>
      <c r="O7" s="1462"/>
      <c r="P7" s="1462"/>
      <c r="Q7" s="1462"/>
      <c r="R7" s="1458"/>
      <c r="S7" s="1458"/>
      <c r="T7" s="1458"/>
      <c r="U7" s="1458"/>
      <c r="V7" s="1458"/>
      <c r="W7" s="1458"/>
      <c r="X7" s="1458"/>
      <c r="Y7" s="1458"/>
      <c r="Z7" s="1458"/>
      <c r="AA7" s="1458"/>
      <c r="AB7" s="1458"/>
      <c r="AC7" s="1458"/>
      <c r="AD7" s="1458"/>
      <c r="AE7" s="1457"/>
      <c r="AF7" s="1457"/>
    </row>
    <row r="8" spans="2:35" ht="19.5" customHeight="1" x14ac:dyDescent="0.25">
      <c r="B8" s="1458"/>
      <c r="C8" s="1463"/>
      <c r="D8" s="1463"/>
      <c r="E8" s="1463"/>
      <c r="F8" s="1463"/>
      <c r="G8" s="1463"/>
      <c r="H8" s="1463"/>
      <c r="I8" s="1463"/>
      <c r="J8" s="1463"/>
      <c r="K8" s="1463"/>
      <c r="L8" s="1463"/>
      <c r="M8" s="1461"/>
      <c r="N8" s="1461"/>
      <c r="O8" s="1458"/>
      <c r="P8" s="1458"/>
      <c r="Q8" s="1458"/>
      <c r="R8" s="1458"/>
      <c r="S8" s="1458"/>
      <c r="T8" s="1458"/>
      <c r="U8" s="1458"/>
      <c r="V8" s="1458"/>
      <c r="W8" s="1458"/>
      <c r="X8" s="1458"/>
      <c r="Y8" s="1458"/>
      <c r="Z8" s="1458"/>
      <c r="AA8" s="1458"/>
      <c r="AB8" s="1458"/>
      <c r="AC8" s="1458"/>
      <c r="AD8" s="1458"/>
      <c r="AE8" s="1457"/>
      <c r="AF8" s="1457"/>
    </row>
    <row r="9" spans="2:35" ht="19.5" customHeight="1" x14ac:dyDescent="0.25">
      <c r="B9" s="1458"/>
      <c r="C9" s="1463"/>
      <c r="D9" s="1463"/>
      <c r="E9" s="1463"/>
      <c r="F9" s="1463"/>
      <c r="G9" s="1463"/>
      <c r="H9" s="1463"/>
      <c r="I9" s="1463"/>
      <c r="J9" s="1463"/>
      <c r="K9" s="1463"/>
      <c r="L9" s="1463"/>
      <c r="M9" s="1461"/>
      <c r="N9" s="1461"/>
      <c r="O9" s="1458"/>
      <c r="P9" s="1458"/>
      <c r="Q9" s="1458"/>
      <c r="R9" s="1458"/>
      <c r="S9" s="1458"/>
      <c r="T9" s="1458"/>
      <c r="U9" s="1458"/>
      <c r="V9" s="1458"/>
      <c r="W9" s="1458"/>
      <c r="X9" s="1458"/>
      <c r="Y9" s="1458"/>
      <c r="Z9" s="1458"/>
      <c r="AA9" s="1458"/>
      <c r="AB9" s="1458"/>
      <c r="AC9" s="1458"/>
      <c r="AD9" s="1458"/>
      <c r="AE9" s="1457"/>
      <c r="AF9" s="1457"/>
    </row>
    <row r="10" spans="2:35" ht="19.5" customHeight="1" x14ac:dyDescent="0.25">
      <c r="B10" s="1458"/>
      <c r="C10" s="1463"/>
      <c r="D10" s="1463"/>
      <c r="E10" s="1463"/>
      <c r="F10" s="1463"/>
      <c r="G10" s="1463"/>
      <c r="H10" s="1463"/>
      <c r="I10" s="1463"/>
      <c r="J10" s="1463"/>
      <c r="K10" s="1463"/>
      <c r="L10" s="1463"/>
      <c r="M10" s="1461"/>
      <c r="N10" s="1461"/>
      <c r="O10" s="1458"/>
      <c r="P10" s="1458"/>
      <c r="Q10" s="1458"/>
      <c r="R10" s="1458"/>
      <c r="S10" s="1458"/>
      <c r="T10" s="1458"/>
      <c r="U10" s="1458"/>
      <c r="V10" s="1458"/>
      <c r="W10" s="1458"/>
      <c r="X10" s="1458"/>
      <c r="Y10" s="1458"/>
      <c r="Z10" s="1458"/>
      <c r="AA10" s="1458"/>
      <c r="AB10" s="1458"/>
      <c r="AC10" s="1458"/>
      <c r="AD10" s="1458"/>
      <c r="AE10" s="1457"/>
      <c r="AF10" s="1457"/>
    </row>
    <row r="11" spans="2:35" ht="19.5" customHeight="1" x14ac:dyDescent="0.25">
      <c r="B11" s="1458"/>
      <c r="C11" s="1463"/>
      <c r="D11" s="1463"/>
      <c r="E11" s="1463"/>
      <c r="F11" s="1463"/>
      <c r="G11" s="1463"/>
      <c r="H11" s="1463"/>
      <c r="I11" s="1463"/>
      <c r="J11" s="1463"/>
      <c r="K11" s="1463"/>
      <c r="L11" s="1463"/>
      <c r="M11" s="1461"/>
      <c r="N11" s="1461"/>
      <c r="O11" s="1458"/>
      <c r="P11" s="1458"/>
      <c r="Q11" s="1458"/>
      <c r="R11" s="1458"/>
      <c r="S11" s="1458"/>
      <c r="T11" s="1458"/>
      <c r="U11" s="1458"/>
      <c r="V11" s="1458"/>
      <c r="W11" s="1458"/>
      <c r="X11" s="1458"/>
      <c r="Y11" s="1458"/>
      <c r="Z11" s="1458"/>
      <c r="AA11" s="1458"/>
      <c r="AB11" s="1458"/>
      <c r="AC11" s="1458"/>
      <c r="AD11" s="1458"/>
      <c r="AE11" s="1457"/>
      <c r="AF11" s="1457"/>
    </row>
    <row r="12" spans="2:35" ht="19.5" customHeight="1" x14ac:dyDescent="0.25">
      <c r="B12" s="1458"/>
      <c r="C12" s="1463"/>
      <c r="D12" s="1463"/>
      <c r="E12" s="1463"/>
      <c r="F12" s="1463"/>
      <c r="G12" s="1463"/>
      <c r="H12" s="1463"/>
      <c r="I12" s="1463"/>
      <c r="J12" s="1463"/>
      <c r="K12" s="1463"/>
      <c r="L12" s="1463"/>
      <c r="M12" s="1461"/>
      <c r="N12" s="1461"/>
      <c r="O12" s="1458"/>
      <c r="P12" s="1458"/>
      <c r="Q12" s="1458"/>
      <c r="R12" s="1458"/>
      <c r="S12" s="1458"/>
      <c r="T12" s="1458"/>
      <c r="U12" s="1458"/>
      <c r="V12" s="1458"/>
      <c r="W12" s="1458"/>
      <c r="X12" s="1458"/>
      <c r="Y12" s="1458"/>
      <c r="Z12" s="1458"/>
      <c r="AA12" s="1458"/>
      <c r="AB12" s="1458"/>
      <c r="AC12" s="1458"/>
      <c r="AD12" s="1458"/>
      <c r="AE12" s="1457"/>
      <c r="AF12" s="1457"/>
    </row>
    <row r="13" spans="2:35" ht="19.5" customHeight="1" thickBot="1" x14ac:dyDescent="0.3">
      <c r="B13" s="1458"/>
      <c r="C13" s="1463"/>
      <c r="D13" s="1463"/>
      <c r="E13" s="1463"/>
      <c r="F13" s="1463"/>
      <c r="G13" s="1463"/>
      <c r="H13" s="1463"/>
      <c r="I13" s="1463"/>
      <c r="J13" s="1463"/>
      <c r="K13" s="1463"/>
      <c r="L13" s="1463"/>
      <c r="M13" s="1461"/>
      <c r="N13" s="1461"/>
      <c r="O13" s="1458"/>
      <c r="P13" s="1458"/>
      <c r="Q13" s="1458"/>
      <c r="R13" s="1458"/>
      <c r="S13" s="1458"/>
      <c r="T13" s="1458"/>
      <c r="U13" s="1458"/>
      <c r="V13" s="1458"/>
      <c r="W13" s="1458"/>
      <c r="X13" s="1458"/>
      <c r="Y13" s="1458"/>
      <c r="Z13" s="1458"/>
      <c r="AA13" s="1458"/>
      <c r="AB13" s="1458"/>
      <c r="AC13" s="1458"/>
      <c r="AD13" s="1458"/>
      <c r="AE13" s="1457"/>
      <c r="AF13" s="1457"/>
    </row>
    <row r="14" spans="2:35" ht="30.75" thickBot="1" x14ac:dyDescent="0.3">
      <c r="B14" s="1458"/>
      <c r="C14" s="2351" t="s">
        <v>6</v>
      </c>
      <c r="D14" s="2352"/>
      <c r="E14" s="2353"/>
      <c r="F14" s="1464" t="s">
        <v>227</v>
      </c>
      <c r="G14" s="1464" t="s">
        <v>230</v>
      </c>
      <c r="H14" s="1464" t="s">
        <v>228</v>
      </c>
      <c r="I14" s="1464" t="s">
        <v>229</v>
      </c>
      <c r="J14" s="1465" t="s">
        <v>126</v>
      </c>
      <c r="K14" s="1465" t="s">
        <v>133</v>
      </c>
      <c r="L14" s="1464" t="s">
        <v>127</v>
      </c>
      <c r="M14" s="1466" t="s">
        <v>128</v>
      </c>
      <c r="N14" s="1461"/>
      <c r="O14" s="1458"/>
      <c r="P14" s="1458"/>
      <c r="Q14" s="1458"/>
      <c r="R14" s="1458"/>
      <c r="S14" s="1458"/>
      <c r="T14" s="1458"/>
      <c r="U14" s="1458"/>
      <c r="V14" s="1458"/>
      <c r="W14" s="1458"/>
      <c r="X14" s="1458"/>
      <c r="Y14" s="1458"/>
      <c r="Z14" s="1458"/>
      <c r="AA14" s="1458"/>
      <c r="AB14" s="1458"/>
      <c r="AC14" s="1458"/>
      <c r="AD14" s="1458"/>
      <c r="AE14" s="1457"/>
      <c r="AF14" s="1457"/>
    </row>
    <row r="15" spans="2:35" ht="15.75" thickBot="1" x14ac:dyDescent="0.3">
      <c r="B15" s="1458"/>
      <c r="C15" s="2354" t="s">
        <v>131</v>
      </c>
      <c r="D15" s="2355"/>
      <c r="E15" s="2356"/>
      <c r="F15" s="1467"/>
      <c r="G15" s="1468" t="s">
        <v>165</v>
      </c>
      <c r="H15" s="1467"/>
      <c r="I15" s="1469">
        <f>IF(D106=0,E106,D106)</f>
        <v>4659430.72</v>
      </c>
      <c r="J15" s="1467">
        <f>I15*0.16</f>
        <v>745508.91519999993</v>
      </c>
      <c r="K15" s="1467">
        <f>I15+J15</f>
        <v>5404939.6351999994</v>
      </c>
      <c r="L15" s="1470" t="s">
        <v>360</v>
      </c>
      <c r="M15" s="1471">
        <v>20.497699999999998</v>
      </c>
      <c r="O15" s="1458"/>
      <c r="P15" s="1458"/>
      <c r="Q15" s="1458"/>
      <c r="R15" s="1458"/>
      <c r="S15" s="1458"/>
      <c r="T15" s="1458"/>
      <c r="U15" s="1458"/>
      <c r="V15" s="1458"/>
      <c r="W15" s="1458"/>
      <c r="X15" s="1458"/>
      <c r="Y15" s="1458"/>
      <c r="Z15" s="1458"/>
      <c r="AA15" s="1458"/>
      <c r="AB15" s="1458"/>
      <c r="AC15" s="1458"/>
      <c r="AD15" s="1458"/>
      <c r="AE15" s="1457"/>
      <c r="AF15" s="1457"/>
    </row>
    <row r="16" spans="2:35" ht="15.75" thickBot="1" x14ac:dyDescent="0.3">
      <c r="B16" s="1458"/>
      <c r="C16" s="2354" t="s">
        <v>275</v>
      </c>
      <c r="D16" s="2355"/>
      <c r="E16" s="2356"/>
      <c r="F16" s="1472"/>
      <c r="G16" s="1472"/>
      <c r="H16" s="1472"/>
      <c r="I16" s="1469">
        <f>IF(D107=0,E107,D107)</f>
        <v>447053.49</v>
      </c>
      <c r="J16" s="1473">
        <f>I16*0.16</f>
        <v>71528.558399999994</v>
      </c>
      <c r="K16" s="1473">
        <f>I16+J16</f>
        <v>518582.04839999997</v>
      </c>
      <c r="L16" s="1470" t="s">
        <v>359</v>
      </c>
      <c r="M16" s="1474">
        <v>20.497699999999998</v>
      </c>
      <c r="O16" s="1458"/>
      <c r="P16" s="1458"/>
      <c r="Q16" s="1458"/>
      <c r="R16" s="1458"/>
      <c r="S16" s="1458"/>
      <c r="T16" s="1458"/>
      <c r="U16" s="1458"/>
      <c r="V16" s="1458"/>
      <c r="W16" s="1458"/>
      <c r="X16" s="1458"/>
      <c r="Y16" s="1458"/>
      <c r="Z16" s="1458"/>
      <c r="AA16" s="1458"/>
      <c r="AB16" s="1458"/>
      <c r="AC16" s="1459"/>
      <c r="AD16" s="1459"/>
      <c r="AG16" s="1460"/>
      <c r="AH16" s="1460"/>
      <c r="AI16" s="1460"/>
    </row>
    <row r="17" spans="2:33" ht="30.75" thickBot="1" x14ac:dyDescent="0.3">
      <c r="B17" s="1458"/>
      <c r="C17" s="2346" t="s">
        <v>132</v>
      </c>
      <c r="D17" s="2347"/>
      <c r="E17" s="2348"/>
      <c r="F17" s="1475"/>
      <c r="G17" s="1476" t="s">
        <v>165</v>
      </c>
      <c r="H17" s="1475"/>
      <c r="I17" s="1477">
        <f>IF(D108=0,E108,D108)</f>
        <v>7681.6200000000008</v>
      </c>
      <c r="J17" s="1475">
        <f>I17*0.16</f>
        <v>1229.0592000000001</v>
      </c>
      <c r="K17" s="1475">
        <f>I17+J17</f>
        <v>8910.6792000000005</v>
      </c>
      <c r="L17" s="1478" t="s">
        <v>363</v>
      </c>
      <c r="M17" s="1479">
        <v>20.497699999999998</v>
      </c>
      <c r="O17" s="1458"/>
      <c r="P17" s="1458"/>
      <c r="Q17" s="1458"/>
      <c r="R17" s="1458"/>
      <c r="S17" s="1458"/>
      <c r="T17" s="1458"/>
      <c r="U17" s="1458"/>
      <c r="V17" s="1458"/>
      <c r="W17" s="1458"/>
      <c r="X17" s="1458"/>
      <c r="Y17" s="1458"/>
      <c r="Z17" s="1458"/>
      <c r="AA17" s="1458"/>
      <c r="AB17" s="1458"/>
      <c r="AC17" s="1458"/>
      <c r="AD17" s="1458"/>
      <c r="AE17" s="1457"/>
      <c r="AF17" s="1457"/>
    </row>
    <row r="18" spans="2:33" x14ac:dyDescent="0.25">
      <c r="B18" s="1458"/>
      <c r="C18" s="1463"/>
      <c r="D18" s="1463"/>
      <c r="E18" s="1463"/>
      <c r="F18" s="1463"/>
      <c r="G18" s="1463"/>
      <c r="H18" s="1458"/>
      <c r="I18" s="1458"/>
      <c r="J18" s="1458"/>
      <c r="K18" s="1458"/>
      <c r="L18" s="1458"/>
      <c r="M18" s="1458"/>
      <c r="O18" s="1458"/>
      <c r="P18" s="1458"/>
      <c r="Q18" s="1458"/>
      <c r="R18" s="1458"/>
      <c r="S18" s="1458"/>
      <c r="T18" s="1458"/>
      <c r="U18" s="1458"/>
      <c r="V18" s="1458"/>
      <c r="W18" s="1458"/>
      <c r="X18" s="1458"/>
      <c r="Y18" s="1458"/>
      <c r="Z18" s="1459"/>
      <c r="AA18" s="1459"/>
      <c r="AB18" s="1459"/>
      <c r="AC18" s="1459"/>
      <c r="AD18" s="1459"/>
    </row>
    <row r="19" spans="2:33" x14ac:dyDescent="0.25">
      <c r="B19" s="1458"/>
      <c r="C19" s="1463"/>
      <c r="D19" s="1463"/>
      <c r="E19" s="1463"/>
      <c r="F19" s="1463"/>
      <c r="G19" s="1463"/>
      <c r="H19" s="1458"/>
      <c r="I19" s="1458"/>
      <c r="J19" s="1458"/>
      <c r="K19" s="1458"/>
      <c r="L19" s="1458"/>
      <c r="O19" s="1458"/>
      <c r="P19" s="1458"/>
      <c r="Q19" s="1458"/>
      <c r="R19" s="1458"/>
      <c r="S19" s="1458"/>
      <c r="T19" s="1458"/>
      <c r="U19" s="1458"/>
      <c r="V19" s="1458"/>
      <c r="W19" s="1458"/>
      <c r="X19" s="1458"/>
      <c r="Y19" s="1458"/>
      <c r="Z19" s="1459"/>
      <c r="AA19" s="1459"/>
      <c r="AB19" s="1459"/>
      <c r="AC19" s="1459"/>
      <c r="AD19" s="1459"/>
    </row>
    <row r="20" spans="2:33" ht="15.75" thickBot="1" x14ac:dyDescent="0.3">
      <c r="B20" s="1458"/>
      <c r="C20" s="1480"/>
      <c r="D20" s="1463"/>
      <c r="E20" s="1463"/>
      <c r="F20" s="1463"/>
      <c r="G20" s="1463"/>
      <c r="H20" s="1463"/>
      <c r="I20" s="1463"/>
      <c r="J20" s="1463"/>
      <c r="K20" s="1463"/>
      <c r="L20" s="1463"/>
      <c r="M20" s="1463"/>
      <c r="N20" s="1463"/>
      <c r="O20" s="1463"/>
      <c r="P20" s="1463"/>
      <c r="Q20" s="1463"/>
      <c r="R20" s="1458"/>
      <c r="S20" s="1458"/>
      <c r="T20" s="1458"/>
      <c r="U20" s="1458"/>
      <c r="V20" s="1458"/>
      <c r="W20" s="1458"/>
      <c r="X20" s="1458"/>
      <c r="Y20" s="1458"/>
      <c r="Z20" s="1458"/>
      <c r="AA20" s="1459"/>
      <c r="AB20" s="1459"/>
      <c r="AC20" s="1459"/>
      <c r="AD20" s="1459"/>
      <c r="AG20" s="1460"/>
    </row>
    <row r="21" spans="2:33" ht="60.75" thickBot="1" x14ac:dyDescent="0.3">
      <c r="B21" s="1458"/>
      <c r="C21" s="1481" t="s">
        <v>134</v>
      </c>
      <c r="D21" s="1464" t="s">
        <v>135</v>
      </c>
      <c r="E21" s="1464" t="s">
        <v>285</v>
      </c>
      <c r="F21" s="1464" t="s">
        <v>278</v>
      </c>
      <c r="G21" s="1464" t="s">
        <v>153</v>
      </c>
      <c r="H21" s="1464" t="s">
        <v>279</v>
      </c>
      <c r="I21" s="1464" t="s">
        <v>281</v>
      </c>
      <c r="J21" s="1464" t="s">
        <v>280</v>
      </c>
      <c r="K21" s="1464" t="s">
        <v>245</v>
      </c>
      <c r="L21" s="1464" t="s">
        <v>246</v>
      </c>
      <c r="M21" s="1464"/>
      <c r="N21" s="1466" t="s">
        <v>158</v>
      </c>
      <c r="O21" s="1463"/>
      <c r="P21" s="1463"/>
      <c r="Q21" s="1463"/>
      <c r="R21" s="1463"/>
      <c r="S21" s="1463"/>
      <c r="T21" s="1463"/>
      <c r="U21" s="1463"/>
      <c r="V21" s="1458"/>
      <c r="W21" s="1458"/>
      <c r="X21" s="1458"/>
      <c r="Y21" s="1458"/>
      <c r="Z21" s="1458"/>
      <c r="AA21" s="1459"/>
      <c r="AB21" s="1459"/>
      <c r="AC21" s="1459"/>
      <c r="AD21" s="1459"/>
      <c r="AG21" s="1460"/>
    </row>
    <row r="22" spans="2:33" ht="15.75" thickBot="1" x14ac:dyDescent="0.3">
      <c r="B22" s="1458"/>
      <c r="C22" s="1482">
        <v>850</v>
      </c>
      <c r="D22" s="1483">
        <v>850</v>
      </c>
      <c r="E22" s="1484">
        <v>31482640</v>
      </c>
      <c r="F22" s="1484">
        <v>31482640</v>
      </c>
      <c r="G22" s="1484">
        <v>31</v>
      </c>
      <c r="H22" s="1485">
        <f>VLOOKUP(C70,Tarifas!D4:H303,3)</f>
        <v>0.14799999999999999</v>
      </c>
      <c r="I22" s="2159">
        <v>1.4200000000000001E-2</v>
      </c>
      <c r="J22" s="2160">
        <f>VLOOKUP(C70,Tarifas!D4:H303,5)</f>
        <v>1E-3</v>
      </c>
      <c r="K22" s="1486">
        <v>203.2</v>
      </c>
      <c r="L22" s="1486">
        <v>201.4</v>
      </c>
      <c r="M22" s="1485"/>
      <c r="N22" s="1487">
        <f>F103</f>
        <v>7613568.8548210002</v>
      </c>
      <c r="O22" s="1488"/>
      <c r="P22" s="1488"/>
      <c r="Q22" s="1463"/>
      <c r="R22" s="1463"/>
      <c r="S22" s="1463"/>
      <c r="T22" s="1463"/>
      <c r="U22" s="1463"/>
      <c r="V22" s="1458"/>
      <c r="W22" s="1458"/>
      <c r="X22" s="1458"/>
      <c r="Y22" s="1458"/>
      <c r="Z22" s="1458"/>
      <c r="AA22" s="1459"/>
      <c r="AB22" s="1459"/>
      <c r="AC22" s="1459"/>
      <c r="AD22" s="1459"/>
      <c r="AG22" s="1460"/>
    </row>
    <row r="23" spans="2:33" x14ac:dyDescent="0.25">
      <c r="B23" s="1458"/>
      <c r="C23" s="1463"/>
      <c r="D23" s="1463"/>
      <c r="E23" s="1463"/>
      <c r="F23" s="1463"/>
      <c r="G23" s="1463"/>
      <c r="H23" s="1463"/>
      <c r="I23" s="1463"/>
      <c r="J23" s="1463"/>
      <c r="K23" s="1489"/>
      <c r="L23" s="1463"/>
      <c r="M23" s="1463"/>
      <c r="N23" s="1463"/>
      <c r="O23" s="1463"/>
      <c r="P23" s="1463"/>
      <c r="Q23" s="1463"/>
      <c r="R23" s="1463">
        <v>180004481</v>
      </c>
      <c r="S23" s="1463"/>
      <c r="T23" s="1458"/>
      <c r="U23" s="1458"/>
      <c r="V23" s="1653">
        <v>140006288</v>
      </c>
      <c r="W23" s="1458"/>
      <c r="X23" s="1458"/>
      <c r="Y23" s="1458"/>
      <c r="Z23" s="1458"/>
      <c r="AA23" s="1459"/>
      <c r="AB23" s="1459"/>
      <c r="AC23" s="1459"/>
      <c r="AD23" s="1459"/>
      <c r="AG23" s="1460"/>
    </row>
    <row r="24" spans="2:33" x14ac:dyDescent="0.25">
      <c r="B24" s="1458"/>
      <c r="C24" s="1463"/>
      <c r="D24" s="1463"/>
      <c r="E24" s="1463"/>
      <c r="F24" s="1463"/>
      <c r="G24" s="1463"/>
      <c r="H24" s="1463"/>
      <c r="I24" s="1463"/>
      <c r="J24" s="1463"/>
      <c r="K24" s="1463"/>
      <c r="L24" s="1463"/>
      <c r="M24" s="1463"/>
      <c r="N24" s="1463"/>
      <c r="O24" s="1463"/>
      <c r="P24" s="1463"/>
      <c r="Q24" s="1458"/>
      <c r="R24" s="1651">
        <v>20.3614</v>
      </c>
      <c r="S24" s="1458"/>
      <c r="T24" s="1458"/>
      <c r="U24" s="1458"/>
      <c r="V24" s="1652">
        <v>20.497699999999998</v>
      </c>
      <c r="W24" s="1458"/>
      <c r="X24" s="1458"/>
      <c r="Y24" s="1458"/>
      <c r="Z24" s="1458"/>
      <c r="AA24" s="1459"/>
      <c r="AB24" s="1459"/>
      <c r="AC24" s="1459"/>
      <c r="AD24" s="1459"/>
      <c r="AG24" s="1460"/>
    </row>
    <row r="25" spans="2:33" x14ac:dyDescent="0.25">
      <c r="B25" s="1458"/>
      <c r="C25" s="1463"/>
      <c r="D25" s="1463"/>
      <c r="E25" s="1463"/>
      <c r="F25" s="1843"/>
      <c r="G25" s="1463"/>
      <c r="H25" s="1463"/>
      <c r="I25" s="1463"/>
      <c r="J25" s="1463"/>
      <c r="K25" s="1463"/>
      <c r="L25" s="1463"/>
      <c r="M25" s="1463"/>
      <c r="N25" s="1463"/>
      <c r="O25" s="1458"/>
      <c r="P25" s="1458"/>
      <c r="Q25" s="1490" t="s">
        <v>235</v>
      </c>
      <c r="R25" s="1458"/>
      <c r="S25" s="1458"/>
      <c r="T25" s="1458"/>
      <c r="U25" s="1458"/>
      <c r="V25" s="1458"/>
      <c r="W25" s="1458"/>
      <c r="X25" s="1459"/>
      <c r="Y25" s="1459"/>
      <c r="Z25" s="1459"/>
      <c r="AA25" s="1459"/>
      <c r="AB25" s="1459"/>
      <c r="AC25" s="1459"/>
      <c r="AD25" s="1459"/>
      <c r="AE25" s="1457"/>
      <c r="AF25" s="1457"/>
    </row>
    <row r="26" spans="2:33" ht="15.75" thickBot="1" x14ac:dyDescent="0.3">
      <c r="B26" s="1458"/>
      <c r="C26" s="1491" t="s">
        <v>86</v>
      </c>
      <c r="D26" s="1491"/>
      <c r="E26" s="1491"/>
      <c r="F26" s="1491"/>
      <c r="G26" s="1491"/>
      <c r="H26" s="1492"/>
      <c r="I26" s="1491"/>
      <c r="J26" s="1491"/>
      <c r="K26" s="1491"/>
      <c r="L26" s="1492"/>
      <c r="M26" s="1459"/>
      <c r="N26" s="1493"/>
      <c r="O26" s="1458"/>
      <c r="Q26" s="1458"/>
      <c r="R26" s="1458"/>
      <c r="S26" s="1458"/>
      <c r="T26" s="1458"/>
      <c r="U26" s="1458"/>
      <c r="V26" s="1458"/>
      <c r="W26" s="1458"/>
      <c r="X26" s="1459"/>
      <c r="Y26" s="1459"/>
      <c r="Z26" s="1494"/>
      <c r="AA26" s="1459"/>
      <c r="AB26" s="1459"/>
      <c r="AC26" s="1459"/>
      <c r="AD26" s="1459"/>
      <c r="AE26" s="1457"/>
      <c r="AF26" s="1457"/>
    </row>
    <row r="27" spans="2:33" ht="35.1" customHeight="1" thickBot="1" x14ac:dyDescent="0.3">
      <c r="B27" s="1458"/>
      <c r="C27" s="1481" t="s">
        <v>87</v>
      </c>
      <c r="D27" s="1464" t="s">
        <v>88</v>
      </c>
      <c r="E27" s="1464" t="s">
        <v>237</v>
      </c>
      <c r="F27" s="1465" t="s">
        <v>160</v>
      </c>
      <c r="G27" s="1464" t="s">
        <v>236</v>
      </c>
      <c r="H27" s="1465" t="s">
        <v>232</v>
      </c>
      <c r="I27" s="1465" t="s">
        <v>233</v>
      </c>
      <c r="J27" s="1465" t="s">
        <v>20</v>
      </c>
      <c r="K27" s="1464" t="s">
        <v>91</v>
      </c>
      <c r="L27" s="1464" t="s">
        <v>93</v>
      </c>
      <c r="M27" s="1464" t="s">
        <v>94</v>
      </c>
      <c r="N27" s="1495" t="s">
        <v>95</v>
      </c>
      <c r="O27" s="1458"/>
      <c r="P27" s="1481" t="s">
        <v>237</v>
      </c>
      <c r="Q27" s="1465" t="s">
        <v>160</v>
      </c>
      <c r="R27" s="1464" t="s">
        <v>236</v>
      </c>
      <c r="S27" s="1465" t="s">
        <v>232</v>
      </c>
      <c r="T27" s="1465" t="s">
        <v>233</v>
      </c>
      <c r="U27" s="1465" t="s">
        <v>20</v>
      </c>
      <c r="V27" s="1464" t="s">
        <v>91</v>
      </c>
      <c r="W27" s="1464" t="s">
        <v>93</v>
      </c>
      <c r="X27" s="1464" t="s">
        <v>94</v>
      </c>
      <c r="Y27" s="1466" t="s">
        <v>95</v>
      </c>
      <c r="Z27" s="1493"/>
      <c r="AA27" s="1459"/>
      <c r="AB27" s="1459"/>
      <c r="AC27" s="1459"/>
      <c r="AD27" s="1459"/>
      <c r="AE27" s="1457"/>
      <c r="AF27" s="1457"/>
    </row>
    <row r="28" spans="2:33" ht="35.1" customHeight="1" thickBot="1" x14ac:dyDescent="0.3">
      <c r="B28" s="1458"/>
      <c r="C28" s="1496"/>
      <c r="D28" s="1468"/>
      <c r="E28" s="1468"/>
      <c r="F28" s="1468"/>
      <c r="G28" s="1468"/>
      <c r="H28" s="1468"/>
      <c r="I28" s="1468"/>
      <c r="J28" s="1497" t="s">
        <v>97</v>
      </c>
      <c r="K28" s="1473">
        <v>0</v>
      </c>
      <c r="L28" s="1498">
        <f>K28/$K$33</f>
        <v>0</v>
      </c>
      <c r="M28" s="1467">
        <f>ROUND(L28*H$15,2)</f>
        <v>0</v>
      </c>
      <c r="N28" s="1499">
        <f>M28*$M$15</f>
        <v>0</v>
      </c>
      <c r="O28" s="1651">
        <v>20.3614</v>
      </c>
      <c r="P28" s="1496"/>
      <c r="Q28" s="1468"/>
      <c r="R28" s="1468"/>
      <c r="S28" s="1468"/>
      <c r="T28" s="1468"/>
      <c r="U28" s="1500" t="s">
        <v>97</v>
      </c>
      <c r="V28" s="1473">
        <v>80000</v>
      </c>
      <c r="W28" s="1498">
        <f>IFERROR(V28/$V$33,0)</f>
        <v>9.4117647058823528E-2</v>
      </c>
      <c r="X28" s="1672">
        <f>ROUND(W28*I$15,2)</f>
        <v>438534.66</v>
      </c>
      <c r="Y28" s="1673">
        <f>X28*M$15</f>
        <v>8988951.9002819993</v>
      </c>
      <c r="Z28" s="1459"/>
      <c r="AA28" s="1502">
        <f>Y28+Y29+Y30+Y44+Y31</f>
        <v>39073501.416841</v>
      </c>
      <c r="AB28" s="1459"/>
      <c r="AC28" s="1459"/>
      <c r="AD28" s="1459"/>
      <c r="AE28" s="1457"/>
      <c r="AF28" s="1457"/>
    </row>
    <row r="29" spans="2:33" ht="35.1" customHeight="1" thickBot="1" x14ac:dyDescent="0.3">
      <c r="B29" s="1458"/>
      <c r="C29" s="1496"/>
      <c r="D29" s="1468"/>
      <c r="E29" s="1468"/>
      <c r="F29" s="1468"/>
      <c r="G29" s="1468"/>
      <c r="H29" s="1468"/>
      <c r="I29" s="1468"/>
      <c r="J29" s="1497" t="s">
        <v>100</v>
      </c>
      <c r="K29" s="1473">
        <v>0</v>
      </c>
      <c r="L29" s="1498">
        <f t="shared" ref="L29:L32" si="0">K29/$K$33</f>
        <v>0</v>
      </c>
      <c r="M29" s="1467">
        <f>ROUND(L29*H$15,2)</f>
        <v>0</v>
      </c>
      <c r="N29" s="1499">
        <f t="shared" ref="N29:N32" si="1">M29*$M$15</f>
        <v>0</v>
      </c>
      <c r="O29" s="1651"/>
      <c r="P29" s="1496"/>
      <c r="Q29" s="1468"/>
      <c r="R29" s="1468"/>
      <c r="S29" s="1468"/>
      <c r="T29" s="1468"/>
      <c r="U29" s="1500" t="s">
        <v>100</v>
      </c>
      <c r="V29" s="1473">
        <v>40000</v>
      </c>
      <c r="W29" s="1498">
        <f>IFERROR(V29/$V$33,0)</f>
        <v>4.7058823529411764E-2</v>
      </c>
      <c r="X29" s="1672">
        <f>ROUND(W29*I$15,2)</f>
        <v>219267.33</v>
      </c>
      <c r="Y29" s="1673">
        <f>X29*M$15</f>
        <v>4494475.9501409996</v>
      </c>
      <c r="Z29" s="1459"/>
      <c r="AA29" s="1459"/>
      <c r="AB29" s="1459"/>
      <c r="AC29" s="1459"/>
      <c r="AD29" s="1459"/>
      <c r="AE29" s="1457"/>
      <c r="AF29" s="1457"/>
    </row>
    <row r="30" spans="2:33" ht="35.1" customHeight="1" thickBot="1" x14ac:dyDescent="0.3">
      <c r="B30" s="1458"/>
      <c r="C30" s="1496"/>
      <c r="D30" s="1468"/>
      <c r="E30" s="1468"/>
      <c r="F30" s="1468"/>
      <c r="G30" s="1468"/>
      <c r="H30" s="1468"/>
      <c r="I30" s="1468"/>
      <c r="J30" s="1306" t="s">
        <v>288</v>
      </c>
      <c r="K30" s="1473">
        <v>0</v>
      </c>
      <c r="L30" s="1498">
        <f t="shared" si="0"/>
        <v>0</v>
      </c>
      <c r="M30" s="1467">
        <f>ROUND(L30*H$15,2)</f>
        <v>0</v>
      </c>
      <c r="N30" s="1499">
        <f t="shared" si="1"/>
        <v>0</v>
      </c>
      <c r="O30" s="1458"/>
      <c r="P30" s="1496"/>
      <c r="Q30" s="1468"/>
      <c r="R30" s="1468"/>
      <c r="S30" s="1468"/>
      <c r="T30" s="1468"/>
      <c r="U30" s="1500" t="s">
        <v>268</v>
      </c>
      <c r="V30" s="1473">
        <f>P103/G22</f>
        <v>66192.842032258064</v>
      </c>
      <c r="W30" s="1498">
        <f>IFERROR(V30/$V$33,0)</f>
        <v>7.7873931802656546E-2</v>
      </c>
      <c r="X30" s="1672">
        <f>ROUND(W30*I$15,2)</f>
        <v>362848.19</v>
      </c>
      <c r="Y30" s="1673">
        <f>X30*M$15</f>
        <v>7437553.3441629997</v>
      </c>
      <c r="Z30" s="1459"/>
      <c r="AA30" s="1459"/>
      <c r="AB30" s="1459"/>
      <c r="AC30" s="1459"/>
      <c r="AD30" s="1459"/>
      <c r="AE30" s="1457"/>
      <c r="AF30" s="1457"/>
    </row>
    <row r="31" spans="2:33" ht="35.1" customHeight="1" thickBot="1" x14ac:dyDescent="0.3">
      <c r="B31" s="1458"/>
      <c r="C31" s="1496">
        <v>800869674</v>
      </c>
      <c r="D31" s="1504">
        <v>1</v>
      </c>
      <c r="E31" s="2150" t="s">
        <v>242</v>
      </c>
      <c r="F31" s="1468" t="s">
        <v>221</v>
      </c>
      <c r="G31" s="1468" t="s">
        <v>222</v>
      </c>
      <c r="H31" s="1468">
        <v>2280</v>
      </c>
      <c r="I31" s="1468">
        <v>453851</v>
      </c>
      <c r="J31" s="1306" t="s">
        <v>159</v>
      </c>
      <c r="K31" s="1473">
        <v>80000</v>
      </c>
      <c r="L31" s="1498">
        <f t="shared" si="0"/>
        <v>9.4117647058823528E-2</v>
      </c>
      <c r="M31" s="1467">
        <f>ROUND(L31*I$15,2)</f>
        <v>438534.66</v>
      </c>
      <c r="N31" s="1499">
        <f t="shared" si="1"/>
        <v>8988951.9002819993</v>
      </c>
      <c r="O31" s="1458"/>
      <c r="P31" s="1496"/>
      <c r="Q31" s="1468"/>
      <c r="R31" s="1468"/>
      <c r="S31" s="1468"/>
      <c r="T31" s="1468"/>
      <c r="U31" s="1500" t="s">
        <v>23</v>
      </c>
      <c r="V31" s="1473">
        <f>W31*K33</f>
        <v>80000</v>
      </c>
      <c r="W31" s="1498">
        <f>L31</f>
        <v>9.4117647058823528E-2</v>
      </c>
      <c r="X31" s="1672">
        <f>ROUND(W31*I$15,2)</f>
        <v>438534.66</v>
      </c>
      <c r="Y31" s="1673">
        <f>X31*M$15</f>
        <v>8988951.9002819993</v>
      </c>
      <c r="Z31" s="1459"/>
      <c r="AA31" s="1459"/>
      <c r="AB31" s="1459"/>
      <c r="AC31" s="1459"/>
      <c r="AD31" s="1459"/>
      <c r="AE31" s="1457"/>
      <c r="AF31" s="1457"/>
    </row>
    <row r="32" spans="2:33" ht="35.1" customHeight="1" thickBot="1" x14ac:dyDescent="0.3">
      <c r="B32" s="1458"/>
      <c r="C32" s="1496">
        <v>800869674</v>
      </c>
      <c r="D32" s="1485">
        <v>2</v>
      </c>
      <c r="E32" s="1485" t="s">
        <v>242</v>
      </c>
      <c r="F32" s="1476" t="s">
        <v>221</v>
      </c>
      <c r="G32" s="1476" t="s">
        <v>222</v>
      </c>
      <c r="H32" s="1476">
        <v>2280</v>
      </c>
      <c r="I32" s="1476">
        <v>453851</v>
      </c>
      <c r="J32" s="1505" t="s">
        <v>159</v>
      </c>
      <c r="K32" s="1484">
        <f>850000-K28-K29-K30-K31</f>
        <v>770000</v>
      </c>
      <c r="L32" s="1506">
        <f t="shared" si="0"/>
        <v>0.90588235294117647</v>
      </c>
      <c r="M32" s="1475">
        <f>ROUND(L32*I$15,2)</f>
        <v>4220896.0599999996</v>
      </c>
      <c r="N32" s="1499">
        <f t="shared" si="1"/>
        <v>86518661.169061989</v>
      </c>
      <c r="O32" s="1458"/>
      <c r="P32" s="1844"/>
      <c r="Q32" s="1845"/>
      <c r="R32" s="1845"/>
      <c r="S32" s="1845"/>
      <c r="T32" s="1845"/>
      <c r="U32" s="1846" t="s">
        <v>159</v>
      </c>
      <c r="V32" s="1847">
        <f>850000-V28-V29-V30-V31</f>
        <v>583807.15796774195</v>
      </c>
      <c r="W32" s="1848">
        <f>IFERROR(V32/$V$33,0)</f>
        <v>0.68683195055028468</v>
      </c>
      <c r="X32" s="1849">
        <f>ROUND(W32*I$15,2)</f>
        <v>3200245.89</v>
      </c>
      <c r="Y32" s="1850">
        <f>X32*M$15</f>
        <v>65597680.179453</v>
      </c>
      <c r="Z32" s="1459"/>
      <c r="AA32" s="1459"/>
      <c r="AB32" s="1459"/>
      <c r="AC32" s="1459"/>
      <c r="AD32" s="1459"/>
      <c r="AE32" s="1457"/>
      <c r="AF32" s="1457"/>
    </row>
    <row r="33" spans="2:32" ht="35.1" customHeight="1" x14ac:dyDescent="0.25">
      <c r="B33" s="1458"/>
      <c r="C33" s="1507">
        <v>3000623</v>
      </c>
      <c r="D33" s="1508" t="s">
        <v>102</v>
      </c>
      <c r="E33" s="1508"/>
      <c r="F33" s="1508"/>
      <c r="G33" s="1508"/>
      <c r="H33" s="1508"/>
      <c r="I33" s="1509"/>
      <c r="J33" s="1509"/>
      <c r="K33" s="1510">
        <f>SUM(K28:K32)</f>
        <v>850000</v>
      </c>
      <c r="L33" s="1511">
        <f>SUM(L28:L32)</f>
        <v>1</v>
      </c>
      <c r="M33" s="1512">
        <f>SUM(M28:M32)</f>
        <v>4659430.72</v>
      </c>
      <c r="N33" s="1512">
        <f>SUM(N28:N32)</f>
        <v>95507613.069343984</v>
      </c>
      <c r="O33" s="1458"/>
      <c r="P33" s="1508"/>
      <c r="Q33" s="1508"/>
      <c r="R33" s="1508"/>
      <c r="S33" s="1508"/>
      <c r="T33" s="1509"/>
      <c r="U33" s="1509"/>
      <c r="V33" s="1510">
        <f>SUM(V28:V32)</f>
        <v>850000</v>
      </c>
      <c r="W33" s="1511">
        <f>SUM(W28:W32)</f>
        <v>1</v>
      </c>
      <c r="X33" s="1676">
        <f>SUM(X28:X32)</f>
        <v>4659430.7300000004</v>
      </c>
      <c r="Y33" s="1676">
        <f>SUM(Y28:Y32)</f>
        <v>95507613.27432099</v>
      </c>
      <c r="Z33" s="1458"/>
      <c r="AA33" s="1459"/>
      <c r="AB33" s="1459"/>
      <c r="AC33" s="1459"/>
      <c r="AD33" s="1459"/>
      <c r="AE33" s="1457"/>
      <c r="AF33" s="1457"/>
    </row>
    <row r="34" spans="2:32" ht="20.100000000000001" customHeight="1" x14ac:dyDescent="0.25">
      <c r="B34" s="1458"/>
      <c r="C34" s="1459"/>
      <c r="D34" s="1459"/>
      <c r="E34" s="1459"/>
      <c r="F34" s="1459"/>
      <c r="G34" s="1513"/>
      <c r="H34" s="1513"/>
      <c r="I34" s="1459"/>
      <c r="J34" s="1459"/>
      <c r="K34" s="1459"/>
      <c r="L34" s="1459"/>
      <c r="M34" s="1514"/>
      <c r="N34" s="1514"/>
      <c r="O34" s="1458"/>
      <c r="P34" s="1459"/>
      <c r="Q34" s="1459"/>
      <c r="R34" s="1513"/>
      <c r="S34" s="1513"/>
      <c r="T34" s="1459"/>
      <c r="U34" s="1459"/>
      <c r="V34" s="1459"/>
      <c r="W34" s="1459"/>
      <c r="X34" s="1515"/>
      <c r="Y34" s="1516">
        <v>0</v>
      </c>
      <c r="Z34" s="1458"/>
      <c r="AA34" s="1459"/>
      <c r="AB34" s="1459"/>
      <c r="AC34" s="1459"/>
      <c r="AD34" s="1459"/>
      <c r="AE34" s="1457"/>
      <c r="AF34" s="1457"/>
    </row>
    <row r="35" spans="2:32" ht="20.100000000000001" customHeight="1" x14ac:dyDescent="0.25">
      <c r="B35" s="1458"/>
      <c r="C35" s="1459"/>
      <c r="D35" s="1459"/>
      <c r="E35" s="1459"/>
      <c r="F35" s="1459"/>
      <c r="G35" s="1513"/>
      <c r="H35" s="1513"/>
      <c r="I35" s="1459"/>
      <c r="J35" s="1459"/>
      <c r="K35" s="1459"/>
      <c r="L35" s="1459"/>
      <c r="M35" s="1514"/>
      <c r="O35" s="1458"/>
      <c r="P35" s="1459"/>
      <c r="Q35" s="1459"/>
      <c r="R35" s="1513"/>
      <c r="S35" s="1513"/>
      <c r="T35" s="1459"/>
      <c r="U35" s="1459"/>
      <c r="V35" s="1459"/>
      <c r="W35" s="1517">
        <f>1-W33</f>
        <v>0</v>
      </c>
      <c r="X35" s="1514"/>
      <c r="Y35" s="1518"/>
      <c r="Z35" s="1458"/>
      <c r="AA35" s="1459"/>
      <c r="AB35" s="1459"/>
      <c r="AC35" s="1459"/>
      <c r="AD35" s="1459"/>
      <c r="AE35" s="1457"/>
      <c r="AF35" s="1457"/>
    </row>
    <row r="36" spans="2:32" x14ac:dyDescent="0.25">
      <c r="O36" s="1458"/>
      <c r="Z36" s="1459"/>
      <c r="AA36" s="1459"/>
      <c r="AB36" s="1459"/>
      <c r="AC36" s="1459"/>
      <c r="AD36" s="1459"/>
    </row>
    <row r="37" spans="2:32" ht="20.100000000000001" customHeight="1" thickBot="1" x14ac:dyDescent="0.3">
      <c r="B37" s="1458"/>
      <c r="C37" s="1491" t="s">
        <v>274</v>
      </c>
      <c r="D37" s="1491"/>
      <c r="E37" s="1491"/>
      <c r="F37" s="1491"/>
      <c r="G37" s="1491"/>
      <c r="H37" s="1492"/>
      <c r="I37" s="1491"/>
      <c r="J37" s="1491"/>
      <c r="K37" s="1491"/>
      <c r="L37" s="1492"/>
      <c r="M37" s="1459"/>
      <c r="N37" s="1493"/>
      <c r="O37" s="1458"/>
      <c r="P37" s="1491"/>
      <c r="Q37" s="1491"/>
      <c r="R37" s="1491"/>
      <c r="S37" s="1492"/>
      <c r="T37" s="1491"/>
      <c r="U37" s="1491"/>
      <c r="V37" s="1491"/>
      <c r="W37" s="1459"/>
      <c r="X37" s="1459"/>
      <c r="Y37" s="1519"/>
      <c r="Z37" s="1494"/>
      <c r="AA37" s="1459"/>
      <c r="AB37" s="1459"/>
      <c r="AC37" s="1459"/>
      <c r="AD37" s="1459"/>
      <c r="AE37" s="1457"/>
      <c r="AF37" s="1457"/>
    </row>
    <row r="38" spans="2:32" ht="35.1" customHeight="1" thickBot="1" x14ac:dyDescent="0.3">
      <c r="B38" s="1458"/>
      <c r="C38" s="1481" t="s">
        <v>87</v>
      </c>
      <c r="D38" s="1520" t="s">
        <v>88</v>
      </c>
      <c r="E38" s="1520" t="s">
        <v>237</v>
      </c>
      <c r="F38" s="1521" t="s">
        <v>160</v>
      </c>
      <c r="G38" s="1520" t="s">
        <v>236</v>
      </c>
      <c r="H38" s="1521" t="s">
        <v>232</v>
      </c>
      <c r="I38" s="1521" t="s">
        <v>233</v>
      </c>
      <c r="J38" s="1521" t="s">
        <v>20</v>
      </c>
      <c r="K38" s="1464" t="s">
        <v>91</v>
      </c>
      <c r="L38" s="1520" t="s">
        <v>93</v>
      </c>
      <c r="M38" s="1520" t="s">
        <v>94</v>
      </c>
      <c r="N38" s="1522" t="s">
        <v>95</v>
      </c>
      <c r="O38" s="1458"/>
      <c r="P38" s="1663" t="s">
        <v>237</v>
      </c>
      <c r="Q38" s="1521" t="s">
        <v>160</v>
      </c>
      <c r="R38" s="1520" t="s">
        <v>236</v>
      </c>
      <c r="S38" s="1521" t="s">
        <v>232</v>
      </c>
      <c r="T38" s="1521" t="s">
        <v>233</v>
      </c>
      <c r="U38" s="1521" t="s">
        <v>20</v>
      </c>
      <c r="V38" s="1464" t="s">
        <v>91</v>
      </c>
      <c r="W38" s="1520" t="s">
        <v>93</v>
      </c>
      <c r="X38" s="1520" t="s">
        <v>94</v>
      </c>
      <c r="Y38" s="1522" t="s">
        <v>95</v>
      </c>
      <c r="Z38" s="1494"/>
      <c r="AA38" s="1459"/>
      <c r="AB38" s="1459"/>
      <c r="AC38" s="1459"/>
      <c r="AD38" s="1459"/>
      <c r="AE38" s="1457"/>
      <c r="AF38" s="1457"/>
    </row>
    <row r="39" spans="2:32" ht="35.1" customHeight="1" thickBot="1" x14ac:dyDescent="0.3">
      <c r="B39" s="1458"/>
      <c r="C39" s="1826"/>
      <c r="D39" s="1820"/>
      <c r="E39" s="1820"/>
      <c r="F39" s="1819"/>
      <c r="G39" s="1819"/>
      <c r="H39" s="1819"/>
      <c r="I39" s="1821"/>
      <c r="J39" s="1500"/>
      <c r="K39" s="1473"/>
      <c r="L39" s="1533">
        <f>IFERROR(K39/K$44,0)</f>
        <v>0</v>
      </c>
      <c r="M39" s="1469">
        <f>ROUND(L39*I$16,2)</f>
        <v>0</v>
      </c>
      <c r="N39" s="1501">
        <f>M39*$M$16</f>
        <v>0</v>
      </c>
      <c r="O39" s="1458"/>
      <c r="P39" s="1496"/>
      <c r="Q39" s="1468"/>
      <c r="R39" s="1468">
        <v>20823</v>
      </c>
      <c r="S39" s="1468"/>
      <c r="T39" s="1468"/>
      <c r="U39" s="1497" t="s">
        <v>97</v>
      </c>
      <c r="V39" s="1473">
        <v>80000</v>
      </c>
      <c r="W39" s="1498">
        <f>IFERROR(V39/$V$44,0)</f>
        <v>0.66666666666666663</v>
      </c>
      <c r="X39" s="1672">
        <f>ROUND(W39*I$16,2)</f>
        <v>298035.65999999997</v>
      </c>
      <c r="Y39" s="1673">
        <f>X39*M$15</f>
        <v>6109045.5479819989</v>
      </c>
      <c r="Z39" s="1494"/>
      <c r="AA39" s="1459"/>
      <c r="AB39" s="1459"/>
      <c r="AC39" s="1459"/>
      <c r="AD39" s="1459"/>
      <c r="AE39" s="1457"/>
      <c r="AF39" s="1457"/>
    </row>
    <row r="40" spans="2:32" ht="35.1" customHeight="1" thickBot="1" x14ac:dyDescent="0.3">
      <c r="B40" s="1458"/>
      <c r="C40" s="1827"/>
      <c r="D40" s="1823"/>
      <c r="E40" s="1823"/>
      <c r="F40" s="1822"/>
      <c r="G40" s="1822"/>
      <c r="H40" s="1822"/>
      <c r="I40" s="1824"/>
      <c r="J40" s="1500"/>
      <c r="K40" s="1473"/>
      <c r="L40" s="1533">
        <f>IFERROR(K40/K$44,0)</f>
        <v>0</v>
      </c>
      <c r="M40" s="1469">
        <f>ROUND(L40*I$16,2)</f>
        <v>0</v>
      </c>
      <c r="N40" s="1501">
        <f t="shared" ref="N40:N43" si="2">M40*$M$16</f>
        <v>0</v>
      </c>
      <c r="O40" s="1458"/>
      <c r="P40" s="1496"/>
      <c r="Q40" s="1468"/>
      <c r="R40" s="1468">
        <v>20824</v>
      </c>
      <c r="S40" s="1468"/>
      <c r="T40" s="1468"/>
      <c r="U40" s="1497" t="s">
        <v>100</v>
      </c>
      <c r="V40" s="1473">
        <v>40000</v>
      </c>
      <c r="W40" s="1498">
        <f>IFERROR(V40/$V$44,0)</f>
        <v>0.33333333333333331</v>
      </c>
      <c r="X40" s="1672">
        <f>ROUND(W40*I$16,2)</f>
        <v>149017.82999999999</v>
      </c>
      <c r="Y40" s="1673">
        <f>X40*M$15</f>
        <v>3054522.7739909994</v>
      </c>
      <c r="Z40" s="1494"/>
      <c r="AA40" s="1459"/>
      <c r="AB40" s="1459"/>
      <c r="AC40" s="1459"/>
      <c r="AD40" s="1459"/>
      <c r="AE40" s="1457"/>
      <c r="AF40" s="1457"/>
    </row>
    <row r="41" spans="2:32" ht="35.1" customHeight="1" thickBot="1" x14ac:dyDescent="0.3">
      <c r="B41" s="1458"/>
      <c r="C41" s="1828"/>
      <c r="D41" s="1823"/>
      <c r="E41" s="1823"/>
      <c r="F41" s="1823"/>
      <c r="G41" s="1823"/>
      <c r="H41" s="1823"/>
      <c r="I41" s="1825"/>
      <c r="J41" s="1306"/>
      <c r="K41" s="1473"/>
      <c r="L41" s="1533">
        <f t="shared" ref="L41:L43" si="3">IFERROR(K41/K$55,0)</f>
        <v>0</v>
      </c>
      <c r="M41" s="1469">
        <f>ROUND(L41*I$16,2)</f>
        <v>0</v>
      </c>
      <c r="N41" s="1501">
        <f t="shared" si="2"/>
        <v>0</v>
      </c>
      <c r="O41" s="1458"/>
      <c r="P41" s="1496"/>
      <c r="Q41" s="1468"/>
      <c r="R41" s="1468"/>
      <c r="S41" s="1468"/>
      <c r="T41" s="1468"/>
      <c r="U41" s="1497" t="s">
        <v>268</v>
      </c>
      <c r="V41" s="1503"/>
      <c r="W41" s="1498">
        <f>IFERROR(V41/V$44,0)</f>
        <v>0</v>
      </c>
      <c r="X41" s="1672">
        <f>ROUND(W41*I$16,2)</f>
        <v>0</v>
      </c>
      <c r="Y41" s="1673">
        <f>X41*$M$16</f>
        <v>0</v>
      </c>
      <c r="Z41" s="1494"/>
      <c r="AA41" s="1459"/>
      <c r="AB41" s="1459"/>
      <c r="AC41" s="1459"/>
      <c r="AD41" s="1459"/>
      <c r="AE41" s="1457"/>
      <c r="AF41" s="1457"/>
    </row>
    <row r="42" spans="2:32" ht="35.1" customHeight="1" thickBot="1" x14ac:dyDescent="0.3">
      <c r="B42" s="1458"/>
      <c r="C42" s="1828"/>
      <c r="D42" s="1822"/>
      <c r="E42" s="1822"/>
      <c r="F42" s="1823"/>
      <c r="G42" s="1823"/>
      <c r="H42" s="1823"/>
      <c r="I42" s="1825"/>
      <c r="J42" s="1500"/>
      <c r="K42" s="1473"/>
      <c r="L42" s="1533">
        <f t="shared" si="3"/>
        <v>0</v>
      </c>
      <c r="M42" s="1469">
        <f>ROUND(L42*I$16,2)</f>
        <v>0</v>
      </c>
      <c r="N42" s="1501">
        <f t="shared" si="2"/>
        <v>0</v>
      </c>
      <c r="O42" s="1458"/>
      <c r="P42" s="1664"/>
      <c r="Q42" s="1468"/>
      <c r="R42" s="1468"/>
      <c r="S42" s="1468"/>
      <c r="T42" s="1468"/>
      <c r="U42" s="1497" t="s">
        <v>23</v>
      </c>
      <c r="V42" s="1473"/>
      <c r="W42" s="1498">
        <f t="shared" ref="W42:W43" si="4">IFERROR(V42/V$44,0)</f>
        <v>0</v>
      </c>
      <c r="X42" s="1672">
        <f>ROUND(W42*I$16,2)</f>
        <v>0</v>
      </c>
      <c r="Y42" s="1673">
        <f>X42*$M$16</f>
        <v>0</v>
      </c>
      <c r="Z42" s="1494"/>
      <c r="AA42" s="1459"/>
      <c r="AB42" s="1459"/>
      <c r="AC42" s="1459"/>
      <c r="AD42" s="1459"/>
      <c r="AE42" s="1457"/>
      <c r="AF42" s="1457"/>
    </row>
    <row r="43" spans="2:32" ht="35.1" customHeight="1" thickBot="1" x14ac:dyDescent="0.3">
      <c r="B43" s="1458"/>
      <c r="C43" s="1816">
        <v>800869676</v>
      </c>
      <c r="D43" s="1817">
        <v>1</v>
      </c>
      <c r="E43" s="1817" t="s">
        <v>242</v>
      </c>
      <c r="F43" s="1818" t="s">
        <v>221</v>
      </c>
      <c r="G43" s="1818" t="s">
        <v>222</v>
      </c>
      <c r="H43" s="1818">
        <v>2280</v>
      </c>
      <c r="I43" s="1818">
        <v>453851</v>
      </c>
      <c r="J43" s="1523" t="s">
        <v>159</v>
      </c>
      <c r="K43" s="1815">
        <v>120000</v>
      </c>
      <c r="L43" s="1536">
        <f t="shared" si="3"/>
        <v>1.5761333782909781E-2</v>
      </c>
      <c r="M43" s="1477">
        <f>ROUND(L43*I$16,2)</f>
        <v>7046.16</v>
      </c>
      <c r="N43" s="1814">
        <f t="shared" si="2"/>
        <v>144430.07383199999</v>
      </c>
      <c r="O43" s="1651"/>
      <c r="P43" s="1482"/>
      <c r="Q43" s="1476"/>
      <c r="R43" s="1476"/>
      <c r="S43" s="1476"/>
      <c r="T43" s="1476"/>
      <c r="U43" s="1505" t="s">
        <v>159</v>
      </c>
      <c r="V43" s="1484"/>
      <c r="W43" s="1506">
        <f t="shared" si="4"/>
        <v>0</v>
      </c>
      <c r="X43" s="1674">
        <f>ROUND(W43*I$16,2)</f>
        <v>0</v>
      </c>
      <c r="Y43" s="1675">
        <f>X43*$M$16</f>
        <v>0</v>
      </c>
      <c r="Z43" s="1494"/>
      <c r="AA43" s="1459"/>
      <c r="AB43" s="1459"/>
      <c r="AC43" s="1459"/>
      <c r="AD43" s="1459"/>
      <c r="AE43" s="1457"/>
      <c r="AF43" s="1457"/>
    </row>
    <row r="44" spans="2:32" ht="20.100000000000001" customHeight="1" x14ac:dyDescent="0.25">
      <c r="B44" s="1458"/>
      <c r="C44" s="1507">
        <v>3000623</v>
      </c>
      <c r="D44" s="1508" t="s">
        <v>102</v>
      </c>
      <c r="E44" s="1508"/>
      <c r="F44" s="1508"/>
      <c r="G44" s="1508"/>
      <c r="H44" s="1508"/>
      <c r="I44" s="1509"/>
      <c r="J44" s="1509"/>
      <c r="K44" s="1510">
        <f>SUM(K39:K43)</f>
        <v>120000</v>
      </c>
      <c r="L44" s="1511">
        <f>SUM(L39:L43)</f>
        <v>1.5761333782909781E-2</v>
      </c>
      <c r="M44" s="1512">
        <f>SUM(M39:M43)</f>
        <v>7046.16</v>
      </c>
      <c r="N44" s="1512">
        <f>SUM(N39:N43)</f>
        <v>144430.07383199999</v>
      </c>
      <c r="O44" s="1458"/>
      <c r="P44" s="1508"/>
      <c r="Q44" s="1508"/>
      <c r="R44" s="1508"/>
      <c r="S44" s="1508"/>
      <c r="T44" s="1509"/>
      <c r="U44" s="1509"/>
      <c r="V44" s="1510">
        <f>SUM(V39:V43)</f>
        <v>120000</v>
      </c>
      <c r="W44" s="1511">
        <f>SUM(W39:W43)</f>
        <v>1</v>
      </c>
      <c r="X44" s="1676">
        <f>SUM(X39:X43)</f>
        <v>447053.49</v>
      </c>
      <c r="Y44" s="1676">
        <f>SUM(Y39:Y43)</f>
        <v>9163568.3219729979</v>
      </c>
      <c r="Z44" s="1494"/>
      <c r="AA44" s="1459"/>
      <c r="AB44" s="1459"/>
      <c r="AC44" s="1459"/>
      <c r="AD44" s="1459"/>
      <c r="AE44" s="1457"/>
      <c r="AF44" s="1457"/>
    </row>
    <row r="45" spans="2:32" ht="20.100000000000001" customHeight="1" x14ac:dyDescent="0.25">
      <c r="B45" s="1458"/>
      <c r="C45" s="1524"/>
      <c r="D45" s="1491"/>
      <c r="E45" s="1491"/>
      <c r="F45" s="1491"/>
      <c r="G45" s="1491"/>
      <c r="H45" s="1492"/>
      <c r="I45" s="1491"/>
      <c r="J45" s="1491"/>
      <c r="K45" s="1491"/>
      <c r="L45" s="1459"/>
      <c r="M45" s="1518"/>
      <c r="N45" s="1518"/>
      <c r="O45" s="1458"/>
      <c r="P45" s="1491"/>
      <c r="Q45" s="1491"/>
      <c r="R45" s="1491"/>
      <c r="S45" s="1492"/>
      <c r="T45" s="1491"/>
      <c r="U45" s="1491"/>
      <c r="V45" s="1491"/>
      <c r="W45" s="1459"/>
      <c r="X45" s="1459"/>
      <c r="Y45" s="1518"/>
      <c r="Z45" s="1494"/>
      <c r="AA45" s="1459"/>
      <c r="AB45" s="1459"/>
      <c r="AC45" s="1459"/>
      <c r="AD45" s="1459"/>
      <c r="AE45" s="1457"/>
      <c r="AF45" s="1457"/>
    </row>
    <row r="46" spans="2:32" ht="20.100000000000001" customHeight="1" x14ac:dyDescent="0.25">
      <c r="B46" s="1458"/>
      <c r="C46" s="1524"/>
      <c r="D46" s="1491"/>
      <c r="E46" s="1491"/>
      <c r="F46" s="1491"/>
      <c r="G46" s="1491"/>
      <c r="H46" s="1492"/>
      <c r="I46" s="1491"/>
      <c r="J46" s="1491"/>
      <c r="K46" s="1491"/>
      <c r="L46" s="1459"/>
      <c r="M46" s="1459"/>
      <c r="N46" s="1460"/>
      <c r="O46" s="1458"/>
      <c r="P46" s="1491"/>
      <c r="Q46" s="1491"/>
      <c r="R46" s="1491"/>
      <c r="S46" s="1492"/>
      <c r="T46" s="1491"/>
      <c r="U46" s="1491"/>
      <c r="V46" s="1491"/>
      <c r="W46" s="1459"/>
      <c r="X46" s="1459"/>
      <c r="Y46" s="1518"/>
      <c r="Z46" s="1494"/>
      <c r="AA46" s="1459"/>
      <c r="AB46" s="1459"/>
      <c r="AC46" s="1459"/>
      <c r="AD46" s="1459"/>
      <c r="AE46" s="1457"/>
      <c r="AF46" s="1457"/>
    </row>
    <row r="47" spans="2:32" ht="20.100000000000001" customHeight="1" x14ac:dyDescent="0.25">
      <c r="B47" s="1458"/>
      <c r="C47" s="1524"/>
      <c r="D47" s="1491"/>
      <c r="E47" s="1491"/>
      <c r="F47" s="1491"/>
      <c r="G47" s="1491"/>
      <c r="H47" s="1492"/>
      <c r="I47" s="1491"/>
      <c r="J47" s="1491"/>
      <c r="K47" s="1491"/>
      <c r="L47" s="1459"/>
      <c r="M47" s="1459"/>
      <c r="N47" s="1460"/>
      <c r="O47" s="1458"/>
      <c r="P47" s="1491"/>
      <c r="Q47" s="1491"/>
      <c r="R47" s="1491"/>
      <c r="S47" s="1492"/>
      <c r="T47" s="1491"/>
      <c r="U47" s="1491"/>
      <c r="V47" s="1491"/>
      <c r="W47" s="1459"/>
      <c r="X47" s="1459"/>
      <c r="Y47" s="1518"/>
      <c r="Z47" s="1494"/>
      <c r="AA47" s="1459"/>
      <c r="AB47" s="1459"/>
      <c r="AC47" s="1459"/>
      <c r="AD47" s="1459"/>
      <c r="AE47" s="1457"/>
      <c r="AF47" s="1457"/>
    </row>
    <row r="48" spans="2:32" ht="35.1" customHeight="1" thickBot="1" x14ac:dyDescent="0.3">
      <c r="B48" s="1458"/>
      <c r="C48" s="1524" t="s">
        <v>103</v>
      </c>
      <c r="D48" s="1491"/>
      <c r="E48" s="1491"/>
      <c r="F48" s="1491"/>
      <c r="G48" s="1491"/>
      <c r="H48" s="1492"/>
      <c r="I48" s="1491"/>
      <c r="J48" s="1491"/>
      <c r="K48" s="1491"/>
      <c r="L48" s="1459"/>
      <c r="M48" s="1459"/>
      <c r="N48" s="1460"/>
      <c r="O48" s="1458"/>
      <c r="P48" s="1491"/>
      <c r="Q48" s="1491"/>
      <c r="R48" s="1491"/>
      <c r="S48" s="1492"/>
      <c r="T48" s="1491"/>
      <c r="U48" s="1491"/>
      <c r="V48" s="1491"/>
      <c r="W48" s="1459"/>
      <c r="X48" s="1459"/>
      <c r="Y48" s="1518"/>
      <c r="Z48" s="1494"/>
      <c r="AA48" s="1459"/>
      <c r="AB48" s="1459"/>
      <c r="AC48" s="1459"/>
      <c r="AD48" s="1459"/>
      <c r="AE48" s="1457"/>
      <c r="AF48" s="1457"/>
    </row>
    <row r="49" spans="2:32" ht="35.1" customHeight="1" thickBot="1" x14ac:dyDescent="0.3">
      <c r="B49" s="1458"/>
      <c r="C49" s="1525" t="s">
        <v>87</v>
      </c>
      <c r="D49" s="1526" t="s">
        <v>88</v>
      </c>
      <c r="E49" s="1526" t="s">
        <v>237</v>
      </c>
      <c r="F49" s="1527" t="s">
        <v>160</v>
      </c>
      <c r="G49" s="1526" t="s">
        <v>90</v>
      </c>
      <c r="H49" s="1527" t="s">
        <v>232</v>
      </c>
      <c r="I49" s="1527" t="s">
        <v>233</v>
      </c>
      <c r="J49" s="1527" t="s">
        <v>20</v>
      </c>
      <c r="K49" s="1526" t="s">
        <v>234</v>
      </c>
      <c r="L49" s="1526" t="s">
        <v>93</v>
      </c>
      <c r="M49" s="1526" t="s">
        <v>94</v>
      </c>
      <c r="N49" s="1528" t="s">
        <v>95</v>
      </c>
      <c r="O49" s="1458"/>
      <c r="P49" s="1481" t="s">
        <v>237</v>
      </c>
      <c r="Q49" s="1465" t="s">
        <v>160</v>
      </c>
      <c r="R49" s="1464" t="s">
        <v>90</v>
      </c>
      <c r="S49" s="1465" t="s">
        <v>232</v>
      </c>
      <c r="T49" s="1465" t="s">
        <v>233</v>
      </c>
      <c r="U49" s="1465" t="s">
        <v>20</v>
      </c>
      <c r="V49" s="1464" t="s">
        <v>234</v>
      </c>
      <c r="W49" s="1464" t="s">
        <v>93</v>
      </c>
      <c r="X49" s="1464" t="s">
        <v>94</v>
      </c>
      <c r="Y49" s="1466" t="s">
        <v>95</v>
      </c>
      <c r="Z49" s="1493"/>
      <c r="AA49" s="1459"/>
      <c r="AB49" s="1459"/>
      <c r="AC49" s="1459"/>
      <c r="AD49" s="1459"/>
      <c r="AE49" s="1457"/>
      <c r="AF49" s="1457"/>
    </row>
    <row r="50" spans="2:32" ht="35.1" customHeight="1" thickBot="1" x14ac:dyDescent="0.3">
      <c r="B50" s="1458"/>
      <c r="C50" s="1529"/>
      <c r="D50" s="1842"/>
      <c r="E50" s="1842"/>
      <c r="F50" s="1531"/>
      <c r="G50" s="1531"/>
      <c r="H50" s="1531"/>
      <c r="I50" s="1531"/>
      <c r="J50" s="1835"/>
      <c r="K50" s="1532">
        <v>0</v>
      </c>
      <c r="L50" s="1533">
        <f>IFERROR(K50/K$55,0)</f>
        <v>0</v>
      </c>
      <c r="M50" s="1534">
        <f>L50*$I$17</f>
        <v>0</v>
      </c>
      <c r="N50" s="1535">
        <f>M50*$M$17</f>
        <v>0</v>
      </c>
      <c r="O50" s="1458"/>
      <c r="P50" s="1496"/>
      <c r="Q50" s="1468"/>
      <c r="R50" s="1468"/>
      <c r="S50" s="1468"/>
      <c r="T50" s="1468"/>
      <c r="U50" s="1497" t="s">
        <v>378</v>
      </c>
      <c r="V50" s="1473">
        <f>E22-V51-V52-V53-V54</f>
        <v>23869071.145178996</v>
      </c>
      <c r="W50" s="1498"/>
      <c r="X50" s="1467">
        <f>W50*$I$17</f>
        <v>0</v>
      </c>
      <c r="Y50" s="1499">
        <f>X50*$M$17</f>
        <v>0</v>
      </c>
      <c r="Z50" s="1459"/>
      <c r="AA50" s="1459"/>
      <c r="AB50" s="1459"/>
      <c r="AC50" s="1459"/>
      <c r="AD50" s="1459"/>
      <c r="AE50" s="1457"/>
      <c r="AF50" s="1457"/>
    </row>
    <row r="51" spans="2:32" ht="35.1" customHeight="1" thickBot="1" x14ac:dyDescent="0.3">
      <c r="B51" s="1458"/>
      <c r="C51" s="1529"/>
      <c r="D51" s="1842"/>
      <c r="E51" s="1842"/>
      <c r="F51" s="1531"/>
      <c r="G51" s="1531"/>
      <c r="H51" s="1531"/>
      <c r="I51" s="1531"/>
      <c r="J51" s="1835"/>
      <c r="K51" s="1532">
        <v>0</v>
      </c>
      <c r="L51" s="1533">
        <f>IFERROR(K51/K$55,0)</f>
        <v>0</v>
      </c>
      <c r="M51" s="1534">
        <f>L51*$I$17</f>
        <v>0</v>
      </c>
      <c r="N51" s="1535">
        <f>M51*$M$17</f>
        <v>0</v>
      </c>
      <c r="O51" s="1458"/>
      <c r="P51" s="1496"/>
      <c r="Q51" s="1468"/>
      <c r="R51" s="1468">
        <v>20823</v>
      </c>
      <c r="S51" s="1468"/>
      <c r="T51" s="1468"/>
      <c r="U51" s="1497" t="s">
        <v>261</v>
      </c>
      <c r="V51" s="1473">
        <f>$O$103*$S$104</f>
        <v>2210041.275346667</v>
      </c>
      <c r="W51" s="1498">
        <f>IFERROR(V51/V$55,0)</f>
        <v>0.2902766517895537</v>
      </c>
      <c r="X51" s="1467">
        <f>W51*$I$17</f>
        <v>2229.7949339196716</v>
      </c>
      <c r="Y51" s="1499">
        <f>X51*$M$17</f>
        <v>45705.667617005252</v>
      </c>
      <c r="Z51" s="1459"/>
      <c r="AA51" s="1459"/>
      <c r="AB51" s="1459"/>
      <c r="AC51" s="1459"/>
      <c r="AD51" s="1459"/>
      <c r="AE51" s="1457"/>
      <c r="AF51" s="1457"/>
    </row>
    <row r="52" spans="2:32" ht="35.1" customHeight="1" thickBot="1" x14ac:dyDescent="0.3">
      <c r="B52" s="1458"/>
      <c r="C52" s="1529"/>
      <c r="D52" s="1842"/>
      <c r="E52" s="1842"/>
      <c r="F52" s="1531"/>
      <c r="G52" s="1531"/>
      <c r="H52" s="1531"/>
      <c r="I52" s="1531"/>
      <c r="J52" s="1835"/>
      <c r="K52" s="1532">
        <v>0</v>
      </c>
      <c r="L52" s="1533">
        <f>IFERROR(K52/K$55,0)</f>
        <v>0</v>
      </c>
      <c r="M52" s="1534">
        <f>L52*$I$17</f>
        <v>0</v>
      </c>
      <c r="N52" s="1535">
        <f t="shared" ref="N52:N54" si="5">M52*$M$17</f>
        <v>0</v>
      </c>
      <c r="O52" s="1458"/>
      <c r="P52" s="1496"/>
      <c r="Q52" s="1468"/>
      <c r="R52" s="1468">
        <v>20824</v>
      </c>
      <c r="S52" s="1468"/>
      <c r="T52" s="1468"/>
      <c r="U52" s="1497" t="s">
        <v>262</v>
      </c>
      <c r="V52" s="1473">
        <f>$O$103*$T$104</f>
        <v>1131035.114653334</v>
      </c>
      <c r="W52" s="1498">
        <f>IFERROR(V52/V$55,0)</f>
        <v>0.14855518301869028</v>
      </c>
      <c r="X52" s="1467">
        <f>W52*$I$17</f>
        <v>1141.1444649800317</v>
      </c>
      <c r="Y52" s="1499">
        <f t="shared" ref="Y52:Y54" si="6">X52*$M$17</f>
        <v>23390.836899821192</v>
      </c>
      <c r="Z52" s="1459"/>
      <c r="AA52" s="1459"/>
      <c r="AB52" s="1459"/>
      <c r="AC52" s="1459"/>
      <c r="AD52" s="1459"/>
      <c r="AE52" s="1457"/>
      <c r="AF52" s="1457"/>
    </row>
    <row r="53" spans="2:32" ht="35.1" customHeight="1" thickBot="1" x14ac:dyDescent="0.3">
      <c r="B53" s="1458"/>
      <c r="C53" s="1529">
        <v>800869678</v>
      </c>
      <c r="D53" s="1530">
        <v>2</v>
      </c>
      <c r="E53" s="2145" t="s">
        <v>242</v>
      </c>
      <c r="F53" s="1531" t="s">
        <v>221</v>
      </c>
      <c r="G53" s="1531" t="s">
        <v>222</v>
      </c>
      <c r="H53" s="1531">
        <v>2281</v>
      </c>
      <c r="I53" s="1531">
        <v>453659</v>
      </c>
      <c r="J53" s="1835" t="s">
        <v>97</v>
      </c>
      <c r="K53" s="1532">
        <f>P103</f>
        <v>2051978.1030000001</v>
      </c>
      <c r="L53" s="1533">
        <f>IFERROR(K53/K$55,0)</f>
        <v>0.26951593163837523</v>
      </c>
      <c r="M53" s="1534">
        <f>L53*$I$17</f>
        <v>2070.318970791976</v>
      </c>
      <c r="N53" s="1535">
        <f t="shared" si="5"/>
        <v>42436.777167602682</v>
      </c>
      <c r="O53" s="1458"/>
      <c r="P53" s="1496"/>
      <c r="Q53" s="1468"/>
      <c r="R53" s="1468">
        <v>22228</v>
      </c>
      <c r="S53" s="1468"/>
      <c r="T53" s="1468"/>
      <c r="U53" s="1650" t="s">
        <v>290</v>
      </c>
      <c r="V53" s="1473">
        <f>$P$103</f>
        <v>2051978.1030000001</v>
      </c>
      <c r="W53" s="1498">
        <f>IFERROR(V53/V$55,0)</f>
        <v>0.26951593163837523</v>
      </c>
      <c r="X53" s="1467">
        <f>W53*$I$17</f>
        <v>2070.318970791976</v>
      </c>
      <c r="Y53" s="1499">
        <f t="shared" si="6"/>
        <v>42436.777167602682</v>
      </c>
      <c r="Z53" s="1459"/>
      <c r="AA53" s="1459"/>
      <c r="AB53" s="1459"/>
      <c r="AC53" s="1459"/>
      <c r="AD53" s="1459"/>
      <c r="AE53" s="1457"/>
      <c r="AF53" s="1457"/>
    </row>
    <row r="54" spans="2:32" ht="35.1" customHeight="1" thickBot="1" x14ac:dyDescent="0.3">
      <c r="B54" s="1458"/>
      <c r="C54" s="1829">
        <v>800869678</v>
      </c>
      <c r="D54" s="1830">
        <v>1</v>
      </c>
      <c r="E54" s="2147" t="s">
        <v>242</v>
      </c>
      <c r="F54" s="2146" t="s">
        <v>221</v>
      </c>
      <c r="G54" s="1831" t="s">
        <v>222</v>
      </c>
      <c r="H54" s="1831">
        <v>2281</v>
      </c>
      <c r="I54" s="1831">
        <v>453659</v>
      </c>
      <c r="J54" s="1523" t="s">
        <v>23</v>
      </c>
      <c r="K54" s="1832">
        <f>$N$103+($O$103*$S$104)+($O$103*$T$104)</f>
        <v>5561590.751821002</v>
      </c>
      <c r="L54" s="1833">
        <f>IFERROR(K54/K$55,0)</f>
        <v>0.73048406836162472</v>
      </c>
      <c r="M54" s="1834">
        <f>L54*$I$17</f>
        <v>5611.3010292080244</v>
      </c>
      <c r="N54" s="1813">
        <f t="shared" si="5"/>
        <v>115018.76510639732</v>
      </c>
      <c r="O54" s="1458"/>
      <c r="P54" s="1482"/>
      <c r="Q54" s="1476"/>
      <c r="R54" s="1476" t="s">
        <v>222</v>
      </c>
      <c r="S54" s="1476"/>
      <c r="T54" s="1476"/>
      <c r="U54" s="1505" t="s">
        <v>260</v>
      </c>
      <c r="V54" s="1484">
        <f>$N$103</f>
        <v>2220514.3618210014</v>
      </c>
      <c r="W54" s="1506">
        <f>IFERROR(V54/V$55,0)</f>
        <v>0.29165223355338088</v>
      </c>
      <c r="X54" s="1475">
        <f>W54*$I$17</f>
        <v>2240.3616303083218</v>
      </c>
      <c r="Y54" s="1841">
        <f t="shared" si="6"/>
        <v>45922.260589570884</v>
      </c>
      <c r="Z54" s="1459"/>
      <c r="AA54" s="1459"/>
      <c r="AB54" s="1459"/>
      <c r="AC54" s="1459"/>
      <c r="AD54" s="1459"/>
      <c r="AE54" s="1457"/>
      <c r="AF54" s="1457"/>
    </row>
    <row r="55" spans="2:32" x14ac:dyDescent="0.25">
      <c r="B55" s="1458"/>
      <c r="C55" s="1537"/>
      <c r="D55" s="1537"/>
      <c r="E55" s="1537"/>
      <c r="F55" s="1538"/>
      <c r="G55" s="1538"/>
      <c r="H55" s="1538"/>
      <c r="I55" s="1538"/>
      <c r="J55" s="1538"/>
      <c r="K55" s="1510">
        <f>SUM(K50:K54)</f>
        <v>7613568.8548210021</v>
      </c>
      <c r="L55" s="1539">
        <f>SUM(L51:L54)</f>
        <v>1</v>
      </c>
      <c r="M55" s="1540">
        <f>SUM(M51:M54)</f>
        <v>7681.6200000000008</v>
      </c>
      <c r="N55" s="1540">
        <f>SUM(N51:N54)</f>
        <v>157455.54227400001</v>
      </c>
      <c r="O55" s="1459"/>
      <c r="P55" s="1459"/>
      <c r="Q55" s="1458"/>
      <c r="R55" s="1458"/>
      <c r="S55" s="1458"/>
      <c r="T55" s="1458"/>
      <c r="U55" s="1458"/>
      <c r="V55" s="1510">
        <f>SUM(V51:V54)</f>
        <v>7613568.8548210021</v>
      </c>
      <c r="W55" s="1511">
        <v>1</v>
      </c>
      <c r="X55" s="1512">
        <f>SUM(X51:X54)</f>
        <v>7681.6200000000008</v>
      </c>
      <c r="Y55" s="1540">
        <f>SUM(Y51:Y54)</f>
        <v>157455.54227400001</v>
      </c>
      <c r="Z55" s="1459"/>
      <c r="AA55" s="1459"/>
      <c r="AB55" s="1459"/>
      <c r="AC55" s="1459"/>
      <c r="AD55" s="1459"/>
      <c r="AE55" s="1457"/>
      <c r="AF55" s="1457"/>
    </row>
    <row r="56" spans="2:32" s="1543" customFormat="1" x14ac:dyDescent="0.25">
      <c r="B56" s="1541"/>
      <c r="C56" s="1538"/>
      <c r="D56" s="1538"/>
      <c r="E56" s="1538"/>
      <c r="F56" s="1538"/>
      <c r="G56" s="1538"/>
      <c r="H56" s="1538"/>
      <c r="I56" s="1538"/>
      <c r="J56" s="1538"/>
      <c r="K56" s="1538"/>
      <c r="L56" s="1538"/>
      <c r="M56" s="1542"/>
      <c r="N56" s="1542"/>
      <c r="O56" s="1459"/>
      <c r="P56" s="1459"/>
      <c r="Q56" s="1541"/>
      <c r="R56" s="1541"/>
      <c r="S56" s="1541"/>
      <c r="T56" s="1541"/>
      <c r="U56" s="1541"/>
      <c r="V56" s="1541"/>
      <c r="W56" s="1541"/>
      <c r="X56" s="1459"/>
      <c r="Y56" s="1459"/>
      <c r="Z56" s="1459"/>
      <c r="AA56" s="1459"/>
      <c r="AB56" s="1459"/>
      <c r="AC56" s="1459"/>
      <c r="AD56" s="1459"/>
    </row>
    <row r="57" spans="2:32" s="1543" customFormat="1" ht="15.75" thickBot="1" x14ac:dyDescent="0.3">
      <c r="B57" s="1541"/>
      <c r="C57" s="1538"/>
      <c r="D57" s="1538"/>
      <c r="E57" s="1538"/>
      <c r="F57" s="1538"/>
      <c r="G57" s="1538"/>
      <c r="H57" s="1538"/>
      <c r="I57" s="1538"/>
      <c r="J57" s="1538"/>
      <c r="K57" s="1538"/>
      <c r="L57" s="1542"/>
      <c r="M57" s="1542"/>
      <c r="N57" s="1459"/>
      <c r="O57" s="1541"/>
      <c r="P57" s="1541"/>
      <c r="Q57" s="1541"/>
      <c r="R57" s="1541"/>
      <c r="S57" s="1541"/>
      <c r="T57" s="1541"/>
      <c r="U57" s="1541"/>
      <c r="V57" s="1459"/>
      <c r="W57" s="1459"/>
      <c r="X57" s="1459"/>
      <c r="Y57" s="1459"/>
      <c r="Z57" s="1459"/>
      <c r="AA57" s="1459"/>
      <c r="AB57" s="1459"/>
      <c r="AC57" s="1541"/>
      <c r="AD57" s="1541"/>
    </row>
    <row r="58" spans="2:32" s="1543" customFormat="1" ht="15.75" thickBot="1" x14ac:dyDescent="0.3">
      <c r="B58" s="1541"/>
      <c r="C58" s="1538"/>
      <c r="D58" s="1538"/>
      <c r="E58" s="1538"/>
      <c r="F58" s="1538"/>
      <c r="G58" s="1538"/>
      <c r="H58" s="1538"/>
      <c r="I58" s="1538"/>
      <c r="J58" s="1538"/>
      <c r="K58" s="1532">
        <v>5561591</v>
      </c>
      <c r="L58" s="1542"/>
      <c r="M58" s="1542"/>
      <c r="N58" s="1459"/>
      <c r="O58" s="1459"/>
      <c r="P58" s="1541"/>
      <c r="Q58" s="1541"/>
      <c r="R58" s="1541"/>
      <c r="S58" s="1541"/>
      <c r="T58" s="1541"/>
      <c r="U58" s="1541"/>
      <c r="V58" s="1541"/>
      <c r="W58" s="1459"/>
      <c r="X58" s="1459"/>
      <c r="Y58" s="1459"/>
      <c r="Z58" s="1459"/>
      <c r="AA58" s="1459"/>
      <c r="AB58" s="1459"/>
      <c r="AC58" s="1459"/>
      <c r="AD58" s="1541"/>
    </row>
    <row r="59" spans="2:32" s="1543" customFormat="1" x14ac:dyDescent="0.25">
      <c r="B59" s="1541"/>
      <c r="C59" s="1538"/>
      <c r="D59" s="1538"/>
      <c r="E59" s="1538"/>
      <c r="F59" s="1538"/>
      <c r="G59" s="1538"/>
      <c r="H59" s="1538"/>
      <c r="I59" s="1538"/>
      <c r="J59" s="1538"/>
      <c r="K59" s="1538"/>
      <c r="L59" s="1542"/>
      <c r="M59" s="1542"/>
      <c r="N59" s="1459"/>
      <c r="O59" s="1542"/>
      <c r="P59" s="1459"/>
      <c r="Q59" s="1542"/>
      <c r="R59" s="1541"/>
      <c r="S59" s="1541"/>
      <c r="T59" s="1541"/>
      <c r="U59" s="1541"/>
      <c r="V59" s="1541"/>
      <c r="W59" s="1541"/>
      <c r="X59" s="1541"/>
      <c r="Y59" s="1541"/>
      <c r="Z59" s="1459"/>
      <c r="AA59" s="1459"/>
      <c r="AB59" s="1459"/>
      <c r="AC59" s="1459"/>
      <c r="AD59" s="1459"/>
      <c r="AE59" s="1460"/>
      <c r="AF59" s="1460"/>
    </row>
    <row r="60" spans="2:32" s="1543" customFormat="1" x14ac:dyDescent="0.25">
      <c r="B60" s="1541"/>
      <c r="C60" s="1538"/>
      <c r="D60" s="1538"/>
      <c r="E60" s="1538"/>
      <c r="F60" s="1538"/>
      <c r="G60" s="1538"/>
      <c r="H60" s="1538"/>
      <c r="I60" s="1538"/>
      <c r="J60" s="1538"/>
      <c r="K60" s="1538"/>
      <c r="L60" s="1542"/>
      <c r="M60" s="1542"/>
      <c r="N60" s="1459"/>
      <c r="O60" s="1542"/>
      <c r="P60" s="1459"/>
      <c r="Q60" s="1542"/>
      <c r="R60" s="1541"/>
      <c r="S60" s="1541"/>
      <c r="T60" s="1541"/>
      <c r="U60" s="1541"/>
      <c r="V60" s="1541"/>
      <c r="W60" s="1541"/>
      <c r="X60" s="1541"/>
      <c r="Y60" s="1541"/>
      <c r="Z60" s="1459"/>
      <c r="AA60" s="1459"/>
      <c r="AB60" s="1459"/>
      <c r="AC60" s="1459"/>
      <c r="AD60" s="1459"/>
      <c r="AE60" s="1460"/>
      <c r="AF60" s="1460"/>
    </row>
    <row r="61" spans="2:32" s="1543" customFormat="1" x14ac:dyDescent="0.25">
      <c r="B61" s="1541"/>
      <c r="C61" s="1538"/>
      <c r="D61" s="1538"/>
      <c r="E61" s="1538"/>
      <c r="F61" s="1538"/>
      <c r="G61" s="1538"/>
      <c r="H61" s="1538"/>
      <c r="I61" s="1538"/>
      <c r="J61" s="1538"/>
      <c r="K61" s="1538"/>
      <c r="L61" s="1542"/>
      <c r="M61" s="1542"/>
      <c r="N61" s="1459"/>
      <c r="O61" s="1542"/>
      <c r="P61" s="1459"/>
      <c r="Q61" s="1542"/>
      <c r="R61" s="1541"/>
      <c r="S61" s="1541"/>
      <c r="T61" s="1541"/>
      <c r="U61" s="1541"/>
      <c r="V61" s="1541"/>
      <c r="W61" s="1541"/>
      <c r="X61" s="1541"/>
      <c r="Y61" s="1541"/>
      <c r="Z61" s="1459"/>
      <c r="AA61" s="1459"/>
      <c r="AB61" s="1459"/>
      <c r="AC61" s="1459"/>
      <c r="AD61" s="1459"/>
      <c r="AE61" s="1460"/>
      <c r="AF61" s="1460"/>
    </row>
    <row r="62" spans="2:32" s="1543" customFormat="1" x14ac:dyDescent="0.25">
      <c r="B62" s="1541"/>
      <c r="C62" s="1538"/>
      <c r="D62" s="1538"/>
      <c r="E62" s="1538"/>
      <c r="F62" s="1538"/>
      <c r="G62" s="1538"/>
      <c r="H62" s="1538"/>
      <c r="I62" s="1538"/>
      <c r="J62" s="1538"/>
      <c r="K62" s="1538"/>
      <c r="L62" s="1542"/>
      <c r="M62" s="1542"/>
      <c r="N62" s="1459"/>
      <c r="O62" s="1542"/>
      <c r="P62" s="1459"/>
      <c r="Q62" s="1542"/>
      <c r="R62" s="1541"/>
      <c r="S62" s="1541"/>
      <c r="T62" s="1541"/>
      <c r="U62" s="1541"/>
      <c r="V62" s="1541"/>
      <c r="W62" s="1541"/>
      <c r="X62" s="1541"/>
      <c r="Y62" s="1541"/>
      <c r="Z62" s="1459"/>
      <c r="AA62" s="1459"/>
      <c r="AB62" s="1459"/>
      <c r="AC62" s="1459"/>
      <c r="AD62" s="1459"/>
      <c r="AE62" s="1460"/>
      <c r="AF62" s="1460"/>
    </row>
    <row r="63" spans="2:32" s="1543" customFormat="1" x14ac:dyDescent="0.25">
      <c r="B63" s="1541"/>
      <c r="C63" s="1538"/>
      <c r="D63" s="1538"/>
      <c r="E63" s="1538"/>
      <c r="F63" s="1538"/>
      <c r="G63" s="1538"/>
      <c r="H63" s="1538"/>
      <c r="I63" s="1538"/>
      <c r="J63" s="1538"/>
      <c r="K63" s="1538"/>
      <c r="L63" s="1542"/>
      <c r="M63" s="1542"/>
      <c r="N63" s="1459"/>
      <c r="O63" s="1542"/>
      <c r="P63" s="1459"/>
      <c r="Q63" s="1542"/>
      <c r="R63" s="1541"/>
      <c r="S63" s="1541"/>
      <c r="T63" s="1541"/>
      <c r="U63" s="1541"/>
      <c r="V63" s="1541"/>
      <c r="W63" s="1541"/>
      <c r="X63" s="1541"/>
      <c r="Y63" s="1541"/>
      <c r="Z63" s="1459"/>
      <c r="AA63" s="1459"/>
      <c r="AB63" s="1459"/>
      <c r="AC63" s="1459"/>
      <c r="AD63" s="1459"/>
      <c r="AE63" s="1460"/>
      <c r="AF63" s="1460"/>
    </row>
    <row r="64" spans="2:32" s="1543" customFormat="1" x14ac:dyDescent="0.25">
      <c r="B64" s="1541"/>
      <c r="C64" s="1538"/>
      <c r="D64" s="1538"/>
      <c r="E64" s="1538"/>
      <c r="F64" s="1538"/>
      <c r="G64" s="1538"/>
      <c r="H64" s="1538"/>
      <c r="I64" s="1538"/>
      <c r="J64" s="1538"/>
      <c r="K64" s="1538"/>
      <c r="L64" s="1542"/>
      <c r="M64" s="1542"/>
      <c r="N64" s="1459"/>
      <c r="O64" s="1542"/>
      <c r="P64" s="1459"/>
      <c r="Q64" s="1542"/>
      <c r="R64" s="1541"/>
      <c r="S64" s="1541"/>
      <c r="T64" s="1541"/>
      <c r="U64" s="1541"/>
      <c r="V64" s="1541"/>
      <c r="W64" s="1541"/>
      <c r="X64" s="1541"/>
      <c r="Y64" s="1541"/>
      <c r="Z64" s="1459"/>
      <c r="AA64" s="1459"/>
      <c r="AB64" s="1459"/>
      <c r="AC64" s="1459"/>
      <c r="AD64" s="1459"/>
      <c r="AE64" s="1460"/>
      <c r="AF64" s="1460"/>
    </row>
    <row r="65" spans="2:36" s="1543" customFormat="1" x14ac:dyDescent="0.25">
      <c r="B65" s="1541"/>
      <c r="C65" s="1538"/>
      <c r="D65" s="1538"/>
      <c r="E65" s="1538"/>
      <c r="F65" s="1538"/>
      <c r="G65" s="1538"/>
      <c r="H65" s="1538"/>
      <c r="I65" s="1538"/>
      <c r="J65" s="1538"/>
      <c r="K65" s="1538"/>
      <c r="L65" s="1542"/>
      <c r="M65" s="1542"/>
      <c r="N65" s="1459"/>
      <c r="O65" s="1542"/>
      <c r="P65" s="1459"/>
      <c r="Q65" s="1542"/>
      <c r="R65" s="1541"/>
      <c r="S65" s="1541"/>
      <c r="T65" s="1541"/>
      <c r="U65" s="1541"/>
      <c r="V65" s="1541"/>
      <c r="W65" s="1541"/>
      <c r="X65" s="1541"/>
      <c r="Y65" s="1541"/>
      <c r="Z65" s="1459"/>
      <c r="AA65" s="1459"/>
      <c r="AB65" s="1459"/>
      <c r="AC65" s="1459"/>
      <c r="AD65" s="1459"/>
      <c r="AE65" s="1460"/>
      <c r="AF65" s="1460"/>
    </row>
    <row r="66" spans="2:36" s="1543" customFormat="1" x14ac:dyDescent="0.25">
      <c r="B66" s="1541"/>
      <c r="C66" s="1538"/>
      <c r="D66" s="1538"/>
      <c r="E66" s="1538"/>
      <c r="F66" s="1538"/>
      <c r="G66" s="1538"/>
      <c r="H66" s="1538"/>
      <c r="I66" s="1538"/>
      <c r="J66" s="1538"/>
      <c r="K66" s="1538"/>
      <c r="L66" s="1542"/>
      <c r="M66" s="1542"/>
      <c r="N66" s="1459"/>
      <c r="O66" s="1542"/>
      <c r="P66" s="1459"/>
      <c r="Q66" s="1542"/>
      <c r="R66" s="1541"/>
      <c r="S66" s="1541"/>
      <c r="T66" s="1541"/>
      <c r="U66" s="1541"/>
      <c r="V66" s="1541"/>
      <c r="W66" s="1541"/>
      <c r="X66" s="1541"/>
      <c r="Y66" s="1541"/>
      <c r="Z66" s="1459"/>
      <c r="AA66" s="1459"/>
      <c r="AB66" s="1459"/>
      <c r="AC66" s="1459"/>
      <c r="AD66" s="1459"/>
      <c r="AE66" s="1460"/>
      <c r="AF66" s="1460"/>
    </row>
    <row r="67" spans="2:36" s="1543" customFormat="1" x14ac:dyDescent="0.25">
      <c r="B67" s="1541"/>
      <c r="C67" s="1538"/>
      <c r="D67" s="1538"/>
      <c r="E67" s="1538"/>
      <c r="F67" s="1538"/>
      <c r="G67" s="1538"/>
      <c r="H67" s="1538"/>
      <c r="I67" s="1538"/>
      <c r="J67" s="1538"/>
      <c r="K67" s="1538"/>
      <c r="L67" s="1542"/>
      <c r="M67" s="1542"/>
      <c r="N67" s="1459"/>
      <c r="O67" s="1542"/>
      <c r="P67" s="1459"/>
      <c r="Q67" s="1542"/>
      <c r="R67" s="1541"/>
      <c r="S67" s="1541"/>
      <c r="T67" s="1541"/>
      <c r="U67" s="1541"/>
      <c r="V67" s="1541"/>
      <c r="W67" s="1541"/>
      <c r="X67" s="1541"/>
      <c r="Y67" s="1541"/>
      <c r="Z67" s="1459"/>
      <c r="AA67" s="1459"/>
      <c r="AB67" s="1459"/>
      <c r="AC67" s="1459"/>
      <c r="AD67" s="1459"/>
      <c r="AE67" s="1460"/>
      <c r="AF67" s="1460"/>
    </row>
    <row r="68" spans="2:36" s="1543" customFormat="1" x14ac:dyDescent="0.25">
      <c r="B68" s="1541"/>
      <c r="C68" s="1538"/>
      <c r="D68" s="1538"/>
      <c r="E68" s="1538"/>
      <c r="F68" s="1538"/>
      <c r="G68" s="1538"/>
      <c r="H68" s="1538"/>
      <c r="I68" s="1538"/>
      <c r="J68" s="1538"/>
      <c r="K68" s="1538"/>
      <c r="L68" s="1538"/>
      <c r="M68" s="1542"/>
      <c r="N68" s="1542"/>
      <c r="O68" s="1459"/>
      <c r="P68" s="1542"/>
      <c r="Q68" s="1460"/>
      <c r="R68" s="1542"/>
      <c r="S68" s="1541"/>
      <c r="T68" s="1541"/>
      <c r="U68" s="1541"/>
      <c r="V68" s="1541"/>
      <c r="W68" s="1541"/>
      <c r="X68" s="1541"/>
      <c r="Y68" s="1541"/>
      <c r="Z68" s="1541"/>
      <c r="AA68" s="1459"/>
      <c r="AB68" s="1459"/>
      <c r="AC68" s="1459"/>
      <c r="AD68" s="1459"/>
      <c r="AE68" s="1460"/>
      <c r="AF68" s="1460"/>
      <c r="AG68" s="1460"/>
    </row>
    <row r="69" spans="2:36" s="1460" customFormat="1" ht="15.75" thickBot="1" x14ac:dyDescent="0.3">
      <c r="E69" s="1459"/>
      <c r="F69" s="1459"/>
      <c r="G69" s="1459"/>
      <c r="H69" s="1459"/>
      <c r="I69" s="1459"/>
      <c r="J69" s="1459"/>
      <c r="K69" s="1459"/>
      <c r="L69" s="1459"/>
      <c r="M69" s="1459"/>
      <c r="N69" s="1459"/>
      <c r="O69" s="1459"/>
      <c r="P69" s="1459"/>
      <c r="Q69" s="1459"/>
      <c r="R69" s="1459"/>
      <c r="S69" s="1459"/>
      <c r="T69" s="1459"/>
      <c r="U69" s="1459"/>
      <c r="V69" s="1459"/>
      <c r="W69" s="1459"/>
      <c r="X69" s="1459"/>
      <c r="Y69" s="1459"/>
      <c r="Z69" s="1459"/>
      <c r="AA69" s="1459"/>
      <c r="AB69" s="1459"/>
      <c r="AC69" s="1459"/>
      <c r="AD69" s="1544" t="e">
        <f>'Junio - 2018'!AC101</f>
        <v>#REF!</v>
      </c>
    </row>
    <row r="70" spans="2:36" ht="15" customHeight="1" thickBot="1" x14ac:dyDescent="0.3">
      <c r="B70" s="1545" t="s">
        <v>3</v>
      </c>
      <c r="C70" s="1546">
        <f>SUMIF(Tarifas!E4:E303,'Octubre - 2018  '!C72,Tarifas!D4:D303)</f>
        <v>63</v>
      </c>
      <c r="D70" s="1547" t="s">
        <v>147</v>
      </c>
      <c r="E70" s="1548"/>
      <c r="F70" s="1548" t="s">
        <v>145</v>
      </c>
      <c r="G70" s="1548" t="s">
        <v>287</v>
      </c>
      <c r="H70" s="1548" t="s">
        <v>148</v>
      </c>
      <c r="I70" s="1549"/>
      <c r="J70" s="2337" t="s">
        <v>120</v>
      </c>
      <c r="K70" s="2338"/>
      <c r="L70" s="2338"/>
      <c r="M70" s="2339"/>
      <c r="N70" s="2340" t="s">
        <v>270</v>
      </c>
      <c r="O70" s="2341"/>
      <c r="P70" s="2342"/>
      <c r="Q70" s="2343" t="s">
        <v>271</v>
      </c>
      <c r="R70" s="2344"/>
      <c r="S70" s="2344"/>
      <c r="T70" s="2344"/>
      <c r="U70" s="2344"/>
      <c r="V70" s="2344"/>
      <c r="W70" s="2345"/>
      <c r="X70" s="1550" t="s">
        <v>121</v>
      </c>
      <c r="Y70" s="1551"/>
      <c r="Z70" s="1551"/>
      <c r="AA70" s="1551"/>
      <c r="AB70" s="1551"/>
      <c r="AC70" s="1551"/>
      <c r="AD70" s="1552"/>
      <c r="AG70" s="1460"/>
      <c r="AH70" s="1460"/>
      <c r="AI70" s="1460"/>
      <c r="AJ70" s="1460"/>
    </row>
    <row r="71" spans="2:36" ht="45.75" thickBot="1" x14ac:dyDescent="0.3">
      <c r="C71" s="1553" t="s">
        <v>122</v>
      </c>
      <c r="D71" s="1554" t="s">
        <v>125</v>
      </c>
      <c r="E71" s="1555" t="s">
        <v>277</v>
      </c>
      <c r="F71" s="1555" t="s">
        <v>149</v>
      </c>
      <c r="G71" s="1555" t="s">
        <v>151</v>
      </c>
      <c r="H71" s="1555" t="s">
        <v>152</v>
      </c>
      <c r="I71" s="1555" t="s">
        <v>123</v>
      </c>
      <c r="J71" s="1556" t="s">
        <v>374</v>
      </c>
      <c r="K71" s="1557" t="s">
        <v>362</v>
      </c>
      <c r="L71" s="1557" t="s">
        <v>361</v>
      </c>
      <c r="M71" s="1558" t="s">
        <v>267</v>
      </c>
      <c r="N71" s="1559" t="s">
        <v>266</v>
      </c>
      <c r="O71" s="1559" t="s">
        <v>269</v>
      </c>
      <c r="P71" s="1560" t="s">
        <v>267</v>
      </c>
      <c r="Q71" s="1561" t="s">
        <v>22</v>
      </c>
      <c r="R71" s="1562" t="s">
        <v>272</v>
      </c>
      <c r="S71" s="1563" t="s">
        <v>25</v>
      </c>
      <c r="T71" s="1563" t="s">
        <v>26</v>
      </c>
      <c r="U71" s="1564" t="s">
        <v>272</v>
      </c>
      <c r="V71" s="1565" t="s">
        <v>273</v>
      </c>
      <c r="W71" s="1562" t="s">
        <v>272</v>
      </c>
      <c r="X71" s="1566" t="s">
        <v>207</v>
      </c>
      <c r="Y71" s="1567"/>
      <c r="Z71" s="1567" t="s">
        <v>112</v>
      </c>
      <c r="AA71" s="1566" t="s">
        <v>118</v>
      </c>
      <c r="AB71" s="1566" t="s">
        <v>119</v>
      </c>
      <c r="AC71" s="1566" t="s">
        <v>114</v>
      </c>
      <c r="AD71" s="1568" t="s">
        <v>113</v>
      </c>
      <c r="AG71" s="1460"/>
      <c r="AH71" s="1460"/>
      <c r="AI71" s="1460"/>
      <c r="AJ71" s="1460"/>
    </row>
    <row r="72" spans="2:36" x14ac:dyDescent="0.25">
      <c r="C72" s="1569">
        <v>43374</v>
      </c>
      <c r="D72" s="1570">
        <f>($E$22*$H$22)/$G$22</f>
        <v>150304.21677419354</v>
      </c>
      <c r="E72" s="1571">
        <f>($F$22*$I$22)/$G$22</f>
        <v>14421.080258064516</v>
      </c>
      <c r="F72" s="1572">
        <f>N72+O72+P72</f>
        <v>303227.49575</v>
      </c>
      <c r="G72" s="1573">
        <f>TRUNC(IFERROR(K$22/L$22,0),8)</f>
        <v>1.00893743</v>
      </c>
      <c r="H72" s="1574">
        <f>ROUND(J$22*G72*F72,4)</f>
        <v>305.93759999999997</v>
      </c>
      <c r="I72" s="1575">
        <f t="shared" ref="I72:I101" si="7">SUM(D72:H72)</f>
        <v>468259.73931968806</v>
      </c>
      <c r="J72" s="2138">
        <v>68243</v>
      </c>
      <c r="K72" s="2139">
        <v>86652</v>
      </c>
      <c r="L72" s="2140">
        <v>0</v>
      </c>
      <c r="M72" s="2141">
        <v>121604.69795329688</v>
      </c>
      <c r="N72" s="1578">
        <v>71607.96875</v>
      </c>
      <c r="O72" s="1579">
        <v>107860.16</v>
      </c>
      <c r="P72" s="1580">
        <v>123759.367</v>
      </c>
      <c r="Q72" s="1581">
        <v>71608</v>
      </c>
      <c r="R72" s="1582">
        <f>N72-Q72</f>
        <v>-3.125E-2</v>
      </c>
      <c r="S72" s="1583">
        <v>71039.195000000007</v>
      </c>
      <c r="T72" s="1583">
        <v>36820.972000000002</v>
      </c>
      <c r="U72" s="1584">
        <f>O72-(S72+T72)</f>
        <v>-7.0000000123400241E-3</v>
      </c>
      <c r="V72" s="1585">
        <v>123759.367</v>
      </c>
      <c r="W72" s="1582">
        <f>P72-V72</f>
        <v>0</v>
      </c>
      <c r="X72" s="1586"/>
      <c r="Y72" s="1587"/>
      <c r="Z72" s="1588">
        <f>X72+Y72-AA72</f>
        <v>-154895</v>
      </c>
      <c r="AA72" s="1588">
        <f t="shared" ref="AA72:AA102" si="8">J72+K72+L72</f>
        <v>154895</v>
      </c>
      <c r="AB72" s="1588">
        <f>(U72+V72+W72)*1.055056</f>
        <v>130573.05532415998</v>
      </c>
      <c r="AC72" s="1588">
        <f>AA72-AB72</f>
        <v>24321.944675840015</v>
      </c>
      <c r="AD72" s="1589" t="e">
        <f>AD69+AC72</f>
        <v>#REF!</v>
      </c>
      <c r="AG72" s="1460"/>
      <c r="AH72" s="1460"/>
      <c r="AI72" s="1460"/>
      <c r="AJ72" s="1460"/>
    </row>
    <row r="73" spans="2:36" x14ac:dyDescent="0.25">
      <c r="C73" s="1590">
        <f t="shared" ref="C73:C102" si="9">C72+1</f>
        <v>43375</v>
      </c>
      <c r="D73" s="1591">
        <f t="shared" ref="D73:D102" si="10">($E$22*$H$22)/$G$22</f>
        <v>150304.21677419354</v>
      </c>
      <c r="E73" s="1592">
        <f t="shared" ref="E73:E102" si="11">($F$22*$I$22)/$G$22</f>
        <v>14421.080258064516</v>
      </c>
      <c r="F73" s="1593">
        <f t="shared" ref="F73:F102" si="12">N73+O73+P73</f>
        <v>301178.63318800001</v>
      </c>
      <c r="G73" s="1594">
        <f t="shared" ref="G73:G101" si="13">TRUNC(IFERROR(K$22/L$22,0),8)</f>
        <v>1.00893743</v>
      </c>
      <c r="H73" s="1595">
        <f t="shared" ref="H73:H101" si="14">ROUND(J$22*G73*F73,4)</f>
        <v>303.87040000000002</v>
      </c>
      <c r="I73" s="1596">
        <f t="shared" si="7"/>
        <v>466208.80955768807</v>
      </c>
      <c r="J73" s="2142">
        <v>70138</v>
      </c>
      <c r="K73" s="1576">
        <v>107305</v>
      </c>
      <c r="L73" s="2136">
        <v>0</v>
      </c>
      <c r="M73" s="1577">
        <v>121604.69795329688</v>
      </c>
      <c r="N73" s="1597">
        <v>71945.242188000004</v>
      </c>
      <c r="O73" s="1598">
        <v>107776.25</v>
      </c>
      <c r="P73" s="1599">
        <v>121457.141</v>
      </c>
      <c r="Q73" s="1600">
        <v>71945.240000000005</v>
      </c>
      <c r="R73" s="1601">
        <f>N73-Q73</f>
        <v>2.1879999985685572E-3</v>
      </c>
      <c r="S73" s="1602">
        <v>71127.513000000006</v>
      </c>
      <c r="T73" s="1602">
        <v>36648.726000000002</v>
      </c>
      <c r="U73" s="1603">
        <f t="shared" ref="U73:U101" si="15">O73-(S73+T73)</f>
        <v>1.0999999998603016E-2</v>
      </c>
      <c r="V73" s="1604">
        <v>121457.141</v>
      </c>
      <c r="W73" s="1601">
        <f t="shared" ref="W73:W101" si="16">P73-V73</f>
        <v>0</v>
      </c>
      <c r="X73" s="1586"/>
      <c r="Y73" s="1587"/>
      <c r="Z73" s="1588">
        <f t="shared" ref="Z73:Z101" si="17">X73+Y73-AA73</f>
        <v>-177443</v>
      </c>
      <c r="AA73" s="1588">
        <f t="shared" si="8"/>
        <v>177443</v>
      </c>
      <c r="AB73" s="1588">
        <f t="shared" ref="AB73:AB101" si="18">(U73+V73+W73)*1.055056</f>
        <v>128144.096960512</v>
      </c>
      <c r="AC73" s="1588">
        <f t="shared" ref="AC73:AC101" si="19">AA73-AB73</f>
        <v>49298.903039487996</v>
      </c>
      <c r="AD73" s="1589" t="e">
        <f>AD72+AC73</f>
        <v>#REF!</v>
      </c>
      <c r="AG73" s="1460"/>
      <c r="AH73" s="1460"/>
      <c r="AI73" s="1460"/>
      <c r="AJ73" s="1460"/>
    </row>
    <row r="74" spans="2:36" x14ac:dyDescent="0.25">
      <c r="C74" s="1590">
        <f t="shared" si="9"/>
        <v>43376</v>
      </c>
      <c r="D74" s="1591">
        <f t="shared" si="10"/>
        <v>150304.21677419354</v>
      </c>
      <c r="E74" s="1592">
        <f t="shared" si="11"/>
        <v>14421.080258064516</v>
      </c>
      <c r="F74" s="1593">
        <f t="shared" si="12"/>
        <v>301287.24325</v>
      </c>
      <c r="G74" s="1594">
        <f t="shared" si="13"/>
        <v>1.00893743</v>
      </c>
      <c r="H74" s="1595">
        <f t="shared" si="14"/>
        <v>303.98</v>
      </c>
      <c r="I74" s="1596">
        <f t="shared" si="7"/>
        <v>466317.52921968803</v>
      </c>
      <c r="J74" s="2142">
        <v>68243</v>
      </c>
      <c r="K74" s="1576">
        <v>126474</v>
      </c>
      <c r="L74" s="2136">
        <v>0</v>
      </c>
      <c r="M74" s="1577">
        <v>120086.4723886573</v>
      </c>
      <c r="N74" s="1578">
        <v>72694.15625</v>
      </c>
      <c r="O74" s="1579">
        <v>108251.11</v>
      </c>
      <c r="P74" s="1580">
        <v>120341.977</v>
      </c>
      <c r="Q74" s="1581">
        <v>72694.16</v>
      </c>
      <c r="R74" s="1601">
        <f t="shared" ref="R74:R101" si="20">N74-Q74</f>
        <v>-3.7500000034924597E-3</v>
      </c>
      <c r="S74" s="1602">
        <v>71704.812000000005</v>
      </c>
      <c r="T74" s="1602">
        <v>36546.328999999998</v>
      </c>
      <c r="U74" s="1603">
        <f t="shared" si="15"/>
        <v>-3.1000000002677552E-2</v>
      </c>
      <c r="V74" s="1604">
        <v>120341.977</v>
      </c>
      <c r="W74" s="1601">
        <f t="shared" si="16"/>
        <v>0</v>
      </c>
      <c r="X74" s="1586"/>
      <c r="Y74" s="1587"/>
      <c r="Z74" s="1588">
        <f t="shared" si="17"/>
        <v>-194717</v>
      </c>
      <c r="AA74" s="1588">
        <f t="shared" si="8"/>
        <v>194717</v>
      </c>
      <c r="AB74" s="1588">
        <f t="shared" si="18"/>
        <v>126967.492178976</v>
      </c>
      <c r="AC74" s="1588">
        <f t="shared" si="19"/>
        <v>67749.507821024003</v>
      </c>
      <c r="AD74" s="1589" t="e">
        <f t="shared" ref="AD74:AD101" si="21">AD73+AC74</f>
        <v>#REF!</v>
      </c>
      <c r="AG74" s="1460"/>
      <c r="AH74" s="1460"/>
      <c r="AI74" s="1460"/>
      <c r="AJ74" s="1460"/>
    </row>
    <row r="75" spans="2:36" x14ac:dyDescent="0.25">
      <c r="C75" s="1590">
        <f t="shared" si="9"/>
        <v>43377</v>
      </c>
      <c r="D75" s="1591">
        <f t="shared" si="10"/>
        <v>150304.21677419354</v>
      </c>
      <c r="E75" s="1592">
        <f t="shared" si="11"/>
        <v>14421.080258064516</v>
      </c>
      <c r="F75" s="1593">
        <f t="shared" si="12"/>
        <v>302726.64350000001</v>
      </c>
      <c r="G75" s="1594">
        <f t="shared" si="13"/>
        <v>1.00893743</v>
      </c>
      <c r="H75" s="1595">
        <f t="shared" si="14"/>
        <v>305.43220000000002</v>
      </c>
      <c r="I75" s="1596">
        <f t="shared" si="7"/>
        <v>467758.38166968804</v>
      </c>
      <c r="J75" s="2142">
        <v>68243</v>
      </c>
      <c r="K75" s="1576">
        <v>107158</v>
      </c>
      <c r="L75" s="2136">
        <v>0</v>
      </c>
      <c r="M75" s="1577">
        <v>121008.59132089844</v>
      </c>
      <c r="N75" s="1597">
        <v>72964.0625</v>
      </c>
      <c r="O75" s="1598">
        <v>108242.12</v>
      </c>
      <c r="P75" s="1599">
        <v>121520.461</v>
      </c>
      <c r="Q75" s="1600">
        <v>72964.100000000006</v>
      </c>
      <c r="R75" s="1601">
        <f t="shared" si="20"/>
        <v>-3.7500000005820766E-2</v>
      </c>
      <c r="S75" s="1602">
        <v>71653.133000000002</v>
      </c>
      <c r="T75" s="1602">
        <v>36589.014999999999</v>
      </c>
      <c r="U75" s="1603">
        <f t="shared" si="15"/>
        <v>-2.8000000005704351E-2</v>
      </c>
      <c r="V75" s="1604">
        <v>121520.461</v>
      </c>
      <c r="W75" s="1601">
        <f t="shared" si="16"/>
        <v>0</v>
      </c>
      <c r="X75" s="1586"/>
      <c r="Y75" s="1587"/>
      <c r="Z75" s="1588">
        <f t="shared" si="17"/>
        <v>-175401</v>
      </c>
      <c r="AA75" s="1588">
        <f t="shared" si="8"/>
        <v>175401</v>
      </c>
      <c r="AB75" s="1588">
        <f t="shared" si="18"/>
        <v>128210.861959248</v>
      </c>
      <c r="AC75" s="1588">
        <f t="shared" si="19"/>
        <v>47190.138040752005</v>
      </c>
      <c r="AD75" s="1589" t="e">
        <f t="shared" si="21"/>
        <v>#REF!</v>
      </c>
      <c r="AG75" s="1460"/>
      <c r="AH75" s="1460"/>
      <c r="AI75" s="1460"/>
      <c r="AJ75" s="1460"/>
    </row>
    <row r="76" spans="2:36" x14ac:dyDescent="0.25">
      <c r="C76" s="1590">
        <f t="shared" si="9"/>
        <v>43378</v>
      </c>
      <c r="D76" s="1591">
        <f t="shared" si="10"/>
        <v>150304.21677419354</v>
      </c>
      <c r="E76" s="1592">
        <f t="shared" si="11"/>
        <v>14421.080258064516</v>
      </c>
      <c r="F76" s="1593">
        <f t="shared" si="12"/>
        <v>301055.92787499999</v>
      </c>
      <c r="G76" s="1594">
        <f t="shared" si="13"/>
        <v>1.00893743</v>
      </c>
      <c r="H76" s="1595">
        <f t="shared" si="14"/>
        <v>303.7466</v>
      </c>
      <c r="I76" s="1596">
        <f t="shared" si="7"/>
        <v>466085.98044468806</v>
      </c>
      <c r="J76" s="2142">
        <v>68243</v>
      </c>
      <c r="K76" s="1576">
        <v>106675</v>
      </c>
      <c r="L76" s="2136">
        <v>0</v>
      </c>
      <c r="M76" s="1577">
        <v>119584.26573906145</v>
      </c>
      <c r="N76" s="1578">
        <v>72297.671875</v>
      </c>
      <c r="O76" s="1579">
        <v>108808.92</v>
      </c>
      <c r="P76" s="1580">
        <v>119949.336</v>
      </c>
      <c r="Q76" s="1581">
        <v>72297.7</v>
      </c>
      <c r="R76" s="1601">
        <f t="shared" si="20"/>
        <v>-2.8124999997089617E-2</v>
      </c>
      <c r="S76" s="1602">
        <v>71804.717000000004</v>
      </c>
      <c r="T76" s="1602">
        <v>37004.222999999998</v>
      </c>
      <c r="U76" s="1603">
        <f t="shared" si="15"/>
        <v>-2.0000000004074536E-2</v>
      </c>
      <c r="V76" s="1604">
        <v>119949.336</v>
      </c>
      <c r="W76" s="1601">
        <f t="shared" si="16"/>
        <v>0</v>
      </c>
      <c r="X76" s="1586"/>
      <c r="Y76" s="1587"/>
      <c r="Z76" s="1588">
        <f t="shared" si="17"/>
        <v>-174918</v>
      </c>
      <c r="AA76" s="1588">
        <f t="shared" si="8"/>
        <v>174918</v>
      </c>
      <c r="AB76" s="1588">
        <f t="shared" si="18"/>
        <v>126553.24554169599</v>
      </c>
      <c r="AC76" s="1588">
        <f t="shared" si="19"/>
        <v>48364.754458304014</v>
      </c>
      <c r="AD76" s="1589" t="e">
        <f t="shared" si="21"/>
        <v>#REF!</v>
      </c>
      <c r="AG76" s="1460"/>
      <c r="AH76" s="1460"/>
      <c r="AI76" s="1460"/>
      <c r="AJ76" s="1460"/>
    </row>
    <row r="77" spans="2:36" x14ac:dyDescent="0.25">
      <c r="C77" s="1590">
        <f t="shared" si="9"/>
        <v>43379</v>
      </c>
      <c r="D77" s="1591">
        <f t="shared" si="10"/>
        <v>150304.21677419354</v>
      </c>
      <c r="E77" s="1592">
        <f t="shared" si="11"/>
        <v>14421.080258064516</v>
      </c>
      <c r="F77" s="1593">
        <f t="shared" si="12"/>
        <v>286459.50225000002</v>
      </c>
      <c r="G77" s="1594">
        <f t="shared" si="13"/>
        <v>1.00893743</v>
      </c>
      <c r="H77" s="1595">
        <f t="shared" si="14"/>
        <v>289.0197</v>
      </c>
      <c r="I77" s="1596">
        <f t="shared" si="7"/>
        <v>451474.82791968808</v>
      </c>
      <c r="J77" s="2142">
        <v>68035</v>
      </c>
      <c r="K77" s="1576">
        <v>107261</v>
      </c>
      <c r="L77" s="2136">
        <v>0</v>
      </c>
      <c r="M77" s="1577">
        <v>104253.24719856259</v>
      </c>
      <c r="N77" s="1597">
        <v>71559.40625</v>
      </c>
      <c r="O77" s="1598">
        <v>107774.76</v>
      </c>
      <c r="P77" s="1599">
        <v>107125.336</v>
      </c>
      <c r="Q77" s="1600">
        <v>71559.399999999994</v>
      </c>
      <c r="R77" s="1601">
        <f t="shared" si="20"/>
        <v>6.2500000058207661E-3</v>
      </c>
      <c r="S77" s="1602">
        <v>70972.812999999995</v>
      </c>
      <c r="T77" s="1602">
        <v>36801.921000000002</v>
      </c>
      <c r="U77" s="1603">
        <f t="shared" si="15"/>
        <v>2.599999999802094E-2</v>
      </c>
      <c r="V77" s="1604">
        <v>107125.336</v>
      </c>
      <c r="W77" s="1601">
        <f t="shared" si="16"/>
        <v>0</v>
      </c>
      <c r="X77" s="1586"/>
      <c r="Y77" s="1587"/>
      <c r="Z77" s="1588">
        <f t="shared" si="17"/>
        <v>-175296</v>
      </c>
      <c r="AA77" s="1588">
        <f t="shared" si="8"/>
        <v>175296</v>
      </c>
      <c r="AB77" s="1588">
        <f t="shared" si="18"/>
        <v>113023.25593027199</v>
      </c>
      <c r="AC77" s="1588">
        <f t="shared" si="19"/>
        <v>62272.744069728011</v>
      </c>
      <c r="AD77" s="1589" t="e">
        <f t="shared" si="21"/>
        <v>#REF!</v>
      </c>
      <c r="AG77" s="1460"/>
      <c r="AH77" s="1460"/>
      <c r="AI77" s="1460"/>
      <c r="AJ77" s="1460"/>
    </row>
    <row r="78" spans="2:36" x14ac:dyDescent="0.25">
      <c r="C78" s="1590">
        <f t="shared" si="9"/>
        <v>43380</v>
      </c>
      <c r="D78" s="1591">
        <f t="shared" si="10"/>
        <v>150304.21677419354</v>
      </c>
      <c r="E78" s="1592">
        <f t="shared" si="11"/>
        <v>14421.080258064516</v>
      </c>
      <c r="F78" s="1593">
        <f t="shared" si="12"/>
        <v>275420.08456300001</v>
      </c>
      <c r="G78" s="1594">
        <f t="shared" si="13"/>
        <v>1.00893743</v>
      </c>
      <c r="H78" s="1595">
        <f t="shared" si="14"/>
        <v>277.88159999999999</v>
      </c>
      <c r="I78" s="1596">
        <f t="shared" si="7"/>
        <v>440424.27213268809</v>
      </c>
      <c r="J78" s="2142">
        <v>68243</v>
      </c>
      <c r="K78" s="1576">
        <v>107552</v>
      </c>
      <c r="L78" s="2136">
        <v>0</v>
      </c>
      <c r="M78" s="1577">
        <v>104570.81905051292</v>
      </c>
      <c r="N78" s="1578">
        <v>70896.476563000004</v>
      </c>
      <c r="O78" s="1579">
        <v>107434.01</v>
      </c>
      <c r="P78" s="1580">
        <v>97089.597999999998</v>
      </c>
      <c r="Q78" s="1581">
        <v>70896.479999999996</v>
      </c>
      <c r="R78" s="1601">
        <f t="shared" si="20"/>
        <v>-3.4369999921182171E-3</v>
      </c>
      <c r="S78" s="1602">
        <v>70434.630999999994</v>
      </c>
      <c r="T78" s="1602">
        <v>36999.362999999998</v>
      </c>
      <c r="U78" s="1603">
        <f t="shared" si="15"/>
        <v>1.6000000003259629E-2</v>
      </c>
      <c r="V78" s="1604">
        <v>97089.597999999998</v>
      </c>
      <c r="W78" s="1601">
        <f t="shared" si="16"/>
        <v>0</v>
      </c>
      <c r="X78" s="1586"/>
      <c r="Y78" s="1587"/>
      <c r="Z78" s="1588">
        <f t="shared" si="17"/>
        <v>-175795</v>
      </c>
      <c r="AA78" s="1588">
        <f t="shared" si="8"/>
        <v>175795</v>
      </c>
      <c r="AB78" s="1588">
        <f t="shared" si="18"/>
        <v>102434.97978838401</v>
      </c>
      <c r="AC78" s="1588">
        <f t="shared" si="19"/>
        <v>73360.020211615993</v>
      </c>
      <c r="AD78" s="1589" t="e">
        <f t="shared" si="21"/>
        <v>#REF!</v>
      </c>
      <c r="AG78" s="1460"/>
      <c r="AH78" s="1460"/>
      <c r="AI78" s="1460"/>
      <c r="AJ78" s="1460"/>
    </row>
    <row r="79" spans="2:36" x14ac:dyDescent="0.25">
      <c r="C79" s="1590">
        <f t="shared" si="9"/>
        <v>43381</v>
      </c>
      <c r="D79" s="1591">
        <f t="shared" si="10"/>
        <v>150304.21677419354</v>
      </c>
      <c r="E79" s="1592">
        <f t="shared" si="11"/>
        <v>14421.080258064516</v>
      </c>
      <c r="F79" s="1593">
        <f t="shared" si="12"/>
        <v>301674.85287499998</v>
      </c>
      <c r="G79" s="1594">
        <f t="shared" si="13"/>
        <v>1.00893743</v>
      </c>
      <c r="H79" s="1595">
        <f t="shared" si="14"/>
        <v>304.37110000000001</v>
      </c>
      <c r="I79" s="1596">
        <f t="shared" si="7"/>
        <v>466705.52994468802</v>
      </c>
      <c r="J79" s="2142">
        <v>68243</v>
      </c>
      <c r="K79" s="1576">
        <v>107468</v>
      </c>
      <c r="L79" s="2136">
        <v>0</v>
      </c>
      <c r="M79" s="1577">
        <v>104570.81905051292</v>
      </c>
      <c r="N79" s="1597">
        <v>70723.671875</v>
      </c>
      <c r="O79" s="1598">
        <v>107132.57</v>
      </c>
      <c r="P79" s="1599">
        <v>123818.611</v>
      </c>
      <c r="Q79" s="1600">
        <v>70723.67</v>
      </c>
      <c r="R79" s="1601">
        <f t="shared" si="20"/>
        <v>1.8750000017462298E-3</v>
      </c>
      <c r="S79" s="1602">
        <v>70507.554000000004</v>
      </c>
      <c r="T79" s="1602">
        <v>36625.012999999999</v>
      </c>
      <c r="U79" s="1603">
        <f t="shared" si="15"/>
        <v>2.9999999969732016E-3</v>
      </c>
      <c r="V79" s="1604">
        <v>123818.611</v>
      </c>
      <c r="W79" s="1601">
        <f t="shared" si="16"/>
        <v>0</v>
      </c>
      <c r="X79" s="1586"/>
      <c r="Y79" s="1587"/>
      <c r="Z79" s="1588">
        <f t="shared" si="17"/>
        <v>-175711</v>
      </c>
      <c r="AA79" s="1588">
        <f t="shared" si="8"/>
        <v>175711</v>
      </c>
      <c r="AB79" s="1588">
        <f t="shared" si="18"/>
        <v>130635.571612384</v>
      </c>
      <c r="AC79" s="1588">
        <f t="shared" si="19"/>
        <v>45075.428387616004</v>
      </c>
      <c r="AD79" s="1589" t="e">
        <f t="shared" si="21"/>
        <v>#REF!</v>
      </c>
      <c r="AE79" s="1457"/>
      <c r="AF79" s="1457"/>
    </row>
    <row r="80" spans="2:36" x14ac:dyDescent="0.25">
      <c r="C80" s="1590">
        <f t="shared" si="9"/>
        <v>43382</v>
      </c>
      <c r="D80" s="1591">
        <f t="shared" si="10"/>
        <v>150304.21677419354</v>
      </c>
      <c r="E80" s="1592">
        <f t="shared" si="11"/>
        <v>14421.080258064516</v>
      </c>
      <c r="F80" s="1593">
        <f t="shared" si="12"/>
        <v>269726.91500000004</v>
      </c>
      <c r="G80" s="1594">
        <f t="shared" si="13"/>
        <v>1.00893743</v>
      </c>
      <c r="H80" s="1595">
        <f t="shared" si="14"/>
        <v>272.13760000000002</v>
      </c>
      <c r="I80" s="1596">
        <f t="shared" si="7"/>
        <v>434725.35856968811</v>
      </c>
      <c r="J80" s="2142">
        <v>68243</v>
      </c>
      <c r="K80" s="1576">
        <v>116822</v>
      </c>
      <c r="L80" s="2136">
        <v>0</v>
      </c>
      <c r="M80" s="1577">
        <v>0</v>
      </c>
      <c r="N80" s="1578">
        <v>70983.42</v>
      </c>
      <c r="O80" s="1579">
        <v>107592.53</v>
      </c>
      <c r="P80" s="1580">
        <v>91150.964999999997</v>
      </c>
      <c r="Q80" s="1581">
        <v>70983.42</v>
      </c>
      <c r="R80" s="1601">
        <f t="shared" si="20"/>
        <v>0</v>
      </c>
      <c r="S80" s="1602">
        <v>70755.490000000005</v>
      </c>
      <c r="T80" s="1602">
        <v>36837.038999999997</v>
      </c>
      <c r="U80" s="1603">
        <f t="shared" si="15"/>
        <v>9.9999998928979039E-4</v>
      </c>
      <c r="V80" s="1604">
        <v>91150.964999999997</v>
      </c>
      <c r="W80" s="1601">
        <f t="shared" si="16"/>
        <v>0</v>
      </c>
      <c r="X80" s="1586"/>
      <c r="Y80" s="1587"/>
      <c r="Z80" s="1588">
        <f t="shared" si="17"/>
        <v>-185065</v>
      </c>
      <c r="AA80" s="1588">
        <f t="shared" si="8"/>
        <v>185065</v>
      </c>
      <c r="AB80" s="1588">
        <f t="shared" si="18"/>
        <v>96169.373584095985</v>
      </c>
      <c r="AC80" s="1588">
        <f t="shared" si="19"/>
        <v>88895.626415904015</v>
      </c>
      <c r="AD80" s="1589" t="e">
        <f t="shared" si="21"/>
        <v>#REF!</v>
      </c>
      <c r="AE80" s="1457"/>
      <c r="AF80" s="1457"/>
    </row>
    <row r="81" spans="3:36" x14ac:dyDescent="0.25">
      <c r="C81" s="1590">
        <f t="shared" si="9"/>
        <v>43383</v>
      </c>
      <c r="D81" s="1591">
        <f t="shared" si="10"/>
        <v>150304.21677419354</v>
      </c>
      <c r="E81" s="1592">
        <f t="shared" si="11"/>
        <v>14421.080258064516</v>
      </c>
      <c r="F81" s="1593">
        <f t="shared" si="12"/>
        <v>325432.0675</v>
      </c>
      <c r="G81" s="1594">
        <f t="shared" si="13"/>
        <v>1.00893743</v>
      </c>
      <c r="H81" s="1595">
        <f t="shared" si="14"/>
        <v>328.34059999999999</v>
      </c>
      <c r="I81" s="1596">
        <f t="shared" si="7"/>
        <v>490486.71406968805</v>
      </c>
      <c r="J81" s="2142">
        <v>68243</v>
      </c>
      <c r="K81" s="1576">
        <v>91551</v>
      </c>
      <c r="L81" s="2136">
        <v>0</v>
      </c>
      <c r="M81" s="1577">
        <v>147057.92362871734</v>
      </c>
      <c r="N81" s="1597">
        <v>70605.6875</v>
      </c>
      <c r="O81" s="1598">
        <v>107288.31</v>
      </c>
      <c r="P81" s="1599">
        <v>147538.07</v>
      </c>
      <c r="Q81" s="1600">
        <v>70605.7</v>
      </c>
      <c r="R81" s="1601">
        <f t="shared" si="20"/>
        <v>-1.2499999997089617E-2</v>
      </c>
      <c r="S81" s="1602">
        <v>70520.452000000005</v>
      </c>
      <c r="T81" s="1602">
        <v>36767.866999999998</v>
      </c>
      <c r="U81" s="1603">
        <f t="shared" si="15"/>
        <v>-9.0000000054715201E-3</v>
      </c>
      <c r="V81" s="1604">
        <v>147538.07</v>
      </c>
      <c r="W81" s="1601">
        <f t="shared" si="16"/>
        <v>0</v>
      </c>
      <c r="X81" s="1586"/>
      <c r="Y81" s="1587"/>
      <c r="Z81" s="1588">
        <f t="shared" si="17"/>
        <v>-159794</v>
      </c>
      <c r="AA81" s="1588">
        <f t="shared" si="8"/>
        <v>159794</v>
      </c>
      <c r="AB81" s="1588">
        <f t="shared" si="18"/>
        <v>155660.91648641598</v>
      </c>
      <c r="AC81" s="1588">
        <f t="shared" si="19"/>
        <v>4133.0835135840171</v>
      </c>
      <c r="AD81" s="1589" t="e">
        <f t="shared" si="21"/>
        <v>#REF!</v>
      </c>
      <c r="AE81" s="1457"/>
      <c r="AF81" s="1457"/>
    </row>
    <row r="82" spans="3:36" x14ac:dyDescent="0.25">
      <c r="C82" s="1590">
        <f t="shared" si="9"/>
        <v>43384</v>
      </c>
      <c r="D82" s="1591">
        <f t="shared" si="10"/>
        <v>150304.21677419354</v>
      </c>
      <c r="E82" s="1592">
        <f t="shared" si="11"/>
        <v>14421.080258064516</v>
      </c>
      <c r="F82" s="1593">
        <f t="shared" si="12"/>
        <v>322784.52443799999</v>
      </c>
      <c r="G82" s="1594">
        <f t="shared" si="13"/>
        <v>1.00893743</v>
      </c>
      <c r="H82" s="1595">
        <f t="shared" si="14"/>
        <v>325.6694</v>
      </c>
      <c r="I82" s="1596">
        <f t="shared" si="7"/>
        <v>487836.49980768806</v>
      </c>
      <c r="J82" s="2142">
        <v>68243</v>
      </c>
      <c r="K82" s="1576">
        <v>102348</v>
      </c>
      <c r="L82" s="2136">
        <v>0</v>
      </c>
      <c r="M82" s="1577">
        <v>144078.44552271167</v>
      </c>
      <c r="N82" s="1578">
        <v>70690.273438000004</v>
      </c>
      <c r="O82" s="1579">
        <v>107420.36</v>
      </c>
      <c r="P82" s="1580">
        <v>144673.891</v>
      </c>
      <c r="Q82" s="1581">
        <v>70690.273000000001</v>
      </c>
      <c r="R82" s="1601">
        <f t="shared" si="20"/>
        <v>4.3800000275950879E-4</v>
      </c>
      <c r="S82" s="1602">
        <v>70585.404999999999</v>
      </c>
      <c r="T82" s="1602">
        <v>36834.968000000001</v>
      </c>
      <c r="U82" s="1603">
        <f t="shared" si="15"/>
        <v>-1.2999999991734512E-2</v>
      </c>
      <c r="V82" s="1604">
        <v>144673.891</v>
      </c>
      <c r="W82" s="1601">
        <f t="shared" si="16"/>
        <v>0</v>
      </c>
      <c r="X82" s="1586"/>
      <c r="Y82" s="1587"/>
      <c r="Z82" s="1588">
        <f t="shared" si="17"/>
        <v>-170591</v>
      </c>
      <c r="AA82" s="1588">
        <f t="shared" si="8"/>
        <v>170591</v>
      </c>
      <c r="AB82" s="1588">
        <f t="shared" si="18"/>
        <v>152639.04302716802</v>
      </c>
      <c r="AC82" s="1588">
        <f t="shared" si="19"/>
        <v>17951.956972831977</v>
      </c>
      <c r="AD82" s="1589" t="e">
        <f t="shared" si="21"/>
        <v>#REF!</v>
      </c>
      <c r="AE82" s="1457"/>
      <c r="AF82" s="1457"/>
    </row>
    <row r="83" spans="3:36" x14ac:dyDescent="0.25">
      <c r="C83" s="1590">
        <f t="shared" si="9"/>
        <v>43385</v>
      </c>
      <c r="D83" s="1591">
        <f t="shared" si="10"/>
        <v>150304.21677419354</v>
      </c>
      <c r="E83" s="1592">
        <f t="shared" si="11"/>
        <v>14421.080258064516</v>
      </c>
      <c r="F83" s="1593">
        <f t="shared" si="12"/>
        <v>319358.78075000003</v>
      </c>
      <c r="G83" s="1594">
        <f t="shared" si="13"/>
        <v>1.00893743</v>
      </c>
      <c r="H83" s="1595">
        <f t="shared" si="14"/>
        <v>322.21300000000002</v>
      </c>
      <c r="I83" s="1596">
        <f t="shared" si="7"/>
        <v>484407.29971968808</v>
      </c>
      <c r="J83" s="2142">
        <v>68243</v>
      </c>
      <c r="K83" s="1576">
        <v>101416</v>
      </c>
      <c r="L83" s="2136">
        <v>0</v>
      </c>
      <c r="M83" s="1577">
        <v>161523.79626024855</v>
      </c>
      <c r="N83" s="1597">
        <v>70855.84375</v>
      </c>
      <c r="O83" s="1598">
        <v>107442.82</v>
      </c>
      <c r="P83" s="1599">
        <v>141060.117</v>
      </c>
      <c r="Q83" s="1600">
        <v>70855.842999999993</v>
      </c>
      <c r="R83" s="1601">
        <f t="shared" si="20"/>
        <v>7.5000000651925802E-4</v>
      </c>
      <c r="S83" s="1602">
        <v>70692.516000000003</v>
      </c>
      <c r="T83" s="1602">
        <v>36750.283000000003</v>
      </c>
      <c r="U83" s="1603">
        <f t="shared" si="15"/>
        <v>2.1000000007916242E-2</v>
      </c>
      <c r="V83" s="1604">
        <v>141060.117</v>
      </c>
      <c r="W83" s="1601">
        <f t="shared" si="16"/>
        <v>0</v>
      </c>
      <c r="X83" s="1586"/>
      <c r="Y83" s="1587"/>
      <c r="Z83" s="1588">
        <f t="shared" si="17"/>
        <v>-169659</v>
      </c>
      <c r="AA83" s="1588">
        <f t="shared" si="8"/>
        <v>169659</v>
      </c>
      <c r="AB83" s="1588">
        <f t="shared" si="18"/>
        <v>148826.344957728</v>
      </c>
      <c r="AC83" s="1588">
        <f t="shared" si="19"/>
        <v>20832.655042272003</v>
      </c>
      <c r="AD83" s="1589" t="e">
        <f t="shared" si="21"/>
        <v>#REF!</v>
      </c>
      <c r="AE83" s="1457"/>
      <c r="AF83" s="1457"/>
    </row>
    <row r="84" spans="3:36" x14ac:dyDescent="0.25">
      <c r="C84" s="1590">
        <f t="shared" si="9"/>
        <v>43386</v>
      </c>
      <c r="D84" s="1591">
        <f t="shared" si="10"/>
        <v>150304.21677419354</v>
      </c>
      <c r="E84" s="1592">
        <f t="shared" si="11"/>
        <v>14421.080258064516</v>
      </c>
      <c r="F84" s="1593">
        <f t="shared" si="12"/>
        <v>312531.414063</v>
      </c>
      <c r="G84" s="1594">
        <f t="shared" si="13"/>
        <v>1.00893743</v>
      </c>
      <c r="H84" s="1595">
        <f t="shared" si="14"/>
        <v>315.32459999999998</v>
      </c>
      <c r="I84" s="1596">
        <f t="shared" si="7"/>
        <v>477573.04463268805</v>
      </c>
      <c r="J84" s="2142">
        <v>68243</v>
      </c>
      <c r="K84" s="1576">
        <v>101416</v>
      </c>
      <c r="L84" s="2136">
        <v>0</v>
      </c>
      <c r="M84" s="1577">
        <v>152891.32817832977</v>
      </c>
      <c r="N84" s="1578">
        <v>70835.914063000004</v>
      </c>
      <c r="O84" s="1579">
        <v>107607.18</v>
      </c>
      <c r="P84" s="1580">
        <v>134088.32000000001</v>
      </c>
      <c r="Q84" s="1581">
        <v>70835.914000000004</v>
      </c>
      <c r="R84" s="1601">
        <f t="shared" si="20"/>
        <v>6.2999999499879777E-5</v>
      </c>
      <c r="S84" s="1602">
        <v>70671.380999999994</v>
      </c>
      <c r="T84" s="1602">
        <v>36935.800000000003</v>
      </c>
      <c r="U84" s="1603">
        <f t="shared" si="15"/>
        <v>-1.0000000038417056E-3</v>
      </c>
      <c r="V84" s="1604">
        <v>134088.32000000001</v>
      </c>
      <c r="W84" s="1601">
        <f t="shared" si="16"/>
        <v>0</v>
      </c>
      <c r="X84" s="1586"/>
      <c r="Y84" s="1587"/>
      <c r="Z84" s="1588">
        <f t="shared" si="17"/>
        <v>-169659</v>
      </c>
      <c r="AA84" s="1588">
        <f t="shared" si="8"/>
        <v>169659</v>
      </c>
      <c r="AB84" s="1588">
        <f t="shared" si="18"/>
        <v>141470.68549086401</v>
      </c>
      <c r="AC84" s="1588">
        <f t="shared" si="19"/>
        <v>28188.314509135991</v>
      </c>
      <c r="AD84" s="1589" t="e">
        <f t="shared" si="21"/>
        <v>#REF!</v>
      </c>
      <c r="AE84" s="1457"/>
      <c r="AF84" s="1457"/>
    </row>
    <row r="85" spans="3:36" x14ac:dyDescent="0.25">
      <c r="C85" s="1590">
        <f t="shared" si="9"/>
        <v>43387</v>
      </c>
      <c r="D85" s="1591">
        <f t="shared" si="10"/>
        <v>150304.21677419354</v>
      </c>
      <c r="E85" s="1592">
        <f t="shared" si="11"/>
        <v>14421.080258064516</v>
      </c>
      <c r="F85" s="1593">
        <f t="shared" si="12"/>
        <v>310502.57118800003</v>
      </c>
      <c r="G85" s="1594">
        <f t="shared" si="13"/>
        <v>1.00893743</v>
      </c>
      <c r="H85" s="1595">
        <f t="shared" si="14"/>
        <v>313.27769999999998</v>
      </c>
      <c r="I85" s="1596">
        <f t="shared" si="7"/>
        <v>475542.15485768806</v>
      </c>
      <c r="J85" s="2142">
        <v>68243</v>
      </c>
      <c r="K85" s="1576">
        <v>101416</v>
      </c>
      <c r="L85" s="2136">
        <v>0</v>
      </c>
      <c r="M85" s="1577">
        <v>152891.32817832977</v>
      </c>
      <c r="N85" s="1597">
        <v>70918.492188000004</v>
      </c>
      <c r="O85" s="1598">
        <v>107669.95</v>
      </c>
      <c r="P85" s="1599">
        <v>131914.12899999999</v>
      </c>
      <c r="Q85" s="1600">
        <v>70918.491999999998</v>
      </c>
      <c r="R85" s="1601">
        <f t="shared" si="20"/>
        <v>1.8800000543706119E-4</v>
      </c>
      <c r="S85" s="1602">
        <v>70894.819000000003</v>
      </c>
      <c r="T85" s="1602">
        <v>36775.125</v>
      </c>
      <c r="U85" s="1603">
        <f t="shared" si="15"/>
        <v>5.9999999939464033E-3</v>
      </c>
      <c r="V85" s="1604">
        <v>131914.12899999999</v>
      </c>
      <c r="W85" s="1601">
        <f t="shared" si="16"/>
        <v>0</v>
      </c>
      <c r="X85" s="1586"/>
      <c r="Y85" s="1587"/>
      <c r="Z85" s="1588">
        <f t="shared" si="17"/>
        <v>-169659</v>
      </c>
      <c r="AA85" s="1588">
        <f t="shared" si="8"/>
        <v>169659</v>
      </c>
      <c r="AB85" s="1588">
        <f t="shared" si="18"/>
        <v>139176.79961655999</v>
      </c>
      <c r="AC85" s="1588">
        <f t="shared" si="19"/>
        <v>30482.200383440009</v>
      </c>
      <c r="AD85" s="1589" t="e">
        <f t="shared" si="21"/>
        <v>#REF!</v>
      </c>
      <c r="AE85" s="1457"/>
      <c r="AF85" s="1457"/>
    </row>
    <row r="86" spans="3:36" x14ac:dyDescent="0.25">
      <c r="C86" s="1590">
        <f t="shared" si="9"/>
        <v>43388</v>
      </c>
      <c r="D86" s="1591">
        <f t="shared" si="10"/>
        <v>150304.21677419354</v>
      </c>
      <c r="E86" s="1592">
        <f t="shared" si="11"/>
        <v>14421.080258064516</v>
      </c>
      <c r="F86" s="1593">
        <f t="shared" si="12"/>
        <v>337981.97750000004</v>
      </c>
      <c r="G86" s="1594">
        <f t="shared" si="13"/>
        <v>1.00893743</v>
      </c>
      <c r="H86" s="1595">
        <f t="shared" si="14"/>
        <v>341.0027</v>
      </c>
      <c r="I86" s="1596">
        <f t="shared" si="7"/>
        <v>503049.2861696881</v>
      </c>
      <c r="J86" s="2142">
        <v>68243</v>
      </c>
      <c r="K86" s="1576">
        <v>101416</v>
      </c>
      <c r="L86" s="2136">
        <v>0</v>
      </c>
      <c r="M86" s="1577">
        <v>152891.32817832977</v>
      </c>
      <c r="N86" s="1578">
        <v>70835.8125</v>
      </c>
      <c r="O86" s="1579">
        <v>111680.97</v>
      </c>
      <c r="P86" s="1580">
        <v>155465.19500000001</v>
      </c>
      <c r="Q86" s="1581">
        <v>70835.8</v>
      </c>
      <c r="R86" s="1601">
        <f t="shared" si="20"/>
        <v>1.2499999997089617E-2</v>
      </c>
      <c r="S86" s="1602">
        <v>74975.744999999995</v>
      </c>
      <c r="T86" s="1602">
        <v>36705.237000000001</v>
      </c>
      <c r="U86" s="1603">
        <f t="shared" si="15"/>
        <v>-1.1999999987892807E-2</v>
      </c>
      <c r="V86" s="1604">
        <v>155465.19500000001</v>
      </c>
      <c r="W86" s="1601">
        <f t="shared" si="16"/>
        <v>0</v>
      </c>
      <c r="X86" s="1586"/>
      <c r="Y86" s="1587"/>
      <c r="Z86" s="1588">
        <f t="shared" si="17"/>
        <v>-169659</v>
      </c>
      <c r="AA86" s="1588">
        <f t="shared" si="8"/>
        <v>169659</v>
      </c>
      <c r="AB86" s="1588">
        <f t="shared" si="18"/>
        <v>164024.47411524801</v>
      </c>
      <c r="AC86" s="1588">
        <f t="shared" si="19"/>
        <v>5634.5258847519872</v>
      </c>
      <c r="AD86" s="1589" t="e">
        <f t="shared" si="21"/>
        <v>#REF!</v>
      </c>
      <c r="AE86" s="1457"/>
      <c r="AF86" s="1457"/>
    </row>
    <row r="87" spans="3:36" x14ac:dyDescent="0.25">
      <c r="C87" s="1590">
        <f t="shared" si="9"/>
        <v>43389</v>
      </c>
      <c r="D87" s="1591">
        <f t="shared" si="10"/>
        <v>150304.21677419354</v>
      </c>
      <c r="E87" s="1592">
        <f t="shared" si="11"/>
        <v>14421.080258064516</v>
      </c>
      <c r="F87" s="1593">
        <f t="shared" si="12"/>
        <v>337477.86118800001</v>
      </c>
      <c r="G87" s="1594">
        <f t="shared" si="13"/>
        <v>1.00893743</v>
      </c>
      <c r="H87" s="1595">
        <f t="shared" si="14"/>
        <v>340.49400000000003</v>
      </c>
      <c r="I87" s="1596">
        <f t="shared" si="7"/>
        <v>502544.66115768807</v>
      </c>
      <c r="J87" s="2142">
        <v>67295</v>
      </c>
      <c r="K87" s="1576">
        <v>101416</v>
      </c>
      <c r="L87" s="2136">
        <v>0</v>
      </c>
      <c r="M87" s="1577">
        <v>163756.29472777972</v>
      </c>
      <c r="N87" s="1597">
        <v>72727.117188000004</v>
      </c>
      <c r="O87" s="1598">
        <v>114258.51</v>
      </c>
      <c r="P87" s="1599">
        <v>150492.234</v>
      </c>
      <c r="Q87" s="1600">
        <v>72727.100000000006</v>
      </c>
      <c r="R87" s="1601">
        <f t="shared" si="20"/>
        <v>1.7187999997986481E-2</v>
      </c>
      <c r="S87" s="1602">
        <v>77406.342000000004</v>
      </c>
      <c r="T87" s="1602">
        <v>36852.182999999997</v>
      </c>
      <c r="U87" s="1603">
        <f t="shared" si="15"/>
        <v>-1.4999999999417923E-2</v>
      </c>
      <c r="V87" s="1604">
        <v>150492.234</v>
      </c>
      <c r="W87" s="1601">
        <f t="shared" si="16"/>
        <v>0</v>
      </c>
      <c r="X87" s="1586"/>
      <c r="Y87" s="1587"/>
      <c r="Z87" s="1588">
        <f t="shared" si="17"/>
        <v>-168711</v>
      </c>
      <c r="AA87" s="1588">
        <f t="shared" si="8"/>
        <v>168711</v>
      </c>
      <c r="AB87" s="1588">
        <f t="shared" si="18"/>
        <v>158777.71860926397</v>
      </c>
      <c r="AC87" s="1588">
        <f t="shared" si="19"/>
        <v>9933.2813907360251</v>
      </c>
      <c r="AD87" s="1589" t="e">
        <f t="shared" si="21"/>
        <v>#REF!</v>
      </c>
      <c r="AE87" s="1457"/>
      <c r="AF87" s="1457"/>
    </row>
    <row r="88" spans="3:36" x14ac:dyDescent="0.25">
      <c r="C88" s="1590">
        <f t="shared" si="9"/>
        <v>43390</v>
      </c>
      <c r="D88" s="1591">
        <f t="shared" si="10"/>
        <v>150304.21677419354</v>
      </c>
      <c r="E88" s="1592">
        <f t="shared" si="11"/>
        <v>14421.080258064516</v>
      </c>
      <c r="F88" s="1593">
        <f t="shared" si="12"/>
        <v>202368.36781300002</v>
      </c>
      <c r="G88" s="1594">
        <f t="shared" si="13"/>
        <v>1.00893743</v>
      </c>
      <c r="H88" s="1595">
        <f t="shared" si="14"/>
        <v>204.17699999999999</v>
      </c>
      <c r="I88" s="1596">
        <f t="shared" si="7"/>
        <v>367298.85078268813</v>
      </c>
      <c r="J88" s="2142">
        <v>67295</v>
      </c>
      <c r="K88" s="1576">
        <v>101890</v>
      </c>
      <c r="L88" s="2136">
        <v>0</v>
      </c>
      <c r="M88" s="1577">
        <v>46138.653347639891</v>
      </c>
      <c r="N88" s="1578">
        <v>71571.882813000004</v>
      </c>
      <c r="O88" s="1579">
        <v>110263.13</v>
      </c>
      <c r="P88" s="1580">
        <v>20533.355</v>
      </c>
      <c r="Q88" s="1581">
        <v>71571.899999999994</v>
      </c>
      <c r="R88" s="1601">
        <f t="shared" si="20"/>
        <v>-1.7186999990371987E-2</v>
      </c>
      <c r="S88" s="1602">
        <v>72761.706000000006</v>
      </c>
      <c r="T88" s="1602">
        <v>37501.432000000001</v>
      </c>
      <c r="U88" s="1603">
        <f t="shared" si="15"/>
        <v>-8.0000000016298145E-3</v>
      </c>
      <c r="V88" s="1604">
        <v>20533.355</v>
      </c>
      <c r="W88" s="1601">
        <f t="shared" si="16"/>
        <v>0</v>
      </c>
      <c r="X88" s="1586"/>
      <c r="Y88" s="1587"/>
      <c r="Z88" s="1588">
        <f t="shared" si="17"/>
        <v>-169185</v>
      </c>
      <c r="AA88" s="1588">
        <f t="shared" si="8"/>
        <v>169185</v>
      </c>
      <c r="AB88" s="1588">
        <f t="shared" si="18"/>
        <v>21663.830952431999</v>
      </c>
      <c r="AC88" s="1588">
        <f t="shared" si="19"/>
        <v>147521.16904756799</v>
      </c>
      <c r="AD88" s="1589" t="e">
        <f t="shared" si="21"/>
        <v>#REF!</v>
      </c>
      <c r="AE88" s="1457"/>
      <c r="AF88" s="1457"/>
    </row>
    <row r="89" spans="3:36" x14ac:dyDescent="0.25">
      <c r="C89" s="1590">
        <f t="shared" si="9"/>
        <v>43391</v>
      </c>
      <c r="D89" s="1591">
        <f t="shared" si="10"/>
        <v>150304.21677419354</v>
      </c>
      <c r="E89" s="1592">
        <f t="shared" si="11"/>
        <v>14421.080258064516</v>
      </c>
      <c r="F89" s="1593">
        <f t="shared" si="12"/>
        <v>180028.60406300001</v>
      </c>
      <c r="G89" s="1594">
        <f t="shared" si="13"/>
        <v>1.00893743</v>
      </c>
      <c r="H89" s="1595">
        <f t="shared" si="14"/>
        <v>181.63759999999999</v>
      </c>
      <c r="I89" s="1596">
        <f t="shared" si="7"/>
        <v>344936.54763268807</v>
      </c>
      <c r="J89" s="2142">
        <v>66821</v>
      </c>
      <c r="K89" s="1576">
        <v>101416</v>
      </c>
      <c r="L89" s="2136">
        <v>0</v>
      </c>
      <c r="M89" s="1577">
        <v>0</v>
      </c>
      <c r="N89" s="1597">
        <v>71702.414063000004</v>
      </c>
      <c r="O89" s="1598">
        <v>108326.19</v>
      </c>
      <c r="P89" s="1577">
        <v>0</v>
      </c>
      <c r="Q89" s="1600">
        <v>71702.399999999994</v>
      </c>
      <c r="R89" s="1601">
        <f t="shared" si="20"/>
        <v>1.4063000009628013E-2</v>
      </c>
      <c r="S89" s="1602">
        <v>70613.471000000005</v>
      </c>
      <c r="T89" s="1602">
        <v>37712.709000000003</v>
      </c>
      <c r="U89" s="1603">
        <f t="shared" si="15"/>
        <v>9.9999999947613105E-3</v>
      </c>
      <c r="V89" s="1604">
        <v>0</v>
      </c>
      <c r="W89" s="1601">
        <f t="shared" si="16"/>
        <v>0</v>
      </c>
      <c r="X89" s="1586"/>
      <c r="Y89" s="1587"/>
      <c r="Z89" s="1588">
        <f t="shared" si="17"/>
        <v>-168237</v>
      </c>
      <c r="AA89" s="1588">
        <f t="shared" si="8"/>
        <v>168237</v>
      </c>
      <c r="AB89" s="1588">
        <f t="shared" si="18"/>
        <v>1.0550559994472889E-2</v>
      </c>
      <c r="AC89" s="1588">
        <f t="shared" si="19"/>
        <v>168236.98944944001</v>
      </c>
      <c r="AD89" s="1589" t="e">
        <f t="shared" si="21"/>
        <v>#REF!</v>
      </c>
      <c r="AE89" s="1457"/>
      <c r="AF89" s="1457"/>
    </row>
    <row r="90" spans="3:36" x14ac:dyDescent="0.25">
      <c r="C90" s="1590">
        <f t="shared" si="9"/>
        <v>43392</v>
      </c>
      <c r="D90" s="1591">
        <f t="shared" si="10"/>
        <v>150304.21677419354</v>
      </c>
      <c r="E90" s="1592">
        <f t="shared" si="11"/>
        <v>14421.080258064516</v>
      </c>
      <c r="F90" s="1593">
        <f t="shared" si="12"/>
        <v>178796.65343800001</v>
      </c>
      <c r="G90" s="1594">
        <f t="shared" si="13"/>
        <v>1.00893743</v>
      </c>
      <c r="H90" s="1595">
        <f t="shared" si="14"/>
        <v>180.3946</v>
      </c>
      <c r="I90" s="1596">
        <f t="shared" si="7"/>
        <v>343703.35400768806</v>
      </c>
      <c r="J90" s="2142">
        <v>67295</v>
      </c>
      <c r="K90" s="1576">
        <v>100000</v>
      </c>
      <c r="L90" s="2136">
        <v>0</v>
      </c>
      <c r="M90" s="1577">
        <v>0</v>
      </c>
      <c r="N90" s="1578">
        <v>71193.273438000004</v>
      </c>
      <c r="O90" s="1579">
        <v>107603.38</v>
      </c>
      <c r="P90" s="1577">
        <v>0</v>
      </c>
      <c r="Q90" s="1581">
        <v>71193.27</v>
      </c>
      <c r="R90" s="1601">
        <f t="shared" si="20"/>
        <v>3.4379999997327104E-3</v>
      </c>
      <c r="S90" s="1602">
        <v>72510.648000000001</v>
      </c>
      <c r="T90" s="1602">
        <v>35092.711000000003</v>
      </c>
      <c r="U90" s="1603">
        <f t="shared" si="15"/>
        <v>2.1000000007916242E-2</v>
      </c>
      <c r="V90" s="1604">
        <v>0</v>
      </c>
      <c r="W90" s="1601">
        <f t="shared" si="16"/>
        <v>0</v>
      </c>
      <c r="X90" s="1586"/>
      <c r="Y90" s="1587"/>
      <c r="Z90" s="1588">
        <f t="shared" si="17"/>
        <v>-167295</v>
      </c>
      <c r="AA90" s="1588">
        <f t="shared" si="8"/>
        <v>167295</v>
      </c>
      <c r="AB90" s="1588">
        <f t="shared" si="18"/>
        <v>2.2156176008352079E-2</v>
      </c>
      <c r="AC90" s="1588">
        <f t="shared" si="19"/>
        <v>167294.97784382399</v>
      </c>
      <c r="AD90" s="1589" t="e">
        <f t="shared" si="21"/>
        <v>#REF!</v>
      </c>
      <c r="AE90" s="1457"/>
      <c r="AF90" s="1457"/>
    </row>
    <row r="91" spans="3:36" x14ac:dyDescent="0.25">
      <c r="C91" s="1590">
        <f t="shared" si="9"/>
        <v>43393</v>
      </c>
      <c r="D91" s="1591">
        <f t="shared" si="10"/>
        <v>150304.21677419354</v>
      </c>
      <c r="E91" s="1592">
        <f t="shared" si="11"/>
        <v>14421.080258064516</v>
      </c>
      <c r="F91" s="1593">
        <f t="shared" si="12"/>
        <v>178232.147188</v>
      </c>
      <c r="G91" s="1594">
        <f t="shared" si="13"/>
        <v>1.00893743</v>
      </c>
      <c r="H91" s="1595">
        <f t="shared" si="14"/>
        <v>179.82509999999999</v>
      </c>
      <c r="I91" s="1596">
        <f t="shared" si="7"/>
        <v>343138.27825768804</v>
      </c>
      <c r="J91" s="2142">
        <v>66820</v>
      </c>
      <c r="K91" s="1576">
        <v>100565</v>
      </c>
      <c r="L91" s="2136">
        <v>0</v>
      </c>
      <c r="M91" s="1577">
        <v>0</v>
      </c>
      <c r="N91" s="1597">
        <v>70881.367188000004</v>
      </c>
      <c r="O91" s="1598">
        <v>107350.78</v>
      </c>
      <c r="P91" s="1577">
        <v>0</v>
      </c>
      <c r="Q91" s="1600">
        <v>70881.37</v>
      </c>
      <c r="R91" s="1601">
        <f t="shared" si="20"/>
        <v>-2.8119999915361404E-3</v>
      </c>
      <c r="S91" s="1602">
        <v>69946.998000000007</v>
      </c>
      <c r="T91" s="1602">
        <v>37403.790999999997</v>
      </c>
      <c r="U91" s="1603">
        <f t="shared" si="15"/>
        <v>-9.0000000054715201E-3</v>
      </c>
      <c r="V91" s="1604">
        <v>0</v>
      </c>
      <c r="W91" s="1601">
        <f t="shared" si="16"/>
        <v>0</v>
      </c>
      <c r="X91" s="1586"/>
      <c r="Y91" s="1587"/>
      <c r="Z91" s="1588">
        <f t="shared" si="17"/>
        <v>-167385</v>
      </c>
      <c r="AA91" s="1588">
        <f t="shared" si="8"/>
        <v>167385</v>
      </c>
      <c r="AB91" s="1588">
        <f t="shared" si="18"/>
        <v>-9.4955040057727608E-3</v>
      </c>
      <c r="AC91" s="1588">
        <f t="shared" si="19"/>
        <v>167385.009495504</v>
      </c>
      <c r="AD91" s="1589" t="e">
        <f t="shared" si="21"/>
        <v>#REF!</v>
      </c>
      <c r="AE91" s="1457"/>
      <c r="AF91" s="1457"/>
    </row>
    <row r="92" spans="3:36" x14ac:dyDescent="0.25">
      <c r="C92" s="1590">
        <f t="shared" si="9"/>
        <v>43394</v>
      </c>
      <c r="D92" s="1591">
        <f t="shared" si="10"/>
        <v>150304.21677419354</v>
      </c>
      <c r="E92" s="1592">
        <f t="shared" si="11"/>
        <v>14421.080258064516</v>
      </c>
      <c r="F92" s="1593">
        <f t="shared" si="12"/>
        <v>175288.328438</v>
      </c>
      <c r="G92" s="1594">
        <f t="shared" si="13"/>
        <v>1.00893743</v>
      </c>
      <c r="H92" s="1595">
        <f t="shared" si="14"/>
        <v>176.85499999999999</v>
      </c>
      <c r="I92" s="1596">
        <f t="shared" si="7"/>
        <v>340191.48940768803</v>
      </c>
      <c r="J92" s="2142">
        <v>66820</v>
      </c>
      <c r="K92" s="1576">
        <v>90814</v>
      </c>
      <c r="L92" s="2136">
        <v>0</v>
      </c>
      <c r="M92" s="1577">
        <v>0</v>
      </c>
      <c r="N92" s="1578">
        <v>70997.898438000004</v>
      </c>
      <c r="O92" s="1579">
        <v>104290.43</v>
      </c>
      <c r="P92" s="1577">
        <v>0</v>
      </c>
      <c r="Q92" s="1581">
        <v>70997.899999999994</v>
      </c>
      <c r="R92" s="1601">
        <f t="shared" si="20"/>
        <v>-1.5619999903719872E-3</v>
      </c>
      <c r="S92" s="1602">
        <v>66952.364000000001</v>
      </c>
      <c r="T92" s="1602">
        <v>37338.065000000002</v>
      </c>
      <c r="U92" s="1603">
        <f t="shared" si="15"/>
        <v>9.9999998928979039E-4</v>
      </c>
      <c r="V92" s="1604">
        <v>0</v>
      </c>
      <c r="W92" s="1601">
        <f t="shared" si="16"/>
        <v>0</v>
      </c>
      <c r="X92" s="1586"/>
      <c r="Y92" s="1587"/>
      <c r="Z92" s="1588">
        <f t="shared" si="17"/>
        <v>-157634</v>
      </c>
      <c r="AA92" s="1588">
        <f t="shared" si="8"/>
        <v>157634</v>
      </c>
      <c r="AB92" s="1588">
        <f t="shared" si="18"/>
        <v>1.055055988700129E-3</v>
      </c>
      <c r="AC92" s="1588">
        <f t="shared" si="19"/>
        <v>157633.998944944</v>
      </c>
      <c r="AD92" s="1589" t="e">
        <f t="shared" si="21"/>
        <v>#REF!</v>
      </c>
      <c r="AE92" s="1457"/>
      <c r="AF92" s="1457"/>
    </row>
    <row r="93" spans="3:36" x14ac:dyDescent="0.25">
      <c r="C93" s="1590">
        <f t="shared" si="9"/>
        <v>43395</v>
      </c>
      <c r="D93" s="1591">
        <f t="shared" si="10"/>
        <v>150304.21677419354</v>
      </c>
      <c r="E93" s="1592">
        <f t="shared" si="11"/>
        <v>14421.080258064516</v>
      </c>
      <c r="F93" s="1593">
        <f t="shared" si="12"/>
        <v>180020.71312500001</v>
      </c>
      <c r="G93" s="1594">
        <f t="shared" si="13"/>
        <v>1.00893743</v>
      </c>
      <c r="H93" s="1595">
        <f t="shared" si="14"/>
        <v>181.62960000000001</v>
      </c>
      <c r="I93" s="1596">
        <f t="shared" si="7"/>
        <v>344928.64869468805</v>
      </c>
      <c r="J93" s="2142">
        <v>66820</v>
      </c>
      <c r="K93" s="1576">
        <v>100565</v>
      </c>
      <c r="L93" s="2136">
        <v>0</v>
      </c>
      <c r="M93" s="1577">
        <v>0</v>
      </c>
      <c r="N93" s="1597">
        <v>71653.703125</v>
      </c>
      <c r="O93" s="1598">
        <v>108367.01</v>
      </c>
      <c r="P93" s="1577">
        <v>0</v>
      </c>
      <c r="Q93" s="1600">
        <v>71653.702999999994</v>
      </c>
      <c r="R93" s="1601">
        <f t="shared" si="20"/>
        <v>1.2500000593718141E-4</v>
      </c>
      <c r="S93" s="1602">
        <v>70938.929000000004</v>
      </c>
      <c r="T93" s="1602">
        <v>37428.093000000001</v>
      </c>
      <c r="U93" s="1603">
        <f t="shared" si="15"/>
        <v>-1.2000000002444722E-2</v>
      </c>
      <c r="V93" s="1604">
        <v>0</v>
      </c>
      <c r="W93" s="1601">
        <f t="shared" si="16"/>
        <v>0</v>
      </c>
      <c r="X93" s="1586"/>
      <c r="Y93" s="1587"/>
      <c r="Z93" s="1588">
        <f t="shared" si="17"/>
        <v>-167385</v>
      </c>
      <c r="AA93" s="1588">
        <f t="shared" si="8"/>
        <v>167385</v>
      </c>
      <c r="AB93" s="1588">
        <f t="shared" si="18"/>
        <v>-1.2660672002579318E-2</v>
      </c>
      <c r="AC93" s="1588">
        <f t="shared" si="19"/>
        <v>167385.01266067202</v>
      </c>
      <c r="AD93" s="1589" t="e">
        <f t="shared" si="21"/>
        <v>#REF!</v>
      </c>
      <c r="AE93" s="1457"/>
      <c r="AF93" s="1457"/>
    </row>
    <row r="94" spans="3:36" x14ac:dyDescent="0.25">
      <c r="C94" s="1590">
        <f t="shared" si="9"/>
        <v>43396</v>
      </c>
      <c r="D94" s="1591">
        <f t="shared" si="10"/>
        <v>150304.21677419354</v>
      </c>
      <c r="E94" s="1592">
        <f t="shared" si="11"/>
        <v>14421.080258064516</v>
      </c>
      <c r="F94" s="1593">
        <f t="shared" si="12"/>
        <v>167037.812813</v>
      </c>
      <c r="G94" s="1594">
        <f t="shared" si="13"/>
        <v>1.00893743</v>
      </c>
      <c r="H94" s="1595">
        <f t="shared" si="14"/>
        <v>168.5307</v>
      </c>
      <c r="I94" s="1596">
        <f t="shared" si="7"/>
        <v>331932.64948268805</v>
      </c>
      <c r="J94" s="2142">
        <v>67295</v>
      </c>
      <c r="K94" s="1576">
        <v>74640</v>
      </c>
      <c r="L94" s="2136">
        <v>0</v>
      </c>
      <c r="M94" s="1577">
        <v>0</v>
      </c>
      <c r="N94" s="1578">
        <v>73298.132813000004</v>
      </c>
      <c r="O94" s="1579">
        <v>93739.68</v>
      </c>
      <c r="P94" s="1577">
        <v>0</v>
      </c>
      <c r="Q94" s="1581">
        <v>73298.133000000002</v>
      </c>
      <c r="R94" s="1601">
        <f t="shared" si="20"/>
        <v>-1.8699999782256782E-4</v>
      </c>
      <c r="S94" s="1602">
        <v>75013.606</v>
      </c>
      <c r="T94" s="1602">
        <v>18726.078000000001</v>
      </c>
      <c r="U94" s="1603">
        <f t="shared" si="15"/>
        <v>-4.0000000153668225E-3</v>
      </c>
      <c r="V94" s="1604">
        <v>0</v>
      </c>
      <c r="W94" s="1601">
        <f t="shared" si="16"/>
        <v>0</v>
      </c>
      <c r="X94" s="1586"/>
      <c r="Y94" s="1587"/>
      <c r="Z94" s="1588">
        <f t="shared" si="17"/>
        <v>-141935</v>
      </c>
      <c r="AA94" s="1588">
        <f t="shared" si="8"/>
        <v>141935</v>
      </c>
      <c r="AB94" s="1588">
        <f t="shared" si="18"/>
        <v>-4.2202240162128582E-3</v>
      </c>
      <c r="AC94" s="1588">
        <f t="shared" si="19"/>
        <v>141935.00422022401</v>
      </c>
      <c r="AD94" s="1589" t="e">
        <f t="shared" si="21"/>
        <v>#REF!</v>
      </c>
      <c r="AE94" s="1457"/>
      <c r="AF94" s="1457"/>
    </row>
    <row r="95" spans="3:36" x14ac:dyDescent="0.25">
      <c r="C95" s="1590">
        <f t="shared" si="9"/>
        <v>43397</v>
      </c>
      <c r="D95" s="1591">
        <f t="shared" si="10"/>
        <v>150304.21677419354</v>
      </c>
      <c r="E95" s="1592">
        <f t="shared" si="11"/>
        <v>14421.080258064516</v>
      </c>
      <c r="F95" s="1593">
        <f t="shared" si="12"/>
        <v>180101.89781300002</v>
      </c>
      <c r="G95" s="1594">
        <f t="shared" si="13"/>
        <v>1.00893743</v>
      </c>
      <c r="H95" s="1595">
        <f t="shared" si="14"/>
        <v>181.7115</v>
      </c>
      <c r="I95" s="1596">
        <f t="shared" si="7"/>
        <v>345009.91528268805</v>
      </c>
      <c r="J95" s="2142">
        <v>66820</v>
      </c>
      <c r="K95" s="1576">
        <v>96224</v>
      </c>
      <c r="L95" s="2136">
        <v>0</v>
      </c>
      <c r="M95" s="1577">
        <v>0</v>
      </c>
      <c r="N95" s="1597">
        <v>71798.507813000004</v>
      </c>
      <c r="O95" s="1598">
        <v>108303.39</v>
      </c>
      <c r="P95" s="1577">
        <v>0</v>
      </c>
      <c r="Q95" s="1600">
        <v>71798.508000000002</v>
      </c>
      <c r="R95" s="1601">
        <f t="shared" si="20"/>
        <v>-1.8699999782256782E-4</v>
      </c>
      <c r="S95" s="1602">
        <v>70754.134000000005</v>
      </c>
      <c r="T95" s="1602">
        <v>37549.250999999997</v>
      </c>
      <c r="U95" s="1603">
        <f t="shared" si="15"/>
        <v>4.9999999901046976E-3</v>
      </c>
      <c r="V95" s="1604">
        <v>0</v>
      </c>
      <c r="W95" s="1601">
        <f t="shared" si="16"/>
        <v>0</v>
      </c>
      <c r="X95" s="1586"/>
      <c r="Y95" s="1587"/>
      <c r="Z95" s="1588">
        <f t="shared" si="17"/>
        <v>-163044</v>
      </c>
      <c r="AA95" s="1588">
        <f t="shared" si="8"/>
        <v>163044</v>
      </c>
      <c r="AB95" s="1588">
        <f t="shared" si="18"/>
        <v>5.2752799895599018E-3</v>
      </c>
      <c r="AC95" s="1588">
        <f t="shared" si="19"/>
        <v>163043.99472472002</v>
      </c>
      <c r="AD95" s="1589" t="e">
        <f t="shared" si="21"/>
        <v>#REF!</v>
      </c>
      <c r="AG95" s="1460"/>
      <c r="AH95" s="1460"/>
      <c r="AI95" s="1460"/>
      <c r="AJ95" s="1460"/>
    </row>
    <row r="96" spans="3:36" x14ac:dyDescent="0.25">
      <c r="C96" s="1590">
        <f t="shared" si="9"/>
        <v>43398</v>
      </c>
      <c r="D96" s="1591">
        <f t="shared" si="10"/>
        <v>150304.21677419354</v>
      </c>
      <c r="E96" s="1592">
        <f t="shared" si="11"/>
        <v>14421.080258064516</v>
      </c>
      <c r="F96" s="1593">
        <f t="shared" si="12"/>
        <v>180815.40899999999</v>
      </c>
      <c r="G96" s="1594">
        <f t="shared" si="13"/>
        <v>1.00893743</v>
      </c>
      <c r="H96" s="1595">
        <f t="shared" si="14"/>
        <v>182.4314</v>
      </c>
      <c r="I96" s="1596">
        <f t="shared" si="7"/>
        <v>345724.14636968804</v>
      </c>
      <c r="J96" s="2142">
        <v>66820</v>
      </c>
      <c r="K96" s="1576">
        <v>92656</v>
      </c>
      <c r="L96" s="2136">
        <v>0</v>
      </c>
      <c r="M96" s="1577">
        <v>0</v>
      </c>
      <c r="N96" s="1578">
        <v>72020.558999999994</v>
      </c>
      <c r="O96" s="1579">
        <v>108794.85</v>
      </c>
      <c r="P96" s="1577">
        <v>0</v>
      </c>
      <c r="Q96" s="1581">
        <v>72020.558999999994</v>
      </c>
      <c r="R96" s="1601">
        <f t="shared" si="20"/>
        <v>0</v>
      </c>
      <c r="S96" s="1602">
        <v>71168.683999999994</v>
      </c>
      <c r="T96" s="1602">
        <v>37626.177000000003</v>
      </c>
      <c r="U96" s="1603">
        <f t="shared" si="15"/>
        <v>-1.0999999998603016E-2</v>
      </c>
      <c r="V96" s="1604">
        <v>0</v>
      </c>
      <c r="W96" s="1601">
        <f t="shared" si="16"/>
        <v>0</v>
      </c>
      <c r="X96" s="1586"/>
      <c r="Y96" s="1587"/>
      <c r="Z96" s="1588">
        <f t="shared" si="17"/>
        <v>-159476</v>
      </c>
      <c r="AA96" s="1588">
        <f t="shared" si="8"/>
        <v>159476</v>
      </c>
      <c r="AB96" s="1588">
        <f t="shared" si="18"/>
        <v>-1.1605615998526103E-2</v>
      </c>
      <c r="AC96" s="1588">
        <f t="shared" si="19"/>
        <v>159476.01160561599</v>
      </c>
      <c r="AD96" s="1589" t="e">
        <f t="shared" si="21"/>
        <v>#REF!</v>
      </c>
      <c r="AG96" s="1460"/>
      <c r="AH96" s="1460"/>
      <c r="AI96" s="1460"/>
      <c r="AJ96" s="1460"/>
    </row>
    <row r="97" spans="2:42" x14ac:dyDescent="0.25">
      <c r="C97" s="1590">
        <f t="shared" si="9"/>
        <v>43399</v>
      </c>
      <c r="D97" s="1591">
        <f t="shared" si="10"/>
        <v>150304.21677419354</v>
      </c>
      <c r="E97" s="1592">
        <f t="shared" si="11"/>
        <v>14421.080258064516</v>
      </c>
      <c r="F97" s="1593">
        <f t="shared" si="12"/>
        <v>179868.884063</v>
      </c>
      <c r="G97" s="1594">
        <f t="shared" si="13"/>
        <v>1.00893743</v>
      </c>
      <c r="H97" s="1595">
        <f t="shared" si="14"/>
        <v>181.47640000000001</v>
      </c>
      <c r="I97" s="1596">
        <f t="shared" si="7"/>
        <v>344776.66643268807</v>
      </c>
      <c r="J97" s="2142">
        <v>67295</v>
      </c>
      <c r="K97" s="1576">
        <v>96971</v>
      </c>
      <c r="L97" s="2136">
        <v>0</v>
      </c>
      <c r="M97" s="1577">
        <v>0</v>
      </c>
      <c r="N97" s="1597">
        <v>71362.414063000004</v>
      </c>
      <c r="O97" s="1598">
        <v>108506.47</v>
      </c>
      <c r="P97" s="1577">
        <v>0</v>
      </c>
      <c r="Q97" s="1600">
        <v>71362.414999999994</v>
      </c>
      <c r="R97" s="1601">
        <f t="shared" si="20"/>
        <v>-9.3699998978991061E-4</v>
      </c>
      <c r="S97" s="1602">
        <v>70992.592000000004</v>
      </c>
      <c r="T97" s="1602">
        <v>37513.898999999998</v>
      </c>
      <c r="U97" s="1603">
        <f t="shared" si="15"/>
        <v>-2.1000000007916242E-2</v>
      </c>
      <c r="V97" s="1604">
        <v>0</v>
      </c>
      <c r="W97" s="1601">
        <f t="shared" si="16"/>
        <v>0</v>
      </c>
      <c r="X97" s="1586"/>
      <c r="Y97" s="1587"/>
      <c r="Z97" s="1588">
        <f t="shared" si="17"/>
        <v>-164266</v>
      </c>
      <c r="AA97" s="1588">
        <f t="shared" si="8"/>
        <v>164266</v>
      </c>
      <c r="AB97" s="1588">
        <f t="shared" si="18"/>
        <v>-2.2156176008352079E-2</v>
      </c>
      <c r="AC97" s="1588">
        <f t="shared" si="19"/>
        <v>164266.02215617601</v>
      </c>
      <c r="AD97" s="1589" t="e">
        <f t="shared" si="21"/>
        <v>#REF!</v>
      </c>
      <c r="AG97" s="1460"/>
      <c r="AH97" s="1460"/>
      <c r="AI97" s="1460"/>
      <c r="AJ97" s="1460"/>
    </row>
    <row r="98" spans="2:42" x14ac:dyDescent="0.25">
      <c r="C98" s="1590">
        <f t="shared" si="9"/>
        <v>43400</v>
      </c>
      <c r="D98" s="1591">
        <f t="shared" si="10"/>
        <v>150304.21677419354</v>
      </c>
      <c r="E98" s="1592">
        <f t="shared" si="11"/>
        <v>14421.080258064516</v>
      </c>
      <c r="F98" s="1593">
        <f t="shared" si="12"/>
        <v>187197.10093800002</v>
      </c>
      <c r="G98" s="1594">
        <f t="shared" si="13"/>
        <v>1.00893743</v>
      </c>
      <c r="H98" s="1595">
        <f t="shared" si="14"/>
        <v>188.87020000000001</v>
      </c>
      <c r="I98" s="1596">
        <f t="shared" si="7"/>
        <v>352112.27710768807</v>
      </c>
      <c r="J98" s="2142">
        <v>67295</v>
      </c>
      <c r="K98" s="1576">
        <v>97775</v>
      </c>
      <c r="L98" s="2136">
        <v>0</v>
      </c>
      <c r="M98" s="1577">
        <v>0</v>
      </c>
      <c r="N98" s="1578">
        <v>74027.710938000004</v>
      </c>
      <c r="O98" s="1579">
        <v>113169.39</v>
      </c>
      <c r="P98" s="1577">
        <v>0</v>
      </c>
      <c r="Q98" s="1581">
        <v>74027.710999999996</v>
      </c>
      <c r="R98" s="1601">
        <f t="shared" si="20"/>
        <v>-6.1999991885386407E-5</v>
      </c>
      <c r="S98" s="1602">
        <v>74065.048999999999</v>
      </c>
      <c r="T98" s="1602">
        <v>39104.341</v>
      </c>
      <c r="U98" s="1603">
        <f t="shared" si="15"/>
        <v>0</v>
      </c>
      <c r="V98" s="1604">
        <v>0</v>
      </c>
      <c r="W98" s="1601">
        <f t="shared" si="16"/>
        <v>0</v>
      </c>
      <c r="X98" s="1586"/>
      <c r="Y98" s="1587"/>
      <c r="Z98" s="1588">
        <f t="shared" si="17"/>
        <v>-165070</v>
      </c>
      <c r="AA98" s="1588">
        <f t="shared" si="8"/>
        <v>165070</v>
      </c>
      <c r="AB98" s="1588">
        <f t="shared" si="18"/>
        <v>0</v>
      </c>
      <c r="AC98" s="1588">
        <f t="shared" si="19"/>
        <v>165070</v>
      </c>
      <c r="AD98" s="1589" t="e">
        <f t="shared" si="21"/>
        <v>#REF!</v>
      </c>
      <c r="AG98" s="1460"/>
      <c r="AH98" s="1460"/>
      <c r="AI98" s="1460"/>
      <c r="AJ98" s="1460"/>
    </row>
    <row r="99" spans="2:42" x14ac:dyDescent="0.25">
      <c r="C99" s="1590">
        <f t="shared" si="9"/>
        <v>43401</v>
      </c>
      <c r="D99" s="1591">
        <f t="shared" si="10"/>
        <v>150304.21677419354</v>
      </c>
      <c r="E99" s="1592">
        <f t="shared" si="11"/>
        <v>14421.080258064516</v>
      </c>
      <c r="F99" s="1593">
        <f t="shared" si="12"/>
        <v>180209.858125</v>
      </c>
      <c r="G99" s="1594">
        <f t="shared" si="13"/>
        <v>1.00893743</v>
      </c>
      <c r="H99" s="1595">
        <f t="shared" si="14"/>
        <v>181.82050000000001</v>
      </c>
      <c r="I99" s="1596">
        <f t="shared" si="7"/>
        <v>345117.98459468799</v>
      </c>
      <c r="J99" s="2142">
        <v>67295</v>
      </c>
      <c r="K99" s="1576">
        <v>97775</v>
      </c>
      <c r="L99" s="2136">
        <v>0</v>
      </c>
      <c r="M99" s="1577">
        <v>0</v>
      </c>
      <c r="N99" s="1597">
        <v>71519.078125</v>
      </c>
      <c r="O99" s="1598">
        <v>108690.78</v>
      </c>
      <c r="P99" s="1577">
        <v>0</v>
      </c>
      <c r="Q99" s="1600">
        <v>71519.077999999994</v>
      </c>
      <c r="R99" s="1601">
        <f t="shared" si="20"/>
        <v>1.2500000593718141E-4</v>
      </c>
      <c r="S99" s="1602">
        <v>70595.066999999995</v>
      </c>
      <c r="T99" s="1602">
        <v>38095.741000000002</v>
      </c>
      <c r="U99" s="1603">
        <f t="shared" si="15"/>
        <v>-2.7999999991152436E-2</v>
      </c>
      <c r="V99" s="1604">
        <v>0</v>
      </c>
      <c r="W99" s="1601">
        <f t="shared" si="16"/>
        <v>0</v>
      </c>
      <c r="X99" s="1586"/>
      <c r="Y99" s="1587"/>
      <c r="Z99" s="1588">
        <f t="shared" si="17"/>
        <v>-165070</v>
      </c>
      <c r="AA99" s="1588">
        <f t="shared" si="8"/>
        <v>165070</v>
      </c>
      <c r="AB99" s="1588">
        <f t="shared" si="18"/>
        <v>-2.9541567990665325E-2</v>
      </c>
      <c r="AC99" s="1588">
        <f t="shared" si="19"/>
        <v>165070.02954156799</v>
      </c>
      <c r="AD99" s="1589" t="e">
        <f t="shared" si="21"/>
        <v>#REF!</v>
      </c>
      <c r="AG99" s="1460"/>
      <c r="AH99" s="1460"/>
      <c r="AI99" s="1460"/>
      <c r="AJ99" s="1460"/>
    </row>
    <row r="100" spans="2:42" x14ac:dyDescent="0.25">
      <c r="C100" s="1590">
        <f t="shared" si="9"/>
        <v>43402</v>
      </c>
      <c r="D100" s="1591">
        <f t="shared" si="10"/>
        <v>150304.21677419354</v>
      </c>
      <c r="E100" s="1592">
        <f t="shared" si="11"/>
        <v>14421.080258064516</v>
      </c>
      <c r="F100" s="1593">
        <f t="shared" si="12"/>
        <v>179911.06156300002</v>
      </c>
      <c r="G100" s="1594">
        <f t="shared" si="13"/>
        <v>1.00893743</v>
      </c>
      <c r="H100" s="1595">
        <f>ROUND(J$22*G100*F100,4)</f>
        <v>181.51900000000001</v>
      </c>
      <c r="I100" s="1596">
        <f t="shared" si="7"/>
        <v>344818.88653268805</v>
      </c>
      <c r="J100" s="2142">
        <v>67295</v>
      </c>
      <c r="K100" s="1576">
        <v>97775</v>
      </c>
      <c r="L100" s="2136">
        <v>0</v>
      </c>
      <c r="M100" s="1577">
        <v>0</v>
      </c>
      <c r="N100" s="1578">
        <v>71435.601563000004</v>
      </c>
      <c r="O100" s="1579">
        <v>108475.46</v>
      </c>
      <c r="P100" s="1577">
        <v>0</v>
      </c>
      <c r="Q100" s="1581">
        <v>71435.601999999999</v>
      </c>
      <c r="R100" s="1601">
        <f t="shared" si="20"/>
        <v>-4.3699999514501542E-4</v>
      </c>
      <c r="S100" s="1602">
        <v>70777.535000000003</v>
      </c>
      <c r="T100" s="1602">
        <v>37697.902999999998</v>
      </c>
      <c r="U100" s="1603">
        <f t="shared" si="15"/>
        <v>2.2000000011757948E-2</v>
      </c>
      <c r="V100" s="1604">
        <v>0</v>
      </c>
      <c r="W100" s="1601">
        <f t="shared" si="16"/>
        <v>0</v>
      </c>
      <c r="X100" s="1586"/>
      <c r="Y100" s="1587"/>
      <c r="Z100" s="1588">
        <f t="shared" si="17"/>
        <v>-165070</v>
      </c>
      <c r="AA100" s="1588">
        <f t="shared" si="8"/>
        <v>165070</v>
      </c>
      <c r="AB100" s="1588">
        <f t="shared" si="18"/>
        <v>2.3211232012405294E-2</v>
      </c>
      <c r="AC100" s="1588">
        <f t="shared" si="19"/>
        <v>165069.97678876799</v>
      </c>
      <c r="AD100" s="1589" t="e">
        <f t="shared" si="21"/>
        <v>#REF!</v>
      </c>
      <c r="AG100" s="1460"/>
      <c r="AH100" s="1460"/>
      <c r="AI100" s="1460"/>
      <c r="AJ100" s="1460"/>
    </row>
    <row r="101" spans="2:42" x14ac:dyDescent="0.25">
      <c r="C101" s="1590">
        <f t="shared" si="9"/>
        <v>43403</v>
      </c>
      <c r="D101" s="1591">
        <f t="shared" si="10"/>
        <v>150304.21677419354</v>
      </c>
      <c r="E101" s="1592">
        <f t="shared" si="11"/>
        <v>14421.080258064516</v>
      </c>
      <c r="F101" s="1593">
        <f t="shared" si="12"/>
        <v>176471.23906300002</v>
      </c>
      <c r="G101" s="1594">
        <f t="shared" si="13"/>
        <v>1.00893743</v>
      </c>
      <c r="H101" s="1595">
        <f t="shared" si="14"/>
        <v>178.04839999999999</v>
      </c>
      <c r="I101" s="1596">
        <f t="shared" si="7"/>
        <v>341375.5934326881</v>
      </c>
      <c r="J101" s="2142">
        <v>67295</v>
      </c>
      <c r="K101" s="1576">
        <v>105171</v>
      </c>
      <c r="L101" s="2136">
        <v>0</v>
      </c>
      <c r="M101" s="1577">
        <v>0</v>
      </c>
      <c r="N101" s="1578">
        <v>71902.289063000004</v>
      </c>
      <c r="O101" s="1579">
        <v>104568.95</v>
      </c>
      <c r="P101" s="1577">
        <v>0</v>
      </c>
      <c r="Q101" s="1581">
        <v>71902.289000000004</v>
      </c>
      <c r="R101" s="1601">
        <f t="shared" si="20"/>
        <v>6.2999999499879777E-5</v>
      </c>
      <c r="S101" s="1602">
        <v>68271.862999999998</v>
      </c>
      <c r="T101" s="1602">
        <v>36297.110999999997</v>
      </c>
      <c r="U101" s="1603">
        <f t="shared" si="15"/>
        <v>-2.3999999990337528E-2</v>
      </c>
      <c r="V101" s="1604">
        <v>0</v>
      </c>
      <c r="W101" s="1601">
        <f t="shared" si="16"/>
        <v>0</v>
      </c>
      <c r="X101" s="1586"/>
      <c r="Y101" s="1587"/>
      <c r="Z101" s="1588">
        <f t="shared" si="17"/>
        <v>-172466</v>
      </c>
      <c r="AA101" s="1588">
        <f t="shared" si="8"/>
        <v>172466</v>
      </c>
      <c r="AB101" s="1588">
        <f t="shared" si="18"/>
        <v>-2.532134398980555E-2</v>
      </c>
      <c r="AC101" s="1588">
        <f t="shared" si="19"/>
        <v>172466.025321344</v>
      </c>
      <c r="AD101" s="1589" t="e">
        <f t="shared" si="21"/>
        <v>#REF!</v>
      </c>
      <c r="AG101" s="1460"/>
      <c r="AH101" s="1460"/>
      <c r="AI101" s="1460"/>
      <c r="AJ101" s="1460"/>
    </row>
    <row r="102" spans="2:42" ht="15.75" thickBot="1" x14ac:dyDescent="0.3">
      <c r="C102" s="1590">
        <f t="shared" si="9"/>
        <v>43404</v>
      </c>
      <c r="D102" s="1605">
        <f t="shared" si="10"/>
        <v>150304.21677419354</v>
      </c>
      <c r="E102" s="1606">
        <f t="shared" si="11"/>
        <v>14421.080258064516</v>
      </c>
      <c r="F102" s="1607">
        <f t="shared" si="12"/>
        <v>178394.2825</v>
      </c>
      <c r="G102" s="1608">
        <f t="shared" ref="G102" si="22">TRUNC(IFERROR(K$22/L$22,0),8)</f>
        <v>1.00893743</v>
      </c>
      <c r="H102" s="1609">
        <f t="shared" ref="H102" si="23">ROUND(J$22*G102*F102,4)</f>
        <v>179.98869999999999</v>
      </c>
      <c r="I102" s="1610">
        <f t="shared" ref="I102" si="24">SUM(D102:H102)</f>
        <v>343300.57716968807</v>
      </c>
      <c r="J102" s="2143">
        <v>67295</v>
      </c>
      <c r="K102" s="1611">
        <v>95164</v>
      </c>
      <c r="L102" s="2144">
        <v>0</v>
      </c>
      <c r="M102" s="1612">
        <v>0</v>
      </c>
      <c r="N102" s="1578">
        <v>72008.3125</v>
      </c>
      <c r="O102" s="1579">
        <v>106385.97</v>
      </c>
      <c r="P102" s="1577">
        <v>0</v>
      </c>
      <c r="Q102" s="1581">
        <v>72008.312999999995</v>
      </c>
      <c r="R102" s="1601">
        <f t="shared" ref="R102" si="25">N102-Q102</f>
        <v>-4.999999946448952E-4</v>
      </c>
      <c r="S102" s="1602">
        <v>68932.198000000004</v>
      </c>
      <c r="T102" s="1602">
        <v>37453.792999999998</v>
      </c>
      <c r="U102" s="1603">
        <f t="shared" ref="U102" si="26">O102-(S102+T102)</f>
        <v>-2.1000000007916242E-2</v>
      </c>
      <c r="V102" s="1604">
        <v>0</v>
      </c>
      <c r="W102" s="1601">
        <f t="shared" ref="W102" si="27">P102-V102</f>
        <v>0</v>
      </c>
      <c r="X102" s="1586"/>
      <c r="Y102" s="1587"/>
      <c r="Z102" s="1588">
        <f t="shared" ref="Z102" si="28">X102+Y102-AA102</f>
        <v>-162459</v>
      </c>
      <c r="AA102" s="1588">
        <f t="shared" si="8"/>
        <v>162459</v>
      </c>
      <c r="AB102" s="1588">
        <f t="shared" ref="AB102" si="29">(U102+V102+W102)*1.055056</f>
        <v>-2.2156176008352079E-2</v>
      </c>
      <c r="AC102" s="1588">
        <f t="shared" ref="AC102" si="30">AA102-AB102</f>
        <v>162459.02215617601</v>
      </c>
      <c r="AD102" s="1589" t="e">
        <f t="shared" ref="AD102" si="31">AD101+AC102</f>
        <v>#REF!</v>
      </c>
      <c r="AG102" s="1460"/>
      <c r="AH102" s="1460"/>
      <c r="AI102" s="1460"/>
      <c r="AJ102" s="1460"/>
    </row>
    <row r="103" spans="2:42" ht="15.75" thickBot="1" x14ac:dyDescent="0.3">
      <c r="C103" s="1613"/>
      <c r="D103" s="1614">
        <f>SUM(D72:D102)</f>
        <v>4659430.72</v>
      </c>
      <c r="E103" s="1615">
        <f>SUM(E72:E102)</f>
        <v>447053.48799999978</v>
      </c>
      <c r="F103" s="1616">
        <f>SUM(F72:F102)</f>
        <v>7613568.8548210002</v>
      </c>
      <c r="G103" s="1616"/>
      <c r="H103" s="1617">
        <f t="shared" ref="H103:L103" si="32">SUM(H72:H102)</f>
        <v>7681.6145000000006</v>
      </c>
      <c r="I103" s="1618">
        <f t="shared" si="32"/>
        <v>12727765.95438133</v>
      </c>
      <c r="J103" s="1619">
        <f t="shared" si="32"/>
        <v>2099203</v>
      </c>
      <c r="K103" s="1620">
        <f t="shared" si="32"/>
        <v>3123747</v>
      </c>
      <c r="L103" s="2137">
        <f t="shared" si="32"/>
        <v>0</v>
      </c>
      <c r="M103" s="1621">
        <f t="shared" ref="M103" si="33">SUM(M72:M102)</f>
        <v>2038512.7086768863</v>
      </c>
      <c r="N103" s="1622">
        <f>SUM(N72:N102)</f>
        <v>2220514.3618210014</v>
      </c>
      <c r="O103" s="1623">
        <f>SUM(O72:O102)</f>
        <v>3341076.3900000006</v>
      </c>
      <c r="P103" s="1624">
        <f>SUM(P72:P102)</f>
        <v>2051978.1030000001</v>
      </c>
      <c r="Q103" s="1622"/>
      <c r="R103" s="1624">
        <f t="shared" ref="R103:X103" si="34">SUM(R72:R102)</f>
        <v>-8.1178999898838811E-2</v>
      </c>
      <c r="S103" s="1623">
        <f t="shared" si="34"/>
        <v>2210041.3619999997</v>
      </c>
      <c r="T103" s="1623">
        <f t="shared" si="34"/>
        <v>1131035.159</v>
      </c>
      <c r="U103" s="1623">
        <f t="shared" si="34"/>
        <v>-0.13100000005215406</v>
      </c>
      <c r="V103" s="1622">
        <f t="shared" si="34"/>
        <v>2051978.1030000001</v>
      </c>
      <c r="W103" s="1624">
        <f t="shared" si="34"/>
        <v>0</v>
      </c>
      <c r="X103" s="1625">
        <f t="shared" si="34"/>
        <v>0</v>
      </c>
      <c r="Y103" s="1626"/>
      <c r="Z103" s="1627"/>
      <c r="AA103" s="1628">
        <f>SUM(AA72:AA102)</f>
        <v>5222950</v>
      </c>
      <c r="AB103" s="1628">
        <f>SUM(AB72:AB102)</f>
        <v>2164951.6712264316</v>
      </c>
      <c r="AC103" s="1628">
        <f>SUM(AC72:AC102)</f>
        <v>3057998.3287735679</v>
      </c>
      <c r="AD103" s="1629" t="e">
        <f>#REF!</f>
        <v>#REF!</v>
      </c>
      <c r="AG103" s="1460"/>
      <c r="AH103" s="1460"/>
      <c r="AI103" s="1460"/>
      <c r="AJ103" s="1460"/>
      <c r="AP103" s="1630" t="e">
        <f>#REF!</f>
        <v>#REF!</v>
      </c>
    </row>
    <row r="104" spans="2:42" ht="15" customHeight="1" thickBot="1" x14ac:dyDescent="0.3">
      <c r="B104" s="1460"/>
      <c r="C104" s="1460"/>
      <c r="D104" s="1460"/>
      <c r="E104" s="1460"/>
      <c r="F104" s="1460"/>
      <c r="G104" s="1459"/>
      <c r="H104" s="1459"/>
      <c r="I104" s="1459"/>
      <c r="J104" s="1459"/>
      <c r="K104" s="1459"/>
      <c r="L104" s="1459"/>
      <c r="M104" s="1458"/>
      <c r="N104" s="1459"/>
      <c r="O104" s="1458"/>
      <c r="P104" s="1458"/>
      <c r="Q104" s="1458"/>
      <c r="R104" s="1458"/>
      <c r="S104" s="1631">
        <f>S103/(S103+T103)</f>
        <v>0.66147582915536585</v>
      </c>
      <c r="T104" s="1632">
        <f>T103/(S103+T103)</f>
        <v>0.33852417084463421</v>
      </c>
      <c r="U104" s="1458"/>
      <c r="V104" s="1458"/>
      <c r="W104" s="1458"/>
      <c r="X104" s="1458"/>
      <c r="Y104" s="1458"/>
      <c r="Z104" s="1458"/>
      <c r="AA104" s="1458"/>
      <c r="AB104" s="1458"/>
      <c r="AC104" s="1458"/>
      <c r="AD104" s="1458"/>
      <c r="AG104" s="1460"/>
      <c r="AH104" s="1460"/>
      <c r="AI104" s="1460"/>
      <c r="AJ104" s="1460"/>
    </row>
    <row r="105" spans="2:42" x14ac:dyDescent="0.25">
      <c r="D105" s="1633" t="s">
        <v>155</v>
      </c>
      <c r="E105" s="1634" t="s">
        <v>156</v>
      </c>
      <c r="F105" s="1635" t="s">
        <v>112</v>
      </c>
      <c r="G105" s="1458"/>
      <c r="H105" s="1458"/>
      <c r="I105" s="1458"/>
      <c r="J105" s="1458"/>
      <c r="K105" s="1458"/>
      <c r="L105" s="1458"/>
      <c r="M105" s="1458"/>
      <c r="O105" s="1458"/>
      <c r="P105" s="1458"/>
      <c r="Q105" s="1458"/>
      <c r="R105" s="1458"/>
      <c r="S105" s="1458"/>
      <c r="T105" s="1458"/>
      <c r="U105" s="1458"/>
      <c r="V105" s="1458"/>
      <c r="W105" s="1458"/>
      <c r="X105" s="1458"/>
      <c r="Y105" s="1458"/>
      <c r="Z105" s="1458"/>
      <c r="AA105" s="1459"/>
      <c r="AB105" s="1459"/>
      <c r="AC105" s="1459"/>
      <c r="AD105" s="1459"/>
    </row>
    <row r="106" spans="2:42" x14ac:dyDescent="0.25">
      <c r="D106" s="1636">
        <v>4659430.72</v>
      </c>
      <c r="E106" s="1637">
        <f>D103</f>
        <v>4659430.72</v>
      </c>
      <c r="F106" s="1638">
        <f>D106-E106</f>
        <v>0</v>
      </c>
      <c r="G106" s="1639"/>
      <c r="H106" s="1639"/>
      <c r="I106" s="1639"/>
      <c r="J106" s="1458"/>
      <c r="K106" s="1458"/>
      <c r="L106" s="1458"/>
      <c r="M106" s="1458"/>
      <c r="O106" s="1458"/>
      <c r="P106" s="1458"/>
      <c r="Q106" s="1458"/>
      <c r="R106" s="1458"/>
      <c r="S106" s="1458"/>
      <c r="T106" s="1640">
        <f>1-S104-T104</f>
        <v>0</v>
      </c>
      <c r="U106" s="1458"/>
      <c r="V106" s="1458"/>
      <c r="W106" s="1458"/>
      <c r="X106" s="1458"/>
      <c r="Y106" s="1458"/>
      <c r="Z106" s="1458"/>
      <c r="AA106" s="1459"/>
      <c r="AB106" s="1459"/>
      <c r="AC106" s="1459"/>
      <c r="AD106" s="1459"/>
    </row>
    <row r="107" spans="2:42" x14ac:dyDescent="0.25">
      <c r="D107" s="1636">
        <v>447053.49</v>
      </c>
      <c r="E107" s="1637">
        <f>E103</f>
        <v>447053.48799999978</v>
      </c>
      <c r="F107" s="1638">
        <f>D107-E107</f>
        <v>2.0000002114102244E-3</v>
      </c>
      <c r="G107" s="1639"/>
      <c r="H107" s="1639"/>
      <c r="I107" s="1639"/>
      <c r="J107" s="1458"/>
      <c r="K107" s="1458"/>
      <c r="L107" s="1461"/>
      <c r="M107" s="1461"/>
      <c r="N107" s="1461"/>
      <c r="O107" s="1461"/>
      <c r="P107" s="1461"/>
      <c r="Q107" s="1458"/>
      <c r="R107" s="1458"/>
      <c r="S107" s="1458"/>
      <c r="T107" s="1458"/>
      <c r="U107" s="1458"/>
      <c r="V107" s="1458"/>
      <c r="W107" s="1458"/>
      <c r="X107" s="1458"/>
      <c r="Y107" s="1458"/>
      <c r="Z107" s="1459"/>
      <c r="AA107" s="1459"/>
      <c r="AB107" s="1459"/>
      <c r="AC107" s="1459"/>
      <c r="AD107" s="1459"/>
    </row>
    <row r="108" spans="2:42" ht="15.75" thickBot="1" x14ac:dyDescent="0.3">
      <c r="D108" s="1641">
        <f>3370.94+2240.36+2070.32</f>
        <v>7681.6200000000008</v>
      </c>
      <c r="E108" s="1642">
        <f>ROUND(H103,2)</f>
        <v>7681.61</v>
      </c>
      <c r="F108" s="1643">
        <f>D108-E108</f>
        <v>1.0000000001127773E-2</v>
      </c>
      <c r="G108" s="1644"/>
      <c r="L108" s="1645"/>
      <c r="M108" s="1646"/>
      <c r="N108" s="1647"/>
      <c r="O108" s="1645"/>
      <c r="P108" s="1645"/>
    </row>
    <row r="109" spans="2:42" x14ac:dyDescent="0.25">
      <c r="D109" s="1644"/>
      <c r="L109" s="1645"/>
      <c r="M109" s="1646"/>
      <c r="N109" s="1647"/>
      <c r="O109" s="1645"/>
      <c r="P109" s="1645"/>
    </row>
    <row r="110" spans="2:42" x14ac:dyDescent="0.25">
      <c r="L110" s="1645"/>
      <c r="M110" s="1646"/>
      <c r="N110" s="1647"/>
      <c r="O110" s="1645"/>
      <c r="P110" s="1645"/>
    </row>
    <row r="111" spans="2:42" x14ac:dyDescent="0.25">
      <c r="L111" s="1645"/>
      <c r="M111" s="1646"/>
      <c r="N111" s="1647"/>
      <c r="O111" s="1645"/>
      <c r="P111" s="1645"/>
    </row>
    <row r="112" spans="2:42" x14ac:dyDescent="0.25">
      <c r="L112" s="1645"/>
      <c r="M112" s="1646"/>
      <c r="N112" s="1647"/>
      <c r="O112" s="1645"/>
      <c r="P112" s="1645"/>
    </row>
    <row r="113" spans="12:16" x14ac:dyDescent="0.25">
      <c r="L113" s="1645"/>
      <c r="M113" s="1646"/>
      <c r="N113" s="1647"/>
      <c r="O113" s="1645"/>
      <c r="P113" s="1645"/>
    </row>
    <row r="114" spans="12:16" x14ac:dyDescent="0.25">
      <c r="L114" s="1645"/>
      <c r="M114" s="1646"/>
      <c r="N114" s="1647"/>
      <c r="O114" s="1645"/>
      <c r="P114" s="1645"/>
    </row>
    <row r="115" spans="12:16" x14ac:dyDescent="0.25">
      <c r="L115" s="1645"/>
      <c r="M115" s="1646"/>
      <c r="N115" s="1647"/>
      <c r="O115" s="1645"/>
      <c r="P115" s="1645"/>
    </row>
    <row r="116" spans="12:16" x14ac:dyDescent="0.25">
      <c r="L116" s="1645"/>
      <c r="M116" s="1648"/>
      <c r="N116" s="1647"/>
      <c r="O116" s="1645"/>
      <c r="P116" s="1645"/>
    </row>
    <row r="117" spans="12:16" x14ac:dyDescent="0.25">
      <c r="L117" s="1645"/>
      <c r="M117" s="1646"/>
      <c r="N117" s="1647"/>
      <c r="O117" s="1645"/>
      <c r="P117" s="1645"/>
    </row>
    <row r="118" spans="12:16" x14ac:dyDescent="0.25">
      <c r="L118" s="1645"/>
      <c r="M118" s="1646"/>
      <c r="N118" s="1647"/>
      <c r="O118" s="1645"/>
      <c r="P118" s="1645"/>
    </row>
    <row r="119" spans="12:16" x14ac:dyDescent="0.25">
      <c r="L119" s="1645"/>
      <c r="M119" s="1646"/>
      <c r="N119" s="1647"/>
      <c r="O119" s="1645"/>
      <c r="P119" s="1645"/>
    </row>
    <row r="120" spans="12:16" x14ac:dyDescent="0.25">
      <c r="L120" s="1645"/>
      <c r="M120" s="1646"/>
      <c r="N120" s="1647"/>
      <c r="O120" s="1645"/>
      <c r="P120" s="1645"/>
    </row>
    <row r="121" spans="12:16" x14ac:dyDescent="0.25">
      <c r="L121" s="1645"/>
      <c r="M121" s="1646"/>
      <c r="N121" s="1647"/>
      <c r="O121" s="1645"/>
      <c r="P121" s="1645"/>
    </row>
    <row r="122" spans="12:16" x14ac:dyDescent="0.25">
      <c r="L122" s="1645"/>
      <c r="M122" s="1646"/>
      <c r="N122" s="1647"/>
      <c r="O122" s="1645"/>
      <c r="P122" s="1645"/>
    </row>
    <row r="123" spans="12:16" x14ac:dyDescent="0.25">
      <c r="L123" s="1645"/>
      <c r="M123" s="1646"/>
      <c r="N123" s="1647"/>
      <c r="O123" s="1645"/>
      <c r="P123" s="1645"/>
    </row>
    <row r="124" spans="12:16" x14ac:dyDescent="0.25">
      <c r="L124" s="1645"/>
      <c r="M124" s="1646"/>
      <c r="N124" s="1647"/>
      <c r="O124" s="1645"/>
      <c r="P124" s="1645"/>
    </row>
    <row r="125" spans="12:16" x14ac:dyDescent="0.25">
      <c r="L125" s="1645"/>
      <c r="M125" s="1648"/>
      <c r="N125" s="1647"/>
      <c r="O125" s="1645"/>
      <c r="P125" s="1645"/>
    </row>
    <row r="126" spans="12:16" x14ac:dyDescent="0.25">
      <c r="L126" s="1645"/>
      <c r="M126" s="1648"/>
      <c r="N126" s="1647"/>
      <c r="O126" s="1645"/>
      <c r="P126" s="1645"/>
    </row>
    <row r="127" spans="12:16" x14ac:dyDescent="0.25">
      <c r="L127" s="1645"/>
      <c r="M127" s="1648"/>
      <c r="N127" s="1647"/>
      <c r="O127" s="1645"/>
      <c r="P127" s="1645"/>
    </row>
    <row r="128" spans="12:16" x14ac:dyDescent="0.25">
      <c r="L128" s="1645"/>
      <c r="M128" s="1648"/>
      <c r="N128" s="1647"/>
      <c r="O128" s="1645"/>
      <c r="P128" s="1645"/>
    </row>
    <row r="129" spans="12:16" x14ac:dyDescent="0.25">
      <c r="L129" s="1645"/>
      <c r="M129" s="1648"/>
      <c r="N129" s="1647"/>
      <c r="O129" s="1645"/>
      <c r="P129" s="1645"/>
    </row>
    <row r="130" spans="12:16" x14ac:dyDescent="0.25">
      <c r="L130" s="1645"/>
      <c r="M130" s="1648"/>
      <c r="N130" s="1647"/>
      <c r="O130" s="1645"/>
      <c r="P130" s="1645"/>
    </row>
    <row r="131" spans="12:16" x14ac:dyDescent="0.25">
      <c r="L131" s="1645"/>
      <c r="M131" s="1648"/>
      <c r="N131" s="1647"/>
      <c r="O131" s="1645"/>
      <c r="P131" s="1645"/>
    </row>
    <row r="132" spans="12:16" x14ac:dyDescent="0.25">
      <c r="L132" s="1645"/>
      <c r="M132" s="1648"/>
      <c r="N132" s="1647"/>
      <c r="O132" s="1645"/>
      <c r="P132" s="1645"/>
    </row>
    <row r="133" spans="12:16" x14ac:dyDescent="0.25">
      <c r="L133" s="1645"/>
      <c r="M133" s="1648"/>
      <c r="N133" s="1647"/>
      <c r="O133" s="1645"/>
      <c r="P133" s="1645"/>
    </row>
    <row r="134" spans="12:16" x14ac:dyDescent="0.25">
      <c r="L134" s="1645"/>
      <c r="M134" s="1648"/>
      <c r="N134" s="1647"/>
      <c r="O134" s="1645"/>
      <c r="P134" s="1645"/>
    </row>
    <row r="135" spans="12:16" x14ac:dyDescent="0.25">
      <c r="L135" s="1645"/>
      <c r="M135" s="1648"/>
      <c r="N135" s="1647"/>
      <c r="O135" s="1645"/>
      <c r="P135" s="1645"/>
    </row>
    <row r="136" spans="12:16" x14ac:dyDescent="0.25">
      <c r="L136" s="1645"/>
      <c r="M136" s="1648"/>
      <c r="N136" s="1647"/>
      <c r="O136" s="1645"/>
      <c r="P136" s="1645"/>
    </row>
    <row r="137" spans="12:16" x14ac:dyDescent="0.25">
      <c r="L137" s="1645"/>
      <c r="M137" s="1648"/>
      <c r="N137" s="1647"/>
      <c r="O137" s="1645"/>
      <c r="P137" s="1645"/>
    </row>
    <row r="138" spans="12:16" x14ac:dyDescent="0.25">
      <c r="L138" s="1645"/>
      <c r="M138" s="1648"/>
      <c r="N138" s="1647"/>
      <c r="O138" s="1645"/>
      <c r="P138" s="1645"/>
    </row>
    <row r="139" spans="12:16" x14ac:dyDescent="0.25">
      <c r="M139" s="1649"/>
      <c r="N139" s="1649"/>
    </row>
  </sheetData>
  <mergeCells count="10">
    <mergeCell ref="J70:M70"/>
    <mergeCell ref="N70:P70"/>
    <mergeCell ref="Q70:W70"/>
    <mergeCell ref="C17:E17"/>
    <mergeCell ref="C3:M4"/>
    <mergeCell ref="C5:M5"/>
    <mergeCell ref="C6:M6"/>
    <mergeCell ref="C14:E14"/>
    <mergeCell ref="C15:E15"/>
    <mergeCell ref="C16:E16"/>
  </mergeCells>
  <conditionalFormatting sqref="N72:P88 N89:O101">
    <cfRule type="cellIs" dxfId="94" priority="5" stopIfTrue="1" operator="equal">
      <formula>0</formula>
    </cfRule>
  </conditionalFormatting>
  <conditionalFormatting sqref="Q72:Q100">
    <cfRule type="cellIs" dxfId="93" priority="4" stopIfTrue="1" operator="equal">
      <formula>0</formula>
    </cfRule>
  </conditionalFormatting>
  <conditionalFormatting sqref="Q101">
    <cfRule type="cellIs" dxfId="92" priority="3" stopIfTrue="1" operator="equal">
      <formula>0</formula>
    </cfRule>
  </conditionalFormatting>
  <conditionalFormatting sqref="N102:O102">
    <cfRule type="cellIs" dxfId="91" priority="2" stopIfTrue="1" operator="equal">
      <formula>0</formula>
    </cfRule>
  </conditionalFormatting>
  <conditionalFormatting sqref="Q102">
    <cfRule type="cellIs" dxfId="90" priority="1" stopIfTrue="1" operator="equal">
      <formula>0</formula>
    </cfRule>
  </conditionalFormatting>
  <printOptions horizontalCentered="1" verticalCentered="1"/>
  <pageMargins left="0.59055118110236227" right="0.39370078740157483" top="0" bottom="0" header="0" footer="0.51181102362204722"/>
  <pageSetup scale="36" orientation="landscape" r:id="rId1"/>
  <drawing r:id="rId2"/>
  <legacyDrawing r:id="rId3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2:AP109"/>
  <sheetViews>
    <sheetView topLeftCell="A8" workbookViewId="0"/>
  </sheetViews>
  <sheetFormatPr baseColWidth="10" defaultColWidth="11" defaultRowHeight="12.75" x14ac:dyDescent="0.2"/>
  <cols>
    <col min="1" max="1" width="11" style="829"/>
    <col min="2" max="2" width="3.875" style="829" bestFit="1" customWidth="1"/>
    <col min="3" max="3" width="16.125" style="829" customWidth="1"/>
    <col min="4" max="4" width="12.625" style="829" bestFit="1" customWidth="1"/>
    <col min="5" max="5" width="18.375" style="829" bestFit="1" customWidth="1"/>
    <col min="6" max="6" width="17.375" style="829" bestFit="1" customWidth="1"/>
    <col min="7" max="8" width="13.375" style="829" bestFit="1" customWidth="1"/>
    <col min="9" max="9" width="15.125" style="829" customWidth="1"/>
    <col min="10" max="10" width="20.5" style="829" customWidth="1"/>
    <col min="11" max="11" width="12.625" style="829" bestFit="1" customWidth="1"/>
    <col min="12" max="12" width="16" style="829" customWidth="1"/>
    <col min="13" max="13" width="15.125" style="829" bestFit="1" customWidth="1"/>
    <col min="14" max="14" width="16.125" style="827" bestFit="1" customWidth="1"/>
    <col min="15" max="15" width="11.375" style="829" bestFit="1" customWidth="1"/>
    <col min="16" max="16" width="11.125" style="829" bestFit="1" customWidth="1"/>
    <col min="17" max="17" width="12.625" style="829" bestFit="1" customWidth="1"/>
    <col min="18" max="18" width="10.875" style="829" customWidth="1"/>
    <col min="19" max="19" width="11.875" style="829" bestFit="1" customWidth="1"/>
    <col min="20" max="20" width="11.125" style="829" bestFit="1" customWidth="1"/>
    <col min="21" max="21" width="11.625" style="829" bestFit="1" customWidth="1"/>
    <col min="22" max="22" width="16.625" style="829" customWidth="1"/>
    <col min="23" max="23" width="11.125" style="829" bestFit="1" customWidth="1"/>
    <col min="24" max="24" width="15.5" style="829" bestFit="1" customWidth="1"/>
    <col min="25" max="25" width="16.125" style="829" bestFit="1" customWidth="1"/>
    <col min="26" max="26" width="11.125" style="843" bestFit="1" customWidth="1"/>
    <col min="27" max="27" width="13" style="843" bestFit="1" customWidth="1"/>
    <col min="28" max="32" width="11" style="843"/>
    <col min="33" max="38" width="11" style="829"/>
    <col min="39" max="39" width="11.125" style="829" bestFit="1" customWidth="1"/>
    <col min="40" max="16384" width="11" style="829"/>
  </cols>
  <sheetData>
    <row r="2" spans="2:35" x14ac:dyDescent="0.2">
      <c r="B2" s="827"/>
      <c r="C2" s="828"/>
      <c r="D2" s="828"/>
      <c r="E2" s="828"/>
      <c r="F2" s="828"/>
      <c r="G2" s="828"/>
      <c r="H2" s="828"/>
      <c r="I2" s="828"/>
      <c r="J2" s="828"/>
      <c r="K2" s="828"/>
      <c r="L2" s="828"/>
      <c r="M2" s="828"/>
      <c r="N2" s="828"/>
      <c r="Z2" s="829"/>
      <c r="AA2" s="829"/>
      <c r="AB2" s="829"/>
      <c r="AC2" s="829"/>
      <c r="AD2" s="829"/>
      <c r="AE2" s="829"/>
      <c r="AF2" s="829"/>
    </row>
    <row r="3" spans="2:35" ht="15" customHeight="1" x14ac:dyDescent="0.2">
      <c r="B3" s="827"/>
      <c r="C3" s="2295"/>
      <c r="D3" s="2295"/>
      <c r="E3" s="2295"/>
      <c r="F3" s="2295"/>
      <c r="G3" s="2295"/>
      <c r="H3" s="2295"/>
      <c r="I3" s="2295"/>
      <c r="J3" s="2295"/>
      <c r="K3" s="2295"/>
      <c r="L3" s="2295"/>
      <c r="M3" s="2295"/>
      <c r="N3" s="828"/>
      <c r="Z3" s="829"/>
      <c r="AA3" s="829"/>
      <c r="AB3" s="829"/>
      <c r="AC3" s="829"/>
      <c r="AD3" s="829"/>
      <c r="AE3" s="829"/>
      <c r="AF3" s="829"/>
    </row>
    <row r="4" spans="2:35" ht="15" customHeight="1" x14ac:dyDescent="0.2">
      <c r="B4" s="827"/>
      <c r="C4" s="2295"/>
      <c r="D4" s="2295"/>
      <c r="E4" s="2295"/>
      <c r="F4" s="2295"/>
      <c r="G4" s="2295"/>
      <c r="H4" s="2295"/>
      <c r="I4" s="2295"/>
      <c r="J4" s="2295"/>
      <c r="K4" s="2295"/>
      <c r="L4" s="2295"/>
      <c r="M4" s="2295"/>
      <c r="N4" s="828"/>
      <c r="Z4" s="829"/>
      <c r="AA4" s="829"/>
      <c r="AB4" s="829"/>
      <c r="AC4" s="829"/>
      <c r="AD4" s="829"/>
      <c r="AE4" s="829"/>
      <c r="AF4" s="829"/>
    </row>
    <row r="5" spans="2:35" x14ac:dyDescent="0.2">
      <c r="B5" s="827"/>
      <c r="C5" s="2296"/>
      <c r="D5" s="2296"/>
      <c r="E5" s="2296"/>
      <c r="F5" s="2296"/>
      <c r="G5" s="2296"/>
      <c r="H5" s="2296"/>
      <c r="I5" s="2296"/>
      <c r="J5" s="2296"/>
      <c r="K5" s="2296"/>
      <c r="L5" s="2296"/>
      <c r="M5" s="2296"/>
      <c r="N5" s="828"/>
      <c r="Z5" s="829"/>
      <c r="AA5" s="829"/>
      <c r="AB5" s="829"/>
      <c r="AC5" s="829"/>
      <c r="AD5" s="829"/>
      <c r="AE5" s="829"/>
      <c r="AF5" s="829"/>
    </row>
    <row r="6" spans="2:35" x14ac:dyDescent="0.2">
      <c r="B6" s="827"/>
      <c r="C6" s="2296"/>
      <c r="D6" s="2296"/>
      <c r="E6" s="2296"/>
      <c r="F6" s="2296"/>
      <c r="G6" s="2296"/>
      <c r="H6" s="2296"/>
      <c r="I6" s="2296"/>
      <c r="J6" s="2296"/>
      <c r="K6" s="2296"/>
      <c r="L6" s="2296"/>
      <c r="M6" s="2296"/>
      <c r="N6" s="828"/>
      <c r="Z6" s="829"/>
      <c r="AA6" s="829"/>
      <c r="AB6" s="829"/>
      <c r="AC6" s="829"/>
      <c r="AD6" s="829"/>
      <c r="AE6" s="829"/>
      <c r="AF6" s="829"/>
    </row>
    <row r="7" spans="2:35" x14ac:dyDescent="0.2">
      <c r="B7" s="827"/>
      <c r="C7" s="830">
        <v>43101</v>
      </c>
      <c r="D7" s="830"/>
      <c r="E7" s="830"/>
      <c r="F7" s="830"/>
      <c r="G7" s="830"/>
      <c r="H7" s="830"/>
      <c r="I7" s="830"/>
      <c r="J7" s="830"/>
      <c r="K7" s="830"/>
      <c r="L7" s="830"/>
      <c r="M7" s="830"/>
      <c r="N7" s="830"/>
      <c r="O7" s="830"/>
      <c r="P7" s="830"/>
      <c r="Q7" s="830"/>
      <c r="R7" s="827"/>
      <c r="S7" s="827"/>
      <c r="T7" s="827"/>
      <c r="U7" s="827"/>
      <c r="V7" s="827"/>
      <c r="W7" s="827"/>
      <c r="X7" s="827"/>
      <c r="Y7" s="827"/>
      <c r="Z7" s="829"/>
      <c r="AA7" s="829"/>
      <c r="AB7" s="829"/>
      <c r="AC7" s="829"/>
      <c r="AD7" s="829"/>
      <c r="AE7" s="829"/>
      <c r="AF7" s="829"/>
    </row>
    <row r="8" spans="2:35" ht="19.5" customHeight="1" x14ac:dyDescent="0.2">
      <c r="B8" s="827"/>
      <c r="C8" s="1011"/>
      <c r="D8" s="1011"/>
      <c r="E8" s="1011"/>
      <c r="F8" s="1011"/>
      <c r="G8" s="1011"/>
      <c r="H8" s="1011"/>
      <c r="I8" s="1011"/>
      <c r="J8" s="1011"/>
      <c r="K8" s="1011"/>
      <c r="L8" s="1011"/>
      <c r="M8" s="828"/>
      <c r="N8" s="828"/>
      <c r="O8" s="827"/>
      <c r="P8" s="827"/>
      <c r="Q8" s="827"/>
      <c r="R8" s="827"/>
      <c r="S8" s="827"/>
      <c r="T8" s="827"/>
      <c r="U8" s="827"/>
      <c r="V8" s="827"/>
      <c r="W8" s="827"/>
      <c r="X8" s="827"/>
      <c r="Y8" s="827"/>
      <c r="Z8" s="829"/>
      <c r="AA8" s="829"/>
      <c r="AB8" s="829"/>
      <c r="AC8" s="829"/>
      <c r="AD8" s="829"/>
      <c r="AE8" s="829"/>
      <c r="AF8" s="829"/>
    </row>
    <row r="9" spans="2:35" ht="19.5" customHeight="1" x14ac:dyDescent="0.2">
      <c r="B9" s="827"/>
      <c r="C9" s="1011"/>
      <c r="D9" s="1011"/>
      <c r="E9" s="1011"/>
      <c r="F9" s="1011"/>
      <c r="G9" s="1011"/>
      <c r="H9" s="1011"/>
      <c r="I9" s="1011"/>
      <c r="J9" s="1011"/>
      <c r="K9" s="1011"/>
      <c r="L9" s="1011"/>
      <c r="M9" s="828"/>
      <c r="N9" s="828"/>
      <c r="O9" s="827"/>
      <c r="P9" s="827"/>
      <c r="Q9" s="827"/>
      <c r="R9" s="827"/>
      <c r="S9" s="827"/>
      <c r="T9" s="827"/>
      <c r="U9" s="827"/>
      <c r="V9" s="827"/>
      <c r="W9" s="827"/>
      <c r="X9" s="827"/>
      <c r="Y9" s="827"/>
      <c r="Z9" s="829"/>
      <c r="AA9" s="829"/>
      <c r="AB9" s="829"/>
      <c r="AC9" s="829"/>
      <c r="AD9" s="829"/>
      <c r="AE9" s="829"/>
      <c r="AF9" s="829"/>
    </row>
    <row r="10" spans="2:35" ht="19.5" customHeight="1" x14ac:dyDescent="0.2">
      <c r="B10" s="827"/>
      <c r="C10" s="1011"/>
      <c r="D10" s="1011"/>
      <c r="E10" s="1011"/>
      <c r="F10" s="1011"/>
      <c r="G10" s="1011"/>
      <c r="H10" s="1011"/>
      <c r="I10" s="1011"/>
      <c r="J10" s="1011"/>
      <c r="K10" s="1011"/>
      <c r="L10" s="1011"/>
      <c r="M10" s="828"/>
      <c r="N10" s="828"/>
      <c r="O10" s="827"/>
      <c r="P10" s="827"/>
      <c r="Q10" s="827"/>
      <c r="R10" s="827"/>
      <c r="S10" s="827"/>
      <c r="T10" s="827"/>
      <c r="U10" s="827"/>
      <c r="V10" s="827"/>
      <c r="W10" s="827"/>
      <c r="X10" s="827"/>
      <c r="Y10" s="827"/>
      <c r="Z10" s="829"/>
      <c r="AA10" s="829"/>
      <c r="AB10" s="829"/>
      <c r="AC10" s="829"/>
      <c r="AD10" s="829"/>
      <c r="AE10" s="829"/>
      <c r="AF10" s="829"/>
    </row>
    <row r="11" spans="2:35" ht="19.5" customHeight="1" x14ac:dyDescent="0.2">
      <c r="B11" s="827"/>
      <c r="C11" s="1011"/>
      <c r="D11" s="1011"/>
      <c r="E11" s="1011"/>
      <c r="F11" s="1011"/>
      <c r="G11" s="1011"/>
      <c r="H11" s="1011"/>
      <c r="I11" s="1011"/>
      <c r="J11" s="1011"/>
      <c r="K11" s="1011"/>
      <c r="L11" s="1011"/>
      <c r="M11" s="828"/>
      <c r="N11" s="828"/>
      <c r="O11" s="827"/>
      <c r="P11" s="827"/>
      <c r="Q11" s="827"/>
      <c r="R11" s="827"/>
      <c r="S11" s="827"/>
      <c r="T11" s="827"/>
      <c r="U11" s="827"/>
      <c r="V11" s="827"/>
      <c r="W11" s="827"/>
      <c r="X11" s="827"/>
      <c r="Y11" s="827"/>
      <c r="Z11" s="829"/>
      <c r="AA11" s="829"/>
      <c r="AB11" s="829"/>
      <c r="AC11" s="829"/>
      <c r="AD11" s="829"/>
      <c r="AE11" s="829"/>
      <c r="AF11" s="829"/>
    </row>
    <row r="12" spans="2:35" ht="19.5" customHeight="1" x14ac:dyDescent="0.2">
      <c r="B12" s="827"/>
      <c r="C12" s="1011"/>
      <c r="D12" s="1011"/>
      <c r="E12" s="1011"/>
      <c r="F12" s="1011"/>
      <c r="G12" s="1011"/>
      <c r="H12" s="1011"/>
      <c r="I12" s="1011"/>
      <c r="J12" s="1011"/>
      <c r="K12" s="1011"/>
      <c r="L12" s="1011"/>
      <c r="M12" s="828"/>
      <c r="N12" s="828"/>
      <c r="O12" s="827"/>
      <c r="P12" s="827"/>
      <c r="Q12" s="827"/>
      <c r="R12" s="827"/>
      <c r="S12" s="827"/>
      <c r="T12" s="827"/>
      <c r="U12" s="827"/>
      <c r="V12" s="827"/>
      <c r="W12" s="827"/>
      <c r="X12" s="827"/>
      <c r="Y12" s="827"/>
      <c r="Z12" s="829"/>
      <c r="AA12" s="829"/>
      <c r="AB12" s="829"/>
      <c r="AC12" s="829"/>
      <c r="AD12" s="829"/>
      <c r="AE12" s="829"/>
      <c r="AF12" s="829"/>
    </row>
    <row r="13" spans="2:35" ht="19.5" customHeight="1" thickBot="1" x14ac:dyDescent="0.25">
      <c r="B13" s="827"/>
      <c r="C13" s="1011"/>
      <c r="D13" s="1011"/>
      <c r="E13" s="1011"/>
      <c r="F13" s="1011"/>
      <c r="G13" s="1011"/>
      <c r="H13" s="1011"/>
      <c r="I13" s="1011"/>
      <c r="J13" s="1011"/>
      <c r="K13" s="1011"/>
      <c r="L13" s="1011"/>
      <c r="M13" s="828"/>
      <c r="N13" s="828"/>
      <c r="O13" s="827"/>
      <c r="P13" s="827"/>
      <c r="Q13" s="827"/>
      <c r="R13" s="827"/>
      <c r="S13" s="827"/>
      <c r="T13" s="827"/>
      <c r="U13" s="827"/>
      <c r="V13" s="827"/>
      <c r="W13" s="827"/>
      <c r="X13" s="827"/>
      <c r="Y13" s="827"/>
      <c r="Z13" s="829"/>
      <c r="AA13" s="829"/>
      <c r="AB13" s="829"/>
      <c r="AC13" s="829"/>
      <c r="AD13" s="829"/>
      <c r="AE13" s="829"/>
      <c r="AF13" s="829"/>
    </row>
    <row r="14" spans="2:35" ht="26.25" thickBot="1" x14ac:dyDescent="0.25">
      <c r="B14" s="827"/>
      <c r="C14" s="2333" t="s">
        <v>6</v>
      </c>
      <c r="D14" s="2334"/>
      <c r="E14" s="2335"/>
      <c r="F14" s="832" t="s">
        <v>227</v>
      </c>
      <c r="G14" s="832" t="s">
        <v>230</v>
      </c>
      <c r="H14" s="832" t="s">
        <v>228</v>
      </c>
      <c r="I14" s="832" t="s">
        <v>229</v>
      </c>
      <c r="J14" s="833" t="s">
        <v>126</v>
      </c>
      <c r="K14" s="833" t="s">
        <v>133</v>
      </c>
      <c r="L14" s="832" t="s">
        <v>127</v>
      </c>
      <c r="M14" s="834" t="s">
        <v>128</v>
      </c>
      <c r="N14" s="828"/>
      <c r="O14" s="827"/>
      <c r="P14" s="827"/>
      <c r="Q14" s="827"/>
      <c r="R14" s="827"/>
      <c r="S14" s="827"/>
      <c r="T14" s="827"/>
      <c r="U14" s="827"/>
      <c r="V14" s="827"/>
      <c r="W14" s="827"/>
      <c r="X14" s="827"/>
      <c r="Y14" s="827"/>
      <c r="Z14" s="829"/>
      <c r="AA14" s="829"/>
      <c r="AB14" s="829"/>
      <c r="AC14" s="829"/>
      <c r="AD14" s="829"/>
      <c r="AE14" s="829"/>
      <c r="AF14" s="829"/>
    </row>
    <row r="15" spans="2:35" ht="13.5" thickBot="1" x14ac:dyDescent="0.25">
      <c r="B15" s="827"/>
      <c r="C15" s="2329" t="s">
        <v>131</v>
      </c>
      <c r="D15" s="2330"/>
      <c r="E15" s="2331"/>
      <c r="F15" s="835"/>
      <c r="G15" s="836" t="s">
        <v>165</v>
      </c>
      <c r="H15" s="835"/>
      <c r="I15" s="837">
        <f>IF(D106=0,E106,D106)</f>
        <v>4659430.72</v>
      </c>
      <c r="J15" s="835">
        <f>I15*0.16</f>
        <v>745508.91519999993</v>
      </c>
      <c r="K15" s="835">
        <f>I15+J15</f>
        <v>5404939.6351999994</v>
      </c>
      <c r="L15" s="838" t="s">
        <v>380</v>
      </c>
      <c r="M15" s="839">
        <v>19.587800000000001</v>
      </c>
      <c r="O15" s="827"/>
      <c r="P15" s="827"/>
      <c r="Q15" s="827"/>
      <c r="R15" s="827"/>
      <c r="S15" s="827"/>
      <c r="T15" s="827"/>
      <c r="U15" s="827"/>
      <c r="V15" s="827"/>
      <c r="W15" s="827"/>
      <c r="X15" s="827"/>
      <c r="Y15" s="827"/>
      <c r="Z15" s="829"/>
      <c r="AA15" s="829"/>
      <c r="AB15" s="829"/>
      <c r="AC15" s="829"/>
      <c r="AD15" s="829"/>
      <c r="AE15" s="829"/>
      <c r="AF15" s="829"/>
    </row>
    <row r="16" spans="2:35" ht="13.5" thickBot="1" x14ac:dyDescent="0.25">
      <c r="B16" s="827"/>
      <c r="C16" s="2329" t="s">
        <v>275</v>
      </c>
      <c r="D16" s="2330"/>
      <c r="E16" s="2331"/>
      <c r="F16" s="840"/>
      <c r="G16" s="840"/>
      <c r="H16" s="840"/>
      <c r="I16" s="837">
        <f>IF(D107=0,E107,D107)</f>
        <v>447053.49</v>
      </c>
      <c r="J16" s="841">
        <f>I16*0.16</f>
        <v>71528.558399999994</v>
      </c>
      <c r="K16" s="835">
        <f>I16+J16</f>
        <v>518582.04839999997</v>
      </c>
      <c r="L16" s="838" t="s">
        <v>379</v>
      </c>
      <c r="M16" s="839">
        <v>19.587800000000001</v>
      </c>
      <c r="O16" s="827"/>
      <c r="P16" s="827"/>
      <c r="Q16" s="827"/>
      <c r="R16" s="827"/>
      <c r="S16" s="827"/>
      <c r="T16" s="827"/>
      <c r="U16" s="827"/>
      <c r="V16" s="827"/>
      <c r="W16" s="827"/>
      <c r="X16" s="827"/>
      <c r="Y16" s="827"/>
      <c r="Z16" s="827"/>
      <c r="AA16" s="827"/>
      <c r="AB16" s="827"/>
      <c r="AG16" s="843"/>
      <c r="AH16" s="843"/>
      <c r="AI16" s="843"/>
    </row>
    <row r="17" spans="2:33" ht="13.5" thickBot="1" x14ac:dyDescent="0.25">
      <c r="B17" s="827"/>
      <c r="C17" s="2326" t="s">
        <v>132</v>
      </c>
      <c r="D17" s="2327"/>
      <c r="E17" s="2328"/>
      <c r="F17" s="844"/>
      <c r="G17" s="845" t="s">
        <v>165</v>
      </c>
      <c r="H17" s="844"/>
      <c r="I17" s="846">
        <f>IF(D108=0,E108,D108)</f>
        <v>5492</v>
      </c>
      <c r="J17" s="844">
        <f>I17*0.16</f>
        <v>878.72</v>
      </c>
      <c r="K17" s="844">
        <f>I17+J17</f>
        <v>6370.72</v>
      </c>
      <c r="L17" s="847" t="s">
        <v>381</v>
      </c>
      <c r="M17" s="839">
        <v>19.587800000000001</v>
      </c>
      <c r="O17" s="827"/>
      <c r="P17" s="827"/>
      <c r="Q17" s="827"/>
      <c r="R17" s="827"/>
      <c r="S17" s="827"/>
      <c r="T17" s="827"/>
      <c r="U17" s="827"/>
      <c r="V17" s="827"/>
      <c r="W17" s="827"/>
      <c r="X17" s="827"/>
      <c r="Y17" s="827"/>
      <c r="Z17" s="829"/>
      <c r="AA17" s="829"/>
      <c r="AB17" s="829"/>
      <c r="AC17" s="829"/>
      <c r="AD17" s="829"/>
      <c r="AE17" s="829"/>
      <c r="AF17" s="829"/>
    </row>
    <row r="18" spans="2:33" x14ac:dyDescent="0.2">
      <c r="B18" s="827"/>
      <c r="C18" s="1011"/>
      <c r="D18" s="1011"/>
      <c r="E18" s="1011"/>
      <c r="F18" s="1011"/>
      <c r="G18" s="1011"/>
      <c r="H18" s="827"/>
      <c r="I18" s="827"/>
      <c r="J18" s="827"/>
      <c r="K18" s="827"/>
      <c r="L18" s="827"/>
      <c r="M18" s="827"/>
      <c r="O18" s="827"/>
      <c r="P18" s="827"/>
      <c r="Q18" s="827"/>
      <c r="R18" s="827"/>
      <c r="S18" s="827"/>
      <c r="T18" s="827"/>
      <c r="U18" s="827"/>
      <c r="V18" s="827"/>
      <c r="W18" s="827"/>
      <c r="X18" s="827"/>
      <c r="Y18" s="827"/>
    </row>
    <row r="19" spans="2:33" x14ac:dyDescent="0.2">
      <c r="B19" s="827"/>
      <c r="C19" s="1011"/>
      <c r="D19" s="1011"/>
      <c r="E19" s="1011"/>
      <c r="F19" s="1011"/>
      <c r="G19" s="1011"/>
      <c r="H19" s="827"/>
      <c r="I19" s="827"/>
      <c r="J19" s="827"/>
      <c r="K19" s="827"/>
      <c r="L19" s="827"/>
      <c r="O19" s="827"/>
      <c r="P19" s="827"/>
      <c r="Q19" s="827"/>
      <c r="R19" s="827"/>
      <c r="S19" s="827"/>
      <c r="T19" s="827"/>
      <c r="U19" s="827"/>
      <c r="V19" s="827"/>
      <c r="W19" s="827"/>
      <c r="X19" s="827"/>
      <c r="Y19" s="827"/>
    </row>
    <row r="20" spans="2:33" ht="13.5" thickBot="1" x14ac:dyDescent="0.25">
      <c r="B20" s="827"/>
      <c r="C20" s="849"/>
      <c r="D20" s="1011"/>
      <c r="E20" s="1011"/>
      <c r="F20" s="1011"/>
      <c r="G20" s="1011"/>
      <c r="H20" s="1011"/>
      <c r="I20" s="1011"/>
      <c r="J20" s="1011"/>
      <c r="K20" s="1011"/>
      <c r="L20" s="1011"/>
      <c r="M20" s="1011"/>
      <c r="N20" s="1011"/>
      <c r="O20" s="1011"/>
      <c r="P20" s="1011"/>
      <c r="Q20" s="1011"/>
      <c r="R20" s="827"/>
      <c r="S20" s="827"/>
      <c r="T20" s="827"/>
      <c r="U20" s="827"/>
      <c r="V20" s="827"/>
      <c r="W20" s="827"/>
      <c r="X20" s="827"/>
      <c r="Y20" s="827"/>
      <c r="Z20" s="827"/>
      <c r="AG20" s="843"/>
    </row>
    <row r="21" spans="2:33" ht="51.75" thickBot="1" x14ac:dyDescent="0.25">
      <c r="B21" s="827"/>
      <c r="C21" s="850" t="s">
        <v>134</v>
      </c>
      <c r="D21" s="832" t="s">
        <v>135</v>
      </c>
      <c r="E21" s="832" t="s">
        <v>285</v>
      </c>
      <c r="F21" s="832" t="s">
        <v>278</v>
      </c>
      <c r="G21" s="832" t="s">
        <v>153</v>
      </c>
      <c r="H21" s="832" t="s">
        <v>279</v>
      </c>
      <c r="I21" s="832" t="s">
        <v>281</v>
      </c>
      <c r="J21" s="832" t="s">
        <v>280</v>
      </c>
      <c r="K21" s="832" t="s">
        <v>245</v>
      </c>
      <c r="L21" s="832" t="s">
        <v>246</v>
      </c>
      <c r="M21" s="832"/>
      <c r="N21" s="834" t="s">
        <v>158</v>
      </c>
      <c r="O21" s="1011"/>
      <c r="P21" s="1011"/>
      <c r="Q21" s="1011"/>
      <c r="R21" s="1011"/>
      <c r="S21" s="1011"/>
      <c r="T21" s="1011"/>
      <c r="U21" s="1011"/>
      <c r="V21" s="827"/>
      <c r="W21" s="827"/>
      <c r="X21" s="827"/>
      <c r="Y21" s="827"/>
      <c r="Z21" s="827"/>
      <c r="AG21" s="843"/>
    </row>
    <row r="22" spans="2:33" ht="13.5" thickBot="1" x14ac:dyDescent="0.25">
      <c r="B22" s="827"/>
      <c r="C22" s="851">
        <v>850</v>
      </c>
      <c r="D22" s="1010">
        <v>850</v>
      </c>
      <c r="E22" s="852">
        <v>31482640</v>
      </c>
      <c r="F22" s="852">
        <v>31482640</v>
      </c>
      <c r="G22" s="852">
        <v>30</v>
      </c>
      <c r="H22" s="853">
        <f>VLOOKUP(C70,Tarifas!D4:H303,3)</f>
        <v>0.14799999999999999</v>
      </c>
      <c r="I22" s="2073">
        <v>1.4200000000000001E-2</v>
      </c>
      <c r="J22" s="2089">
        <f>VLOOKUP(C70,Tarifas!D4:H303,5)</f>
        <v>1E-3</v>
      </c>
      <c r="K22" s="2073">
        <v>204.3</v>
      </c>
      <c r="L22" s="2073">
        <v>201.4</v>
      </c>
      <c r="M22" s="853"/>
      <c r="N22" s="854">
        <f>F103</f>
        <v>5414039.0949450005</v>
      </c>
      <c r="O22" s="855"/>
      <c r="P22" s="855"/>
      <c r="Q22" s="1011"/>
      <c r="R22" s="1011"/>
      <c r="S22" s="1011"/>
      <c r="T22" s="1011"/>
      <c r="U22" s="1011"/>
      <c r="V22" s="827"/>
      <c r="W22" s="827"/>
      <c r="X22" s="827"/>
      <c r="Y22" s="827"/>
      <c r="Z22" s="827"/>
      <c r="AG22" s="843"/>
    </row>
    <row r="23" spans="2:33" x14ac:dyDescent="0.2">
      <c r="B23" s="827"/>
      <c r="C23" s="1011"/>
      <c r="D23" s="1011"/>
      <c r="E23" s="1011"/>
      <c r="F23" s="1011"/>
      <c r="G23" s="1011"/>
      <c r="H23" s="1011"/>
      <c r="I23" s="1011"/>
      <c r="J23" s="1011"/>
      <c r="K23" s="856"/>
      <c r="L23" s="1011"/>
      <c r="M23" s="1011"/>
      <c r="N23" s="1011"/>
      <c r="O23" s="1011"/>
      <c r="P23" s="1011"/>
      <c r="Q23" s="1011"/>
      <c r="R23" s="1011"/>
      <c r="S23" s="1011"/>
      <c r="T23" s="827"/>
      <c r="U23" s="827"/>
      <c r="V23" s="827"/>
      <c r="W23" s="827"/>
      <c r="X23" s="827"/>
      <c r="Y23" s="827"/>
      <c r="Z23" s="827"/>
      <c r="AG23" s="843"/>
    </row>
    <row r="24" spans="2:33" x14ac:dyDescent="0.2">
      <c r="B24" s="827"/>
      <c r="C24" s="1011"/>
      <c r="D24" s="1011"/>
      <c r="E24" s="1011"/>
      <c r="F24" s="1011"/>
      <c r="G24" s="1011"/>
      <c r="H24" s="1011"/>
      <c r="I24" s="1011"/>
      <c r="J24" s="1011"/>
      <c r="K24" s="1011"/>
      <c r="L24" s="1011"/>
      <c r="M24" s="1011"/>
      <c r="N24" s="1011"/>
      <c r="O24" s="1011"/>
      <c r="P24" s="1011"/>
      <c r="Q24" s="827"/>
      <c r="R24" s="827"/>
      <c r="S24" s="827"/>
      <c r="T24" s="827"/>
      <c r="U24" s="827"/>
      <c r="V24" s="827"/>
      <c r="W24" s="827"/>
      <c r="X24" s="827"/>
      <c r="Y24" s="827"/>
      <c r="Z24" s="827"/>
      <c r="AG24" s="843"/>
    </row>
    <row r="25" spans="2:33" x14ac:dyDescent="0.2">
      <c r="B25" s="827"/>
      <c r="C25" s="1011"/>
      <c r="D25" s="1011"/>
      <c r="E25" s="1011"/>
      <c r="F25" s="1011"/>
      <c r="G25" s="1011"/>
      <c r="H25" s="1011"/>
      <c r="I25" s="1011"/>
      <c r="J25" s="1011"/>
      <c r="K25" s="1011"/>
      <c r="L25" s="1011"/>
      <c r="M25" s="1011"/>
      <c r="N25" s="1011"/>
      <c r="O25" s="827"/>
      <c r="P25" s="827"/>
      <c r="Q25" s="857" t="s">
        <v>235</v>
      </c>
      <c r="R25" s="827"/>
      <c r="S25" s="827"/>
      <c r="T25" s="827"/>
      <c r="U25" s="827"/>
      <c r="V25" s="827"/>
      <c r="W25" s="827"/>
      <c r="X25" s="843"/>
      <c r="Y25" s="843"/>
      <c r="AE25" s="829"/>
      <c r="AF25" s="829"/>
    </row>
    <row r="26" spans="2:33" ht="13.5" thickBot="1" x14ac:dyDescent="0.25">
      <c r="B26" s="827"/>
      <c r="C26" s="858" t="s">
        <v>86</v>
      </c>
      <c r="D26" s="858"/>
      <c r="E26" s="858"/>
      <c r="F26" s="858"/>
      <c r="G26" s="858"/>
      <c r="H26" s="859"/>
      <c r="I26" s="858"/>
      <c r="J26" s="858"/>
      <c r="K26" s="858"/>
      <c r="L26" s="859"/>
      <c r="M26" s="860"/>
      <c r="N26" s="861"/>
      <c r="Q26" s="827"/>
      <c r="R26" s="827"/>
      <c r="S26" s="827"/>
      <c r="T26" s="827"/>
      <c r="U26" s="827"/>
      <c r="V26" s="827"/>
      <c r="W26" s="827"/>
      <c r="X26" s="843"/>
      <c r="Y26" s="843"/>
      <c r="Z26" s="862"/>
      <c r="AE26" s="829"/>
      <c r="AF26" s="829"/>
    </row>
    <row r="27" spans="2:33" ht="35.1" customHeight="1" thickBot="1" x14ac:dyDescent="0.25">
      <c r="B27" s="827"/>
      <c r="C27" s="850" t="s">
        <v>87</v>
      </c>
      <c r="D27" s="832" t="s">
        <v>88</v>
      </c>
      <c r="E27" s="832" t="s">
        <v>237</v>
      </c>
      <c r="F27" s="833" t="s">
        <v>160</v>
      </c>
      <c r="G27" s="832" t="s">
        <v>236</v>
      </c>
      <c r="H27" s="833" t="s">
        <v>232</v>
      </c>
      <c r="I27" s="833" t="s">
        <v>233</v>
      </c>
      <c r="J27" s="833" t="s">
        <v>20</v>
      </c>
      <c r="K27" s="832" t="s">
        <v>91</v>
      </c>
      <c r="L27" s="832" t="s">
        <v>93</v>
      </c>
      <c r="M27" s="832" t="s">
        <v>94</v>
      </c>
      <c r="N27" s="863" t="s">
        <v>95</v>
      </c>
      <c r="P27" s="850" t="s">
        <v>237</v>
      </c>
      <c r="Q27" s="833" t="s">
        <v>160</v>
      </c>
      <c r="R27" s="832" t="s">
        <v>236</v>
      </c>
      <c r="S27" s="833" t="s">
        <v>232</v>
      </c>
      <c r="T27" s="833" t="s">
        <v>233</v>
      </c>
      <c r="U27" s="833" t="s">
        <v>20</v>
      </c>
      <c r="V27" s="832" t="s">
        <v>91</v>
      </c>
      <c r="W27" s="832" t="s">
        <v>93</v>
      </c>
      <c r="X27" s="832" t="s">
        <v>94</v>
      </c>
      <c r="Y27" s="834" t="s">
        <v>95</v>
      </c>
      <c r="Z27" s="861"/>
      <c r="AE27" s="829"/>
      <c r="AF27" s="829"/>
    </row>
    <row r="28" spans="2:33" ht="35.1" customHeight="1" thickBot="1" x14ac:dyDescent="0.25">
      <c r="B28" s="827"/>
      <c r="C28" s="864"/>
      <c r="D28" s="836"/>
      <c r="E28" s="836"/>
      <c r="F28" s="836"/>
      <c r="G28" s="836"/>
      <c r="H28" s="836"/>
      <c r="I28" s="836"/>
      <c r="J28" s="972" t="s">
        <v>97</v>
      </c>
      <c r="K28" s="841">
        <v>0</v>
      </c>
      <c r="L28" s="866">
        <f>K28/$K$33</f>
        <v>0</v>
      </c>
      <c r="M28" s="835">
        <f>ROUND(L28*H$15,2)</f>
        <v>0</v>
      </c>
      <c r="N28" s="867">
        <f>M28*$M$15</f>
        <v>0</v>
      </c>
      <c r="P28" s="864"/>
      <c r="Q28" s="836"/>
      <c r="R28" s="836"/>
      <c r="S28" s="836"/>
      <c r="T28" s="836"/>
      <c r="U28" s="865" t="s">
        <v>97</v>
      </c>
      <c r="V28" s="841">
        <v>80000</v>
      </c>
      <c r="W28" s="866">
        <f>IFERROR(V28/$V$33,0)</f>
        <v>9.4117647058823528E-2</v>
      </c>
      <c r="X28" s="837">
        <f>ROUND(W28*I$15,2)</f>
        <v>438534.66</v>
      </c>
      <c r="Y28" s="868">
        <f>X28*M$15</f>
        <v>8589929.2131479997</v>
      </c>
      <c r="Z28" s="860"/>
      <c r="AA28" s="1059">
        <f>Y28+Y29+Y30+Y44</f>
        <v>29357657.738402002</v>
      </c>
      <c r="AE28" s="829"/>
      <c r="AF28" s="829"/>
    </row>
    <row r="29" spans="2:33" ht="35.1" customHeight="1" thickBot="1" x14ac:dyDescent="0.25">
      <c r="B29" s="827"/>
      <c r="C29" s="864"/>
      <c r="D29" s="836"/>
      <c r="E29" s="836"/>
      <c r="F29" s="836"/>
      <c r="G29" s="836"/>
      <c r="H29" s="836"/>
      <c r="I29" s="836"/>
      <c r="J29" s="972" t="s">
        <v>100</v>
      </c>
      <c r="K29" s="841">
        <v>0</v>
      </c>
      <c r="L29" s="866">
        <f t="shared" ref="L29:L32" si="0">K29/$K$33</f>
        <v>0</v>
      </c>
      <c r="M29" s="835">
        <f>ROUND(L29*H$15,2)</f>
        <v>0</v>
      </c>
      <c r="N29" s="867">
        <f>M29*$M$15</f>
        <v>0</v>
      </c>
      <c r="P29" s="864"/>
      <c r="Q29" s="836"/>
      <c r="R29" s="836"/>
      <c r="S29" s="836"/>
      <c r="T29" s="836"/>
      <c r="U29" s="865" t="s">
        <v>100</v>
      </c>
      <c r="V29" s="841">
        <v>40000</v>
      </c>
      <c r="W29" s="866">
        <f>IFERROR(V29/$V$33,0)</f>
        <v>4.7058823529411764E-2</v>
      </c>
      <c r="X29" s="837">
        <f>ROUND(W29*I$15,2)</f>
        <v>219267.33</v>
      </c>
      <c r="Y29" s="868">
        <f>X29*M$15</f>
        <v>4294964.6065739999</v>
      </c>
      <c r="Z29" s="860"/>
      <c r="AE29" s="829"/>
      <c r="AF29" s="829"/>
    </row>
    <row r="30" spans="2:33" ht="35.1" customHeight="1" thickBot="1" x14ac:dyDescent="0.25">
      <c r="B30" s="827"/>
      <c r="C30" s="864"/>
      <c r="D30" s="836"/>
      <c r="E30" s="836"/>
      <c r="F30" s="836"/>
      <c r="G30" s="836"/>
      <c r="H30" s="836"/>
      <c r="I30" s="836"/>
      <c r="J30" s="972" t="s">
        <v>288</v>
      </c>
      <c r="K30" s="841">
        <v>0</v>
      </c>
      <c r="L30" s="866">
        <f t="shared" si="0"/>
        <v>0</v>
      </c>
      <c r="M30" s="835">
        <f>ROUND(L30*H$15,2)</f>
        <v>0</v>
      </c>
      <c r="N30" s="867">
        <f>M30*$M$15</f>
        <v>0</v>
      </c>
      <c r="P30" s="864"/>
      <c r="Q30" s="836"/>
      <c r="R30" s="836"/>
      <c r="S30" s="836"/>
      <c r="T30" s="836"/>
      <c r="U30" s="865" t="s">
        <v>268</v>
      </c>
      <c r="V30" s="841">
        <f>P103/G22</f>
        <v>71860.612700000012</v>
      </c>
      <c r="W30" s="866">
        <f>IFERROR(V30/$V$33,0)</f>
        <v>8.4541897294117666E-2</v>
      </c>
      <c r="X30" s="837">
        <f>ROUND(W30*I$15,2)</f>
        <v>393917.11</v>
      </c>
      <c r="Y30" s="868">
        <f>X30*M$15</f>
        <v>7715969.5672580004</v>
      </c>
      <c r="Z30" s="860"/>
      <c r="AE30" s="829"/>
      <c r="AF30" s="829"/>
    </row>
    <row r="31" spans="2:33" ht="35.1" customHeight="1" thickBot="1" x14ac:dyDescent="0.25">
      <c r="B31" s="827"/>
      <c r="C31" s="864">
        <v>800869674</v>
      </c>
      <c r="D31" s="869">
        <v>3</v>
      </c>
      <c r="E31" s="869" t="s">
        <v>242</v>
      </c>
      <c r="F31" s="836" t="s">
        <v>221</v>
      </c>
      <c r="G31" s="845" t="s">
        <v>222</v>
      </c>
      <c r="H31" s="836">
        <v>2280</v>
      </c>
      <c r="I31" s="1468">
        <v>453851</v>
      </c>
      <c r="J31" s="2154" t="s">
        <v>159</v>
      </c>
      <c r="K31" s="841">
        <v>80000</v>
      </c>
      <c r="L31" s="866">
        <f t="shared" si="0"/>
        <v>9.4117647058823528E-2</v>
      </c>
      <c r="M31" s="835">
        <f>ROUND(L31*I$15,2)</f>
        <v>438534.66</v>
      </c>
      <c r="N31" s="867">
        <f>M31*M15</f>
        <v>8589929.2131479997</v>
      </c>
      <c r="P31" s="1076"/>
      <c r="Q31" s="836"/>
      <c r="R31" s="836"/>
      <c r="S31" s="836"/>
      <c r="T31" s="836"/>
      <c r="U31" s="865" t="s">
        <v>23</v>
      </c>
      <c r="V31" s="841">
        <f>W31*K33</f>
        <v>80000</v>
      </c>
      <c r="W31" s="866">
        <f>L31</f>
        <v>9.4117647058823528E-2</v>
      </c>
      <c r="X31" s="837">
        <f>ROUND(W31*I$15,2)</f>
        <v>438534.66</v>
      </c>
      <c r="Y31" s="868">
        <f>X31*M$15</f>
        <v>8589929.2131479997</v>
      </c>
      <c r="Z31" s="860"/>
      <c r="AE31" s="829"/>
      <c r="AF31" s="829"/>
    </row>
    <row r="32" spans="2:33" ht="35.1" customHeight="1" thickBot="1" x14ac:dyDescent="0.25">
      <c r="B32" s="827"/>
      <c r="C32" s="851">
        <v>800869674</v>
      </c>
      <c r="D32" s="853">
        <v>4</v>
      </c>
      <c r="E32" s="853" t="s">
        <v>242</v>
      </c>
      <c r="F32" s="845" t="s">
        <v>221</v>
      </c>
      <c r="G32" s="845" t="s">
        <v>222</v>
      </c>
      <c r="H32" s="845">
        <v>2280</v>
      </c>
      <c r="I32" s="845">
        <v>453851</v>
      </c>
      <c r="J32" s="1891" t="s">
        <v>159</v>
      </c>
      <c r="K32" s="852">
        <f>850000-K28-K29-K30-K31</f>
        <v>770000</v>
      </c>
      <c r="L32" s="872">
        <f t="shared" si="0"/>
        <v>0.90588235294117647</v>
      </c>
      <c r="M32" s="844">
        <f>ROUND(L32*I$15,2)</f>
        <v>4220896.0599999996</v>
      </c>
      <c r="N32" s="873">
        <f>M32*M15</f>
        <v>82678067.844067991</v>
      </c>
      <c r="P32" s="1004"/>
      <c r="Q32" s="1003"/>
      <c r="R32" s="1003"/>
      <c r="S32" s="1003"/>
      <c r="T32" s="1003"/>
      <c r="U32" s="1851" t="s">
        <v>159</v>
      </c>
      <c r="V32" s="1852">
        <f>850000-V28-V29-V30-V31</f>
        <v>578139.38729999994</v>
      </c>
      <c r="W32" s="1853">
        <f>IFERROR(V32/$V$33,0)</f>
        <v>0.68016398505882347</v>
      </c>
      <c r="X32" s="1854">
        <f>ROUND(W32*I$15,2)</f>
        <v>3169176.97</v>
      </c>
      <c r="Y32" s="1855">
        <f>X32*M$15</f>
        <v>62077204.652966008</v>
      </c>
      <c r="Z32" s="860"/>
      <c r="AE32" s="829"/>
      <c r="AF32" s="829"/>
    </row>
    <row r="33" spans="2:32" ht="35.1" customHeight="1" x14ac:dyDescent="0.2">
      <c r="B33" s="827"/>
      <c r="C33" s="881">
        <v>3000623</v>
      </c>
      <c r="D33" s="882" t="s">
        <v>102</v>
      </c>
      <c r="E33" s="882"/>
      <c r="F33" s="882"/>
      <c r="G33" s="882"/>
      <c r="H33" s="882"/>
      <c r="I33" s="883"/>
      <c r="J33" s="883"/>
      <c r="K33" s="884">
        <f>SUM(K28:K32)</f>
        <v>850000</v>
      </c>
      <c r="L33" s="885">
        <f>SUM(L28:L32)</f>
        <v>1</v>
      </c>
      <c r="M33" s="886">
        <f>SUM(M28:M32)</f>
        <v>4659430.72</v>
      </c>
      <c r="N33" s="886">
        <f>SUM(N28:N32)</f>
        <v>91267997.057215989</v>
      </c>
      <c r="P33" s="882"/>
      <c r="Q33" s="882"/>
      <c r="R33" s="882"/>
      <c r="S33" s="882"/>
      <c r="T33" s="883"/>
      <c r="U33" s="883"/>
      <c r="V33" s="884">
        <f>SUM(V28:V32)</f>
        <v>850000</v>
      </c>
      <c r="W33" s="885">
        <f>SUM(W28:W32)</f>
        <v>1</v>
      </c>
      <c r="X33" s="887">
        <f>SUM(X28:X32)</f>
        <v>4659430.7300000004</v>
      </c>
      <c r="Y33" s="887">
        <f>SUM(Y28:Y32)</f>
        <v>91267997.253094018</v>
      </c>
      <c r="Z33" s="827"/>
      <c r="AE33" s="829"/>
      <c r="AF33" s="829"/>
    </row>
    <row r="34" spans="2:32" ht="20.100000000000001" customHeight="1" x14ac:dyDescent="0.2">
      <c r="B34" s="827"/>
      <c r="C34" s="860"/>
      <c r="D34" s="860"/>
      <c r="E34" s="860"/>
      <c r="F34" s="860"/>
      <c r="G34" s="888"/>
      <c r="H34" s="888"/>
      <c r="I34" s="860"/>
      <c r="J34" s="860"/>
      <c r="K34" s="860"/>
      <c r="L34" s="860"/>
      <c r="M34" s="889"/>
      <c r="P34" s="860"/>
      <c r="Q34" s="860"/>
      <c r="R34" s="888"/>
      <c r="S34" s="888"/>
      <c r="T34" s="860"/>
      <c r="U34" s="860"/>
      <c r="V34" s="860"/>
      <c r="W34" s="860"/>
      <c r="X34" s="890"/>
      <c r="Y34" s="891">
        <v>0</v>
      </c>
      <c r="Z34" s="827"/>
      <c r="AE34" s="829"/>
      <c r="AF34" s="829"/>
    </row>
    <row r="35" spans="2:32" ht="20.100000000000001" customHeight="1" x14ac:dyDescent="0.2">
      <c r="B35" s="827"/>
      <c r="C35" s="860"/>
      <c r="D35" s="860"/>
      <c r="E35" s="860"/>
      <c r="F35" s="860"/>
      <c r="G35" s="888"/>
      <c r="H35" s="888"/>
      <c r="I35" s="860"/>
      <c r="J35" s="860"/>
      <c r="K35" s="860"/>
      <c r="L35" s="860"/>
      <c r="M35" s="889"/>
      <c r="P35" s="860"/>
      <c r="Q35" s="860"/>
      <c r="R35" s="888"/>
      <c r="S35" s="888"/>
      <c r="T35" s="860"/>
      <c r="U35" s="860"/>
      <c r="V35" s="860"/>
      <c r="W35" s="892">
        <f>1-W33</f>
        <v>0</v>
      </c>
      <c r="X35" s="889"/>
      <c r="Y35" s="893"/>
      <c r="Z35" s="827"/>
      <c r="AE35" s="829"/>
      <c r="AF35" s="829"/>
    </row>
    <row r="37" spans="2:32" ht="20.100000000000001" customHeight="1" thickBot="1" x14ac:dyDescent="0.25">
      <c r="B37" s="827"/>
      <c r="C37" s="858" t="s">
        <v>274</v>
      </c>
      <c r="D37" s="858"/>
      <c r="E37" s="858"/>
      <c r="F37" s="858"/>
      <c r="G37" s="858"/>
      <c r="H37" s="859"/>
      <c r="I37" s="858"/>
      <c r="J37" s="858"/>
      <c r="K37" s="858"/>
      <c r="L37" s="859"/>
      <c r="M37" s="860"/>
      <c r="N37" s="861"/>
      <c r="P37" s="858"/>
      <c r="Q37" s="858"/>
      <c r="R37" s="858"/>
      <c r="S37" s="859"/>
      <c r="T37" s="858"/>
      <c r="U37" s="858"/>
      <c r="V37" s="858"/>
      <c r="W37" s="860"/>
      <c r="X37" s="860"/>
      <c r="Y37" s="894"/>
      <c r="Z37" s="862"/>
      <c r="AE37" s="829"/>
      <c r="AF37" s="829"/>
    </row>
    <row r="38" spans="2:32" ht="35.1" customHeight="1" thickBot="1" x14ac:dyDescent="0.25">
      <c r="B38" s="827"/>
      <c r="C38" s="850" t="s">
        <v>87</v>
      </c>
      <c r="D38" s="895" t="s">
        <v>88</v>
      </c>
      <c r="E38" s="895" t="s">
        <v>237</v>
      </c>
      <c r="F38" s="896" t="s">
        <v>160</v>
      </c>
      <c r="G38" s="895" t="s">
        <v>236</v>
      </c>
      <c r="H38" s="896" t="s">
        <v>232</v>
      </c>
      <c r="I38" s="896" t="s">
        <v>233</v>
      </c>
      <c r="J38" s="896" t="s">
        <v>20</v>
      </c>
      <c r="K38" s="832" t="s">
        <v>91</v>
      </c>
      <c r="L38" s="895" t="s">
        <v>93</v>
      </c>
      <c r="M38" s="895" t="s">
        <v>94</v>
      </c>
      <c r="N38" s="897" t="s">
        <v>95</v>
      </c>
      <c r="P38" s="895" t="s">
        <v>237</v>
      </c>
      <c r="Q38" s="896" t="s">
        <v>160</v>
      </c>
      <c r="R38" s="895" t="s">
        <v>236</v>
      </c>
      <c r="S38" s="896" t="s">
        <v>232</v>
      </c>
      <c r="T38" s="896" t="s">
        <v>233</v>
      </c>
      <c r="U38" s="896" t="s">
        <v>20</v>
      </c>
      <c r="V38" s="832" t="s">
        <v>91</v>
      </c>
      <c r="W38" s="895" t="s">
        <v>93</v>
      </c>
      <c r="X38" s="895" t="s">
        <v>94</v>
      </c>
      <c r="Y38" s="897" t="s">
        <v>95</v>
      </c>
      <c r="Z38" s="862"/>
      <c r="AE38" s="829"/>
      <c r="AF38" s="829"/>
    </row>
    <row r="39" spans="2:32" ht="35.1" customHeight="1" thickBot="1" x14ac:dyDescent="0.25">
      <c r="B39" s="827"/>
      <c r="C39" s="864"/>
      <c r="D39" s="1000"/>
      <c r="E39" s="1000"/>
      <c r="F39" s="836"/>
      <c r="G39" s="836"/>
      <c r="H39" s="836"/>
      <c r="I39" s="836"/>
      <c r="J39" s="865"/>
      <c r="K39" s="841"/>
      <c r="L39" s="866">
        <v>0</v>
      </c>
      <c r="M39" s="837">
        <f>ROUND(L39*I$16,2)</f>
        <v>0</v>
      </c>
      <c r="N39" s="868">
        <f>M39*$M$16</f>
        <v>0</v>
      </c>
      <c r="P39" s="836"/>
      <c r="Q39" s="836"/>
      <c r="R39" s="836"/>
      <c r="S39" s="836"/>
      <c r="T39" s="836"/>
      <c r="U39" s="865" t="s">
        <v>97</v>
      </c>
      <c r="V39" s="841">
        <v>80000</v>
      </c>
      <c r="W39" s="866">
        <f>IFERROR(V39/$V$44,0)</f>
        <v>0.66666666666666663</v>
      </c>
      <c r="X39" s="837">
        <f>ROUND(W39*I$16,2)</f>
        <v>298035.65999999997</v>
      </c>
      <c r="Y39" s="868">
        <f>X39*M$15</f>
        <v>5837862.9009480001</v>
      </c>
      <c r="Z39" s="862"/>
      <c r="AE39" s="829"/>
      <c r="AF39" s="829"/>
    </row>
    <row r="40" spans="2:32" ht="35.1" customHeight="1" thickBot="1" x14ac:dyDescent="0.25">
      <c r="B40" s="827"/>
      <c r="C40" s="864" t="s">
        <v>101</v>
      </c>
      <c r="D40" s="836" t="s">
        <v>101</v>
      </c>
      <c r="E40" s="836"/>
      <c r="F40" s="836"/>
      <c r="G40" s="836"/>
      <c r="H40" s="836"/>
      <c r="I40" s="836"/>
      <c r="J40" s="865"/>
      <c r="K40" s="841"/>
      <c r="L40" s="866">
        <v>0</v>
      </c>
      <c r="M40" s="837">
        <f>ROUND(L40*I$16,2)</f>
        <v>0</v>
      </c>
      <c r="N40" s="868">
        <f>M40*$M$16</f>
        <v>0</v>
      </c>
      <c r="P40" s="836"/>
      <c r="Q40" s="836"/>
      <c r="R40" s="836"/>
      <c r="S40" s="836"/>
      <c r="T40" s="836"/>
      <c r="U40" s="865" t="s">
        <v>100</v>
      </c>
      <c r="V40" s="841">
        <v>40000</v>
      </c>
      <c r="W40" s="866">
        <f>IFERROR(V40/$V$44,0)</f>
        <v>0.33333333333333331</v>
      </c>
      <c r="X40" s="837">
        <f>ROUND(W40*I$16,2)</f>
        <v>149017.82999999999</v>
      </c>
      <c r="Y40" s="868">
        <f>X40*M$15</f>
        <v>2918931.4504740001</v>
      </c>
      <c r="Z40" s="862"/>
      <c r="AE40" s="829"/>
      <c r="AF40" s="829"/>
    </row>
    <row r="41" spans="2:32" ht="35.1" customHeight="1" thickBot="1" x14ac:dyDescent="0.25">
      <c r="B41" s="827"/>
      <c r="C41" s="864"/>
      <c r="D41" s="836"/>
      <c r="E41" s="836"/>
      <c r="F41" s="836"/>
      <c r="G41" s="836"/>
      <c r="H41" s="836"/>
      <c r="I41" s="836"/>
      <c r="J41" s="972"/>
      <c r="K41" s="841"/>
      <c r="L41" s="866">
        <f>IFERROR(K41/K$44,0)</f>
        <v>0</v>
      </c>
      <c r="M41" s="837">
        <f>ROUND(L41*I$16,2)</f>
        <v>0</v>
      </c>
      <c r="N41" s="868">
        <f>M41*$M$16</f>
        <v>0</v>
      </c>
      <c r="P41" s="836"/>
      <c r="Q41" s="836"/>
      <c r="R41" s="836"/>
      <c r="S41" s="836"/>
      <c r="T41" s="836"/>
      <c r="U41" s="836" t="s">
        <v>268</v>
      </c>
      <c r="V41" s="841"/>
      <c r="W41" s="866">
        <f>IFERROR(V41/V$44,0)</f>
        <v>0</v>
      </c>
      <c r="X41" s="837">
        <f>ROUND(W41*I$16,2)</f>
        <v>0</v>
      </c>
      <c r="Y41" s="868">
        <f>X41*$M$16</f>
        <v>0</v>
      </c>
      <c r="Z41" s="862"/>
      <c r="AE41" s="829"/>
      <c r="AF41" s="829"/>
    </row>
    <row r="42" spans="2:32" ht="35.1" customHeight="1" thickBot="1" x14ac:dyDescent="0.25">
      <c r="B42" s="827"/>
      <c r="C42" s="864"/>
      <c r="D42" s="1000"/>
      <c r="E42" s="1000"/>
      <c r="F42" s="836"/>
      <c r="G42" s="836"/>
      <c r="H42" s="836"/>
      <c r="I42" s="836"/>
      <c r="J42" s="865"/>
      <c r="K42" s="841"/>
      <c r="L42" s="866">
        <f>IFERROR(K42/K$44,0)</f>
        <v>0</v>
      </c>
      <c r="M42" s="837">
        <f>ROUND(L42*I$16,2)</f>
        <v>0</v>
      </c>
      <c r="N42" s="868">
        <f>M42*$M$16</f>
        <v>0</v>
      </c>
      <c r="P42" s="1000"/>
      <c r="Q42" s="836"/>
      <c r="R42" s="836"/>
      <c r="S42" s="836"/>
      <c r="T42" s="836"/>
      <c r="U42" s="865" t="s">
        <v>23</v>
      </c>
      <c r="V42" s="841"/>
      <c r="W42" s="866">
        <f t="shared" ref="W42:W43" si="1">IFERROR(V42/V$44,0)</f>
        <v>0</v>
      </c>
      <c r="X42" s="837">
        <f>ROUND(W42*I$16,2)</f>
        <v>0</v>
      </c>
      <c r="Y42" s="868">
        <f>X42*$M$16</f>
        <v>0</v>
      </c>
      <c r="Z42" s="862"/>
      <c r="AE42" s="829"/>
      <c r="AF42" s="829"/>
    </row>
    <row r="43" spans="2:32" ht="35.1" customHeight="1" thickBot="1" x14ac:dyDescent="0.25">
      <c r="B43" s="827"/>
      <c r="C43" s="1004">
        <v>800869676</v>
      </c>
      <c r="D43" s="853">
        <v>2</v>
      </c>
      <c r="E43" s="853" t="s">
        <v>242</v>
      </c>
      <c r="F43" s="1003" t="s">
        <v>221</v>
      </c>
      <c r="G43" s="1003" t="s">
        <v>222</v>
      </c>
      <c r="H43" s="1003">
        <v>2280</v>
      </c>
      <c r="I43" s="1003">
        <v>453851</v>
      </c>
      <c r="J43" s="871" t="s">
        <v>159</v>
      </c>
      <c r="K43" s="852">
        <v>120000</v>
      </c>
      <c r="L43" s="872">
        <v>1</v>
      </c>
      <c r="M43" s="846">
        <f>ROUND(L43*I$16,2)</f>
        <v>447053.49</v>
      </c>
      <c r="N43" s="898">
        <f>M43*$M$16</f>
        <v>8756794.3514220007</v>
      </c>
      <c r="P43" s="1003"/>
      <c r="Q43" s="845"/>
      <c r="R43" s="845"/>
      <c r="S43" s="845"/>
      <c r="T43" s="845"/>
      <c r="U43" s="871" t="s">
        <v>159</v>
      </c>
      <c r="V43" s="852"/>
      <c r="W43" s="872">
        <f t="shared" si="1"/>
        <v>0</v>
      </c>
      <c r="X43" s="846">
        <f>ROUND(W43*I$16,2)</f>
        <v>0</v>
      </c>
      <c r="Y43" s="898">
        <f>X43*$M$16</f>
        <v>0</v>
      </c>
      <c r="Z43" s="862"/>
      <c r="AE43" s="829"/>
      <c r="AF43" s="829"/>
    </row>
    <row r="44" spans="2:32" ht="20.100000000000001" customHeight="1" x14ac:dyDescent="0.2">
      <c r="B44" s="827"/>
      <c r="C44" s="881">
        <v>3000623</v>
      </c>
      <c r="D44" s="882" t="s">
        <v>102</v>
      </c>
      <c r="E44" s="882"/>
      <c r="F44" s="882"/>
      <c r="G44" s="882"/>
      <c r="H44" s="882"/>
      <c r="I44" s="883"/>
      <c r="J44" s="883"/>
      <c r="K44" s="884">
        <f>SUM(K39:K43)</f>
        <v>120000</v>
      </c>
      <c r="L44" s="885">
        <f>SUM(L39:L43)</f>
        <v>1</v>
      </c>
      <c r="M44" s="886">
        <f>SUM(M39:M43)</f>
        <v>447053.49</v>
      </c>
      <c r="N44" s="886">
        <f>SUM(N39:N43)</f>
        <v>8756794.3514220007</v>
      </c>
      <c r="P44" s="882"/>
      <c r="Q44" s="882"/>
      <c r="R44" s="882"/>
      <c r="S44" s="882"/>
      <c r="T44" s="883"/>
      <c r="U44" s="883"/>
      <c r="V44" s="884">
        <f>SUM(V39:V43)</f>
        <v>120000</v>
      </c>
      <c r="W44" s="885">
        <f>SUM(W39:W43)</f>
        <v>1</v>
      </c>
      <c r="X44" s="886">
        <f>SUM(X39:X43)</f>
        <v>447053.49</v>
      </c>
      <c r="Y44" s="886">
        <f>SUM(Y39:Y43)</f>
        <v>8756794.3514220007</v>
      </c>
      <c r="Z44" s="862"/>
      <c r="AE44" s="829"/>
      <c r="AF44" s="829"/>
    </row>
    <row r="45" spans="2:32" ht="20.100000000000001" customHeight="1" x14ac:dyDescent="0.2">
      <c r="B45" s="827"/>
      <c r="C45" s="899"/>
      <c r="D45" s="858"/>
      <c r="E45" s="858"/>
      <c r="F45" s="858"/>
      <c r="G45" s="858"/>
      <c r="H45" s="859"/>
      <c r="I45" s="858"/>
      <c r="J45" s="858"/>
      <c r="K45" s="858"/>
      <c r="L45" s="860"/>
      <c r="M45" s="860"/>
      <c r="N45" s="843"/>
      <c r="P45" s="858"/>
      <c r="Q45" s="858"/>
      <c r="R45" s="858"/>
      <c r="S45" s="859"/>
      <c r="T45" s="858"/>
      <c r="U45" s="858"/>
      <c r="V45" s="858"/>
      <c r="W45" s="860"/>
      <c r="X45" s="860"/>
      <c r="Y45" s="894"/>
      <c r="Z45" s="862"/>
      <c r="AE45" s="829"/>
      <c r="AF45" s="829"/>
    </row>
    <row r="46" spans="2:32" ht="20.100000000000001" customHeight="1" x14ac:dyDescent="0.2">
      <c r="B46" s="827"/>
      <c r="C46" s="899"/>
      <c r="D46" s="858"/>
      <c r="E46" s="858"/>
      <c r="F46" s="858"/>
      <c r="G46" s="858"/>
      <c r="H46" s="859"/>
      <c r="I46" s="858"/>
      <c r="J46" s="858"/>
      <c r="K46" s="858"/>
      <c r="L46" s="860"/>
      <c r="M46" s="860"/>
      <c r="N46" s="843"/>
      <c r="P46" s="858"/>
      <c r="Q46" s="858"/>
      <c r="R46" s="858"/>
      <c r="S46" s="859"/>
      <c r="T46" s="858"/>
      <c r="U46" s="858"/>
      <c r="V46" s="858"/>
      <c r="W46" s="860"/>
      <c r="X46" s="860"/>
      <c r="Y46" s="894"/>
      <c r="Z46" s="862"/>
      <c r="AE46" s="829"/>
      <c r="AF46" s="829"/>
    </row>
    <row r="47" spans="2:32" ht="20.100000000000001" customHeight="1" x14ac:dyDescent="0.2">
      <c r="B47" s="827"/>
      <c r="C47" s="899"/>
      <c r="D47" s="858"/>
      <c r="E47" s="858"/>
      <c r="F47" s="858"/>
      <c r="G47" s="858"/>
      <c r="H47" s="859"/>
      <c r="I47" s="858"/>
      <c r="J47" s="858"/>
      <c r="K47" s="858"/>
      <c r="L47" s="860"/>
      <c r="M47" s="860"/>
      <c r="N47" s="843"/>
      <c r="P47" s="858"/>
      <c r="Q47" s="858"/>
      <c r="R47" s="858"/>
      <c r="S47" s="859"/>
      <c r="T47" s="858"/>
      <c r="U47" s="858"/>
      <c r="V47" s="858"/>
      <c r="W47" s="860"/>
      <c r="X47" s="860"/>
      <c r="Y47" s="894"/>
      <c r="Z47" s="862"/>
      <c r="AE47" s="829"/>
      <c r="AF47" s="829"/>
    </row>
    <row r="48" spans="2:32" ht="35.1" customHeight="1" thickBot="1" x14ac:dyDescent="0.25">
      <c r="B48" s="827"/>
      <c r="C48" s="899" t="s">
        <v>103</v>
      </c>
      <c r="D48" s="858"/>
      <c r="E48" s="858"/>
      <c r="F48" s="858"/>
      <c r="G48" s="858"/>
      <c r="H48" s="859"/>
      <c r="I48" s="858"/>
      <c r="J48" s="858"/>
      <c r="K48" s="858"/>
      <c r="L48" s="860"/>
      <c r="M48" s="860"/>
      <c r="N48" s="843"/>
      <c r="P48" s="858"/>
      <c r="Q48" s="858"/>
      <c r="R48" s="858"/>
      <c r="S48" s="859"/>
      <c r="T48" s="858"/>
      <c r="U48" s="858"/>
      <c r="V48" s="858"/>
      <c r="W48" s="860"/>
      <c r="X48" s="860"/>
      <c r="Y48" s="894"/>
      <c r="Z48" s="862"/>
      <c r="AE48" s="829"/>
      <c r="AF48" s="829"/>
    </row>
    <row r="49" spans="2:32" ht="35.1" customHeight="1" thickBot="1" x14ac:dyDescent="0.25">
      <c r="B49" s="827"/>
      <c r="C49" s="850" t="s">
        <v>87</v>
      </c>
      <c r="D49" s="832" t="s">
        <v>88</v>
      </c>
      <c r="E49" s="832" t="s">
        <v>237</v>
      </c>
      <c r="F49" s="833" t="s">
        <v>160</v>
      </c>
      <c r="G49" s="832" t="s">
        <v>90</v>
      </c>
      <c r="H49" s="833" t="s">
        <v>232</v>
      </c>
      <c r="I49" s="833" t="s">
        <v>233</v>
      </c>
      <c r="J49" s="833" t="s">
        <v>20</v>
      </c>
      <c r="K49" s="832" t="s">
        <v>234</v>
      </c>
      <c r="L49" s="832" t="s">
        <v>93</v>
      </c>
      <c r="M49" s="832" t="s">
        <v>94</v>
      </c>
      <c r="N49" s="863" t="s">
        <v>95</v>
      </c>
      <c r="P49" s="850" t="s">
        <v>237</v>
      </c>
      <c r="Q49" s="833" t="s">
        <v>160</v>
      </c>
      <c r="R49" s="832" t="s">
        <v>90</v>
      </c>
      <c r="S49" s="833" t="s">
        <v>232</v>
      </c>
      <c r="T49" s="833" t="s">
        <v>233</v>
      </c>
      <c r="U49" s="833" t="s">
        <v>20</v>
      </c>
      <c r="V49" s="832" t="s">
        <v>234</v>
      </c>
      <c r="W49" s="832" t="s">
        <v>93</v>
      </c>
      <c r="X49" s="832" t="s">
        <v>94</v>
      </c>
      <c r="Y49" s="834" t="s">
        <v>95</v>
      </c>
      <c r="Z49" s="861"/>
      <c r="AE49" s="829"/>
      <c r="AF49" s="829"/>
    </row>
    <row r="50" spans="2:32" ht="35.1" customHeight="1" thickBot="1" x14ac:dyDescent="0.25">
      <c r="B50" s="827"/>
      <c r="C50" s="864"/>
      <c r="D50" s="1000"/>
      <c r="E50" s="836"/>
      <c r="F50" s="836"/>
      <c r="G50" s="836"/>
      <c r="H50" s="836"/>
      <c r="I50" s="836"/>
      <c r="J50" s="1306"/>
      <c r="K50" s="841">
        <f>K55-K51-K52-K53-K54</f>
        <v>0</v>
      </c>
      <c r="L50" s="866">
        <f>IFERROR(K50/K$55,0)</f>
        <v>0</v>
      </c>
      <c r="M50" s="835">
        <f>L50*$I$17</f>
        <v>0</v>
      </c>
      <c r="N50" s="867">
        <f>M50*$M$17</f>
        <v>0</v>
      </c>
      <c r="O50" s="2"/>
      <c r="P50" s="864"/>
      <c r="Q50" s="836"/>
      <c r="R50" s="836"/>
      <c r="S50" s="836"/>
      <c r="T50" s="836"/>
      <c r="U50" s="1306" t="s">
        <v>378</v>
      </c>
      <c r="V50" s="841">
        <f>V55-V51-V52-V53-V54</f>
        <v>0</v>
      </c>
      <c r="W50" s="866">
        <f>IFERROR(V50/V$55,0)</f>
        <v>0</v>
      </c>
      <c r="X50" s="835">
        <f>W50*$I$17</f>
        <v>0</v>
      </c>
      <c r="Y50" s="867">
        <f>X50*$M$17</f>
        <v>0</v>
      </c>
      <c r="AE50" s="829"/>
      <c r="AF50" s="829"/>
    </row>
    <row r="51" spans="2:32" ht="35.1" customHeight="1" thickBot="1" x14ac:dyDescent="0.25">
      <c r="B51" s="827"/>
      <c r="C51" s="864"/>
      <c r="D51" s="1000"/>
      <c r="E51" s="1000"/>
      <c r="F51" s="836"/>
      <c r="G51" s="836"/>
      <c r="H51" s="836"/>
      <c r="I51" s="836"/>
      <c r="J51" s="972"/>
      <c r="K51" s="841">
        <v>0</v>
      </c>
      <c r="L51" s="866">
        <f>IFERROR(K51/K$55,0)</f>
        <v>0</v>
      </c>
      <c r="M51" s="835">
        <f>L51*$I$17</f>
        <v>0</v>
      </c>
      <c r="N51" s="867">
        <f t="shared" ref="N51:N54" si="2">M51*$M$17</f>
        <v>0</v>
      </c>
      <c r="O51" s="2"/>
      <c r="P51" s="864"/>
      <c r="Q51" s="836"/>
      <c r="R51" s="836">
        <v>20823</v>
      </c>
      <c r="S51" s="836"/>
      <c r="T51" s="836"/>
      <c r="U51" s="1306" t="s">
        <v>261</v>
      </c>
      <c r="V51" s="841">
        <f>$N$103*$R$104</f>
        <v>2145017.0680672848</v>
      </c>
      <c r="W51" s="866">
        <f>IFERROR(V51/V$55,0)</f>
        <v>0.39619534149098629</v>
      </c>
      <c r="X51" s="835">
        <f>W51*$I$17</f>
        <v>2175.9048154684965</v>
      </c>
      <c r="Y51" s="867">
        <f t="shared" ref="Y51:Y54" si="3">X51*$M$17</f>
        <v>42621.188344433816</v>
      </c>
      <c r="AE51" s="829"/>
      <c r="AF51" s="829"/>
    </row>
    <row r="52" spans="2:32" ht="35.1" customHeight="1" thickBot="1" x14ac:dyDescent="0.25">
      <c r="B52" s="827"/>
      <c r="C52" s="864"/>
      <c r="D52" s="1000"/>
      <c r="E52" s="1000"/>
      <c r="F52" s="836"/>
      <c r="G52" s="836"/>
      <c r="H52" s="836"/>
      <c r="I52" s="836"/>
      <c r="J52" s="972"/>
      <c r="K52" s="841">
        <v>0</v>
      </c>
      <c r="L52" s="866">
        <f>IFERROR(K52/K$55,0)</f>
        <v>0</v>
      </c>
      <c r="M52" s="835">
        <f>L52*$I$17</f>
        <v>0</v>
      </c>
      <c r="N52" s="867">
        <f t="shared" si="2"/>
        <v>0</v>
      </c>
      <c r="O52" s="2"/>
      <c r="P52" s="864"/>
      <c r="Q52" s="836"/>
      <c r="R52" s="836">
        <v>20824</v>
      </c>
      <c r="S52" s="836"/>
      <c r="T52" s="836"/>
      <c r="U52" s="1306" t="s">
        <v>262</v>
      </c>
      <c r="V52" s="841">
        <f>$N$103*$S$104</f>
        <v>1113203.2619327151</v>
      </c>
      <c r="W52" s="866">
        <f>IFERROR(V52/V$55,0)</f>
        <v>0.20561418977784898</v>
      </c>
      <c r="X52" s="835">
        <f>W52*$I$17</f>
        <v>1129.2331302599466</v>
      </c>
      <c r="Y52" s="867">
        <f t="shared" si="3"/>
        <v>22119.192708905783</v>
      </c>
      <c r="AE52" s="829"/>
      <c r="AF52" s="829"/>
    </row>
    <row r="53" spans="2:32" ht="35.1" customHeight="1" thickBot="1" x14ac:dyDescent="0.25">
      <c r="B53" s="827"/>
      <c r="C53" s="1893">
        <v>800869678</v>
      </c>
      <c r="D53" s="2149">
        <v>3</v>
      </c>
      <c r="E53" s="2037" t="s">
        <v>239</v>
      </c>
      <c r="F53" s="1894" t="s">
        <v>221</v>
      </c>
      <c r="G53" s="1894" t="s">
        <v>222</v>
      </c>
      <c r="H53" s="1894">
        <v>2281</v>
      </c>
      <c r="I53" s="1894">
        <v>453659</v>
      </c>
      <c r="J53" s="1835" t="s">
        <v>97</v>
      </c>
      <c r="K53" s="841">
        <f>P103</f>
        <v>2155818.3810000005</v>
      </c>
      <c r="L53" s="866">
        <f>IFERROR(K53/K$55,0)</f>
        <v>0.39819042605290306</v>
      </c>
      <c r="M53" s="835">
        <f>L53*$I$17</f>
        <v>2186.8618198825434</v>
      </c>
      <c r="N53" s="867">
        <f t="shared" si="2"/>
        <v>42835.811955495286</v>
      </c>
      <c r="O53" s="2"/>
      <c r="P53" s="864"/>
      <c r="Q53" s="836"/>
      <c r="R53" s="836">
        <v>22228</v>
      </c>
      <c r="S53" s="836"/>
      <c r="T53" s="836"/>
      <c r="U53" s="1306" t="s">
        <v>290</v>
      </c>
      <c r="V53" s="841">
        <f>$U$103</f>
        <v>0</v>
      </c>
      <c r="W53" s="866">
        <f>IFERROR(V53/V$55,0)</f>
        <v>0</v>
      </c>
      <c r="X53" s="835">
        <f>W53*$I$17</f>
        <v>0</v>
      </c>
      <c r="Y53" s="867">
        <f t="shared" si="3"/>
        <v>0</v>
      </c>
      <c r="AE53" s="829"/>
      <c r="AF53" s="829"/>
    </row>
    <row r="54" spans="2:32" ht="35.1" customHeight="1" thickBot="1" x14ac:dyDescent="0.25">
      <c r="B54" s="827"/>
      <c r="C54" s="1890">
        <v>800869678</v>
      </c>
      <c r="D54" s="1877">
        <v>3</v>
      </c>
      <c r="E54" s="2148" t="s">
        <v>239</v>
      </c>
      <c r="F54" s="1878" t="s">
        <v>221</v>
      </c>
      <c r="G54" s="1878" t="s">
        <v>222</v>
      </c>
      <c r="H54" s="1878">
        <v>2281</v>
      </c>
      <c r="I54" s="1878">
        <v>453659</v>
      </c>
      <c r="J54" s="871" t="s">
        <v>23</v>
      </c>
      <c r="K54" s="852">
        <f>$N$103+($O$103*$S$104)+($O$103*$T$104)</f>
        <v>3258220.33</v>
      </c>
      <c r="L54" s="872">
        <f>IFERROR(K54/K$55,0)</f>
        <v>0.60180957394709689</v>
      </c>
      <c r="M54" s="844">
        <f>L54*$I$17</f>
        <v>3305.1381801174562</v>
      </c>
      <c r="N54" s="873">
        <f t="shared" si="2"/>
        <v>64740.385644504713</v>
      </c>
      <c r="O54" s="2"/>
      <c r="P54" s="851"/>
      <c r="Q54" s="845"/>
      <c r="R54" s="845" t="s">
        <v>222</v>
      </c>
      <c r="S54" s="845"/>
      <c r="T54" s="845"/>
      <c r="U54" s="1307" t="s">
        <v>260</v>
      </c>
      <c r="V54" s="852">
        <f>$M$103</f>
        <v>2155818.7649450004</v>
      </c>
      <c r="W54" s="872">
        <f>IFERROR(V54/V$55,0)</f>
        <v>0.3981904687311647</v>
      </c>
      <c r="X54" s="844">
        <f>W54*$I$17</f>
        <v>2186.8620542715566</v>
      </c>
      <c r="Y54" s="873">
        <f t="shared" si="3"/>
        <v>42835.816546660397</v>
      </c>
      <c r="AE54" s="829"/>
      <c r="AF54" s="829"/>
    </row>
    <row r="55" spans="2:32" x14ac:dyDescent="0.2">
      <c r="B55" s="827"/>
      <c r="C55" s="901"/>
      <c r="D55" s="901"/>
      <c r="E55" s="901"/>
      <c r="F55" s="902"/>
      <c r="G55" s="902"/>
      <c r="H55" s="902"/>
      <c r="I55" s="902"/>
      <c r="J55" s="902"/>
      <c r="K55" s="1001">
        <f>SUM(K51:K54)</f>
        <v>5414038.7110000011</v>
      </c>
      <c r="L55" s="903">
        <f>SUM(L51:L54)</f>
        <v>1</v>
      </c>
      <c r="M55" s="1002">
        <f>SUM(M51:M54)</f>
        <v>5492</v>
      </c>
      <c r="N55" s="1002">
        <f>SUM(N51:N54)</f>
        <v>107576.1976</v>
      </c>
      <c r="O55" s="843"/>
      <c r="P55" s="843"/>
      <c r="Q55" s="827"/>
      <c r="R55" s="827"/>
      <c r="S55" s="827"/>
      <c r="T55" s="827"/>
      <c r="U55" s="827"/>
      <c r="V55" s="1001">
        <f t="shared" ref="V55:X55" si="4">SUM(V51:V54)</f>
        <v>5414039.0949450005</v>
      </c>
      <c r="W55" s="903">
        <f t="shared" si="4"/>
        <v>1</v>
      </c>
      <c r="X55" s="1002">
        <f t="shared" si="4"/>
        <v>5492</v>
      </c>
      <c r="Y55" s="1002">
        <f>SUM(Y51:Y54)</f>
        <v>107576.1976</v>
      </c>
      <c r="AE55" s="829"/>
      <c r="AF55" s="829"/>
    </row>
    <row r="56" spans="2:32" s="906" customFormat="1" x14ac:dyDescent="0.2">
      <c r="B56" s="904"/>
      <c r="C56" s="902"/>
      <c r="D56" s="902"/>
      <c r="E56" s="902"/>
      <c r="F56" s="902"/>
      <c r="G56" s="902"/>
      <c r="H56" s="902"/>
      <c r="I56" s="902"/>
      <c r="J56" s="902"/>
      <c r="K56" s="902"/>
      <c r="L56" s="902"/>
      <c r="M56" s="905"/>
      <c r="N56" s="905"/>
      <c r="O56" s="843"/>
      <c r="P56" s="843"/>
      <c r="Q56" s="904"/>
      <c r="R56" s="904"/>
      <c r="S56" s="904"/>
      <c r="T56" s="904"/>
      <c r="U56" s="904"/>
      <c r="V56" s="904"/>
      <c r="W56" s="904"/>
      <c r="X56" s="843"/>
      <c r="Y56" s="843"/>
      <c r="Z56" s="843"/>
      <c r="AA56" s="843"/>
      <c r="AB56" s="843"/>
      <c r="AC56" s="843"/>
      <c r="AD56" s="843"/>
    </row>
    <row r="57" spans="2:32" s="906" customFormat="1" x14ac:dyDescent="0.2">
      <c r="B57" s="904"/>
      <c r="C57" s="902"/>
      <c r="D57" s="902"/>
      <c r="E57" s="902"/>
      <c r="F57" s="902"/>
      <c r="G57" s="902"/>
      <c r="H57" s="902"/>
      <c r="I57" s="902"/>
      <c r="J57" s="902"/>
      <c r="K57" s="902"/>
      <c r="L57" s="905"/>
      <c r="M57" s="905"/>
      <c r="N57" s="1690">
        <f>N55*1.16</f>
        <v>124788.389216</v>
      </c>
      <c r="O57" s="904"/>
      <c r="P57" s="904"/>
      <c r="Q57" s="904"/>
      <c r="R57" s="904"/>
      <c r="S57" s="904"/>
      <c r="T57" s="904"/>
      <c r="U57" s="904"/>
      <c r="V57" s="843"/>
      <c r="W57" s="843"/>
      <c r="X57" s="843"/>
      <c r="Y57" s="843"/>
      <c r="Z57" s="843"/>
      <c r="AA57" s="843"/>
      <c r="AB57" s="843"/>
    </row>
    <row r="58" spans="2:32" s="906" customFormat="1" x14ac:dyDescent="0.2">
      <c r="B58" s="904"/>
      <c r="C58" s="902"/>
      <c r="D58" s="902"/>
      <c r="E58" s="902"/>
      <c r="F58" s="902"/>
      <c r="G58" s="902"/>
      <c r="H58" s="902"/>
      <c r="I58" s="902"/>
      <c r="J58" s="902"/>
      <c r="K58" s="902"/>
      <c r="L58" s="905"/>
      <c r="M58" s="905"/>
      <c r="N58" s="843"/>
      <c r="O58" s="843"/>
      <c r="P58" s="904"/>
      <c r="Q58" s="904"/>
      <c r="R58" s="904"/>
      <c r="S58" s="904"/>
      <c r="T58" s="904"/>
      <c r="U58" s="904"/>
      <c r="V58" s="904"/>
      <c r="W58" s="843"/>
      <c r="X58" s="843"/>
      <c r="Y58" s="843"/>
      <c r="Z58" s="843"/>
      <c r="AA58" s="843"/>
      <c r="AB58" s="843"/>
      <c r="AC58" s="843"/>
    </row>
    <row r="59" spans="2:32" s="906" customFormat="1" x14ac:dyDescent="0.2">
      <c r="B59" s="904"/>
      <c r="C59" s="902"/>
      <c r="D59" s="902"/>
      <c r="E59" s="902"/>
      <c r="F59" s="902"/>
      <c r="G59" s="902"/>
      <c r="H59" s="902"/>
      <c r="I59" s="902"/>
      <c r="J59" s="902"/>
      <c r="K59" s="902"/>
      <c r="L59" s="905"/>
      <c r="M59" s="905"/>
      <c r="N59" s="843"/>
      <c r="O59" s="905"/>
      <c r="P59" s="843"/>
      <c r="Q59" s="905"/>
      <c r="R59" s="904"/>
      <c r="S59" s="904"/>
      <c r="T59" s="904"/>
      <c r="U59" s="904"/>
      <c r="V59" s="904"/>
      <c r="W59" s="904"/>
      <c r="X59" s="904"/>
      <c r="Y59" s="904"/>
      <c r="Z59" s="843"/>
      <c r="AA59" s="843"/>
      <c r="AB59" s="843"/>
      <c r="AC59" s="843"/>
      <c r="AD59" s="843"/>
      <c r="AE59" s="843"/>
      <c r="AF59" s="843"/>
    </row>
    <row r="60" spans="2:32" s="906" customFormat="1" x14ac:dyDescent="0.2">
      <c r="B60" s="904"/>
      <c r="C60" s="902"/>
      <c r="D60" s="902"/>
      <c r="E60" s="902"/>
      <c r="F60" s="902"/>
      <c r="G60" s="902"/>
      <c r="H60" s="902"/>
      <c r="I60" s="902"/>
      <c r="J60" s="902"/>
      <c r="K60" s="902"/>
      <c r="L60" s="905"/>
      <c r="M60" s="905"/>
      <c r="N60" s="843"/>
      <c r="O60" s="905"/>
      <c r="P60" s="843"/>
      <c r="Q60" s="905"/>
      <c r="R60" s="904"/>
      <c r="S60" s="904"/>
      <c r="T60" s="904"/>
      <c r="U60" s="904"/>
      <c r="V60" s="904"/>
      <c r="W60" s="904"/>
      <c r="X60" s="904"/>
      <c r="Y60" s="904"/>
      <c r="Z60" s="843"/>
      <c r="AA60" s="843"/>
      <c r="AB60" s="843"/>
      <c r="AC60" s="843"/>
      <c r="AD60" s="843"/>
      <c r="AE60" s="843"/>
      <c r="AF60" s="843"/>
    </row>
    <row r="61" spans="2:32" s="906" customFormat="1" x14ac:dyDescent="0.2">
      <c r="B61" s="904"/>
      <c r="C61" s="902"/>
      <c r="D61" s="902"/>
      <c r="E61" s="902"/>
      <c r="F61" s="902"/>
      <c r="G61" s="902"/>
      <c r="H61" s="902"/>
      <c r="I61" s="902"/>
      <c r="J61" s="902"/>
      <c r="K61" s="902"/>
      <c r="L61" s="905"/>
      <c r="M61" s="905"/>
      <c r="N61" s="843"/>
      <c r="O61" s="905"/>
      <c r="P61" s="843"/>
      <c r="Q61" s="905"/>
      <c r="R61" s="904"/>
      <c r="S61" s="904"/>
      <c r="T61" s="904"/>
      <c r="U61" s="904"/>
      <c r="V61" s="904"/>
      <c r="W61" s="904"/>
      <c r="X61" s="904"/>
      <c r="Y61" s="904"/>
      <c r="Z61" s="843"/>
      <c r="AA61" s="843"/>
      <c r="AB61" s="843"/>
      <c r="AC61" s="843"/>
      <c r="AD61" s="843"/>
      <c r="AE61" s="843"/>
      <c r="AF61" s="843"/>
    </row>
    <row r="62" spans="2:32" s="906" customFormat="1" x14ac:dyDescent="0.2">
      <c r="B62" s="904"/>
      <c r="C62" s="902"/>
      <c r="D62" s="902"/>
      <c r="E62" s="902"/>
      <c r="F62" s="902"/>
      <c r="G62" s="902"/>
      <c r="H62" s="902"/>
      <c r="I62" s="902"/>
      <c r="J62" s="902"/>
      <c r="K62" s="902"/>
      <c r="L62" s="905"/>
      <c r="M62" s="905"/>
      <c r="N62" s="843"/>
      <c r="O62" s="905"/>
      <c r="P62" s="843"/>
      <c r="Q62" s="905"/>
      <c r="R62" s="904"/>
      <c r="S62" s="904"/>
      <c r="T62" s="904"/>
      <c r="U62" s="904"/>
      <c r="V62" s="904"/>
      <c r="W62" s="904"/>
      <c r="X62" s="904"/>
      <c r="Y62" s="904"/>
      <c r="Z62" s="843"/>
      <c r="AA62" s="843"/>
      <c r="AB62" s="843"/>
      <c r="AC62" s="843"/>
      <c r="AD62" s="843"/>
      <c r="AE62" s="843"/>
      <c r="AF62" s="843"/>
    </row>
    <row r="63" spans="2:32" s="906" customFormat="1" x14ac:dyDescent="0.2">
      <c r="B63" s="904"/>
      <c r="C63" s="902"/>
      <c r="D63" s="902"/>
      <c r="E63" s="902"/>
      <c r="F63" s="902"/>
      <c r="G63" s="902"/>
      <c r="H63" s="902"/>
      <c r="I63" s="902"/>
      <c r="J63" s="902"/>
      <c r="K63" s="902"/>
      <c r="L63" s="905"/>
      <c r="M63" s="905"/>
      <c r="N63" s="843"/>
      <c r="O63" s="905"/>
      <c r="P63" s="843"/>
      <c r="Q63" s="905"/>
      <c r="R63" s="904"/>
      <c r="S63" s="904"/>
      <c r="T63" s="904"/>
      <c r="U63" s="904"/>
      <c r="V63" s="904"/>
      <c r="W63" s="904"/>
      <c r="X63" s="904"/>
      <c r="Y63" s="904"/>
      <c r="Z63" s="843"/>
      <c r="AA63" s="843"/>
      <c r="AB63" s="843"/>
      <c r="AC63" s="843"/>
      <c r="AD63" s="843"/>
      <c r="AE63" s="843"/>
      <c r="AF63" s="843"/>
    </row>
    <row r="64" spans="2:32" s="906" customFormat="1" x14ac:dyDescent="0.2">
      <c r="B64" s="904"/>
      <c r="C64" s="902"/>
      <c r="D64" s="902"/>
      <c r="E64" s="902"/>
      <c r="F64" s="902"/>
      <c r="G64" s="902"/>
      <c r="H64" s="902"/>
      <c r="I64" s="902"/>
      <c r="J64" s="902"/>
      <c r="K64" s="902"/>
      <c r="L64" s="905"/>
      <c r="M64" s="905"/>
      <c r="N64" s="843"/>
      <c r="O64" s="905"/>
      <c r="P64" s="843"/>
      <c r="Q64" s="905"/>
      <c r="R64" s="904"/>
      <c r="S64" s="904"/>
      <c r="T64" s="904"/>
      <c r="U64" s="904"/>
      <c r="V64" s="904"/>
      <c r="W64" s="904"/>
      <c r="X64" s="904"/>
      <c r="Y64" s="904"/>
      <c r="Z64" s="843"/>
      <c r="AA64" s="843"/>
      <c r="AB64" s="843"/>
      <c r="AC64" s="843"/>
      <c r="AD64" s="843"/>
      <c r="AE64" s="843"/>
      <c r="AF64" s="843"/>
    </row>
    <row r="65" spans="2:36" s="906" customFormat="1" x14ac:dyDescent="0.2">
      <c r="B65" s="904"/>
      <c r="C65" s="902"/>
      <c r="D65" s="902"/>
      <c r="E65" s="902"/>
      <c r="F65" s="902"/>
      <c r="G65" s="902"/>
      <c r="H65" s="902"/>
      <c r="I65" s="902"/>
      <c r="J65" s="902"/>
      <c r="K65" s="902"/>
      <c r="L65" s="905"/>
      <c r="M65" s="905"/>
      <c r="N65" s="843"/>
      <c r="O65" s="905"/>
      <c r="P65" s="843"/>
      <c r="Q65" s="905"/>
      <c r="R65" s="904"/>
      <c r="S65" s="904"/>
      <c r="T65" s="904"/>
      <c r="U65" s="904"/>
      <c r="V65" s="904"/>
      <c r="W65" s="904"/>
      <c r="X65" s="904"/>
      <c r="Y65" s="904"/>
      <c r="Z65" s="843"/>
      <c r="AA65" s="843"/>
      <c r="AB65" s="843"/>
      <c r="AC65" s="843"/>
      <c r="AD65" s="843"/>
      <c r="AE65" s="843"/>
      <c r="AF65" s="843"/>
    </row>
    <row r="66" spans="2:36" s="906" customFormat="1" x14ac:dyDescent="0.2">
      <c r="B66" s="904"/>
      <c r="C66" s="902"/>
      <c r="D66" s="902"/>
      <c r="E66" s="902"/>
      <c r="F66" s="902"/>
      <c r="G66" s="902"/>
      <c r="H66" s="902"/>
      <c r="I66" s="902"/>
      <c r="J66" s="902"/>
      <c r="K66" s="902"/>
      <c r="L66" s="905"/>
      <c r="M66" s="905"/>
      <c r="N66" s="843"/>
      <c r="O66" s="905"/>
      <c r="P66" s="843"/>
      <c r="Q66" s="905"/>
      <c r="R66" s="904"/>
      <c r="S66" s="904"/>
      <c r="T66" s="904"/>
      <c r="U66" s="904"/>
      <c r="V66" s="904"/>
      <c r="W66" s="904"/>
      <c r="X66" s="904"/>
      <c r="Y66" s="904"/>
      <c r="Z66" s="843"/>
      <c r="AA66" s="843"/>
      <c r="AB66" s="843"/>
      <c r="AC66" s="843"/>
      <c r="AD66" s="843"/>
      <c r="AE66" s="843"/>
      <c r="AF66" s="843"/>
    </row>
    <row r="67" spans="2:36" s="906" customFormat="1" x14ac:dyDescent="0.2">
      <c r="B67" s="904"/>
      <c r="C67" s="902"/>
      <c r="D67" s="902"/>
      <c r="E67" s="902"/>
      <c r="F67" s="902"/>
      <c r="G67" s="902"/>
      <c r="H67" s="902"/>
      <c r="I67" s="902"/>
      <c r="J67" s="902"/>
      <c r="K67" s="902"/>
      <c r="L67" s="905"/>
      <c r="M67" s="905"/>
      <c r="N67" s="843"/>
      <c r="O67" s="905"/>
      <c r="P67" s="843"/>
      <c r="Q67" s="905"/>
      <c r="R67" s="904"/>
      <c r="S67" s="904"/>
      <c r="T67" s="904"/>
      <c r="U67" s="904"/>
      <c r="V67" s="904"/>
      <c r="W67" s="904"/>
      <c r="X67" s="904"/>
      <c r="Y67" s="904"/>
      <c r="Z67" s="843"/>
      <c r="AA67" s="843"/>
      <c r="AB67" s="843"/>
      <c r="AC67" s="843"/>
      <c r="AD67" s="843"/>
      <c r="AE67" s="843"/>
      <c r="AF67" s="843"/>
    </row>
    <row r="68" spans="2:36" s="906" customFormat="1" x14ac:dyDescent="0.2">
      <c r="B68" s="904"/>
      <c r="C68" s="902"/>
      <c r="D68" s="902"/>
      <c r="E68" s="902"/>
      <c r="F68" s="902"/>
      <c r="G68" s="902"/>
      <c r="H68" s="902"/>
      <c r="I68" s="902"/>
      <c r="J68" s="902"/>
      <c r="K68" s="902"/>
      <c r="L68" s="902"/>
      <c r="M68" s="905"/>
      <c r="N68" s="905"/>
      <c r="O68" s="843"/>
      <c r="P68" s="905"/>
      <c r="Q68" s="843"/>
      <c r="R68" s="905"/>
      <c r="S68" s="904"/>
      <c r="T68" s="904"/>
      <c r="U68" s="904"/>
      <c r="V68" s="904"/>
      <c r="W68" s="904"/>
      <c r="X68" s="904"/>
      <c r="Y68" s="904"/>
      <c r="Z68" s="904"/>
      <c r="AA68" s="843"/>
      <c r="AB68" s="843"/>
      <c r="AC68" s="843"/>
      <c r="AD68" s="843"/>
      <c r="AE68" s="843"/>
      <c r="AF68" s="843"/>
      <c r="AG68" s="843"/>
    </row>
    <row r="69" spans="2:36" s="843" customFormat="1" ht="13.5" thickBot="1" x14ac:dyDescent="0.25">
      <c r="N69" s="860"/>
      <c r="O69" s="860"/>
      <c r="P69" s="860"/>
      <c r="Q69" s="860"/>
      <c r="R69" s="860"/>
      <c r="S69" s="860"/>
      <c r="T69" s="860"/>
      <c r="U69" s="860"/>
      <c r="V69" s="860"/>
      <c r="W69" s="860"/>
      <c r="X69" s="860"/>
      <c r="Y69" s="860"/>
      <c r="Z69" s="860"/>
      <c r="AA69" s="860"/>
      <c r="AB69" s="860"/>
      <c r="AC69" s="999" t="e">
        <f>'Junio - 2018'!AC101</f>
        <v>#REF!</v>
      </c>
    </row>
    <row r="70" spans="2:36" ht="13.5" thickBot="1" x14ac:dyDescent="0.25">
      <c r="B70" s="907" t="s">
        <v>3</v>
      </c>
      <c r="C70" s="908">
        <f>SUMIF(Tarifas!E4:E303,'Noviembre - 2018  '!C72,Tarifas!D4:D303)</f>
        <v>64</v>
      </c>
      <c r="D70" s="909" t="s">
        <v>147</v>
      </c>
      <c r="E70" s="910"/>
      <c r="F70" s="910" t="s">
        <v>145</v>
      </c>
      <c r="G70" s="910" t="s">
        <v>287</v>
      </c>
      <c r="H70" s="910" t="s">
        <v>148</v>
      </c>
      <c r="I70" s="911"/>
      <c r="J70" s="912" t="s">
        <v>120</v>
      </c>
      <c r="K70" s="913"/>
      <c r="L70" s="913"/>
      <c r="M70" s="2357" t="s">
        <v>270</v>
      </c>
      <c r="N70" s="2358"/>
      <c r="O70" s="2358"/>
      <c r="P70" s="2359" t="s">
        <v>271</v>
      </c>
      <c r="Q70" s="2360"/>
      <c r="R70" s="2360"/>
      <c r="S70" s="2360"/>
      <c r="T70" s="2360"/>
      <c r="U70" s="2360"/>
      <c r="V70" s="2361"/>
      <c r="W70" s="2362" t="s">
        <v>121</v>
      </c>
      <c r="X70" s="2363"/>
      <c r="Y70" s="2363"/>
      <c r="Z70" s="2363"/>
      <c r="AA70" s="2363"/>
      <c r="AB70" s="2363"/>
      <c r="AC70" s="2364"/>
      <c r="AG70" s="843"/>
      <c r="AH70" s="843"/>
      <c r="AI70" s="843"/>
      <c r="AJ70" s="843"/>
    </row>
    <row r="71" spans="2:36" ht="51.75" thickBot="1" x14ac:dyDescent="0.25">
      <c r="C71" s="914" t="s">
        <v>122</v>
      </c>
      <c r="D71" s="1016" t="s">
        <v>125</v>
      </c>
      <c r="E71" s="1017" t="s">
        <v>277</v>
      </c>
      <c r="F71" s="1017" t="s">
        <v>149</v>
      </c>
      <c r="G71" s="1017" t="s">
        <v>151</v>
      </c>
      <c r="H71" s="1017" t="s">
        <v>152</v>
      </c>
      <c r="I71" s="1018" t="s">
        <v>123</v>
      </c>
      <c r="J71" s="1313" t="s">
        <v>109</v>
      </c>
      <c r="K71" s="1314" t="s">
        <v>25</v>
      </c>
      <c r="L71" s="1315" t="s">
        <v>26</v>
      </c>
      <c r="M71" s="1665" t="s">
        <v>266</v>
      </c>
      <c r="N71" s="1666" t="s">
        <v>269</v>
      </c>
      <c r="O71" s="1666" t="s">
        <v>267</v>
      </c>
      <c r="P71" s="976" t="s">
        <v>22</v>
      </c>
      <c r="Q71" s="977" t="s">
        <v>272</v>
      </c>
      <c r="R71" s="976" t="s">
        <v>25</v>
      </c>
      <c r="S71" s="978" t="s">
        <v>26</v>
      </c>
      <c r="T71" s="979" t="s">
        <v>272</v>
      </c>
      <c r="U71" s="980" t="s">
        <v>273</v>
      </c>
      <c r="V71" s="977" t="s">
        <v>272</v>
      </c>
      <c r="W71" s="1012" t="s">
        <v>207</v>
      </c>
      <c r="X71" s="1013"/>
      <c r="Y71" s="1013" t="s">
        <v>112</v>
      </c>
      <c r="Z71" s="1014" t="s">
        <v>118</v>
      </c>
      <c r="AA71" s="1014" t="s">
        <v>119</v>
      </c>
      <c r="AB71" s="1014" t="s">
        <v>114</v>
      </c>
      <c r="AC71" s="1015" t="s">
        <v>113</v>
      </c>
      <c r="AG71" s="843"/>
      <c r="AH71" s="843"/>
      <c r="AI71" s="843"/>
      <c r="AJ71" s="843"/>
    </row>
    <row r="72" spans="2:36" x14ac:dyDescent="0.2">
      <c r="C72" s="918">
        <v>43405</v>
      </c>
      <c r="D72" s="1452">
        <f>($E$22*$H$22)/$G$22</f>
        <v>155314.35733333332</v>
      </c>
      <c r="E72" s="1453">
        <f>($F$22*$I$22)/$G$22</f>
        <v>14901.782933333334</v>
      </c>
      <c r="F72" s="934">
        <f t="shared" ref="F72:F101" si="5">M72+N72+O72</f>
        <v>184709.239375</v>
      </c>
      <c r="G72" s="1454">
        <f>TRUNC(IFERROR(K$22/L$22,0),8)</f>
        <v>1.0143991999999999</v>
      </c>
      <c r="H72" s="1455">
        <f t="shared" ref="H72:H101" si="6">ROUND(J$22*G72*F72,4)</f>
        <v>187.3689</v>
      </c>
      <c r="I72" s="1456">
        <f t="shared" ref="I72:I101" si="7">SUM(D72:H72)</f>
        <v>355113.76294086664</v>
      </c>
      <c r="J72" s="925"/>
      <c r="K72" s="926"/>
      <c r="L72" s="926"/>
      <c r="M72" s="1667">
        <v>71570.859375</v>
      </c>
      <c r="N72" s="1668">
        <v>113138.38</v>
      </c>
      <c r="O72" s="1669">
        <v>0</v>
      </c>
      <c r="P72" s="928">
        <v>71570.86</v>
      </c>
      <c r="Q72" s="982">
        <v>-3.125E-2</v>
      </c>
      <c r="R72" s="983">
        <v>77156.52</v>
      </c>
      <c r="S72" s="984">
        <v>35981.883000000002</v>
      </c>
      <c r="T72" s="982">
        <v>-7.0000000123400241E-3</v>
      </c>
      <c r="U72" s="983">
        <v>0</v>
      </c>
      <c r="V72" s="985">
        <v>0</v>
      </c>
      <c r="W72" s="929"/>
      <c r="X72" s="930"/>
      <c r="Y72" s="931">
        <f>W72+X72-Z72</f>
        <v>0</v>
      </c>
      <c r="Z72" s="931">
        <f t="shared" ref="Z72:Z101" si="8">J72+K72+L72</f>
        <v>0</v>
      </c>
      <c r="AA72" s="931">
        <f>(T72+U72+V72)*1.055056</f>
        <v>-7.3853920130194164E-3</v>
      </c>
      <c r="AB72" s="931">
        <f>Z72-AA72</f>
        <v>7.3853920130194164E-3</v>
      </c>
      <c r="AC72" s="932" t="e">
        <f>AC69+AB72</f>
        <v>#REF!</v>
      </c>
      <c r="AG72" s="843"/>
      <c r="AH72" s="843"/>
      <c r="AI72" s="843"/>
      <c r="AJ72" s="843"/>
    </row>
    <row r="73" spans="2:36" x14ac:dyDescent="0.2">
      <c r="C73" s="933">
        <f t="shared" ref="C73:C101" si="9">C72+1</f>
        <v>43406</v>
      </c>
      <c r="D73" s="919">
        <f t="shared" ref="D73:D101" si="10">($E$22*$H$22)/$G$22</f>
        <v>155314.35733333332</v>
      </c>
      <c r="E73" s="920">
        <f t="shared" ref="E73:E101" si="11">($F$22*$I$22)/$G$22</f>
        <v>14901.782933333334</v>
      </c>
      <c r="F73" s="934">
        <f t="shared" si="5"/>
        <v>180679.33156299999</v>
      </c>
      <c r="G73" s="935">
        <f t="shared" ref="G73:G101" si="12">TRUNC(IFERROR(K$22/L$22,0),8)</f>
        <v>1.0143991999999999</v>
      </c>
      <c r="H73" s="923">
        <f t="shared" si="6"/>
        <v>183.28100000000001</v>
      </c>
      <c r="I73" s="924">
        <f t="shared" si="7"/>
        <v>351079.76722886664</v>
      </c>
      <c r="J73" s="925"/>
      <c r="K73" s="926"/>
      <c r="L73" s="926"/>
      <c r="M73" s="936">
        <v>71976.101563000004</v>
      </c>
      <c r="N73" s="937">
        <v>108703.23</v>
      </c>
      <c r="O73" s="1670">
        <v>0</v>
      </c>
      <c r="P73" s="937">
        <v>71976.100000000006</v>
      </c>
      <c r="Q73" s="987">
        <v>2.1879999985685572E-3</v>
      </c>
      <c r="R73" s="988">
        <v>71046.775999999998</v>
      </c>
      <c r="S73" s="989">
        <v>37656.449999999997</v>
      </c>
      <c r="T73" s="987">
        <v>1.0999999998603016E-2</v>
      </c>
      <c r="U73" s="988">
        <v>0</v>
      </c>
      <c r="V73" s="990">
        <v>0</v>
      </c>
      <c r="W73" s="929"/>
      <c r="X73" s="930"/>
      <c r="Y73" s="931">
        <f t="shared" ref="Y73:Y101" si="13">W73+X73-Z73</f>
        <v>0</v>
      </c>
      <c r="Z73" s="931">
        <f t="shared" si="8"/>
        <v>0</v>
      </c>
      <c r="AA73" s="931">
        <f t="shared" ref="AA73:AA101" si="14">(T73+U73+V73)*1.055056</f>
        <v>1.1605615998526103E-2</v>
      </c>
      <c r="AB73" s="931">
        <f t="shared" ref="AB73:AB101" si="15">Z73-AA73</f>
        <v>-1.1605615998526103E-2</v>
      </c>
      <c r="AC73" s="932" t="e">
        <f>AC72+AB73</f>
        <v>#REF!</v>
      </c>
      <c r="AG73" s="843"/>
      <c r="AH73" s="843"/>
      <c r="AI73" s="843"/>
      <c r="AJ73" s="843"/>
    </row>
    <row r="74" spans="2:36" x14ac:dyDescent="0.2">
      <c r="C74" s="933">
        <f t="shared" si="9"/>
        <v>43407</v>
      </c>
      <c r="D74" s="919">
        <f t="shared" si="10"/>
        <v>155314.35733333332</v>
      </c>
      <c r="E74" s="920">
        <f t="shared" si="11"/>
        <v>14901.782933333334</v>
      </c>
      <c r="F74" s="934">
        <f t="shared" si="5"/>
        <v>180403.064063</v>
      </c>
      <c r="G74" s="935">
        <f t="shared" si="12"/>
        <v>1.0143991999999999</v>
      </c>
      <c r="H74" s="923">
        <f t="shared" si="6"/>
        <v>183.00069999999999</v>
      </c>
      <c r="I74" s="924">
        <f t="shared" si="7"/>
        <v>350803.21942886664</v>
      </c>
      <c r="J74" s="925"/>
      <c r="K74" s="926"/>
      <c r="L74" s="926"/>
      <c r="M74" s="927">
        <v>71824.914063000004</v>
      </c>
      <c r="N74" s="928">
        <v>108578.15</v>
      </c>
      <c r="O74" s="1670">
        <v>0</v>
      </c>
      <c r="P74" s="928">
        <v>71824.91</v>
      </c>
      <c r="Q74" s="987">
        <v>-3.7500000034924597E-3</v>
      </c>
      <c r="R74" s="988">
        <v>71055.213000000003</v>
      </c>
      <c r="S74" s="989">
        <v>37522.955999999998</v>
      </c>
      <c r="T74" s="987">
        <v>-3.1000000002677552E-2</v>
      </c>
      <c r="U74" s="988">
        <v>0</v>
      </c>
      <c r="V74" s="990">
        <v>0</v>
      </c>
      <c r="W74" s="929"/>
      <c r="X74" s="930"/>
      <c r="Y74" s="931">
        <f t="shared" si="13"/>
        <v>0</v>
      </c>
      <c r="Z74" s="931">
        <f t="shared" si="8"/>
        <v>0</v>
      </c>
      <c r="AA74" s="931">
        <f t="shared" si="14"/>
        <v>-3.270673600282497E-2</v>
      </c>
      <c r="AB74" s="931">
        <f t="shared" si="15"/>
        <v>3.270673600282497E-2</v>
      </c>
      <c r="AC74" s="932" t="e">
        <f t="shared" ref="AC74:AC101" si="16">AC73+AB74</f>
        <v>#REF!</v>
      </c>
      <c r="AG74" s="843"/>
      <c r="AH74" s="843"/>
      <c r="AI74" s="843"/>
      <c r="AJ74" s="843"/>
    </row>
    <row r="75" spans="2:36" x14ac:dyDescent="0.2">
      <c r="C75" s="933">
        <f t="shared" si="9"/>
        <v>43408</v>
      </c>
      <c r="D75" s="919">
        <f t="shared" si="10"/>
        <v>155314.35733333332</v>
      </c>
      <c r="E75" s="920">
        <f t="shared" si="11"/>
        <v>14901.782933333334</v>
      </c>
      <c r="F75" s="934">
        <f t="shared" si="5"/>
        <v>180203.68281299999</v>
      </c>
      <c r="G75" s="935">
        <f t="shared" si="12"/>
        <v>1.0143991999999999</v>
      </c>
      <c r="H75" s="923">
        <f t="shared" si="6"/>
        <v>182.79849999999999</v>
      </c>
      <c r="I75" s="924">
        <f t="shared" si="7"/>
        <v>350603.6359788666</v>
      </c>
      <c r="J75" s="925"/>
      <c r="K75" s="926"/>
      <c r="L75" s="926"/>
      <c r="M75" s="936">
        <v>71598.382813000004</v>
      </c>
      <c r="N75" s="937">
        <v>108605.3</v>
      </c>
      <c r="O75" s="1670">
        <v>0</v>
      </c>
      <c r="P75" s="937">
        <v>71598.383000000002</v>
      </c>
      <c r="Q75" s="987">
        <v>-3.7500000005820766E-2</v>
      </c>
      <c r="R75" s="988">
        <v>71051.375</v>
      </c>
      <c r="S75" s="989">
        <v>37553.93</v>
      </c>
      <c r="T75" s="987">
        <v>-2.8000000005704351E-2</v>
      </c>
      <c r="U75" s="988">
        <v>0</v>
      </c>
      <c r="V75" s="990">
        <v>0</v>
      </c>
      <c r="W75" s="929"/>
      <c r="X75" s="930"/>
      <c r="Y75" s="931">
        <f t="shared" si="13"/>
        <v>0</v>
      </c>
      <c r="Z75" s="931">
        <f t="shared" si="8"/>
        <v>0</v>
      </c>
      <c r="AA75" s="931">
        <f t="shared" si="14"/>
        <v>-2.9541568006018409E-2</v>
      </c>
      <c r="AB75" s="931">
        <f t="shared" si="15"/>
        <v>2.9541568006018409E-2</v>
      </c>
      <c r="AC75" s="932" t="e">
        <f t="shared" si="16"/>
        <v>#REF!</v>
      </c>
      <c r="AG75" s="843"/>
      <c r="AH75" s="843"/>
      <c r="AI75" s="843"/>
      <c r="AJ75" s="843"/>
    </row>
    <row r="76" spans="2:36" x14ac:dyDescent="0.2">
      <c r="C76" s="933">
        <f t="shared" si="9"/>
        <v>43409</v>
      </c>
      <c r="D76" s="919">
        <f t="shared" si="10"/>
        <v>155314.35733333332</v>
      </c>
      <c r="E76" s="920">
        <f t="shared" si="11"/>
        <v>14901.782933333334</v>
      </c>
      <c r="F76" s="934">
        <f t="shared" si="5"/>
        <v>180126.47468799999</v>
      </c>
      <c r="G76" s="935">
        <f t="shared" si="12"/>
        <v>1.0143991999999999</v>
      </c>
      <c r="H76" s="923">
        <f t="shared" si="6"/>
        <v>182.72020000000001</v>
      </c>
      <c r="I76" s="924">
        <f t="shared" si="7"/>
        <v>350526.3495538666</v>
      </c>
      <c r="J76" s="925"/>
      <c r="K76" s="926"/>
      <c r="L76" s="926"/>
      <c r="M76" s="927">
        <v>71807.054688000004</v>
      </c>
      <c r="N76" s="928">
        <v>108319.42</v>
      </c>
      <c r="O76" s="1670">
        <v>0</v>
      </c>
      <c r="P76" s="928">
        <v>71807.054000000004</v>
      </c>
      <c r="Q76" s="987">
        <v>-2.8124999997089617E-2</v>
      </c>
      <c r="R76" s="988">
        <v>70845.710999999996</v>
      </c>
      <c r="S76" s="989">
        <v>37473.72</v>
      </c>
      <c r="T76" s="987">
        <v>-2.0000000004074536E-2</v>
      </c>
      <c r="U76" s="988">
        <v>0</v>
      </c>
      <c r="V76" s="990">
        <v>0</v>
      </c>
      <c r="W76" s="929"/>
      <c r="X76" s="930"/>
      <c r="Y76" s="931">
        <f t="shared" si="13"/>
        <v>0</v>
      </c>
      <c r="Z76" s="931">
        <f t="shared" si="8"/>
        <v>0</v>
      </c>
      <c r="AA76" s="931">
        <f t="shared" si="14"/>
        <v>-2.1101120004298864E-2</v>
      </c>
      <c r="AB76" s="931">
        <f t="shared" si="15"/>
        <v>2.1101120004298864E-2</v>
      </c>
      <c r="AC76" s="932" t="e">
        <f t="shared" si="16"/>
        <v>#REF!</v>
      </c>
      <c r="AG76" s="843"/>
      <c r="AH76" s="843"/>
      <c r="AI76" s="843"/>
      <c r="AJ76" s="843"/>
    </row>
    <row r="77" spans="2:36" x14ac:dyDescent="0.2">
      <c r="C77" s="933">
        <f t="shared" si="9"/>
        <v>43410</v>
      </c>
      <c r="D77" s="919">
        <f t="shared" si="10"/>
        <v>155314.35733333332</v>
      </c>
      <c r="E77" s="920">
        <f t="shared" si="11"/>
        <v>14901.782933333334</v>
      </c>
      <c r="F77" s="934">
        <f t="shared" si="5"/>
        <v>179816.509063</v>
      </c>
      <c r="G77" s="935">
        <f t="shared" si="12"/>
        <v>1.0143991999999999</v>
      </c>
      <c r="H77" s="923">
        <f t="shared" si="6"/>
        <v>182.4057</v>
      </c>
      <c r="I77" s="924">
        <f t="shared" si="7"/>
        <v>350216.06942886661</v>
      </c>
      <c r="J77" s="925"/>
      <c r="K77" s="926"/>
      <c r="L77" s="926"/>
      <c r="M77" s="936">
        <v>71494.789063000004</v>
      </c>
      <c r="N77" s="937">
        <v>108321.72</v>
      </c>
      <c r="O77" s="1670">
        <v>0</v>
      </c>
      <c r="P77" s="937">
        <v>71494.789000000004</v>
      </c>
      <c r="Q77" s="987">
        <v>6.2500000058207661E-3</v>
      </c>
      <c r="R77" s="988">
        <v>70834.313999999998</v>
      </c>
      <c r="S77" s="989">
        <v>37487.398999999998</v>
      </c>
      <c r="T77" s="987">
        <v>2.599999999802094E-2</v>
      </c>
      <c r="U77" s="988">
        <v>0</v>
      </c>
      <c r="V77" s="990">
        <v>0</v>
      </c>
      <c r="W77" s="929"/>
      <c r="X77" s="930"/>
      <c r="Y77" s="931">
        <f t="shared" si="13"/>
        <v>0</v>
      </c>
      <c r="Z77" s="931">
        <f t="shared" si="8"/>
        <v>0</v>
      </c>
      <c r="AA77" s="931">
        <f t="shared" si="14"/>
        <v>2.7431455997911979E-2</v>
      </c>
      <c r="AB77" s="931">
        <f t="shared" si="15"/>
        <v>-2.7431455997911979E-2</v>
      </c>
      <c r="AC77" s="932" t="e">
        <f t="shared" si="16"/>
        <v>#REF!</v>
      </c>
      <c r="AG77" s="843"/>
      <c r="AH77" s="843"/>
      <c r="AI77" s="843"/>
      <c r="AJ77" s="843"/>
    </row>
    <row r="78" spans="2:36" x14ac:dyDescent="0.2">
      <c r="C78" s="933">
        <f t="shared" si="9"/>
        <v>43411</v>
      </c>
      <c r="D78" s="919">
        <f t="shared" si="10"/>
        <v>155314.35733333332</v>
      </c>
      <c r="E78" s="920">
        <f t="shared" si="11"/>
        <v>14901.782933333334</v>
      </c>
      <c r="F78" s="934">
        <f t="shared" si="5"/>
        <v>180994.55562499998</v>
      </c>
      <c r="G78" s="935">
        <f t="shared" si="12"/>
        <v>1.0143991999999999</v>
      </c>
      <c r="H78" s="923">
        <f t="shared" si="6"/>
        <v>183.60069999999999</v>
      </c>
      <c r="I78" s="924">
        <f t="shared" si="7"/>
        <v>351395.31099086662</v>
      </c>
      <c r="J78" s="925"/>
      <c r="K78" s="926"/>
      <c r="L78" s="926"/>
      <c r="M78" s="927">
        <v>72488.015625</v>
      </c>
      <c r="N78" s="928">
        <v>108506.54</v>
      </c>
      <c r="O78" s="1670">
        <v>0</v>
      </c>
      <c r="P78" s="928">
        <v>72488.016000000003</v>
      </c>
      <c r="Q78" s="987">
        <v>-3.4369999921182171E-3</v>
      </c>
      <c r="R78" s="988">
        <v>71019.456999999995</v>
      </c>
      <c r="S78" s="989">
        <v>37487.11</v>
      </c>
      <c r="T78" s="987">
        <v>1.6000000003259629E-2</v>
      </c>
      <c r="U78" s="988">
        <v>0</v>
      </c>
      <c r="V78" s="990">
        <v>0</v>
      </c>
      <c r="W78" s="929"/>
      <c r="X78" s="930"/>
      <c r="Y78" s="931">
        <f t="shared" si="13"/>
        <v>0</v>
      </c>
      <c r="Z78" s="931">
        <f t="shared" si="8"/>
        <v>0</v>
      </c>
      <c r="AA78" s="931">
        <f t="shared" si="14"/>
        <v>1.6880896003439092E-2</v>
      </c>
      <c r="AB78" s="931">
        <f t="shared" si="15"/>
        <v>-1.6880896003439092E-2</v>
      </c>
      <c r="AC78" s="932" t="e">
        <f t="shared" si="16"/>
        <v>#REF!</v>
      </c>
      <c r="AG78" s="843"/>
      <c r="AH78" s="843"/>
      <c r="AI78" s="843"/>
      <c r="AJ78" s="843"/>
    </row>
    <row r="79" spans="2:36" x14ac:dyDescent="0.2">
      <c r="C79" s="933">
        <f t="shared" si="9"/>
        <v>43412</v>
      </c>
      <c r="D79" s="919">
        <f t="shared" si="10"/>
        <v>155314.35733333332</v>
      </c>
      <c r="E79" s="920">
        <f t="shared" si="11"/>
        <v>14901.782933333334</v>
      </c>
      <c r="F79" s="934">
        <f t="shared" si="5"/>
        <v>180615.52781300002</v>
      </c>
      <c r="G79" s="935">
        <f t="shared" si="12"/>
        <v>1.0143991999999999</v>
      </c>
      <c r="H79" s="923">
        <f t="shared" si="6"/>
        <v>183.21619999999999</v>
      </c>
      <c r="I79" s="924">
        <f t="shared" si="7"/>
        <v>351015.89867886668</v>
      </c>
      <c r="J79" s="925"/>
      <c r="K79" s="926"/>
      <c r="L79" s="926"/>
      <c r="M79" s="936">
        <v>72073.257813000004</v>
      </c>
      <c r="N79" s="937">
        <v>108542.27</v>
      </c>
      <c r="O79" s="1670">
        <v>0</v>
      </c>
      <c r="P79" s="937">
        <v>72073.258000000002</v>
      </c>
      <c r="Q79" s="987">
        <v>1.8750000017462298E-3</v>
      </c>
      <c r="R79" s="988">
        <v>71028.865999999995</v>
      </c>
      <c r="S79" s="989">
        <v>37513.4</v>
      </c>
      <c r="T79" s="987">
        <v>2.9999999969732016E-3</v>
      </c>
      <c r="U79" s="988">
        <v>0</v>
      </c>
      <c r="V79" s="990">
        <v>0</v>
      </c>
      <c r="W79" s="929"/>
      <c r="X79" s="930"/>
      <c r="Y79" s="931">
        <f t="shared" si="13"/>
        <v>0</v>
      </c>
      <c r="Z79" s="931">
        <f t="shared" si="8"/>
        <v>0</v>
      </c>
      <c r="AA79" s="931">
        <f t="shared" si="14"/>
        <v>3.1651679968065583E-3</v>
      </c>
      <c r="AB79" s="931">
        <f t="shared" si="15"/>
        <v>-3.1651679968065583E-3</v>
      </c>
      <c r="AC79" s="932" t="e">
        <f t="shared" si="16"/>
        <v>#REF!</v>
      </c>
      <c r="AD79" s="829"/>
      <c r="AE79" s="829"/>
      <c r="AF79" s="829"/>
    </row>
    <row r="80" spans="2:36" x14ac:dyDescent="0.2">
      <c r="C80" s="933">
        <f t="shared" si="9"/>
        <v>43413</v>
      </c>
      <c r="D80" s="919">
        <f t="shared" si="10"/>
        <v>155314.35733333332</v>
      </c>
      <c r="E80" s="920">
        <f t="shared" si="11"/>
        <v>14901.782933333334</v>
      </c>
      <c r="F80" s="934">
        <f t="shared" si="5"/>
        <v>181424.99031299999</v>
      </c>
      <c r="G80" s="935">
        <f t="shared" si="12"/>
        <v>1.0143991999999999</v>
      </c>
      <c r="H80" s="923">
        <f t="shared" si="6"/>
        <v>184.03739999999999</v>
      </c>
      <c r="I80" s="924">
        <f t="shared" si="7"/>
        <v>351826.18237886659</v>
      </c>
      <c r="J80" s="925"/>
      <c r="K80" s="926"/>
      <c r="L80" s="926"/>
      <c r="M80" s="927">
        <v>71918.320313000004</v>
      </c>
      <c r="N80" s="928">
        <v>109506.67</v>
      </c>
      <c r="O80" s="1670">
        <v>0</v>
      </c>
      <c r="P80" s="928">
        <v>71918.3</v>
      </c>
      <c r="Q80" s="987">
        <v>0</v>
      </c>
      <c r="R80" s="988">
        <v>72239.739000000001</v>
      </c>
      <c r="S80" s="989">
        <v>37266.925000000003</v>
      </c>
      <c r="T80" s="987">
        <v>9.9999998928979039E-4</v>
      </c>
      <c r="U80" s="988">
        <v>0</v>
      </c>
      <c r="V80" s="990">
        <v>0</v>
      </c>
      <c r="W80" s="929"/>
      <c r="X80" s="930"/>
      <c r="Y80" s="931">
        <f t="shared" si="13"/>
        <v>0</v>
      </c>
      <c r="Z80" s="931">
        <f t="shared" si="8"/>
        <v>0</v>
      </c>
      <c r="AA80" s="931">
        <f t="shared" si="14"/>
        <v>1.055055988700129E-3</v>
      </c>
      <c r="AB80" s="931">
        <f t="shared" si="15"/>
        <v>-1.055055988700129E-3</v>
      </c>
      <c r="AC80" s="932" t="e">
        <f t="shared" si="16"/>
        <v>#REF!</v>
      </c>
      <c r="AD80" s="829"/>
      <c r="AE80" s="829"/>
      <c r="AF80" s="829"/>
    </row>
    <row r="81" spans="3:36" x14ac:dyDescent="0.2">
      <c r="C81" s="933">
        <f t="shared" si="9"/>
        <v>43414</v>
      </c>
      <c r="D81" s="919">
        <f t="shared" si="10"/>
        <v>155314.35733333332</v>
      </c>
      <c r="E81" s="920">
        <f t="shared" si="11"/>
        <v>14901.782933333334</v>
      </c>
      <c r="F81" s="934">
        <f t="shared" si="5"/>
        <v>187126.17499999999</v>
      </c>
      <c r="G81" s="935">
        <f t="shared" si="12"/>
        <v>1.0143991999999999</v>
      </c>
      <c r="H81" s="923">
        <f t="shared" si="6"/>
        <v>189.82060000000001</v>
      </c>
      <c r="I81" s="924">
        <f t="shared" si="7"/>
        <v>357533.1502658666</v>
      </c>
      <c r="J81" s="925"/>
      <c r="K81" s="926"/>
      <c r="L81" s="926"/>
      <c r="M81" s="936">
        <v>71859.875</v>
      </c>
      <c r="N81" s="937">
        <v>115266.3</v>
      </c>
      <c r="O81" s="1670">
        <v>0</v>
      </c>
      <c r="P81" s="937">
        <v>71859.899999999994</v>
      </c>
      <c r="Q81" s="987">
        <v>-1.2499999997089617E-2</v>
      </c>
      <c r="R81" s="988">
        <v>78013.578999999998</v>
      </c>
      <c r="S81" s="989">
        <v>37252.741999999998</v>
      </c>
      <c r="T81" s="987">
        <v>-9.0000000054715201E-3</v>
      </c>
      <c r="U81" s="988">
        <v>0</v>
      </c>
      <c r="V81" s="990">
        <v>0</v>
      </c>
      <c r="W81" s="929"/>
      <c r="X81" s="930"/>
      <c r="Y81" s="931">
        <f t="shared" si="13"/>
        <v>0</v>
      </c>
      <c r="Z81" s="931">
        <f t="shared" si="8"/>
        <v>0</v>
      </c>
      <c r="AA81" s="931">
        <f t="shared" si="14"/>
        <v>-9.4955040057727608E-3</v>
      </c>
      <c r="AB81" s="931">
        <f t="shared" si="15"/>
        <v>9.4955040057727608E-3</v>
      </c>
      <c r="AC81" s="932" t="e">
        <f t="shared" si="16"/>
        <v>#REF!</v>
      </c>
      <c r="AD81" s="829"/>
      <c r="AE81" s="829"/>
      <c r="AF81" s="829"/>
    </row>
    <row r="82" spans="3:36" x14ac:dyDescent="0.2">
      <c r="C82" s="933">
        <f t="shared" si="9"/>
        <v>43415</v>
      </c>
      <c r="D82" s="919">
        <f t="shared" si="10"/>
        <v>155314.35733333332</v>
      </c>
      <c r="E82" s="920">
        <f t="shared" si="11"/>
        <v>14901.782933333334</v>
      </c>
      <c r="F82" s="934">
        <f t="shared" si="5"/>
        <v>183997.328438</v>
      </c>
      <c r="G82" s="935">
        <f t="shared" si="12"/>
        <v>1.0143991999999999</v>
      </c>
      <c r="H82" s="923">
        <f t="shared" si="6"/>
        <v>186.64670000000001</v>
      </c>
      <c r="I82" s="924">
        <f t="shared" si="7"/>
        <v>354401.12980386661</v>
      </c>
      <c r="J82" s="925"/>
      <c r="K82" s="926"/>
      <c r="L82" s="926"/>
      <c r="M82" s="927">
        <v>71640.648438000004</v>
      </c>
      <c r="N82" s="928">
        <v>112356.68</v>
      </c>
      <c r="O82" s="1670">
        <v>0</v>
      </c>
      <c r="P82" s="928">
        <v>71640.648000000001</v>
      </c>
      <c r="Q82" s="987">
        <v>4.3800000275950879E-4</v>
      </c>
      <c r="R82" s="988">
        <v>74861.983999999997</v>
      </c>
      <c r="S82" s="989">
        <v>37494.686000000002</v>
      </c>
      <c r="T82" s="987">
        <v>-1.2999999991734512E-2</v>
      </c>
      <c r="U82" s="988">
        <v>0</v>
      </c>
      <c r="V82" s="990">
        <v>0</v>
      </c>
      <c r="W82" s="929"/>
      <c r="X82" s="930"/>
      <c r="Y82" s="931">
        <f t="shared" si="13"/>
        <v>0</v>
      </c>
      <c r="Z82" s="931">
        <f t="shared" si="8"/>
        <v>0</v>
      </c>
      <c r="AA82" s="931">
        <f t="shared" si="14"/>
        <v>-1.3715727991279448E-2</v>
      </c>
      <c r="AB82" s="931">
        <f t="shared" si="15"/>
        <v>1.3715727991279448E-2</v>
      </c>
      <c r="AC82" s="932" t="e">
        <f t="shared" si="16"/>
        <v>#REF!</v>
      </c>
      <c r="AD82" s="829"/>
      <c r="AE82" s="829"/>
      <c r="AF82" s="829"/>
    </row>
    <row r="83" spans="3:36" x14ac:dyDescent="0.2">
      <c r="C83" s="933">
        <f t="shared" si="9"/>
        <v>43416</v>
      </c>
      <c r="D83" s="919">
        <f t="shared" si="10"/>
        <v>155314.35733333332</v>
      </c>
      <c r="E83" s="920">
        <f t="shared" si="11"/>
        <v>14901.782933333334</v>
      </c>
      <c r="F83" s="934">
        <f t="shared" si="5"/>
        <v>185338.979375</v>
      </c>
      <c r="G83" s="935">
        <f t="shared" si="12"/>
        <v>1.0143991999999999</v>
      </c>
      <c r="H83" s="923">
        <f t="shared" si="6"/>
        <v>188.0077</v>
      </c>
      <c r="I83" s="924">
        <f t="shared" si="7"/>
        <v>355744.14174086665</v>
      </c>
      <c r="J83" s="925"/>
      <c r="K83" s="926"/>
      <c r="L83" s="926"/>
      <c r="M83" s="936">
        <v>72011.359375</v>
      </c>
      <c r="N83" s="937">
        <v>113327.62</v>
      </c>
      <c r="O83" s="1670">
        <v>0</v>
      </c>
      <c r="P83" s="937">
        <v>72011.360000000001</v>
      </c>
      <c r="Q83" s="987">
        <v>7.5000000651925802E-4</v>
      </c>
      <c r="R83" s="988">
        <v>75954.286999999997</v>
      </c>
      <c r="S83" s="989">
        <v>38136.476000000002</v>
      </c>
      <c r="T83" s="987">
        <v>2.1000000007916242E-2</v>
      </c>
      <c r="U83" s="988">
        <v>0</v>
      </c>
      <c r="V83" s="990">
        <v>0</v>
      </c>
      <c r="W83" s="929"/>
      <c r="X83" s="930"/>
      <c r="Y83" s="931">
        <f t="shared" si="13"/>
        <v>0</v>
      </c>
      <c r="Z83" s="931">
        <f t="shared" si="8"/>
        <v>0</v>
      </c>
      <c r="AA83" s="931">
        <f t="shared" si="14"/>
        <v>2.2156176008352079E-2</v>
      </c>
      <c r="AB83" s="931">
        <f t="shared" si="15"/>
        <v>-2.2156176008352079E-2</v>
      </c>
      <c r="AC83" s="932" t="e">
        <f t="shared" si="16"/>
        <v>#REF!</v>
      </c>
      <c r="AD83" s="829"/>
      <c r="AE83" s="829"/>
      <c r="AF83" s="829"/>
    </row>
    <row r="84" spans="3:36" x14ac:dyDescent="0.2">
      <c r="C84" s="933">
        <f t="shared" si="9"/>
        <v>43417</v>
      </c>
      <c r="D84" s="919">
        <f t="shared" si="10"/>
        <v>155314.35733333332</v>
      </c>
      <c r="E84" s="920">
        <f t="shared" si="11"/>
        <v>14901.782933333334</v>
      </c>
      <c r="F84" s="934">
        <f t="shared" si="5"/>
        <v>184919.74</v>
      </c>
      <c r="G84" s="935">
        <f t="shared" si="12"/>
        <v>1.0143991999999999</v>
      </c>
      <c r="H84" s="923">
        <f t="shared" si="6"/>
        <v>187.58240000000001</v>
      </c>
      <c r="I84" s="924">
        <f t="shared" si="7"/>
        <v>355324.47706586664</v>
      </c>
      <c r="J84" s="925"/>
      <c r="K84" s="926"/>
      <c r="L84" s="926"/>
      <c r="M84" s="927">
        <v>73087.75</v>
      </c>
      <c r="N84" s="928">
        <v>111831.99</v>
      </c>
      <c r="O84" s="1670">
        <v>0</v>
      </c>
      <c r="P84" s="928">
        <v>73087.75</v>
      </c>
      <c r="Q84" s="987">
        <v>6.2999999499879777E-5</v>
      </c>
      <c r="R84" s="988">
        <v>70861.504000000001</v>
      </c>
      <c r="S84" s="989">
        <v>40970.497000000003</v>
      </c>
      <c r="T84" s="987">
        <v>-1.0000000038417056E-3</v>
      </c>
      <c r="U84" s="988">
        <v>0</v>
      </c>
      <c r="V84" s="990">
        <v>0</v>
      </c>
      <c r="W84" s="929"/>
      <c r="X84" s="930"/>
      <c r="Y84" s="931">
        <f t="shared" si="13"/>
        <v>0</v>
      </c>
      <c r="Z84" s="931">
        <f t="shared" si="8"/>
        <v>0</v>
      </c>
      <c r="AA84" s="931">
        <f t="shared" si="14"/>
        <v>-1.0550560040532145E-3</v>
      </c>
      <c r="AB84" s="931">
        <f t="shared" si="15"/>
        <v>1.0550560040532145E-3</v>
      </c>
      <c r="AC84" s="932" t="e">
        <f t="shared" si="16"/>
        <v>#REF!</v>
      </c>
      <c r="AD84" s="829"/>
      <c r="AE84" s="829"/>
      <c r="AF84" s="829"/>
    </row>
    <row r="85" spans="3:36" x14ac:dyDescent="0.2">
      <c r="C85" s="933">
        <f t="shared" si="9"/>
        <v>43418</v>
      </c>
      <c r="D85" s="919">
        <f t="shared" si="10"/>
        <v>155314.35733333332</v>
      </c>
      <c r="E85" s="920">
        <f t="shared" si="11"/>
        <v>14901.782933333334</v>
      </c>
      <c r="F85" s="934">
        <f t="shared" si="5"/>
        <v>185394.0275</v>
      </c>
      <c r="G85" s="935">
        <f t="shared" si="12"/>
        <v>1.0143991999999999</v>
      </c>
      <c r="H85" s="923">
        <f t="shared" si="6"/>
        <v>188.06360000000001</v>
      </c>
      <c r="I85" s="924">
        <f t="shared" si="7"/>
        <v>355799.2457658666</v>
      </c>
      <c r="J85" s="925"/>
      <c r="K85" s="926"/>
      <c r="L85" s="926"/>
      <c r="M85" s="936">
        <v>73107.1875</v>
      </c>
      <c r="N85" s="937">
        <v>112286.84</v>
      </c>
      <c r="O85" s="1670">
        <v>0</v>
      </c>
      <c r="P85" s="937">
        <v>73107.187999999995</v>
      </c>
      <c r="Q85" s="987">
        <v>1.8800000543706119E-4</v>
      </c>
      <c r="R85" s="988">
        <v>74488.214000000007</v>
      </c>
      <c r="S85" s="989">
        <v>38580.525999999998</v>
      </c>
      <c r="T85" s="987">
        <v>5.9999999939464033E-3</v>
      </c>
      <c r="U85" s="988">
        <v>0</v>
      </c>
      <c r="V85" s="990">
        <v>0</v>
      </c>
      <c r="W85" s="929"/>
      <c r="X85" s="930"/>
      <c r="Y85" s="931">
        <f t="shared" si="13"/>
        <v>0</v>
      </c>
      <c r="Z85" s="931">
        <f t="shared" si="8"/>
        <v>0</v>
      </c>
      <c r="AA85" s="931">
        <f t="shared" si="14"/>
        <v>6.3303359936131166E-3</v>
      </c>
      <c r="AB85" s="931">
        <f t="shared" si="15"/>
        <v>-6.3303359936131166E-3</v>
      </c>
      <c r="AC85" s="932" t="e">
        <f t="shared" si="16"/>
        <v>#REF!</v>
      </c>
      <c r="AD85" s="829"/>
      <c r="AE85" s="829"/>
      <c r="AF85" s="829"/>
    </row>
    <row r="86" spans="3:36" x14ac:dyDescent="0.2">
      <c r="C86" s="933">
        <f t="shared" si="9"/>
        <v>43419</v>
      </c>
      <c r="D86" s="919">
        <f t="shared" si="10"/>
        <v>155314.35733333332</v>
      </c>
      <c r="E86" s="920">
        <f t="shared" si="11"/>
        <v>14901.782933333334</v>
      </c>
      <c r="F86" s="934">
        <f t="shared" si="5"/>
        <v>180681.601563</v>
      </c>
      <c r="G86" s="935">
        <f t="shared" si="12"/>
        <v>1.0143991999999999</v>
      </c>
      <c r="H86" s="923">
        <f t="shared" si="6"/>
        <v>183.2833</v>
      </c>
      <c r="I86" s="924">
        <f t="shared" si="7"/>
        <v>351082.03952886665</v>
      </c>
      <c r="J86" s="925"/>
      <c r="K86" s="926"/>
      <c r="L86" s="926"/>
      <c r="M86" s="927">
        <v>72787.601563000004</v>
      </c>
      <c r="N86" s="928">
        <v>107894</v>
      </c>
      <c r="O86" s="1670">
        <v>0</v>
      </c>
      <c r="P86" s="928">
        <v>72787.600000000006</v>
      </c>
      <c r="Q86" s="987">
        <v>1.2499999997089617E-2</v>
      </c>
      <c r="R86" s="988">
        <v>70272.202999999994</v>
      </c>
      <c r="S86" s="989">
        <v>37621.796999999999</v>
      </c>
      <c r="T86" s="987">
        <v>-1.1999999987892807E-2</v>
      </c>
      <c r="U86" s="988">
        <v>0</v>
      </c>
      <c r="V86" s="990">
        <v>0</v>
      </c>
      <c r="W86" s="929"/>
      <c r="X86" s="930"/>
      <c r="Y86" s="931">
        <f t="shared" si="13"/>
        <v>0</v>
      </c>
      <c r="Z86" s="931">
        <f t="shared" si="8"/>
        <v>0</v>
      </c>
      <c r="AA86" s="931">
        <f t="shared" si="14"/>
        <v>-1.2660671987226233E-2</v>
      </c>
      <c r="AB86" s="931">
        <f t="shared" si="15"/>
        <v>1.2660671987226233E-2</v>
      </c>
      <c r="AC86" s="932" t="e">
        <f t="shared" si="16"/>
        <v>#REF!</v>
      </c>
      <c r="AD86" s="829"/>
      <c r="AE86" s="829"/>
      <c r="AF86" s="829"/>
    </row>
    <row r="87" spans="3:36" x14ac:dyDescent="0.2">
      <c r="C87" s="933">
        <f t="shared" si="9"/>
        <v>43420</v>
      </c>
      <c r="D87" s="919">
        <f t="shared" si="10"/>
        <v>155314.35733333332</v>
      </c>
      <c r="E87" s="920">
        <f t="shared" si="11"/>
        <v>14901.782933333334</v>
      </c>
      <c r="F87" s="934">
        <f t="shared" si="5"/>
        <v>179293.11281299999</v>
      </c>
      <c r="G87" s="935">
        <f t="shared" si="12"/>
        <v>1.0143991999999999</v>
      </c>
      <c r="H87" s="923">
        <f t="shared" si="6"/>
        <v>181.87479999999999</v>
      </c>
      <c r="I87" s="924">
        <f t="shared" si="7"/>
        <v>349692.14227886661</v>
      </c>
      <c r="J87" s="925"/>
      <c r="K87" s="926"/>
      <c r="L87" s="926"/>
      <c r="M87" s="936">
        <v>73597.132813000004</v>
      </c>
      <c r="N87" s="937">
        <v>105695.98</v>
      </c>
      <c r="O87" s="1670">
        <v>0</v>
      </c>
      <c r="P87" s="937">
        <v>73597.13</v>
      </c>
      <c r="Q87" s="987">
        <v>1.7187999997986481E-2</v>
      </c>
      <c r="R87" s="988">
        <v>69111.035999999993</v>
      </c>
      <c r="S87" s="989">
        <v>36584.923999999999</v>
      </c>
      <c r="T87" s="987">
        <v>-1.4999999999417923E-2</v>
      </c>
      <c r="U87" s="988">
        <v>0</v>
      </c>
      <c r="V87" s="990">
        <v>0</v>
      </c>
      <c r="W87" s="929"/>
      <c r="X87" s="930"/>
      <c r="Y87" s="931">
        <f t="shared" si="13"/>
        <v>0</v>
      </c>
      <c r="Z87" s="931">
        <f t="shared" si="8"/>
        <v>0</v>
      </c>
      <c r="AA87" s="931">
        <f t="shared" si="14"/>
        <v>-1.5825839999385877E-2</v>
      </c>
      <c r="AB87" s="931">
        <f t="shared" si="15"/>
        <v>1.5825839999385877E-2</v>
      </c>
      <c r="AC87" s="932" t="e">
        <f t="shared" si="16"/>
        <v>#REF!</v>
      </c>
      <c r="AD87" s="829"/>
      <c r="AE87" s="829"/>
      <c r="AF87" s="829"/>
    </row>
    <row r="88" spans="3:36" x14ac:dyDescent="0.2">
      <c r="C88" s="933">
        <f t="shared" si="9"/>
        <v>43421</v>
      </c>
      <c r="D88" s="919">
        <f t="shared" si="10"/>
        <v>155314.35733333332</v>
      </c>
      <c r="E88" s="920">
        <f t="shared" si="11"/>
        <v>14901.782933333334</v>
      </c>
      <c r="F88" s="934">
        <f t="shared" si="5"/>
        <v>180269.09687499999</v>
      </c>
      <c r="G88" s="935">
        <f t="shared" si="12"/>
        <v>1.0143991999999999</v>
      </c>
      <c r="H88" s="923">
        <f t="shared" si="6"/>
        <v>182.8648</v>
      </c>
      <c r="I88" s="924">
        <f t="shared" si="7"/>
        <v>350669.1163408666</v>
      </c>
      <c r="J88" s="925"/>
      <c r="K88" s="926"/>
      <c r="L88" s="926"/>
      <c r="M88" s="927">
        <v>72140.796875</v>
      </c>
      <c r="N88" s="928">
        <v>108128.3</v>
      </c>
      <c r="O88" s="1670">
        <v>0</v>
      </c>
      <c r="P88" s="928">
        <v>72140.800000000003</v>
      </c>
      <c r="Q88" s="987">
        <v>-1.7186999990371987E-2</v>
      </c>
      <c r="R88" s="988">
        <v>71245.400999999998</v>
      </c>
      <c r="S88" s="989">
        <v>36882.906999999999</v>
      </c>
      <c r="T88" s="987">
        <v>-8.0000000016298145E-3</v>
      </c>
      <c r="U88" s="988">
        <v>0</v>
      </c>
      <c r="V88" s="990">
        <v>0</v>
      </c>
      <c r="W88" s="929"/>
      <c r="X88" s="930"/>
      <c r="Y88" s="931">
        <f t="shared" si="13"/>
        <v>0</v>
      </c>
      <c r="Z88" s="931">
        <f t="shared" si="8"/>
        <v>0</v>
      </c>
      <c r="AA88" s="931">
        <f t="shared" si="14"/>
        <v>-8.4404480017195461E-3</v>
      </c>
      <c r="AB88" s="931">
        <f t="shared" si="15"/>
        <v>8.4404480017195461E-3</v>
      </c>
      <c r="AC88" s="932" t="e">
        <f t="shared" si="16"/>
        <v>#REF!</v>
      </c>
      <c r="AD88" s="829"/>
      <c r="AE88" s="829"/>
      <c r="AF88" s="829"/>
    </row>
    <row r="89" spans="3:36" x14ac:dyDescent="0.2">
      <c r="C89" s="933">
        <f t="shared" si="9"/>
        <v>43422</v>
      </c>
      <c r="D89" s="919">
        <f t="shared" si="10"/>
        <v>155314.35733333332</v>
      </c>
      <c r="E89" s="920">
        <f t="shared" si="11"/>
        <v>14901.782933333334</v>
      </c>
      <c r="F89" s="934">
        <f t="shared" si="5"/>
        <v>145274.96843800001</v>
      </c>
      <c r="G89" s="935">
        <f t="shared" si="12"/>
        <v>1.0143991999999999</v>
      </c>
      <c r="H89" s="923">
        <f t="shared" si="6"/>
        <v>147.36680000000001</v>
      </c>
      <c r="I89" s="924">
        <f t="shared" si="7"/>
        <v>315639.48990386666</v>
      </c>
      <c r="J89" s="925"/>
      <c r="K89" s="926"/>
      <c r="L89" s="926"/>
      <c r="M89" s="936">
        <v>63246.398437999997</v>
      </c>
      <c r="N89" s="937">
        <v>82028.570000000007</v>
      </c>
      <c r="O89" s="1670">
        <v>0</v>
      </c>
      <c r="P89" s="937">
        <v>63246</v>
      </c>
      <c r="Q89" s="987">
        <v>1.4063000009628013E-2</v>
      </c>
      <c r="R89" s="988">
        <v>51120.627999999997</v>
      </c>
      <c r="S89" s="989">
        <v>30907.932000000001</v>
      </c>
      <c r="T89" s="987">
        <v>9.9999999947613105E-3</v>
      </c>
      <c r="U89" s="988">
        <v>0</v>
      </c>
      <c r="V89" s="990">
        <v>0</v>
      </c>
      <c r="W89" s="929"/>
      <c r="X89" s="930"/>
      <c r="Y89" s="931">
        <f t="shared" si="13"/>
        <v>0</v>
      </c>
      <c r="Z89" s="931">
        <f t="shared" si="8"/>
        <v>0</v>
      </c>
      <c r="AA89" s="931">
        <f t="shared" si="14"/>
        <v>1.0550559994472889E-2</v>
      </c>
      <c r="AB89" s="931">
        <f t="shared" si="15"/>
        <v>-1.0550559994472889E-2</v>
      </c>
      <c r="AC89" s="932" t="e">
        <f t="shared" si="16"/>
        <v>#REF!</v>
      </c>
      <c r="AD89" s="829"/>
      <c r="AE89" s="829"/>
      <c r="AF89" s="829"/>
    </row>
    <row r="90" spans="3:36" x14ac:dyDescent="0.2">
      <c r="C90" s="933">
        <f t="shared" si="9"/>
        <v>43423</v>
      </c>
      <c r="D90" s="919">
        <f t="shared" si="10"/>
        <v>155314.35733333332</v>
      </c>
      <c r="E90" s="920">
        <f t="shared" si="11"/>
        <v>14901.782933333334</v>
      </c>
      <c r="F90" s="934">
        <f t="shared" si="5"/>
        <v>162624.176875</v>
      </c>
      <c r="G90" s="935">
        <f t="shared" si="12"/>
        <v>1.0143991999999999</v>
      </c>
      <c r="H90" s="923">
        <f t="shared" si="6"/>
        <v>164.9658</v>
      </c>
      <c r="I90" s="924">
        <f t="shared" si="7"/>
        <v>333006.29734086664</v>
      </c>
      <c r="J90" s="925"/>
      <c r="K90" s="926"/>
      <c r="L90" s="926"/>
      <c r="M90" s="927">
        <v>73158.796875</v>
      </c>
      <c r="N90" s="928">
        <v>89465.38</v>
      </c>
      <c r="O90" s="1670">
        <v>0</v>
      </c>
      <c r="P90" s="928">
        <v>73158.8</v>
      </c>
      <c r="Q90" s="987">
        <v>3.4379999997327104E-3</v>
      </c>
      <c r="R90" s="988">
        <v>55884.571000000004</v>
      </c>
      <c r="S90" s="989">
        <v>33580.813999999998</v>
      </c>
      <c r="T90" s="987">
        <v>2.1000000007916242E-2</v>
      </c>
      <c r="U90" s="988">
        <v>0</v>
      </c>
      <c r="V90" s="990">
        <v>0</v>
      </c>
      <c r="W90" s="929"/>
      <c r="X90" s="930"/>
      <c r="Y90" s="931">
        <f t="shared" si="13"/>
        <v>0</v>
      </c>
      <c r="Z90" s="931">
        <f t="shared" si="8"/>
        <v>0</v>
      </c>
      <c r="AA90" s="931">
        <f t="shared" si="14"/>
        <v>2.2156176008352079E-2</v>
      </c>
      <c r="AB90" s="931">
        <f t="shared" si="15"/>
        <v>-2.2156176008352079E-2</v>
      </c>
      <c r="AC90" s="932" t="e">
        <f t="shared" si="16"/>
        <v>#REF!</v>
      </c>
      <c r="AD90" s="829"/>
      <c r="AE90" s="829"/>
      <c r="AF90" s="829"/>
    </row>
    <row r="91" spans="3:36" x14ac:dyDescent="0.2">
      <c r="C91" s="933">
        <f t="shared" si="9"/>
        <v>43424</v>
      </c>
      <c r="D91" s="919">
        <f t="shared" si="10"/>
        <v>155314.35733333332</v>
      </c>
      <c r="E91" s="920">
        <f t="shared" si="11"/>
        <v>14901.782933333334</v>
      </c>
      <c r="F91" s="934">
        <f t="shared" si="5"/>
        <v>186684.98249999998</v>
      </c>
      <c r="G91" s="935">
        <f t="shared" si="12"/>
        <v>1.0143991999999999</v>
      </c>
      <c r="H91" s="923">
        <f t="shared" si="6"/>
        <v>189.37309999999999</v>
      </c>
      <c r="I91" s="924">
        <f t="shared" si="7"/>
        <v>357091.51026586664</v>
      </c>
      <c r="J91" s="925"/>
      <c r="K91" s="926"/>
      <c r="L91" s="926"/>
      <c r="M91" s="936">
        <v>72844.8125</v>
      </c>
      <c r="N91" s="937">
        <v>113840.17</v>
      </c>
      <c r="O91" s="1670">
        <v>0</v>
      </c>
      <c r="P91" s="937">
        <v>72844.800000000003</v>
      </c>
      <c r="Q91" s="987">
        <v>-2.8119999915361404E-3</v>
      </c>
      <c r="R91" s="988">
        <v>76044.05</v>
      </c>
      <c r="S91" s="989">
        <v>37796.103999999999</v>
      </c>
      <c r="T91" s="987">
        <v>-9.0000000054715201E-3</v>
      </c>
      <c r="U91" s="988">
        <v>0</v>
      </c>
      <c r="V91" s="990">
        <v>0</v>
      </c>
      <c r="W91" s="929"/>
      <c r="X91" s="930"/>
      <c r="Y91" s="931">
        <f t="shared" si="13"/>
        <v>0</v>
      </c>
      <c r="Z91" s="931">
        <f t="shared" si="8"/>
        <v>0</v>
      </c>
      <c r="AA91" s="931">
        <f t="shared" si="14"/>
        <v>-9.4955040057727608E-3</v>
      </c>
      <c r="AB91" s="931">
        <f t="shared" si="15"/>
        <v>9.4955040057727608E-3</v>
      </c>
      <c r="AC91" s="932" t="e">
        <f t="shared" si="16"/>
        <v>#REF!</v>
      </c>
      <c r="AD91" s="829"/>
      <c r="AE91" s="829"/>
      <c r="AF91" s="829"/>
    </row>
    <row r="92" spans="3:36" x14ac:dyDescent="0.2">
      <c r="C92" s="933">
        <f t="shared" si="9"/>
        <v>43425</v>
      </c>
      <c r="D92" s="919">
        <f t="shared" si="10"/>
        <v>155314.35733333332</v>
      </c>
      <c r="E92" s="920">
        <f t="shared" si="11"/>
        <v>14901.782933333334</v>
      </c>
      <c r="F92" s="934">
        <f t="shared" si="5"/>
        <v>185873.83812500001</v>
      </c>
      <c r="G92" s="935">
        <f t="shared" si="12"/>
        <v>1.0143991999999999</v>
      </c>
      <c r="H92" s="923">
        <f t="shared" si="6"/>
        <v>188.55029999999999</v>
      </c>
      <c r="I92" s="924">
        <f t="shared" si="7"/>
        <v>356279.54309086665</v>
      </c>
      <c r="J92" s="925"/>
      <c r="K92" s="926"/>
      <c r="L92" s="926"/>
      <c r="M92" s="927">
        <v>72693.078125</v>
      </c>
      <c r="N92" s="928">
        <v>113180.76</v>
      </c>
      <c r="O92" s="1670">
        <v>0</v>
      </c>
      <c r="P92" s="928">
        <v>72693.100000000006</v>
      </c>
      <c r="Q92" s="987">
        <v>-1.5619999903719872E-3</v>
      </c>
      <c r="R92" s="988">
        <v>75415.338000000003</v>
      </c>
      <c r="S92" s="989">
        <v>37765.436999999998</v>
      </c>
      <c r="T92" s="987">
        <v>9.9999998928979039E-4</v>
      </c>
      <c r="U92" s="988">
        <v>0</v>
      </c>
      <c r="V92" s="990">
        <v>0</v>
      </c>
      <c r="W92" s="929"/>
      <c r="X92" s="930"/>
      <c r="Y92" s="931">
        <f t="shared" si="13"/>
        <v>0</v>
      </c>
      <c r="Z92" s="931">
        <f t="shared" si="8"/>
        <v>0</v>
      </c>
      <c r="AA92" s="931">
        <f t="shared" si="14"/>
        <v>1.055055988700129E-3</v>
      </c>
      <c r="AB92" s="931">
        <f t="shared" si="15"/>
        <v>-1.055055988700129E-3</v>
      </c>
      <c r="AC92" s="932" t="e">
        <f t="shared" si="16"/>
        <v>#REF!</v>
      </c>
      <c r="AD92" s="829"/>
      <c r="AE92" s="829"/>
      <c r="AF92" s="829"/>
    </row>
    <row r="93" spans="3:36" x14ac:dyDescent="0.2">
      <c r="C93" s="933">
        <f t="shared" si="9"/>
        <v>43426</v>
      </c>
      <c r="D93" s="919">
        <f t="shared" si="10"/>
        <v>155314.35733333332</v>
      </c>
      <c r="E93" s="920">
        <f t="shared" si="11"/>
        <v>14901.782933333334</v>
      </c>
      <c r="F93" s="934">
        <f t="shared" si="5"/>
        <v>186190.88400000002</v>
      </c>
      <c r="G93" s="935">
        <f t="shared" si="12"/>
        <v>1.0143991999999999</v>
      </c>
      <c r="H93" s="923">
        <f t="shared" si="6"/>
        <v>188.87190000000001</v>
      </c>
      <c r="I93" s="924">
        <f t="shared" si="7"/>
        <v>356596.91056586668</v>
      </c>
      <c r="J93" s="925"/>
      <c r="K93" s="926"/>
      <c r="L93" s="926"/>
      <c r="M93" s="936">
        <v>72615.054000000004</v>
      </c>
      <c r="N93" s="937">
        <v>113575.83</v>
      </c>
      <c r="O93" s="1670">
        <v>0</v>
      </c>
      <c r="P93" s="937">
        <v>72615.05</v>
      </c>
      <c r="Q93" s="987">
        <v>1.2500000593718141E-4</v>
      </c>
      <c r="R93" s="988">
        <v>75626.697</v>
      </c>
      <c r="S93" s="989">
        <v>37949.108999999997</v>
      </c>
      <c r="T93" s="987">
        <v>-1.2000000002444722E-2</v>
      </c>
      <c r="U93" s="988">
        <v>0</v>
      </c>
      <c r="V93" s="990">
        <v>0</v>
      </c>
      <c r="W93" s="929"/>
      <c r="X93" s="930"/>
      <c r="Y93" s="931">
        <f t="shared" si="13"/>
        <v>0</v>
      </c>
      <c r="Z93" s="931">
        <f t="shared" si="8"/>
        <v>0</v>
      </c>
      <c r="AA93" s="931">
        <f t="shared" si="14"/>
        <v>-1.2660672002579318E-2</v>
      </c>
      <c r="AB93" s="931">
        <f t="shared" si="15"/>
        <v>1.2660672002579318E-2</v>
      </c>
      <c r="AC93" s="932" t="e">
        <f t="shared" si="16"/>
        <v>#REF!</v>
      </c>
      <c r="AD93" s="829"/>
      <c r="AE93" s="829"/>
      <c r="AF93" s="829"/>
    </row>
    <row r="94" spans="3:36" x14ac:dyDescent="0.2">
      <c r="C94" s="933">
        <f t="shared" si="9"/>
        <v>43427</v>
      </c>
      <c r="D94" s="919">
        <f t="shared" si="10"/>
        <v>155314.35733333332</v>
      </c>
      <c r="E94" s="920">
        <f t="shared" si="11"/>
        <v>14901.782933333334</v>
      </c>
      <c r="F94" s="934">
        <f t="shared" si="5"/>
        <v>185362.66187499999</v>
      </c>
      <c r="G94" s="935">
        <f t="shared" si="12"/>
        <v>1.0143991999999999</v>
      </c>
      <c r="H94" s="923">
        <f t="shared" si="6"/>
        <v>188.0317</v>
      </c>
      <c r="I94" s="924">
        <f t="shared" si="7"/>
        <v>355767.84824086662</v>
      </c>
      <c r="J94" s="925"/>
      <c r="K94" s="926"/>
      <c r="L94" s="926"/>
      <c r="M94" s="927">
        <v>71833.171875</v>
      </c>
      <c r="N94" s="928">
        <v>113529.49</v>
      </c>
      <c r="O94" s="1670">
        <v>0</v>
      </c>
      <c r="P94" s="928">
        <v>71833.17</v>
      </c>
      <c r="Q94" s="987">
        <v>-1.8699999782256782E-4</v>
      </c>
      <c r="R94" s="988">
        <v>75645.418000000005</v>
      </c>
      <c r="S94" s="989">
        <v>37884.076000000001</v>
      </c>
      <c r="T94" s="987">
        <v>-4.0000000153668225E-3</v>
      </c>
      <c r="U94" s="988">
        <v>0</v>
      </c>
      <c r="V94" s="990">
        <v>0</v>
      </c>
      <c r="W94" s="929"/>
      <c r="X94" s="930"/>
      <c r="Y94" s="931">
        <f t="shared" si="13"/>
        <v>0</v>
      </c>
      <c r="Z94" s="931">
        <f t="shared" si="8"/>
        <v>0</v>
      </c>
      <c r="AA94" s="931">
        <f t="shared" si="14"/>
        <v>-4.2202240162128582E-3</v>
      </c>
      <c r="AB94" s="931">
        <f t="shared" si="15"/>
        <v>4.2202240162128582E-3</v>
      </c>
      <c r="AC94" s="932" t="e">
        <f t="shared" si="16"/>
        <v>#REF!</v>
      </c>
      <c r="AD94" s="829"/>
      <c r="AE94" s="829"/>
      <c r="AF94" s="829"/>
    </row>
    <row r="95" spans="3:36" x14ac:dyDescent="0.2">
      <c r="C95" s="933">
        <f t="shared" si="9"/>
        <v>43428</v>
      </c>
      <c r="D95" s="919">
        <f t="shared" si="10"/>
        <v>155314.35733333332</v>
      </c>
      <c r="E95" s="920">
        <f t="shared" si="11"/>
        <v>14901.782933333334</v>
      </c>
      <c r="F95" s="934">
        <f t="shared" si="5"/>
        <v>176589.03593800002</v>
      </c>
      <c r="G95" s="935">
        <f t="shared" si="12"/>
        <v>1.0143991999999999</v>
      </c>
      <c r="H95" s="923">
        <f t="shared" si="6"/>
        <v>179.1318</v>
      </c>
      <c r="I95" s="924">
        <f t="shared" si="7"/>
        <v>346985.32240386662</v>
      </c>
      <c r="J95" s="925"/>
      <c r="K95" s="926"/>
      <c r="L95" s="926"/>
      <c r="M95" s="936">
        <v>71752.835938000004</v>
      </c>
      <c r="N95" s="937">
        <v>104836.2</v>
      </c>
      <c r="O95" s="1670">
        <v>0</v>
      </c>
      <c r="P95" s="937">
        <v>71752.84</v>
      </c>
      <c r="Q95" s="987">
        <v>-1.8699999782256782E-4</v>
      </c>
      <c r="R95" s="988">
        <v>68749.019</v>
      </c>
      <c r="S95" s="989">
        <v>36087.163</v>
      </c>
      <c r="T95" s="987">
        <v>4.9999999901046976E-3</v>
      </c>
      <c r="U95" s="988">
        <v>0</v>
      </c>
      <c r="V95" s="990">
        <v>0</v>
      </c>
      <c r="W95" s="929"/>
      <c r="X95" s="930"/>
      <c r="Y95" s="931">
        <f t="shared" si="13"/>
        <v>0</v>
      </c>
      <c r="Z95" s="931">
        <f t="shared" si="8"/>
        <v>0</v>
      </c>
      <c r="AA95" s="931">
        <f t="shared" si="14"/>
        <v>5.2752799895599018E-3</v>
      </c>
      <c r="AB95" s="931">
        <f t="shared" si="15"/>
        <v>-5.2752799895599018E-3</v>
      </c>
      <c r="AC95" s="932" t="e">
        <f t="shared" si="16"/>
        <v>#REF!</v>
      </c>
      <c r="AG95" s="843"/>
      <c r="AH95" s="843"/>
      <c r="AI95" s="843"/>
      <c r="AJ95" s="843"/>
    </row>
    <row r="96" spans="3:36" x14ac:dyDescent="0.2">
      <c r="C96" s="933">
        <f t="shared" si="9"/>
        <v>43429</v>
      </c>
      <c r="D96" s="919">
        <f t="shared" si="10"/>
        <v>155314.35733333332</v>
      </c>
      <c r="E96" s="920">
        <f t="shared" si="11"/>
        <v>14901.782933333334</v>
      </c>
      <c r="F96" s="934">
        <f t="shared" si="5"/>
        <v>168621.945313</v>
      </c>
      <c r="G96" s="935">
        <f t="shared" si="12"/>
        <v>1.0143991999999999</v>
      </c>
      <c r="H96" s="923">
        <f t="shared" si="6"/>
        <v>171.05</v>
      </c>
      <c r="I96" s="924">
        <f t="shared" si="7"/>
        <v>339010.14997886663</v>
      </c>
      <c r="J96" s="925"/>
      <c r="K96" s="926"/>
      <c r="L96" s="926"/>
      <c r="M96" s="927">
        <v>71889.195313000004</v>
      </c>
      <c r="N96" s="928">
        <v>96732.75</v>
      </c>
      <c r="O96" s="1670">
        <v>0</v>
      </c>
      <c r="P96" s="928">
        <v>71889.2</v>
      </c>
      <c r="Q96" s="987">
        <v>0</v>
      </c>
      <c r="R96" s="988">
        <v>63252.756999999998</v>
      </c>
      <c r="S96" s="989">
        <v>33479.998</v>
      </c>
      <c r="T96" s="987">
        <v>-1.0999999998603016E-2</v>
      </c>
      <c r="U96" s="988">
        <v>0</v>
      </c>
      <c r="V96" s="990">
        <v>0</v>
      </c>
      <c r="W96" s="929"/>
      <c r="X96" s="930"/>
      <c r="Y96" s="931">
        <f t="shared" si="13"/>
        <v>0</v>
      </c>
      <c r="Z96" s="931">
        <f t="shared" si="8"/>
        <v>0</v>
      </c>
      <c r="AA96" s="931">
        <f t="shared" si="14"/>
        <v>-1.1605615998526103E-2</v>
      </c>
      <c r="AB96" s="931">
        <f t="shared" si="15"/>
        <v>1.1605615998526103E-2</v>
      </c>
      <c r="AC96" s="932" t="e">
        <f t="shared" si="16"/>
        <v>#REF!</v>
      </c>
      <c r="AG96" s="843"/>
      <c r="AH96" s="843"/>
      <c r="AI96" s="843"/>
      <c r="AJ96" s="843"/>
    </row>
    <row r="97" spans="2:42" x14ac:dyDescent="0.2">
      <c r="C97" s="933">
        <f t="shared" si="9"/>
        <v>43430</v>
      </c>
      <c r="D97" s="919">
        <f t="shared" si="10"/>
        <v>155314.35733333332</v>
      </c>
      <c r="E97" s="920">
        <f t="shared" si="11"/>
        <v>14901.782933333334</v>
      </c>
      <c r="F97" s="934">
        <f t="shared" si="5"/>
        <v>185641.894688</v>
      </c>
      <c r="G97" s="935">
        <f t="shared" si="12"/>
        <v>1.0143991999999999</v>
      </c>
      <c r="H97" s="923">
        <f t="shared" si="6"/>
        <v>188.315</v>
      </c>
      <c r="I97" s="924">
        <f t="shared" si="7"/>
        <v>356047.36435386661</v>
      </c>
      <c r="J97" s="925"/>
      <c r="K97" s="926"/>
      <c r="L97" s="926"/>
      <c r="M97" s="936">
        <v>72052.304688000004</v>
      </c>
      <c r="N97" s="937">
        <v>113589.59</v>
      </c>
      <c r="O97" s="1670">
        <v>0</v>
      </c>
      <c r="P97" s="937">
        <v>72052.304999999993</v>
      </c>
      <c r="Q97" s="987">
        <v>-9.3699998978991061E-4</v>
      </c>
      <c r="R97" s="988">
        <v>75990.126999999993</v>
      </c>
      <c r="S97" s="989">
        <v>37599.446000000004</v>
      </c>
      <c r="T97" s="987">
        <v>-2.1000000007916242E-2</v>
      </c>
      <c r="U97" s="988">
        <v>0</v>
      </c>
      <c r="V97" s="990">
        <v>0</v>
      </c>
      <c r="W97" s="929"/>
      <c r="X97" s="930"/>
      <c r="Y97" s="931">
        <f t="shared" si="13"/>
        <v>0</v>
      </c>
      <c r="Z97" s="931">
        <f t="shared" si="8"/>
        <v>0</v>
      </c>
      <c r="AA97" s="931">
        <f t="shared" si="14"/>
        <v>-2.2156176008352079E-2</v>
      </c>
      <c r="AB97" s="931">
        <f t="shared" si="15"/>
        <v>2.2156176008352079E-2</v>
      </c>
      <c r="AC97" s="932" t="e">
        <f t="shared" si="16"/>
        <v>#REF!</v>
      </c>
      <c r="AG97" s="843"/>
      <c r="AH97" s="843"/>
      <c r="AI97" s="843"/>
      <c r="AJ97" s="843"/>
    </row>
    <row r="98" spans="2:42" x14ac:dyDescent="0.2">
      <c r="C98" s="933">
        <f t="shared" si="9"/>
        <v>43431</v>
      </c>
      <c r="D98" s="919">
        <f t="shared" si="10"/>
        <v>155314.35733333332</v>
      </c>
      <c r="E98" s="920">
        <f t="shared" si="11"/>
        <v>14901.782933333334</v>
      </c>
      <c r="F98" s="934">
        <f t="shared" si="5"/>
        <v>185617.35062500002</v>
      </c>
      <c r="G98" s="935">
        <f t="shared" si="12"/>
        <v>1.0143991999999999</v>
      </c>
      <c r="H98" s="923">
        <f t="shared" si="6"/>
        <v>188.2901</v>
      </c>
      <c r="I98" s="924">
        <f t="shared" si="7"/>
        <v>356022.79539086664</v>
      </c>
      <c r="J98" s="925"/>
      <c r="K98" s="926"/>
      <c r="L98" s="926"/>
      <c r="M98" s="927">
        <v>71955.890625</v>
      </c>
      <c r="N98" s="928">
        <v>113661.46</v>
      </c>
      <c r="O98" s="1670">
        <v>0</v>
      </c>
      <c r="P98" s="928">
        <v>71955.891000000003</v>
      </c>
      <c r="Q98" s="987">
        <v>-6.1999991885386407E-5</v>
      </c>
      <c r="R98" s="988">
        <v>75840.92</v>
      </c>
      <c r="S98" s="989">
        <v>37820.542000000001</v>
      </c>
      <c r="T98" s="987">
        <v>0</v>
      </c>
      <c r="U98" s="988">
        <v>0</v>
      </c>
      <c r="V98" s="990">
        <v>0</v>
      </c>
      <c r="W98" s="929"/>
      <c r="X98" s="930"/>
      <c r="Y98" s="931">
        <f t="shared" si="13"/>
        <v>0</v>
      </c>
      <c r="Z98" s="931">
        <f t="shared" si="8"/>
        <v>0</v>
      </c>
      <c r="AA98" s="931">
        <f t="shared" si="14"/>
        <v>0</v>
      </c>
      <c r="AB98" s="931">
        <f t="shared" si="15"/>
        <v>0</v>
      </c>
      <c r="AC98" s="932" t="e">
        <f t="shared" si="16"/>
        <v>#REF!</v>
      </c>
      <c r="AG98" s="843"/>
      <c r="AH98" s="843"/>
      <c r="AI98" s="843"/>
      <c r="AJ98" s="843"/>
    </row>
    <row r="99" spans="2:42" x14ac:dyDescent="0.2">
      <c r="C99" s="933">
        <f t="shared" si="9"/>
        <v>43432</v>
      </c>
      <c r="D99" s="919">
        <f t="shared" si="10"/>
        <v>155314.35733333332</v>
      </c>
      <c r="E99" s="920">
        <f t="shared" si="11"/>
        <v>14901.782933333334</v>
      </c>
      <c r="F99" s="934">
        <f t="shared" si="5"/>
        <v>185217.5025</v>
      </c>
      <c r="G99" s="935">
        <f t="shared" si="12"/>
        <v>1.0143991999999999</v>
      </c>
      <c r="H99" s="923">
        <f t="shared" si="6"/>
        <v>187.8845</v>
      </c>
      <c r="I99" s="924">
        <f t="shared" si="7"/>
        <v>355622.54166586662</v>
      </c>
      <c r="J99" s="925"/>
      <c r="K99" s="926"/>
      <c r="L99" s="926"/>
      <c r="M99" s="936">
        <v>71411.8125</v>
      </c>
      <c r="N99" s="937">
        <v>113805.69</v>
      </c>
      <c r="O99" s="1670">
        <v>0</v>
      </c>
      <c r="P99" s="937">
        <v>71411.812000000005</v>
      </c>
      <c r="Q99" s="987">
        <v>1.2500000593718141E-4</v>
      </c>
      <c r="R99" s="988">
        <v>75995.994999999995</v>
      </c>
      <c r="S99" s="989">
        <v>37809.714999999997</v>
      </c>
      <c r="T99" s="987">
        <v>-2.7999999991152436E-2</v>
      </c>
      <c r="U99" s="988">
        <v>0</v>
      </c>
      <c r="V99" s="990">
        <v>0</v>
      </c>
      <c r="W99" s="929"/>
      <c r="X99" s="930"/>
      <c r="Y99" s="931">
        <f t="shared" si="13"/>
        <v>0</v>
      </c>
      <c r="Z99" s="931">
        <f t="shared" si="8"/>
        <v>0</v>
      </c>
      <c r="AA99" s="931">
        <f t="shared" si="14"/>
        <v>-2.9541567990665325E-2</v>
      </c>
      <c r="AB99" s="931">
        <f t="shared" si="15"/>
        <v>2.9541567990665325E-2</v>
      </c>
      <c r="AC99" s="932" t="e">
        <f t="shared" si="16"/>
        <v>#REF!</v>
      </c>
      <c r="AG99" s="843"/>
      <c r="AH99" s="843"/>
      <c r="AI99" s="843"/>
      <c r="AJ99" s="843"/>
    </row>
    <row r="100" spans="2:42" x14ac:dyDescent="0.2">
      <c r="C100" s="933">
        <f t="shared" si="9"/>
        <v>43433</v>
      </c>
      <c r="D100" s="919">
        <f t="shared" si="10"/>
        <v>155314.35733333332</v>
      </c>
      <c r="E100" s="920">
        <f t="shared" si="11"/>
        <v>14901.782933333334</v>
      </c>
      <c r="F100" s="934">
        <f t="shared" si="5"/>
        <v>179627.073125</v>
      </c>
      <c r="G100" s="935">
        <f t="shared" si="12"/>
        <v>1.0143991999999999</v>
      </c>
      <c r="H100" s="923">
        <f t="shared" si="6"/>
        <v>182.21360000000001</v>
      </c>
      <c r="I100" s="924">
        <f t="shared" si="7"/>
        <v>350026.44139086665</v>
      </c>
      <c r="J100" s="925"/>
      <c r="K100" s="926"/>
      <c r="L100" s="926"/>
      <c r="M100" s="927">
        <v>71785.453125</v>
      </c>
      <c r="N100" s="928">
        <v>107841.62</v>
      </c>
      <c r="O100" s="1670">
        <v>0</v>
      </c>
      <c r="P100" s="928">
        <v>71785.452999999994</v>
      </c>
      <c r="Q100" s="987">
        <v>-4.3699999514501542E-4</v>
      </c>
      <c r="R100" s="988">
        <v>70000.417000000001</v>
      </c>
      <c r="S100" s="989">
        <v>37841.216999999997</v>
      </c>
      <c r="T100" s="987">
        <v>2.2000000011757948E-2</v>
      </c>
      <c r="U100" s="988">
        <v>0</v>
      </c>
      <c r="V100" s="990">
        <v>0</v>
      </c>
      <c r="W100" s="929"/>
      <c r="X100" s="930"/>
      <c r="Y100" s="931">
        <f t="shared" si="13"/>
        <v>0</v>
      </c>
      <c r="Z100" s="931">
        <f t="shared" si="8"/>
        <v>0</v>
      </c>
      <c r="AA100" s="931">
        <f t="shared" si="14"/>
        <v>2.3211232012405294E-2</v>
      </c>
      <c r="AB100" s="931">
        <f t="shared" si="15"/>
        <v>-2.3211232012405294E-2</v>
      </c>
      <c r="AC100" s="932" t="e">
        <f t="shared" si="16"/>
        <v>#REF!</v>
      </c>
      <c r="AG100" s="843"/>
      <c r="AH100" s="843"/>
      <c r="AI100" s="843"/>
      <c r="AJ100" s="843"/>
    </row>
    <row r="101" spans="2:42" x14ac:dyDescent="0.2">
      <c r="C101" s="933">
        <f t="shared" si="9"/>
        <v>43434</v>
      </c>
      <c r="D101" s="919">
        <f t="shared" si="10"/>
        <v>155314.35733333332</v>
      </c>
      <c r="E101" s="920">
        <f t="shared" si="11"/>
        <v>14901.782933333334</v>
      </c>
      <c r="F101" s="934">
        <f t="shared" si="5"/>
        <v>184719.344063</v>
      </c>
      <c r="G101" s="935">
        <f t="shared" si="12"/>
        <v>1.0143991999999999</v>
      </c>
      <c r="H101" s="923">
        <f t="shared" si="6"/>
        <v>187.3792</v>
      </c>
      <c r="I101" s="924">
        <f t="shared" si="7"/>
        <v>355123.87792886666</v>
      </c>
      <c r="J101" s="925"/>
      <c r="K101" s="926"/>
      <c r="L101" s="926"/>
      <c r="M101" s="927">
        <v>71595.914063000004</v>
      </c>
      <c r="N101" s="928">
        <v>113123.43</v>
      </c>
      <c r="O101" s="1670">
        <v>0</v>
      </c>
      <c r="P101" s="928">
        <v>71595.914000000004</v>
      </c>
      <c r="Q101" s="987">
        <v>6.2999999499879777E-5</v>
      </c>
      <c r="R101" s="988">
        <v>75382.153999999995</v>
      </c>
      <c r="S101" s="989">
        <v>37741.279999999999</v>
      </c>
      <c r="T101" s="987">
        <v>-2.3999999990337528E-2</v>
      </c>
      <c r="U101" s="988">
        <v>0</v>
      </c>
      <c r="V101" s="990">
        <v>0</v>
      </c>
      <c r="W101" s="929"/>
      <c r="X101" s="930"/>
      <c r="Y101" s="931">
        <f t="shared" si="13"/>
        <v>0</v>
      </c>
      <c r="Z101" s="931">
        <f t="shared" si="8"/>
        <v>0</v>
      </c>
      <c r="AA101" s="931">
        <f t="shared" si="14"/>
        <v>-2.532134398980555E-2</v>
      </c>
      <c r="AB101" s="931">
        <f t="shared" si="15"/>
        <v>2.532134398980555E-2</v>
      </c>
      <c r="AC101" s="932" t="e">
        <f t="shared" si="16"/>
        <v>#REF!</v>
      </c>
      <c r="AG101" s="843"/>
      <c r="AH101" s="843"/>
      <c r="AI101" s="843"/>
      <c r="AJ101" s="843"/>
    </row>
    <row r="102" spans="2:42" ht="13.5" thickBot="1" x14ac:dyDescent="0.25">
      <c r="C102" s="938"/>
      <c r="D102" s="939"/>
      <c r="E102" s="940"/>
      <c r="F102" s="941"/>
      <c r="G102" s="942"/>
      <c r="H102" s="943"/>
      <c r="I102" s="944"/>
      <c r="J102" s="945"/>
      <c r="K102" s="946"/>
      <c r="L102" s="946"/>
      <c r="M102" s="947"/>
      <c r="N102" s="948"/>
      <c r="O102" s="1671"/>
      <c r="P102" s="948"/>
      <c r="Q102" s="992"/>
      <c r="R102" s="993"/>
      <c r="S102" s="994"/>
      <c r="T102" s="992"/>
      <c r="U102" s="993"/>
      <c r="V102" s="995"/>
      <c r="W102" s="949"/>
      <c r="X102" s="950"/>
      <c r="Y102" s="951"/>
      <c r="Z102" s="951"/>
      <c r="AA102" s="951"/>
      <c r="AB102" s="951"/>
      <c r="AC102" s="952"/>
      <c r="AG102" s="843"/>
      <c r="AH102" s="843"/>
      <c r="AI102" s="843"/>
      <c r="AJ102" s="843"/>
    </row>
    <row r="103" spans="2:42" ht="13.5" thickBot="1" x14ac:dyDescent="0.25">
      <c r="C103" s="953"/>
      <c r="D103" s="954">
        <f>SUM(D72:D102)</f>
        <v>4659430.7199999979</v>
      </c>
      <c r="E103" s="954">
        <f>SUM(E72:E102)</f>
        <v>447053.48799999966</v>
      </c>
      <c r="F103" s="955">
        <f>SUM(F72:F102)</f>
        <v>5414039.0949450005</v>
      </c>
      <c r="G103" s="955"/>
      <c r="H103" s="956">
        <f t="shared" ref="H103:W103" si="17">SUM(H72:H102)</f>
        <v>5491.9970000000003</v>
      </c>
      <c r="I103" s="954">
        <f t="shared" si="17"/>
        <v>10526045.731920999</v>
      </c>
      <c r="J103" s="1024">
        <f t="shared" si="17"/>
        <v>0</v>
      </c>
      <c r="K103" s="1024">
        <f t="shared" si="17"/>
        <v>0</v>
      </c>
      <c r="L103" s="1024">
        <f t="shared" si="17"/>
        <v>0</v>
      </c>
      <c r="M103" s="996">
        <f t="shared" si="17"/>
        <v>2155818.7649450004</v>
      </c>
      <c r="N103" s="996">
        <f t="shared" si="17"/>
        <v>3258220.33</v>
      </c>
      <c r="O103" s="1024">
        <f>SUM(O72:O102)</f>
        <v>0</v>
      </c>
      <c r="P103" s="996">
        <f t="shared" si="17"/>
        <v>2155818.3810000005</v>
      </c>
      <c r="Q103" s="1024">
        <f t="shared" si="17"/>
        <v>-8.0678999904193915E-2</v>
      </c>
      <c r="R103" s="996">
        <f t="shared" si="17"/>
        <v>2146034.2700000005</v>
      </c>
      <c r="S103" s="996">
        <f t="shared" si="17"/>
        <v>1113731.1610000003</v>
      </c>
      <c r="T103" s="1024">
        <f t="shared" si="17"/>
        <v>-0.11000000004423782</v>
      </c>
      <c r="U103" s="1024">
        <f t="shared" si="17"/>
        <v>0</v>
      </c>
      <c r="V103" s="1024">
        <f t="shared" si="17"/>
        <v>0</v>
      </c>
      <c r="W103" s="958">
        <f t="shared" si="17"/>
        <v>0</v>
      </c>
      <c r="Y103" s="959"/>
      <c r="Z103" s="960">
        <f>SUM(Z72:Z102)</f>
        <v>0</v>
      </c>
      <c r="AA103" s="960">
        <f>SUM(AA72:AA102)</f>
        <v>-0.11605616004667337</v>
      </c>
      <c r="AB103" s="960">
        <f>SUM(AB72:AB102)</f>
        <v>0.11605616004667337</v>
      </c>
      <c r="AC103" s="961" t="e">
        <f>#REF!</f>
        <v>#REF!</v>
      </c>
      <c r="AG103" s="843"/>
      <c r="AH103" s="843"/>
      <c r="AI103" s="843"/>
      <c r="AJ103" s="843"/>
      <c r="AP103" s="958" t="e">
        <f>#REF!</f>
        <v>#REF!</v>
      </c>
    </row>
    <row r="104" spans="2:42" ht="15" customHeight="1" thickBot="1" x14ac:dyDescent="0.25">
      <c r="B104" s="843"/>
      <c r="C104" s="843"/>
      <c r="D104" s="843"/>
      <c r="E104" s="843"/>
      <c r="F104" s="843"/>
      <c r="G104" s="843"/>
      <c r="H104" s="843"/>
      <c r="I104" s="843"/>
      <c r="J104" s="843"/>
      <c r="K104" s="843"/>
      <c r="L104" s="843"/>
      <c r="M104" s="843"/>
      <c r="N104" s="829"/>
      <c r="R104" s="997">
        <f>R103/(R103+S103)</f>
        <v>0.65834009085177025</v>
      </c>
      <c r="S104" s="998">
        <f>S103/(R103+S103)</f>
        <v>0.34165990914822975</v>
      </c>
      <c r="Z104" s="829"/>
      <c r="AA104" s="829"/>
      <c r="AB104" s="829"/>
      <c r="AC104" s="829"/>
      <c r="AG104" s="843"/>
      <c r="AH104" s="843"/>
      <c r="AI104" s="843"/>
      <c r="AJ104" s="843"/>
    </row>
    <row r="105" spans="2:42" x14ac:dyDescent="0.2">
      <c r="D105" s="962" t="s">
        <v>155</v>
      </c>
      <c r="E105" s="963" t="s">
        <v>156</v>
      </c>
      <c r="F105" s="964" t="s">
        <v>112</v>
      </c>
    </row>
    <row r="106" spans="2:42" x14ac:dyDescent="0.2">
      <c r="D106" s="965">
        <v>4659430.72</v>
      </c>
      <c r="E106" s="966">
        <f>D103</f>
        <v>4659430.7199999979</v>
      </c>
      <c r="F106" s="967">
        <f>D106-E106</f>
        <v>0</v>
      </c>
      <c r="G106" s="968"/>
      <c r="H106" s="968"/>
      <c r="I106" s="968"/>
      <c r="S106" s="1008">
        <f>1-R104-S104</f>
        <v>0</v>
      </c>
    </row>
    <row r="107" spans="2:42" x14ac:dyDescent="0.2">
      <c r="D107" s="965">
        <v>447053.49</v>
      </c>
      <c r="E107" s="966">
        <f>E103</f>
        <v>447053.48799999966</v>
      </c>
      <c r="F107" s="967">
        <f>D107-E107</f>
        <v>2.0000003278255463E-3</v>
      </c>
      <c r="G107" s="968"/>
      <c r="H107" s="968"/>
      <c r="I107" s="968"/>
    </row>
    <row r="108" spans="2:42" ht="13.5" thickBot="1" x14ac:dyDescent="0.25">
      <c r="D108" s="969">
        <f>3305.14+2186.86</f>
        <v>5492</v>
      </c>
      <c r="E108" s="970">
        <f>ROUND(H103,2)</f>
        <v>5492</v>
      </c>
      <c r="F108" s="971">
        <f>D108-E108</f>
        <v>0</v>
      </c>
      <c r="G108" s="968"/>
    </row>
    <row r="109" spans="2:42" x14ac:dyDescent="0.2">
      <c r="D109" s="968"/>
    </row>
  </sheetData>
  <mergeCells count="10">
    <mergeCell ref="C17:E17"/>
    <mergeCell ref="M70:O70"/>
    <mergeCell ref="P70:V70"/>
    <mergeCell ref="W70:AC70"/>
    <mergeCell ref="C3:M4"/>
    <mergeCell ref="C5:M5"/>
    <mergeCell ref="C6:M6"/>
    <mergeCell ref="C14:E14"/>
    <mergeCell ref="C15:E15"/>
    <mergeCell ref="C16:E16"/>
  </mergeCells>
  <conditionalFormatting sqref="M72:N102">
    <cfRule type="cellIs" dxfId="89" priority="3" stopIfTrue="1" operator="equal">
      <formula>0</formula>
    </cfRule>
  </conditionalFormatting>
  <conditionalFormatting sqref="P72:P100 P102">
    <cfRule type="cellIs" dxfId="88" priority="2" stopIfTrue="1" operator="equal">
      <formula>0</formula>
    </cfRule>
  </conditionalFormatting>
  <conditionalFormatting sqref="P101">
    <cfRule type="cellIs" dxfId="87" priority="1" stopIfTrue="1" operator="equal">
      <formula>0</formula>
    </cfRule>
  </conditionalFormatting>
  <printOptions horizontalCentered="1"/>
  <pageMargins left="0.59055118110236227" right="0.39370078740157483" top="0" bottom="0" header="0" footer="0.51181102362204722"/>
  <pageSetup scale="38" orientation="landscape" r:id="rId1"/>
  <drawing r:id="rId2"/>
  <legacyDrawing r:id="rId3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2:AP139"/>
  <sheetViews>
    <sheetView workbookViewId="0"/>
  </sheetViews>
  <sheetFormatPr baseColWidth="10" defaultColWidth="11" defaultRowHeight="12.75" x14ac:dyDescent="0.2"/>
  <cols>
    <col min="1" max="1" width="11" style="829"/>
    <col min="2" max="2" width="3.875" style="829" bestFit="1" customWidth="1"/>
    <col min="3" max="3" width="16.125" style="829" customWidth="1"/>
    <col min="4" max="4" width="14" style="829" bestFit="1" customWidth="1"/>
    <col min="5" max="5" width="18.375" style="829" bestFit="1" customWidth="1"/>
    <col min="6" max="6" width="17.375" style="829" bestFit="1" customWidth="1"/>
    <col min="7" max="8" width="13.375" style="829" bestFit="1" customWidth="1"/>
    <col min="9" max="9" width="15.125" style="829" customWidth="1"/>
    <col min="10" max="10" width="20.5" style="829" customWidth="1"/>
    <col min="11" max="11" width="14.625" style="829" bestFit="1" customWidth="1"/>
    <col min="12" max="12" width="16" style="829" customWidth="1"/>
    <col min="13" max="13" width="17.125" style="829" bestFit="1" customWidth="1"/>
    <col min="14" max="14" width="17.875" style="827" bestFit="1" customWidth="1"/>
    <col min="15" max="15" width="11.375" style="829" bestFit="1" customWidth="1"/>
    <col min="16" max="16" width="11.125" style="829" bestFit="1" customWidth="1"/>
    <col min="17" max="17" width="12.625" style="829" bestFit="1" customWidth="1"/>
    <col min="18" max="18" width="10.875" style="829" customWidth="1"/>
    <col min="19" max="19" width="11.875" style="829" bestFit="1" customWidth="1"/>
    <col min="20" max="20" width="11.125" style="829" bestFit="1" customWidth="1"/>
    <col min="21" max="21" width="15.875" style="829" customWidth="1"/>
    <col min="22" max="22" width="15.375" style="829" bestFit="1" customWidth="1"/>
    <col min="23" max="23" width="11.125" style="829" bestFit="1" customWidth="1"/>
    <col min="24" max="24" width="17.125" style="829" bestFit="1" customWidth="1"/>
    <col min="25" max="25" width="17.875" style="829" bestFit="1" customWidth="1"/>
    <col min="26" max="26" width="11.125" style="843" bestFit="1" customWidth="1"/>
    <col min="27" max="27" width="13" style="843" bestFit="1" customWidth="1"/>
    <col min="28" max="32" width="11" style="843"/>
    <col min="33" max="38" width="11" style="829"/>
    <col min="39" max="39" width="11.125" style="829" bestFit="1" customWidth="1"/>
    <col min="40" max="16384" width="11" style="829"/>
  </cols>
  <sheetData>
    <row r="2" spans="2:35" x14ac:dyDescent="0.2">
      <c r="B2" s="827"/>
      <c r="C2" s="828"/>
      <c r="D2" s="828"/>
      <c r="E2" s="828"/>
      <c r="F2" s="828"/>
      <c r="G2" s="828"/>
      <c r="H2" s="828"/>
      <c r="I2" s="828"/>
      <c r="J2" s="828"/>
      <c r="K2" s="828"/>
      <c r="L2" s="828"/>
      <c r="M2" s="828"/>
      <c r="N2" s="828"/>
      <c r="Z2" s="829"/>
      <c r="AA2" s="829"/>
      <c r="AB2" s="829"/>
      <c r="AC2" s="829"/>
      <c r="AD2" s="829"/>
      <c r="AE2" s="829"/>
      <c r="AF2" s="829"/>
    </row>
    <row r="3" spans="2:35" ht="15" customHeight="1" x14ac:dyDescent="0.2">
      <c r="B3" s="827"/>
      <c r="C3" s="2295"/>
      <c r="D3" s="2295"/>
      <c r="E3" s="2295"/>
      <c r="F3" s="2295"/>
      <c r="G3" s="2295"/>
      <c r="H3" s="2295"/>
      <c r="I3" s="2295"/>
      <c r="J3" s="2295"/>
      <c r="K3" s="2295"/>
      <c r="L3" s="2295"/>
      <c r="M3" s="2295"/>
      <c r="N3" s="828"/>
      <c r="Z3" s="829"/>
      <c r="AA3" s="829"/>
      <c r="AB3" s="829"/>
      <c r="AC3" s="829"/>
      <c r="AD3" s="829"/>
      <c r="AE3" s="829"/>
      <c r="AF3" s="829"/>
    </row>
    <row r="4" spans="2:35" ht="15" customHeight="1" x14ac:dyDescent="0.2">
      <c r="B4" s="827"/>
      <c r="C4" s="2295"/>
      <c r="D4" s="2295"/>
      <c r="E4" s="2295"/>
      <c r="F4" s="2295"/>
      <c r="G4" s="2295"/>
      <c r="H4" s="2295"/>
      <c r="I4" s="2295"/>
      <c r="J4" s="2295"/>
      <c r="K4" s="2295"/>
      <c r="L4" s="2295"/>
      <c r="M4" s="2295"/>
      <c r="N4" s="828"/>
      <c r="Z4" s="829"/>
      <c r="AA4" s="829"/>
      <c r="AB4" s="829"/>
      <c r="AC4" s="829"/>
      <c r="AD4" s="829"/>
      <c r="AE4" s="829"/>
      <c r="AF4" s="829"/>
    </row>
    <row r="5" spans="2:35" x14ac:dyDescent="0.2">
      <c r="B5" s="827"/>
      <c r="C5" s="2296"/>
      <c r="D5" s="2296"/>
      <c r="E5" s="2296"/>
      <c r="F5" s="2296"/>
      <c r="G5" s="2296"/>
      <c r="H5" s="2296"/>
      <c r="I5" s="2296"/>
      <c r="J5" s="2296"/>
      <c r="K5" s="2296"/>
      <c r="L5" s="2296"/>
      <c r="M5" s="2296"/>
      <c r="N5" s="828"/>
      <c r="Z5" s="829"/>
      <c r="AA5" s="829"/>
      <c r="AB5" s="829"/>
      <c r="AC5" s="829"/>
      <c r="AD5" s="829"/>
      <c r="AE5" s="829"/>
      <c r="AF5" s="829"/>
    </row>
    <row r="6" spans="2:35" x14ac:dyDescent="0.2">
      <c r="B6" s="827"/>
      <c r="C6" s="2296"/>
      <c r="D6" s="2296"/>
      <c r="E6" s="2296"/>
      <c r="F6" s="2296"/>
      <c r="G6" s="2296"/>
      <c r="H6" s="2296"/>
      <c r="I6" s="2296"/>
      <c r="J6" s="2296"/>
      <c r="K6" s="2296"/>
      <c r="L6" s="2296"/>
      <c r="M6" s="2296"/>
      <c r="N6" s="828"/>
      <c r="Z6" s="829"/>
      <c r="AA6" s="829"/>
      <c r="AB6" s="829"/>
      <c r="AC6" s="829"/>
      <c r="AD6" s="829"/>
      <c r="AE6" s="829"/>
      <c r="AF6" s="829"/>
    </row>
    <row r="7" spans="2:35" x14ac:dyDescent="0.2">
      <c r="B7" s="827"/>
      <c r="C7" s="830">
        <v>43101</v>
      </c>
      <c r="D7" s="830"/>
      <c r="E7" s="830"/>
      <c r="F7" s="830"/>
      <c r="G7" s="830"/>
      <c r="H7" s="830"/>
      <c r="I7" s="830"/>
      <c r="J7" s="830"/>
      <c r="K7" s="830"/>
      <c r="L7" s="830"/>
      <c r="M7" s="830"/>
      <c r="N7" s="830"/>
      <c r="O7" s="830"/>
      <c r="P7" s="830"/>
      <c r="Q7" s="830"/>
      <c r="R7" s="827"/>
      <c r="S7" s="827"/>
      <c r="T7" s="827"/>
      <c r="U7" s="827"/>
      <c r="V7" s="827"/>
      <c r="W7" s="827"/>
      <c r="X7" s="827"/>
      <c r="Y7" s="827"/>
      <c r="Z7" s="829"/>
      <c r="AA7" s="829"/>
      <c r="AB7" s="829"/>
      <c r="AC7" s="829"/>
      <c r="AD7" s="829"/>
      <c r="AE7" s="829"/>
      <c r="AF7" s="829"/>
    </row>
    <row r="8" spans="2:35" ht="19.5" customHeight="1" x14ac:dyDescent="0.2">
      <c r="B8" s="827"/>
      <c r="C8" s="1740"/>
      <c r="D8" s="1740"/>
      <c r="E8" s="1740"/>
      <c r="F8" s="1740"/>
      <c r="G8" s="1740"/>
      <c r="H8" s="1740"/>
      <c r="I8" s="1740"/>
      <c r="J8" s="1740"/>
      <c r="K8" s="1740"/>
      <c r="L8" s="1740"/>
      <c r="M8" s="828"/>
      <c r="N8" s="828"/>
      <c r="O8" s="827"/>
      <c r="P8" s="827"/>
      <c r="Q8" s="827"/>
      <c r="R8" s="827"/>
      <c r="S8" s="827"/>
      <c r="T8" s="827"/>
      <c r="U8" s="827"/>
      <c r="V8" s="827"/>
      <c r="W8" s="827"/>
      <c r="X8" s="827"/>
      <c r="Y8" s="827"/>
      <c r="Z8" s="829"/>
      <c r="AA8" s="829"/>
      <c r="AB8" s="829"/>
      <c r="AC8" s="829"/>
      <c r="AD8" s="829"/>
      <c r="AE8" s="829"/>
      <c r="AF8" s="829"/>
    </row>
    <row r="9" spans="2:35" ht="19.5" customHeight="1" x14ac:dyDescent="0.2">
      <c r="B9" s="827"/>
      <c r="C9" s="1740"/>
      <c r="D9" s="1740"/>
      <c r="E9" s="1740"/>
      <c r="F9" s="1740"/>
      <c r="G9" s="1740"/>
      <c r="H9" s="1740"/>
      <c r="I9" s="1740"/>
      <c r="J9" s="1740"/>
      <c r="K9" s="1740"/>
      <c r="L9" s="1740"/>
      <c r="M9" s="828"/>
      <c r="N9" s="828"/>
      <c r="O9" s="827"/>
      <c r="P9" s="827"/>
      <c r="Q9" s="827"/>
      <c r="R9" s="827"/>
      <c r="S9" s="827"/>
      <c r="T9" s="827"/>
      <c r="U9" s="827"/>
      <c r="V9" s="827"/>
      <c r="W9" s="827"/>
      <c r="X9" s="827"/>
      <c r="Y9" s="827"/>
      <c r="Z9" s="829"/>
      <c r="AA9" s="829"/>
      <c r="AB9" s="829"/>
      <c r="AC9" s="829"/>
      <c r="AD9" s="829"/>
      <c r="AE9" s="829"/>
      <c r="AF9" s="829"/>
    </row>
    <row r="10" spans="2:35" ht="19.5" customHeight="1" x14ac:dyDescent="0.2">
      <c r="B10" s="827"/>
      <c r="C10" s="1740"/>
      <c r="D10" s="1740"/>
      <c r="E10" s="1740"/>
      <c r="F10" s="1740"/>
      <c r="G10" s="1740"/>
      <c r="H10" s="1740"/>
      <c r="I10" s="1740"/>
      <c r="J10" s="1740"/>
      <c r="K10" s="1740"/>
      <c r="L10" s="1740"/>
      <c r="M10" s="828"/>
      <c r="N10" s="828"/>
      <c r="O10" s="827"/>
      <c r="P10" s="827"/>
      <c r="Q10" s="827"/>
      <c r="R10" s="827"/>
      <c r="S10" s="827"/>
      <c r="T10" s="827"/>
      <c r="U10" s="827"/>
      <c r="V10" s="827"/>
      <c r="W10" s="827"/>
      <c r="X10" s="827"/>
      <c r="Y10" s="827"/>
      <c r="Z10" s="829"/>
      <c r="AA10" s="829"/>
      <c r="AB10" s="829"/>
      <c r="AC10" s="829"/>
      <c r="AD10" s="829"/>
      <c r="AE10" s="829"/>
      <c r="AF10" s="829"/>
    </row>
    <row r="11" spans="2:35" ht="19.5" customHeight="1" x14ac:dyDescent="0.2">
      <c r="B11" s="827"/>
      <c r="C11" s="1740"/>
      <c r="D11" s="1740"/>
      <c r="E11" s="1740"/>
      <c r="F11" s="1740"/>
      <c r="G11" s="1740"/>
      <c r="H11" s="1740"/>
      <c r="I11" s="1740"/>
      <c r="J11" s="1740"/>
      <c r="K11" s="1740"/>
      <c r="L11" s="1740"/>
      <c r="M11" s="828"/>
      <c r="N11" s="828"/>
      <c r="O11" s="827"/>
      <c r="P11" s="827"/>
      <c r="Q11" s="827"/>
      <c r="R11" s="827"/>
      <c r="S11" s="827"/>
      <c r="T11" s="827"/>
      <c r="U11" s="827"/>
      <c r="V11" s="827"/>
      <c r="W11" s="827"/>
      <c r="X11" s="827"/>
      <c r="Y11" s="827"/>
      <c r="Z11" s="829"/>
      <c r="AA11" s="829"/>
      <c r="AB11" s="829"/>
      <c r="AC11" s="829"/>
      <c r="AD11" s="829"/>
      <c r="AE11" s="829"/>
      <c r="AF11" s="829"/>
    </row>
    <row r="12" spans="2:35" ht="19.5" customHeight="1" x14ac:dyDescent="0.2">
      <c r="B12" s="827"/>
      <c r="C12" s="1740"/>
      <c r="D12" s="1740"/>
      <c r="E12" s="1740"/>
      <c r="F12" s="1740"/>
      <c r="G12" s="1740"/>
      <c r="H12" s="1740"/>
      <c r="I12" s="1740"/>
      <c r="J12" s="1740"/>
      <c r="K12" s="1740"/>
      <c r="L12" s="1740"/>
      <c r="M12" s="828"/>
      <c r="N12" s="828"/>
      <c r="O12" s="827"/>
      <c r="P12" s="827"/>
      <c r="Q12" s="827"/>
      <c r="R12" s="827"/>
      <c r="S12" s="827"/>
      <c r="T12" s="827"/>
      <c r="U12" s="827"/>
      <c r="V12" s="827"/>
      <c r="W12" s="827"/>
      <c r="X12" s="827"/>
      <c r="Y12" s="827"/>
      <c r="Z12" s="829"/>
      <c r="AA12" s="829"/>
      <c r="AB12" s="829"/>
      <c r="AC12" s="829"/>
      <c r="AD12" s="829"/>
      <c r="AE12" s="829"/>
      <c r="AF12" s="829"/>
    </row>
    <row r="13" spans="2:35" ht="19.5" customHeight="1" thickBot="1" x14ac:dyDescent="0.25">
      <c r="B13" s="827"/>
      <c r="C13" s="1740"/>
      <c r="D13" s="1740"/>
      <c r="E13" s="1740"/>
      <c r="F13" s="1740"/>
      <c r="G13" s="1740"/>
      <c r="H13" s="1740"/>
      <c r="I13" s="1740"/>
      <c r="J13" s="1740"/>
      <c r="K13" s="1740"/>
      <c r="L13" s="1740"/>
      <c r="M13" s="828"/>
      <c r="N13" s="828"/>
      <c r="O13" s="827"/>
      <c r="P13" s="827"/>
      <c r="Q13" s="827"/>
      <c r="R13" s="827"/>
      <c r="S13" s="827"/>
      <c r="T13" s="827"/>
      <c r="U13" s="827"/>
      <c r="V13" s="827"/>
      <c r="W13" s="827"/>
      <c r="X13" s="827"/>
      <c r="Y13" s="827"/>
      <c r="Z13" s="829"/>
      <c r="AA13" s="829"/>
      <c r="AB13" s="829"/>
      <c r="AC13" s="829"/>
      <c r="AD13" s="829"/>
      <c r="AE13" s="829"/>
      <c r="AF13" s="829"/>
    </row>
    <row r="14" spans="2:35" ht="26.25" thickBot="1" x14ac:dyDescent="0.25">
      <c r="B14" s="827"/>
      <c r="C14" s="2333" t="s">
        <v>6</v>
      </c>
      <c r="D14" s="2334"/>
      <c r="E14" s="2335"/>
      <c r="F14" s="832" t="s">
        <v>227</v>
      </c>
      <c r="G14" s="832" t="s">
        <v>230</v>
      </c>
      <c r="H14" s="832" t="s">
        <v>228</v>
      </c>
      <c r="I14" s="832" t="s">
        <v>229</v>
      </c>
      <c r="J14" s="833" t="s">
        <v>126</v>
      </c>
      <c r="K14" s="833" t="s">
        <v>133</v>
      </c>
      <c r="L14" s="832" t="s">
        <v>127</v>
      </c>
      <c r="M14" s="834" t="s">
        <v>128</v>
      </c>
      <c r="N14" s="828"/>
      <c r="O14" s="827"/>
      <c r="P14" s="827"/>
      <c r="Q14" s="827"/>
      <c r="R14" s="827"/>
      <c r="S14" s="827"/>
      <c r="T14" s="827"/>
      <c r="U14" s="827"/>
      <c r="V14" s="827"/>
      <c r="W14" s="827"/>
      <c r="X14" s="827"/>
      <c r="Y14" s="827"/>
      <c r="Z14" s="829"/>
      <c r="AA14" s="829"/>
      <c r="AB14" s="829"/>
      <c r="AC14" s="829"/>
      <c r="AD14" s="829"/>
      <c r="AE14" s="829"/>
      <c r="AF14" s="829"/>
    </row>
    <row r="15" spans="2:35" ht="13.5" thickBot="1" x14ac:dyDescent="0.25">
      <c r="B15" s="827"/>
      <c r="C15" s="2329" t="s">
        <v>131</v>
      </c>
      <c r="D15" s="2330"/>
      <c r="E15" s="2331"/>
      <c r="F15" s="835"/>
      <c r="G15" s="836" t="s">
        <v>165</v>
      </c>
      <c r="H15" s="835"/>
      <c r="I15" s="837">
        <f>IF(D105=0,E105,D105)</f>
        <v>4659430.72</v>
      </c>
      <c r="J15" s="835">
        <f>I15*0.16</f>
        <v>745508.91519999993</v>
      </c>
      <c r="K15" s="835">
        <f>I15+J15</f>
        <v>5404939.6351999994</v>
      </c>
      <c r="L15" s="838" t="s">
        <v>384</v>
      </c>
      <c r="M15" s="839">
        <v>18.985900000000001</v>
      </c>
      <c r="O15" s="827"/>
      <c r="P15" s="827"/>
      <c r="Q15" s="827"/>
      <c r="R15" s="827"/>
      <c r="S15" s="827"/>
      <c r="T15" s="827"/>
      <c r="U15" s="827"/>
      <c r="V15" s="827"/>
      <c r="W15" s="827"/>
      <c r="X15" s="827"/>
      <c r="Y15" s="827"/>
      <c r="Z15" s="829"/>
      <c r="AA15" s="829"/>
      <c r="AB15" s="829"/>
      <c r="AC15" s="829"/>
      <c r="AD15" s="829"/>
      <c r="AE15" s="829"/>
      <c r="AF15" s="829"/>
    </row>
    <row r="16" spans="2:35" ht="13.5" thickBot="1" x14ac:dyDescent="0.25">
      <c r="B16" s="827"/>
      <c r="C16" s="2329" t="s">
        <v>275</v>
      </c>
      <c r="D16" s="2330"/>
      <c r="E16" s="2331"/>
      <c r="F16" s="840"/>
      <c r="G16" s="840"/>
      <c r="H16" s="840"/>
      <c r="I16" s="837">
        <f>IF(D106=0,E106,D106)</f>
        <v>447053.48799999978</v>
      </c>
      <c r="J16" s="841">
        <f>I16*0.16</f>
        <v>71528.558079999973</v>
      </c>
      <c r="K16" s="841">
        <f>I16+J16</f>
        <v>518582.04607999977</v>
      </c>
      <c r="L16" s="838" t="s">
        <v>385</v>
      </c>
      <c r="M16" s="839">
        <v>18.985900000000001</v>
      </c>
      <c r="O16" s="827"/>
      <c r="P16" s="827"/>
      <c r="Q16" s="827"/>
      <c r="R16" s="827"/>
      <c r="S16" s="827"/>
      <c r="T16" s="827"/>
      <c r="U16" s="827"/>
      <c r="V16" s="827"/>
      <c r="W16" s="827"/>
      <c r="X16" s="827"/>
      <c r="Y16" s="827"/>
      <c r="Z16" s="827"/>
      <c r="AA16" s="827"/>
      <c r="AB16" s="827"/>
      <c r="AG16" s="843"/>
      <c r="AH16" s="843"/>
      <c r="AI16" s="843"/>
    </row>
    <row r="17" spans="2:33" ht="13.5" thickBot="1" x14ac:dyDescent="0.25">
      <c r="B17" s="827"/>
      <c r="C17" s="2326" t="s">
        <v>132</v>
      </c>
      <c r="D17" s="2327"/>
      <c r="E17" s="2328"/>
      <c r="F17" s="844"/>
      <c r="G17" s="845" t="s">
        <v>165</v>
      </c>
      <c r="H17" s="844"/>
      <c r="I17" s="846">
        <f>IF(D107=0,E107,D107)</f>
        <v>5673.4299999999994</v>
      </c>
      <c r="J17" s="844">
        <f>I17*0.16</f>
        <v>907.74879999999996</v>
      </c>
      <c r="K17" s="844">
        <f>I17+J17</f>
        <v>6581.1787999999997</v>
      </c>
      <c r="L17" s="847" t="s">
        <v>383</v>
      </c>
      <c r="M17" s="848">
        <v>18.985900000000001</v>
      </c>
      <c r="O17" s="827"/>
      <c r="P17" s="827"/>
      <c r="Q17" s="827"/>
      <c r="R17" s="827"/>
      <c r="S17" s="827"/>
      <c r="T17" s="827"/>
      <c r="U17" s="827"/>
      <c r="V17" s="827"/>
      <c r="W17" s="827"/>
      <c r="X17" s="827"/>
      <c r="Y17" s="827"/>
      <c r="Z17" s="829"/>
      <c r="AA17" s="829"/>
      <c r="AB17" s="829"/>
      <c r="AC17" s="829"/>
      <c r="AD17" s="829"/>
      <c r="AE17" s="829"/>
      <c r="AF17" s="829"/>
    </row>
    <row r="18" spans="2:33" ht="13.5" thickBot="1" x14ac:dyDescent="0.25">
      <c r="B18" s="827"/>
      <c r="C18" s="1740"/>
      <c r="D18" s="1740"/>
      <c r="E18" s="1740"/>
      <c r="F18" s="1740"/>
      <c r="G18" s="1740"/>
      <c r="H18" s="827"/>
      <c r="I18" s="827"/>
      <c r="J18" s="827"/>
      <c r="K18" s="827"/>
      <c r="L18" s="827"/>
      <c r="M18" s="2156"/>
      <c r="O18" s="827"/>
      <c r="P18" s="827"/>
      <c r="Q18" s="827"/>
      <c r="R18" s="827"/>
      <c r="S18" s="827"/>
      <c r="T18" s="827"/>
      <c r="U18" s="827"/>
      <c r="V18" s="827"/>
      <c r="W18" s="827"/>
      <c r="X18" s="827"/>
      <c r="Y18" s="827"/>
    </row>
    <row r="19" spans="2:33" x14ac:dyDescent="0.2">
      <c r="B19" s="827"/>
      <c r="C19" s="1740"/>
      <c r="D19" s="1740"/>
      <c r="E19" s="1740"/>
      <c r="F19" s="1740"/>
      <c r="G19" s="1740"/>
      <c r="H19" s="827"/>
      <c r="I19" s="827"/>
      <c r="J19" s="827"/>
      <c r="K19" s="827"/>
      <c r="L19" s="827"/>
      <c r="O19" s="827"/>
      <c r="P19" s="827"/>
      <c r="Q19" s="827"/>
      <c r="R19" s="827"/>
      <c r="S19" s="827"/>
      <c r="T19" s="827"/>
      <c r="U19" s="827"/>
      <c r="V19" s="827"/>
      <c r="W19" s="827"/>
      <c r="X19" s="827"/>
      <c r="Y19" s="827"/>
    </row>
    <row r="20" spans="2:33" ht="13.5" thickBot="1" x14ac:dyDescent="0.25">
      <c r="B20" s="827"/>
      <c r="C20" s="849"/>
      <c r="D20" s="1740"/>
      <c r="E20" s="1740"/>
      <c r="F20" s="1740"/>
      <c r="G20" s="1740"/>
      <c r="H20" s="1740"/>
      <c r="I20" s="1740"/>
      <c r="J20" s="1740"/>
      <c r="K20" s="1740"/>
      <c r="L20" s="1740"/>
      <c r="M20" s="1740"/>
      <c r="N20" s="1740"/>
      <c r="O20" s="1740"/>
      <c r="P20" s="1740"/>
      <c r="Q20" s="1740"/>
      <c r="R20" s="827"/>
      <c r="S20" s="827"/>
      <c r="T20" s="827"/>
      <c r="U20" s="827"/>
      <c r="V20" s="827"/>
      <c r="W20" s="827"/>
      <c r="X20" s="827"/>
      <c r="Y20" s="827"/>
      <c r="Z20" s="827"/>
      <c r="AG20" s="843"/>
    </row>
    <row r="21" spans="2:33" ht="51.75" thickBot="1" x14ac:dyDescent="0.25">
      <c r="B21" s="827"/>
      <c r="C21" s="850" t="s">
        <v>134</v>
      </c>
      <c r="D21" s="832" t="s">
        <v>135</v>
      </c>
      <c r="E21" s="832" t="s">
        <v>285</v>
      </c>
      <c r="F21" s="832" t="s">
        <v>278</v>
      </c>
      <c r="G21" s="832" t="s">
        <v>153</v>
      </c>
      <c r="H21" s="832" t="s">
        <v>279</v>
      </c>
      <c r="I21" s="832" t="s">
        <v>281</v>
      </c>
      <c r="J21" s="832" t="s">
        <v>280</v>
      </c>
      <c r="K21" s="832" t="s">
        <v>245</v>
      </c>
      <c r="L21" s="832" t="s">
        <v>246</v>
      </c>
      <c r="M21" s="832"/>
      <c r="N21" s="834" t="s">
        <v>158</v>
      </c>
      <c r="O21" s="1740"/>
      <c r="P21" s="1740"/>
      <c r="Q21" s="1740"/>
      <c r="R21" s="1740"/>
      <c r="S21" s="1740"/>
      <c r="T21" s="1740"/>
      <c r="U21" s="1740"/>
      <c r="V21" s="827"/>
      <c r="W21" s="827"/>
      <c r="X21" s="827"/>
      <c r="Y21" s="827"/>
      <c r="Z21" s="827"/>
      <c r="AG21" s="843"/>
    </row>
    <row r="22" spans="2:33" ht="13.5" thickBot="1" x14ac:dyDescent="0.25">
      <c r="B22" s="827"/>
      <c r="C22" s="851">
        <v>850</v>
      </c>
      <c r="D22" s="1010">
        <v>850</v>
      </c>
      <c r="E22" s="852">
        <v>31482640</v>
      </c>
      <c r="F22" s="852">
        <v>31482640</v>
      </c>
      <c r="G22" s="852">
        <v>31</v>
      </c>
      <c r="H22" s="853">
        <v>0.14799999999999999</v>
      </c>
      <c r="I22" s="2157">
        <v>1.4200000000000001E-2</v>
      </c>
      <c r="J22" s="2158">
        <f>VLOOKUP(C69,Tarifas!D4:H303,5)</f>
        <v>1E-3</v>
      </c>
      <c r="K22" s="2157">
        <v>201.5</v>
      </c>
      <c r="L22" s="2157">
        <v>201.4</v>
      </c>
      <c r="M22" s="853"/>
      <c r="N22" s="854">
        <f>F102</f>
        <v>5670613.2646000013</v>
      </c>
      <c r="O22" s="855"/>
      <c r="P22" s="855"/>
      <c r="Q22" s="1740"/>
      <c r="R22" s="1740"/>
      <c r="S22" s="1740"/>
      <c r="T22" s="1740"/>
      <c r="U22" s="1740"/>
      <c r="V22" s="827"/>
      <c r="W22" s="827"/>
      <c r="X22" s="827"/>
      <c r="Y22" s="827"/>
      <c r="Z22" s="827"/>
      <c r="AG22" s="843"/>
    </row>
    <row r="23" spans="2:33" x14ac:dyDescent="0.2">
      <c r="B23" s="827"/>
      <c r="C23" s="1740"/>
      <c r="D23" s="1740"/>
      <c r="E23" s="1740"/>
      <c r="F23" s="1740"/>
      <c r="G23" s="1740"/>
      <c r="H23" s="1740"/>
      <c r="I23" s="1740"/>
      <c r="J23" s="1740"/>
      <c r="K23" s="856"/>
      <c r="L23" s="1740"/>
      <c r="M23" s="1740"/>
      <c r="N23" s="1740"/>
      <c r="O23" s="1740"/>
      <c r="P23" s="1740"/>
      <c r="Q23" s="1740"/>
      <c r="R23" s="1740"/>
      <c r="S23" s="1740"/>
      <c r="T23" s="827"/>
      <c r="U23" s="827"/>
      <c r="V23" s="827"/>
      <c r="W23" s="827"/>
      <c r="X23" s="827"/>
      <c r="Y23" s="827"/>
      <c r="Z23" s="827"/>
      <c r="AG23" s="843"/>
    </row>
    <row r="24" spans="2:33" x14ac:dyDescent="0.2">
      <c r="B24" s="827"/>
      <c r="C24" s="1740"/>
      <c r="D24" s="1740"/>
      <c r="E24" s="1740"/>
      <c r="F24" s="1740"/>
      <c r="G24" s="1740"/>
      <c r="H24" s="1740"/>
      <c r="I24" s="1740"/>
      <c r="J24" s="1740"/>
      <c r="K24" s="1740"/>
      <c r="L24" s="1740"/>
      <c r="M24" s="1740"/>
      <c r="N24" s="1740"/>
      <c r="O24" s="1740"/>
      <c r="P24" s="1740"/>
      <c r="Q24" s="827"/>
      <c r="R24" s="827"/>
      <c r="S24" s="827"/>
      <c r="T24" s="827"/>
      <c r="U24" s="827"/>
      <c r="V24" s="827"/>
      <c r="W24" s="827"/>
      <c r="X24" s="827"/>
      <c r="Y24" s="827"/>
      <c r="Z24" s="827"/>
      <c r="AG24" s="843"/>
    </row>
    <row r="25" spans="2:33" x14ac:dyDescent="0.2">
      <c r="B25" s="827"/>
      <c r="C25" s="1740"/>
      <c r="D25" s="1740"/>
      <c r="E25" s="1740"/>
      <c r="F25" s="1740"/>
      <c r="G25" s="1740"/>
      <c r="H25" s="1740"/>
      <c r="I25" s="1740"/>
      <c r="J25" s="1740"/>
      <c r="K25" s="1740"/>
      <c r="L25" s="1740"/>
      <c r="M25" s="1740"/>
      <c r="N25" s="1740"/>
      <c r="O25" s="827"/>
      <c r="P25" s="827"/>
      <c r="Q25" s="857" t="s">
        <v>235</v>
      </c>
      <c r="R25" s="827"/>
      <c r="S25" s="827"/>
      <c r="T25" s="827"/>
      <c r="U25" s="827"/>
      <c r="V25" s="827"/>
      <c r="W25" s="827"/>
      <c r="X25" s="843"/>
      <c r="Y25" s="843"/>
      <c r="AE25" s="829"/>
      <c r="AF25" s="829"/>
    </row>
    <row r="26" spans="2:33" ht="13.5" thickBot="1" x14ac:dyDescent="0.25">
      <c r="B26" s="827"/>
      <c r="C26" s="858" t="s">
        <v>86</v>
      </c>
      <c r="D26" s="858"/>
      <c r="E26" s="858"/>
      <c r="F26" s="858"/>
      <c r="G26" s="858"/>
      <c r="H26" s="859"/>
      <c r="I26" s="858"/>
      <c r="J26" s="858"/>
      <c r="K26" s="858"/>
      <c r="L26" s="859"/>
      <c r="M26" s="860"/>
      <c r="N26" s="861"/>
      <c r="Q26" s="827"/>
      <c r="R26" s="827"/>
      <c r="S26" s="827"/>
      <c r="T26" s="827"/>
      <c r="U26" s="827"/>
      <c r="V26" s="827"/>
      <c r="W26" s="827"/>
      <c r="X26" s="843"/>
      <c r="Y26" s="843"/>
      <c r="Z26" s="862"/>
      <c r="AE26" s="829"/>
      <c r="AF26" s="829"/>
    </row>
    <row r="27" spans="2:33" ht="35.1" customHeight="1" thickBot="1" x14ac:dyDescent="0.25">
      <c r="B27" s="827"/>
      <c r="C27" s="850" t="s">
        <v>87</v>
      </c>
      <c r="D27" s="832" t="s">
        <v>88</v>
      </c>
      <c r="E27" s="832" t="s">
        <v>237</v>
      </c>
      <c r="F27" s="833" t="s">
        <v>160</v>
      </c>
      <c r="G27" s="832" t="s">
        <v>236</v>
      </c>
      <c r="H27" s="833" t="s">
        <v>232</v>
      </c>
      <c r="I27" s="833" t="s">
        <v>233</v>
      </c>
      <c r="J27" s="833" t="s">
        <v>20</v>
      </c>
      <c r="K27" s="832" t="s">
        <v>91</v>
      </c>
      <c r="L27" s="832" t="s">
        <v>93</v>
      </c>
      <c r="M27" s="832" t="s">
        <v>94</v>
      </c>
      <c r="N27" s="863" t="s">
        <v>95</v>
      </c>
      <c r="P27" s="850" t="s">
        <v>237</v>
      </c>
      <c r="Q27" s="833" t="s">
        <v>160</v>
      </c>
      <c r="R27" s="832" t="s">
        <v>236</v>
      </c>
      <c r="S27" s="833" t="s">
        <v>232</v>
      </c>
      <c r="T27" s="833" t="s">
        <v>233</v>
      </c>
      <c r="U27" s="833" t="s">
        <v>20</v>
      </c>
      <c r="V27" s="832" t="s">
        <v>91</v>
      </c>
      <c r="W27" s="832" t="s">
        <v>93</v>
      </c>
      <c r="X27" s="832" t="s">
        <v>94</v>
      </c>
      <c r="Y27" s="834" t="s">
        <v>95</v>
      </c>
      <c r="Z27" s="861"/>
      <c r="AE27" s="829"/>
      <c r="AF27" s="829"/>
    </row>
    <row r="28" spans="2:33" ht="35.1" customHeight="1" thickBot="1" x14ac:dyDescent="0.25">
      <c r="B28" s="827"/>
      <c r="C28" s="864"/>
      <c r="D28" s="836"/>
      <c r="E28" s="836"/>
      <c r="F28" s="836"/>
      <c r="G28" s="836"/>
      <c r="H28" s="836"/>
      <c r="I28" s="836"/>
      <c r="J28" s="972" t="s">
        <v>97</v>
      </c>
      <c r="K28" s="841">
        <v>0</v>
      </c>
      <c r="L28" s="1869">
        <f>K28/$K$33</f>
        <v>0</v>
      </c>
      <c r="M28" s="835">
        <f t="shared" ref="M28:M31" si="0">ROUND(L28*I$16,2)</f>
        <v>0</v>
      </c>
      <c r="N28" s="867">
        <f t="shared" ref="N28:N32" si="1">M28*$M$16</f>
        <v>0</v>
      </c>
      <c r="P28" s="864" t="s">
        <v>242</v>
      </c>
      <c r="Q28" s="836" t="s">
        <v>221</v>
      </c>
      <c r="R28" s="836" t="s">
        <v>222</v>
      </c>
      <c r="S28" s="836">
        <v>2280</v>
      </c>
      <c r="T28" s="836">
        <v>453658</v>
      </c>
      <c r="U28" s="865" t="s">
        <v>97</v>
      </c>
      <c r="V28" s="841">
        <v>80000</v>
      </c>
      <c r="W28" s="1869">
        <f>IFERROR(V28/$V$34,0)</f>
        <v>9.4117647058823528E-2</v>
      </c>
      <c r="X28" s="837">
        <f t="shared" ref="X28:X33" si="2">ROUND(W28*I$15,2)</f>
        <v>438534.66</v>
      </c>
      <c r="Y28" s="868">
        <f t="shared" ref="Y28:Y33" si="3">X28*M$15</f>
        <v>8325975.2012940003</v>
      </c>
      <c r="Z28" s="860"/>
      <c r="AA28" s="1059"/>
      <c r="AE28" s="829"/>
      <c r="AF28" s="829"/>
    </row>
    <row r="29" spans="2:33" ht="35.1" customHeight="1" thickBot="1" x14ac:dyDescent="0.25">
      <c r="B29" s="827"/>
      <c r="C29" s="864"/>
      <c r="D29" s="836"/>
      <c r="E29" s="836"/>
      <c r="F29" s="836"/>
      <c r="G29" s="836"/>
      <c r="H29" s="836"/>
      <c r="I29" s="836"/>
      <c r="J29" s="972" t="s">
        <v>100</v>
      </c>
      <c r="K29" s="841">
        <v>0</v>
      </c>
      <c r="L29" s="1869">
        <f t="shared" ref="L29:L31" si="4">K29/$K$33</f>
        <v>0</v>
      </c>
      <c r="M29" s="835">
        <f t="shared" si="0"/>
        <v>0</v>
      </c>
      <c r="N29" s="867">
        <f t="shared" si="1"/>
        <v>0</v>
      </c>
      <c r="P29" s="864" t="s">
        <v>242</v>
      </c>
      <c r="Q29" s="836" t="s">
        <v>221</v>
      </c>
      <c r="R29" s="836" t="s">
        <v>222</v>
      </c>
      <c r="S29" s="836">
        <v>2280</v>
      </c>
      <c r="T29" s="836">
        <v>453658</v>
      </c>
      <c r="U29" s="865" t="s">
        <v>100</v>
      </c>
      <c r="V29" s="841">
        <v>40000</v>
      </c>
      <c r="W29" s="1869">
        <f>IFERROR(V29/$V$34,0)</f>
        <v>4.7058823529411764E-2</v>
      </c>
      <c r="X29" s="837">
        <f t="shared" si="2"/>
        <v>219267.33</v>
      </c>
      <c r="Y29" s="868">
        <f t="shared" si="3"/>
        <v>4162987.6006470001</v>
      </c>
      <c r="Z29" s="860"/>
      <c r="AE29" s="829"/>
      <c r="AF29" s="829"/>
    </row>
    <row r="30" spans="2:33" ht="35.1" customHeight="1" thickBot="1" x14ac:dyDescent="0.25">
      <c r="B30" s="827"/>
      <c r="C30" s="864"/>
      <c r="D30" s="836"/>
      <c r="E30" s="836"/>
      <c r="F30" s="836"/>
      <c r="G30" s="836"/>
      <c r="H30" s="836"/>
      <c r="I30" s="836"/>
      <c r="J30" s="972" t="s">
        <v>393</v>
      </c>
      <c r="K30" s="841">
        <v>0</v>
      </c>
      <c r="L30" s="1869">
        <f t="shared" si="4"/>
        <v>0</v>
      </c>
      <c r="M30" s="835">
        <f t="shared" si="0"/>
        <v>0</v>
      </c>
      <c r="N30" s="867">
        <f t="shared" si="1"/>
        <v>0</v>
      </c>
      <c r="P30" s="864" t="s">
        <v>242</v>
      </c>
      <c r="Q30" s="836" t="s">
        <v>221</v>
      </c>
      <c r="R30" s="836" t="s">
        <v>222</v>
      </c>
      <c r="S30" s="836">
        <v>2280</v>
      </c>
      <c r="T30" s="836">
        <v>453658</v>
      </c>
      <c r="U30" s="865" t="s">
        <v>393</v>
      </c>
      <c r="V30" s="841">
        <v>22000</v>
      </c>
      <c r="W30" s="1869">
        <f>IFERROR(V30/$V$34,0)</f>
        <v>2.5882352941176471E-2</v>
      </c>
      <c r="X30" s="837">
        <f t="shared" si="2"/>
        <v>120597.03</v>
      </c>
      <c r="Y30" s="868">
        <f t="shared" si="3"/>
        <v>2289643.151877</v>
      </c>
      <c r="Z30" s="860"/>
      <c r="AE30" s="829"/>
      <c r="AF30" s="829"/>
    </row>
    <row r="31" spans="2:33" ht="35.1" customHeight="1" thickBot="1" x14ac:dyDescent="0.25">
      <c r="B31" s="827"/>
      <c r="C31" s="864"/>
      <c r="D31" s="836"/>
      <c r="E31" s="836"/>
      <c r="F31" s="836"/>
      <c r="G31" s="836"/>
      <c r="H31" s="836"/>
      <c r="I31" s="836"/>
      <c r="J31" s="972" t="s">
        <v>268</v>
      </c>
      <c r="K31" s="841">
        <v>0</v>
      </c>
      <c r="L31" s="1869">
        <f t="shared" si="4"/>
        <v>0</v>
      </c>
      <c r="M31" s="835">
        <f t="shared" si="0"/>
        <v>0</v>
      </c>
      <c r="N31" s="867">
        <f t="shared" si="1"/>
        <v>0</v>
      </c>
      <c r="P31" s="864" t="s">
        <v>242</v>
      </c>
      <c r="Q31" s="836" t="s">
        <v>221</v>
      </c>
      <c r="R31" s="836" t="s">
        <v>222</v>
      </c>
      <c r="S31" s="836">
        <v>2280</v>
      </c>
      <c r="T31" s="836">
        <v>453658</v>
      </c>
      <c r="U31" s="865" t="s">
        <v>268</v>
      </c>
      <c r="V31" s="841">
        <v>0</v>
      </c>
      <c r="W31" s="1869">
        <f>IFERROR(V31/$V$34,0)</f>
        <v>0</v>
      </c>
      <c r="X31" s="837">
        <f t="shared" si="2"/>
        <v>0</v>
      </c>
      <c r="Y31" s="868">
        <f t="shared" si="3"/>
        <v>0</v>
      </c>
      <c r="Z31" s="860"/>
      <c r="AE31" s="829"/>
      <c r="AF31" s="829"/>
    </row>
    <row r="32" spans="2:33" ht="35.1" customHeight="1" thickBot="1" x14ac:dyDescent="0.25">
      <c r="B32" s="827"/>
      <c r="C32" s="864">
        <v>800869674</v>
      </c>
      <c r="D32" s="869">
        <v>4</v>
      </c>
      <c r="E32" s="869" t="s">
        <v>242</v>
      </c>
      <c r="F32" s="836" t="s">
        <v>221</v>
      </c>
      <c r="G32" s="836" t="s">
        <v>222</v>
      </c>
      <c r="H32" s="836">
        <v>2280</v>
      </c>
      <c r="I32" s="836">
        <v>453851</v>
      </c>
      <c r="J32" s="972" t="s">
        <v>159</v>
      </c>
      <c r="K32" s="841">
        <v>84999.999635148575</v>
      </c>
      <c r="L32" s="1869">
        <f>K32/$K$34</f>
        <v>9.9999999570763026E-2</v>
      </c>
      <c r="M32" s="835">
        <f>ROUND(L32*I$15,2)</f>
        <v>465943.07</v>
      </c>
      <c r="N32" s="867">
        <f t="shared" si="1"/>
        <v>8846348.5327129997</v>
      </c>
      <c r="P32" s="870" t="s">
        <v>242</v>
      </c>
      <c r="Q32" s="836" t="s">
        <v>221</v>
      </c>
      <c r="R32" s="836" t="s">
        <v>222</v>
      </c>
      <c r="S32" s="836" t="s">
        <v>344</v>
      </c>
      <c r="T32" s="836">
        <v>468094</v>
      </c>
      <c r="U32" s="865" t="s">
        <v>23</v>
      </c>
      <c r="V32" s="841">
        <f>W32*K34</f>
        <v>84999.999635148575</v>
      </c>
      <c r="W32" s="1869">
        <f>L32</f>
        <v>9.9999999570763026E-2</v>
      </c>
      <c r="X32" s="837">
        <f t="shared" si="2"/>
        <v>465943.07</v>
      </c>
      <c r="Y32" s="868">
        <f t="shared" si="3"/>
        <v>8846348.5327129997</v>
      </c>
      <c r="Z32" s="860"/>
      <c r="AE32" s="829"/>
      <c r="AF32" s="829"/>
    </row>
    <row r="33" spans="2:32" ht="35.1" customHeight="1" thickBot="1" x14ac:dyDescent="0.25">
      <c r="B33" s="827"/>
      <c r="C33" s="851">
        <v>800869674</v>
      </c>
      <c r="D33" s="1877">
        <v>5</v>
      </c>
      <c r="E33" s="1877" t="s">
        <v>242</v>
      </c>
      <c r="F33" s="845" t="s">
        <v>221</v>
      </c>
      <c r="G33" s="845" t="s">
        <v>222</v>
      </c>
      <c r="H33" s="845">
        <v>2280</v>
      </c>
      <c r="I33" s="845">
        <v>453851</v>
      </c>
      <c r="J33" s="973" t="s">
        <v>159</v>
      </c>
      <c r="K33" s="852">
        <v>765000.00036485144</v>
      </c>
      <c r="L33" s="1870">
        <f>K33:K34/$K$34</f>
        <v>0.900000000429237</v>
      </c>
      <c r="M33" s="844">
        <f>ROUND(L33*I$15,2)</f>
        <v>4193487.65</v>
      </c>
      <c r="N33" s="873">
        <f>M33*M15</f>
        <v>79617137.174135</v>
      </c>
      <c r="P33" s="874" t="s">
        <v>242</v>
      </c>
      <c r="Q33" s="875" t="s">
        <v>221</v>
      </c>
      <c r="R33" s="875" t="s">
        <v>222</v>
      </c>
      <c r="S33" s="875">
        <v>2280</v>
      </c>
      <c r="T33" s="875">
        <v>453851</v>
      </c>
      <c r="U33" s="876" t="s">
        <v>159</v>
      </c>
      <c r="V33" s="877">
        <f>850000-V28-V29-V31-V32-V30</f>
        <v>623000.00036485144</v>
      </c>
      <c r="W33" s="1871">
        <f>IFERROR(V33/$V$34,0)</f>
        <v>0.73294117689982519</v>
      </c>
      <c r="X33" s="879">
        <f t="shared" si="2"/>
        <v>3415088.64</v>
      </c>
      <c r="Y33" s="880">
        <f t="shared" si="3"/>
        <v>64838531.410176009</v>
      </c>
      <c r="Z33" s="860"/>
      <c r="AE33" s="829"/>
      <c r="AF33" s="829"/>
    </row>
    <row r="34" spans="2:32" ht="35.1" customHeight="1" x14ac:dyDescent="0.2">
      <c r="B34" s="827"/>
      <c r="C34" s="881">
        <v>3000623</v>
      </c>
      <c r="D34" s="882" t="s">
        <v>102</v>
      </c>
      <c r="E34" s="882"/>
      <c r="F34" s="882"/>
      <c r="G34" s="882"/>
      <c r="H34" s="882"/>
      <c r="I34" s="883"/>
      <c r="J34" s="883"/>
      <c r="K34" s="884">
        <f>SUM(K28:K33)</f>
        <v>850000</v>
      </c>
      <c r="L34" s="2153">
        <f>SUM(L28:L33)</f>
        <v>1</v>
      </c>
      <c r="M34" s="886">
        <f>SUM(M28:M33)</f>
        <v>4659430.72</v>
      </c>
      <c r="N34" s="886">
        <f>SUM(N28:N33)</f>
        <v>88463485.706847996</v>
      </c>
      <c r="P34" s="882"/>
      <c r="Q34" s="882"/>
      <c r="R34" s="882"/>
      <c r="S34" s="882"/>
      <c r="T34" s="883"/>
      <c r="U34" s="883"/>
      <c r="V34" s="884">
        <f>SUM(V28:V33)</f>
        <v>850000</v>
      </c>
      <c r="W34" s="885">
        <f>SUM(W28:W33)</f>
        <v>1</v>
      </c>
      <c r="X34" s="887">
        <f>SUM(X28:X33)</f>
        <v>4659430.7300000004</v>
      </c>
      <c r="Y34" s="887">
        <f>SUM(Y28:Y33)</f>
        <v>88463485.896707013</v>
      </c>
      <c r="Z34" s="827"/>
      <c r="AE34" s="829"/>
      <c r="AF34" s="829"/>
    </row>
    <row r="35" spans="2:32" ht="20.100000000000001" customHeight="1" x14ac:dyDescent="0.2">
      <c r="B35" s="827"/>
      <c r="C35" s="860"/>
      <c r="D35" s="860"/>
      <c r="E35" s="860"/>
      <c r="F35" s="860"/>
      <c r="G35" s="888"/>
      <c r="H35" s="888"/>
      <c r="I35" s="860"/>
      <c r="J35" s="860"/>
      <c r="K35" s="860"/>
      <c r="L35" s="860"/>
      <c r="M35" s="889"/>
      <c r="N35" s="1919"/>
      <c r="P35" s="860"/>
      <c r="Q35" s="860"/>
      <c r="R35" s="888"/>
      <c r="S35" s="888"/>
      <c r="T35" s="860"/>
      <c r="U35" s="860"/>
      <c r="V35" s="860"/>
      <c r="W35" s="860"/>
      <c r="X35" s="890"/>
      <c r="Y35" s="891"/>
      <c r="Z35" s="827"/>
      <c r="AE35" s="829"/>
      <c r="AF35" s="829"/>
    </row>
    <row r="36" spans="2:32" ht="20.100000000000001" customHeight="1" x14ac:dyDescent="0.2">
      <c r="B36" s="827"/>
      <c r="C36" s="860"/>
      <c r="D36" s="860"/>
      <c r="E36" s="860"/>
      <c r="F36" s="860"/>
      <c r="G36" s="888"/>
      <c r="H36" s="888"/>
      <c r="I36" s="860"/>
      <c r="J36" s="860"/>
      <c r="K36" s="860"/>
      <c r="L36" s="860"/>
      <c r="M36" s="889"/>
      <c r="N36" s="1919"/>
      <c r="P36" s="860"/>
      <c r="Q36" s="860"/>
      <c r="R36" s="888"/>
      <c r="S36" s="888"/>
      <c r="T36" s="860"/>
      <c r="U36" s="860"/>
      <c r="V36" s="860"/>
      <c r="W36" s="892"/>
      <c r="X36" s="889"/>
      <c r="Y36" s="893"/>
      <c r="Z36" s="827"/>
      <c r="AE36" s="829"/>
      <c r="AF36" s="829"/>
    </row>
    <row r="37" spans="2:32" x14ac:dyDescent="0.2">
      <c r="M37" s="1918"/>
    </row>
    <row r="38" spans="2:32" ht="20.100000000000001" customHeight="1" thickBot="1" x14ac:dyDescent="0.25">
      <c r="B38" s="827"/>
      <c r="C38" s="858" t="s">
        <v>274</v>
      </c>
      <c r="D38" s="858"/>
      <c r="E38" s="858"/>
      <c r="F38" s="858"/>
      <c r="G38" s="858"/>
      <c r="H38" s="859"/>
      <c r="I38" s="858"/>
      <c r="J38" s="858"/>
      <c r="K38" s="858"/>
      <c r="L38" s="859"/>
      <c r="M38" s="860"/>
      <c r="N38" s="861"/>
      <c r="P38" s="858"/>
      <c r="Q38" s="858"/>
      <c r="R38" s="858"/>
      <c r="S38" s="859"/>
      <c r="T38" s="858"/>
      <c r="U38" s="858"/>
      <c r="V38" s="858"/>
      <c r="W38" s="860"/>
      <c r="X38" s="860"/>
      <c r="Y38" s="894"/>
      <c r="Z38" s="862"/>
      <c r="AE38" s="829"/>
      <c r="AF38" s="829"/>
    </row>
    <row r="39" spans="2:32" ht="35.1" customHeight="1" thickBot="1" x14ac:dyDescent="0.25">
      <c r="B39" s="827"/>
      <c r="C39" s="850" t="s">
        <v>87</v>
      </c>
      <c r="D39" s="895" t="s">
        <v>88</v>
      </c>
      <c r="E39" s="895" t="s">
        <v>237</v>
      </c>
      <c r="F39" s="896" t="s">
        <v>160</v>
      </c>
      <c r="G39" s="895" t="s">
        <v>236</v>
      </c>
      <c r="H39" s="896" t="s">
        <v>232</v>
      </c>
      <c r="I39" s="896" t="s">
        <v>233</v>
      </c>
      <c r="J39" s="896" t="s">
        <v>20</v>
      </c>
      <c r="K39" s="832" t="s">
        <v>91</v>
      </c>
      <c r="L39" s="895" t="s">
        <v>93</v>
      </c>
      <c r="M39" s="895" t="s">
        <v>94</v>
      </c>
      <c r="N39" s="897" t="s">
        <v>95</v>
      </c>
      <c r="P39" s="1075" t="s">
        <v>237</v>
      </c>
      <c r="Q39" s="896" t="s">
        <v>160</v>
      </c>
      <c r="R39" s="895" t="s">
        <v>236</v>
      </c>
      <c r="S39" s="896" t="s">
        <v>232</v>
      </c>
      <c r="T39" s="896" t="s">
        <v>233</v>
      </c>
      <c r="U39" s="896" t="s">
        <v>20</v>
      </c>
      <c r="V39" s="832" t="s">
        <v>91</v>
      </c>
      <c r="W39" s="895" t="s">
        <v>93</v>
      </c>
      <c r="X39" s="895" t="s">
        <v>94</v>
      </c>
      <c r="Y39" s="897" t="s">
        <v>95</v>
      </c>
      <c r="Z39" s="862"/>
      <c r="AE39" s="829"/>
      <c r="AF39" s="829"/>
    </row>
    <row r="40" spans="2:32" ht="35.1" customHeight="1" thickBot="1" x14ac:dyDescent="0.25">
      <c r="B40" s="827"/>
      <c r="C40" s="864"/>
      <c r="D40" s="836"/>
      <c r="E40" s="836"/>
      <c r="F40" s="836"/>
      <c r="G40" s="836"/>
      <c r="H40" s="836"/>
      <c r="I40" s="836"/>
      <c r="J40" s="865"/>
      <c r="K40" s="841">
        <v>0</v>
      </c>
      <c r="L40" s="1869">
        <v>0</v>
      </c>
      <c r="M40" s="835">
        <f t="shared" ref="M40:M41" si="5">ROUND(L40*I$16,2)</f>
        <v>0</v>
      </c>
      <c r="N40" s="867">
        <f>M40*$M$16</f>
        <v>0</v>
      </c>
      <c r="P40" s="864" t="s">
        <v>242</v>
      </c>
      <c r="Q40" s="836" t="s">
        <v>221</v>
      </c>
      <c r="R40" s="836" t="s">
        <v>222</v>
      </c>
      <c r="S40" s="836">
        <v>2280</v>
      </c>
      <c r="T40" s="836">
        <v>453658</v>
      </c>
      <c r="U40" s="865" t="s">
        <v>97</v>
      </c>
      <c r="V40" s="841">
        <v>80000</v>
      </c>
      <c r="W40" s="1869">
        <f>IFERROR(V40/$V$43,0)</f>
        <v>0.66666666666666663</v>
      </c>
      <c r="X40" s="837">
        <f>ROUND(W40*I$16,2)</f>
        <v>298035.65999999997</v>
      </c>
      <c r="Y40" s="868">
        <f>X40*M$15</f>
        <v>5658475.2371939998</v>
      </c>
      <c r="Z40" s="862"/>
      <c r="AE40" s="829"/>
      <c r="AF40" s="829"/>
    </row>
    <row r="41" spans="2:32" ht="35.1" customHeight="1" thickBot="1" x14ac:dyDescent="0.25">
      <c r="B41" s="827"/>
      <c r="C41" s="864"/>
      <c r="D41" s="836"/>
      <c r="E41" s="836"/>
      <c r="F41" s="836"/>
      <c r="G41" s="836"/>
      <c r="H41" s="836"/>
      <c r="I41" s="836"/>
      <c r="J41" s="865"/>
      <c r="K41" s="841">
        <v>0</v>
      </c>
      <c r="L41" s="1869">
        <v>0</v>
      </c>
      <c r="M41" s="835">
        <f t="shared" si="5"/>
        <v>0</v>
      </c>
      <c r="N41" s="867">
        <f>M41*$M$16</f>
        <v>0</v>
      </c>
      <c r="P41" s="864" t="s">
        <v>242</v>
      </c>
      <c r="Q41" s="836" t="s">
        <v>221</v>
      </c>
      <c r="R41" s="836" t="s">
        <v>222</v>
      </c>
      <c r="S41" s="836">
        <v>2280</v>
      </c>
      <c r="T41" s="836">
        <v>453658</v>
      </c>
      <c r="U41" s="865" t="s">
        <v>100</v>
      </c>
      <c r="V41" s="841">
        <v>40000</v>
      </c>
      <c r="W41" s="1869">
        <f>IFERROR(V41/$V$43,0)</f>
        <v>0.33333333333333331</v>
      </c>
      <c r="X41" s="837">
        <f>ROUND(W41*I$16,2)</f>
        <v>149017.82999999999</v>
      </c>
      <c r="Y41" s="868">
        <f>X41*M$15</f>
        <v>2829237.6185969999</v>
      </c>
      <c r="Z41" s="862"/>
      <c r="AE41" s="829"/>
      <c r="AF41" s="829"/>
    </row>
    <row r="42" spans="2:32" ht="35.1" customHeight="1" thickBot="1" x14ac:dyDescent="0.25">
      <c r="B42" s="827"/>
      <c r="C42" s="851">
        <v>800869676</v>
      </c>
      <c r="D42" s="853">
        <v>3</v>
      </c>
      <c r="E42" s="853" t="s">
        <v>242</v>
      </c>
      <c r="F42" s="845" t="s">
        <v>221</v>
      </c>
      <c r="G42" s="845" t="s">
        <v>222</v>
      </c>
      <c r="H42" s="845">
        <v>2280</v>
      </c>
      <c r="I42" s="845">
        <v>453851</v>
      </c>
      <c r="J42" s="871" t="s">
        <v>159</v>
      </c>
      <c r="K42" s="852">
        <v>120000</v>
      </c>
      <c r="L42" s="1870">
        <v>1</v>
      </c>
      <c r="M42" s="846">
        <f>ROUND(L42*I$16,2)</f>
        <v>447053.49</v>
      </c>
      <c r="N42" s="898">
        <f>M42*$M$16</f>
        <v>8487712.8557910006</v>
      </c>
      <c r="P42" s="851" t="s">
        <v>401</v>
      </c>
      <c r="Q42" s="845" t="s">
        <v>221</v>
      </c>
      <c r="R42" s="845" t="s">
        <v>222</v>
      </c>
      <c r="S42" s="845">
        <v>2233</v>
      </c>
      <c r="T42" s="845">
        <v>453851</v>
      </c>
      <c r="U42" s="871" t="s">
        <v>159</v>
      </c>
      <c r="V42" s="852">
        <v>0</v>
      </c>
      <c r="W42" s="1870">
        <f>IFERROR(V42/$V$34,0)</f>
        <v>0</v>
      </c>
      <c r="X42" s="846">
        <f t="shared" ref="X42" si="6">ROUND(W42*I$15,2)</f>
        <v>0</v>
      </c>
      <c r="Y42" s="898">
        <f>X42*M$15</f>
        <v>0</v>
      </c>
      <c r="Z42" s="862"/>
      <c r="AE42" s="829"/>
      <c r="AF42" s="829"/>
    </row>
    <row r="43" spans="2:32" ht="20.100000000000001" customHeight="1" x14ac:dyDescent="0.2">
      <c r="B43" s="827"/>
      <c r="C43" s="881">
        <v>3000623</v>
      </c>
      <c r="D43" s="882" t="s">
        <v>102</v>
      </c>
      <c r="E43" s="882"/>
      <c r="F43" s="882"/>
      <c r="G43" s="882"/>
      <c r="H43" s="882"/>
      <c r="I43" s="883"/>
      <c r="J43" s="883"/>
      <c r="K43" s="884">
        <f>SUM(K40:K42)</f>
        <v>120000</v>
      </c>
      <c r="L43" s="885">
        <f>SUM(L40:L42)</f>
        <v>1</v>
      </c>
      <c r="M43" s="886">
        <f>SUM(M40:M42)</f>
        <v>447053.49</v>
      </c>
      <c r="N43" s="886">
        <f>SUM(N40:N42)</f>
        <v>8487712.8557910006</v>
      </c>
      <c r="P43" s="882"/>
      <c r="Q43" s="882"/>
      <c r="R43" s="882"/>
      <c r="S43" s="882"/>
      <c r="T43" s="883"/>
      <c r="U43" s="883"/>
      <c r="V43" s="884">
        <f>SUM(V40:V42)</f>
        <v>120000</v>
      </c>
      <c r="W43" s="885">
        <f>SUM(W40:W42)</f>
        <v>1</v>
      </c>
      <c r="X43" s="886">
        <f>SUM(X40:X42)</f>
        <v>447053.49</v>
      </c>
      <c r="Y43" s="886">
        <f>SUM(Y40:Y42)</f>
        <v>8487712.8557909988</v>
      </c>
      <c r="Z43" s="862"/>
      <c r="AE43" s="829"/>
      <c r="AF43" s="829"/>
    </row>
    <row r="44" spans="2:32" ht="20.100000000000001" customHeight="1" x14ac:dyDescent="0.2">
      <c r="B44" s="827"/>
      <c r="C44" s="899"/>
      <c r="D44" s="858"/>
      <c r="E44" s="858"/>
      <c r="F44" s="858"/>
      <c r="G44" s="858"/>
      <c r="H44" s="859"/>
      <c r="I44" s="858"/>
      <c r="J44" s="858"/>
      <c r="K44" s="858"/>
      <c r="L44" s="860"/>
      <c r="M44" s="860"/>
      <c r="N44" s="843"/>
      <c r="P44" s="858"/>
      <c r="Q44" s="858"/>
      <c r="R44" s="858"/>
      <c r="S44" s="859"/>
      <c r="T44" s="858"/>
      <c r="U44" s="858"/>
      <c r="V44" s="858"/>
      <c r="W44" s="860"/>
      <c r="X44" s="860"/>
      <c r="Y44" s="894"/>
      <c r="Z44" s="862"/>
      <c r="AE44" s="829"/>
      <c r="AF44" s="829"/>
    </row>
    <row r="45" spans="2:32" ht="20.100000000000001" customHeight="1" x14ac:dyDescent="0.2">
      <c r="B45" s="827"/>
      <c r="C45" s="899"/>
      <c r="D45" s="858"/>
      <c r="E45" s="858"/>
      <c r="F45" s="858"/>
      <c r="G45" s="858"/>
      <c r="H45" s="859"/>
      <c r="I45" s="858"/>
      <c r="J45" s="858"/>
      <c r="K45" s="858"/>
      <c r="L45" s="860"/>
      <c r="M45" s="860"/>
      <c r="N45" s="843"/>
      <c r="P45" s="858"/>
      <c r="Q45" s="858"/>
      <c r="R45" s="858"/>
      <c r="S45" s="859"/>
      <c r="T45" s="858"/>
      <c r="U45" s="858"/>
      <c r="V45" s="858"/>
      <c r="W45" s="860"/>
      <c r="X45" s="860"/>
      <c r="Y45" s="894"/>
      <c r="Z45" s="862"/>
      <c r="AE45" s="829"/>
      <c r="AF45" s="829"/>
    </row>
    <row r="46" spans="2:32" ht="20.100000000000001" customHeight="1" x14ac:dyDescent="0.2">
      <c r="B46" s="827"/>
      <c r="C46" s="899"/>
      <c r="D46" s="858"/>
      <c r="E46" s="858"/>
      <c r="F46" s="858"/>
      <c r="G46" s="858"/>
      <c r="H46" s="859"/>
      <c r="I46" s="858"/>
      <c r="J46" s="858"/>
      <c r="K46" s="858"/>
      <c r="L46" s="860"/>
      <c r="M46" s="860"/>
      <c r="N46" s="843"/>
      <c r="P46" s="858"/>
      <c r="Q46" s="858"/>
      <c r="R46" s="858"/>
      <c r="S46" s="859"/>
      <c r="T46" s="858"/>
      <c r="U46" s="858"/>
      <c r="V46" s="858"/>
      <c r="W46" s="860"/>
      <c r="X46" s="860"/>
      <c r="Y46" s="894"/>
      <c r="Z46" s="862"/>
      <c r="AE46" s="829"/>
      <c r="AF46" s="829"/>
    </row>
    <row r="47" spans="2:32" ht="35.1" customHeight="1" thickBot="1" x14ac:dyDescent="0.25">
      <c r="B47" s="827"/>
      <c r="C47" s="899" t="s">
        <v>103</v>
      </c>
      <c r="D47" s="858"/>
      <c r="E47" s="858"/>
      <c r="F47" s="858"/>
      <c r="G47" s="858"/>
      <c r="H47" s="859"/>
      <c r="I47" s="858"/>
      <c r="J47" s="858"/>
      <c r="K47" s="858"/>
      <c r="L47" s="860"/>
      <c r="M47" s="860"/>
      <c r="N47" s="843"/>
      <c r="P47" s="858"/>
      <c r="Q47" s="858"/>
      <c r="R47" s="858"/>
      <c r="S47" s="859"/>
      <c r="T47" s="858"/>
      <c r="U47" s="858"/>
      <c r="V47" s="858"/>
      <c r="W47" s="860"/>
      <c r="X47" s="860"/>
      <c r="Y47" s="894"/>
      <c r="Z47" s="862"/>
      <c r="AE47" s="829"/>
      <c r="AF47" s="829"/>
    </row>
    <row r="48" spans="2:32" ht="35.1" customHeight="1" thickBot="1" x14ac:dyDescent="0.25">
      <c r="B48" s="827"/>
      <c r="C48" s="1920" t="s">
        <v>87</v>
      </c>
      <c r="D48" s="1921" t="s">
        <v>88</v>
      </c>
      <c r="E48" s="1921" t="s">
        <v>237</v>
      </c>
      <c r="F48" s="1922" t="s">
        <v>160</v>
      </c>
      <c r="G48" s="1921" t="s">
        <v>90</v>
      </c>
      <c r="H48" s="1922" t="s">
        <v>232</v>
      </c>
      <c r="I48" s="1922" t="s">
        <v>233</v>
      </c>
      <c r="J48" s="1922" t="s">
        <v>20</v>
      </c>
      <c r="K48" s="1921" t="s">
        <v>234</v>
      </c>
      <c r="L48" s="1921" t="s">
        <v>93</v>
      </c>
      <c r="M48" s="1921" t="s">
        <v>94</v>
      </c>
      <c r="N48" s="1923" t="s">
        <v>95</v>
      </c>
      <c r="P48" s="1808" t="s">
        <v>237</v>
      </c>
      <c r="Q48" s="1809" t="s">
        <v>160</v>
      </c>
      <c r="R48" s="1810" t="s">
        <v>90</v>
      </c>
      <c r="S48" s="1809" t="s">
        <v>232</v>
      </c>
      <c r="T48" s="1809" t="s">
        <v>233</v>
      </c>
      <c r="U48" s="1809" t="s">
        <v>20</v>
      </c>
      <c r="V48" s="1810" t="s">
        <v>234</v>
      </c>
      <c r="W48" s="1810" t="s">
        <v>93</v>
      </c>
      <c r="X48" s="1810" t="s">
        <v>94</v>
      </c>
      <c r="Y48" s="1811" t="s">
        <v>95</v>
      </c>
      <c r="Z48" s="861"/>
      <c r="AE48" s="829"/>
      <c r="AF48" s="829"/>
    </row>
    <row r="49" spans="2:32" ht="35.1" customHeight="1" thickBot="1" x14ac:dyDescent="0.25">
      <c r="B49" s="827"/>
      <c r="C49" s="1924">
        <v>800869678</v>
      </c>
      <c r="D49" s="1925">
        <v>4</v>
      </c>
      <c r="E49" s="1925" t="s">
        <v>242</v>
      </c>
      <c r="F49" s="1926" t="s">
        <v>221</v>
      </c>
      <c r="G49" s="1926" t="s">
        <v>222</v>
      </c>
      <c r="H49" s="1926">
        <v>2281</v>
      </c>
      <c r="I49" s="1926">
        <v>453659</v>
      </c>
      <c r="J49" s="1927" t="s">
        <v>159</v>
      </c>
      <c r="K49" s="1928">
        <f>$O$102*$U$103</f>
        <v>2057037.2438130083</v>
      </c>
      <c r="L49" s="1929">
        <f>IFERROR(K49/K$54,0)</f>
        <v>0.36275392939499113</v>
      </c>
      <c r="M49" s="1930">
        <f>L49*$I$17</f>
        <v>2058.0590256474243</v>
      </c>
      <c r="N49" s="1931">
        <f>M49*$M$17</f>
        <v>39074.102855039433</v>
      </c>
      <c r="O49" s="2"/>
      <c r="P49" s="864" t="s">
        <v>239</v>
      </c>
      <c r="Q49" s="836" t="s">
        <v>221</v>
      </c>
      <c r="R49" s="836">
        <v>20823</v>
      </c>
      <c r="S49" s="836">
        <v>2281</v>
      </c>
      <c r="T49" s="836">
        <v>453659</v>
      </c>
      <c r="U49" s="865" t="s">
        <v>97</v>
      </c>
      <c r="V49" s="1806">
        <f>$O$102*$U$103</f>
        <v>2057037.2438130083</v>
      </c>
      <c r="W49" s="1869">
        <f>IFERROR(V49/V$54,0)</f>
        <v>0.36275392939499113</v>
      </c>
      <c r="X49" s="835">
        <f>W49*$I$17</f>
        <v>2058.0590256474243</v>
      </c>
      <c r="Y49" s="867">
        <f>X49*$M$17</f>
        <v>39074.102855039433</v>
      </c>
      <c r="AE49" s="829"/>
      <c r="AF49" s="829"/>
    </row>
    <row r="50" spans="2:32" ht="35.1" customHeight="1" thickBot="1" x14ac:dyDescent="0.25">
      <c r="B50" s="827"/>
      <c r="C50" s="1924">
        <v>800869678</v>
      </c>
      <c r="D50" s="1925">
        <v>4</v>
      </c>
      <c r="E50" s="1925" t="s">
        <v>242</v>
      </c>
      <c r="F50" s="1926" t="s">
        <v>221</v>
      </c>
      <c r="G50" s="1926" t="s">
        <v>222</v>
      </c>
      <c r="H50" s="1926">
        <v>2281</v>
      </c>
      <c r="I50" s="1926">
        <v>453659</v>
      </c>
      <c r="J50" s="1927" t="s">
        <v>159</v>
      </c>
      <c r="K50" s="1928">
        <f>$O$102*$V$103</f>
        <v>1153035.1161869911</v>
      </c>
      <c r="L50" s="1929">
        <f>IFERROR(K50/K$54,0)</f>
        <v>0.20333517070985183</v>
      </c>
      <c r="M50" s="1930">
        <f>L50*$I$17</f>
        <v>1153.6078575603945</v>
      </c>
      <c r="N50" s="1931">
        <f t="shared" ref="N50:N53" si="7">M50*$M$17</f>
        <v>21902.283422855893</v>
      </c>
      <c r="O50" s="2"/>
      <c r="P50" s="864" t="s">
        <v>239</v>
      </c>
      <c r="Q50" s="836" t="s">
        <v>221</v>
      </c>
      <c r="R50" s="836">
        <v>20824</v>
      </c>
      <c r="S50" s="836">
        <v>2281</v>
      </c>
      <c r="T50" s="836">
        <v>453659</v>
      </c>
      <c r="U50" s="865" t="s">
        <v>100</v>
      </c>
      <c r="V50" s="1806">
        <f>$O$102*$V$103</f>
        <v>1153035.1161869911</v>
      </c>
      <c r="W50" s="1869">
        <f>IFERROR(V50/V$54,0)</f>
        <v>0.20333517070985183</v>
      </c>
      <c r="X50" s="835">
        <f>W50*$I$17</f>
        <v>1153.6078575603945</v>
      </c>
      <c r="Y50" s="867">
        <f>X50*$M$17</f>
        <v>21902.283422855893</v>
      </c>
      <c r="AE50" s="829"/>
      <c r="AF50" s="829"/>
    </row>
    <row r="51" spans="2:32" ht="35.1" customHeight="1" thickBot="1" x14ac:dyDescent="0.25">
      <c r="B51" s="827"/>
      <c r="C51" s="1924">
        <v>800874989</v>
      </c>
      <c r="D51" s="1925">
        <v>4</v>
      </c>
      <c r="E51" s="1925" t="s">
        <v>242</v>
      </c>
      <c r="F51" s="1926" t="s">
        <v>221</v>
      </c>
      <c r="G51" s="1926" t="s">
        <v>222</v>
      </c>
      <c r="H51" s="1926">
        <v>2281</v>
      </c>
      <c r="I51" s="1926">
        <v>453659</v>
      </c>
      <c r="J51" s="1927" t="s">
        <v>159</v>
      </c>
      <c r="K51" s="1932">
        <f>$M$102</f>
        <v>297541.30799999996</v>
      </c>
      <c r="L51" s="1929">
        <f>IFERROR(K51/K$54,0)</f>
        <v>5.2470745952199631E-2</v>
      </c>
      <c r="M51" s="1930">
        <f>L51*$I$17</f>
        <v>297.68910420758795</v>
      </c>
      <c r="N51" s="1931">
        <f>M51*$M$18</f>
        <v>0</v>
      </c>
      <c r="O51" s="2"/>
      <c r="P51" s="864" t="s">
        <v>242</v>
      </c>
      <c r="Q51" s="836" t="s">
        <v>221</v>
      </c>
      <c r="R51" s="836" t="s">
        <v>222</v>
      </c>
      <c r="S51" s="836">
        <v>2281</v>
      </c>
      <c r="T51" s="836">
        <v>453658</v>
      </c>
      <c r="U51" s="865" t="s">
        <v>393</v>
      </c>
      <c r="V51" s="1806">
        <f>$M$102</f>
        <v>297541.30799999996</v>
      </c>
      <c r="W51" s="1869">
        <f>IFERROR(V51/V$54,0)</f>
        <v>5.2470745952199631E-2</v>
      </c>
      <c r="X51" s="835">
        <f>W51*$I$17</f>
        <v>297.68910420758795</v>
      </c>
      <c r="Y51" s="867">
        <f>X51*$M$18</f>
        <v>0</v>
      </c>
      <c r="AE51" s="829"/>
      <c r="AF51" s="829"/>
    </row>
    <row r="52" spans="2:32" ht="35.1" customHeight="1" thickBot="1" x14ac:dyDescent="0.25">
      <c r="B52" s="827"/>
      <c r="C52" s="1924"/>
      <c r="D52" s="1926"/>
      <c r="E52" s="1926"/>
      <c r="F52" s="1926"/>
      <c r="G52" s="1926"/>
      <c r="H52" s="1926"/>
      <c r="I52" s="1926"/>
      <c r="J52" s="1933"/>
      <c r="K52" s="1932">
        <f>$X$102</f>
        <v>0</v>
      </c>
      <c r="L52" s="1929">
        <f>IFERROR(K52/K$54,0)</f>
        <v>0</v>
      </c>
      <c r="M52" s="1930">
        <f>L52*$I$17</f>
        <v>0</v>
      </c>
      <c r="N52" s="1931">
        <f t="shared" si="7"/>
        <v>0</v>
      </c>
      <c r="O52" s="2"/>
      <c r="P52" s="864" t="s">
        <v>239</v>
      </c>
      <c r="Q52" s="836" t="s">
        <v>221</v>
      </c>
      <c r="R52" s="836">
        <v>22228</v>
      </c>
      <c r="S52" s="836">
        <v>2281</v>
      </c>
      <c r="T52" s="836">
        <v>453659</v>
      </c>
      <c r="U52" s="865" t="s">
        <v>288</v>
      </c>
      <c r="V52" s="1806">
        <f>$X$102</f>
        <v>0</v>
      </c>
      <c r="W52" s="1869">
        <f>IFERROR(V52/V$54,0)</f>
        <v>0</v>
      </c>
      <c r="X52" s="835">
        <f>W52*$I$17</f>
        <v>0</v>
      </c>
      <c r="Y52" s="867">
        <f t="shared" ref="Y52:Y53" si="8">X52*$M$17</f>
        <v>0</v>
      </c>
      <c r="AE52" s="829"/>
      <c r="AF52" s="829"/>
    </row>
    <row r="53" spans="2:32" ht="35.1" customHeight="1" thickBot="1" x14ac:dyDescent="0.25">
      <c r="B53" s="827"/>
      <c r="C53" s="1934">
        <v>800869678</v>
      </c>
      <c r="D53" s="1935">
        <v>4</v>
      </c>
      <c r="E53" s="1935" t="s">
        <v>242</v>
      </c>
      <c r="F53" s="1936" t="s">
        <v>221</v>
      </c>
      <c r="G53" s="1936" t="s">
        <v>222</v>
      </c>
      <c r="H53" s="1936">
        <v>2281</v>
      </c>
      <c r="I53" s="1936">
        <v>453659</v>
      </c>
      <c r="J53" s="1937" t="s">
        <v>403</v>
      </c>
      <c r="K53" s="1938">
        <f>$N$102</f>
        <v>2162999.5966000003</v>
      </c>
      <c r="L53" s="1939">
        <f>IFERROR(K53/K$54,0)</f>
        <v>0.38144015394295744</v>
      </c>
      <c r="M53" s="1940">
        <f>L53*$I$17</f>
        <v>2164.0740125845928</v>
      </c>
      <c r="N53" s="1941">
        <f t="shared" si="7"/>
        <v>41086.89279552982</v>
      </c>
      <c r="O53" s="2"/>
      <c r="P53" s="851" t="s">
        <v>239</v>
      </c>
      <c r="Q53" s="845" t="s">
        <v>221</v>
      </c>
      <c r="R53" s="845" t="s">
        <v>222</v>
      </c>
      <c r="S53" s="845">
        <v>2281</v>
      </c>
      <c r="T53" s="845">
        <v>453659</v>
      </c>
      <c r="U53" s="871" t="s">
        <v>23</v>
      </c>
      <c r="V53" s="1807">
        <f>$N$102</f>
        <v>2162999.5966000003</v>
      </c>
      <c r="W53" s="1870">
        <f>IFERROR(V53/V$54,0)</f>
        <v>0.38144015394295744</v>
      </c>
      <c r="X53" s="844">
        <f>W53*$I$17</f>
        <v>2164.0740125845928</v>
      </c>
      <c r="Y53" s="873">
        <f t="shared" si="8"/>
        <v>41086.89279552982</v>
      </c>
      <c r="AE53" s="829"/>
      <c r="AF53" s="829"/>
    </row>
    <row r="54" spans="2:32" x14ac:dyDescent="0.2">
      <c r="B54" s="827"/>
      <c r="C54" s="902"/>
      <c r="D54" s="902"/>
      <c r="E54" s="902"/>
      <c r="F54" s="902"/>
      <c r="G54" s="902"/>
      <c r="H54" s="902"/>
      <c r="I54" s="902"/>
      <c r="J54" s="902"/>
      <c r="K54" s="1812">
        <f>K49+K50+K53+K51</f>
        <v>5670613.2645999994</v>
      </c>
      <c r="L54" s="885">
        <f>SUM(L49:L53)</f>
        <v>1</v>
      </c>
      <c r="M54" s="1812">
        <f>M49+M50+M53+M51</f>
        <v>5673.4299999999985</v>
      </c>
      <c r="N54" s="1872">
        <f>SUM(N49:N53)</f>
        <v>102063.27907342515</v>
      </c>
      <c r="O54" s="843"/>
      <c r="P54" s="843"/>
      <c r="Q54" s="827"/>
      <c r="R54" s="827"/>
      <c r="S54" s="827"/>
      <c r="T54" s="827"/>
      <c r="U54" s="827"/>
      <c r="V54" s="1812">
        <f t="shared" ref="V54:X54" si="9">SUM(V49:V53)</f>
        <v>5670613.2645999994</v>
      </c>
      <c r="W54" s="885">
        <f>SUM(W49:W53)</f>
        <v>1</v>
      </c>
      <c r="X54" s="1002">
        <f t="shared" si="9"/>
        <v>5673.4299999999994</v>
      </c>
      <c r="Y54" s="1002">
        <f>SUM(Y49:Y53)</f>
        <v>102063.27907342515</v>
      </c>
      <c r="AE54" s="829"/>
      <c r="AF54" s="829"/>
    </row>
    <row r="55" spans="2:32" s="906" customFormat="1" x14ac:dyDescent="0.2">
      <c r="B55" s="904"/>
      <c r="O55" s="843"/>
      <c r="P55" s="843"/>
      <c r="Q55" s="904"/>
      <c r="R55" s="904"/>
      <c r="S55" s="904"/>
      <c r="T55" s="904"/>
      <c r="U55" s="904"/>
      <c r="V55" s="904"/>
      <c r="W55" s="904"/>
      <c r="X55" s="843"/>
      <c r="Y55" s="843"/>
      <c r="Z55" s="843"/>
      <c r="AA55" s="843"/>
      <c r="AB55" s="843"/>
      <c r="AC55" s="843"/>
      <c r="AD55" s="843"/>
    </row>
    <row r="56" spans="2:32" s="906" customFormat="1" x14ac:dyDescent="0.2">
      <c r="B56" s="904"/>
      <c r="C56" s="902"/>
      <c r="D56" s="902"/>
      <c r="E56" s="902"/>
      <c r="F56" s="902"/>
      <c r="G56" s="902"/>
      <c r="H56" s="902"/>
      <c r="I56" s="902"/>
      <c r="J56" s="902"/>
      <c r="K56" s="902"/>
      <c r="L56" s="905"/>
      <c r="M56" s="905"/>
      <c r="N56" s="843"/>
      <c r="O56" s="904"/>
      <c r="P56" s="904"/>
      <c r="Q56" s="904"/>
      <c r="R56" s="904"/>
      <c r="S56" s="904"/>
      <c r="T56" s="904"/>
      <c r="U56" s="904"/>
      <c r="V56" s="843"/>
      <c r="W56" s="843"/>
      <c r="X56" s="843"/>
      <c r="Y56" s="843"/>
      <c r="Z56" s="843"/>
      <c r="AA56" s="843"/>
      <c r="AB56" s="843"/>
    </row>
    <row r="57" spans="2:32" s="906" customFormat="1" x14ac:dyDescent="0.2">
      <c r="B57" s="904"/>
      <c r="C57" s="902"/>
      <c r="D57" s="902"/>
      <c r="E57" s="902"/>
      <c r="F57" s="902"/>
      <c r="G57" s="902"/>
      <c r="H57" s="902"/>
      <c r="I57" s="902"/>
      <c r="J57" s="902"/>
      <c r="K57" s="902"/>
      <c r="L57" s="905"/>
      <c r="M57" s="905"/>
      <c r="N57" s="843"/>
      <c r="O57" s="843"/>
      <c r="P57" s="904"/>
      <c r="Q57" s="904"/>
      <c r="R57" s="904"/>
      <c r="S57" s="904"/>
      <c r="T57" s="904"/>
      <c r="U57" s="904"/>
      <c r="V57" s="904"/>
      <c r="W57" s="843"/>
      <c r="X57" s="843"/>
      <c r="Y57" s="843"/>
      <c r="Z57" s="843"/>
      <c r="AA57" s="843"/>
      <c r="AB57" s="843"/>
      <c r="AC57" s="843"/>
    </row>
    <row r="58" spans="2:32" s="906" customFormat="1" x14ac:dyDescent="0.2">
      <c r="B58" s="904"/>
      <c r="C58" s="902"/>
      <c r="D58" s="902"/>
      <c r="E58" s="902"/>
      <c r="F58" s="902"/>
      <c r="G58" s="902"/>
      <c r="H58" s="902"/>
      <c r="I58" s="902"/>
      <c r="J58" s="902"/>
      <c r="K58" s="902"/>
      <c r="L58" s="905"/>
      <c r="M58" s="905"/>
      <c r="N58" s="843"/>
      <c r="O58" s="905"/>
      <c r="P58" s="843"/>
      <c r="Q58" s="905"/>
      <c r="R58" s="904"/>
      <c r="S58" s="904"/>
      <c r="T58" s="904"/>
      <c r="U58" s="904"/>
      <c r="V58" s="904"/>
      <c r="W58" s="904"/>
      <c r="X58" s="904"/>
      <c r="Y58" s="904"/>
      <c r="Z58" s="843"/>
      <c r="AA58" s="843"/>
      <c r="AB58" s="843"/>
      <c r="AC58" s="843"/>
      <c r="AD58" s="843"/>
      <c r="AE58" s="843"/>
      <c r="AF58" s="843"/>
    </row>
    <row r="59" spans="2:32" s="906" customFormat="1" x14ac:dyDescent="0.2">
      <c r="B59" s="904"/>
      <c r="C59" s="902"/>
      <c r="D59" s="902"/>
      <c r="E59" s="902"/>
      <c r="F59" s="902"/>
      <c r="G59" s="902"/>
      <c r="H59" s="902"/>
      <c r="I59" s="902"/>
      <c r="J59" s="902"/>
      <c r="K59" s="902"/>
      <c r="L59" s="905"/>
      <c r="M59" s="905"/>
      <c r="N59" s="843"/>
      <c r="O59" s="905"/>
      <c r="P59" s="843"/>
      <c r="Q59" s="905"/>
      <c r="R59" s="904"/>
      <c r="S59" s="904"/>
      <c r="T59" s="904"/>
      <c r="U59" s="904"/>
      <c r="V59" s="904"/>
      <c r="W59" s="904"/>
      <c r="X59" s="904"/>
      <c r="Y59" s="904"/>
      <c r="Z59" s="843"/>
      <c r="AA59" s="843"/>
      <c r="AB59" s="843"/>
      <c r="AC59" s="843"/>
      <c r="AD59" s="843"/>
      <c r="AE59" s="843"/>
      <c r="AF59" s="843"/>
    </row>
    <row r="60" spans="2:32" s="906" customFormat="1" x14ac:dyDescent="0.2">
      <c r="B60" s="904"/>
      <c r="C60" s="902"/>
      <c r="D60" s="902"/>
      <c r="E60" s="902"/>
      <c r="F60" s="902"/>
      <c r="G60" s="902"/>
      <c r="H60" s="902"/>
      <c r="I60" s="902"/>
      <c r="J60" s="902"/>
      <c r="K60" s="902"/>
      <c r="L60" s="905"/>
      <c r="M60" s="905"/>
      <c r="N60" s="843"/>
      <c r="O60" s="905"/>
      <c r="P60" s="843"/>
      <c r="Q60" s="905"/>
      <c r="R60" s="904"/>
      <c r="S60" s="904"/>
      <c r="T60" s="904"/>
      <c r="U60" s="904"/>
      <c r="V60" s="904"/>
      <c r="W60" s="904"/>
      <c r="X60" s="904"/>
      <c r="Y60" s="904"/>
      <c r="Z60" s="843"/>
      <c r="AA60" s="843"/>
      <c r="AB60" s="843"/>
      <c r="AC60" s="843"/>
      <c r="AD60" s="843"/>
      <c r="AE60" s="843"/>
      <c r="AF60" s="843"/>
    </row>
    <row r="61" spans="2:32" s="906" customFormat="1" x14ac:dyDescent="0.2">
      <c r="B61" s="904"/>
      <c r="C61" s="902"/>
      <c r="D61" s="902"/>
      <c r="E61" s="902"/>
      <c r="F61" s="902"/>
      <c r="G61" s="902"/>
      <c r="H61" s="902"/>
      <c r="I61" s="902"/>
      <c r="J61" s="902"/>
      <c r="K61" s="902"/>
      <c r="L61" s="905"/>
      <c r="M61" s="905"/>
      <c r="N61" s="843"/>
      <c r="O61" s="905"/>
      <c r="P61" s="843"/>
      <c r="Q61" s="905"/>
      <c r="R61" s="904"/>
      <c r="S61" s="904"/>
      <c r="T61" s="904"/>
      <c r="U61" s="904"/>
      <c r="V61" s="904"/>
      <c r="W61" s="904"/>
      <c r="X61" s="904"/>
      <c r="Y61" s="904"/>
      <c r="Z61" s="843"/>
      <c r="AA61" s="843"/>
      <c r="AB61" s="843"/>
      <c r="AC61" s="843"/>
      <c r="AD61" s="843"/>
      <c r="AE61" s="843"/>
      <c r="AF61" s="843"/>
    </row>
    <row r="62" spans="2:32" s="906" customFormat="1" x14ac:dyDescent="0.2">
      <c r="B62" s="904"/>
      <c r="C62" s="902"/>
      <c r="D62" s="902"/>
      <c r="E62" s="902"/>
      <c r="F62" s="902"/>
      <c r="G62" s="902"/>
      <c r="H62" s="902"/>
      <c r="I62" s="902"/>
      <c r="J62" s="902"/>
      <c r="K62" s="902"/>
      <c r="L62" s="905"/>
      <c r="M62" s="905"/>
      <c r="N62" s="843"/>
      <c r="O62" s="905"/>
      <c r="P62" s="843"/>
      <c r="Q62" s="905"/>
      <c r="R62" s="904"/>
      <c r="S62" s="904"/>
      <c r="T62" s="904"/>
      <c r="U62" s="904"/>
      <c r="V62" s="904"/>
      <c r="W62" s="904"/>
      <c r="X62" s="904"/>
      <c r="Y62" s="904"/>
      <c r="Z62" s="843"/>
      <c r="AA62" s="843"/>
      <c r="AB62" s="843"/>
      <c r="AC62" s="843"/>
      <c r="AD62" s="843"/>
      <c r="AE62" s="843"/>
      <c r="AF62" s="843"/>
    </row>
    <row r="63" spans="2:32" s="906" customFormat="1" x14ac:dyDescent="0.2">
      <c r="B63" s="904"/>
      <c r="C63" s="902"/>
      <c r="D63" s="902"/>
      <c r="E63" s="902"/>
      <c r="F63" s="902"/>
      <c r="G63" s="902"/>
      <c r="H63" s="902"/>
      <c r="I63" s="902"/>
      <c r="J63" s="902"/>
      <c r="K63" s="902"/>
      <c r="L63" s="905"/>
      <c r="M63" s="905"/>
      <c r="N63" s="843"/>
      <c r="O63" s="905"/>
      <c r="P63" s="843"/>
      <c r="Q63" s="905"/>
      <c r="R63" s="904"/>
      <c r="S63" s="904"/>
      <c r="T63" s="904"/>
      <c r="U63" s="904"/>
      <c r="V63" s="904"/>
      <c r="W63" s="904"/>
      <c r="X63" s="904"/>
      <c r="Y63" s="904"/>
      <c r="Z63" s="843"/>
      <c r="AA63" s="843"/>
      <c r="AB63" s="843"/>
      <c r="AC63" s="843"/>
      <c r="AD63" s="843"/>
      <c r="AE63" s="843"/>
      <c r="AF63" s="843"/>
    </row>
    <row r="64" spans="2:32" s="906" customFormat="1" x14ac:dyDescent="0.2">
      <c r="B64" s="904"/>
      <c r="C64" s="902"/>
      <c r="D64" s="902"/>
      <c r="E64" s="902"/>
      <c r="F64" s="902"/>
      <c r="G64" s="902"/>
      <c r="H64" s="902"/>
      <c r="I64" s="902"/>
      <c r="J64" s="902"/>
      <c r="K64" s="902"/>
      <c r="L64" s="905"/>
      <c r="M64" s="905"/>
      <c r="N64" s="843"/>
      <c r="O64" s="905"/>
      <c r="P64" s="843"/>
      <c r="Q64" s="905"/>
      <c r="R64" s="904"/>
      <c r="S64" s="904"/>
      <c r="T64" s="904"/>
      <c r="U64" s="904"/>
      <c r="V64" s="904"/>
      <c r="W64" s="904"/>
      <c r="X64" s="904"/>
      <c r="Y64" s="904"/>
      <c r="Z64" s="843"/>
      <c r="AA64" s="843"/>
      <c r="AB64" s="843"/>
      <c r="AC64" s="843"/>
      <c r="AD64" s="843"/>
      <c r="AE64" s="843"/>
      <c r="AF64" s="843"/>
    </row>
    <row r="65" spans="2:36" s="906" customFormat="1" x14ac:dyDescent="0.2">
      <c r="B65" s="904"/>
      <c r="C65" s="902"/>
      <c r="D65" s="902"/>
      <c r="E65" s="902"/>
      <c r="F65" s="902"/>
      <c r="G65" s="902"/>
      <c r="H65" s="902"/>
      <c r="I65" s="902"/>
      <c r="J65" s="902"/>
      <c r="K65" s="902"/>
      <c r="L65" s="905"/>
      <c r="M65" s="905"/>
      <c r="N65" s="843"/>
      <c r="O65" s="905"/>
      <c r="P65" s="843"/>
      <c r="Q65" s="905"/>
      <c r="R65" s="904"/>
      <c r="S65" s="904"/>
      <c r="T65" s="904"/>
      <c r="U65" s="904"/>
      <c r="V65" s="904"/>
      <c r="W65" s="904"/>
      <c r="X65" s="904"/>
      <c r="Y65" s="904"/>
      <c r="Z65" s="843"/>
      <c r="AA65" s="843"/>
      <c r="AB65" s="843"/>
      <c r="AC65" s="843"/>
      <c r="AD65" s="843"/>
      <c r="AE65" s="843"/>
      <c r="AF65" s="843"/>
    </row>
    <row r="66" spans="2:36" s="906" customFormat="1" x14ac:dyDescent="0.2">
      <c r="B66" s="904"/>
      <c r="C66" s="902"/>
      <c r="D66" s="902"/>
      <c r="E66" s="902"/>
      <c r="F66" s="902"/>
      <c r="G66" s="902"/>
      <c r="H66" s="902"/>
      <c r="I66" s="902"/>
      <c r="J66" s="902"/>
      <c r="K66" s="902"/>
      <c r="L66" s="905"/>
      <c r="M66" s="905"/>
      <c r="N66" s="843"/>
      <c r="O66" s="905"/>
      <c r="P66" s="843"/>
      <c r="Q66" s="905"/>
      <c r="R66" s="904"/>
      <c r="S66" s="904"/>
      <c r="T66" s="904"/>
      <c r="U66" s="904"/>
      <c r="V66" s="904"/>
      <c r="W66" s="904"/>
      <c r="X66" s="904"/>
      <c r="Y66" s="904"/>
      <c r="Z66" s="843"/>
      <c r="AA66" s="843"/>
      <c r="AB66" s="843"/>
      <c r="AC66" s="843"/>
      <c r="AD66" s="843"/>
      <c r="AE66" s="843"/>
      <c r="AF66" s="843"/>
    </row>
    <row r="67" spans="2:36" s="906" customFormat="1" x14ac:dyDescent="0.2">
      <c r="B67" s="904"/>
      <c r="C67" s="902"/>
      <c r="D67" s="902"/>
      <c r="E67" s="902"/>
      <c r="F67" s="902"/>
      <c r="G67" s="902"/>
      <c r="H67" s="902"/>
      <c r="I67" s="902"/>
      <c r="J67" s="902"/>
      <c r="K67" s="902"/>
      <c r="L67" s="902"/>
      <c r="M67" s="905"/>
      <c r="N67" s="905"/>
      <c r="O67" s="843"/>
      <c r="P67" s="905"/>
      <c r="Q67" s="843"/>
      <c r="R67" s="905"/>
      <c r="S67" s="904"/>
      <c r="T67" s="904"/>
      <c r="U67" s="904"/>
      <c r="V67" s="904"/>
      <c r="W67" s="904"/>
      <c r="X67" s="904"/>
      <c r="Y67" s="904"/>
      <c r="Z67" s="904"/>
      <c r="AA67" s="843"/>
      <c r="AB67" s="843"/>
      <c r="AC67" s="843"/>
      <c r="AD67" s="843"/>
      <c r="AE67" s="843"/>
      <c r="AF67" s="843"/>
      <c r="AG67" s="843"/>
    </row>
    <row r="68" spans="2:36" s="843" customFormat="1" ht="13.5" thickBot="1" x14ac:dyDescent="0.25">
      <c r="O68" s="860"/>
      <c r="P68" s="860"/>
      <c r="S68" s="860"/>
      <c r="T68" s="860"/>
      <c r="U68" s="860"/>
      <c r="V68" s="860"/>
      <c r="W68" s="860"/>
      <c r="X68" s="860"/>
      <c r="Y68" s="860"/>
      <c r="Z68" s="860"/>
      <c r="AA68" s="860"/>
      <c r="AB68" s="860"/>
      <c r="AC68" s="860"/>
      <c r="AD68" s="860"/>
      <c r="AE68" s="860"/>
      <c r="AF68" s="999" t="e">
        <f>'Junio - 2018'!AC101</f>
        <v>#REF!</v>
      </c>
    </row>
    <row r="69" spans="2:36" ht="15" customHeight="1" thickBot="1" x14ac:dyDescent="0.25">
      <c r="B69" s="907" t="s">
        <v>3</v>
      </c>
      <c r="C69" s="908">
        <f>SUMIF(Tarifas!E4:E303,'Diciembre - 2018 '!C71,Tarifas!D4:D303)</f>
        <v>77</v>
      </c>
      <c r="D69" s="909" t="s">
        <v>147</v>
      </c>
      <c r="E69" s="910"/>
      <c r="F69" s="910" t="s">
        <v>145</v>
      </c>
      <c r="G69" s="910" t="s">
        <v>287</v>
      </c>
      <c r="H69" s="910" t="s">
        <v>148</v>
      </c>
      <c r="I69" s="911"/>
      <c r="J69" s="912" t="s">
        <v>120</v>
      </c>
      <c r="K69" s="913"/>
      <c r="L69" s="913"/>
      <c r="M69" s="2365" t="s">
        <v>270</v>
      </c>
      <c r="N69" s="2366"/>
      <c r="O69" s="2366"/>
      <c r="P69" s="2367"/>
      <c r="Q69" s="2368" t="s">
        <v>271</v>
      </c>
      <c r="R69" s="2369"/>
      <c r="S69" s="2369"/>
      <c r="T69" s="2369"/>
      <c r="U69" s="2370"/>
      <c r="V69" s="2370"/>
      <c r="W69" s="2370"/>
      <c r="X69" s="2370"/>
      <c r="Y69" s="2371"/>
      <c r="Z69" s="1899" t="s">
        <v>121</v>
      </c>
      <c r="AA69" s="1900"/>
      <c r="AB69" s="1900"/>
      <c r="AC69" s="1900"/>
      <c r="AD69" s="1900"/>
      <c r="AE69" s="1900"/>
      <c r="AF69" s="1901"/>
      <c r="AG69" s="843"/>
      <c r="AH69" s="843"/>
      <c r="AI69" s="843"/>
      <c r="AJ69" s="843"/>
    </row>
    <row r="70" spans="2:36" ht="51.75" thickBot="1" x14ac:dyDescent="0.25">
      <c r="C70" s="914" t="s">
        <v>122</v>
      </c>
      <c r="D70" s="1016" t="s">
        <v>125</v>
      </c>
      <c r="E70" s="1017" t="s">
        <v>277</v>
      </c>
      <c r="F70" s="1017" t="s">
        <v>149</v>
      </c>
      <c r="G70" s="1017" t="s">
        <v>151</v>
      </c>
      <c r="H70" s="1017" t="s">
        <v>152</v>
      </c>
      <c r="I70" s="1018" t="s">
        <v>123</v>
      </c>
      <c r="J70" s="1741" t="s">
        <v>109</v>
      </c>
      <c r="K70" s="1742" t="s">
        <v>25</v>
      </c>
      <c r="L70" s="1898" t="s">
        <v>26</v>
      </c>
      <c r="M70" s="1665" t="s">
        <v>394</v>
      </c>
      <c r="N70" s="1666" t="s">
        <v>266</v>
      </c>
      <c r="O70" s="1666" t="s">
        <v>269</v>
      </c>
      <c r="P70" s="1906" t="s">
        <v>267</v>
      </c>
      <c r="Q70" s="978" t="s">
        <v>394</v>
      </c>
      <c r="R70" s="977" t="s">
        <v>272</v>
      </c>
      <c r="S70" s="1904" t="s">
        <v>22</v>
      </c>
      <c r="T70" s="1905" t="s">
        <v>272</v>
      </c>
      <c r="U70" s="978" t="s">
        <v>25</v>
      </c>
      <c r="V70" s="978" t="s">
        <v>26</v>
      </c>
      <c r="W70" s="979" t="s">
        <v>272</v>
      </c>
      <c r="X70" s="980" t="s">
        <v>273</v>
      </c>
      <c r="Y70" s="977" t="s">
        <v>272</v>
      </c>
      <c r="Z70" s="1012" t="s">
        <v>207</v>
      </c>
      <c r="AA70" s="1013"/>
      <c r="AB70" s="1013" t="s">
        <v>112</v>
      </c>
      <c r="AC70" s="1014" t="s">
        <v>118</v>
      </c>
      <c r="AD70" s="1014" t="s">
        <v>119</v>
      </c>
      <c r="AE70" s="1014" t="s">
        <v>114</v>
      </c>
      <c r="AF70" s="1015" t="s">
        <v>113</v>
      </c>
      <c r="AG70" s="843"/>
      <c r="AH70" s="843"/>
      <c r="AI70" s="843"/>
      <c r="AJ70" s="843"/>
    </row>
    <row r="71" spans="2:36" x14ac:dyDescent="0.2">
      <c r="C71" s="918">
        <v>43800</v>
      </c>
      <c r="D71" s="1452">
        <f>($E$22*$H$22)/$G$22</f>
        <v>150304.21677419354</v>
      </c>
      <c r="E71" s="1453">
        <f>($F$22*$I$22)/$G$22</f>
        <v>14421.080258064516</v>
      </c>
      <c r="F71" s="2129">
        <f>N71+O71+P71+M71</f>
        <v>184439.85499999998</v>
      </c>
      <c r="G71" s="1454">
        <f>TRUNC(IFERROR(K$22/L$22,0),8)</f>
        <v>1.00049652</v>
      </c>
      <c r="H71" s="1455">
        <f t="shared" ref="H71:H101" si="10">ROUND(J$22*G71*F71,4)</f>
        <v>184.53139999999999</v>
      </c>
      <c r="I71" s="1456">
        <f t="shared" ref="I71:I101" si="11">SUM(D71:H71)</f>
        <v>349350.68392877805</v>
      </c>
      <c r="J71" s="925"/>
      <c r="K71" s="926"/>
      <c r="L71" s="926"/>
      <c r="M71" s="1907">
        <v>0</v>
      </c>
      <c r="N71" s="1908">
        <v>70678.875</v>
      </c>
      <c r="O71" s="1668">
        <v>113760.98</v>
      </c>
      <c r="P71" s="1669">
        <v>0</v>
      </c>
      <c r="Q71" s="1907">
        <v>0</v>
      </c>
      <c r="R71" s="1889">
        <f>M71-Q71</f>
        <v>0</v>
      </c>
      <c r="S71" s="1668">
        <v>71570.86</v>
      </c>
      <c r="T71" s="1889">
        <f>N71-S71</f>
        <v>-891.98500000000058</v>
      </c>
      <c r="U71" s="984">
        <v>75861.122000000003</v>
      </c>
      <c r="V71" s="984">
        <v>37899.853999999999</v>
      </c>
      <c r="W71" s="982">
        <f>O71-(U71+V71)</f>
        <v>4.0000000008149073E-3</v>
      </c>
      <c r="X71" s="983">
        <v>0</v>
      </c>
      <c r="Y71" s="985">
        <f>P71-X71</f>
        <v>0</v>
      </c>
      <c r="Z71" s="929"/>
      <c r="AA71" s="930"/>
      <c r="AB71" s="931">
        <f>Z71+AA71-AC71</f>
        <v>0</v>
      </c>
      <c r="AC71" s="931">
        <f t="shared" ref="AC71:AC101" si="12">J71+K71+L71</f>
        <v>0</v>
      </c>
      <c r="AD71" s="931">
        <f>(W71+X71+Y71)*1.055056</f>
        <v>4.220224000859773E-3</v>
      </c>
      <c r="AE71" s="931">
        <f>AC71-AD71</f>
        <v>-4.220224000859773E-3</v>
      </c>
      <c r="AF71" s="932" t="e">
        <f>AF68+AE71</f>
        <v>#REF!</v>
      </c>
      <c r="AG71" s="843"/>
      <c r="AH71" s="843"/>
      <c r="AI71" s="843"/>
      <c r="AJ71" s="843"/>
    </row>
    <row r="72" spans="2:36" x14ac:dyDescent="0.2">
      <c r="C72" s="933">
        <f t="shared" ref="C72:C101" si="13">C71+1</f>
        <v>43801</v>
      </c>
      <c r="D72" s="919">
        <f t="shared" ref="D72:D101" si="14">($E$22*$H$22)/$G$22</f>
        <v>150304.21677419354</v>
      </c>
      <c r="E72" s="920">
        <f t="shared" ref="E72:E101" si="15">($F$22*$I$22)/$G$22</f>
        <v>14421.080258064516</v>
      </c>
      <c r="F72" s="921">
        <f t="shared" ref="F72:F101" si="16">N72+O72+P72+M72</f>
        <v>181298.37</v>
      </c>
      <c r="G72" s="935">
        <f t="shared" ref="G72:G101" si="17">TRUNC(IFERROR(K$22/L$22,0),8)</f>
        <v>1.00049652</v>
      </c>
      <c r="H72" s="923">
        <f t="shared" si="10"/>
        <v>181.38839999999999</v>
      </c>
      <c r="I72" s="924">
        <f t="shared" si="11"/>
        <v>346206.05592877808</v>
      </c>
      <c r="J72" s="925"/>
      <c r="K72" s="926"/>
      <c r="L72" s="926"/>
      <c r="M72" s="988">
        <v>0</v>
      </c>
      <c r="N72" s="1006">
        <v>72534.5</v>
      </c>
      <c r="O72" s="937">
        <v>108763.87</v>
      </c>
      <c r="P72" s="1804">
        <v>0</v>
      </c>
      <c r="Q72" s="988">
        <v>0</v>
      </c>
      <c r="R72" s="990">
        <f t="shared" ref="R72:R101" si="18">M72-Q72</f>
        <v>0</v>
      </c>
      <c r="S72" s="937">
        <v>71976.100000000006</v>
      </c>
      <c r="T72" s="990">
        <f t="shared" ref="T72:T101" si="19">N72-S72</f>
        <v>558.39999999999418</v>
      </c>
      <c r="U72" s="989">
        <v>71195.239000000001</v>
      </c>
      <c r="V72" s="989">
        <v>37568.648999999998</v>
      </c>
      <c r="W72" s="987">
        <f t="shared" ref="W72:W101" si="20">O72-(U72+V72)</f>
        <v>-1.800000001094304E-2</v>
      </c>
      <c r="X72" s="988">
        <v>0</v>
      </c>
      <c r="Y72" s="990">
        <f t="shared" ref="Y72:Y100" si="21">P72-X72</f>
        <v>0</v>
      </c>
      <c r="Z72" s="929"/>
      <c r="AA72" s="930"/>
      <c r="AB72" s="931">
        <f t="shared" ref="AB72:AB101" si="22">Z72+AA72-AC72</f>
        <v>0</v>
      </c>
      <c r="AC72" s="931">
        <f t="shared" si="12"/>
        <v>0</v>
      </c>
      <c r="AD72" s="931">
        <f t="shared" ref="AD72:AD101" si="23">(W72+X72+Y72)*1.055056</f>
        <v>-1.8991008011545522E-2</v>
      </c>
      <c r="AE72" s="931">
        <f t="shared" ref="AE72:AE101" si="24">AC72-AD72</f>
        <v>1.8991008011545522E-2</v>
      </c>
      <c r="AF72" s="932" t="e">
        <f>AF71+AE72</f>
        <v>#REF!</v>
      </c>
      <c r="AG72" s="843"/>
      <c r="AH72" s="843"/>
      <c r="AI72" s="843"/>
      <c r="AJ72" s="843"/>
    </row>
    <row r="73" spans="2:36" x14ac:dyDescent="0.2">
      <c r="C73" s="933">
        <f t="shared" si="13"/>
        <v>43802</v>
      </c>
      <c r="D73" s="919">
        <f t="shared" si="14"/>
        <v>150304.21677419354</v>
      </c>
      <c r="E73" s="920">
        <f t="shared" si="15"/>
        <v>14421.080258064516</v>
      </c>
      <c r="F73" s="921">
        <f t="shared" si="16"/>
        <v>190472.507813</v>
      </c>
      <c r="G73" s="935">
        <f t="shared" si="17"/>
        <v>1.00049652</v>
      </c>
      <c r="H73" s="923">
        <f t="shared" si="10"/>
        <v>190.56710000000001</v>
      </c>
      <c r="I73" s="924">
        <f t="shared" si="11"/>
        <v>355389.37244177808</v>
      </c>
      <c r="J73" s="925"/>
      <c r="K73" s="926"/>
      <c r="L73" s="926"/>
      <c r="M73" s="988">
        <v>0</v>
      </c>
      <c r="N73" s="1005">
        <v>76636.007813000004</v>
      </c>
      <c r="O73" s="928">
        <v>113836.5</v>
      </c>
      <c r="P73" s="1804">
        <v>0</v>
      </c>
      <c r="Q73" s="988">
        <v>0</v>
      </c>
      <c r="R73" s="990">
        <f t="shared" si="18"/>
        <v>0</v>
      </c>
      <c r="S73" s="928">
        <v>71824.91</v>
      </c>
      <c r="T73" s="990">
        <f t="shared" si="19"/>
        <v>4811.0978130000003</v>
      </c>
      <c r="U73" s="989">
        <v>76101.5</v>
      </c>
      <c r="V73" s="989">
        <v>37734.993000000002</v>
      </c>
      <c r="W73" s="987">
        <f t="shared" si="20"/>
        <v>6.9999999977881089E-3</v>
      </c>
      <c r="X73" s="988">
        <v>0</v>
      </c>
      <c r="Y73" s="990">
        <f t="shared" si="21"/>
        <v>0</v>
      </c>
      <c r="Z73" s="929"/>
      <c r="AA73" s="930"/>
      <c r="AB73" s="931">
        <f t="shared" si="22"/>
        <v>0</v>
      </c>
      <c r="AC73" s="931">
        <f t="shared" si="12"/>
        <v>0</v>
      </c>
      <c r="AD73" s="931">
        <f t="shared" si="23"/>
        <v>7.3853919976663313E-3</v>
      </c>
      <c r="AE73" s="931">
        <f t="shared" si="24"/>
        <v>-7.3853919976663313E-3</v>
      </c>
      <c r="AF73" s="932" t="e">
        <f t="shared" ref="AF73:AF101" si="25">AF72+AE73</f>
        <v>#REF!</v>
      </c>
      <c r="AG73" s="843"/>
      <c r="AH73" s="843"/>
      <c r="AI73" s="843"/>
      <c r="AJ73" s="843"/>
    </row>
    <row r="74" spans="2:36" x14ac:dyDescent="0.2">
      <c r="C74" s="933">
        <f t="shared" si="13"/>
        <v>43803</v>
      </c>
      <c r="D74" s="919">
        <f t="shared" si="14"/>
        <v>150304.21677419354</v>
      </c>
      <c r="E74" s="920">
        <f t="shared" si="15"/>
        <v>14421.080258064516</v>
      </c>
      <c r="F74" s="921">
        <f t="shared" si="16"/>
        <v>181782.85325000001</v>
      </c>
      <c r="G74" s="935">
        <f t="shared" si="17"/>
        <v>1.00049652</v>
      </c>
      <c r="H74" s="923">
        <f t="shared" si="10"/>
        <v>181.87309999999999</v>
      </c>
      <c r="I74" s="924">
        <f t="shared" si="11"/>
        <v>346691.0238787781</v>
      </c>
      <c r="J74" s="925"/>
      <c r="K74" s="926"/>
      <c r="L74" s="926"/>
      <c r="M74" s="936">
        <v>20.062000000000001</v>
      </c>
      <c r="N74" s="1006">
        <v>68345.28125</v>
      </c>
      <c r="O74" s="937">
        <v>113417.51</v>
      </c>
      <c r="P74" s="1804">
        <v>0</v>
      </c>
      <c r="Q74" s="988">
        <v>0</v>
      </c>
      <c r="R74" s="990">
        <f t="shared" si="18"/>
        <v>20.062000000000001</v>
      </c>
      <c r="S74" s="937">
        <v>71598.383000000002</v>
      </c>
      <c r="T74" s="990">
        <f t="shared" si="19"/>
        <v>-3253.1017500000016</v>
      </c>
      <c r="U74" s="989">
        <v>73955.065000000002</v>
      </c>
      <c r="V74" s="989">
        <v>39462.457000000002</v>
      </c>
      <c r="W74" s="987">
        <f t="shared" si="20"/>
        <v>-1.2000000002444722E-2</v>
      </c>
      <c r="X74" s="988">
        <v>0</v>
      </c>
      <c r="Y74" s="990">
        <f t="shared" si="21"/>
        <v>0</v>
      </c>
      <c r="Z74" s="929"/>
      <c r="AA74" s="930"/>
      <c r="AB74" s="931">
        <f t="shared" si="22"/>
        <v>0</v>
      </c>
      <c r="AC74" s="931">
        <f t="shared" si="12"/>
        <v>0</v>
      </c>
      <c r="AD74" s="931">
        <f t="shared" si="23"/>
        <v>-1.2660672002579318E-2</v>
      </c>
      <c r="AE74" s="931">
        <f t="shared" si="24"/>
        <v>1.2660672002579318E-2</v>
      </c>
      <c r="AF74" s="932" t="e">
        <f t="shared" si="25"/>
        <v>#REF!</v>
      </c>
      <c r="AG74" s="843"/>
      <c r="AH74" s="843"/>
      <c r="AI74" s="843"/>
      <c r="AJ74" s="843"/>
    </row>
    <row r="75" spans="2:36" x14ac:dyDescent="0.2">
      <c r="C75" s="933">
        <f t="shared" si="13"/>
        <v>43804</v>
      </c>
      <c r="D75" s="919">
        <f t="shared" si="14"/>
        <v>150304.21677419354</v>
      </c>
      <c r="E75" s="920">
        <f t="shared" si="15"/>
        <v>14421.080258064516</v>
      </c>
      <c r="F75" s="921">
        <f t="shared" si="16"/>
        <v>188336.17956300001</v>
      </c>
      <c r="G75" s="935">
        <f t="shared" si="17"/>
        <v>1.00049652</v>
      </c>
      <c r="H75" s="923">
        <f t="shared" si="10"/>
        <v>188.4297</v>
      </c>
      <c r="I75" s="924">
        <f t="shared" si="11"/>
        <v>353250.90679177811</v>
      </c>
      <c r="J75" s="925"/>
      <c r="K75" s="926"/>
      <c r="L75" s="926"/>
      <c r="M75" s="927">
        <v>4126.1980000000003</v>
      </c>
      <c r="N75" s="1005">
        <v>69688.601563000004</v>
      </c>
      <c r="O75" s="928">
        <v>114521.38</v>
      </c>
      <c r="P75" s="1804">
        <v>0</v>
      </c>
      <c r="Q75" s="988">
        <v>0</v>
      </c>
      <c r="R75" s="990">
        <f t="shared" si="18"/>
        <v>4126.1980000000003</v>
      </c>
      <c r="S75" s="928">
        <v>71807.054000000004</v>
      </c>
      <c r="T75" s="990">
        <f t="shared" si="19"/>
        <v>-2118.4524369999999</v>
      </c>
      <c r="U75" s="989">
        <v>76673.706000000006</v>
      </c>
      <c r="V75" s="989">
        <v>37847.667999999998</v>
      </c>
      <c r="W75" s="987">
        <f t="shared" si="20"/>
        <v>5.9999999939464033E-3</v>
      </c>
      <c r="X75" s="988">
        <v>0</v>
      </c>
      <c r="Y75" s="990">
        <f t="shared" si="21"/>
        <v>0</v>
      </c>
      <c r="Z75" s="929"/>
      <c r="AA75" s="930"/>
      <c r="AB75" s="931">
        <f t="shared" si="22"/>
        <v>0</v>
      </c>
      <c r="AC75" s="931">
        <f t="shared" si="12"/>
        <v>0</v>
      </c>
      <c r="AD75" s="931">
        <f t="shared" si="23"/>
        <v>6.3303359936131166E-3</v>
      </c>
      <c r="AE75" s="931">
        <f t="shared" si="24"/>
        <v>-6.3303359936131166E-3</v>
      </c>
      <c r="AF75" s="932" t="e">
        <f t="shared" si="25"/>
        <v>#REF!</v>
      </c>
      <c r="AG75" s="843"/>
      <c r="AH75" s="843"/>
      <c r="AI75" s="843"/>
      <c r="AJ75" s="843"/>
    </row>
    <row r="76" spans="2:36" x14ac:dyDescent="0.2">
      <c r="C76" s="933">
        <f t="shared" si="13"/>
        <v>43805</v>
      </c>
      <c r="D76" s="919">
        <f t="shared" si="14"/>
        <v>150304.21677419354</v>
      </c>
      <c r="E76" s="920">
        <f t="shared" si="15"/>
        <v>14421.080258064516</v>
      </c>
      <c r="F76" s="921">
        <f t="shared" si="16"/>
        <v>173790.60943800001</v>
      </c>
      <c r="G76" s="935">
        <f t="shared" si="17"/>
        <v>1.00049652</v>
      </c>
      <c r="H76" s="923">
        <f t="shared" si="10"/>
        <v>173.87690000000001</v>
      </c>
      <c r="I76" s="924">
        <f t="shared" si="11"/>
        <v>338690.78386677807</v>
      </c>
      <c r="J76" s="925"/>
      <c r="K76" s="926"/>
      <c r="L76" s="926"/>
      <c r="M76" s="936">
        <v>1826.961</v>
      </c>
      <c r="N76" s="1006">
        <v>57847.398437999997</v>
      </c>
      <c r="O76" s="937">
        <v>114116.25</v>
      </c>
      <c r="P76" s="1804">
        <v>0</v>
      </c>
      <c r="Q76" s="988">
        <v>0</v>
      </c>
      <c r="R76" s="990">
        <f t="shared" si="18"/>
        <v>1826.961</v>
      </c>
      <c r="S76" s="937">
        <v>71494.789000000004</v>
      </c>
      <c r="T76" s="990">
        <f t="shared" si="19"/>
        <v>-13647.390562000008</v>
      </c>
      <c r="U76" s="989">
        <v>76482.601999999999</v>
      </c>
      <c r="V76" s="989">
        <v>37633.642</v>
      </c>
      <c r="W76" s="987">
        <f t="shared" si="20"/>
        <v>5.9999999939464033E-3</v>
      </c>
      <c r="X76" s="988">
        <v>0</v>
      </c>
      <c r="Y76" s="990">
        <f t="shared" si="21"/>
        <v>0</v>
      </c>
      <c r="Z76" s="929"/>
      <c r="AA76" s="930"/>
      <c r="AB76" s="931">
        <f t="shared" si="22"/>
        <v>0</v>
      </c>
      <c r="AC76" s="931">
        <f t="shared" si="12"/>
        <v>0</v>
      </c>
      <c r="AD76" s="931">
        <f t="shared" si="23"/>
        <v>6.3303359936131166E-3</v>
      </c>
      <c r="AE76" s="931">
        <f t="shared" si="24"/>
        <v>-6.3303359936131166E-3</v>
      </c>
      <c r="AF76" s="932" t="e">
        <f t="shared" si="25"/>
        <v>#REF!</v>
      </c>
      <c r="AG76" s="843"/>
      <c r="AH76" s="843"/>
      <c r="AI76" s="843"/>
      <c r="AJ76" s="843"/>
    </row>
    <row r="77" spans="2:36" x14ac:dyDescent="0.2">
      <c r="C77" s="933">
        <f t="shared" si="13"/>
        <v>43806</v>
      </c>
      <c r="D77" s="919">
        <f t="shared" si="14"/>
        <v>150304.21677419354</v>
      </c>
      <c r="E77" s="920">
        <f t="shared" si="15"/>
        <v>14421.080258064516</v>
      </c>
      <c r="F77" s="921">
        <f t="shared" si="16"/>
        <v>187041.06875000001</v>
      </c>
      <c r="G77" s="935">
        <f t="shared" si="17"/>
        <v>1.00049652</v>
      </c>
      <c r="H77" s="923">
        <f t="shared" si="10"/>
        <v>187.13390000000001</v>
      </c>
      <c r="I77" s="924">
        <f t="shared" si="11"/>
        <v>351954.50017877814</v>
      </c>
      <c r="J77" s="925"/>
      <c r="K77" s="926"/>
      <c r="L77" s="926"/>
      <c r="M77" s="988">
        <v>0</v>
      </c>
      <c r="N77" s="1005">
        <v>73163.71875</v>
      </c>
      <c r="O77" s="928">
        <v>113877.35</v>
      </c>
      <c r="P77" s="1804">
        <v>0</v>
      </c>
      <c r="Q77" s="988">
        <v>0</v>
      </c>
      <c r="R77" s="990">
        <f t="shared" si="18"/>
        <v>0</v>
      </c>
      <c r="S77" s="928">
        <v>72488.016000000003</v>
      </c>
      <c r="T77" s="990">
        <f t="shared" si="19"/>
        <v>675.70274999999674</v>
      </c>
      <c r="U77" s="989">
        <v>76537.407999999996</v>
      </c>
      <c r="V77" s="989">
        <v>37339.932000000001</v>
      </c>
      <c r="W77" s="987">
        <f t="shared" si="20"/>
        <v>1.0000000009313226E-2</v>
      </c>
      <c r="X77" s="988">
        <v>0</v>
      </c>
      <c r="Y77" s="990">
        <f t="shared" si="21"/>
        <v>0</v>
      </c>
      <c r="Z77" s="929"/>
      <c r="AA77" s="930"/>
      <c r="AB77" s="931">
        <f t="shared" si="22"/>
        <v>0</v>
      </c>
      <c r="AC77" s="931">
        <f t="shared" si="12"/>
        <v>0</v>
      </c>
      <c r="AD77" s="931">
        <f t="shared" si="23"/>
        <v>1.0550560009825974E-2</v>
      </c>
      <c r="AE77" s="931">
        <f t="shared" si="24"/>
        <v>-1.0550560009825974E-2</v>
      </c>
      <c r="AF77" s="932" t="e">
        <f t="shared" si="25"/>
        <v>#REF!</v>
      </c>
      <c r="AG77" s="843"/>
      <c r="AH77" s="843"/>
      <c r="AI77" s="843"/>
      <c r="AJ77" s="843"/>
    </row>
    <row r="78" spans="2:36" x14ac:dyDescent="0.2">
      <c r="C78" s="933">
        <f t="shared" si="13"/>
        <v>43807</v>
      </c>
      <c r="D78" s="919">
        <f t="shared" si="14"/>
        <v>150304.21677419354</v>
      </c>
      <c r="E78" s="920">
        <f t="shared" si="15"/>
        <v>14421.080258064516</v>
      </c>
      <c r="F78" s="921">
        <f t="shared" si="16"/>
        <v>179867.87218800001</v>
      </c>
      <c r="G78" s="935">
        <f t="shared" si="17"/>
        <v>1.00049652</v>
      </c>
      <c r="H78" s="923">
        <f t="shared" si="10"/>
        <v>179.9572</v>
      </c>
      <c r="I78" s="924">
        <f t="shared" si="11"/>
        <v>344774.1269167781</v>
      </c>
      <c r="J78" s="925"/>
      <c r="K78" s="926"/>
      <c r="L78" s="926"/>
      <c r="M78" s="988">
        <v>3766.4349999999999</v>
      </c>
      <c r="N78" s="1006">
        <v>62072.617187999997</v>
      </c>
      <c r="O78" s="937">
        <v>114028.82</v>
      </c>
      <c r="P78" s="1804">
        <v>0</v>
      </c>
      <c r="Q78" s="988">
        <v>0</v>
      </c>
      <c r="R78" s="990">
        <f t="shared" si="18"/>
        <v>3766.4349999999999</v>
      </c>
      <c r="S78" s="937">
        <v>72073.258000000002</v>
      </c>
      <c r="T78" s="990">
        <f t="shared" si="19"/>
        <v>-10000.640812000005</v>
      </c>
      <c r="U78" s="989">
        <v>76661.123999999996</v>
      </c>
      <c r="V78" s="989">
        <v>37367.714</v>
      </c>
      <c r="W78" s="987">
        <f t="shared" si="20"/>
        <v>-1.799999998183921E-2</v>
      </c>
      <c r="X78" s="988">
        <v>0</v>
      </c>
      <c r="Y78" s="990">
        <f t="shared" si="21"/>
        <v>0</v>
      </c>
      <c r="Z78" s="929"/>
      <c r="AA78" s="930"/>
      <c r="AB78" s="931">
        <f t="shared" si="22"/>
        <v>0</v>
      </c>
      <c r="AC78" s="931">
        <f t="shared" si="12"/>
        <v>0</v>
      </c>
      <c r="AD78" s="931">
        <f t="shared" si="23"/>
        <v>-1.8991007980839348E-2</v>
      </c>
      <c r="AE78" s="931">
        <f t="shared" si="24"/>
        <v>1.8991007980839348E-2</v>
      </c>
      <c r="AF78" s="932" t="e">
        <f t="shared" si="25"/>
        <v>#REF!</v>
      </c>
    </row>
    <row r="79" spans="2:36" x14ac:dyDescent="0.2">
      <c r="C79" s="933">
        <f t="shared" si="13"/>
        <v>43808</v>
      </c>
      <c r="D79" s="919">
        <f t="shared" si="14"/>
        <v>150304.21677419354</v>
      </c>
      <c r="E79" s="920">
        <f t="shared" si="15"/>
        <v>14421.080258064516</v>
      </c>
      <c r="F79" s="921">
        <f t="shared" si="16"/>
        <v>185973.42181299999</v>
      </c>
      <c r="G79" s="935">
        <f t="shared" si="17"/>
        <v>1.00049652</v>
      </c>
      <c r="H79" s="923">
        <f t="shared" si="10"/>
        <v>186.0658</v>
      </c>
      <c r="I79" s="924">
        <f t="shared" si="11"/>
        <v>350885.78514177806</v>
      </c>
      <c r="J79" s="925"/>
      <c r="K79" s="926"/>
      <c r="L79" s="926"/>
      <c r="M79" s="988">
        <v>5394.134</v>
      </c>
      <c r="N79" s="1005">
        <v>67418.257813000004</v>
      </c>
      <c r="O79" s="928">
        <v>113161.03</v>
      </c>
      <c r="P79" s="1804">
        <v>0</v>
      </c>
      <c r="Q79" s="988">
        <v>0</v>
      </c>
      <c r="R79" s="990">
        <f t="shared" si="18"/>
        <v>5394.134</v>
      </c>
      <c r="S79" s="928">
        <v>71918.3</v>
      </c>
      <c r="T79" s="990">
        <f t="shared" si="19"/>
        <v>-4500.0421869999991</v>
      </c>
      <c r="U79" s="989">
        <v>75771.349000000002</v>
      </c>
      <c r="V79" s="989">
        <v>37389.678999999996</v>
      </c>
      <c r="W79" s="987">
        <f t="shared" si="20"/>
        <v>2.0000000076834112E-3</v>
      </c>
      <c r="X79" s="988">
        <v>0</v>
      </c>
      <c r="Y79" s="990">
        <f t="shared" si="21"/>
        <v>0</v>
      </c>
      <c r="Z79" s="929"/>
      <c r="AA79" s="930"/>
      <c r="AB79" s="931">
        <f t="shared" si="22"/>
        <v>0</v>
      </c>
      <c r="AC79" s="931">
        <f t="shared" si="12"/>
        <v>0</v>
      </c>
      <c r="AD79" s="931">
        <f t="shared" si="23"/>
        <v>2.1101120081064291E-3</v>
      </c>
      <c r="AE79" s="931">
        <f t="shared" si="24"/>
        <v>-2.1101120081064291E-3</v>
      </c>
      <c r="AF79" s="932" t="e">
        <f t="shared" si="25"/>
        <v>#REF!</v>
      </c>
    </row>
    <row r="80" spans="2:36" x14ac:dyDescent="0.2">
      <c r="C80" s="933">
        <f t="shared" si="13"/>
        <v>43809</v>
      </c>
      <c r="D80" s="919">
        <f t="shared" si="14"/>
        <v>150304.21677419354</v>
      </c>
      <c r="E80" s="920">
        <f t="shared" si="15"/>
        <v>14421.080258064516</v>
      </c>
      <c r="F80" s="921">
        <f t="shared" si="16"/>
        <v>181187.01781300001</v>
      </c>
      <c r="G80" s="935">
        <f t="shared" si="17"/>
        <v>1.00049652</v>
      </c>
      <c r="H80" s="923">
        <f t="shared" si="10"/>
        <v>181.27699999999999</v>
      </c>
      <c r="I80" s="924">
        <f t="shared" si="11"/>
        <v>346094.5923417781</v>
      </c>
      <c r="J80" s="925"/>
      <c r="K80" s="926"/>
      <c r="L80" s="926"/>
      <c r="M80" s="988">
        <v>0</v>
      </c>
      <c r="N80" s="1006">
        <v>67418.257813000004</v>
      </c>
      <c r="O80" s="937">
        <v>113768.76</v>
      </c>
      <c r="P80" s="1804">
        <v>0</v>
      </c>
      <c r="Q80" s="988">
        <v>0</v>
      </c>
      <c r="R80" s="990">
        <f t="shared" si="18"/>
        <v>0</v>
      </c>
      <c r="S80" s="937">
        <v>71859.899999999994</v>
      </c>
      <c r="T80" s="990">
        <f t="shared" si="19"/>
        <v>-4441.6421869999904</v>
      </c>
      <c r="U80" s="989">
        <v>75945.926999999996</v>
      </c>
      <c r="V80" s="989">
        <v>37822.832000000002</v>
      </c>
      <c r="W80" s="987">
        <f t="shared" si="20"/>
        <v>1.0000000038417056E-3</v>
      </c>
      <c r="X80" s="988">
        <v>0</v>
      </c>
      <c r="Y80" s="990">
        <f t="shared" si="21"/>
        <v>0</v>
      </c>
      <c r="Z80" s="929"/>
      <c r="AA80" s="930"/>
      <c r="AB80" s="931">
        <f t="shared" si="22"/>
        <v>0</v>
      </c>
      <c r="AC80" s="931">
        <f t="shared" si="12"/>
        <v>0</v>
      </c>
      <c r="AD80" s="931">
        <f t="shared" si="23"/>
        <v>1.0550560040532145E-3</v>
      </c>
      <c r="AE80" s="931">
        <f t="shared" si="24"/>
        <v>-1.0550560040532145E-3</v>
      </c>
      <c r="AF80" s="932" t="e">
        <f t="shared" si="25"/>
        <v>#REF!</v>
      </c>
    </row>
    <row r="81" spans="3:36" x14ac:dyDescent="0.2">
      <c r="C81" s="933">
        <f t="shared" si="13"/>
        <v>43810</v>
      </c>
      <c r="D81" s="919">
        <f t="shared" si="14"/>
        <v>150304.21677419354</v>
      </c>
      <c r="E81" s="920">
        <f t="shared" si="15"/>
        <v>14421.080258064516</v>
      </c>
      <c r="F81" s="921">
        <f t="shared" si="16"/>
        <v>159995.07003100001</v>
      </c>
      <c r="G81" s="935">
        <f t="shared" si="17"/>
        <v>1.00049652</v>
      </c>
      <c r="H81" s="923">
        <f t="shared" si="10"/>
        <v>160.0745</v>
      </c>
      <c r="I81" s="924">
        <f t="shared" si="11"/>
        <v>324881.44205977808</v>
      </c>
      <c r="J81" s="925"/>
      <c r="K81" s="926"/>
      <c r="L81" s="926"/>
      <c r="M81" s="927">
        <v>22450.053</v>
      </c>
      <c r="N81" s="1005">
        <v>62013.957030999998</v>
      </c>
      <c r="O81" s="928">
        <v>75531.06</v>
      </c>
      <c r="P81" s="1804">
        <v>0</v>
      </c>
      <c r="Q81" s="988">
        <v>0</v>
      </c>
      <c r="R81" s="990">
        <f t="shared" si="18"/>
        <v>22450.053</v>
      </c>
      <c r="S81" s="928">
        <v>71640.648000000001</v>
      </c>
      <c r="T81" s="990">
        <f t="shared" si="19"/>
        <v>-9626.690969000003</v>
      </c>
      <c r="U81" s="989">
        <v>38341.093999999997</v>
      </c>
      <c r="V81" s="989">
        <v>37189.963000000003</v>
      </c>
      <c r="W81" s="987">
        <f t="shared" si="20"/>
        <v>2.9999999969732016E-3</v>
      </c>
      <c r="X81" s="988">
        <v>0</v>
      </c>
      <c r="Y81" s="990">
        <f t="shared" si="21"/>
        <v>0</v>
      </c>
      <c r="Z81" s="929"/>
      <c r="AA81" s="930"/>
      <c r="AB81" s="931">
        <f t="shared" si="22"/>
        <v>0</v>
      </c>
      <c r="AC81" s="931">
        <f t="shared" si="12"/>
        <v>0</v>
      </c>
      <c r="AD81" s="931">
        <f t="shared" si="23"/>
        <v>3.1651679968065583E-3</v>
      </c>
      <c r="AE81" s="931">
        <f t="shared" si="24"/>
        <v>-3.1651679968065583E-3</v>
      </c>
      <c r="AF81" s="932" t="e">
        <f t="shared" si="25"/>
        <v>#REF!</v>
      </c>
    </row>
    <row r="82" spans="3:36" x14ac:dyDescent="0.2">
      <c r="C82" s="933">
        <f t="shared" si="13"/>
        <v>43811</v>
      </c>
      <c r="D82" s="919">
        <f t="shared" si="14"/>
        <v>150304.21677419354</v>
      </c>
      <c r="E82" s="920">
        <f t="shared" si="15"/>
        <v>14421.080258064516</v>
      </c>
      <c r="F82" s="921">
        <f t="shared" si="16"/>
        <v>161245.572594</v>
      </c>
      <c r="G82" s="935">
        <f t="shared" si="17"/>
        <v>1.00049652</v>
      </c>
      <c r="H82" s="923">
        <f t="shared" si="10"/>
        <v>161.32560000000001</v>
      </c>
      <c r="I82" s="924">
        <f t="shared" si="11"/>
        <v>326133.19572277804</v>
      </c>
      <c r="J82" s="925"/>
      <c r="K82" s="926"/>
      <c r="L82" s="926"/>
      <c r="M82" s="936">
        <v>21286.383999999998</v>
      </c>
      <c r="N82" s="1006">
        <v>63609.808594000002</v>
      </c>
      <c r="O82" s="937">
        <v>76349.38</v>
      </c>
      <c r="P82" s="1804">
        <v>0</v>
      </c>
      <c r="Q82" s="988">
        <v>0</v>
      </c>
      <c r="R82" s="990">
        <f t="shared" si="18"/>
        <v>21286.383999999998</v>
      </c>
      <c r="S82" s="937">
        <v>72011.360000000001</v>
      </c>
      <c r="T82" s="990">
        <f t="shared" si="19"/>
        <v>-8401.5514059999987</v>
      </c>
      <c r="U82" s="989">
        <v>39296.737000000001</v>
      </c>
      <c r="V82" s="989">
        <v>37052.635000000002</v>
      </c>
      <c r="W82" s="987">
        <f t="shared" si="20"/>
        <v>8.0000000016298145E-3</v>
      </c>
      <c r="X82" s="988">
        <v>0</v>
      </c>
      <c r="Y82" s="990">
        <f t="shared" si="21"/>
        <v>0</v>
      </c>
      <c r="Z82" s="929"/>
      <c r="AA82" s="930"/>
      <c r="AB82" s="931">
        <f t="shared" si="22"/>
        <v>0</v>
      </c>
      <c r="AC82" s="931">
        <f t="shared" si="12"/>
        <v>0</v>
      </c>
      <c r="AD82" s="931">
        <f t="shared" si="23"/>
        <v>8.4404480017195461E-3</v>
      </c>
      <c r="AE82" s="931">
        <f t="shared" si="24"/>
        <v>-8.4404480017195461E-3</v>
      </c>
      <c r="AF82" s="932" t="e">
        <f t="shared" si="25"/>
        <v>#REF!</v>
      </c>
    </row>
    <row r="83" spans="3:36" x14ac:dyDescent="0.2">
      <c r="C83" s="933">
        <f t="shared" si="13"/>
        <v>43812</v>
      </c>
      <c r="D83" s="919">
        <f t="shared" si="14"/>
        <v>150304.21677419354</v>
      </c>
      <c r="E83" s="920">
        <f t="shared" si="15"/>
        <v>14421.080258064516</v>
      </c>
      <c r="F83" s="921">
        <f t="shared" si="16"/>
        <v>194388.61196900002</v>
      </c>
      <c r="G83" s="935">
        <f t="shared" si="17"/>
        <v>1.00049652</v>
      </c>
      <c r="H83" s="923">
        <f t="shared" si="10"/>
        <v>194.48509999999999</v>
      </c>
      <c r="I83" s="924">
        <f t="shared" si="11"/>
        <v>359309.3945977781</v>
      </c>
      <c r="J83" s="925"/>
      <c r="K83" s="926"/>
      <c r="L83" s="926"/>
      <c r="M83" s="927">
        <v>21959.368999999999</v>
      </c>
      <c r="N83" s="1005">
        <v>61057.792969000002</v>
      </c>
      <c r="O83" s="928">
        <v>111371.45</v>
      </c>
      <c r="P83" s="1804">
        <v>0</v>
      </c>
      <c r="Q83" s="988">
        <v>0</v>
      </c>
      <c r="R83" s="990">
        <f t="shared" si="18"/>
        <v>21959.368999999999</v>
      </c>
      <c r="S83" s="928">
        <v>73087.75</v>
      </c>
      <c r="T83" s="990">
        <f t="shared" si="19"/>
        <v>-12029.957030999998</v>
      </c>
      <c r="U83" s="989">
        <v>73695.243000000002</v>
      </c>
      <c r="V83" s="989">
        <v>37676.212</v>
      </c>
      <c r="W83" s="987">
        <f t="shared" si="20"/>
        <v>-5.0000000046566129E-3</v>
      </c>
      <c r="X83" s="988">
        <v>0</v>
      </c>
      <c r="Y83" s="990">
        <f t="shared" si="21"/>
        <v>0</v>
      </c>
      <c r="Z83" s="929"/>
      <c r="AA83" s="930"/>
      <c r="AB83" s="931">
        <f t="shared" si="22"/>
        <v>0</v>
      </c>
      <c r="AC83" s="931">
        <f t="shared" si="12"/>
        <v>0</v>
      </c>
      <c r="AD83" s="931">
        <f t="shared" si="23"/>
        <v>-5.2752800049129869E-3</v>
      </c>
      <c r="AE83" s="931">
        <f t="shared" si="24"/>
        <v>5.2752800049129869E-3</v>
      </c>
      <c r="AF83" s="932" t="e">
        <f t="shared" si="25"/>
        <v>#REF!</v>
      </c>
    </row>
    <row r="84" spans="3:36" x14ac:dyDescent="0.2">
      <c r="C84" s="933">
        <f t="shared" si="13"/>
        <v>43813</v>
      </c>
      <c r="D84" s="919">
        <f t="shared" si="14"/>
        <v>150304.21677419354</v>
      </c>
      <c r="E84" s="920">
        <f t="shared" si="15"/>
        <v>14421.080258064516</v>
      </c>
      <c r="F84" s="921">
        <f t="shared" si="16"/>
        <v>206199.02762500002</v>
      </c>
      <c r="G84" s="935">
        <f t="shared" si="17"/>
        <v>1.00049652</v>
      </c>
      <c r="H84" s="923">
        <f t="shared" si="10"/>
        <v>206.3014</v>
      </c>
      <c r="I84" s="924">
        <f t="shared" si="11"/>
        <v>371131.62655377813</v>
      </c>
      <c r="J84" s="925"/>
      <c r="K84" s="926"/>
      <c r="L84" s="926"/>
      <c r="M84" s="936">
        <v>19338.191999999999</v>
      </c>
      <c r="N84" s="1006">
        <v>72875.515625</v>
      </c>
      <c r="O84" s="937">
        <v>113985.32</v>
      </c>
      <c r="P84" s="1804">
        <v>0</v>
      </c>
      <c r="Q84" s="988">
        <v>0</v>
      </c>
      <c r="R84" s="990">
        <f t="shared" si="18"/>
        <v>19338.191999999999</v>
      </c>
      <c r="S84" s="937">
        <v>73107.187999999995</v>
      </c>
      <c r="T84" s="990">
        <f t="shared" si="19"/>
        <v>-231.67237499999464</v>
      </c>
      <c r="U84" s="989">
        <v>76377.650999999998</v>
      </c>
      <c r="V84" s="989">
        <v>37607.678</v>
      </c>
      <c r="W84" s="987">
        <f t="shared" si="20"/>
        <v>-8.9999999909196049E-3</v>
      </c>
      <c r="X84" s="988">
        <v>0</v>
      </c>
      <c r="Y84" s="990">
        <f t="shared" si="21"/>
        <v>0</v>
      </c>
      <c r="Z84" s="929"/>
      <c r="AA84" s="930"/>
      <c r="AB84" s="931">
        <f t="shared" si="22"/>
        <v>0</v>
      </c>
      <c r="AC84" s="931">
        <f t="shared" si="12"/>
        <v>0</v>
      </c>
      <c r="AD84" s="931">
        <f t="shared" si="23"/>
        <v>-9.495503990419674E-3</v>
      </c>
      <c r="AE84" s="931">
        <f t="shared" si="24"/>
        <v>9.495503990419674E-3</v>
      </c>
      <c r="AF84" s="932" t="e">
        <f t="shared" si="25"/>
        <v>#REF!</v>
      </c>
    </row>
    <row r="85" spans="3:36" x14ac:dyDescent="0.2">
      <c r="C85" s="933">
        <f t="shared" si="13"/>
        <v>43814</v>
      </c>
      <c r="D85" s="919">
        <f t="shared" si="14"/>
        <v>150304.21677419354</v>
      </c>
      <c r="E85" s="920">
        <f t="shared" si="15"/>
        <v>14421.080258064516</v>
      </c>
      <c r="F85" s="921">
        <f t="shared" si="16"/>
        <v>197949.92412499999</v>
      </c>
      <c r="G85" s="935">
        <f t="shared" si="17"/>
        <v>1.00049652</v>
      </c>
      <c r="H85" s="923">
        <f t="shared" si="10"/>
        <v>198.04820000000001</v>
      </c>
      <c r="I85" s="924">
        <f t="shared" si="11"/>
        <v>362874.26985377807</v>
      </c>
      <c r="J85" s="925"/>
      <c r="K85" s="926"/>
      <c r="L85" s="926"/>
      <c r="M85" s="927">
        <v>21960.420999999998</v>
      </c>
      <c r="N85" s="1005">
        <v>72352.953125</v>
      </c>
      <c r="O85" s="928">
        <v>103636.55</v>
      </c>
      <c r="P85" s="1804">
        <v>0</v>
      </c>
      <c r="Q85" s="988">
        <v>0</v>
      </c>
      <c r="R85" s="990">
        <f t="shared" si="18"/>
        <v>21960.420999999998</v>
      </c>
      <c r="S85" s="928">
        <v>72787.600000000006</v>
      </c>
      <c r="T85" s="990">
        <f t="shared" si="19"/>
        <v>-434.64687500000582</v>
      </c>
      <c r="U85" s="989">
        <v>65411.536999999997</v>
      </c>
      <c r="V85" s="989">
        <v>38225.016000000003</v>
      </c>
      <c r="W85" s="987">
        <f t="shared" si="20"/>
        <v>-2.9999999969732016E-3</v>
      </c>
      <c r="X85" s="988">
        <v>0</v>
      </c>
      <c r="Y85" s="990">
        <f t="shared" si="21"/>
        <v>0</v>
      </c>
      <c r="Z85" s="929"/>
      <c r="AA85" s="930"/>
      <c r="AB85" s="931">
        <f t="shared" si="22"/>
        <v>0</v>
      </c>
      <c r="AC85" s="931">
        <f t="shared" si="12"/>
        <v>0</v>
      </c>
      <c r="AD85" s="931">
        <f t="shared" si="23"/>
        <v>-3.1651679968065583E-3</v>
      </c>
      <c r="AE85" s="931">
        <f t="shared" si="24"/>
        <v>3.1651679968065583E-3</v>
      </c>
      <c r="AF85" s="932" t="e">
        <f t="shared" si="25"/>
        <v>#REF!</v>
      </c>
    </row>
    <row r="86" spans="3:36" x14ac:dyDescent="0.2">
      <c r="C86" s="933">
        <f t="shared" si="13"/>
        <v>43815</v>
      </c>
      <c r="D86" s="919">
        <f t="shared" si="14"/>
        <v>150304.21677419354</v>
      </c>
      <c r="E86" s="920">
        <f t="shared" si="15"/>
        <v>14421.080258064516</v>
      </c>
      <c r="F86" s="921">
        <f t="shared" si="16"/>
        <v>195393.06112500001</v>
      </c>
      <c r="G86" s="935">
        <f t="shared" si="17"/>
        <v>1.00049652</v>
      </c>
      <c r="H86" s="923">
        <f t="shared" si="10"/>
        <v>195.49010000000001</v>
      </c>
      <c r="I86" s="924">
        <f t="shared" si="11"/>
        <v>360314.84875377809</v>
      </c>
      <c r="J86" s="925"/>
      <c r="K86" s="926"/>
      <c r="L86" s="926"/>
      <c r="M86" s="936">
        <v>13137.788</v>
      </c>
      <c r="N86" s="1006">
        <v>72773.453125</v>
      </c>
      <c r="O86" s="937">
        <v>109481.82</v>
      </c>
      <c r="P86" s="1804">
        <v>0</v>
      </c>
      <c r="Q86" s="988">
        <v>0</v>
      </c>
      <c r="R86" s="990">
        <f t="shared" si="18"/>
        <v>13137.788</v>
      </c>
      <c r="S86" s="937">
        <v>73597.13</v>
      </c>
      <c r="T86" s="990">
        <f t="shared" si="19"/>
        <v>-823.67687500000466</v>
      </c>
      <c r="U86" s="989">
        <v>72060.903999999995</v>
      </c>
      <c r="V86" s="989">
        <v>37420.910000000003</v>
      </c>
      <c r="W86" s="987">
        <f t="shared" si="20"/>
        <v>6.0000000084983185E-3</v>
      </c>
      <c r="X86" s="988">
        <v>0</v>
      </c>
      <c r="Y86" s="990">
        <f t="shared" si="21"/>
        <v>0</v>
      </c>
      <c r="Z86" s="929"/>
      <c r="AA86" s="930"/>
      <c r="AB86" s="931">
        <f t="shared" si="22"/>
        <v>0</v>
      </c>
      <c r="AC86" s="931">
        <f t="shared" si="12"/>
        <v>0</v>
      </c>
      <c r="AD86" s="931">
        <f t="shared" si="23"/>
        <v>6.3303360089662017E-3</v>
      </c>
      <c r="AE86" s="931">
        <f t="shared" si="24"/>
        <v>-6.3303360089662017E-3</v>
      </c>
      <c r="AF86" s="932" t="e">
        <f t="shared" si="25"/>
        <v>#REF!</v>
      </c>
    </row>
    <row r="87" spans="3:36" x14ac:dyDescent="0.2">
      <c r="C87" s="933">
        <f t="shared" si="13"/>
        <v>43816</v>
      </c>
      <c r="D87" s="919">
        <f t="shared" si="14"/>
        <v>150304.21677419354</v>
      </c>
      <c r="E87" s="920">
        <f t="shared" si="15"/>
        <v>14421.080258064516</v>
      </c>
      <c r="F87" s="921">
        <f t="shared" si="16"/>
        <v>208201.66374999998</v>
      </c>
      <c r="G87" s="935">
        <f t="shared" si="17"/>
        <v>1.00049652</v>
      </c>
      <c r="H87" s="923">
        <f t="shared" si="10"/>
        <v>208.30500000000001</v>
      </c>
      <c r="I87" s="924">
        <f t="shared" si="11"/>
        <v>373136.26627877809</v>
      </c>
      <c r="J87" s="925"/>
      <c r="K87" s="926"/>
      <c r="L87" s="926"/>
      <c r="M87" s="927">
        <v>21333.215</v>
      </c>
      <c r="N87" s="1005">
        <v>72727.21875</v>
      </c>
      <c r="O87" s="928">
        <v>114141.23</v>
      </c>
      <c r="P87" s="1804">
        <v>0</v>
      </c>
      <c r="Q87" s="988">
        <v>0</v>
      </c>
      <c r="R87" s="990">
        <f t="shared" si="18"/>
        <v>21333.215</v>
      </c>
      <c r="S87" s="928">
        <v>72140.800000000003</v>
      </c>
      <c r="T87" s="990">
        <f t="shared" si="19"/>
        <v>586.41874999999709</v>
      </c>
      <c r="U87" s="989">
        <v>76280.096000000005</v>
      </c>
      <c r="V87" s="989">
        <v>37861.152000000002</v>
      </c>
      <c r="W87" s="987">
        <f t="shared" si="20"/>
        <v>-1.800000001094304E-2</v>
      </c>
      <c r="X87" s="988">
        <v>0</v>
      </c>
      <c r="Y87" s="990">
        <f t="shared" si="21"/>
        <v>0</v>
      </c>
      <c r="Z87" s="929"/>
      <c r="AA87" s="930"/>
      <c r="AB87" s="931">
        <f t="shared" si="22"/>
        <v>0</v>
      </c>
      <c r="AC87" s="931">
        <f t="shared" si="12"/>
        <v>0</v>
      </c>
      <c r="AD87" s="931">
        <f t="shared" si="23"/>
        <v>-1.8991008011545522E-2</v>
      </c>
      <c r="AE87" s="931">
        <f t="shared" si="24"/>
        <v>1.8991008011545522E-2</v>
      </c>
      <c r="AF87" s="932" t="e">
        <f t="shared" si="25"/>
        <v>#REF!</v>
      </c>
    </row>
    <row r="88" spans="3:36" x14ac:dyDescent="0.2">
      <c r="C88" s="933">
        <f t="shared" si="13"/>
        <v>43817</v>
      </c>
      <c r="D88" s="919">
        <f t="shared" si="14"/>
        <v>150304.21677419354</v>
      </c>
      <c r="E88" s="920">
        <f t="shared" si="15"/>
        <v>14421.080258064516</v>
      </c>
      <c r="F88" s="921">
        <f t="shared" si="16"/>
        <v>207730.838938</v>
      </c>
      <c r="G88" s="935">
        <f t="shared" si="17"/>
        <v>1.00049652</v>
      </c>
      <c r="H88" s="923">
        <f t="shared" si="10"/>
        <v>207.834</v>
      </c>
      <c r="I88" s="924">
        <f t="shared" si="11"/>
        <v>372664.97046677803</v>
      </c>
      <c r="J88" s="925"/>
      <c r="K88" s="926"/>
      <c r="L88" s="926"/>
      <c r="M88" s="936">
        <v>21029.902999999998</v>
      </c>
      <c r="N88" s="1006">
        <v>72874.585938000004</v>
      </c>
      <c r="O88" s="937">
        <v>113826.35</v>
      </c>
      <c r="P88" s="1804">
        <v>0</v>
      </c>
      <c r="Q88" s="988">
        <v>0</v>
      </c>
      <c r="R88" s="990">
        <f t="shared" si="18"/>
        <v>21029.902999999998</v>
      </c>
      <c r="S88" s="937">
        <v>63246</v>
      </c>
      <c r="T88" s="990">
        <f t="shared" si="19"/>
        <v>9628.5859380000038</v>
      </c>
      <c r="U88" s="989">
        <v>75988.379000000001</v>
      </c>
      <c r="V88" s="989">
        <v>37837.938000000002</v>
      </c>
      <c r="W88" s="987">
        <f t="shared" si="20"/>
        <v>3.2999999995809048E-2</v>
      </c>
      <c r="X88" s="988">
        <v>0</v>
      </c>
      <c r="Y88" s="990">
        <f t="shared" si="21"/>
        <v>0</v>
      </c>
      <c r="Z88" s="929"/>
      <c r="AA88" s="930"/>
      <c r="AB88" s="931">
        <f t="shared" si="22"/>
        <v>0</v>
      </c>
      <c r="AC88" s="931">
        <f t="shared" si="12"/>
        <v>0</v>
      </c>
      <c r="AD88" s="931">
        <f t="shared" si="23"/>
        <v>3.4816847995578312E-2</v>
      </c>
      <c r="AE88" s="931">
        <f t="shared" si="24"/>
        <v>-3.4816847995578312E-2</v>
      </c>
      <c r="AF88" s="932" t="e">
        <f t="shared" si="25"/>
        <v>#REF!</v>
      </c>
    </row>
    <row r="89" spans="3:36" x14ac:dyDescent="0.2">
      <c r="C89" s="933">
        <f t="shared" si="13"/>
        <v>43818</v>
      </c>
      <c r="D89" s="919">
        <f t="shared" si="14"/>
        <v>150304.21677419354</v>
      </c>
      <c r="E89" s="920">
        <f t="shared" si="15"/>
        <v>14421.080258064516</v>
      </c>
      <c r="F89" s="921">
        <f t="shared" si="16"/>
        <v>181323.53937499999</v>
      </c>
      <c r="G89" s="935">
        <f t="shared" si="17"/>
        <v>1.00049652</v>
      </c>
      <c r="H89" s="923">
        <f t="shared" si="10"/>
        <v>181.4136</v>
      </c>
      <c r="I89" s="924">
        <f t="shared" si="11"/>
        <v>346231.25050377811</v>
      </c>
      <c r="J89" s="925"/>
      <c r="K89" s="926"/>
      <c r="L89" s="926"/>
      <c r="M89" s="988">
        <v>0</v>
      </c>
      <c r="N89" s="1005">
        <v>72951.109375</v>
      </c>
      <c r="O89" s="928">
        <v>108372.43</v>
      </c>
      <c r="P89" s="1804">
        <v>0</v>
      </c>
      <c r="Q89" s="988">
        <v>0</v>
      </c>
      <c r="R89" s="990">
        <f t="shared" si="18"/>
        <v>0</v>
      </c>
      <c r="S89" s="928">
        <v>73158.8</v>
      </c>
      <c r="T89" s="990">
        <f t="shared" si="19"/>
        <v>-207.69062500000291</v>
      </c>
      <c r="U89" s="989">
        <v>70548.267999999996</v>
      </c>
      <c r="V89" s="989">
        <v>37824.19</v>
      </c>
      <c r="W89" s="987">
        <f t="shared" si="20"/>
        <v>-2.8000000005704351E-2</v>
      </c>
      <c r="X89" s="988">
        <v>0</v>
      </c>
      <c r="Y89" s="990">
        <f t="shared" si="21"/>
        <v>0</v>
      </c>
      <c r="Z89" s="929"/>
      <c r="AA89" s="930"/>
      <c r="AB89" s="931">
        <f t="shared" si="22"/>
        <v>0</v>
      </c>
      <c r="AC89" s="931">
        <f t="shared" si="12"/>
        <v>0</v>
      </c>
      <c r="AD89" s="931">
        <f t="shared" si="23"/>
        <v>-2.9541568006018409E-2</v>
      </c>
      <c r="AE89" s="931">
        <f t="shared" si="24"/>
        <v>2.9541568006018409E-2</v>
      </c>
      <c r="AF89" s="932" t="e">
        <f t="shared" si="25"/>
        <v>#REF!</v>
      </c>
    </row>
    <row r="90" spans="3:36" x14ac:dyDescent="0.2">
      <c r="C90" s="933">
        <f t="shared" si="13"/>
        <v>43819</v>
      </c>
      <c r="D90" s="919">
        <f t="shared" si="14"/>
        <v>150304.21677419354</v>
      </c>
      <c r="E90" s="920">
        <f t="shared" si="15"/>
        <v>14421.080258064516</v>
      </c>
      <c r="F90" s="921">
        <f t="shared" si="16"/>
        <v>181911.12400000001</v>
      </c>
      <c r="G90" s="935">
        <f t="shared" si="17"/>
        <v>1.00049652</v>
      </c>
      <c r="H90" s="923">
        <f t="shared" si="10"/>
        <v>182.00139999999999</v>
      </c>
      <c r="I90" s="924">
        <f t="shared" si="11"/>
        <v>346819.42292877811</v>
      </c>
      <c r="J90" s="925"/>
      <c r="K90" s="926"/>
      <c r="L90" s="926"/>
      <c r="M90" s="988">
        <v>0</v>
      </c>
      <c r="N90" s="1006">
        <v>72948.774000000005</v>
      </c>
      <c r="O90" s="937">
        <v>108962.35</v>
      </c>
      <c r="P90" s="1804">
        <v>0</v>
      </c>
      <c r="Q90" s="988">
        <v>0</v>
      </c>
      <c r="R90" s="990">
        <f t="shared" si="18"/>
        <v>0</v>
      </c>
      <c r="S90" s="937">
        <v>72844.800000000003</v>
      </c>
      <c r="T90" s="990">
        <f t="shared" si="19"/>
        <v>103.97400000000198</v>
      </c>
      <c r="U90" s="989">
        <v>71038.785000000003</v>
      </c>
      <c r="V90" s="989">
        <v>37923.593999999997</v>
      </c>
      <c r="W90" s="987">
        <f t="shared" si="20"/>
        <v>-2.8999999994994141E-2</v>
      </c>
      <c r="X90" s="988">
        <v>0</v>
      </c>
      <c r="Y90" s="990">
        <f t="shared" si="21"/>
        <v>0</v>
      </c>
      <c r="Z90" s="929"/>
      <c r="AA90" s="930"/>
      <c r="AB90" s="931">
        <f t="shared" si="22"/>
        <v>0</v>
      </c>
      <c r="AC90" s="931">
        <f t="shared" si="12"/>
        <v>0</v>
      </c>
      <c r="AD90" s="931">
        <f t="shared" si="23"/>
        <v>-3.059662399471854E-2</v>
      </c>
      <c r="AE90" s="931">
        <f t="shared" si="24"/>
        <v>3.059662399471854E-2</v>
      </c>
      <c r="AF90" s="932" t="e">
        <f t="shared" si="25"/>
        <v>#REF!</v>
      </c>
    </row>
    <row r="91" spans="3:36" x14ac:dyDescent="0.2">
      <c r="C91" s="933">
        <f t="shared" si="13"/>
        <v>43820</v>
      </c>
      <c r="D91" s="919">
        <f t="shared" si="14"/>
        <v>150304.21677419354</v>
      </c>
      <c r="E91" s="920">
        <f t="shared" si="15"/>
        <v>14421.080258064516</v>
      </c>
      <c r="F91" s="921">
        <f t="shared" si="16"/>
        <v>186295.57775</v>
      </c>
      <c r="G91" s="935">
        <f t="shared" si="17"/>
        <v>1.00049652</v>
      </c>
      <c r="H91" s="923">
        <f t="shared" si="10"/>
        <v>186.38810000000001</v>
      </c>
      <c r="I91" s="924">
        <f t="shared" si="11"/>
        <v>351208.26337877807</v>
      </c>
      <c r="J91" s="925"/>
      <c r="K91" s="926"/>
      <c r="L91" s="926"/>
      <c r="M91" s="988">
        <v>6299.5990000000002</v>
      </c>
      <c r="N91" s="1005">
        <v>72808.71875</v>
      </c>
      <c r="O91" s="928">
        <v>107187.26</v>
      </c>
      <c r="P91" s="1804">
        <v>0</v>
      </c>
      <c r="Q91" s="988">
        <v>0</v>
      </c>
      <c r="R91" s="990">
        <f t="shared" si="18"/>
        <v>6299.5990000000002</v>
      </c>
      <c r="S91" s="928">
        <v>72693.100000000006</v>
      </c>
      <c r="T91" s="990">
        <f t="shared" si="19"/>
        <v>115.61874999999418</v>
      </c>
      <c r="U91" s="989">
        <v>69488.972999999998</v>
      </c>
      <c r="V91" s="989">
        <v>37698.288</v>
      </c>
      <c r="W91" s="987">
        <f t="shared" si="20"/>
        <v>-1.0000000038417056E-3</v>
      </c>
      <c r="X91" s="988">
        <v>0</v>
      </c>
      <c r="Y91" s="990">
        <f t="shared" si="21"/>
        <v>0</v>
      </c>
      <c r="Z91" s="929"/>
      <c r="AA91" s="930"/>
      <c r="AB91" s="931">
        <f t="shared" si="22"/>
        <v>0</v>
      </c>
      <c r="AC91" s="931">
        <f t="shared" si="12"/>
        <v>0</v>
      </c>
      <c r="AD91" s="931">
        <f t="shared" si="23"/>
        <v>-1.0550560040532145E-3</v>
      </c>
      <c r="AE91" s="931">
        <f t="shared" si="24"/>
        <v>1.0550560040532145E-3</v>
      </c>
      <c r="AF91" s="932" t="e">
        <f t="shared" si="25"/>
        <v>#REF!</v>
      </c>
    </row>
    <row r="92" spans="3:36" x14ac:dyDescent="0.2">
      <c r="C92" s="933">
        <f t="shared" si="13"/>
        <v>43821</v>
      </c>
      <c r="D92" s="919">
        <f t="shared" si="14"/>
        <v>150304.21677419354</v>
      </c>
      <c r="E92" s="920">
        <f t="shared" si="15"/>
        <v>14421.080258064516</v>
      </c>
      <c r="F92" s="921">
        <f t="shared" si="16"/>
        <v>196896.48781300001</v>
      </c>
      <c r="G92" s="935">
        <f t="shared" si="17"/>
        <v>1.00049652</v>
      </c>
      <c r="H92" s="923">
        <f t="shared" si="10"/>
        <v>196.99430000000001</v>
      </c>
      <c r="I92" s="924">
        <f t="shared" si="11"/>
        <v>361819.77964177815</v>
      </c>
      <c r="J92" s="925"/>
      <c r="K92" s="926"/>
      <c r="L92" s="926"/>
      <c r="M92" s="936">
        <v>17978.73</v>
      </c>
      <c r="N92" s="1006">
        <v>72193.257813000004</v>
      </c>
      <c r="O92" s="937">
        <v>106724.5</v>
      </c>
      <c r="P92" s="1804">
        <v>0</v>
      </c>
      <c r="Q92" s="988">
        <v>0</v>
      </c>
      <c r="R92" s="990">
        <f t="shared" si="18"/>
        <v>17978.73</v>
      </c>
      <c r="S92" s="937">
        <v>72615.05</v>
      </c>
      <c r="T92" s="990">
        <f t="shared" si="19"/>
        <v>-421.7921869999991</v>
      </c>
      <c r="U92" s="989">
        <v>68257.913</v>
      </c>
      <c r="V92" s="989">
        <v>38466.601999999999</v>
      </c>
      <c r="W92" s="987">
        <f t="shared" si="20"/>
        <v>-1.4999999999417923E-2</v>
      </c>
      <c r="X92" s="988">
        <v>0</v>
      </c>
      <c r="Y92" s="990">
        <f t="shared" si="21"/>
        <v>0</v>
      </c>
      <c r="Z92" s="929"/>
      <c r="AA92" s="930"/>
      <c r="AB92" s="931">
        <f t="shared" si="22"/>
        <v>0</v>
      </c>
      <c r="AC92" s="931">
        <f t="shared" si="12"/>
        <v>0</v>
      </c>
      <c r="AD92" s="931">
        <f t="shared" si="23"/>
        <v>-1.5825839999385877E-2</v>
      </c>
      <c r="AE92" s="931">
        <f t="shared" si="24"/>
        <v>1.5825839999385877E-2</v>
      </c>
      <c r="AF92" s="932" t="e">
        <f t="shared" si="25"/>
        <v>#REF!</v>
      </c>
    </row>
    <row r="93" spans="3:36" x14ac:dyDescent="0.2">
      <c r="C93" s="933">
        <f t="shared" si="13"/>
        <v>43822</v>
      </c>
      <c r="D93" s="919">
        <f t="shared" si="14"/>
        <v>150304.21677419354</v>
      </c>
      <c r="E93" s="920">
        <f t="shared" si="15"/>
        <v>14421.080258064516</v>
      </c>
      <c r="F93" s="921">
        <f t="shared" si="16"/>
        <v>169208.5085</v>
      </c>
      <c r="G93" s="935">
        <f t="shared" si="17"/>
        <v>1.00049652</v>
      </c>
      <c r="H93" s="923">
        <f t="shared" si="10"/>
        <v>169.29249999999999</v>
      </c>
      <c r="I93" s="924">
        <f t="shared" si="11"/>
        <v>334104.09852877806</v>
      </c>
      <c r="J93" s="925"/>
      <c r="K93" s="926"/>
      <c r="L93" s="926"/>
      <c r="M93" s="927">
        <v>490.10599999999999</v>
      </c>
      <c r="N93" s="1005">
        <v>72632.8125</v>
      </c>
      <c r="O93" s="928">
        <v>96085.59</v>
      </c>
      <c r="P93" s="1804">
        <v>0</v>
      </c>
      <c r="Q93" s="988">
        <v>0</v>
      </c>
      <c r="R93" s="990">
        <f t="shared" si="18"/>
        <v>490.10599999999999</v>
      </c>
      <c r="S93" s="928">
        <v>71833.17</v>
      </c>
      <c r="T93" s="990">
        <f t="shared" si="19"/>
        <v>799.64250000000175</v>
      </c>
      <c r="U93" s="989">
        <v>58203.317000000003</v>
      </c>
      <c r="V93" s="989">
        <v>37882.305999999997</v>
      </c>
      <c r="W93" s="987">
        <f t="shared" si="20"/>
        <v>-3.2999999995809048E-2</v>
      </c>
      <c r="X93" s="988">
        <v>0</v>
      </c>
      <c r="Y93" s="990">
        <f t="shared" si="21"/>
        <v>0</v>
      </c>
      <c r="Z93" s="929"/>
      <c r="AA93" s="930"/>
      <c r="AB93" s="931">
        <f t="shared" si="22"/>
        <v>0</v>
      </c>
      <c r="AC93" s="931">
        <f t="shared" si="12"/>
        <v>0</v>
      </c>
      <c r="AD93" s="931">
        <f t="shared" si="23"/>
        <v>-3.4816847995578312E-2</v>
      </c>
      <c r="AE93" s="931">
        <f t="shared" si="24"/>
        <v>3.4816847995578312E-2</v>
      </c>
      <c r="AF93" s="932" t="e">
        <f t="shared" si="25"/>
        <v>#REF!</v>
      </c>
    </row>
    <row r="94" spans="3:36" x14ac:dyDescent="0.2">
      <c r="C94" s="933">
        <f t="shared" si="13"/>
        <v>43823</v>
      </c>
      <c r="D94" s="919">
        <f t="shared" si="14"/>
        <v>150304.21677419354</v>
      </c>
      <c r="E94" s="920">
        <f t="shared" si="15"/>
        <v>14421.080258064516</v>
      </c>
      <c r="F94" s="921">
        <f t="shared" si="16"/>
        <v>179700.54087500001</v>
      </c>
      <c r="G94" s="935">
        <f t="shared" si="17"/>
        <v>1.00049652</v>
      </c>
      <c r="H94" s="923">
        <f t="shared" si="10"/>
        <v>179.78980000000001</v>
      </c>
      <c r="I94" s="924">
        <f t="shared" si="11"/>
        <v>344606.62820377812</v>
      </c>
      <c r="J94" s="925"/>
      <c r="K94" s="926"/>
      <c r="L94" s="926"/>
      <c r="M94" s="936">
        <v>22806.063999999998</v>
      </c>
      <c r="N94" s="1006">
        <v>67104.796875</v>
      </c>
      <c r="O94" s="937">
        <v>89789.68</v>
      </c>
      <c r="P94" s="1804">
        <v>0</v>
      </c>
      <c r="Q94" s="988">
        <v>0</v>
      </c>
      <c r="R94" s="990">
        <f t="shared" si="18"/>
        <v>22806.063999999998</v>
      </c>
      <c r="S94" s="937">
        <v>71752.84</v>
      </c>
      <c r="T94" s="990">
        <f t="shared" si="19"/>
        <v>-4648.0431249999965</v>
      </c>
      <c r="U94" s="989">
        <v>53214.057999999997</v>
      </c>
      <c r="V94" s="989">
        <v>36575.612000000001</v>
      </c>
      <c r="W94" s="987">
        <f t="shared" si="20"/>
        <v>9.9999999947613105E-3</v>
      </c>
      <c r="X94" s="988">
        <v>0</v>
      </c>
      <c r="Y94" s="990">
        <f t="shared" si="21"/>
        <v>0</v>
      </c>
      <c r="Z94" s="929"/>
      <c r="AA94" s="930"/>
      <c r="AB94" s="931">
        <f t="shared" si="22"/>
        <v>0</v>
      </c>
      <c r="AC94" s="931">
        <f t="shared" si="12"/>
        <v>0</v>
      </c>
      <c r="AD94" s="931">
        <f t="shared" si="23"/>
        <v>1.0550559994472889E-2</v>
      </c>
      <c r="AE94" s="931">
        <f t="shared" si="24"/>
        <v>-1.0550559994472889E-2</v>
      </c>
      <c r="AF94" s="932" t="e">
        <f t="shared" si="25"/>
        <v>#REF!</v>
      </c>
      <c r="AG94" s="843"/>
      <c r="AH94" s="843"/>
      <c r="AI94" s="843"/>
      <c r="AJ94" s="843"/>
    </row>
    <row r="95" spans="3:36" x14ac:dyDescent="0.2">
      <c r="C95" s="933">
        <f t="shared" si="13"/>
        <v>43824</v>
      </c>
      <c r="D95" s="919">
        <f t="shared" si="14"/>
        <v>150304.21677419354</v>
      </c>
      <c r="E95" s="920">
        <f t="shared" si="15"/>
        <v>14421.080258064516</v>
      </c>
      <c r="F95" s="921">
        <f t="shared" si="16"/>
        <v>170909.99187500001</v>
      </c>
      <c r="G95" s="935">
        <f t="shared" si="17"/>
        <v>1.00049652</v>
      </c>
      <c r="H95" s="923">
        <f t="shared" si="10"/>
        <v>170.9949</v>
      </c>
      <c r="I95" s="924">
        <f t="shared" si="11"/>
        <v>335807.28430377808</v>
      </c>
      <c r="J95" s="925"/>
      <c r="K95" s="926"/>
      <c r="L95" s="926"/>
      <c r="M95" s="927">
        <v>17231.185000000001</v>
      </c>
      <c r="N95" s="1005">
        <v>66963.296875</v>
      </c>
      <c r="O95" s="928">
        <v>86715.51</v>
      </c>
      <c r="P95" s="1804">
        <v>0</v>
      </c>
      <c r="Q95" s="988">
        <v>0</v>
      </c>
      <c r="R95" s="990">
        <f t="shared" si="18"/>
        <v>17231.185000000001</v>
      </c>
      <c r="S95" s="928">
        <v>71889.2</v>
      </c>
      <c r="T95" s="990">
        <f t="shared" si="19"/>
        <v>-4925.9031249999971</v>
      </c>
      <c r="U95" s="989">
        <v>53049.4</v>
      </c>
      <c r="V95" s="989">
        <v>33666.114000000001</v>
      </c>
      <c r="W95" s="987">
        <f t="shared" si="20"/>
        <v>-4.0000000008149073E-3</v>
      </c>
      <c r="X95" s="988">
        <v>0</v>
      </c>
      <c r="Y95" s="990">
        <f t="shared" si="21"/>
        <v>0</v>
      </c>
      <c r="Z95" s="929"/>
      <c r="AA95" s="930"/>
      <c r="AB95" s="931">
        <f t="shared" si="22"/>
        <v>0</v>
      </c>
      <c r="AC95" s="931">
        <f t="shared" si="12"/>
        <v>0</v>
      </c>
      <c r="AD95" s="931">
        <f t="shared" si="23"/>
        <v>-4.220224000859773E-3</v>
      </c>
      <c r="AE95" s="931">
        <f t="shared" si="24"/>
        <v>4.220224000859773E-3</v>
      </c>
      <c r="AF95" s="932" t="e">
        <f t="shared" si="25"/>
        <v>#REF!</v>
      </c>
      <c r="AG95" s="843"/>
      <c r="AH95" s="843"/>
      <c r="AI95" s="843"/>
      <c r="AJ95" s="843"/>
    </row>
    <row r="96" spans="3:36" x14ac:dyDescent="0.2">
      <c r="C96" s="933">
        <f t="shared" si="13"/>
        <v>43825</v>
      </c>
      <c r="D96" s="919">
        <f t="shared" si="14"/>
        <v>150304.21677419354</v>
      </c>
      <c r="E96" s="920">
        <f t="shared" si="15"/>
        <v>14421.080258064516</v>
      </c>
      <c r="F96" s="921">
        <f t="shared" si="16"/>
        <v>193396.84899999999</v>
      </c>
      <c r="G96" s="935">
        <f t="shared" si="17"/>
        <v>1.00049652</v>
      </c>
      <c r="H96" s="923">
        <f t="shared" si="10"/>
        <v>193.49289999999999</v>
      </c>
      <c r="I96" s="924">
        <f t="shared" si="11"/>
        <v>358316.63942877809</v>
      </c>
      <c r="J96" s="925"/>
      <c r="K96" s="926"/>
      <c r="L96" s="926"/>
      <c r="M96" s="936">
        <v>15604.434999999999</v>
      </c>
      <c r="N96" s="1006">
        <v>71682.013999999996</v>
      </c>
      <c r="O96" s="937">
        <v>106110.39999999999</v>
      </c>
      <c r="P96" s="1804">
        <v>0</v>
      </c>
      <c r="Q96" s="988">
        <v>0</v>
      </c>
      <c r="R96" s="990">
        <f t="shared" si="18"/>
        <v>15604.434999999999</v>
      </c>
      <c r="S96" s="937">
        <v>72052.304999999993</v>
      </c>
      <c r="T96" s="990">
        <f t="shared" si="19"/>
        <v>-370.29099999999744</v>
      </c>
      <c r="U96" s="989">
        <v>68551.066000000006</v>
      </c>
      <c r="V96" s="989">
        <v>37559.337</v>
      </c>
      <c r="W96" s="987">
        <f t="shared" si="20"/>
        <v>-3.0000000115251169E-3</v>
      </c>
      <c r="X96" s="988">
        <v>0</v>
      </c>
      <c r="Y96" s="990">
        <f t="shared" si="21"/>
        <v>0</v>
      </c>
      <c r="Z96" s="929"/>
      <c r="AA96" s="930"/>
      <c r="AB96" s="931">
        <f t="shared" si="22"/>
        <v>0</v>
      </c>
      <c r="AC96" s="931">
        <f t="shared" si="12"/>
        <v>0</v>
      </c>
      <c r="AD96" s="931">
        <f t="shared" si="23"/>
        <v>-3.1651680121596438E-3</v>
      </c>
      <c r="AE96" s="931">
        <f t="shared" si="24"/>
        <v>3.1651680121596438E-3</v>
      </c>
      <c r="AF96" s="932" t="e">
        <f t="shared" si="25"/>
        <v>#REF!</v>
      </c>
      <c r="AG96" s="843"/>
      <c r="AH96" s="843"/>
      <c r="AI96" s="843"/>
      <c r="AJ96" s="843"/>
    </row>
    <row r="97" spans="2:42" x14ac:dyDescent="0.2">
      <c r="C97" s="933">
        <f t="shared" si="13"/>
        <v>43826</v>
      </c>
      <c r="D97" s="919">
        <f t="shared" si="14"/>
        <v>150304.21677419354</v>
      </c>
      <c r="E97" s="920">
        <f t="shared" si="15"/>
        <v>14421.080258064516</v>
      </c>
      <c r="F97" s="921">
        <f t="shared" si="16"/>
        <v>172304.08200000002</v>
      </c>
      <c r="G97" s="935">
        <f t="shared" si="17"/>
        <v>1.00049652</v>
      </c>
      <c r="H97" s="923">
        <f t="shared" si="10"/>
        <v>172.3896</v>
      </c>
      <c r="I97" s="924">
        <f t="shared" si="11"/>
        <v>337202.76912877808</v>
      </c>
      <c r="J97" s="925"/>
      <c r="K97" s="926"/>
      <c r="L97" s="926"/>
      <c r="M97" s="927">
        <v>1003.622</v>
      </c>
      <c r="N97" s="1005">
        <v>71578.5</v>
      </c>
      <c r="O97" s="928">
        <v>99721.96</v>
      </c>
      <c r="P97" s="1804">
        <v>0</v>
      </c>
      <c r="Q97" s="988">
        <v>0</v>
      </c>
      <c r="R97" s="990">
        <f t="shared" si="18"/>
        <v>1003.622</v>
      </c>
      <c r="S97" s="928">
        <v>71955.891000000003</v>
      </c>
      <c r="T97" s="990">
        <f t="shared" si="19"/>
        <v>-377.39100000000326</v>
      </c>
      <c r="U97" s="989">
        <v>62290.938999999998</v>
      </c>
      <c r="V97" s="989">
        <v>37431.021000000001</v>
      </c>
      <c r="W97" s="987">
        <f t="shared" si="20"/>
        <v>0</v>
      </c>
      <c r="X97" s="988">
        <v>0</v>
      </c>
      <c r="Y97" s="990">
        <f t="shared" si="21"/>
        <v>0</v>
      </c>
      <c r="Z97" s="929"/>
      <c r="AA97" s="930"/>
      <c r="AB97" s="931">
        <f t="shared" si="22"/>
        <v>0</v>
      </c>
      <c r="AC97" s="931">
        <f t="shared" si="12"/>
        <v>0</v>
      </c>
      <c r="AD97" s="931">
        <f t="shared" si="23"/>
        <v>0</v>
      </c>
      <c r="AE97" s="931">
        <f t="shared" si="24"/>
        <v>0</v>
      </c>
      <c r="AF97" s="932" t="e">
        <f t="shared" si="25"/>
        <v>#REF!</v>
      </c>
      <c r="AG97" s="843"/>
      <c r="AH97" s="843"/>
      <c r="AI97" s="843"/>
      <c r="AJ97" s="843"/>
    </row>
    <row r="98" spans="2:42" x14ac:dyDescent="0.2">
      <c r="C98" s="933">
        <f t="shared" si="13"/>
        <v>43827</v>
      </c>
      <c r="D98" s="919">
        <f t="shared" si="14"/>
        <v>150304.21677419354</v>
      </c>
      <c r="E98" s="920">
        <f t="shared" si="15"/>
        <v>14421.080258064516</v>
      </c>
      <c r="F98" s="921">
        <f t="shared" si="16"/>
        <v>182091.41906300001</v>
      </c>
      <c r="G98" s="935">
        <f t="shared" si="17"/>
        <v>1.00049652</v>
      </c>
      <c r="H98" s="923">
        <f t="shared" si="10"/>
        <v>182.18180000000001</v>
      </c>
      <c r="I98" s="924">
        <f t="shared" si="11"/>
        <v>346999.89839177812</v>
      </c>
      <c r="J98" s="925"/>
      <c r="K98" s="926"/>
      <c r="L98" s="926"/>
      <c r="M98" s="936">
        <v>15205.605</v>
      </c>
      <c r="N98" s="1006">
        <v>72459.664063000004</v>
      </c>
      <c r="O98" s="937">
        <v>94426.15</v>
      </c>
      <c r="P98" s="1804">
        <v>0</v>
      </c>
      <c r="Q98" s="988">
        <v>0</v>
      </c>
      <c r="R98" s="990">
        <f t="shared" si="18"/>
        <v>15205.605</v>
      </c>
      <c r="S98" s="937">
        <v>71411.812000000005</v>
      </c>
      <c r="T98" s="990">
        <f t="shared" si="19"/>
        <v>1047.8520629999985</v>
      </c>
      <c r="U98" s="989">
        <v>56903.273999999998</v>
      </c>
      <c r="V98" s="989">
        <v>37522.874000000003</v>
      </c>
      <c r="W98" s="987">
        <f t="shared" si="20"/>
        <v>1.999999993131496E-3</v>
      </c>
      <c r="X98" s="988">
        <v>0</v>
      </c>
      <c r="Y98" s="990">
        <f t="shared" si="21"/>
        <v>0</v>
      </c>
      <c r="Z98" s="929"/>
      <c r="AA98" s="930"/>
      <c r="AB98" s="931">
        <f t="shared" si="22"/>
        <v>0</v>
      </c>
      <c r="AC98" s="931">
        <f t="shared" si="12"/>
        <v>0</v>
      </c>
      <c r="AD98" s="931">
        <f t="shared" si="23"/>
        <v>2.1101119927533435E-3</v>
      </c>
      <c r="AE98" s="931">
        <f t="shared" si="24"/>
        <v>-2.1101119927533435E-3</v>
      </c>
      <c r="AF98" s="932" t="e">
        <f t="shared" si="25"/>
        <v>#REF!</v>
      </c>
      <c r="AG98" s="843"/>
      <c r="AH98" s="843"/>
      <c r="AI98" s="843"/>
      <c r="AJ98" s="843"/>
    </row>
    <row r="99" spans="2:42" x14ac:dyDescent="0.2">
      <c r="C99" s="933">
        <f t="shared" si="13"/>
        <v>43828</v>
      </c>
      <c r="D99" s="919">
        <f t="shared" si="14"/>
        <v>150304.21677419354</v>
      </c>
      <c r="E99" s="920">
        <f t="shared" si="15"/>
        <v>14421.080258064516</v>
      </c>
      <c r="F99" s="921">
        <f t="shared" si="16"/>
        <v>190244.59631300002</v>
      </c>
      <c r="G99" s="935">
        <f t="shared" si="17"/>
        <v>1.00049652</v>
      </c>
      <c r="H99" s="923">
        <f t="shared" si="10"/>
        <v>190.3391</v>
      </c>
      <c r="I99" s="924">
        <f t="shared" si="11"/>
        <v>355161.23294177809</v>
      </c>
      <c r="J99" s="925"/>
      <c r="K99" s="926"/>
      <c r="L99" s="926"/>
      <c r="M99" s="927">
        <v>15176.710999999999</v>
      </c>
      <c r="N99" s="1005">
        <v>73818.445313000004</v>
      </c>
      <c r="O99" s="928">
        <v>101249.44</v>
      </c>
      <c r="P99" s="1804">
        <v>0</v>
      </c>
      <c r="Q99" s="988">
        <v>0</v>
      </c>
      <c r="R99" s="990">
        <f t="shared" si="18"/>
        <v>15176.710999999999</v>
      </c>
      <c r="S99" s="928">
        <v>71785.452999999994</v>
      </c>
      <c r="T99" s="990">
        <f t="shared" si="19"/>
        <v>2032.9923130000097</v>
      </c>
      <c r="U99" s="989">
        <v>74515.425000000003</v>
      </c>
      <c r="V99" s="989">
        <v>26734.014999999999</v>
      </c>
      <c r="W99" s="987">
        <f t="shared" si="20"/>
        <v>0</v>
      </c>
      <c r="X99" s="988">
        <v>0</v>
      </c>
      <c r="Y99" s="990">
        <f t="shared" si="21"/>
        <v>0</v>
      </c>
      <c r="Z99" s="929"/>
      <c r="AA99" s="930"/>
      <c r="AB99" s="931">
        <f t="shared" si="22"/>
        <v>0</v>
      </c>
      <c r="AC99" s="931">
        <f t="shared" si="12"/>
        <v>0</v>
      </c>
      <c r="AD99" s="931">
        <f t="shared" si="23"/>
        <v>0</v>
      </c>
      <c r="AE99" s="931">
        <f t="shared" si="24"/>
        <v>0</v>
      </c>
      <c r="AF99" s="932" t="e">
        <f t="shared" si="25"/>
        <v>#REF!</v>
      </c>
      <c r="AG99" s="843"/>
      <c r="AH99" s="843"/>
      <c r="AI99" s="843"/>
      <c r="AJ99" s="843"/>
    </row>
    <row r="100" spans="2:42" x14ac:dyDescent="0.2">
      <c r="C100" s="933">
        <f t="shared" si="13"/>
        <v>43829</v>
      </c>
      <c r="D100" s="919">
        <f t="shared" si="14"/>
        <v>150304.21677419354</v>
      </c>
      <c r="E100" s="920">
        <f t="shared" si="15"/>
        <v>14421.080258064516</v>
      </c>
      <c r="F100" s="921">
        <f t="shared" si="16"/>
        <v>153312.927563</v>
      </c>
      <c r="G100" s="935">
        <f t="shared" si="17"/>
        <v>1.00049652</v>
      </c>
      <c r="H100" s="923">
        <f t="shared" si="10"/>
        <v>153.38910000000001</v>
      </c>
      <c r="I100" s="924">
        <f t="shared" si="11"/>
        <v>318192.61419177806</v>
      </c>
      <c r="J100" s="925"/>
      <c r="K100" s="926"/>
      <c r="L100" s="926"/>
      <c r="M100" s="927">
        <v>559.79100000000005</v>
      </c>
      <c r="N100" s="1005">
        <v>72658.976563000004</v>
      </c>
      <c r="O100" s="928">
        <v>80094.16</v>
      </c>
      <c r="P100" s="1804">
        <v>0</v>
      </c>
      <c r="Q100" s="988">
        <v>0</v>
      </c>
      <c r="R100" s="990">
        <f t="shared" si="18"/>
        <v>559.79100000000005</v>
      </c>
      <c r="S100" s="928">
        <v>71595.914000000004</v>
      </c>
      <c r="T100" s="990">
        <f t="shared" si="19"/>
        <v>1063.0625629999995</v>
      </c>
      <c r="U100" s="989">
        <v>41628.531000000003</v>
      </c>
      <c r="V100" s="989">
        <v>38465.614000000001</v>
      </c>
      <c r="W100" s="987">
        <f t="shared" si="20"/>
        <v>1.4999999999417923E-2</v>
      </c>
      <c r="X100" s="988">
        <v>0</v>
      </c>
      <c r="Y100" s="990">
        <f t="shared" si="21"/>
        <v>0</v>
      </c>
      <c r="Z100" s="929"/>
      <c r="AA100" s="930"/>
      <c r="AB100" s="931">
        <f t="shared" si="22"/>
        <v>0</v>
      </c>
      <c r="AC100" s="931">
        <f t="shared" si="12"/>
        <v>0</v>
      </c>
      <c r="AD100" s="931">
        <f t="shared" si="23"/>
        <v>1.5825839999385877E-2</v>
      </c>
      <c r="AE100" s="931">
        <f t="shared" si="24"/>
        <v>-1.5825839999385877E-2</v>
      </c>
      <c r="AF100" s="932" t="e">
        <f t="shared" si="25"/>
        <v>#REF!</v>
      </c>
      <c r="AG100" s="843"/>
      <c r="AH100" s="843"/>
      <c r="AI100" s="843"/>
      <c r="AJ100" s="843"/>
    </row>
    <row r="101" spans="2:42" ht="13.5" thickBot="1" x14ac:dyDescent="0.25">
      <c r="C101" s="938">
        <f t="shared" si="13"/>
        <v>43830</v>
      </c>
      <c r="D101" s="939">
        <f t="shared" si="14"/>
        <v>150304.21677419354</v>
      </c>
      <c r="E101" s="940">
        <f t="shared" si="15"/>
        <v>14421.080258064516</v>
      </c>
      <c r="F101" s="1887">
        <f t="shared" si="16"/>
        <v>147724.09468800001</v>
      </c>
      <c r="G101" s="942">
        <f t="shared" si="17"/>
        <v>1.00049652</v>
      </c>
      <c r="H101" s="943">
        <f t="shared" si="10"/>
        <v>147.79740000000001</v>
      </c>
      <c r="I101" s="944">
        <f t="shared" si="11"/>
        <v>312598.18961677805</v>
      </c>
      <c r="J101" s="945"/>
      <c r="K101" s="946"/>
      <c r="L101" s="946"/>
      <c r="M101" s="947">
        <v>7556.3450000000003</v>
      </c>
      <c r="N101" s="1007">
        <v>67110.429688000004</v>
      </c>
      <c r="O101" s="948">
        <v>73057.320000000007</v>
      </c>
      <c r="P101" s="1805">
        <v>0</v>
      </c>
      <c r="Q101" s="993">
        <v>0</v>
      </c>
      <c r="R101" s="995">
        <f t="shared" si="18"/>
        <v>7556.3450000000003</v>
      </c>
      <c r="S101" s="948">
        <v>71595.914000000004</v>
      </c>
      <c r="T101" s="995">
        <f t="shared" si="19"/>
        <v>-4485.4843120000005</v>
      </c>
      <c r="U101" s="994">
        <v>36710.665000000001</v>
      </c>
      <c r="V101" s="994">
        <v>36346.654999999999</v>
      </c>
      <c r="W101" s="992">
        <f t="shared" si="20"/>
        <v>0</v>
      </c>
      <c r="X101" s="993">
        <v>0</v>
      </c>
      <c r="Y101" s="995">
        <v>0</v>
      </c>
      <c r="Z101" s="949"/>
      <c r="AA101" s="950"/>
      <c r="AB101" s="951">
        <f t="shared" si="22"/>
        <v>0</v>
      </c>
      <c r="AC101" s="951">
        <f t="shared" si="12"/>
        <v>0</v>
      </c>
      <c r="AD101" s="951">
        <f t="shared" si="23"/>
        <v>0</v>
      </c>
      <c r="AE101" s="951">
        <f t="shared" si="24"/>
        <v>0</v>
      </c>
      <c r="AF101" s="952" t="e">
        <f t="shared" si="25"/>
        <v>#REF!</v>
      </c>
      <c r="AG101" s="843"/>
      <c r="AH101" s="843"/>
      <c r="AI101" s="843"/>
      <c r="AJ101" s="843"/>
    </row>
    <row r="102" spans="2:42" ht="13.5" thickBot="1" x14ac:dyDescent="0.25">
      <c r="C102" s="953"/>
      <c r="D102" s="954">
        <f>SUM(D71:D101)</f>
        <v>4659430.72</v>
      </c>
      <c r="E102" s="954">
        <f>SUM(E71:E101)</f>
        <v>447053.48799999978</v>
      </c>
      <c r="F102" s="955">
        <f>SUM(F71:F101)</f>
        <v>5670613.2646000013</v>
      </c>
      <c r="G102" s="955"/>
      <c r="H102" s="956">
        <f t="shared" ref="H102:L102" si="26">SUM(H71:H101)</f>
        <v>5673.4289000000017</v>
      </c>
      <c r="I102" s="954">
        <f t="shared" si="26"/>
        <v>10782801.916892124</v>
      </c>
      <c r="J102" s="996">
        <f t="shared" si="26"/>
        <v>0</v>
      </c>
      <c r="K102" s="996">
        <f t="shared" si="26"/>
        <v>0</v>
      </c>
      <c r="L102" s="996">
        <f t="shared" si="26"/>
        <v>0</v>
      </c>
      <c r="M102" s="996">
        <f>SUM(M71:M101)</f>
        <v>297541.30799999996</v>
      </c>
      <c r="N102" s="996">
        <f>SUM(N71:N101)</f>
        <v>2162999.5966000003</v>
      </c>
      <c r="O102" s="996">
        <f>SUM(O71:O101)</f>
        <v>3210072.3599999994</v>
      </c>
      <c r="P102" s="996">
        <f>SUM(P71:P101)</f>
        <v>0</v>
      </c>
      <c r="Q102" s="996">
        <f t="shared" ref="Q102:R102" si="27">SUM(Q71:Q101)</f>
        <v>0</v>
      </c>
      <c r="R102" s="996">
        <f t="shared" si="27"/>
        <v>297541.30799999996</v>
      </c>
      <c r="S102" s="996">
        <f t="shared" ref="S102:Z102" si="28">SUM(S71:S101)</f>
        <v>2227414.2950000004</v>
      </c>
      <c r="T102" s="996">
        <f t="shared" si="28"/>
        <v>-64414.698400000008</v>
      </c>
      <c r="U102" s="996">
        <f t="shared" si="28"/>
        <v>2057037.2969999998</v>
      </c>
      <c r="V102" s="996">
        <f t="shared" si="28"/>
        <v>1153035.1459999997</v>
      </c>
      <c r="W102" s="996">
        <f t="shared" si="28"/>
        <v>-8.3000000013271347E-2</v>
      </c>
      <c r="X102" s="996">
        <f t="shared" si="28"/>
        <v>0</v>
      </c>
      <c r="Y102" s="996">
        <f t="shared" si="28"/>
        <v>0</v>
      </c>
      <c r="Z102" s="958">
        <f t="shared" si="28"/>
        <v>0</v>
      </c>
      <c r="AA102" s="829"/>
      <c r="AB102" s="959"/>
      <c r="AC102" s="960">
        <f>SUM(AC71:AC101)</f>
        <v>0</v>
      </c>
      <c r="AD102" s="960">
        <f>SUM(AD71:AD101)</f>
        <v>-8.7569648014002008E-2</v>
      </c>
      <c r="AE102" s="960">
        <f>SUM(AE71:AE101)</f>
        <v>8.7569648014002008E-2</v>
      </c>
      <c r="AF102" s="961" t="e">
        <f>#REF!</f>
        <v>#REF!</v>
      </c>
      <c r="AG102" s="843"/>
      <c r="AH102" s="843"/>
      <c r="AI102" s="843"/>
      <c r="AJ102" s="843"/>
      <c r="AP102" s="958" t="e">
        <f>#REF!</f>
        <v>#REF!</v>
      </c>
    </row>
    <row r="103" spans="2:42" ht="15" customHeight="1" thickBot="1" x14ac:dyDescent="0.25">
      <c r="B103" s="843"/>
      <c r="C103" s="843"/>
      <c r="D103" s="843"/>
      <c r="E103" s="843"/>
      <c r="F103" s="843"/>
      <c r="G103" s="843"/>
      <c r="H103" s="843"/>
      <c r="I103" s="843"/>
      <c r="J103" s="843"/>
      <c r="K103" s="843"/>
      <c r="L103" s="843"/>
      <c r="N103" s="843"/>
      <c r="U103" s="997">
        <f>U102/(U102+V102)</f>
        <v>0.64080712617113988</v>
      </c>
      <c r="V103" s="998">
        <f>V102/(U102+V102)</f>
        <v>0.35919287382886017</v>
      </c>
      <c r="Z103" s="829"/>
      <c r="AA103" s="829"/>
      <c r="AB103" s="829"/>
      <c r="AC103" s="829"/>
      <c r="AD103" s="829"/>
      <c r="AE103" s="829"/>
      <c r="AF103" s="829"/>
      <c r="AG103" s="843"/>
      <c r="AH103" s="843"/>
      <c r="AI103" s="843"/>
      <c r="AJ103" s="843"/>
    </row>
    <row r="104" spans="2:42" ht="13.5" thickBot="1" x14ac:dyDescent="0.25">
      <c r="D104" s="1795" t="s">
        <v>155</v>
      </c>
      <c r="E104" s="1796" t="s">
        <v>156</v>
      </c>
      <c r="F104" s="1797" t="s">
        <v>112</v>
      </c>
      <c r="O104" s="1023"/>
      <c r="Z104" s="829"/>
    </row>
    <row r="105" spans="2:42" x14ac:dyDescent="0.2">
      <c r="D105" s="1798">
        <v>4659430.72</v>
      </c>
      <c r="E105" s="1800">
        <f>D102</f>
        <v>4659430.72</v>
      </c>
      <c r="F105" s="1801">
        <f>D105-E105</f>
        <v>0</v>
      </c>
      <c r="G105" s="968"/>
      <c r="H105" s="968"/>
      <c r="I105" s="968"/>
      <c r="M105" s="1840"/>
      <c r="N105" s="828"/>
      <c r="O105" s="1840"/>
      <c r="P105" s="1840"/>
      <c r="Q105" s="1840"/>
      <c r="R105" s="1840"/>
      <c r="S105" s="1840"/>
      <c r="T105" s="1909"/>
      <c r="U105" s="1840"/>
      <c r="V105" s="1840"/>
      <c r="W105" s="1840"/>
      <c r="X105" s="1840"/>
      <c r="Y105" s="1840"/>
      <c r="Z105" s="829"/>
    </row>
    <row r="106" spans="2:42" x14ac:dyDescent="0.2">
      <c r="D106" s="1798">
        <v>447053.48799999978</v>
      </c>
      <c r="E106" s="1800">
        <f>E102</f>
        <v>447053.48799999978</v>
      </c>
      <c r="F106" s="1801">
        <f>D106-E106</f>
        <v>0</v>
      </c>
      <c r="G106" s="968"/>
      <c r="H106" s="968"/>
      <c r="I106" s="968"/>
      <c r="M106" s="1840"/>
      <c r="N106" s="828"/>
      <c r="O106" s="1840"/>
      <c r="P106" s="1840"/>
      <c r="Q106" s="1840"/>
      <c r="R106" s="1840"/>
      <c r="S106" s="1840"/>
      <c r="T106" s="1840"/>
      <c r="U106" s="1840"/>
      <c r="V106" s="1840"/>
      <c r="W106" s="1840"/>
      <c r="X106" s="1840"/>
      <c r="Y106" s="1840"/>
      <c r="Z106" s="829"/>
    </row>
    <row r="107" spans="2:42" ht="15" thickBot="1" x14ac:dyDescent="0.25">
      <c r="D107" s="1799">
        <f>3211.67+2164.07+297.69</f>
        <v>5673.4299999999994</v>
      </c>
      <c r="E107" s="1802">
        <f>ROUND(H102,2)</f>
        <v>5673.43</v>
      </c>
      <c r="F107" s="1803">
        <f>D107-E107</f>
        <v>0</v>
      </c>
      <c r="G107" s="968"/>
      <c r="M107" s="1910"/>
      <c r="N107" s="1910"/>
      <c r="O107" s="1910"/>
      <c r="P107" s="1911"/>
      <c r="Q107" s="1910"/>
      <c r="R107" s="1910"/>
      <c r="S107" s="1910"/>
      <c r="T107" s="1912"/>
      <c r="U107" s="1912"/>
      <c r="V107" s="1912"/>
      <c r="W107" s="1912"/>
      <c r="X107" s="1912"/>
      <c r="Y107" s="1840"/>
    </row>
    <row r="108" spans="2:42" x14ac:dyDescent="0.2">
      <c r="D108" s="968"/>
      <c r="M108" s="1910"/>
      <c r="N108" s="1910"/>
      <c r="O108" s="1910"/>
      <c r="P108" s="1910"/>
      <c r="Q108" s="1910"/>
      <c r="R108" s="1910"/>
      <c r="S108" s="1910"/>
      <c r="T108" s="1910"/>
      <c r="U108" s="1911"/>
      <c r="V108" s="1910"/>
      <c r="W108" s="1910"/>
      <c r="X108" s="1910"/>
      <c r="Y108" s="1840"/>
    </row>
    <row r="109" spans="2:42" x14ac:dyDescent="0.2">
      <c r="M109" s="1910"/>
      <c r="N109" s="1910"/>
      <c r="O109" s="1910"/>
      <c r="P109" s="1910"/>
      <c r="Q109" s="1910"/>
      <c r="R109" s="1910"/>
      <c r="S109" s="1910"/>
      <c r="T109" s="1910"/>
      <c r="U109" s="1911"/>
      <c r="V109" s="1910"/>
      <c r="W109" s="1910"/>
      <c r="X109" s="1910"/>
      <c r="Y109" s="1840"/>
    </row>
    <row r="110" spans="2:42" x14ac:dyDescent="0.2">
      <c r="M110" s="1910"/>
      <c r="N110" s="1910"/>
      <c r="O110" s="1910"/>
      <c r="P110" s="1910"/>
      <c r="Q110" s="1910"/>
      <c r="R110" s="1910"/>
      <c r="S110" s="1910"/>
      <c r="T110" s="1910"/>
      <c r="U110" s="1911"/>
      <c r="V110" s="1910"/>
      <c r="W110" s="1910"/>
      <c r="X110" s="1910"/>
      <c r="Y110" s="1840"/>
    </row>
    <row r="111" spans="2:42" x14ac:dyDescent="0.2">
      <c r="M111" s="1910"/>
      <c r="N111" s="1910"/>
      <c r="O111" s="1911"/>
      <c r="P111" s="1910"/>
      <c r="Q111" s="1910"/>
      <c r="R111" s="1911"/>
      <c r="S111" s="1911"/>
      <c r="T111" s="1910"/>
      <c r="U111" s="1911"/>
      <c r="V111" s="1910"/>
      <c r="W111" s="1913"/>
      <c r="X111" s="1913"/>
      <c r="Y111" s="1840"/>
    </row>
    <row r="112" spans="2:42" x14ac:dyDescent="0.2">
      <c r="M112" s="1910"/>
      <c r="N112" s="1910"/>
      <c r="O112" s="1911"/>
      <c r="P112" s="1910"/>
      <c r="Q112" s="1910"/>
      <c r="R112" s="1911"/>
      <c r="S112" s="1911"/>
      <c r="T112" s="1910"/>
      <c r="U112" s="1911"/>
      <c r="V112" s="1910"/>
      <c r="W112" s="1913"/>
      <c r="X112" s="1913"/>
      <c r="Y112" s="1840"/>
    </row>
    <row r="113" spans="13:25" x14ac:dyDescent="0.2">
      <c r="M113" s="1910"/>
      <c r="N113" s="1910"/>
      <c r="O113" s="1910"/>
      <c r="P113" s="1910"/>
      <c r="Q113" s="1910"/>
      <c r="R113" s="1910"/>
      <c r="S113" s="1910"/>
      <c r="T113" s="1910"/>
      <c r="U113" s="1911"/>
      <c r="V113" s="1910"/>
      <c r="W113" s="1913"/>
      <c r="X113" s="1913"/>
      <c r="Y113" s="1840"/>
    </row>
    <row r="114" spans="13:25" x14ac:dyDescent="0.2">
      <c r="M114" s="1910"/>
      <c r="N114" s="1910"/>
      <c r="O114" s="1911"/>
      <c r="P114" s="1910"/>
      <c r="Q114" s="1910"/>
      <c r="R114" s="1911"/>
      <c r="S114" s="1911"/>
      <c r="T114" s="1910"/>
      <c r="U114" s="1911"/>
      <c r="V114" s="1910"/>
      <c r="W114" s="1913"/>
      <c r="X114" s="1913"/>
      <c r="Y114" s="1840"/>
    </row>
    <row r="115" spans="13:25" x14ac:dyDescent="0.2">
      <c r="M115" s="1910"/>
      <c r="N115" s="1910"/>
      <c r="O115" s="1911"/>
      <c r="P115" s="1910"/>
      <c r="Q115" s="1910"/>
      <c r="R115" s="1911"/>
      <c r="S115" s="1911"/>
      <c r="T115" s="1910"/>
      <c r="U115" s="1911"/>
      <c r="V115" s="1910"/>
      <c r="W115" s="1913"/>
      <c r="X115" s="1913"/>
      <c r="Y115" s="1840"/>
    </row>
    <row r="116" spans="13:25" x14ac:dyDescent="0.2">
      <c r="M116" s="1910"/>
      <c r="N116" s="1910"/>
      <c r="O116" s="1910"/>
      <c r="P116" s="1910"/>
      <c r="Q116" s="1910"/>
      <c r="R116" s="1910"/>
      <c r="S116" s="1910"/>
      <c r="T116" s="1910"/>
      <c r="U116" s="1911"/>
      <c r="V116" s="1910"/>
      <c r="W116" s="1913"/>
      <c r="X116" s="1913"/>
      <c r="Y116" s="1840"/>
    </row>
    <row r="117" spans="13:25" x14ac:dyDescent="0.2">
      <c r="M117" s="1910"/>
      <c r="N117" s="1910"/>
      <c r="O117" s="1911"/>
      <c r="P117" s="1910"/>
      <c r="Q117" s="1910"/>
      <c r="R117" s="1911"/>
      <c r="S117" s="1911"/>
      <c r="T117" s="1910"/>
      <c r="U117" s="1911"/>
      <c r="V117" s="1910"/>
      <c r="W117" s="1913"/>
      <c r="X117" s="1913"/>
      <c r="Y117" s="1840"/>
    </row>
    <row r="118" spans="13:25" x14ac:dyDescent="0.2">
      <c r="M118" s="1910"/>
      <c r="N118" s="1910"/>
      <c r="O118" s="1911"/>
      <c r="P118" s="1910"/>
      <c r="Q118" s="1910"/>
      <c r="R118" s="1911"/>
      <c r="S118" s="1911"/>
      <c r="T118" s="1910"/>
      <c r="U118" s="1911"/>
      <c r="V118" s="1910"/>
      <c r="W118" s="1913"/>
      <c r="X118" s="1913"/>
      <c r="Y118" s="1840"/>
    </row>
    <row r="119" spans="13:25" x14ac:dyDescent="0.2">
      <c r="M119" s="1910"/>
      <c r="N119" s="1910"/>
      <c r="O119" s="1911"/>
      <c r="P119" s="1910"/>
      <c r="Q119" s="1910"/>
      <c r="R119" s="1911"/>
      <c r="S119" s="1911"/>
      <c r="T119" s="1910"/>
      <c r="U119" s="1911"/>
      <c r="V119" s="1910"/>
      <c r="W119" s="1913"/>
      <c r="X119" s="1913"/>
      <c r="Y119" s="1840"/>
    </row>
    <row r="120" spans="13:25" x14ac:dyDescent="0.2">
      <c r="M120" s="1910"/>
      <c r="N120" s="1910"/>
      <c r="O120" s="1911"/>
      <c r="P120" s="1910"/>
      <c r="Q120" s="1910"/>
      <c r="R120" s="1911"/>
      <c r="S120" s="1911"/>
      <c r="T120" s="1910"/>
      <c r="U120" s="1911"/>
      <c r="V120" s="1910"/>
      <c r="W120" s="1913"/>
      <c r="X120" s="1913"/>
      <c r="Y120" s="1840"/>
    </row>
    <row r="121" spans="13:25" x14ac:dyDescent="0.2">
      <c r="M121" s="1910"/>
      <c r="N121" s="1910"/>
      <c r="O121" s="1911"/>
      <c r="P121" s="1910"/>
      <c r="Q121" s="1910"/>
      <c r="R121" s="1911"/>
      <c r="S121" s="1911"/>
      <c r="T121" s="1910"/>
      <c r="U121" s="1911"/>
      <c r="V121" s="1910"/>
      <c r="W121" s="1913"/>
      <c r="X121" s="1913"/>
      <c r="Y121" s="1840"/>
    </row>
    <row r="122" spans="13:25" x14ac:dyDescent="0.2">
      <c r="M122" s="1910"/>
      <c r="N122" s="1910"/>
      <c r="O122" s="1911"/>
      <c r="P122" s="1910"/>
      <c r="Q122" s="1910"/>
      <c r="R122" s="1911"/>
      <c r="S122" s="1911"/>
      <c r="T122" s="1910"/>
      <c r="U122" s="1911"/>
      <c r="V122" s="1910"/>
      <c r="W122" s="1913"/>
      <c r="X122" s="1913"/>
      <c r="Y122" s="1840"/>
    </row>
    <row r="123" spans="13:25" x14ac:dyDescent="0.2">
      <c r="M123" s="1910"/>
      <c r="N123" s="1910"/>
      <c r="O123" s="1911"/>
      <c r="P123" s="1910"/>
      <c r="Q123" s="1910"/>
      <c r="R123" s="1911"/>
      <c r="S123" s="1911"/>
      <c r="T123" s="1910"/>
      <c r="U123" s="1911"/>
      <c r="V123" s="1910"/>
      <c r="W123" s="1913"/>
      <c r="X123" s="1913"/>
      <c r="Y123" s="1840"/>
    </row>
    <row r="124" spans="13:25" x14ac:dyDescent="0.2">
      <c r="M124" s="1910"/>
      <c r="N124" s="1910"/>
      <c r="O124" s="1911"/>
      <c r="P124" s="1910"/>
      <c r="Q124" s="1910"/>
      <c r="R124" s="1911"/>
      <c r="S124" s="1911"/>
      <c r="T124" s="1910"/>
      <c r="U124" s="1911"/>
      <c r="V124" s="1910"/>
      <c r="W124" s="1913"/>
      <c r="X124" s="1913"/>
      <c r="Y124" s="1840"/>
    </row>
    <row r="125" spans="13:25" x14ac:dyDescent="0.2">
      <c r="M125" s="1910"/>
      <c r="N125" s="1910"/>
      <c r="O125" s="1910"/>
      <c r="P125" s="1910"/>
      <c r="Q125" s="1910"/>
      <c r="R125" s="1910"/>
      <c r="S125" s="1910"/>
      <c r="T125" s="1910"/>
      <c r="U125" s="1911"/>
      <c r="V125" s="1910"/>
      <c r="W125" s="1910"/>
      <c r="X125" s="1910"/>
      <c r="Y125" s="1840"/>
    </row>
    <row r="126" spans="13:25" x14ac:dyDescent="0.2">
      <c r="M126" s="1910"/>
      <c r="N126" s="1910"/>
      <c r="O126" s="1910"/>
      <c r="P126" s="1910"/>
      <c r="Q126" s="1910"/>
      <c r="R126" s="1910"/>
      <c r="S126" s="1910"/>
      <c r="T126" s="1910"/>
      <c r="U126" s="1911"/>
      <c r="V126" s="1910"/>
      <c r="W126" s="1910"/>
      <c r="X126" s="1910"/>
      <c r="Y126" s="1840"/>
    </row>
    <row r="127" spans="13:25" x14ac:dyDescent="0.2">
      <c r="M127" s="1910"/>
      <c r="N127" s="1910"/>
      <c r="O127" s="1911"/>
      <c r="P127" s="1910"/>
      <c r="Q127" s="1910"/>
      <c r="R127" s="1911"/>
      <c r="S127" s="1911"/>
      <c r="T127" s="1910"/>
      <c r="U127" s="1911"/>
      <c r="V127" s="1910"/>
      <c r="W127" s="1910"/>
      <c r="X127" s="1910"/>
      <c r="Y127" s="1840"/>
    </row>
    <row r="128" spans="13:25" x14ac:dyDescent="0.2">
      <c r="M128" s="1910"/>
      <c r="N128" s="1910"/>
      <c r="O128" s="1911"/>
      <c r="P128" s="1910"/>
      <c r="Q128" s="1910"/>
      <c r="R128" s="1911"/>
      <c r="S128" s="1911"/>
      <c r="T128" s="1910"/>
      <c r="U128" s="1911"/>
      <c r="V128" s="1910"/>
      <c r="W128" s="1910"/>
      <c r="X128" s="1910"/>
      <c r="Y128" s="1840"/>
    </row>
    <row r="129" spans="13:25" x14ac:dyDescent="0.2">
      <c r="M129" s="1910"/>
      <c r="N129" s="1910"/>
      <c r="O129" s="1910"/>
      <c r="P129" s="1910"/>
      <c r="Q129" s="1910"/>
      <c r="R129" s="1910"/>
      <c r="S129" s="1910"/>
      <c r="T129" s="1910"/>
      <c r="U129" s="1911"/>
      <c r="V129" s="1910"/>
      <c r="W129" s="1913"/>
      <c r="X129" s="1913"/>
      <c r="Y129" s="1840"/>
    </row>
    <row r="130" spans="13:25" x14ac:dyDescent="0.2">
      <c r="M130" s="1910"/>
      <c r="N130" s="1910"/>
      <c r="O130" s="1911"/>
      <c r="P130" s="1910"/>
      <c r="Q130" s="1910"/>
      <c r="R130" s="1911"/>
      <c r="S130" s="1911"/>
      <c r="T130" s="1910"/>
      <c r="U130" s="1911"/>
      <c r="V130" s="1910"/>
      <c r="W130" s="1913"/>
      <c r="X130" s="1913"/>
      <c r="Y130" s="1840"/>
    </row>
    <row r="131" spans="13:25" x14ac:dyDescent="0.2">
      <c r="M131" s="1910"/>
      <c r="N131" s="1910"/>
      <c r="O131" s="1911"/>
      <c r="P131" s="1910"/>
      <c r="Q131" s="1910"/>
      <c r="R131" s="1911"/>
      <c r="S131" s="1910"/>
      <c r="T131" s="1910"/>
      <c r="U131" s="1911"/>
      <c r="V131" s="1910"/>
      <c r="W131" s="1913"/>
      <c r="X131" s="1913"/>
      <c r="Y131" s="1840"/>
    </row>
    <row r="132" spans="13:25" x14ac:dyDescent="0.2">
      <c r="M132" s="1910"/>
      <c r="N132" s="1910"/>
      <c r="O132" s="1911"/>
      <c r="P132" s="1910"/>
      <c r="Q132" s="1910"/>
      <c r="R132" s="1911"/>
      <c r="S132" s="1911"/>
      <c r="T132" s="1910"/>
      <c r="U132" s="1911"/>
      <c r="V132" s="1910"/>
      <c r="W132" s="1913"/>
      <c r="X132" s="1913"/>
      <c r="Y132" s="1840"/>
    </row>
    <row r="133" spans="13:25" x14ac:dyDescent="0.2">
      <c r="M133" s="1910"/>
      <c r="N133" s="1910"/>
      <c r="O133" s="1910"/>
      <c r="P133" s="1910"/>
      <c r="Q133" s="1910"/>
      <c r="R133" s="1911"/>
      <c r="S133" s="1910"/>
      <c r="T133" s="1910"/>
      <c r="U133" s="1911"/>
      <c r="V133" s="1910"/>
      <c r="W133" s="1913"/>
      <c r="X133" s="1913"/>
      <c r="Y133" s="1840"/>
    </row>
    <row r="134" spans="13:25" x14ac:dyDescent="0.2">
      <c r="M134" s="1910"/>
      <c r="N134" s="1910"/>
      <c r="O134" s="1911"/>
      <c r="P134" s="1910"/>
      <c r="Q134" s="1910"/>
      <c r="R134" s="1911"/>
      <c r="S134" s="1911"/>
      <c r="T134" s="1910"/>
      <c r="U134" s="1911"/>
      <c r="V134" s="1910"/>
      <c r="W134" s="1913"/>
      <c r="X134" s="1913"/>
      <c r="Y134" s="1840"/>
    </row>
    <row r="135" spans="13:25" x14ac:dyDescent="0.2">
      <c r="M135" s="1910"/>
      <c r="N135" s="1910"/>
      <c r="O135" s="1911"/>
      <c r="P135" s="1910"/>
      <c r="Q135" s="1910"/>
      <c r="R135" s="1911"/>
      <c r="S135" s="1911"/>
      <c r="T135" s="1910"/>
      <c r="U135" s="1911"/>
      <c r="V135" s="1910"/>
      <c r="W135" s="1913"/>
      <c r="X135" s="1913"/>
      <c r="Y135" s="1840"/>
    </row>
    <row r="136" spans="13:25" x14ac:dyDescent="0.2">
      <c r="M136" s="1910"/>
      <c r="N136" s="1910"/>
      <c r="O136" s="1910"/>
      <c r="P136" s="1910"/>
      <c r="Q136" s="1910"/>
      <c r="R136" s="1910"/>
      <c r="S136" s="1910"/>
      <c r="T136" s="1910"/>
      <c r="U136" s="1911"/>
      <c r="V136" s="1910"/>
      <c r="W136" s="1913"/>
      <c r="X136" s="1913"/>
      <c r="Y136" s="1840"/>
    </row>
    <row r="137" spans="13:25" x14ac:dyDescent="0.2">
      <c r="M137" s="1910"/>
      <c r="N137" s="1910"/>
      <c r="O137" s="1911"/>
      <c r="P137" s="1910"/>
      <c r="Q137" s="1910"/>
      <c r="R137" s="1911"/>
      <c r="S137" s="1911"/>
      <c r="T137" s="1910"/>
      <c r="U137" s="1911"/>
      <c r="V137" s="1910"/>
      <c r="W137" s="1913"/>
      <c r="X137" s="1913"/>
      <c r="Y137" s="1840"/>
    </row>
    <row r="138" spans="13:25" x14ac:dyDescent="0.2">
      <c r="M138" s="1840"/>
      <c r="N138" s="828"/>
      <c r="O138" s="1840"/>
      <c r="P138" s="1840"/>
      <c r="Q138" s="1840"/>
      <c r="R138" s="1840"/>
      <c r="S138" s="1840"/>
      <c r="T138" s="1840"/>
      <c r="U138" s="1840"/>
      <c r="V138" s="1840"/>
      <c r="W138" s="1840"/>
      <c r="X138" s="1840"/>
      <c r="Y138" s="1840"/>
    </row>
    <row r="139" spans="13:25" x14ac:dyDescent="0.2">
      <c r="M139" s="1840"/>
      <c r="N139" s="828"/>
      <c r="O139" s="1840"/>
      <c r="P139" s="1840"/>
      <c r="Q139" s="1840"/>
      <c r="R139" s="1840"/>
      <c r="S139" s="1840"/>
      <c r="T139" s="1840"/>
      <c r="U139" s="1840"/>
      <c r="V139" s="1840"/>
      <c r="W139" s="1840"/>
      <c r="X139" s="1840"/>
      <c r="Y139" s="1840"/>
    </row>
  </sheetData>
  <mergeCells count="9">
    <mergeCell ref="M69:P69"/>
    <mergeCell ref="Q69:Y69"/>
    <mergeCell ref="C17:E17"/>
    <mergeCell ref="C3:M4"/>
    <mergeCell ref="C5:M5"/>
    <mergeCell ref="C6:M6"/>
    <mergeCell ref="C14:E14"/>
    <mergeCell ref="C15:E15"/>
    <mergeCell ref="C16:E16"/>
  </mergeCells>
  <conditionalFormatting sqref="N71:O101">
    <cfRule type="cellIs" dxfId="86" priority="6" stopIfTrue="1" operator="equal">
      <formula>0</formula>
    </cfRule>
  </conditionalFormatting>
  <conditionalFormatting sqref="S71:S99 S101">
    <cfRule type="cellIs" dxfId="85" priority="5" stopIfTrue="1" operator="equal">
      <formula>0</formula>
    </cfRule>
  </conditionalFormatting>
  <conditionalFormatting sqref="S100">
    <cfRule type="cellIs" dxfId="84" priority="4" stopIfTrue="1" operator="equal">
      <formula>0</formula>
    </cfRule>
  </conditionalFormatting>
  <conditionalFormatting sqref="M74:M76 M81:M88 M92:M101">
    <cfRule type="cellIs" dxfId="83" priority="3" stopIfTrue="1" operator="equal">
      <formula>0</formula>
    </cfRule>
  </conditionalFormatting>
  <printOptions horizontalCentered="1"/>
  <pageMargins left="0.59055118110236227" right="0.39370078740157483" top="0" bottom="0" header="0" footer="0.51181102362204722"/>
  <pageSetup scale="39" orientation="landscape" r:id="rId1"/>
  <drawing r:id="rId2"/>
  <legacyDrawing r:id="rId3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2:AP108"/>
  <sheetViews>
    <sheetView topLeftCell="G31" zoomScale="75" zoomScaleNormal="75" workbookViewId="0">
      <selection activeCell="X46" sqref="X46"/>
    </sheetView>
  </sheetViews>
  <sheetFormatPr baseColWidth="10" defaultColWidth="11" defaultRowHeight="12.75" x14ac:dyDescent="0.2"/>
  <cols>
    <col min="1" max="1" width="11" style="829"/>
    <col min="2" max="2" width="3.875" style="829" bestFit="1" customWidth="1"/>
    <col min="3" max="3" width="16.125" style="829" customWidth="1"/>
    <col min="4" max="4" width="15.125" style="829" customWidth="1"/>
    <col min="5" max="5" width="18.375" style="829" customWidth="1"/>
    <col min="6" max="6" width="17.375" style="829" customWidth="1"/>
    <col min="7" max="8" width="13.375" style="829" customWidth="1"/>
    <col min="9" max="9" width="15.125" style="829" customWidth="1"/>
    <col min="10" max="10" width="20.5" style="829" customWidth="1"/>
    <col min="11" max="11" width="12.625" style="829" customWidth="1"/>
    <col min="12" max="12" width="16" style="829" customWidth="1"/>
    <col min="13" max="13" width="17.125" style="829" customWidth="1"/>
    <col min="14" max="14" width="19" style="827" customWidth="1"/>
    <col min="15" max="15" width="11.375" style="829" customWidth="1"/>
    <col min="16" max="16" width="11.125" style="829" bestFit="1" customWidth="1"/>
    <col min="17" max="17" width="18" style="829" bestFit="1" customWidth="1"/>
    <col min="18" max="18" width="10.875" style="829" customWidth="1"/>
    <col min="19" max="19" width="11.875" style="829" bestFit="1" customWidth="1"/>
    <col min="20" max="20" width="14.625" style="829" bestFit="1" customWidth="1"/>
    <col min="21" max="21" width="20" style="829" customWidth="1"/>
    <col min="22" max="22" width="14" style="829" bestFit="1" customWidth="1"/>
    <col min="23" max="23" width="11.125" style="829" bestFit="1" customWidth="1"/>
    <col min="24" max="24" width="17.125" style="829" customWidth="1"/>
    <col min="25" max="25" width="18.625" style="829" customWidth="1"/>
    <col min="26" max="26" width="11.125" style="843" bestFit="1" customWidth="1"/>
    <col min="27" max="27" width="13" style="843" bestFit="1" customWidth="1"/>
    <col min="28" max="32" width="11" style="843"/>
    <col min="33" max="38" width="11" style="829"/>
    <col min="39" max="39" width="11.125" style="829" bestFit="1" customWidth="1"/>
    <col min="40" max="16384" width="11" style="829"/>
  </cols>
  <sheetData>
    <row r="2" spans="2:35" x14ac:dyDescent="0.2">
      <c r="B2" s="827"/>
      <c r="C2" s="828"/>
      <c r="D2" s="828"/>
      <c r="E2" s="828"/>
      <c r="F2" s="828"/>
      <c r="G2" s="828"/>
      <c r="H2" s="828"/>
      <c r="I2" s="828"/>
      <c r="J2" s="828"/>
      <c r="K2" s="828"/>
      <c r="L2" s="828"/>
      <c r="M2" s="828"/>
      <c r="N2" s="828"/>
      <c r="Z2" s="829"/>
      <c r="AA2" s="829"/>
      <c r="AB2" s="829"/>
      <c r="AC2" s="829"/>
      <c r="AD2" s="829"/>
      <c r="AE2" s="829"/>
      <c r="AF2" s="829"/>
    </row>
    <row r="3" spans="2:35" ht="15" customHeight="1" x14ac:dyDescent="0.2">
      <c r="B3" s="827"/>
      <c r="C3" s="2295"/>
      <c r="D3" s="2295"/>
      <c r="E3" s="2295"/>
      <c r="F3" s="2295"/>
      <c r="G3" s="2295"/>
      <c r="H3" s="2295"/>
      <c r="I3" s="2295"/>
      <c r="J3" s="2295"/>
      <c r="K3" s="2295"/>
      <c r="L3" s="2295"/>
      <c r="M3" s="2295"/>
      <c r="N3" s="828"/>
      <c r="Z3" s="829"/>
      <c r="AA3" s="829"/>
      <c r="AB3" s="829"/>
      <c r="AC3" s="829"/>
      <c r="AD3" s="829"/>
      <c r="AE3" s="829"/>
      <c r="AF3" s="829"/>
    </row>
    <row r="4" spans="2:35" ht="15" customHeight="1" x14ac:dyDescent="0.2">
      <c r="B4" s="827"/>
      <c r="C4" s="2295"/>
      <c r="D4" s="2295"/>
      <c r="E4" s="2295"/>
      <c r="F4" s="2295"/>
      <c r="G4" s="2295"/>
      <c r="H4" s="2295"/>
      <c r="I4" s="2295"/>
      <c r="J4" s="2295"/>
      <c r="K4" s="2295"/>
      <c r="L4" s="2295"/>
      <c r="M4" s="2295"/>
      <c r="N4" s="828"/>
      <c r="Z4" s="829"/>
      <c r="AA4" s="829"/>
      <c r="AB4" s="829"/>
      <c r="AC4" s="829"/>
      <c r="AD4" s="829"/>
      <c r="AE4" s="829"/>
      <c r="AF4" s="829"/>
    </row>
    <row r="5" spans="2:35" x14ac:dyDescent="0.2">
      <c r="B5" s="827"/>
      <c r="C5" s="2296"/>
      <c r="D5" s="2296"/>
      <c r="E5" s="2296"/>
      <c r="F5" s="2296"/>
      <c r="G5" s="2296"/>
      <c r="H5" s="2296"/>
      <c r="I5" s="2296"/>
      <c r="J5" s="2296"/>
      <c r="K5" s="2296"/>
      <c r="L5" s="2296"/>
      <c r="M5" s="2296"/>
      <c r="N5" s="828"/>
      <c r="Z5" s="829"/>
      <c r="AA5" s="829"/>
      <c r="AB5" s="829"/>
      <c r="AC5" s="829"/>
      <c r="AD5" s="829"/>
      <c r="AE5" s="829"/>
      <c r="AF5" s="829"/>
    </row>
    <row r="6" spans="2:35" x14ac:dyDescent="0.2">
      <c r="B6" s="827"/>
      <c r="C6" s="2296"/>
      <c r="D6" s="2296"/>
      <c r="E6" s="2296"/>
      <c r="F6" s="2296"/>
      <c r="G6" s="2296"/>
      <c r="H6" s="2296"/>
      <c r="I6" s="2296"/>
      <c r="J6" s="2296"/>
      <c r="K6" s="2296"/>
      <c r="L6" s="2296"/>
      <c r="M6" s="2296"/>
      <c r="N6" s="828"/>
      <c r="Z6" s="829"/>
      <c r="AA6" s="829"/>
      <c r="AB6" s="829"/>
      <c r="AC6" s="829"/>
      <c r="AD6" s="829"/>
      <c r="AE6" s="829"/>
      <c r="AF6" s="829"/>
    </row>
    <row r="7" spans="2:35" x14ac:dyDescent="0.2">
      <c r="B7" s="827"/>
      <c r="C7" s="830">
        <v>43101</v>
      </c>
      <c r="D7" s="830"/>
      <c r="E7" s="830"/>
      <c r="F7" s="830"/>
      <c r="G7" s="830"/>
      <c r="H7" s="830"/>
      <c r="I7" s="830"/>
      <c r="J7" s="830"/>
      <c r="K7" s="830"/>
      <c r="L7" s="830"/>
      <c r="M7" s="830"/>
      <c r="N7" s="830"/>
      <c r="O7" s="830"/>
      <c r="P7" s="830"/>
      <c r="Q7" s="830"/>
      <c r="R7" s="827"/>
      <c r="S7" s="827"/>
      <c r="T7" s="827"/>
      <c r="U7" s="827"/>
      <c r="V7" s="827"/>
      <c r="W7" s="827"/>
      <c r="X7" s="827"/>
      <c r="Y7" s="827"/>
      <c r="Z7" s="829"/>
      <c r="AA7" s="829"/>
      <c r="AB7" s="829"/>
      <c r="AC7" s="829"/>
      <c r="AD7" s="829"/>
      <c r="AE7" s="829"/>
      <c r="AF7" s="829"/>
    </row>
    <row r="8" spans="2:35" ht="19.5" customHeight="1" x14ac:dyDescent="0.2">
      <c r="B8" s="827"/>
      <c r="C8" s="1740"/>
      <c r="D8" s="1740"/>
      <c r="E8" s="1740"/>
      <c r="F8" s="1740"/>
      <c r="G8" s="1740"/>
      <c r="H8" s="1740"/>
      <c r="I8" s="1740"/>
      <c r="J8" s="1740"/>
      <c r="K8" s="1740"/>
      <c r="L8" s="1740"/>
      <c r="M8" s="828"/>
      <c r="N8" s="828"/>
      <c r="O8" s="827"/>
      <c r="P8" s="827"/>
      <c r="Q8" s="827"/>
      <c r="R8" s="827"/>
      <c r="S8" s="827"/>
      <c r="T8" s="827"/>
      <c r="U8" s="827"/>
      <c r="V8" s="827"/>
      <c r="W8" s="827"/>
      <c r="X8" s="827"/>
      <c r="Y8" s="827"/>
      <c r="Z8" s="829"/>
      <c r="AA8" s="829"/>
      <c r="AB8" s="829"/>
      <c r="AC8" s="829"/>
      <c r="AD8" s="829"/>
      <c r="AE8" s="829"/>
      <c r="AF8" s="829"/>
    </row>
    <row r="9" spans="2:35" ht="19.5" customHeight="1" x14ac:dyDescent="0.2">
      <c r="B9" s="827"/>
      <c r="C9" s="1740"/>
      <c r="D9" s="1740"/>
      <c r="E9" s="1740"/>
      <c r="F9" s="1740"/>
      <c r="G9" s="1740"/>
      <c r="H9" s="1740"/>
      <c r="I9" s="1740"/>
      <c r="J9" s="1740"/>
      <c r="K9" s="1740"/>
      <c r="L9" s="1740"/>
      <c r="M9" s="828"/>
      <c r="N9" s="828"/>
      <c r="O9" s="827"/>
      <c r="P9" s="827"/>
      <c r="Q9" s="827"/>
      <c r="R9" s="827"/>
      <c r="S9" s="827"/>
      <c r="T9" s="827"/>
      <c r="U9" s="827"/>
      <c r="V9" s="827"/>
      <c r="W9" s="827"/>
      <c r="X9" s="827"/>
      <c r="Y9" s="827"/>
      <c r="Z9" s="829"/>
      <c r="AA9" s="829"/>
      <c r="AB9" s="829"/>
      <c r="AC9" s="829"/>
      <c r="AD9" s="829"/>
      <c r="AE9" s="829"/>
      <c r="AF9" s="829"/>
    </row>
    <row r="10" spans="2:35" ht="19.5" customHeight="1" x14ac:dyDescent="0.2">
      <c r="B10" s="827"/>
      <c r="C10" s="1740"/>
      <c r="D10" s="1740"/>
      <c r="E10" s="1740"/>
      <c r="F10" s="1740"/>
      <c r="G10" s="1740"/>
      <c r="H10" s="1740"/>
      <c r="I10" s="1740"/>
      <c r="J10" s="1740"/>
      <c r="K10" s="1740"/>
      <c r="L10" s="1740"/>
      <c r="M10" s="828"/>
      <c r="N10" s="828"/>
      <c r="O10" s="827"/>
      <c r="P10" s="827"/>
      <c r="Q10" s="827"/>
      <c r="R10" s="827"/>
      <c r="S10" s="827"/>
      <c r="T10" s="827"/>
      <c r="U10" s="827"/>
      <c r="V10" s="827"/>
      <c r="W10" s="827"/>
      <c r="X10" s="827"/>
      <c r="Y10" s="827"/>
      <c r="Z10" s="829"/>
      <c r="AA10" s="829"/>
      <c r="AB10" s="829"/>
      <c r="AC10" s="829"/>
      <c r="AD10" s="829"/>
      <c r="AE10" s="829"/>
      <c r="AF10" s="829"/>
    </row>
    <row r="11" spans="2:35" ht="19.5" customHeight="1" x14ac:dyDescent="0.2">
      <c r="B11" s="827"/>
      <c r="C11" s="1740"/>
      <c r="D11" s="1740"/>
      <c r="E11" s="1740"/>
      <c r="F11" s="1740"/>
      <c r="G11" s="1740"/>
      <c r="H11" s="1740"/>
      <c r="I11" s="1740"/>
      <c r="J11" s="1740"/>
      <c r="K11" s="1740"/>
      <c r="L11" s="1740"/>
      <c r="M11" s="828"/>
      <c r="N11" s="828"/>
      <c r="O11" s="827"/>
      <c r="P11" s="827"/>
      <c r="Q11" s="827"/>
      <c r="R11" s="827"/>
      <c r="S11" s="827"/>
      <c r="T11" s="827"/>
      <c r="U11" s="827"/>
      <c r="V11" s="827"/>
      <c r="W11" s="827"/>
      <c r="X11" s="827"/>
      <c r="Y11" s="827"/>
      <c r="Z11" s="829"/>
      <c r="AA11" s="829"/>
      <c r="AB11" s="829"/>
      <c r="AC11" s="829"/>
      <c r="AD11" s="829"/>
      <c r="AE11" s="829"/>
      <c r="AF11" s="829"/>
    </row>
    <row r="12" spans="2:35" ht="19.5" customHeight="1" x14ac:dyDescent="0.2">
      <c r="B12" s="827"/>
      <c r="C12" s="1740"/>
      <c r="D12" s="1740"/>
      <c r="E12" s="1740"/>
      <c r="F12" s="1740"/>
      <c r="G12" s="1740"/>
      <c r="H12" s="1740"/>
      <c r="I12" s="1740"/>
      <c r="J12" s="1740"/>
      <c r="K12" s="1740"/>
      <c r="L12" s="1740"/>
      <c r="M12" s="828"/>
      <c r="N12" s="828"/>
      <c r="O12" s="827"/>
      <c r="P12" s="827"/>
      <c r="Q12" s="827"/>
      <c r="R12" s="827"/>
      <c r="S12" s="827"/>
      <c r="T12" s="827"/>
      <c r="U12" s="827"/>
      <c r="V12" s="827"/>
      <c r="W12" s="827"/>
      <c r="X12" s="827"/>
      <c r="Y12" s="827"/>
      <c r="Z12" s="829"/>
      <c r="AA12" s="829"/>
      <c r="AB12" s="829"/>
      <c r="AC12" s="829"/>
      <c r="AD12" s="829"/>
      <c r="AE12" s="829"/>
      <c r="AF12" s="829"/>
    </row>
    <row r="13" spans="2:35" ht="19.5" customHeight="1" thickBot="1" x14ac:dyDescent="0.25">
      <c r="B13" s="827"/>
      <c r="C13" s="1740"/>
      <c r="D13" s="1740"/>
      <c r="E13" s="1740"/>
      <c r="F13" s="1740"/>
      <c r="G13" s="1740"/>
      <c r="H13" s="1740"/>
      <c r="I13" s="1740"/>
      <c r="J13" s="1740"/>
      <c r="K13" s="1740"/>
      <c r="L13" s="1740"/>
      <c r="M13" s="828"/>
      <c r="N13" s="828"/>
      <c r="O13" s="827"/>
      <c r="P13" s="827"/>
      <c r="Q13" s="827"/>
      <c r="R13" s="827"/>
      <c r="S13" s="827"/>
      <c r="T13" s="827"/>
      <c r="U13" s="827"/>
      <c r="V13" s="827"/>
      <c r="W13" s="827"/>
      <c r="X13" s="827"/>
      <c r="Y13" s="827"/>
      <c r="Z13" s="829"/>
      <c r="AA13" s="829"/>
      <c r="AB13" s="829"/>
      <c r="AC13" s="829"/>
      <c r="AD13" s="829"/>
      <c r="AE13" s="829"/>
      <c r="AF13" s="829"/>
    </row>
    <row r="14" spans="2:35" ht="26.25" thickBot="1" x14ac:dyDescent="0.25">
      <c r="B14" s="827"/>
      <c r="C14" s="2333" t="s">
        <v>6</v>
      </c>
      <c r="D14" s="2334"/>
      <c r="E14" s="2335"/>
      <c r="F14" s="832" t="s">
        <v>227</v>
      </c>
      <c r="G14" s="832" t="s">
        <v>230</v>
      </c>
      <c r="H14" s="832" t="s">
        <v>228</v>
      </c>
      <c r="I14" s="832" t="s">
        <v>229</v>
      </c>
      <c r="J14" s="833" t="s">
        <v>126</v>
      </c>
      <c r="K14" s="833" t="s">
        <v>133</v>
      </c>
      <c r="L14" s="832" t="s">
        <v>127</v>
      </c>
      <c r="M14" s="834" t="s">
        <v>128</v>
      </c>
      <c r="N14" s="828"/>
      <c r="O14" s="827"/>
      <c r="P14" s="827"/>
      <c r="Q14" s="827"/>
      <c r="R14" s="827"/>
      <c r="S14" s="827"/>
      <c r="T14" s="827"/>
      <c r="U14" s="827"/>
      <c r="V14" s="827"/>
      <c r="W14" s="827"/>
      <c r="X14" s="827"/>
      <c r="Y14" s="827"/>
      <c r="Z14" s="829"/>
      <c r="AA14" s="829"/>
      <c r="AB14" s="829"/>
      <c r="AC14" s="829"/>
      <c r="AD14" s="829"/>
      <c r="AE14" s="829"/>
      <c r="AF14" s="829"/>
    </row>
    <row r="15" spans="2:35" ht="25.5" customHeight="1" thickBot="1" x14ac:dyDescent="0.25">
      <c r="B15" s="827"/>
      <c r="C15" s="2329" t="s">
        <v>131</v>
      </c>
      <c r="D15" s="2330"/>
      <c r="E15" s="2331"/>
      <c r="F15" s="835"/>
      <c r="G15" s="836" t="s">
        <v>165</v>
      </c>
      <c r="H15" s="835"/>
      <c r="I15" s="837">
        <f>IF(D105=0,E105,D105)</f>
        <v>4753878.6399999997</v>
      </c>
      <c r="J15" s="835">
        <f>I15*0.16</f>
        <v>760620.58239999996</v>
      </c>
      <c r="K15" s="835">
        <f>I15+J15</f>
        <v>5514499.2223999994</v>
      </c>
      <c r="L15" s="838" t="s">
        <v>390</v>
      </c>
      <c r="M15" s="839">
        <v>19.163</v>
      </c>
      <c r="O15" s="827"/>
      <c r="P15" s="827"/>
      <c r="Q15" s="827"/>
      <c r="R15" s="827"/>
      <c r="S15" s="827"/>
      <c r="T15" s="827"/>
      <c r="U15" s="827"/>
      <c r="V15" s="827"/>
      <c r="W15" s="827"/>
      <c r="X15" s="827"/>
      <c r="Y15" s="827"/>
      <c r="Z15" s="829"/>
      <c r="AA15" s="829"/>
      <c r="AB15" s="829"/>
      <c r="AC15" s="829"/>
      <c r="AD15" s="829"/>
      <c r="AE15" s="829"/>
      <c r="AF15" s="829"/>
    </row>
    <row r="16" spans="2:35" ht="18.75" customHeight="1" thickBot="1" x14ac:dyDescent="0.25">
      <c r="B16" s="827"/>
      <c r="C16" s="2329" t="s">
        <v>275</v>
      </c>
      <c r="D16" s="2330"/>
      <c r="E16" s="2331"/>
      <c r="F16" s="840"/>
      <c r="G16" s="840"/>
      <c r="H16" s="840"/>
      <c r="I16" s="837">
        <f>IF(D106=0,E106,D106)</f>
        <v>447053.49</v>
      </c>
      <c r="J16" s="841">
        <f>I16*0.16</f>
        <v>71528.558399999994</v>
      </c>
      <c r="K16" s="841">
        <f>I16+J16</f>
        <v>518582.04839999997</v>
      </c>
      <c r="L16" s="838" t="s">
        <v>392</v>
      </c>
      <c r="M16" s="842">
        <v>19.163</v>
      </c>
      <c r="O16" s="827"/>
      <c r="P16" s="827"/>
      <c r="Q16" s="827"/>
      <c r="R16" s="827"/>
      <c r="S16" s="827"/>
      <c r="T16" s="827"/>
      <c r="U16" s="827"/>
      <c r="V16" s="827"/>
      <c r="W16" s="827"/>
      <c r="X16" s="827"/>
      <c r="Y16" s="827"/>
      <c r="Z16" s="827"/>
      <c r="AA16" s="827"/>
      <c r="AB16" s="827"/>
      <c r="AG16" s="843"/>
      <c r="AH16" s="843"/>
      <c r="AI16" s="843"/>
    </row>
    <row r="17" spans="2:33" ht="26.25" thickBot="1" x14ac:dyDescent="0.25">
      <c r="B17" s="827"/>
      <c r="C17" s="2326" t="s">
        <v>132</v>
      </c>
      <c r="D17" s="2327"/>
      <c r="E17" s="2328"/>
      <c r="F17" s="844"/>
      <c r="G17" s="845" t="s">
        <v>165</v>
      </c>
      <c r="H17" s="844"/>
      <c r="I17" s="846">
        <f>IF(D107=0,E107,D107)</f>
        <v>5956.07</v>
      </c>
      <c r="J17" s="844">
        <f>I17*0.16</f>
        <v>952.97119999999995</v>
      </c>
      <c r="K17" s="844">
        <f>I17+J17</f>
        <v>6909.0411999999997</v>
      </c>
      <c r="L17" s="847" t="s">
        <v>391</v>
      </c>
      <c r="M17" s="848">
        <v>19.163</v>
      </c>
      <c r="O17" s="827"/>
      <c r="P17" s="827"/>
      <c r="Q17" s="827"/>
      <c r="R17" s="827"/>
      <c r="S17" s="827"/>
      <c r="T17" s="827"/>
      <c r="U17" s="827"/>
      <c r="V17" s="827"/>
      <c r="W17" s="827"/>
      <c r="X17" s="827"/>
      <c r="Y17" s="827"/>
      <c r="Z17" s="829"/>
      <c r="AA17" s="829"/>
      <c r="AB17" s="829"/>
      <c r="AC17" s="829"/>
      <c r="AD17" s="829"/>
      <c r="AE17" s="829"/>
      <c r="AF17" s="829"/>
    </row>
    <row r="18" spans="2:33" x14ac:dyDescent="0.2">
      <c r="B18" s="827"/>
      <c r="C18" s="1740"/>
      <c r="D18" s="1740"/>
      <c r="E18" s="1740"/>
      <c r="F18" s="1740"/>
      <c r="G18" s="1740"/>
      <c r="H18" s="827"/>
      <c r="I18" s="827"/>
      <c r="J18" s="827"/>
      <c r="K18" s="827"/>
      <c r="L18" s="827"/>
      <c r="M18" s="827"/>
      <c r="O18" s="827"/>
      <c r="P18" s="827"/>
      <c r="Q18" s="827"/>
      <c r="R18" s="827"/>
      <c r="S18" s="827"/>
      <c r="T18" s="827"/>
      <c r="U18" s="827"/>
      <c r="V18" s="827"/>
      <c r="W18" s="827"/>
      <c r="X18" s="827"/>
      <c r="Y18" s="827"/>
    </row>
    <row r="19" spans="2:33" x14ac:dyDescent="0.2">
      <c r="B19" s="827"/>
      <c r="C19" s="1740"/>
      <c r="D19" s="1740"/>
      <c r="E19" s="1740"/>
      <c r="F19" s="1740"/>
      <c r="G19" s="1740"/>
      <c r="H19" s="827"/>
      <c r="I19" s="827"/>
      <c r="J19" s="827"/>
      <c r="K19" s="827"/>
      <c r="L19" s="827">
        <f>K17*M17</f>
        <v>132397.9565156</v>
      </c>
      <c r="O19" s="827"/>
      <c r="P19" s="827"/>
      <c r="Q19" s="827"/>
      <c r="R19" s="827"/>
      <c r="S19" s="827"/>
      <c r="T19" s="827"/>
      <c r="U19" s="827"/>
      <c r="V19" s="827"/>
      <c r="W19" s="827"/>
      <c r="X19" s="827"/>
      <c r="Y19" s="827"/>
    </row>
    <row r="20" spans="2:33" ht="13.5" thickBot="1" x14ac:dyDescent="0.25">
      <c r="B20" s="827"/>
      <c r="C20" s="849"/>
      <c r="D20" s="1740"/>
      <c r="E20" s="1740"/>
      <c r="F20" s="1740"/>
      <c r="G20" s="1740"/>
      <c r="H20" s="1740"/>
      <c r="I20" s="1740"/>
      <c r="J20" s="1740"/>
      <c r="K20" s="1740"/>
      <c r="L20" s="1740"/>
      <c r="M20" s="1740"/>
      <c r="N20" s="1740"/>
      <c r="O20" s="1740"/>
      <c r="P20" s="1740"/>
      <c r="Q20" s="1740"/>
      <c r="R20" s="827"/>
      <c r="S20" s="827"/>
      <c r="T20" s="827"/>
      <c r="U20" s="827"/>
      <c r="V20" s="827"/>
      <c r="W20" s="827"/>
      <c r="X20" s="827"/>
      <c r="Y20" s="827"/>
      <c r="Z20" s="827"/>
      <c r="AG20" s="843"/>
    </row>
    <row r="21" spans="2:33" ht="51.75" thickBot="1" x14ac:dyDescent="0.25">
      <c r="B21" s="827"/>
      <c r="C21" s="850" t="s">
        <v>134</v>
      </c>
      <c r="D21" s="832" t="s">
        <v>135</v>
      </c>
      <c r="E21" s="832" t="s">
        <v>285</v>
      </c>
      <c r="F21" s="832" t="s">
        <v>278</v>
      </c>
      <c r="G21" s="832" t="s">
        <v>153</v>
      </c>
      <c r="H21" s="832" t="s">
        <v>279</v>
      </c>
      <c r="I21" s="832" t="s">
        <v>281</v>
      </c>
      <c r="J21" s="832" t="s">
        <v>280</v>
      </c>
      <c r="K21" s="832" t="s">
        <v>245</v>
      </c>
      <c r="L21" s="832" t="s">
        <v>246</v>
      </c>
      <c r="M21" s="832"/>
      <c r="N21" s="834" t="s">
        <v>158</v>
      </c>
      <c r="O21" s="1740"/>
      <c r="P21" s="1740"/>
      <c r="Q21" s="1740"/>
      <c r="R21" s="1740"/>
      <c r="S21" s="1740"/>
      <c r="T21" s="1740"/>
      <c r="U21" s="1740"/>
      <c r="V21" s="827"/>
      <c r="W21" s="827"/>
      <c r="X21" s="827"/>
      <c r="Y21" s="827"/>
      <c r="Z21" s="827"/>
      <c r="AG21" s="843"/>
    </row>
    <row r="22" spans="2:33" ht="13.5" thickBot="1" x14ac:dyDescent="0.25">
      <c r="B22" s="827"/>
      <c r="C22" s="851">
        <v>850</v>
      </c>
      <c r="D22" s="1010">
        <v>850</v>
      </c>
      <c r="E22" s="852">
        <v>31482640</v>
      </c>
      <c r="F22" s="852">
        <v>31482640</v>
      </c>
      <c r="G22" s="852">
        <v>31</v>
      </c>
      <c r="H22" s="853">
        <f>VLOOKUP(C69,Tarifas!D4:H303,3)</f>
        <v>0.151</v>
      </c>
      <c r="I22" s="2073">
        <v>1.4200000000000001E-2</v>
      </c>
      <c r="J22" s="2073">
        <f>VLOOKUP(C69,Tarifas!D4:H303,5)</f>
        <v>1E-3</v>
      </c>
      <c r="K22" s="1873">
        <v>202.1</v>
      </c>
      <c r="L22" s="1873">
        <v>201.4</v>
      </c>
      <c r="M22" s="853"/>
      <c r="N22" s="854">
        <f>F102</f>
        <v>5935431.317131497</v>
      </c>
      <c r="O22" s="855"/>
      <c r="P22" s="855"/>
      <c r="Q22" s="1740"/>
      <c r="R22" s="1740"/>
      <c r="S22" s="1740"/>
      <c r="T22" s="1740"/>
      <c r="U22" s="1740"/>
      <c r="V22" s="827"/>
      <c r="W22" s="827"/>
      <c r="X22" s="827"/>
      <c r="Y22" s="827"/>
      <c r="Z22" s="827"/>
      <c r="AG22" s="843"/>
    </row>
    <row r="23" spans="2:33" x14ac:dyDescent="0.2">
      <c r="B23" s="827"/>
      <c r="C23" s="1740"/>
      <c r="D23" s="1740"/>
      <c r="E23" s="1740"/>
      <c r="F23" s="1740"/>
      <c r="G23" s="1740"/>
      <c r="H23" s="1740"/>
      <c r="I23" s="1740"/>
      <c r="J23" s="1740"/>
      <c r="K23" s="856"/>
      <c r="L23" s="1740"/>
      <c r="M23" s="1740"/>
      <c r="N23" s="1740"/>
      <c r="O23" s="1740"/>
      <c r="P23" s="1740"/>
      <c r="Q23" s="1740"/>
      <c r="R23" s="1740"/>
      <c r="S23" s="1740"/>
      <c r="T23" s="827"/>
      <c r="U23" s="827"/>
      <c r="V23" s="827"/>
      <c r="W23" s="827"/>
      <c r="X23" s="827"/>
      <c r="Y23" s="827"/>
      <c r="Z23" s="827"/>
      <c r="AG23" s="843"/>
    </row>
    <row r="24" spans="2:33" x14ac:dyDescent="0.2">
      <c r="B24" s="827"/>
      <c r="C24" s="1740"/>
      <c r="D24" s="1740"/>
      <c r="E24" s="1740"/>
      <c r="F24" s="1740"/>
      <c r="G24" s="1740"/>
      <c r="H24" s="1740"/>
      <c r="I24" s="1740"/>
      <c r="J24" s="1740"/>
      <c r="K24" s="1740"/>
      <c r="L24" s="1740"/>
      <c r="M24" s="1740"/>
      <c r="N24" s="1740"/>
      <c r="O24" s="1740"/>
      <c r="P24" s="1740"/>
      <c r="Q24" s="857" t="s">
        <v>405</v>
      </c>
      <c r="R24" s="827"/>
      <c r="S24" s="827"/>
      <c r="T24" s="827"/>
      <c r="U24" s="827"/>
      <c r="V24" s="827"/>
      <c r="W24" s="827"/>
      <c r="X24" s="827"/>
      <c r="Y24" s="827"/>
      <c r="Z24" s="827"/>
      <c r="AG24" s="843"/>
    </row>
    <row r="25" spans="2:33" x14ac:dyDescent="0.2">
      <c r="B25" s="827"/>
      <c r="C25" s="1740"/>
      <c r="D25" s="1740"/>
      <c r="E25" s="1740"/>
      <c r="F25" s="1740"/>
      <c r="G25" s="1740"/>
      <c r="H25" s="1740"/>
      <c r="I25" s="1740"/>
      <c r="J25" s="1740"/>
      <c r="K25" s="1740"/>
      <c r="L25" s="1740"/>
      <c r="M25" s="1740"/>
      <c r="N25" s="1740"/>
      <c r="O25" s="827"/>
      <c r="P25" s="827"/>
      <c r="R25" s="827"/>
      <c r="S25" s="827"/>
      <c r="T25" s="827"/>
      <c r="U25" s="827"/>
      <c r="V25" s="827"/>
      <c r="W25" s="827"/>
      <c r="X25" s="843"/>
      <c r="Y25" s="843"/>
      <c r="AE25" s="829"/>
      <c r="AF25" s="829"/>
    </row>
    <row r="26" spans="2:33" ht="13.5" thickBot="1" x14ac:dyDescent="0.25">
      <c r="B26" s="827"/>
      <c r="C26" s="858" t="s">
        <v>86</v>
      </c>
      <c r="D26" s="858"/>
      <c r="E26" s="858"/>
      <c r="F26" s="858"/>
      <c r="G26" s="858"/>
      <c r="H26" s="859"/>
      <c r="I26" s="858"/>
      <c r="J26" s="858"/>
      <c r="K26" s="858"/>
      <c r="L26" s="859"/>
      <c r="M26" s="860"/>
      <c r="N26" s="861"/>
      <c r="Q26" s="857"/>
      <c r="R26" s="827"/>
      <c r="S26" s="827"/>
      <c r="T26" s="827"/>
      <c r="U26" s="827"/>
      <c r="V26" s="827"/>
      <c r="W26" s="827"/>
      <c r="X26" s="843"/>
      <c r="Y26" s="843"/>
      <c r="Z26" s="862"/>
      <c r="AE26" s="829"/>
      <c r="AF26" s="829"/>
    </row>
    <row r="27" spans="2:33" ht="35.1" customHeight="1" thickBot="1" x14ac:dyDescent="0.25">
      <c r="B27" s="827"/>
      <c r="C27" s="850" t="s">
        <v>87</v>
      </c>
      <c r="D27" s="832" t="s">
        <v>88</v>
      </c>
      <c r="E27" s="832" t="s">
        <v>237</v>
      </c>
      <c r="F27" s="833" t="s">
        <v>160</v>
      </c>
      <c r="G27" s="832" t="s">
        <v>236</v>
      </c>
      <c r="H27" s="833" t="s">
        <v>232</v>
      </c>
      <c r="I27" s="833" t="s">
        <v>233</v>
      </c>
      <c r="J27" s="833" t="s">
        <v>20</v>
      </c>
      <c r="K27" s="832" t="s">
        <v>91</v>
      </c>
      <c r="L27" s="832" t="s">
        <v>93</v>
      </c>
      <c r="M27" s="832" t="s">
        <v>94</v>
      </c>
      <c r="N27" s="863" t="s">
        <v>95</v>
      </c>
      <c r="P27" s="850" t="s">
        <v>237</v>
      </c>
      <c r="Q27" s="833" t="s">
        <v>160</v>
      </c>
      <c r="R27" s="832" t="s">
        <v>236</v>
      </c>
      <c r="S27" s="833" t="s">
        <v>232</v>
      </c>
      <c r="T27" s="833" t="s">
        <v>233</v>
      </c>
      <c r="U27" s="833" t="s">
        <v>20</v>
      </c>
      <c r="V27" s="832" t="s">
        <v>91</v>
      </c>
      <c r="W27" s="832" t="s">
        <v>93</v>
      </c>
      <c r="X27" s="832" t="s">
        <v>94</v>
      </c>
      <c r="Y27" s="834" t="s">
        <v>95</v>
      </c>
      <c r="Z27" s="861"/>
      <c r="AE27" s="829"/>
      <c r="AF27" s="829"/>
    </row>
    <row r="28" spans="2:33" ht="35.1" customHeight="1" thickBot="1" x14ac:dyDescent="0.25">
      <c r="B28" s="827"/>
      <c r="C28" s="864"/>
      <c r="D28" s="1000"/>
      <c r="E28" s="1000"/>
      <c r="F28" s="836"/>
      <c r="G28" s="836"/>
      <c r="H28" s="836"/>
      <c r="I28" s="836"/>
      <c r="J28" s="972"/>
      <c r="K28" s="841"/>
      <c r="L28" s="866"/>
      <c r="M28" s="835"/>
      <c r="N28" s="867"/>
      <c r="P28" s="864" t="s">
        <v>242</v>
      </c>
      <c r="Q28" s="836" t="s">
        <v>221</v>
      </c>
      <c r="R28" s="836" t="s">
        <v>222</v>
      </c>
      <c r="S28" s="836">
        <v>2280</v>
      </c>
      <c r="T28" s="836">
        <v>453658</v>
      </c>
      <c r="U28" s="972" t="s">
        <v>97</v>
      </c>
      <c r="V28" s="841">
        <v>80000</v>
      </c>
      <c r="W28" s="1869">
        <f>IFERROR(V28/$V$34,0)</f>
        <v>9.4117647058823528E-2</v>
      </c>
      <c r="X28" s="837">
        <f t="shared" ref="X28:X33" si="0">ROUND(W28*I$15,2)</f>
        <v>447423.87</v>
      </c>
      <c r="Y28" s="868">
        <f t="shared" ref="Y28:Y33" si="1">X28*M$15</f>
        <v>8573983.6208100002</v>
      </c>
      <c r="Z28" s="860"/>
      <c r="AA28" s="1059"/>
      <c r="AE28" s="829"/>
      <c r="AF28" s="829"/>
    </row>
    <row r="29" spans="2:33" ht="35.1" customHeight="1" thickBot="1" x14ac:dyDescent="0.25">
      <c r="B29" s="827"/>
      <c r="C29" s="864"/>
      <c r="D29" s="1000"/>
      <c r="E29" s="1000"/>
      <c r="F29" s="836"/>
      <c r="G29" s="836"/>
      <c r="H29" s="836"/>
      <c r="I29" s="836"/>
      <c r="J29" s="972"/>
      <c r="K29" s="841"/>
      <c r="L29" s="866"/>
      <c r="M29" s="835"/>
      <c r="N29" s="867"/>
      <c r="P29" s="864" t="s">
        <v>242</v>
      </c>
      <c r="Q29" s="836" t="s">
        <v>221</v>
      </c>
      <c r="R29" s="836" t="s">
        <v>222</v>
      </c>
      <c r="S29" s="836">
        <v>2280</v>
      </c>
      <c r="T29" s="836">
        <v>453658</v>
      </c>
      <c r="U29" s="972" t="s">
        <v>100</v>
      </c>
      <c r="V29" s="841">
        <v>40000</v>
      </c>
      <c r="W29" s="1869">
        <f>IFERROR(V29/$V$34,0)</f>
        <v>4.7058823529411764E-2</v>
      </c>
      <c r="X29" s="837">
        <f t="shared" si="0"/>
        <v>223711.94</v>
      </c>
      <c r="Y29" s="868">
        <f t="shared" si="1"/>
        <v>4286991.9062200002</v>
      </c>
      <c r="Z29" s="860"/>
      <c r="AE29" s="829"/>
      <c r="AF29" s="829"/>
    </row>
    <row r="30" spans="2:33" ht="35.1" customHeight="1" thickBot="1" x14ac:dyDescent="0.25">
      <c r="B30" s="827"/>
      <c r="C30" s="864"/>
      <c r="D30" s="1000"/>
      <c r="E30" s="1000"/>
      <c r="F30" s="836"/>
      <c r="G30" s="836"/>
      <c r="H30" s="836"/>
      <c r="I30" s="836"/>
      <c r="J30" s="972"/>
      <c r="K30" s="841"/>
      <c r="L30" s="866"/>
      <c r="M30" s="835"/>
      <c r="N30" s="867"/>
      <c r="P30" s="864" t="s">
        <v>242</v>
      </c>
      <c r="Q30" s="836" t="s">
        <v>221</v>
      </c>
      <c r="R30" s="836" t="s">
        <v>222</v>
      </c>
      <c r="S30" s="836">
        <v>2280</v>
      </c>
      <c r="T30" s="836">
        <v>453658</v>
      </c>
      <c r="U30" s="972" t="s">
        <v>393</v>
      </c>
      <c r="V30" s="841">
        <v>22000</v>
      </c>
      <c r="W30" s="1869">
        <f>IFERROR(V30/$V$34,0)</f>
        <v>2.5882352941176471E-2</v>
      </c>
      <c r="X30" s="837">
        <f t="shared" si="0"/>
        <v>123041.56</v>
      </c>
      <c r="Y30" s="868">
        <f t="shared" si="1"/>
        <v>2357845.4142800001</v>
      </c>
      <c r="Z30" s="860"/>
      <c r="AE30" s="829"/>
      <c r="AF30" s="829"/>
    </row>
    <row r="31" spans="2:33" ht="35.1" customHeight="1" thickBot="1" x14ac:dyDescent="0.25">
      <c r="B31" s="827"/>
      <c r="C31" s="864"/>
      <c r="D31" s="1000"/>
      <c r="E31" s="1000"/>
      <c r="F31" s="836"/>
      <c r="G31" s="836"/>
      <c r="H31" s="836"/>
      <c r="I31" s="836"/>
      <c r="J31" s="972"/>
      <c r="K31" s="841"/>
      <c r="L31" s="866"/>
      <c r="M31" s="835"/>
      <c r="N31" s="867"/>
      <c r="P31" s="864" t="s">
        <v>242</v>
      </c>
      <c r="Q31" s="836" t="s">
        <v>221</v>
      </c>
      <c r="R31" s="836" t="s">
        <v>222</v>
      </c>
      <c r="S31" s="836">
        <v>2280</v>
      </c>
      <c r="T31" s="836">
        <v>453658</v>
      </c>
      <c r="U31" s="972" t="s">
        <v>288</v>
      </c>
      <c r="V31" s="841">
        <v>0</v>
      </c>
      <c r="W31" s="1869">
        <f t="shared" ref="W31:W33" si="2">IFERROR(V31/$V$34,0)</f>
        <v>0</v>
      </c>
      <c r="X31" s="837">
        <f t="shared" si="0"/>
        <v>0</v>
      </c>
      <c r="Y31" s="868">
        <f t="shared" si="1"/>
        <v>0</v>
      </c>
      <c r="Z31" s="860"/>
      <c r="AE31" s="829"/>
      <c r="AF31" s="829"/>
    </row>
    <row r="32" spans="2:33" ht="35.1" customHeight="1" thickBot="1" x14ac:dyDescent="0.25">
      <c r="B32" s="827"/>
      <c r="C32" s="1893"/>
      <c r="D32" s="2037"/>
      <c r="E32" s="2037"/>
      <c r="F32" s="1894"/>
      <c r="G32" s="1894"/>
      <c r="H32" s="1894"/>
      <c r="I32" s="1894"/>
      <c r="J32" s="1895"/>
      <c r="K32" s="1896"/>
      <c r="L32" s="866"/>
      <c r="M32" s="835"/>
      <c r="N32" s="867"/>
      <c r="P32" s="864" t="s">
        <v>239</v>
      </c>
      <c r="Q32" s="836" t="s">
        <v>238</v>
      </c>
      <c r="R32" s="836">
        <v>100887241</v>
      </c>
      <c r="S32" s="836" t="s">
        <v>344</v>
      </c>
      <c r="T32" s="836">
        <v>468094</v>
      </c>
      <c r="U32" s="972" t="s">
        <v>23</v>
      </c>
      <c r="V32" s="841">
        <v>95000</v>
      </c>
      <c r="W32" s="1869">
        <f t="shared" si="2"/>
        <v>0.11176470588235295</v>
      </c>
      <c r="X32" s="837">
        <f t="shared" si="0"/>
        <v>531315.85</v>
      </c>
      <c r="Y32" s="868">
        <f t="shared" si="1"/>
        <v>10181605.633549999</v>
      </c>
      <c r="Z32" s="860"/>
      <c r="AE32" s="829"/>
      <c r="AF32" s="829"/>
    </row>
    <row r="33" spans="2:32" ht="35.1" customHeight="1" thickBot="1" x14ac:dyDescent="0.25">
      <c r="B33" s="827"/>
      <c r="C33" s="1890">
        <v>800874933</v>
      </c>
      <c r="D33" s="1877">
        <v>1</v>
      </c>
      <c r="E33" s="1877" t="s">
        <v>242</v>
      </c>
      <c r="F33" s="1878" t="s">
        <v>221</v>
      </c>
      <c r="G33" s="1878" t="s">
        <v>222</v>
      </c>
      <c r="H33" s="1878">
        <v>2280</v>
      </c>
      <c r="I33" s="1878">
        <v>453851</v>
      </c>
      <c r="J33" s="1891" t="s">
        <v>159</v>
      </c>
      <c r="K33" s="1892">
        <f>850000-K28-K29-K31-K32</f>
        <v>850000</v>
      </c>
      <c r="L33" s="872">
        <v>1</v>
      </c>
      <c r="M33" s="844">
        <v>4753878.6400000006</v>
      </c>
      <c r="N33" s="873">
        <f>M33*M15</f>
        <v>91098576.378320009</v>
      </c>
      <c r="P33" s="1004" t="s">
        <v>242</v>
      </c>
      <c r="Q33" s="1003" t="s">
        <v>221</v>
      </c>
      <c r="R33" s="1003" t="s">
        <v>222</v>
      </c>
      <c r="S33" s="1003">
        <v>2280</v>
      </c>
      <c r="T33" s="1003">
        <v>453851</v>
      </c>
      <c r="U33" s="2038" t="s">
        <v>159</v>
      </c>
      <c r="V33" s="1852">
        <f>850000-V28-V29-V30-V31-V32</f>
        <v>613000</v>
      </c>
      <c r="W33" s="2039">
        <f t="shared" si="2"/>
        <v>0.72117647058823531</v>
      </c>
      <c r="X33" s="1854">
        <f t="shared" si="0"/>
        <v>3428385.42</v>
      </c>
      <c r="Y33" s="1855">
        <f t="shared" si="1"/>
        <v>65698149.803460002</v>
      </c>
      <c r="Z33" s="860"/>
      <c r="AE33" s="829"/>
      <c r="AF33" s="829"/>
    </row>
    <row r="34" spans="2:32" ht="35.1" customHeight="1" x14ac:dyDescent="0.2">
      <c r="B34" s="827"/>
      <c r="C34" s="881"/>
      <c r="D34" s="882" t="s">
        <v>102</v>
      </c>
      <c r="E34" s="882"/>
      <c r="F34" s="882"/>
      <c r="G34" s="882"/>
      <c r="H34" s="882"/>
      <c r="I34" s="883"/>
      <c r="J34" s="883"/>
      <c r="K34" s="884">
        <f>SUM(K28:K33)</f>
        <v>850000</v>
      </c>
      <c r="L34" s="885">
        <f>SUM(L28:L33)</f>
        <v>1</v>
      </c>
      <c r="M34" s="886">
        <f>SUM(M28:M33)</f>
        <v>4753878.6400000006</v>
      </c>
      <c r="N34" s="886">
        <f>SUM(N28:N33)</f>
        <v>91098576.378320009</v>
      </c>
      <c r="P34" s="882"/>
      <c r="Q34" s="882"/>
      <c r="R34" s="882"/>
      <c r="S34" s="882"/>
      <c r="T34" s="883"/>
      <c r="U34" s="883"/>
      <c r="V34" s="884">
        <f>SUM(V28:V33)</f>
        <v>850000</v>
      </c>
      <c r="W34" s="885">
        <f>SUM(W28:W33)</f>
        <v>1</v>
      </c>
      <c r="X34" s="887">
        <f>SUM(X28:X33)</f>
        <v>4753878.6400000006</v>
      </c>
      <c r="Y34" s="887">
        <f>SUM(Y28:Y33)</f>
        <v>91098576.378320009</v>
      </c>
      <c r="Z34" s="827"/>
      <c r="AE34" s="829"/>
      <c r="AF34" s="829"/>
    </row>
    <row r="35" spans="2:32" ht="20.100000000000001" customHeight="1" x14ac:dyDescent="0.2">
      <c r="B35" s="827"/>
      <c r="C35" s="860"/>
      <c r="D35" s="860"/>
      <c r="E35" s="860"/>
      <c r="F35" s="860"/>
      <c r="G35" s="888"/>
      <c r="H35" s="888"/>
      <c r="I35" s="860"/>
      <c r="J35" s="860"/>
      <c r="K35" s="860"/>
      <c r="L35" s="860"/>
      <c r="M35" s="889"/>
      <c r="P35" s="860"/>
      <c r="Q35" s="860"/>
      <c r="R35" s="888"/>
      <c r="S35" s="888"/>
      <c r="T35" s="860"/>
      <c r="U35" s="860"/>
      <c r="V35" s="860"/>
      <c r="W35" s="860"/>
      <c r="X35" s="890"/>
      <c r="Y35" s="891"/>
      <c r="Z35" s="827"/>
      <c r="AE35" s="829"/>
      <c r="AF35" s="829"/>
    </row>
    <row r="36" spans="2:32" ht="20.100000000000001" customHeight="1" x14ac:dyDescent="0.2">
      <c r="B36" s="827"/>
      <c r="C36" s="860"/>
      <c r="D36" s="860"/>
      <c r="E36" s="860"/>
      <c r="F36" s="860"/>
      <c r="G36" s="888"/>
      <c r="H36" s="888"/>
      <c r="I36" s="860"/>
      <c r="J36" s="860"/>
      <c r="K36" s="860"/>
      <c r="L36" s="860"/>
      <c r="M36" s="889"/>
      <c r="P36" s="860"/>
      <c r="Q36" s="860"/>
      <c r="R36" s="888"/>
      <c r="S36" s="888"/>
      <c r="T36" s="860"/>
      <c r="U36" s="860"/>
      <c r="V36" s="860"/>
      <c r="W36" s="892"/>
      <c r="X36" s="889"/>
      <c r="Y36" s="893"/>
      <c r="Z36" s="827"/>
      <c r="AE36" s="829"/>
      <c r="AF36" s="829"/>
    </row>
    <row r="38" spans="2:32" ht="20.100000000000001" customHeight="1" thickBot="1" x14ac:dyDescent="0.25">
      <c r="B38" s="827"/>
      <c r="C38" s="858" t="s">
        <v>274</v>
      </c>
      <c r="D38" s="858"/>
      <c r="E38" s="858"/>
      <c r="F38" s="858"/>
      <c r="G38" s="858"/>
      <c r="H38" s="859"/>
      <c r="I38" s="858"/>
      <c r="J38" s="858"/>
      <c r="K38" s="858"/>
      <c r="L38" s="859"/>
      <c r="M38" s="860"/>
      <c r="N38" s="861"/>
      <c r="P38" s="858"/>
      <c r="Q38" s="858"/>
      <c r="R38" s="858"/>
      <c r="S38" s="859"/>
      <c r="T38" s="858"/>
      <c r="U38" s="858"/>
      <c r="V38" s="858"/>
      <c r="W38" s="860"/>
      <c r="X38" s="860"/>
      <c r="Y38" s="894"/>
      <c r="Z38" s="862"/>
      <c r="AE38" s="829"/>
      <c r="AF38" s="829"/>
    </row>
    <row r="39" spans="2:32" ht="35.1" customHeight="1" thickBot="1" x14ac:dyDescent="0.25">
      <c r="B39" s="827"/>
      <c r="C39" s="850" t="s">
        <v>87</v>
      </c>
      <c r="D39" s="895" t="s">
        <v>88</v>
      </c>
      <c r="E39" s="895" t="s">
        <v>237</v>
      </c>
      <c r="F39" s="896" t="s">
        <v>160</v>
      </c>
      <c r="G39" s="895" t="s">
        <v>236</v>
      </c>
      <c r="H39" s="896" t="s">
        <v>232</v>
      </c>
      <c r="I39" s="896" t="s">
        <v>233</v>
      </c>
      <c r="J39" s="896" t="s">
        <v>20</v>
      </c>
      <c r="K39" s="832" t="s">
        <v>91</v>
      </c>
      <c r="L39" s="895" t="s">
        <v>93</v>
      </c>
      <c r="M39" s="895" t="s">
        <v>94</v>
      </c>
      <c r="N39" s="897" t="s">
        <v>95</v>
      </c>
      <c r="P39" s="1075" t="s">
        <v>237</v>
      </c>
      <c r="Q39" s="896" t="s">
        <v>160</v>
      </c>
      <c r="R39" s="895" t="s">
        <v>236</v>
      </c>
      <c r="S39" s="896" t="s">
        <v>232</v>
      </c>
      <c r="T39" s="896" t="s">
        <v>233</v>
      </c>
      <c r="U39" s="896" t="s">
        <v>20</v>
      </c>
      <c r="V39" s="832" t="s">
        <v>91</v>
      </c>
      <c r="W39" s="895" t="s">
        <v>93</v>
      </c>
      <c r="X39" s="895" t="s">
        <v>94</v>
      </c>
      <c r="Y39" s="897" t="s">
        <v>95</v>
      </c>
      <c r="Z39" s="862"/>
      <c r="AE39" s="829"/>
      <c r="AF39" s="829"/>
    </row>
    <row r="40" spans="2:32" ht="35.1" customHeight="1" thickBot="1" x14ac:dyDescent="0.25">
      <c r="B40" s="827"/>
      <c r="C40" s="864"/>
      <c r="D40" s="1000"/>
      <c r="E40" s="1000"/>
      <c r="F40" s="836"/>
      <c r="G40" s="836"/>
      <c r="H40" s="836"/>
      <c r="I40" s="836"/>
      <c r="J40" s="865"/>
      <c r="K40" s="841"/>
      <c r="L40" s="866"/>
      <c r="M40" s="837"/>
      <c r="N40" s="868"/>
      <c r="P40" s="864" t="s">
        <v>242</v>
      </c>
      <c r="Q40" s="836" t="s">
        <v>221</v>
      </c>
      <c r="R40" s="836" t="s">
        <v>222</v>
      </c>
      <c r="S40" s="836">
        <v>2280</v>
      </c>
      <c r="T40" s="836">
        <v>453658</v>
      </c>
      <c r="U40" s="972" t="s">
        <v>97</v>
      </c>
      <c r="V40" s="841">
        <v>80000</v>
      </c>
      <c r="W40" s="866">
        <f>IFERROR(V40/$V$43,0)</f>
        <v>0.66666666666666663</v>
      </c>
      <c r="X40" s="837">
        <f>ROUND(W40*I$16,2)</f>
        <v>298035.65999999997</v>
      </c>
      <c r="Y40" s="868">
        <f>X40*$M$16</f>
        <v>5711257.3525799997</v>
      </c>
      <c r="Z40" s="862"/>
      <c r="AE40" s="829"/>
      <c r="AF40" s="829"/>
    </row>
    <row r="41" spans="2:32" ht="35.1" customHeight="1" thickBot="1" x14ac:dyDescent="0.25">
      <c r="B41" s="827"/>
      <c r="C41" s="864"/>
      <c r="D41" s="1000"/>
      <c r="E41" s="1000"/>
      <c r="F41" s="836"/>
      <c r="G41" s="836"/>
      <c r="H41" s="836"/>
      <c r="I41" s="836"/>
      <c r="J41" s="865"/>
      <c r="K41" s="841"/>
      <c r="L41" s="866"/>
      <c r="M41" s="837"/>
      <c r="N41" s="868"/>
      <c r="P41" s="864" t="s">
        <v>242</v>
      </c>
      <c r="Q41" s="836" t="s">
        <v>221</v>
      </c>
      <c r="R41" s="836" t="s">
        <v>222</v>
      </c>
      <c r="S41" s="836">
        <v>2280</v>
      </c>
      <c r="T41" s="836">
        <v>453658</v>
      </c>
      <c r="U41" s="972" t="s">
        <v>100</v>
      </c>
      <c r="V41" s="841">
        <v>40000</v>
      </c>
      <c r="W41" s="866">
        <f>IFERROR(V41/$V$43,0)</f>
        <v>0.33333333333333331</v>
      </c>
      <c r="X41" s="837">
        <f>ROUND(W41*I$16,2)</f>
        <v>149017.82999999999</v>
      </c>
      <c r="Y41" s="868">
        <f>X41*$M$16</f>
        <v>2855628.6762899999</v>
      </c>
      <c r="Z41" s="862"/>
      <c r="AE41" s="829"/>
      <c r="AF41" s="829"/>
    </row>
    <row r="42" spans="2:32" ht="35.1" customHeight="1" thickBot="1" x14ac:dyDescent="0.25">
      <c r="B42" s="827"/>
      <c r="C42" s="1004">
        <v>800874975</v>
      </c>
      <c r="D42" s="853">
        <v>1</v>
      </c>
      <c r="E42" s="853" t="s">
        <v>242</v>
      </c>
      <c r="F42" s="1003" t="s">
        <v>221</v>
      </c>
      <c r="G42" s="1003" t="s">
        <v>222</v>
      </c>
      <c r="H42" s="1003">
        <v>2280</v>
      </c>
      <c r="I42" s="1003">
        <v>453851</v>
      </c>
      <c r="J42" s="871" t="s">
        <v>159</v>
      </c>
      <c r="K42" s="852">
        <v>120000</v>
      </c>
      <c r="L42" s="872">
        <v>1</v>
      </c>
      <c r="M42" s="846">
        <f>ROUND(L42*I$16,2)</f>
        <v>447053.49</v>
      </c>
      <c r="N42" s="898">
        <f>M42*$M$16</f>
        <v>8566886.0288699996</v>
      </c>
      <c r="P42" s="851" t="s">
        <v>401</v>
      </c>
      <c r="Q42" s="845" t="s">
        <v>221</v>
      </c>
      <c r="R42" s="845" t="s">
        <v>222</v>
      </c>
      <c r="S42" s="845">
        <v>2280</v>
      </c>
      <c r="T42" s="845">
        <v>453851</v>
      </c>
      <c r="U42" s="973" t="s">
        <v>159</v>
      </c>
      <c r="V42" s="852">
        <v>0</v>
      </c>
      <c r="W42" s="872">
        <f>IFERROR(V42/$V$43,0)</f>
        <v>0</v>
      </c>
      <c r="X42" s="846">
        <f>ROUND(W42*I$16,2)</f>
        <v>0</v>
      </c>
      <c r="Y42" s="898">
        <f>X42*$M$16</f>
        <v>0</v>
      </c>
      <c r="Z42" s="862"/>
      <c r="AE42" s="829"/>
      <c r="AF42" s="829"/>
    </row>
    <row r="43" spans="2:32" ht="20.100000000000001" customHeight="1" x14ac:dyDescent="0.2">
      <c r="B43" s="827"/>
      <c r="C43" s="881"/>
      <c r="D43" s="882" t="s">
        <v>102</v>
      </c>
      <c r="E43" s="882"/>
      <c r="F43" s="882"/>
      <c r="G43" s="882"/>
      <c r="H43" s="882"/>
      <c r="I43" s="883"/>
      <c r="J43" s="883"/>
      <c r="K43" s="884">
        <f>SUM(K40:K42)</f>
        <v>120000</v>
      </c>
      <c r="L43" s="885">
        <f>SUM(L40:L42)</f>
        <v>1</v>
      </c>
      <c r="M43" s="886">
        <f>SUM(M40:M42)</f>
        <v>447053.49</v>
      </c>
      <c r="N43" s="886">
        <f>SUM(N40:N42)</f>
        <v>8566886.0288699996</v>
      </c>
      <c r="P43" s="882"/>
      <c r="Q43" s="882"/>
      <c r="R43" s="882"/>
      <c r="S43" s="882"/>
      <c r="T43" s="883"/>
      <c r="U43" s="883"/>
      <c r="V43" s="884">
        <f>SUM(V40:V42)</f>
        <v>120000</v>
      </c>
      <c r="W43" s="885">
        <f>SUM(W40:W42)</f>
        <v>1</v>
      </c>
      <c r="X43" s="886">
        <f>SUM(X40:X42)</f>
        <v>447053.49</v>
      </c>
      <c r="Y43" s="886">
        <f>SUM(Y40:Y42)</f>
        <v>8566886.0288699996</v>
      </c>
      <c r="Z43" s="862"/>
      <c r="AE43" s="829"/>
      <c r="AF43" s="829"/>
    </row>
    <row r="44" spans="2:32" ht="20.100000000000001" customHeight="1" x14ac:dyDescent="0.2">
      <c r="B44" s="827"/>
      <c r="C44" s="899"/>
      <c r="D44" s="858"/>
      <c r="E44" s="858"/>
      <c r="F44" s="858"/>
      <c r="G44" s="858"/>
      <c r="H44" s="859"/>
      <c r="I44" s="858"/>
      <c r="J44" s="858"/>
      <c r="K44" s="858"/>
      <c r="L44" s="860"/>
      <c r="M44" s="860"/>
      <c r="N44" s="843"/>
      <c r="P44" s="858"/>
      <c r="Q44" s="858"/>
      <c r="R44" s="858"/>
      <c r="S44" s="859"/>
      <c r="T44" s="858"/>
      <c r="U44" s="858"/>
      <c r="V44" s="858"/>
      <c r="W44" s="860"/>
      <c r="X44" s="860"/>
      <c r="Y44" s="894"/>
      <c r="Z44" s="862"/>
      <c r="AE44" s="829"/>
      <c r="AF44" s="829"/>
    </row>
    <row r="45" spans="2:32" ht="20.100000000000001" customHeight="1" x14ac:dyDescent="0.2">
      <c r="B45" s="827"/>
      <c r="C45" s="899"/>
      <c r="D45" s="858"/>
      <c r="E45" s="858"/>
      <c r="F45" s="858"/>
      <c r="G45" s="858"/>
      <c r="H45" s="859"/>
      <c r="I45" s="858"/>
      <c r="J45" s="858"/>
      <c r="K45" s="858"/>
      <c r="L45" s="860"/>
      <c r="M45" s="860"/>
      <c r="N45" s="843"/>
      <c r="P45" s="858"/>
      <c r="Q45" s="858"/>
      <c r="R45" s="858"/>
      <c r="S45" s="859"/>
      <c r="T45" s="858"/>
      <c r="U45" s="858"/>
      <c r="V45" s="858"/>
      <c r="W45" s="860"/>
      <c r="X45" s="860"/>
      <c r="Y45" s="894"/>
      <c r="Z45" s="862"/>
      <c r="AE45" s="829"/>
      <c r="AF45" s="829"/>
    </row>
    <row r="46" spans="2:32" ht="20.100000000000001" customHeight="1" x14ac:dyDescent="0.2">
      <c r="B46" s="827"/>
      <c r="C46" s="899"/>
      <c r="D46" s="858"/>
      <c r="E46" s="858"/>
      <c r="F46" s="858"/>
      <c r="G46" s="858"/>
      <c r="H46" s="859"/>
      <c r="I46" s="858"/>
      <c r="J46" s="858"/>
      <c r="K46" s="858"/>
      <c r="L46" s="860"/>
      <c r="M46" s="860"/>
      <c r="N46" s="843"/>
      <c r="P46" s="858"/>
      <c r="Q46" s="858"/>
      <c r="R46" s="858"/>
      <c r="S46" s="859"/>
      <c r="T46" s="858"/>
      <c r="U46" s="858"/>
      <c r="V46" s="858"/>
      <c r="W46" s="860"/>
      <c r="X46" s="860"/>
      <c r="Y46" s="894"/>
      <c r="Z46" s="862"/>
      <c r="AE46" s="829"/>
      <c r="AF46" s="829"/>
    </row>
    <row r="47" spans="2:32" ht="35.1" customHeight="1" thickBot="1" x14ac:dyDescent="0.25">
      <c r="B47" s="827"/>
      <c r="C47" s="899" t="s">
        <v>103</v>
      </c>
      <c r="D47" s="858"/>
      <c r="E47" s="858"/>
      <c r="F47" s="858"/>
      <c r="G47" s="858"/>
      <c r="H47" s="859"/>
      <c r="I47" s="858"/>
      <c r="J47" s="858"/>
      <c r="K47" s="858"/>
      <c r="L47" s="860"/>
      <c r="M47" s="860"/>
      <c r="N47" s="843"/>
      <c r="P47" s="858"/>
      <c r="Q47" s="858"/>
      <c r="R47" s="858"/>
      <c r="S47" s="859"/>
      <c r="T47" s="858"/>
      <c r="U47" s="858"/>
      <c r="V47" s="858"/>
      <c r="W47" s="860"/>
      <c r="X47" s="860"/>
      <c r="Y47" s="894"/>
      <c r="Z47" s="862"/>
      <c r="AE47" s="829"/>
      <c r="AF47" s="829"/>
    </row>
    <row r="48" spans="2:32" ht="35.1" customHeight="1" thickBot="1" x14ac:dyDescent="0.25">
      <c r="B48" s="827"/>
      <c r="C48" s="850" t="s">
        <v>87</v>
      </c>
      <c r="D48" s="832" t="s">
        <v>88</v>
      </c>
      <c r="E48" s="832" t="s">
        <v>237</v>
      </c>
      <c r="F48" s="833" t="s">
        <v>160</v>
      </c>
      <c r="G48" s="832" t="s">
        <v>90</v>
      </c>
      <c r="H48" s="833" t="s">
        <v>232</v>
      </c>
      <c r="I48" s="833" t="s">
        <v>233</v>
      </c>
      <c r="J48" s="833" t="s">
        <v>20</v>
      </c>
      <c r="K48" s="832" t="s">
        <v>234</v>
      </c>
      <c r="L48" s="832" t="s">
        <v>93</v>
      </c>
      <c r="M48" s="832" t="s">
        <v>94</v>
      </c>
      <c r="N48" s="863" t="s">
        <v>95</v>
      </c>
      <c r="P48" s="850" t="s">
        <v>237</v>
      </c>
      <c r="Q48" s="833" t="s">
        <v>160</v>
      </c>
      <c r="R48" s="832" t="s">
        <v>90</v>
      </c>
      <c r="S48" s="833" t="s">
        <v>232</v>
      </c>
      <c r="T48" s="833" t="s">
        <v>233</v>
      </c>
      <c r="U48" s="833" t="s">
        <v>20</v>
      </c>
      <c r="V48" s="832" t="s">
        <v>234</v>
      </c>
      <c r="W48" s="832" t="s">
        <v>93</v>
      </c>
      <c r="X48" s="832" t="s">
        <v>94</v>
      </c>
      <c r="Y48" s="834" t="s">
        <v>95</v>
      </c>
      <c r="Z48" s="861"/>
      <c r="AE48" s="829"/>
      <c r="AF48" s="829"/>
    </row>
    <row r="49" spans="2:32" ht="35.1" customHeight="1" thickBot="1" x14ac:dyDescent="0.25">
      <c r="B49" s="827"/>
      <c r="C49" s="864">
        <v>800874989</v>
      </c>
      <c r="D49" s="869">
        <v>1</v>
      </c>
      <c r="E49" s="869" t="s">
        <v>242</v>
      </c>
      <c r="F49" s="836" t="s">
        <v>221</v>
      </c>
      <c r="G49" s="836" t="s">
        <v>222</v>
      </c>
      <c r="H49" s="836">
        <v>2281</v>
      </c>
      <c r="I49" s="836">
        <v>453659</v>
      </c>
      <c r="J49" s="865"/>
      <c r="K49" s="841">
        <f>P102</f>
        <v>3155520.4230294991</v>
      </c>
      <c r="L49" s="866">
        <f>IFERROR(K49/K$54,0)</f>
        <v>0.53164130025760481</v>
      </c>
      <c r="M49" s="835">
        <f>L49*$I$17</f>
        <v>3166.492799225312</v>
      </c>
      <c r="N49" s="867">
        <f>M49*$M$17</f>
        <v>60679.501511554656</v>
      </c>
      <c r="O49" s="2">
        <v>18.6234</v>
      </c>
      <c r="P49" s="864" t="s">
        <v>242</v>
      </c>
      <c r="Q49" s="836" t="s">
        <v>221</v>
      </c>
      <c r="R49" s="836" t="s">
        <v>222</v>
      </c>
      <c r="S49" s="836">
        <v>2281</v>
      </c>
      <c r="T49" s="845">
        <v>453659</v>
      </c>
      <c r="U49" s="972" t="s">
        <v>97</v>
      </c>
      <c r="V49" s="841">
        <f>$P$102*$V$103</f>
        <v>2049917.5367903446</v>
      </c>
      <c r="W49" s="866">
        <f>IFERROR(V49/V$54,0)</f>
        <v>0.34536959948869178</v>
      </c>
      <c r="X49" s="835">
        <f>W49*$I$17</f>
        <v>2057.0455104266125</v>
      </c>
      <c r="Y49" s="867">
        <f>X49*$M$17</f>
        <v>39419.163116305179</v>
      </c>
      <c r="AE49" s="829"/>
      <c r="AF49" s="829"/>
    </row>
    <row r="50" spans="2:32" ht="35.1" customHeight="1" thickBot="1" x14ac:dyDescent="0.25">
      <c r="B50" s="827"/>
      <c r="C50" s="864"/>
      <c r="D50" s="1000"/>
      <c r="E50" s="2063"/>
      <c r="F50" s="836"/>
      <c r="G50" s="836"/>
      <c r="H50" s="836"/>
      <c r="I50" s="836"/>
      <c r="J50" s="972"/>
      <c r="K50" s="841"/>
      <c r="L50" s="866"/>
      <c r="M50" s="835"/>
      <c r="N50" s="867"/>
      <c r="O50" s="2"/>
      <c r="P50" s="864" t="s">
        <v>242</v>
      </c>
      <c r="Q50" s="836" t="s">
        <v>221</v>
      </c>
      <c r="R50" s="836" t="s">
        <v>222</v>
      </c>
      <c r="S50" s="836">
        <v>2281</v>
      </c>
      <c r="T50" s="845">
        <v>453659</v>
      </c>
      <c r="U50" s="972" t="s">
        <v>100</v>
      </c>
      <c r="V50" s="841">
        <f>$P$102*$W$103</f>
        <v>1105602.8862391543</v>
      </c>
      <c r="W50" s="866">
        <f>IFERROR(V50/V$54,0)</f>
        <v>0.18627170076891303</v>
      </c>
      <c r="X50" s="835">
        <f>W50*$I$17</f>
        <v>1109.4472887986997</v>
      </c>
      <c r="Y50" s="867">
        <f>X50*$M$17</f>
        <v>21260.338395249481</v>
      </c>
      <c r="AE50" s="829"/>
      <c r="AF50" s="829"/>
    </row>
    <row r="51" spans="2:32" ht="35.1" customHeight="1" thickBot="1" x14ac:dyDescent="0.25">
      <c r="B51" s="827"/>
      <c r="C51" s="864">
        <v>800874989</v>
      </c>
      <c r="D51" s="869">
        <v>2</v>
      </c>
      <c r="E51" s="869" t="s">
        <v>242</v>
      </c>
      <c r="F51" s="836" t="s">
        <v>221</v>
      </c>
      <c r="G51" s="836" t="s">
        <v>222</v>
      </c>
      <c r="H51" s="836">
        <v>2281</v>
      </c>
      <c r="I51" s="836">
        <v>453659</v>
      </c>
      <c r="J51" s="865" t="s">
        <v>159</v>
      </c>
      <c r="K51" s="841">
        <f>N102</f>
        <v>547284.27299999981</v>
      </c>
      <c r="L51" s="866">
        <f>IFERROR(K51/K$54,0)</f>
        <v>9.2206318927550754E-2</v>
      </c>
      <c r="M51" s="835">
        <f>L51*$I$17</f>
        <v>549.18728997481719</v>
      </c>
      <c r="N51" s="867">
        <f>M51*$M$17</f>
        <v>10524.076037787421</v>
      </c>
      <c r="O51" s="2"/>
      <c r="P51" s="864" t="s">
        <v>242</v>
      </c>
      <c r="Q51" s="836" t="s">
        <v>221</v>
      </c>
      <c r="R51" s="836" t="s">
        <v>222</v>
      </c>
      <c r="S51" s="836">
        <v>2281</v>
      </c>
      <c r="T51" s="845">
        <v>453659</v>
      </c>
      <c r="U51" s="972" t="s">
        <v>393</v>
      </c>
      <c r="V51" s="841">
        <f>$N$102</f>
        <v>547284.27299999981</v>
      </c>
      <c r="W51" s="866">
        <f>IFERROR(V51/V$54,0)</f>
        <v>9.2206318927550754E-2</v>
      </c>
      <c r="X51" s="835">
        <f>W51*$I$17</f>
        <v>549.18728997481719</v>
      </c>
      <c r="Y51" s="867">
        <f>X51*$M$17</f>
        <v>10524.076037787421</v>
      </c>
      <c r="AE51" s="829"/>
      <c r="AF51" s="829"/>
    </row>
    <row r="52" spans="2:32" ht="35.1" customHeight="1" thickBot="1" x14ac:dyDescent="0.25">
      <c r="B52" s="827"/>
      <c r="C52" s="864"/>
      <c r="D52" s="1000"/>
      <c r="E52" s="2063"/>
      <c r="F52" s="836"/>
      <c r="G52" s="836"/>
      <c r="H52" s="836"/>
      <c r="I52" s="836"/>
      <c r="J52" s="1897"/>
      <c r="K52" s="841"/>
      <c r="L52" s="866"/>
      <c r="M52" s="835"/>
      <c r="N52" s="867"/>
      <c r="O52" s="2"/>
      <c r="P52" s="864" t="s">
        <v>242</v>
      </c>
      <c r="Q52" s="836" t="s">
        <v>221</v>
      </c>
      <c r="R52" s="836" t="s">
        <v>222</v>
      </c>
      <c r="S52" s="836">
        <v>2281</v>
      </c>
      <c r="T52" s="845">
        <v>453659</v>
      </c>
      <c r="U52" s="972" t="s">
        <v>288</v>
      </c>
      <c r="V52" s="841">
        <f>$Y$102</f>
        <v>0</v>
      </c>
      <c r="W52" s="866">
        <f>IFERROR(V52/V$54,0)</f>
        <v>0</v>
      </c>
      <c r="X52" s="835">
        <f>W52*$I$17</f>
        <v>0</v>
      </c>
      <c r="Y52" s="867">
        <f t="shared" ref="Y52:Y53" si="3">X52*$M$17</f>
        <v>0</v>
      </c>
      <c r="AE52" s="829"/>
      <c r="AF52" s="829"/>
    </row>
    <row r="53" spans="2:32" ht="35.1" customHeight="1" thickBot="1" x14ac:dyDescent="0.25">
      <c r="B53" s="827"/>
      <c r="C53" s="851">
        <v>800874989</v>
      </c>
      <c r="D53" s="853">
        <v>3</v>
      </c>
      <c r="E53" s="853" t="s">
        <v>242</v>
      </c>
      <c r="F53" s="845" t="s">
        <v>221</v>
      </c>
      <c r="G53" s="845" t="s">
        <v>222</v>
      </c>
      <c r="H53" s="845">
        <v>2281</v>
      </c>
      <c r="I53" s="845">
        <v>453659</v>
      </c>
      <c r="J53" s="871" t="s">
        <v>159</v>
      </c>
      <c r="K53" s="852">
        <f>O102</f>
        <v>2232626.6211020011</v>
      </c>
      <c r="L53" s="872">
        <f>IFERROR(K53/K$54,0)</f>
        <v>0.37615238081484431</v>
      </c>
      <c r="M53" s="844">
        <f>L53*$I$17</f>
        <v>2240.3899107998695</v>
      </c>
      <c r="N53" s="873">
        <f t="shared" ref="N53" si="4">M53*$M$17</f>
        <v>42932.5918606579</v>
      </c>
      <c r="O53" s="2">
        <v>18.8506</v>
      </c>
      <c r="P53" s="851" t="s">
        <v>242</v>
      </c>
      <c r="Q53" s="845" t="s">
        <v>238</v>
      </c>
      <c r="R53" s="845" t="s">
        <v>222</v>
      </c>
      <c r="S53" s="845" t="s">
        <v>344</v>
      </c>
      <c r="T53" s="845">
        <v>453659</v>
      </c>
      <c r="U53" s="973" t="s">
        <v>23</v>
      </c>
      <c r="V53" s="852">
        <f>$O$102</f>
        <v>2232626.6211020011</v>
      </c>
      <c r="W53" s="872">
        <f>IFERROR(V53/V$54,0)</f>
        <v>0.37615238081484431</v>
      </c>
      <c r="X53" s="844">
        <f>W53*$I$17</f>
        <v>2240.3899107998695</v>
      </c>
      <c r="Y53" s="873">
        <f t="shared" si="3"/>
        <v>42932.5918606579</v>
      </c>
      <c r="AE53" s="829"/>
      <c r="AF53" s="829"/>
    </row>
    <row r="54" spans="2:32" x14ac:dyDescent="0.2">
      <c r="B54" s="827"/>
      <c r="C54" s="901"/>
      <c r="D54" s="901"/>
      <c r="E54" s="901"/>
      <c r="F54" s="902"/>
      <c r="G54" s="902"/>
      <c r="H54" s="902"/>
      <c r="I54" s="902"/>
      <c r="J54" s="902"/>
      <c r="K54" s="1001">
        <f>SUM(K49:K53)</f>
        <v>5935431.3171315007</v>
      </c>
      <c r="L54" s="903">
        <f>SUM(L49:L53)</f>
        <v>0.99999999999999978</v>
      </c>
      <c r="M54" s="1002">
        <f>SUM(M49:M53)</f>
        <v>5956.0699999999988</v>
      </c>
      <c r="N54" s="1002">
        <f>SUM(N49:N53)</f>
        <v>114136.16940999997</v>
      </c>
      <c r="O54" s="843"/>
      <c r="P54" s="843"/>
      <c r="Q54" s="827"/>
      <c r="R54" s="827"/>
      <c r="S54" s="827"/>
      <c r="T54" s="827"/>
      <c r="U54" s="827"/>
      <c r="V54" s="1001">
        <f>SUM(V49:V53)</f>
        <v>5935431.3171315007</v>
      </c>
      <c r="W54" s="903">
        <f>SUM(W49:W53)</f>
        <v>0.99999999999999978</v>
      </c>
      <c r="X54" s="1002">
        <f>SUM(X49:X53)</f>
        <v>5956.07</v>
      </c>
      <c r="Y54" s="1002">
        <f>SUM(Y49:Y53)</f>
        <v>114136.16940999997</v>
      </c>
      <c r="AE54" s="829"/>
      <c r="AF54" s="829"/>
    </row>
    <row r="55" spans="2:32" s="906" customFormat="1" x14ac:dyDescent="0.2">
      <c r="B55" s="904"/>
      <c r="C55" s="902"/>
      <c r="D55" s="902"/>
      <c r="E55" s="902"/>
      <c r="F55" s="902"/>
      <c r="G55" s="902"/>
      <c r="H55" s="902"/>
      <c r="I55" s="902"/>
      <c r="J55" s="902"/>
      <c r="K55" s="902"/>
      <c r="L55" s="902"/>
      <c r="M55" s="905"/>
      <c r="N55" s="905"/>
      <c r="O55" s="843"/>
      <c r="P55" s="843"/>
      <c r="Q55" s="904"/>
      <c r="R55" s="904"/>
      <c r="S55" s="904"/>
      <c r="T55" s="904"/>
      <c r="U55" s="904"/>
      <c r="V55" s="904"/>
      <c r="W55" s="904"/>
      <c r="X55" s="843"/>
      <c r="Y55" s="843"/>
      <c r="Z55" s="843"/>
      <c r="AA55" s="843"/>
      <c r="AB55" s="843"/>
      <c r="AC55" s="843"/>
      <c r="AD55" s="843"/>
    </row>
    <row r="56" spans="2:32" s="906" customFormat="1" x14ac:dyDescent="0.2">
      <c r="B56" s="904"/>
      <c r="C56" s="902"/>
      <c r="D56" s="902"/>
      <c r="E56" s="902"/>
      <c r="F56" s="902"/>
      <c r="G56" s="902"/>
      <c r="H56" s="902"/>
      <c r="I56" s="902"/>
      <c r="J56" s="902"/>
      <c r="K56" s="902"/>
      <c r="L56" s="905"/>
      <c r="M56" s="905"/>
      <c r="N56" s="843"/>
      <c r="O56" s="904"/>
      <c r="P56" s="904"/>
      <c r="Q56" s="904"/>
      <c r="R56" s="904"/>
      <c r="S56" s="904"/>
      <c r="T56" s="904"/>
      <c r="U56" s="904"/>
      <c r="V56" s="843"/>
      <c r="W56" s="843"/>
      <c r="X56" s="843"/>
      <c r="Y56" s="843"/>
      <c r="Z56" s="843"/>
      <c r="AA56" s="843"/>
      <c r="AB56" s="843"/>
    </row>
    <row r="57" spans="2:32" s="906" customFormat="1" x14ac:dyDescent="0.2">
      <c r="B57" s="904"/>
      <c r="C57" s="902"/>
      <c r="D57" s="902"/>
      <c r="E57" s="902"/>
      <c r="F57" s="902"/>
      <c r="G57" s="902"/>
      <c r="H57" s="902"/>
      <c r="I57" s="902"/>
      <c r="J57" s="902"/>
      <c r="K57" s="902"/>
      <c r="L57" s="905"/>
      <c r="M57" s="905"/>
      <c r="N57" s="843"/>
      <c r="O57" s="843"/>
      <c r="P57" s="904"/>
      <c r="Q57" s="904"/>
      <c r="R57" s="904"/>
      <c r="S57" s="904"/>
      <c r="T57" s="904"/>
      <c r="U57" s="904"/>
      <c r="V57" s="904"/>
      <c r="W57" s="843"/>
      <c r="X57" s="843"/>
      <c r="Y57" s="843"/>
      <c r="Z57" s="843"/>
      <c r="AA57" s="843"/>
      <c r="AB57" s="843"/>
      <c r="AC57" s="843"/>
    </row>
    <row r="58" spans="2:32" s="906" customFormat="1" x14ac:dyDescent="0.2">
      <c r="B58" s="904"/>
      <c r="C58" s="902"/>
      <c r="D58" s="902"/>
      <c r="E58" s="902"/>
      <c r="F58" s="902"/>
      <c r="G58" s="902"/>
      <c r="H58" s="902"/>
      <c r="I58" s="902"/>
      <c r="J58" s="902"/>
      <c r="K58" s="902"/>
      <c r="L58" s="905"/>
      <c r="M58" s="905"/>
      <c r="N58" s="843"/>
      <c r="O58" s="905"/>
      <c r="P58" s="843"/>
      <c r="Q58" s="905"/>
      <c r="R58" s="904"/>
      <c r="S58" s="904"/>
      <c r="T58" s="904"/>
      <c r="U58" s="904"/>
      <c r="V58" s="904"/>
      <c r="W58" s="904"/>
      <c r="X58" s="904"/>
      <c r="Y58" s="904"/>
      <c r="Z58" s="843"/>
      <c r="AA58" s="843"/>
      <c r="AB58" s="843"/>
      <c r="AC58" s="843"/>
      <c r="AD58" s="843"/>
      <c r="AE58" s="843"/>
      <c r="AF58" s="843"/>
    </row>
    <row r="59" spans="2:32" s="906" customFormat="1" x14ac:dyDescent="0.2">
      <c r="B59" s="904"/>
      <c r="C59" s="902"/>
      <c r="D59" s="902"/>
      <c r="E59" s="902"/>
      <c r="F59" s="902"/>
      <c r="G59" s="902"/>
      <c r="H59" s="902"/>
      <c r="I59" s="902"/>
      <c r="J59" s="902"/>
      <c r="K59" s="902"/>
      <c r="L59" s="905"/>
      <c r="M59" s="905"/>
      <c r="N59" s="843"/>
      <c r="O59" s="905"/>
      <c r="P59" s="843"/>
      <c r="Q59" s="905"/>
      <c r="R59" s="904"/>
      <c r="S59" s="904"/>
      <c r="T59" s="904"/>
      <c r="U59" s="904"/>
      <c r="V59" s="904"/>
      <c r="W59" s="904"/>
      <c r="X59" s="904"/>
      <c r="Y59" s="904"/>
      <c r="Z59" s="843"/>
      <c r="AA59" s="843"/>
      <c r="AB59" s="843"/>
      <c r="AC59" s="843"/>
      <c r="AD59" s="843"/>
      <c r="AE59" s="843"/>
      <c r="AF59" s="843"/>
    </row>
    <row r="60" spans="2:32" s="906" customFormat="1" x14ac:dyDescent="0.2">
      <c r="B60" s="904"/>
      <c r="C60" s="902"/>
      <c r="D60" s="902"/>
      <c r="E60" s="902"/>
      <c r="F60" s="902"/>
      <c r="G60" s="902"/>
      <c r="H60" s="902"/>
      <c r="I60" s="902"/>
      <c r="J60" s="902"/>
      <c r="K60" s="902"/>
      <c r="L60" s="905"/>
      <c r="M60" s="905"/>
      <c r="N60" s="843"/>
      <c r="O60" s="905"/>
      <c r="P60" s="843"/>
      <c r="Q60" s="905"/>
      <c r="R60" s="904"/>
      <c r="S60" s="904"/>
      <c r="T60" s="904"/>
      <c r="U60" s="904"/>
      <c r="V60" s="904"/>
      <c r="W60" s="904"/>
      <c r="X60" s="904"/>
      <c r="Y60" s="904"/>
      <c r="Z60" s="843"/>
      <c r="AA60" s="843"/>
      <c r="AB60" s="843"/>
      <c r="AC60" s="843"/>
      <c r="AD60" s="843"/>
      <c r="AE60" s="843"/>
      <c r="AF60" s="843"/>
    </row>
    <row r="61" spans="2:32" s="906" customFormat="1" x14ac:dyDescent="0.2">
      <c r="B61" s="904"/>
      <c r="C61" s="902"/>
      <c r="D61" s="902"/>
      <c r="E61" s="902"/>
      <c r="F61" s="902"/>
      <c r="G61" s="902"/>
      <c r="H61" s="902"/>
      <c r="I61" s="902"/>
      <c r="J61" s="902"/>
      <c r="K61" s="902"/>
      <c r="L61" s="905"/>
      <c r="M61" s="905"/>
      <c r="N61" s="843"/>
      <c r="O61" s="905"/>
      <c r="P61" s="843"/>
      <c r="Q61" s="905"/>
      <c r="R61" s="904"/>
      <c r="S61" s="904"/>
      <c r="T61" s="904"/>
      <c r="U61" s="904"/>
      <c r="V61" s="904"/>
      <c r="W61" s="904"/>
      <c r="X61" s="904"/>
      <c r="Y61" s="904"/>
      <c r="Z61" s="843"/>
      <c r="AA61" s="843"/>
      <c r="AB61" s="843"/>
      <c r="AC61" s="843"/>
      <c r="AD61" s="843"/>
      <c r="AE61" s="843"/>
      <c r="AF61" s="843"/>
    </row>
    <row r="62" spans="2:32" s="906" customFormat="1" x14ac:dyDescent="0.2">
      <c r="B62" s="904"/>
      <c r="C62" s="902"/>
      <c r="D62" s="902"/>
      <c r="E62" s="902"/>
      <c r="F62" s="902"/>
      <c r="G62" s="902"/>
      <c r="H62" s="902"/>
      <c r="I62" s="902"/>
      <c r="J62" s="902"/>
      <c r="K62" s="902"/>
      <c r="L62" s="905"/>
      <c r="M62" s="905"/>
      <c r="N62" s="843"/>
      <c r="O62" s="905"/>
      <c r="P62" s="843"/>
      <c r="Q62" s="905"/>
      <c r="R62" s="904"/>
      <c r="S62" s="904"/>
      <c r="T62" s="904"/>
      <c r="U62" s="904"/>
      <c r="V62" s="904"/>
      <c r="W62" s="904"/>
      <c r="X62" s="904"/>
      <c r="Y62" s="904"/>
      <c r="Z62" s="843"/>
      <c r="AA62" s="843"/>
      <c r="AB62" s="843"/>
      <c r="AC62" s="843"/>
      <c r="AD62" s="843"/>
      <c r="AE62" s="843"/>
      <c r="AF62" s="843"/>
    </row>
    <row r="63" spans="2:32" s="906" customFormat="1" x14ac:dyDescent="0.2">
      <c r="B63" s="904"/>
      <c r="C63" s="902"/>
      <c r="D63" s="902"/>
      <c r="E63" s="902"/>
      <c r="F63" s="902"/>
      <c r="G63" s="902"/>
      <c r="H63" s="902"/>
      <c r="I63" s="902"/>
      <c r="J63" s="902"/>
      <c r="K63" s="902"/>
      <c r="L63" s="905"/>
      <c r="M63" s="905"/>
      <c r="N63" s="843"/>
      <c r="O63" s="905"/>
      <c r="P63" s="843"/>
      <c r="Q63" s="905"/>
      <c r="R63" s="904"/>
      <c r="S63" s="904"/>
      <c r="T63" s="904"/>
      <c r="U63" s="904"/>
      <c r="V63" s="904"/>
      <c r="W63" s="904"/>
      <c r="X63" s="904"/>
      <c r="Y63" s="904"/>
      <c r="Z63" s="843"/>
      <c r="AA63" s="843"/>
      <c r="AB63" s="843"/>
      <c r="AC63" s="843"/>
      <c r="AD63" s="843"/>
      <c r="AE63" s="843"/>
      <c r="AF63" s="843"/>
    </row>
    <row r="64" spans="2:32" s="906" customFormat="1" x14ac:dyDescent="0.2">
      <c r="B64" s="904"/>
      <c r="C64" s="902"/>
      <c r="D64" s="902"/>
      <c r="E64" s="902"/>
      <c r="F64" s="902"/>
      <c r="G64" s="902"/>
      <c r="H64" s="902"/>
      <c r="I64" s="902"/>
      <c r="J64" s="902"/>
      <c r="K64" s="902"/>
      <c r="L64" s="905"/>
      <c r="M64" s="905"/>
      <c r="N64" s="843"/>
      <c r="O64" s="905"/>
      <c r="P64" s="843"/>
      <c r="Q64" s="905"/>
      <c r="R64" s="904"/>
      <c r="S64" s="904"/>
      <c r="T64" s="904"/>
      <c r="U64" s="904"/>
      <c r="V64" s="904"/>
      <c r="W64" s="904"/>
      <c r="X64" s="904"/>
      <c r="Y64" s="904"/>
      <c r="Z64" s="843"/>
      <c r="AA64" s="843"/>
      <c r="AB64" s="843"/>
      <c r="AC64" s="843"/>
      <c r="AD64" s="843"/>
      <c r="AE64" s="843"/>
      <c r="AF64" s="843"/>
    </row>
    <row r="65" spans="2:36" s="906" customFormat="1" x14ac:dyDescent="0.2">
      <c r="B65" s="904"/>
      <c r="C65" s="902"/>
      <c r="D65" s="902"/>
      <c r="E65" s="902"/>
      <c r="F65" s="902"/>
      <c r="G65" s="902"/>
      <c r="H65" s="902"/>
      <c r="I65" s="902"/>
      <c r="J65" s="902"/>
      <c r="K65" s="902"/>
      <c r="L65" s="905"/>
      <c r="M65" s="905"/>
      <c r="N65" s="843"/>
      <c r="O65" s="905"/>
      <c r="P65" s="843"/>
      <c r="Q65" s="905"/>
      <c r="R65" s="904"/>
      <c r="S65" s="904"/>
      <c r="T65" s="904"/>
      <c r="U65" s="904"/>
      <c r="V65" s="904"/>
      <c r="W65" s="904"/>
      <c r="X65" s="904"/>
      <c r="Y65" s="904"/>
      <c r="Z65" s="843"/>
      <c r="AA65" s="843"/>
      <c r="AB65" s="843"/>
      <c r="AC65" s="843"/>
      <c r="AD65" s="843"/>
      <c r="AE65" s="843"/>
      <c r="AF65" s="843"/>
    </row>
    <row r="66" spans="2:36" s="906" customFormat="1" x14ac:dyDescent="0.2">
      <c r="B66" s="904"/>
      <c r="C66" s="902"/>
      <c r="D66" s="902"/>
      <c r="E66" s="902"/>
      <c r="F66" s="902"/>
      <c r="G66" s="902"/>
      <c r="H66" s="902"/>
      <c r="I66" s="902"/>
      <c r="J66" s="902"/>
      <c r="K66" s="902"/>
      <c r="L66" s="905"/>
      <c r="M66" s="905"/>
      <c r="N66" s="843"/>
      <c r="O66" s="905"/>
      <c r="P66" s="843"/>
      <c r="Q66" s="905"/>
      <c r="R66" s="904"/>
      <c r="S66" s="904"/>
      <c r="T66" s="904"/>
      <c r="U66" s="904"/>
      <c r="V66" s="904"/>
      <c r="W66" s="904"/>
      <c r="X66" s="904"/>
      <c r="Y66" s="904"/>
      <c r="Z66" s="843"/>
      <c r="AA66" s="843"/>
      <c r="AB66" s="843"/>
      <c r="AC66" s="843"/>
      <c r="AD66" s="843"/>
      <c r="AE66" s="843"/>
      <c r="AF66" s="843"/>
    </row>
    <row r="67" spans="2:36" s="906" customFormat="1" x14ac:dyDescent="0.2">
      <c r="B67" s="904"/>
      <c r="C67" s="902"/>
      <c r="D67" s="902"/>
      <c r="E67" s="902"/>
      <c r="F67" s="902"/>
      <c r="G67" s="902"/>
      <c r="H67" s="902"/>
      <c r="I67" s="902"/>
      <c r="J67" s="902"/>
      <c r="K67" s="902"/>
      <c r="L67" s="902"/>
      <c r="N67" s="905"/>
      <c r="O67" s="905"/>
      <c r="P67" s="843"/>
      <c r="Q67" s="905"/>
      <c r="R67" s="843"/>
      <c r="S67" s="905"/>
      <c r="T67" s="904"/>
      <c r="U67" s="904"/>
      <c r="V67" s="904"/>
      <c r="W67" s="904"/>
      <c r="X67" s="904"/>
      <c r="Y67" s="904"/>
      <c r="Z67" s="904"/>
      <c r="AA67" s="904"/>
      <c r="AB67" s="843"/>
      <c r="AC67" s="843"/>
      <c r="AD67" s="843"/>
      <c r="AE67" s="843"/>
      <c r="AF67" s="843"/>
      <c r="AG67" s="843"/>
    </row>
    <row r="68" spans="2:36" s="843" customFormat="1" ht="13.5" thickBot="1" x14ac:dyDescent="0.25">
      <c r="O68" s="860"/>
      <c r="P68" s="860"/>
      <c r="S68" s="860"/>
      <c r="T68" s="860"/>
      <c r="U68" s="860"/>
      <c r="V68" s="860"/>
      <c r="W68" s="860"/>
      <c r="X68" s="860"/>
      <c r="Y68" s="860"/>
      <c r="Z68" s="860"/>
      <c r="AA68" s="860"/>
      <c r="AB68" s="860"/>
      <c r="AC68" s="860"/>
      <c r="AD68" s="860"/>
      <c r="AE68" s="860"/>
      <c r="AF68" s="999" t="e">
        <f>'Junio - 2018'!AC101</f>
        <v>#REF!</v>
      </c>
    </row>
    <row r="69" spans="2:36" ht="15" customHeight="1" thickBot="1" x14ac:dyDescent="0.25">
      <c r="B69" s="907" t="s">
        <v>3</v>
      </c>
      <c r="C69" s="908">
        <f>SUMIF(Tarifas!E4:E303,'Enero - 2019'!C71,Tarifas!D4:D303)</f>
        <v>66</v>
      </c>
      <c r="D69" s="909" t="s">
        <v>147</v>
      </c>
      <c r="E69" s="910"/>
      <c r="F69" s="910" t="s">
        <v>145</v>
      </c>
      <c r="G69" s="910" t="s">
        <v>287</v>
      </c>
      <c r="H69" s="910" t="s">
        <v>148</v>
      </c>
      <c r="I69" s="911"/>
      <c r="J69" s="2320" t="s">
        <v>120</v>
      </c>
      <c r="K69" s="2321"/>
      <c r="L69" s="2321"/>
      <c r="M69" s="2322"/>
      <c r="N69" s="2082" t="s">
        <v>270</v>
      </c>
      <c r="O69" s="2083"/>
      <c r="P69" s="2083"/>
      <c r="Q69" s="2084"/>
      <c r="R69" s="2085" t="s">
        <v>271</v>
      </c>
      <c r="S69" s="2086"/>
      <c r="T69" s="2086"/>
      <c r="U69" s="2086"/>
      <c r="V69" s="2086"/>
      <c r="W69" s="2086"/>
      <c r="X69" s="2086"/>
      <c r="Y69" s="2086"/>
      <c r="Z69" s="2087"/>
      <c r="AA69" s="1879" t="s">
        <v>121</v>
      </c>
      <c r="AB69" s="1879"/>
      <c r="AC69" s="1879"/>
      <c r="AD69" s="1879"/>
      <c r="AE69" s="1879"/>
      <c r="AF69" s="1879"/>
      <c r="AG69" s="1880"/>
      <c r="AH69" s="843"/>
      <c r="AI69" s="843"/>
      <c r="AJ69" s="843"/>
    </row>
    <row r="70" spans="2:36" ht="51.75" thickBot="1" x14ac:dyDescent="0.25">
      <c r="C70" s="914" t="s">
        <v>122</v>
      </c>
      <c r="D70" s="1016" t="s">
        <v>125</v>
      </c>
      <c r="E70" s="1017" t="s">
        <v>277</v>
      </c>
      <c r="F70" s="1017" t="s">
        <v>149</v>
      </c>
      <c r="G70" s="1017" t="s">
        <v>151</v>
      </c>
      <c r="H70" s="1017" t="s">
        <v>152</v>
      </c>
      <c r="I70" s="1018" t="s">
        <v>123</v>
      </c>
      <c r="J70" s="1020" t="s">
        <v>726</v>
      </c>
      <c r="K70" s="1021" t="s">
        <v>727</v>
      </c>
      <c r="L70" s="1021" t="s">
        <v>728</v>
      </c>
      <c r="M70" s="1021" t="s">
        <v>729</v>
      </c>
      <c r="N70" s="1884" t="s">
        <v>738</v>
      </c>
      <c r="O70" s="1885" t="s">
        <v>266</v>
      </c>
      <c r="P70" s="1885" t="s">
        <v>269</v>
      </c>
      <c r="Q70" s="1886" t="s">
        <v>267</v>
      </c>
      <c r="R70" s="1914" t="s">
        <v>395</v>
      </c>
      <c r="S70" s="1903" t="s">
        <v>400</v>
      </c>
      <c r="T70" s="1902" t="s">
        <v>396</v>
      </c>
      <c r="U70" s="1903" t="s">
        <v>400</v>
      </c>
      <c r="V70" s="1902" t="s">
        <v>397</v>
      </c>
      <c r="W70" s="1902" t="s">
        <v>398</v>
      </c>
      <c r="X70" s="1903" t="s">
        <v>272</v>
      </c>
      <c r="Y70" s="1903" t="s">
        <v>399</v>
      </c>
      <c r="Z70" s="1915" t="s">
        <v>272</v>
      </c>
      <c r="AA70" s="1014" t="s">
        <v>207</v>
      </c>
      <c r="AB70" s="1013"/>
      <c r="AC70" s="1013" t="s">
        <v>112</v>
      </c>
      <c r="AD70" s="1014" t="s">
        <v>118</v>
      </c>
      <c r="AE70" s="1014" t="s">
        <v>119</v>
      </c>
      <c r="AF70" s="1014" t="s">
        <v>114</v>
      </c>
      <c r="AG70" s="1015" t="s">
        <v>113</v>
      </c>
      <c r="AH70" s="843"/>
      <c r="AI70" s="843"/>
      <c r="AJ70" s="843"/>
    </row>
    <row r="71" spans="2:36" x14ac:dyDescent="0.2">
      <c r="C71" s="918">
        <v>43466</v>
      </c>
      <c r="D71" s="919">
        <f>($E$22*$H$22)/$G$22</f>
        <v>153350.92387096773</v>
      </c>
      <c r="E71" s="920">
        <f>($F$22*$I$22)/$G$22</f>
        <v>14421.080258064516</v>
      </c>
      <c r="F71" s="921">
        <f t="shared" ref="F71:F101" si="5">O71+P71+Q71+N71</f>
        <v>148006.35181623814</v>
      </c>
      <c r="G71" s="921">
        <f>TRUNC(IFERROR(K$22/L$22,0),8)</f>
        <v>1.00347567</v>
      </c>
      <c r="H71" s="923">
        <f t="shared" ref="H71:H101" si="6">ROUND(J$22*G71*F71,4)</f>
        <v>148.52080000000001</v>
      </c>
      <c r="I71" s="923">
        <f t="shared" ref="I71:I101" si="7">SUM(D71:H71)</f>
        <v>315927.88022094039</v>
      </c>
      <c r="J71" s="2122"/>
      <c r="K71" s="2123"/>
      <c r="L71" s="2123"/>
      <c r="M71" s="2124"/>
      <c r="N71" s="928">
        <v>7011.0339999999997</v>
      </c>
      <c r="O71" s="928">
        <v>68420.492188000004</v>
      </c>
      <c r="P71" s="928">
        <v>72574.825628238119</v>
      </c>
      <c r="Q71" s="984">
        <v>0</v>
      </c>
      <c r="R71" s="1874"/>
      <c r="S71" s="1889">
        <f>N71-R71</f>
        <v>7011.0339999999997</v>
      </c>
      <c r="T71" s="1874">
        <v>68420.491999999998</v>
      </c>
      <c r="U71" s="1889">
        <f>O71-T71</f>
        <v>1.8800000543706119E-4</v>
      </c>
      <c r="V71" s="1917">
        <v>36516.968999999997</v>
      </c>
      <c r="W71" s="1888">
        <v>36070.290999999997</v>
      </c>
      <c r="X71" s="1889">
        <f>P71-(V71+W71)</f>
        <v>-12.434371761875809</v>
      </c>
      <c r="Y71" s="1888">
        <v>0</v>
      </c>
      <c r="Z71" s="1889">
        <f>Q71-Y71</f>
        <v>0</v>
      </c>
      <c r="AA71" s="1882"/>
      <c r="AB71" s="930"/>
      <c r="AC71" s="931">
        <f>AA71+AB71-AD71</f>
        <v>0</v>
      </c>
      <c r="AD71" s="931">
        <f t="shared" ref="AD71:AD101" si="8">K71+L71+M71</f>
        <v>0</v>
      </c>
      <c r="AE71" s="931">
        <f>(X71+Y71+Z71)*1.055056</f>
        <v>-13.118958533597644</v>
      </c>
      <c r="AF71" s="931">
        <f>AD71-AE71</f>
        <v>13.118958533597644</v>
      </c>
      <c r="AG71" s="932" t="e">
        <f>AF68+AF71</f>
        <v>#REF!</v>
      </c>
      <c r="AH71" s="843"/>
      <c r="AI71" s="843"/>
      <c r="AJ71" s="843"/>
    </row>
    <row r="72" spans="2:36" x14ac:dyDescent="0.2">
      <c r="C72" s="933">
        <f t="shared" ref="C72:C101" si="9">C71+1</f>
        <v>43467</v>
      </c>
      <c r="D72" s="919">
        <f t="shared" ref="D72:D101" si="10">($E$22*$H$22)/$G$22</f>
        <v>153350.92387096773</v>
      </c>
      <c r="E72" s="920">
        <f t="shared" ref="E72:E101" si="11">($F$22*$I$22)/$G$22</f>
        <v>14421.080258064516</v>
      </c>
      <c r="F72" s="921">
        <f t="shared" si="5"/>
        <v>161520.3379184136</v>
      </c>
      <c r="G72" s="934">
        <f t="shared" ref="G72:G101" si="12">TRUNC(IFERROR(K$22/L$22,0),8)</f>
        <v>1.00347567</v>
      </c>
      <c r="H72" s="923">
        <f t="shared" si="6"/>
        <v>162.08170000000001</v>
      </c>
      <c r="I72" s="923">
        <f t="shared" si="7"/>
        <v>329455.42722311581</v>
      </c>
      <c r="J72" s="925"/>
      <c r="K72" s="926"/>
      <c r="L72" s="926"/>
      <c r="M72" s="1171"/>
      <c r="N72" s="937">
        <v>12737.657999999999</v>
      </c>
      <c r="O72" s="937">
        <v>73477.9375</v>
      </c>
      <c r="P72" s="937">
        <v>75304.742418413603</v>
      </c>
      <c r="Q72" s="984">
        <v>0</v>
      </c>
      <c r="R72" s="986"/>
      <c r="S72" s="985">
        <f t="shared" ref="S72:S101" si="13">N72-R72</f>
        <v>12737.657999999999</v>
      </c>
      <c r="T72" s="986">
        <v>73477.937999999995</v>
      </c>
      <c r="U72" s="985">
        <f t="shared" ref="U72:U101" si="14">O72-T72</f>
        <v>-4.999999946448952E-4</v>
      </c>
      <c r="V72" s="988">
        <v>37428.980000000003</v>
      </c>
      <c r="W72" s="989">
        <v>37632.500999999997</v>
      </c>
      <c r="X72" s="985">
        <f t="shared" ref="X72:X101" si="15">P72-(V72+W72)</f>
        <v>243.26141841360368</v>
      </c>
      <c r="Y72" s="989">
        <v>0</v>
      </c>
      <c r="Z72" s="985">
        <f t="shared" ref="Z72:Z101" si="16">Q72-Y72</f>
        <v>0</v>
      </c>
      <c r="AA72" s="1882"/>
      <c r="AB72" s="930"/>
      <c r="AC72" s="931">
        <f t="shared" ref="AC72:AC101" si="17">AA72+AB72-AD72</f>
        <v>0</v>
      </c>
      <c r="AD72" s="931">
        <f t="shared" si="8"/>
        <v>0</v>
      </c>
      <c r="AE72" s="931">
        <f t="shared" ref="AE72:AE101" si="18">(X72+Y72+Z72)*1.055056</f>
        <v>256.65441906578303</v>
      </c>
      <c r="AF72" s="931">
        <f t="shared" ref="AF72:AF101" si="19">AD72-AE72</f>
        <v>-256.65441906578303</v>
      </c>
      <c r="AG72" s="932" t="e">
        <f>AG71+AF72</f>
        <v>#REF!</v>
      </c>
      <c r="AH72" s="843"/>
      <c r="AI72" s="843"/>
      <c r="AJ72" s="843"/>
    </row>
    <row r="73" spans="2:36" x14ac:dyDescent="0.2">
      <c r="C73" s="933">
        <f t="shared" si="9"/>
        <v>43468</v>
      </c>
      <c r="D73" s="919">
        <f t="shared" si="10"/>
        <v>153350.92387096773</v>
      </c>
      <c r="E73" s="920">
        <f t="shared" si="11"/>
        <v>14421.080258064516</v>
      </c>
      <c r="F73" s="921">
        <f t="shared" si="5"/>
        <v>166570.7497173576</v>
      </c>
      <c r="G73" s="934">
        <f t="shared" si="12"/>
        <v>1.00347567</v>
      </c>
      <c r="H73" s="923">
        <f t="shared" si="6"/>
        <v>167.1497</v>
      </c>
      <c r="I73" s="923">
        <f t="shared" si="7"/>
        <v>334510.90702205984</v>
      </c>
      <c r="J73" s="925"/>
      <c r="K73" s="926"/>
      <c r="L73" s="926"/>
      <c r="M73" s="1171"/>
      <c r="N73" s="928">
        <v>18109.498</v>
      </c>
      <c r="O73" s="928">
        <v>73197.023438000004</v>
      </c>
      <c r="P73" s="928">
        <v>75264.228279357601</v>
      </c>
      <c r="Q73" s="984">
        <v>0</v>
      </c>
      <c r="R73" s="981"/>
      <c r="S73" s="985">
        <f t="shared" si="13"/>
        <v>18109.498</v>
      </c>
      <c r="T73" s="981">
        <v>73197.024000000005</v>
      </c>
      <c r="U73" s="985">
        <f t="shared" si="14"/>
        <v>-5.6200000108219683E-4</v>
      </c>
      <c r="V73" s="988">
        <v>36892.214999999997</v>
      </c>
      <c r="W73" s="989">
        <v>38517.635999999999</v>
      </c>
      <c r="X73" s="985">
        <f t="shared" si="15"/>
        <v>-145.62272064239369</v>
      </c>
      <c r="Y73" s="989">
        <v>0</v>
      </c>
      <c r="Z73" s="985">
        <f t="shared" si="16"/>
        <v>0</v>
      </c>
      <c r="AA73" s="1882"/>
      <c r="AB73" s="930"/>
      <c r="AC73" s="931">
        <f t="shared" si="17"/>
        <v>0</v>
      </c>
      <c r="AD73" s="931">
        <f t="shared" si="8"/>
        <v>0</v>
      </c>
      <c r="AE73" s="931">
        <f t="shared" si="18"/>
        <v>-153.6401251500813</v>
      </c>
      <c r="AF73" s="931">
        <f t="shared" si="19"/>
        <v>153.6401251500813</v>
      </c>
      <c r="AG73" s="932" t="e">
        <f t="shared" ref="AG73:AG101" si="20">AG72+AF73</f>
        <v>#REF!</v>
      </c>
      <c r="AH73" s="843"/>
      <c r="AI73" s="843"/>
      <c r="AJ73" s="843"/>
    </row>
    <row r="74" spans="2:36" x14ac:dyDescent="0.2">
      <c r="C74" s="933">
        <f t="shared" si="9"/>
        <v>43469</v>
      </c>
      <c r="D74" s="919">
        <f t="shared" si="10"/>
        <v>153350.92387096773</v>
      </c>
      <c r="E74" s="920">
        <f t="shared" si="11"/>
        <v>14421.080258064516</v>
      </c>
      <c r="F74" s="921">
        <f t="shared" si="5"/>
        <v>166742.67632311938</v>
      </c>
      <c r="G74" s="934">
        <f t="shared" si="12"/>
        <v>1.00347567</v>
      </c>
      <c r="H74" s="923">
        <f t="shared" si="6"/>
        <v>167.32220000000001</v>
      </c>
      <c r="I74" s="923">
        <f t="shared" si="7"/>
        <v>334683.00612782163</v>
      </c>
      <c r="J74" s="925"/>
      <c r="K74" s="926"/>
      <c r="L74" s="926"/>
      <c r="M74" s="1171"/>
      <c r="N74" s="937">
        <v>17470.322</v>
      </c>
      <c r="O74" s="937">
        <v>73325.835938000004</v>
      </c>
      <c r="P74" s="937">
        <v>75946.518385119358</v>
      </c>
      <c r="Q74" s="984">
        <v>0</v>
      </c>
      <c r="R74" s="986"/>
      <c r="S74" s="985">
        <f t="shared" si="13"/>
        <v>17470.322</v>
      </c>
      <c r="T74" s="986">
        <v>73325.835999999996</v>
      </c>
      <c r="U74" s="985">
        <f t="shared" si="14"/>
        <v>-6.1999991885386407E-5</v>
      </c>
      <c r="V74" s="988">
        <v>38047.311999999998</v>
      </c>
      <c r="W74" s="989">
        <v>38600.18</v>
      </c>
      <c r="X74" s="985">
        <f t="shared" si="15"/>
        <v>-700.97361488064053</v>
      </c>
      <c r="Y74" s="989">
        <v>0</v>
      </c>
      <c r="Z74" s="985">
        <f t="shared" si="16"/>
        <v>0</v>
      </c>
      <c r="AA74" s="1882"/>
      <c r="AB74" s="930"/>
      <c r="AC74" s="931">
        <f t="shared" si="17"/>
        <v>0</v>
      </c>
      <c r="AD74" s="931">
        <f t="shared" si="8"/>
        <v>0</v>
      </c>
      <c r="AE74" s="931">
        <f t="shared" si="18"/>
        <v>-739.56641822150902</v>
      </c>
      <c r="AF74" s="931">
        <f t="shared" si="19"/>
        <v>739.56641822150902</v>
      </c>
      <c r="AG74" s="932" t="e">
        <f t="shared" si="20"/>
        <v>#REF!</v>
      </c>
      <c r="AH74" s="843"/>
      <c r="AI74" s="843"/>
      <c r="AJ74" s="843"/>
    </row>
    <row r="75" spans="2:36" x14ac:dyDescent="0.2">
      <c r="C75" s="933">
        <f t="shared" si="9"/>
        <v>43470</v>
      </c>
      <c r="D75" s="919">
        <f t="shared" si="10"/>
        <v>153350.92387096773</v>
      </c>
      <c r="E75" s="920">
        <f t="shared" si="11"/>
        <v>14421.080258064516</v>
      </c>
      <c r="F75" s="921">
        <f t="shared" si="5"/>
        <v>158072.09993188331</v>
      </c>
      <c r="G75" s="934">
        <f t="shared" si="12"/>
        <v>1.00347567</v>
      </c>
      <c r="H75" s="923">
        <f t="shared" si="6"/>
        <v>158.6215</v>
      </c>
      <c r="I75" s="923">
        <f t="shared" si="7"/>
        <v>326003.72903658554</v>
      </c>
      <c r="J75" s="925"/>
      <c r="K75" s="926"/>
      <c r="L75" s="926"/>
      <c r="M75" s="1171"/>
      <c r="N75" s="928">
        <v>9514.4230000000007</v>
      </c>
      <c r="O75" s="928">
        <v>72302.375</v>
      </c>
      <c r="P75" s="928">
        <v>76255.301931883296</v>
      </c>
      <c r="Q75" s="984">
        <v>0</v>
      </c>
      <c r="R75" s="981"/>
      <c r="S75" s="985">
        <f t="shared" si="13"/>
        <v>9514.4230000000007</v>
      </c>
      <c r="T75" s="981">
        <v>72302.375</v>
      </c>
      <c r="U75" s="985">
        <f t="shared" si="14"/>
        <v>0</v>
      </c>
      <c r="V75" s="988">
        <v>37962.182999999997</v>
      </c>
      <c r="W75" s="989">
        <v>37911.078999999998</v>
      </c>
      <c r="X75" s="985">
        <f t="shared" si="15"/>
        <v>382.03993188330787</v>
      </c>
      <c r="Y75" s="989">
        <v>0</v>
      </c>
      <c r="Z75" s="985">
        <f t="shared" si="16"/>
        <v>0</v>
      </c>
      <c r="AA75" s="1882"/>
      <c r="AB75" s="930"/>
      <c r="AC75" s="931">
        <f t="shared" si="17"/>
        <v>0</v>
      </c>
      <c r="AD75" s="931">
        <f t="shared" si="8"/>
        <v>0</v>
      </c>
      <c r="AE75" s="931">
        <f t="shared" si="18"/>
        <v>403.07352237307526</v>
      </c>
      <c r="AF75" s="931">
        <f t="shared" si="19"/>
        <v>-403.07352237307526</v>
      </c>
      <c r="AG75" s="932" t="e">
        <f t="shared" si="20"/>
        <v>#REF!</v>
      </c>
      <c r="AH75" s="843"/>
      <c r="AI75" s="843"/>
      <c r="AJ75" s="843"/>
    </row>
    <row r="76" spans="2:36" x14ac:dyDescent="0.2">
      <c r="C76" s="933">
        <f t="shared" si="9"/>
        <v>43471</v>
      </c>
      <c r="D76" s="919">
        <f t="shared" si="10"/>
        <v>153350.92387096773</v>
      </c>
      <c r="E76" s="920">
        <f t="shared" si="11"/>
        <v>14421.080258064516</v>
      </c>
      <c r="F76" s="921">
        <f t="shared" si="5"/>
        <v>157759.54847950264</v>
      </c>
      <c r="G76" s="934">
        <f t="shared" si="12"/>
        <v>1.00347567</v>
      </c>
      <c r="H76" s="923">
        <f t="shared" si="6"/>
        <v>158.30789999999999</v>
      </c>
      <c r="I76" s="923">
        <f t="shared" si="7"/>
        <v>325690.86398420495</v>
      </c>
      <c r="J76" s="925"/>
      <c r="K76" s="926"/>
      <c r="L76" s="926"/>
      <c r="M76" s="1171"/>
      <c r="N76" s="937">
        <v>10837.816999999999</v>
      </c>
      <c r="O76" s="937">
        <v>71801.5625</v>
      </c>
      <c r="P76" s="937">
        <v>75120.168979502632</v>
      </c>
      <c r="Q76" s="984">
        <v>0</v>
      </c>
      <c r="R76" s="986"/>
      <c r="S76" s="985">
        <f t="shared" si="13"/>
        <v>10837.816999999999</v>
      </c>
      <c r="T76" s="986">
        <v>71801.562999999995</v>
      </c>
      <c r="U76" s="985">
        <f t="shared" si="14"/>
        <v>-4.999999946448952E-4</v>
      </c>
      <c r="V76" s="988">
        <v>36151.892</v>
      </c>
      <c r="W76" s="989">
        <v>36710.947</v>
      </c>
      <c r="X76" s="985">
        <f t="shared" si="15"/>
        <v>2257.3299795026251</v>
      </c>
      <c r="Y76" s="989">
        <v>0</v>
      </c>
      <c r="Z76" s="985">
        <f t="shared" si="16"/>
        <v>0</v>
      </c>
      <c r="AA76" s="1882"/>
      <c r="AB76" s="930"/>
      <c r="AC76" s="931">
        <f t="shared" si="17"/>
        <v>0</v>
      </c>
      <c r="AD76" s="931">
        <f t="shared" si="8"/>
        <v>0</v>
      </c>
      <c r="AE76" s="931">
        <f t="shared" si="18"/>
        <v>2381.6095388541216</v>
      </c>
      <c r="AF76" s="931">
        <f t="shared" si="19"/>
        <v>-2381.6095388541216</v>
      </c>
      <c r="AG76" s="932" t="e">
        <f t="shared" si="20"/>
        <v>#REF!</v>
      </c>
      <c r="AH76" s="843"/>
      <c r="AI76" s="843"/>
      <c r="AJ76" s="843"/>
    </row>
    <row r="77" spans="2:36" x14ac:dyDescent="0.2">
      <c r="C77" s="933">
        <f t="shared" si="9"/>
        <v>43472</v>
      </c>
      <c r="D77" s="919">
        <f t="shared" si="10"/>
        <v>153350.92387096773</v>
      </c>
      <c r="E77" s="920">
        <f t="shared" si="11"/>
        <v>14421.080258064516</v>
      </c>
      <c r="F77" s="921">
        <f t="shared" si="5"/>
        <v>199396.00556375133</v>
      </c>
      <c r="G77" s="934">
        <f t="shared" si="12"/>
        <v>1.00347567</v>
      </c>
      <c r="H77" s="923">
        <f t="shared" si="6"/>
        <v>200.089</v>
      </c>
      <c r="I77" s="923">
        <f t="shared" si="7"/>
        <v>367369.10216845357</v>
      </c>
      <c r="J77" s="925"/>
      <c r="K77" s="926"/>
      <c r="L77" s="926"/>
      <c r="M77" s="1171"/>
      <c r="N77" s="928">
        <v>19120.798999999999</v>
      </c>
      <c r="O77" s="928">
        <v>71852.765625</v>
      </c>
      <c r="P77" s="928">
        <v>108422.44093875134</v>
      </c>
      <c r="Q77" s="984">
        <v>0</v>
      </c>
      <c r="R77" s="981"/>
      <c r="S77" s="985">
        <f t="shared" si="13"/>
        <v>19120.798999999999</v>
      </c>
      <c r="T77" s="981">
        <v>71852.766000000003</v>
      </c>
      <c r="U77" s="985">
        <f t="shared" si="14"/>
        <v>-3.7500000325962901E-4</v>
      </c>
      <c r="V77" s="988">
        <v>70692.751999999993</v>
      </c>
      <c r="W77" s="989">
        <v>37475.211000000003</v>
      </c>
      <c r="X77" s="985">
        <f t="shared" si="15"/>
        <v>254.4779387513554</v>
      </c>
      <c r="Y77" s="989">
        <v>0</v>
      </c>
      <c r="Z77" s="985">
        <f t="shared" si="16"/>
        <v>0</v>
      </c>
      <c r="AA77" s="1882"/>
      <c r="AB77" s="930"/>
      <c r="AC77" s="931">
        <f t="shared" si="17"/>
        <v>0</v>
      </c>
      <c r="AD77" s="931">
        <f t="shared" si="8"/>
        <v>0</v>
      </c>
      <c r="AE77" s="931">
        <f t="shared" si="18"/>
        <v>268.48847614725003</v>
      </c>
      <c r="AF77" s="931">
        <f t="shared" si="19"/>
        <v>-268.48847614725003</v>
      </c>
      <c r="AG77" s="932" t="e">
        <f t="shared" si="20"/>
        <v>#REF!</v>
      </c>
      <c r="AH77" s="843"/>
      <c r="AI77" s="843"/>
      <c r="AJ77" s="843"/>
    </row>
    <row r="78" spans="2:36" x14ac:dyDescent="0.2">
      <c r="C78" s="933">
        <f t="shared" si="9"/>
        <v>43473</v>
      </c>
      <c r="D78" s="919">
        <f t="shared" si="10"/>
        <v>153350.92387096773</v>
      </c>
      <c r="E78" s="920">
        <f t="shared" si="11"/>
        <v>14421.080258064516</v>
      </c>
      <c r="F78" s="921">
        <f t="shared" si="5"/>
        <v>203741.36082369799</v>
      </c>
      <c r="G78" s="934">
        <f t="shared" si="12"/>
        <v>1.00347567</v>
      </c>
      <c r="H78" s="923">
        <f t="shared" si="6"/>
        <v>204.4495</v>
      </c>
      <c r="I78" s="923">
        <f t="shared" si="7"/>
        <v>371718.81792840024</v>
      </c>
      <c r="J78" s="925"/>
      <c r="K78" s="926"/>
      <c r="L78" s="926"/>
      <c r="M78" s="1171"/>
      <c r="N78" s="937">
        <v>18206.213</v>
      </c>
      <c r="O78" s="937">
        <v>71603.804688000004</v>
      </c>
      <c r="P78" s="937">
        <v>113931.343135698</v>
      </c>
      <c r="Q78" s="984">
        <v>0</v>
      </c>
      <c r="R78" s="986"/>
      <c r="S78" s="985">
        <f t="shared" si="13"/>
        <v>18206.213</v>
      </c>
      <c r="T78" s="986">
        <v>71603.804999999993</v>
      </c>
      <c r="U78" s="985">
        <f t="shared" si="14"/>
        <v>-3.1199998920783401E-4</v>
      </c>
      <c r="V78" s="988">
        <v>76202.509999999995</v>
      </c>
      <c r="W78" s="989">
        <v>38432.057999999997</v>
      </c>
      <c r="X78" s="985">
        <f t="shared" si="15"/>
        <v>-703.22486430199933</v>
      </c>
      <c r="Y78" s="989">
        <v>0</v>
      </c>
      <c r="Z78" s="985">
        <f t="shared" si="16"/>
        <v>0</v>
      </c>
      <c r="AA78" s="1882"/>
      <c r="AB78" s="930"/>
      <c r="AC78" s="931">
        <f t="shared" si="17"/>
        <v>0</v>
      </c>
      <c r="AD78" s="931">
        <f t="shared" si="8"/>
        <v>0</v>
      </c>
      <c r="AE78" s="931">
        <f t="shared" si="18"/>
        <v>-741.94161243101018</v>
      </c>
      <c r="AF78" s="931">
        <f t="shared" si="19"/>
        <v>741.94161243101018</v>
      </c>
      <c r="AG78" s="932" t="e">
        <f t="shared" si="20"/>
        <v>#REF!</v>
      </c>
    </row>
    <row r="79" spans="2:36" x14ac:dyDescent="0.2">
      <c r="C79" s="933">
        <f t="shared" si="9"/>
        <v>43474</v>
      </c>
      <c r="D79" s="919">
        <f t="shared" si="10"/>
        <v>153350.92387096773</v>
      </c>
      <c r="E79" s="920">
        <f t="shared" si="11"/>
        <v>14421.080258064516</v>
      </c>
      <c r="F79" s="921">
        <f t="shared" si="5"/>
        <v>205208.22921589192</v>
      </c>
      <c r="G79" s="934">
        <f t="shared" si="12"/>
        <v>1.00347567</v>
      </c>
      <c r="H79" s="923">
        <f t="shared" si="6"/>
        <v>205.92150000000001</v>
      </c>
      <c r="I79" s="923">
        <f t="shared" si="7"/>
        <v>373187.15832059417</v>
      </c>
      <c r="J79" s="925"/>
      <c r="K79" s="926"/>
      <c r="L79" s="926"/>
      <c r="M79" s="1171"/>
      <c r="N79" s="928">
        <v>18895.739000000001</v>
      </c>
      <c r="O79" s="928">
        <v>72370.648438000004</v>
      </c>
      <c r="P79" s="928">
        <v>113941.84177789191</v>
      </c>
      <c r="Q79" s="984">
        <v>0</v>
      </c>
      <c r="R79" s="981"/>
      <c r="S79" s="985">
        <f t="shared" si="13"/>
        <v>18895.739000000001</v>
      </c>
      <c r="T79" s="981">
        <v>72370.648000000001</v>
      </c>
      <c r="U79" s="985">
        <f t="shared" si="14"/>
        <v>4.3800000275950879E-4</v>
      </c>
      <c r="V79" s="988">
        <v>76081.331999999995</v>
      </c>
      <c r="W79" s="989">
        <v>38181.866999999998</v>
      </c>
      <c r="X79" s="985">
        <f t="shared" si="15"/>
        <v>-321.35722210808308</v>
      </c>
      <c r="Y79" s="989">
        <v>0</v>
      </c>
      <c r="Z79" s="985">
        <f t="shared" si="16"/>
        <v>0</v>
      </c>
      <c r="AA79" s="1882"/>
      <c r="AB79" s="930"/>
      <c r="AC79" s="931">
        <f t="shared" si="17"/>
        <v>0</v>
      </c>
      <c r="AD79" s="931">
        <f t="shared" si="8"/>
        <v>0</v>
      </c>
      <c r="AE79" s="931">
        <f t="shared" si="18"/>
        <v>-339.04986532846567</v>
      </c>
      <c r="AF79" s="931">
        <f t="shared" si="19"/>
        <v>339.04986532846567</v>
      </c>
      <c r="AG79" s="932" t="e">
        <f t="shared" si="20"/>
        <v>#REF!</v>
      </c>
    </row>
    <row r="80" spans="2:36" x14ac:dyDescent="0.2">
      <c r="C80" s="933">
        <f t="shared" si="9"/>
        <v>43475</v>
      </c>
      <c r="D80" s="919">
        <f t="shared" si="10"/>
        <v>153350.92387096773</v>
      </c>
      <c r="E80" s="920">
        <f t="shared" si="11"/>
        <v>14421.080258064516</v>
      </c>
      <c r="F80" s="921">
        <f t="shared" si="5"/>
        <v>205951.45866059535</v>
      </c>
      <c r="G80" s="934">
        <f t="shared" si="12"/>
        <v>1.00347567</v>
      </c>
      <c r="H80" s="923">
        <f t="shared" si="6"/>
        <v>206.66730000000001</v>
      </c>
      <c r="I80" s="923">
        <f t="shared" si="7"/>
        <v>373931.13356529758</v>
      </c>
      <c r="J80" s="925"/>
      <c r="K80" s="926"/>
      <c r="L80" s="926"/>
      <c r="M80" s="1171"/>
      <c r="N80" s="937">
        <v>19050.125</v>
      </c>
      <c r="O80" s="937">
        <v>72836.578125</v>
      </c>
      <c r="P80" s="937">
        <v>114064.75553559534</v>
      </c>
      <c r="Q80" s="984">
        <v>0</v>
      </c>
      <c r="R80" s="986"/>
      <c r="S80" s="985">
        <f t="shared" si="13"/>
        <v>19050.125</v>
      </c>
      <c r="T80" s="986">
        <v>72836.577999999994</v>
      </c>
      <c r="U80" s="985">
        <f t="shared" si="14"/>
        <v>1.2500000593718141E-4</v>
      </c>
      <c r="V80" s="988">
        <v>76320.028000000006</v>
      </c>
      <c r="W80" s="989">
        <v>38406.982000000004</v>
      </c>
      <c r="X80" s="985">
        <f t="shared" si="15"/>
        <v>-662.25446440467204</v>
      </c>
      <c r="Y80" s="989">
        <v>0</v>
      </c>
      <c r="Z80" s="985">
        <f t="shared" si="16"/>
        <v>0</v>
      </c>
      <c r="AA80" s="1882"/>
      <c r="AB80" s="930"/>
      <c r="AC80" s="931">
        <f t="shared" si="17"/>
        <v>0</v>
      </c>
      <c r="AD80" s="931">
        <f t="shared" si="8"/>
        <v>0</v>
      </c>
      <c r="AE80" s="931">
        <f t="shared" si="18"/>
        <v>-698.71554619693563</v>
      </c>
      <c r="AF80" s="931">
        <f t="shared" si="19"/>
        <v>698.71554619693563</v>
      </c>
      <c r="AG80" s="932" t="e">
        <f t="shared" si="20"/>
        <v>#REF!</v>
      </c>
    </row>
    <row r="81" spans="3:36" x14ac:dyDescent="0.2">
      <c r="C81" s="933">
        <f t="shared" si="9"/>
        <v>43476</v>
      </c>
      <c r="D81" s="919">
        <f t="shared" si="10"/>
        <v>153350.92387096773</v>
      </c>
      <c r="E81" s="920">
        <f t="shared" si="11"/>
        <v>14421.080258064516</v>
      </c>
      <c r="F81" s="921">
        <f t="shared" si="5"/>
        <v>208098.58091600329</v>
      </c>
      <c r="G81" s="934">
        <f t="shared" si="12"/>
        <v>1.00347567</v>
      </c>
      <c r="H81" s="923">
        <f t="shared" si="6"/>
        <v>208.8219</v>
      </c>
      <c r="I81" s="923">
        <f t="shared" si="7"/>
        <v>376080.41042070556</v>
      </c>
      <c r="J81" s="925"/>
      <c r="K81" s="926"/>
      <c r="L81" s="926"/>
      <c r="M81" s="1171"/>
      <c r="N81" s="928">
        <v>21403.593000000001</v>
      </c>
      <c r="O81" s="928">
        <v>72536.070313000004</v>
      </c>
      <c r="P81" s="928">
        <v>114158.9176030033</v>
      </c>
      <c r="Q81" s="984">
        <v>0</v>
      </c>
      <c r="R81" s="981"/>
      <c r="S81" s="985">
        <f t="shared" si="13"/>
        <v>21403.593000000001</v>
      </c>
      <c r="T81" s="981">
        <v>72536.070000000007</v>
      </c>
      <c r="U81" s="985">
        <f t="shared" si="14"/>
        <v>3.1299999682232738E-4</v>
      </c>
      <c r="V81" s="988">
        <v>76808.063999999998</v>
      </c>
      <c r="W81" s="989">
        <v>38.54</v>
      </c>
      <c r="X81" s="985">
        <f t="shared" si="15"/>
        <v>37312.313603003306</v>
      </c>
      <c r="Y81" s="989">
        <v>0</v>
      </c>
      <c r="Z81" s="985">
        <f t="shared" si="16"/>
        <v>0</v>
      </c>
      <c r="AA81" s="1882"/>
      <c r="AB81" s="930"/>
      <c r="AC81" s="931">
        <f t="shared" si="17"/>
        <v>0</v>
      </c>
      <c r="AD81" s="931">
        <f t="shared" si="8"/>
        <v>0</v>
      </c>
      <c r="AE81" s="931">
        <f t="shared" si="18"/>
        <v>39366.580340730252</v>
      </c>
      <c r="AF81" s="931">
        <f t="shared" si="19"/>
        <v>-39366.580340730252</v>
      </c>
      <c r="AG81" s="932" t="e">
        <f t="shared" si="20"/>
        <v>#REF!</v>
      </c>
    </row>
    <row r="82" spans="3:36" x14ac:dyDescent="0.2">
      <c r="C82" s="933">
        <f t="shared" si="9"/>
        <v>43477</v>
      </c>
      <c r="D82" s="919">
        <f t="shared" si="10"/>
        <v>153350.92387096773</v>
      </c>
      <c r="E82" s="920">
        <f t="shared" si="11"/>
        <v>14421.080258064516</v>
      </c>
      <c r="F82" s="921">
        <f t="shared" si="5"/>
        <v>200974.27959068987</v>
      </c>
      <c r="G82" s="934">
        <f t="shared" si="12"/>
        <v>1.00347567</v>
      </c>
      <c r="H82" s="923">
        <f t="shared" si="6"/>
        <v>201.6728</v>
      </c>
      <c r="I82" s="923">
        <f t="shared" si="7"/>
        <v>368948.95999539213</v>
      </c>
      <c r="J82" s="925"/>
      <c r="K82" s="926"/>
      <c r="L82" s="926"/>
      <c r="M82" s="1171"/>
      <c r="N82" s="937">
        <v>15176.689</v>
      </c>
      <c r="O82" s="937">
        <v>71804.828125</v>
      </c>
      <c r="P82" s="937">
        <v>113992.76246568986</v>
      </c>
      <c r="Q82" s="984">
        <v>0</v>
      </c>
      <c r="R82" s="986"/>
      <c r="S82" s="985">
        <f t="shared" si="13"/>
        <v>15176.689</v>
      </c>
      <c r="T82" s="986">
        <v>71804.83</v>
      </c>
      <c r="U82" s="985">
        <f t="shared" si="14"/>
        <v>-1.8750000017462298E-3</v>
      </c>
      <c r="V82" s="988">
        <v>76622.680999999997</v>
      </c>
      <c r="W82" s="989">
        <v>38434.796000000002</v>
      </c>
      <c r="X82" s="985">
        <f t="shared" si="15"/>
        <v>-1064.7145343101438</v>
      </c>
      <c r="Y82" s="989">
        <v>0</v>
      </c>
      <c r="Z82" s="985">
        <f t="shared" si="16"/>
        <v>0</v>
      </c>
      <c r="AA82" s="1882"/>
      <c r="AB82" s="930"/>
      <c r="AC82" s="931">
        <f t="shared" si="17"/>
        <v>0</v>
      </c>
      <c r="AD82" s="931">
        <f t="shared" si="8"/>
        <v>0</v>
      </c>
      <c r="AE82" s="931">
        <f t="shared" si="18"/>
        <v>-1123.3334577111232</v>
      </c>
      <c r="AF82" s="931">
        <f t="shared" si="19"/>
        <v>1123.3334577111232</v>
      </c>
      <c r="AG82" s="932" t="e">
        <f t="shared" si="20"/>
        <v>#REF!</v>
      </c>
    </row>
    <row r="83" spans="3:36" x14ac:dyDescent="0.2">
      <c r="C83" s="933">
        <f t="shared" si="9"/>
        <v>43478</v>
      </c>
      <c r="D83" s="919">
        <f t="shared" si="10"/>
        <v>153350.92387096773</v>
      </c>
      <c r="E83" s="920">
        <f t="shared" si="11"/>
        <v>14421.080258064516</v>
      </c>
      <c r="F83" s="921">
        <f t="shared" si="5"/>
        <v>181467.15068056784</v>
      </c>
      <c r="G83" s="934">
        <f t="shared" si="12"/>
        <v>1.00347567</v>
      </c>
      <c r="H83" s="923">
        <f t="shared" si="6"/>
        <v>182.09790000000001</v>
      </c>
      <c r="I83" s="923">
        <f t="shared" si="7"/>
        <v>349422.25618527009</v>
      </c>
      <c r="J83" s="925"/>
      <c r="K83" s="926"/>
      <c r="L83" s="926"/>
      <c r="M83" s="1171"/>
      <c r="N83" s="928">
        <v>16523.517</v>
      </c>
      <c r="O83" s="928">
        <v>62753.769530999998</v>
      </c>
      <c r="P83" s="928">
        <v>102189.86414956783</v>
      </c>
      <c r="Q83" s="984">
        <v>0</v>
      </c>
      <c r="R83" s="981"/>
      <c r="S83" s="985">
        <f t="shared" si="13"/>
        <v>16523.517</v>
      </c>
      <c r="T83" s="981">
        <v>62753.77</v>
      </c>
      <c r="U83" s="985">
        <f t="shared" si="14"/>
        <v>-4.6899999870220199E-4</v>
      </c>
      <c r="V83" s="988">
        <v>67309.903999999995</v>
      </c>
      <c r="W83" s="989">
        <v>36048.730000000003</v>
      </c>
      <c r="X83" s="985">
        <f t="shared" si="15"/>
        <v>-1168.7698504321597</v>
      </c>
      <c r="Y83" s="989">
        <v>0</v>
      </c>
      <c r="Z83" s="985">
        <f t="shared" si="16"/>
        <v>0</v>
      </c>
      <c r="AA83" s="1882"/>
      <c r="AB83" s="930"/>
      <c r="AC83" s="931">
        <f t="shared" si="17"/>
        <v>0</v>
      </c>
      <c r="AD83" s="931">
        <f t="shared" si="8"/>
        <v>0</v>
      </c>
      <c r="AE83" s="931">
        <f t="shared" si="18"/>
        <v>-1233.1176433175526</v>
      </c>
      <c r="AF83" s="931">
        <f t="shared" si="19"/>
        <v>1233.1176433175526</v>
      </c>
      <c r="AG83" s="932" t="e">
        <f t="shared" si="20"/>
        <v>#REF!</v>
      </c>
    </row>
    <row r="84" spans="3:36" x14ac:dyDescent="0.2">
      <c r="C84" s="933">
        <f t="shared" si="9"/>
        <v>43479</v>
      </c>
      <c r="D84" s="919">
        <f t="shared" si="10"/>
        <v>153350.92387096773</v>
      </c>
      <c r="E84" s="920">
        <f t="shared" si="11"/>
        <v>14421.080258064516</v>
      </c>
      <c r="F84" s="921">
        <f t="shared" si="5"/>
        <v>208607.10877194453</v>
      </c>
      <c r="G84" s="934">
        <f t="shared" si="12"/>
        <v>1.00347567</v>
      </c>
      <c r="H84" s="923">
        <f t="shared" si="6"/>
        <v>209.3322</v>
      </c>
      <c r="I84" s="923">
        <f t="shared" si="7"/>
        <v>376589.4485766468</v>
      </c>
      <c r="J84" s="925"/>
      <c r="K84" s="926"/>
      <c r="L84" s="926"/>
      <c r="M84" s="1171"/>
      <c r="N84" s="937">
        <v>20921.18</v>
      </c>
      <c r="O84" s="937">
        <v>73228.46875</v>
      </c>
      <c r="P84" s="937">
        <v>114457.46002194456</v>
      </c>
      <c r="Q84" s="984">
        <v>0</v>
      </c>
      <c r="R84" s="986"/>
      <c r="S84" s="985">
        <f t="shared" si="13"/>
        <v>20921.18</v>
      </c>
      <c r="T84" s="986">
        <v>73228.467999999993</v>
      </c>
      <c r="U84" s="985">
        <f t="shared" si="14"/>
        <v>7.5000000651925802E-4</v>
      </c>
      <c r="V84" s="988">
        <v>72935.698000000004</v>
      </c>
      <c r="W84" s="989">
        <v>36597.125</v>
      </c>
      <c r="X84" s="985">
        <f t="shared" si="15"/>
        <v>4924.6370219445525</v>
      </c>
      <c r="Y84" s="989">
        <v>0</v>
      </c>
      <c r="Z84" s="985">
        <f t="shared" si="16"/>
        <v>0</v>
      </c>
      <c r="AA84" s="1882"/>
      <c r="AB84" s="930"/>
      <c r="AC84" s="931">
        <f t="shared" si="17"/>
        <v>0</v>
      </c>
      <c r="AD84" s="931">
        <f t="shared" si="8"/>
        <v>0</v>
      </c>
      <c r="AE84" s="931">
        <f t="shared" si="18"/>
        <v>5195.7678378247319</v>
      </c>
      <c r="AF84" s="931">
        <f t="shared" si="19"/>
        <v>-5195.7678378247319</v>
      </c>
      <c r="AG84" s="932" t="e">
        <f t="shared" si="20"/>
        <v>#REF!</v>
      </c>
    </row>
    <row r="85" spans="3:36" x14ac:dyDescent="0.2">
      <c r="C85" s="933">
        <f t="shared" si="9"/>
        <v>43480</v>
      </c>
      <c r="D85" s="919">
        <f t="shared" si="10"/>
        <v>153350.92387096773</v>
      </c>
      <c r="E85" s="920">
        <f t="shared" si="11"/>
        <v>14421.080258064516</v>
      </c>
      <c r="F85" s="921">
        <f t="shared" si="5"/>
        <v>195376.80675595283</v>
      </c>
      <c r="G85" s="934">
        <f t="shared" si="12"/>
        <v>1.00347567</v>
      </c>
      <c r="H85" s="923">
        <f t="shared" si="6"/>
        <v>196.05590000000001</v>
      </c>
      <c r="I85" s="923">
        <f t="shared" si="7"/>
        <v>363345.87026065507</v>
      </c>
      <c r="J85" s="925"/>
      <c r="K85" s="926"/>
      <c r="L85" s="926"/>
      <c r="M85" s="1171"/>
      <c r="N85" s="928">
        <v>16053.686</v>
      </c>
      <c r="O85" s="928">
        <v>73839.148438000004</v>
      </c>
      <c r="P85" s="928">
        <v>105483.97231795285</v>
      </c>
      <c r="Q85" s="984">
        <v>0</v>
      </c>
      <c r="R85" s="981"/>
      <c r="S85" s="985">
        <f t="shared" si="13"/>
        <v>16053.686</v>
      </c>
      <c r="T85" s="981">
        <v>73839.149999999994</v>
      </c>
      <c r="U85" s="985">
        <f t="shared" si="14"/>
        <v>-1.5619999903719872E-3</v>
      </c>
      <c r="V85" s="988">
        <v>67173.123000000007</v>
      </c>
      <c r="W85" s="989">
        <v>38441.995999999999</v>
      </c>
      <c r="X85" s="985">
        <f t="shared" si="15"/>
        <v>-131.14668204715417</v>
      </c>
      <c r="Y85" s="989">
        <v>0</v>
      </c>
      <c r="Z85" s="985">
        <f t="shared" si="16"/>
        <v>0</v>
      </c>
      <c r="AA85" s="1882"/>
      <c r="AB85" s="930"/>
      <c r="AC85" s="931">
        <f t="shared" si="17"/>
        <v>0</v>
      </c>
      <c r="AD85" s="931">
        <f t="shared" si="8"/>
        <v>0</v>
      </c>
      <c r="AE85" s="931">
        <f t="shared" si="18"/>
        <v>-138.36709377394229</v>
      </c>
      <c r="AF85" s="931">
        <f t="shared" si="19"/>
        <v>138.36709377394229</v>
      </c>
      <c r="AG85" s="932" t="e">
        <f t="shared" si="20"/>
        <v>#REF!</v>
      </c>
    </row>
    <row r="86" spans="3:36" x14ac:dyDescent="0.2">
      <c r="C86" s="933">
        <f t="shared" si="9"/>
        <v>43481</v>
      </c>
      <c r="D86" s="919">
        <f t="shared" si="10"/>
        <v>153350.92387096773</v>
      </c>
      <c r="E86" s="920">
        <f t="shared" si="11"/>
        <v>14421.080258064516</v>
      </c>
      <c r="F86" s="921">
        <f t="shared" si="5"/>
        <v>178573.09394817814</v>
      </c>
      <c r="G86" s="934">
        <f t="shared" si="12"/>
        <v>1.00347567</v>
      </c>
      <c r="H86" s="923">
        <f t="shared" si="6"/>
        <v>179.19380000000001</v>
      </c>
      <c r="I86" s="923">
        <f t="shared" si="7"/>
        <v>346525.29535288038</v>
      </c>
      <c r="J86" s="925"/>
      <c r="K86" s="926"/>
      <c r="L86" s="926"/>
      <c r="M86" s="1171"/>
      <c r="N86" s="937">
        <v>16246.557000000001</v>
      </c>
      <c r="O86" s="937">
        <v>72530.320313000004</v>
      </c>
      <c r="P86" s="937">
        <v>89796.216635178149</v>
      </c>
      <c r="Q86" s="984">
        <v>0</v>
      </c>
      <c r="R86" s="986"/>
      <c r="S86" s="985">
        <f t="shared" si="13"/>
        <v>16246.557000000001</v>
      </c>
      <c r="T86" s="986">
        <v>75530.320000000007</v>
      </c>
      <c r="U86" s="985">
        <f t="shared" si="14"/>
        <v>-2999.9996870000032</v>
      </c>
      <c r="V86" s="988">
        <v>67622.233999999997</v>
      </c>
      <c r="W86" s="989">
        <v>21814.656999999999</v>
      </c>
      <c r="X86" s="985">
        <f t="shared" si="15"/>
        <v>359.3256351781456</v>
      </c>
      <c r="Y86" s="989">
        <v>0</v>
      </c>
      <c r="Z86" s="985">
        <f t="shared" si="16"/>
        <v>0</v>
      </c>
      <c r="AA86" s="1882"/>
      <c r="AB86" s="930"/>
      <c r="AC86" s="931">
        <f t="shared" si="17"/>
        <v>0</v>
      </c>
      <c r="AD86" s="931">
        <f t="shared" si="8"/>
        <v>0</v>
      </c>
      <c r="AE86" s="931">
        <f t="shared" si="18"/>
        <v>379.10866734851356</v>
      </c>
      <c r="AF86" s="931">
        <f t="shared" si="19"/>
        <v>-379.10866734851356</v>
      </c>
      <c r="AG86" s="932" t="e">
        <f t="shared" si="20"/>
        <v>#REF!</v>
      </c>
    </row>
    <row r="87" spans="3:36" x14ac:dyDescent="0.2">
      <c r="C87" s="933">
        <f t="shared" si="9"/>
        <v>43482</v>
      </c>
      <c r="D87" s="919">
        <f t="shared" si="10"/>
        <v>153350.92387096773</v>
      </c>
      <c r="E87" s="920">
        <f t="shared" si="11"/>
        <v>14421.080258064516</v>
      </c>
      <c r="F87" s="921">
        <f t="shared" si="5"/>
        <v>168248.165918627</v>
      </c>
      <c r="G87" s="934">
        <f t="shared" si="12"/>
        <v>1.00347567</v>
      </c>
      <c r="H87" s="923">
        <f t="shared" si="6"/>
        <v>168.8329</v>
      </c>
      <c r="I87" s="923">
        <f t="shared" si="7"/>
        <v>336190.00642332924</v>
      </c>
      <c r="J87" s="925"/>
      <c r="K87" s="926"/>
      <c r="L87" s="926"/>
      <c r="M87" s="1171"/>
      <c r="N87" s="928">
        <v>12095.402</v>
      </c>
      <c r="O87" s="928">
        <v>68520.421875</v>
      </c>
      <c r="P87" s="928">
        <v>87632.342043626995</v>
      </c>
      <c r="Q87" s="984">
        <v>0</v>
      </c>
      <c r="R87" s="981"/>
      <c r="S87" s="985">
        <f t="shared" si="13"/>
        <v>12095.402</v>
      </c>
      <c r="T87" s="981">
        <v>68520.399999999994</v>
      </c>
      <c r="U87" s="985">
        <f t="shared" si="14"/>
        <v>2.1875000005820766E-2</v>
      </c>
      <c r="V87" s="988">
        <v>54165.228000000003</v>
      </c>
      <c r="W87" s="989">
        <v>33919.855000000003</v>
      </c>
      <c r="X87" s="985">
        <f t="shared" si="15"/>
        <v>-452.74095637301798</v>
      </c>
      <c r="Y87" s="989">
        <v>0</v>
      </c>
      <c r="Z87" s="985">
        <f t="shared" si="16"/>
        <v>0</v>
      </c>
      <c r="AA87" s="1882"/>
      <c r="AB87" s="930"/>
      <c r="AC87" s="931">
        <f t="shared" si="17"/>
        <v>0</v>
      </c>
      <c r="AD87" s="931">
        <f t="shared" si="8"/>
        <v>0</v>
      </c>
      <c r="AE87" s="931">
        <f t="shared" si="18"/>
        <v>-477.66706246709083</v>
      </c>
      <c r="AF87" s="931">
        <f t="shared" si="19"/>
        <v>477.66706246709083</v>
      </c>
      <c r="AG87" s="932" t="e">
        <f t="shared" si="20"/>
        <v>#REF!</v>
      </c>
    </row>
    <row r="88" spans="3:36" x14ac:dyDescent="0.2">
      <c r="C88" s="933">
        <f t="shared" si="9"/>
        <v>43483</v>
      </c>
      <c r="D88" s="919">
        <f t="shared" si="10"/>
        <v>153350.92387096773</v>
      </c>
      <c r="E88" s="920">
        <f t="shared" si="11"/>
        <v>14421.080258064516</v>
      </c>
      <c r="F88" s="921">
        <f t="shared" si="5"/>
        <v>193672.9497114062</v>
      </c>
      <c r="G88" s="934">
        <f t="shared" si="12"/>
        <v>1.00347567</v>
      </c>
      <c r="H88" s="923">
        <f t="shared" si="6"/>
        <v>194.34610000000001</v>
      </c>
      <c r="I88" s="923">
        <f t="shared" si="7"/>
        <v>361640.30341610848</v>
      </c>
      <c r="J88" s="925"/>
      <c r="K88" s="926"/>
      <c r="L88" s="926"/>
      <c r="M88" s="1171"/>
      <c r="N88" s="937">
        <v>17491.156999999999</v>
      </c>
      <c r="O88" s="937">
        <v>72647.234375</v>
      </c>
      <c r="P88" s="937">
        <v>103534.55833640617</v>
      </c>
      <c r="Q88" s="984">
        <v>0</v>
      </c>
      <c r="R88" s="986"/>
      <c r="S88" s="985">
        <f t="shared" si="13"/>
        <v>17491.156999999999</v>
      </c>
      <c r="T88" s="986">
        <v>72647.199999999997</v>
      </c>
      <c r="U88" s="985">
        <f t="shared" si="14"/>
        <v>3.4375000002910383E-2</v>
      </c>
      <c r="V88" s="988">
        <v>68364.956999999995</v>
      </c>
      <c r="W88" s="989">
        <v>35873.677000000003</v>
      </c>
      <c r="X88" s="985">
        <f t="shared" si="15"/>
        <v>-704.07566359381599</v>
      </c>
      <c r="Y88" s="989">
        <v>0</v>
      </c>
      <c r="Z88" s="985">
        <f t="shared" si="16"/>
        <v>0</v>
      </c>
      <c r="AA88" s="1882"/>
      <c r="AB88" s="930"/>
      <c r="AC88" s="931">
        <f t="shared" si="17"/>
        <v>0</v>
      </c>
      <c r="AD88" s="931">
        <f t="shared" si="8"/>
        <v>0</v>
      </c>
      <c r="AE88" s="931">
        <f t="shared" si="18"/>
        <v>-742.83925332863714</v>
      </c>
      <c r="AF88" s="931">
        <f t="shared" si="19"/>
        <v>742.83925332863714</v>
      </c>
      <c r="AG88" s="932" t="e">
        <f t="shared" si="20"/>
        <v>#REF!</v>
      </c>
    </row>
    <row r="89" spans="3:36" x14ac:dyDescent="0.2">
      <c r="C89" s="933">
        <f t="shared" si="9"/>
        <v>43484</v>
      </c>
      <c r="D89" s="919">
        <f t="shared" si="10"/>
        <v>153350.92387096773</v>
      </c>
      <c r="E89" s="920">
        <f t="shared" si="11"/>
        <v>14421.080258064516</v>
      </c>
      <c r="F89" s="921">
        <f t="shared" si="5"/>
        <v>207522.6220525917</v>
      </c>
      <c r="G89" s="934">
        <f t="shared" si="12"/>
        <v>1.00347567</v>
      </c>
      <c r="H89" s="923">
        <f t="shared" si="6"/>
        <v>208.2439</v>
      </c>
      <c r="I89" s="923">
        <f t="shared" si="7"/>
        <v>375503.87355729396</v>
      </c>
      <c r="J89" s="925"/>
      <c r="K89" s="926"/>
      <c r="L89" s="926"/>
      <c r="M89" s="1171"/>
      <c r="N89" s="928">
        <v>21604.322</v>
      </c>
      <c r="O89" s="928">
        <v>71631.320313000004</v>
      </c>
      <c r="P89" s="928">
        <v>114286.97973959171</v>
      </c>
      <c r="Q89" s="984">
        <v>0</v>
      </c>
      <c r="R89" s="981"/>
      <c r="S89" s="985">
        <f t="shared" si="13"/>
        <v>21604.322</v>
      </c>
      <c r="T89" s="981">
        <v>71631.3</v>
      </c>
      <c r="U89" s="985">
        <f t="shared" si="14"/>
        <v>2.0313000000896864E-2</v>
      </c>
      <c r="V89" s="988">
        <v>76884.021999999997</v>
      </c>
      <c r="W89" s="989">
        <v>38325.542999999998</v>
      </c>
      <c r="X89" s="985">
        <f t="shared" si="15"/>
        <v>-922.5852604082902</v>
      </c>
      <c r="Y89" s="989">
        <v>0</v>
      </c>
      <c r="Z89" s="985">
        <f t="shared" si="16"/>
        <v>0</v>
      </c>
      <c r="AA89" s="1882"/>
      <c r="AB89" s="930"/>
      <c r="AC89" s="931">
        <f t="shared" si="17"/>
        <v>0</v>
      </c>
      <c r="AD89" s="931">
        <f t="shared" si="8"/>
        <v>0</v>
      </c>
      <c r="AE89" s="931">
        <f t="shared" si="18"/>
        <v>-973.37911450532897</v>
      </c>
      <c r="AF89" s="931">
        <f t="shared" si="19"/>
        <v>973.37911450532897</v>
      </c>
      <c r="AG89" s="932" t="e">
        <f t="shared" si="20"/>
        <v>#REF!</v>
      </c>
    </row>
    <row r="90" spans="3:36" x14ac:dyDescent="0.2">
      <c r="C90" s="933">
        <f t="shared" si="9"/>
        <v>43485</v>
      </c>
      <c r="D90" s="919">
        <f t="shared" si="10"/>
        <v>153350.92387096773</v>
      </c>
      <c r="E90" s="920">
        <f t="shared" si="11"/>
        <v>14421.080258064516</v>
      </c>
      <c r="F90" s="921">
        <f t="shared" si="5"/>
        <v>204221.71765267945</v>
      </c>
      <c r="G90" s="934">
        <f t="shared" si="12"/>
        <v>1.00347567</v>
      </c>
      <c r="H90" s="923">
        <f t="shared" si="6"/>
        <v>204.9315</v>
      </c>
      <c r="I90" s="923">
        <f t="shared" si="7"/>
        <v>372199.65675738169</v>
      </c>
      <c r="J90" s="925"/>
      <c r="K90" s="926"/>
      <c r="L90" s="926"/>
      <c r="M90" s="1171"/>
      <c r="N90" s="937">
        <v>19020.231</v>
      </c>
      <c r="O90" s="937">
        <v>71548.90625</v>
      </c>
      <c r="P90" s="937">
        <v>113652.58040267946</v>
      </c>
      <c r="Q90" s="984">
        <v>0</v>
      </c>
      <c r="R90" s="986"/>
      <c r="S90" s="985">
        <f t="shared" si="13"/>
        <v>19020.231</v>
      </c>
      <c r="T90" s="986">
        <v>71548.899999999994</v>
      </c>
      <c r="U90" s="985">
        <f t="shared" si="14"/>
        <v>6.2500000058207661E-3</v>
      </c>
      <c r="V90" s="988">
        <v>76667.240999999995</v>
      </c>
      <c r="W90" s="989">
        <v>37501.911</v>
      </c>
      <c r="X90" s="985">
        <f t="shared" si="15"/>
        <v>-516.57159732053697</v>
      </c>
      <c r="Y90" s="989">
        <v>0</v>
      </c>
      <c r="Z90" s="985">
        <f t="shared" si="16"/>
        <v>0</v>
      </c>
      <c r="AA90" s="1882"/>
      <c r="AB90" s="930"/>
      <c r="AC90" s="931">
        <f t="shared" si="17"/>
        <v>0</v>
      </c>
      <c r="AD90" s="931">
        <f t="shared" si="8"/>
        <v>0</v>
      </c>
      <c r="AE90" s="931">
        <f t="shared" si="18"/>
        <v>-545.01196318261646</v>
      </c>
      <c r="AF90" s="931">
        <f t="shared" si="19"/>
        <v>545.01196318261646</v>
      </c>
      <c r="AG90" s="932" t="e">
        <f t="shared" si="20"/>
        <v>#REF!</v>
      </c>
    </row>
    <row r="91" spans="3:36" x14ac:dyDescent="0.2">
      <c r="C91" s="933">
        <f t="shared" si="9"/>
        <v>43486</v>
      </c>
      <c r="D91" s="919">
        <f t="shared" si="10"/>
        <v>153350.92387096773</v>
      </c>
      <c r="E91" s="920">
        <f t="shared" si="11"/>
        <v>14421.080258064516</v>
      </c>
      <c r="F91" s="921">
        <f t="shared" si="5"/>
        <v>207882.06369733231</v>
      </c>
      <c r="G91" s="934">
        <f t="shared" si="12"/>
        <v>1.00347567</v>
      </c>
      <c r="H91" s="923">
        <f t="shared" si="6"/>
        <v>208.6046</v>
      </c>
      <c r="I91" s="923">
        <f t="shared" si="7"/>
        <v>375863.67590203456</v>
      </c>
      <c r="J91" s="925"/>
      <c r="K91" s="926"/>
      <c r="L91" s="926"/>
      <c r="M91" s="1171"/>
      <c r="N91" s="928">
        <v>22859.278999999999</v>
      </c>
      <c r="O91" s="928">
        <v>71395.828125</v>
      </c>
      <c r="P91" s="928">
        <v>113626.95657233232</v>
      </c>
      <c r="Q91" s="984">
        <v>0</v>
      </c>
      <c r="R91" s="981"/>
      <c r="S91" s="985">
        <f t="shared" si="13"/>
        <v>22859.278999999999</v>
      </c>
      <c r="T91" s="981">
        <v>71395.8</v>
      </c>
      <c r="U91" s="985">
        <f t="shared" si="14"/>
        <v>2.8124999997089617E-2</v>
      </c>
      <c r="V91" s="988">
        <v>75439.528000000006</v>
      </c>
      <c r="W91" s="989">
        <v>37912.107000000004</v>
      </c>
      <c r="X91" s="985">
        <f t="shared" si="15"/>
        <v>275.32157233230828</v>
      </c>
      <c r="Y91" s="989">
        <v>0</v>
      </c>
      <c r="Z91" s="985">
        <f t="shared" si="16"/>
        <v>0</v>
      </c>
      <c r="AA91" s="1882"/>
      <c r="AB91" s="930"/>
      <c r="AC91" s="931">
        <f t="shared" si="17"/>
        <v>0</v>
      </c>
      <c r="AD91" s="931">
        <f t="shared" si="8"/>
        <v>0</v>
      </c>
      <c r="AE91" s="931">
        <f t="shared" si="18"/>
        <v>290.47967681863582</v>
      </c>
      <c r="AF91" s="931">
        <f t="shared" si="19"/>
        <v>-290.47967681863582</v>
      </c>
      <c r="AG91" s="932" t="e">
        <f t="shared" si="20"/>
        <v>#REF!</v>
      </c>
    </row>
    <row r="92" spans="3:36" x14ac:dyDescent="0.2">
      <c r="C92" s="933">
        <f t="shared" si="9"/>
        <v>43487</v>
      </c>
      <c r="D92" s="919">
        <f t="shared" si="10"/>
        <v>153350.92387096773</v>
      </c>
      <c r="E92" s="920">
        <f t="shared" si="11"/>
        <v>14421.080258064516</v>
      </c>
      <c r="F92" s="921">
        <f t="shared" si="5"/>
        <v>207492.60704565546</v>
      </c>
      <c r="G92" s="934">
        <f t="shared" si="12"/>
        <v>1.00347567</v>
      </c>
      <c r="H92" s="923">
        <f t="shared" si="6"/>
        <v>208.21379999999999</v>
      </c>
      <c r="I92" s="923">
        <f t="shared" si="7"/>
        <v>375473.82845035777</v>
      </c>
      <c r="J92" s="925"/>
      <c r="K92" s="926"/>
      <c r="L92" s="926"/>
      <c r="M92" s="1171"/>
      <c r="N92" s="937">
        <v>22445.184000000001</v>
      </c>
      <c r="O92" s="937">
        <v>71712.601563000004</v>
      </c>
      <c r="P92" s="937">
        <v>113334.82148265545</v>
      </c>
      <c r="Q92" s="984">
        <v>0</v>
      </c>
      <c r="R92" s="986"/>
      <c r="S92" s="985">
        <f t="shared" si="13"/>
        <v>22445.184000000001</v>
      </c>
      <c r="T92" s="986">
        <v>71712.600000000006</v>
      </c>
      <c r="U92" s="985">
        <f t="shared" si="14"/>
        <v>1.5629999979864806E-3</v>
      </c>
      <c r="V92" s="988">
        <v>74215.400999999998</v>
      </c>
      <c r="W92" s="989">
        <v>37126.512000000002</v>
      </c>
      <c r="X92" s="985">
        <f t="shared" si="15"/>
        <v>1992.9084826554463</v>
      </c>
      <c r="Y92" s="989">
        <v>0</v>
      </c>
      <c r="Z92" s="985">
        <f t="shared" si="16"/>
        <v>0</v>
      </c>
      <c r="AA92" s="1882"/>
      <c r="AB92" s="930"/>
      <c r="AC92" s="931">
        <f t="shared" si="17"/>
        <v>0</v>
      </c>
      <c r="AD92" s="931">
        <f t="shared" si="8"/>
        <v>0</v>
      </c>
      <c r="AE92" s="931">
        <f t="shared" si="18"/>
        <v>2102.6300520765244</v>
      </c>
      <c r="AF92" s="931">
        <f t="shared" si="19"/>
        <v>-2102.6300520765244</v>
      </c>
      <c r="AG92" s="932" t="e">
        <f t="shared" si="20"/>
        <v>#REF!</v>
      </c>
    </row>
    <row r="93" spans="3:36" x14ac:dyDescent="0.2">
      <c r="C93" s="933">
        <f t="shared" si="9"/>
        <v>43488</v>
      </c>
      <c r="D93" s="919">
        <f t="shared" si="10"/>
        <v>153350.92387096773</v>
      </c>
      <c r="E93" s="920">
        <f t="shared" si="11"/>
        <v>14421.080258064516</v>
      </c>
      <c r="F93" s="921">
        <f t="shared" si="5"/>
        <v>207304.28614945011</v>
      </c>
      <c r="G93" s="934">
        <f t="shared" si="12"/>
        <v>1.00347567</v>
      </c>
      <c r="H93" s="923">
        <f t="shared" si="6"/>
        <v>208.0248</v>
      </c>
      <c r="I93" s="923">
        <f t="shared" si="7"/>
        <v>375285.31855415239</v>
      </c>
      <c r="J93" s="925"/>
      <c r="K93" s="926"/>
      <c r="L93" s="926"/>
      <c r="M93" s="1171"/>
      <c r="N93" s="928">
        <v>22544.115000000002</v>
      </c>
      <c r="O93" s="928">
        <v>71618.976563000004</v>
      </c>
      <c r="P93" s="928">
        <v>113141.19458645013</v>
      </c>
      <c r="Q93" s="984">
        <v>0</v>
      </c>
      <c r="R93" s="981"/>
      <c r="S93" s="985">
        <f t="shared" si="13"/>
        <v>22544.115000000002</v>
      </c>
      <c r="T93" s="981">
        <v>71618.98</v>
      </c>
      <c r="U93" s="985">
        <f t="shared" si="14"/>
        <v>-3.4369999921182171E-3</v>
      </c>
      <c r="V93" s="988">
        <v>73880.490000000005</v>
      </c>
      <c r="W93" s="989">
        <v>36921.033000000003</v>
      </c>
      <c r="X93" s="985">
        <f t="shared" si="15"/>
        <v>2339.6715864501166</v>
      </c>
      <c r="Y93" s="989">
        <v>0</v>
      </c>
      <c r="Z93" s="985">
        <f t="shared" si="16"/>
        <v>0</v>
      </c>
      <c r="AA93" s="1882"/>
      <c r="AB93" s="930"/>
      <c r="AC93" s="931">
        <f t="shared" si="17"/>
        <v>0</v>
      </c>
      <c r="AD93" s="931">
        <f t="shared" si="8"/>
        <v>0</v>
      </c>
      <c r="AE93" s="931">
        <f t="shared" si="18"/>
        <v>2468.4845453137141</v>
      </c>
      <c r="AF93" s="931">
        <f t="shared" si="19"/>
        <v>-2468.4845453137141</v>
      </c>
      <c r="AG93" s="932" t="e">
        <f t="shared" si="20"/>
        <v>#REF!</v>
      </c>
    </row>
    <row r="94" spans="3:36" x14ac:dyDescent="0.2">
      <c r="C94" s="933">
        <f t="shared" si="9"/>
        <v>43489</v>
      </c>
      <c r="D94" s="919">
        <f t="shared" si="10"/>
        <v>153350.92387096773</v>
      </c>
      <c r="E94" s="920">
        <f t="shared" si="11"/>
        <v>14421.080258064516</v>
      </c>
      <c r="F94" s="921">
        <f t="shared" si="5"/>
        <v>208108.1853375494</v>
      </c>
      <c r="G94" s="934">
        <f t="shared" si="12"/>
        <v>1.00347567</v>
      </c>
      <c r="H94" s="923">
        <f t="shared" si="6"/>
        <v>208.83150000000001</v>
      </c>
      <c r="I94" s="923">
        <f t="shared" si="7"/>
        <v>376090.02444225166</v>
      </c>
      <c r="J94" s="925"/>
      <c r="K94" s="926"/>
      <c r="L94" s="926"/>
      <c r="M94" s="1171"/>
      <c r="N94" s="937">
        <v>22423.539000000001</v>
      </c>
      <c r="O94" s="937">
        <v>72462.515625</v>
      </c>
      <c r="P94" s="937">
        <v>113222.13071254941</v>
      </c>
      <c r="Q94" s="984">
        <v>0</v>
      </c>
      <c r="R94" s="986"/>
      <c r="S94" s="985">
        <f t="shared" si="13"/>
        <v>22423.539000000001</v>
      </c>
      <c r="T94" s="986">
        <v>72462.52</v>
      </c>
      <c r="U94" s="985">
        <f t="shared" si="14"/>
        <v>-4.3750000040745363E-3</v>
      </c>
      <c r="V94" s="988">
        <v>73162.638999999996</v>
      </c>
      <c r="W94" s="989">
        <v>36467.498</v>
      </c>
      <c r="X94" s="985">
        <f t="shared" si="15"/>
        <v>3591.993712549418</v>
      </c>
      <c r="Y94" s="989">
        <v>0</v>
      </c>
      <c r="Z94" s="985">
        <f t="shared" si="16"/>
        <v>0</v>
      </c>
      <c r="AA94" s="1882"/>
      <c r="AB94" s="930"/>
      <c r="AC94" s="931">
        <f t="shared" si="17"/>
        <v>0</v>
      </c>
      <c r="AD94" s="931">
        <f t="shared" si="8"/>
        <v>0</v>
      </c>
      <c r="AE94" s="931">
        <f t="shared" si="18"/>
        <v>3789.7545183875386</v>
      </c>
      <c r="AF94" s="931">
        <f t="shared" si="19"/>
        <v>-3789.7545183875386</v>
      </c>
      <c r="AG94" s="932" t="e">
        <f t="shared" si="20"/>
        <v>#REF!</v>
      </c>
      <c r="AH94" s="843"/>
      <c r="AI94" s="843"/>
      <c r="AJ94" s="843"/>
    </row>
    <row r="95" spans="3:36" x14ac:dyDescent="0.2">
      <c r="C95" s="933">
        <f t="shared" si="9"/>
        <v>43490</v>
      </c>
      <c r="D95" s="919">
        <f t="shared" si="10"/>
        <v>153350.92387096773</v>
      </c>
      <c r="E95" s="920">
        <f t="shared" si="11"/>
        <v>14421.080258064516</v>
      </c>
      <c r="F95" s="921">
        <f t="shared" si="5"/>
        <v>206699.17620387115</v>
      </c>
      <c r="G95" s="934">
        <f t="shared" si="12"/>
        <v>1.00347567</v>
      </c>
      <c r="H95" s="923">
        <f t="shared" si="6"/>
        <v>207.41759999999999</v>
      </c>
      <c r="I95" s="923">
        <f t="shared" si="7"/>
        <v>374679.60140857339</v>
      </c>
      <c r="J95" s="925"/>
      <c r="K95" s="926"/>
      <c r="L95" s="926"/>
      <c r="M95" s="1171"/>
      <c r="N95" s="928">
        <v>21337.663</v>
      </c>
      <c r="O95" s="928">
        <v>72507.273438000004</v>
      </c>
      <c r="P95" s="928">
        <v>112854.23976587114</v>
      </c>
      <c r="Q95" s="984">
        <v>0</v>
      </c>
      <c r="R95" s="981"/>
      <c r="S95" s="985">
        <f t="shared" si="13"/>
        <v>21337.663</v>
      </c>
      <c r="T95" s="981">
        <v>72507.27</v>
      </c>
      <c r="U95" s="985">
        <f t="shared" si="14"/>
        <v>3.4379999997327104E-3</v>
      </c>
      <c r="V95" s="988">
        <v>73489.745999999999</v>
      </c>
      <c r="W95" s="989">
        <v>35897.093999999997</v>
      </c>
      <c r="X95" s="985">
        <f t="shared" si="15"/>
        <v>3467.3997658711451</v>
      </c>
      <c r="Y95" s="989">
        <v>0</v>
      </c>
      <c r="Z95" s="985">
        <f t="shared" si="16"/>
        <v>0</v>
      </c>
      <c r="AA95" s="1882"/>
      <c r="AB95" s="930"/>
      <c r="AC95" s="931">
        <f t="shared" si="17"/>
        <v>0</v>
      </c>
      <c r="AD95" s="931">
        <f t="shared" si="8"/>
        <v>0</v>
      </c>
      <c r="AE95" s="931">
        <f t="shared" si="18"/>
        <v>3658.3009273809466</v>
      </c>
      <c r="AF95" s="931">
        <f t="shared" si="19"/>
        <v>-3658.3009273809466</v>
      </c>
      <c r="AG95" s="932" t="e">
        <f t="shared" si="20"/>
        <v>#REF!</v>
      </c>
      <c r="AH95" s="843"/>
      <c r="AI95" s="843"/>
      <c r="AJ95" s="843"/>
    </row>
    <row r="96" spans="3:36" x14ac:dyDescent="0.2">
      <c r="C96" s="933">
        <f t="shared" si="9"/>
        <v>43491</v>
      </c>
      <c r="D96" s="919">
        <f t="shared" si="10"/>
        <v>153350.92387096773</v>
      </c>
      <c r="E96" s="920">
        <f t="shared" si="11"/>
        <v>14421.080258064516</v>
      </c>
      <c r="F96" s="921">
        <f t="shared" si="5"/>
        <v>187227.21259019966</v>
      </c>
      <c r="G96" s="934">
        <f t="shared" si="12"/>
        <v>1.00347567</v>
      </c>
      <c r="H96" s="923">
        <f t="shared" si="6"/>
        <v>187.87799999999999</v>
      </c>
      <c r="I96" s="923">
        <f t="shared" si="7"/>
        <v>355188.09819490195</v>
      </c>
      <c r="J96" s="925"/>
      <c r="K96" s="926"/>
      <c r="L96" s="926"/>
      <c r="M96" s="1171"/>
      <c r="N96" s="937">
        <v>13742.858</v>
      </c>
      <c r="O96" s="937">
        <v>72586.070313000004</v>
      </c>
      <c r="P96" s="937">
        <v>100898.28427719964</v>
      </c>
      <c r="Q96" s="984">
        <v>0</v>
      </c>
      <c r="R96" s="986"/>
      <c r="S96" s="985">
        <f t="shared" si="13"/>
        <v>13742.858</v>
      </c>
      <c r="T96" s="986">
        <v>72586.070000000007</v>
      </c>
      <c r="U96" s="985">
        <f t="shared" si="14"/>
        <v>3.1299999682232738E-4</v>
      </c>
      <c r="V96" s="988">
        <v>65971.008000000002</v>
      </c>
      <c r="W96" s="989">
        <v>33506.307999999997</v>
      </c>
      <c r="X96" s="985">
        <f t="shared" si="15"/>
        <v>1420.9682771996449</v>
      </c>
      <c r="Y96" s="989">
        <v>0</v>
      </c>
      <c r="Z96" s="985">
        <f t="shared" si="16"/>
        <v>0</v>
      </c>
      <c r="AA96" s="1882"/>
      <c r="AB96" s="930"/>
      <c r="AC96" s="931">
        <f t="shared" si="17"/>
        <v>0</v>
      </c>
      <c r="AD96" s="931">
        <f t="shared" si="8"/>
        <v>0</v>
      </c>
      <c r="AE96" s="931">
        <f t="shared" si="18"/>
        <v>1499.2011066691487</v>
      </c>
      <c r="AF96" s="931">
        <f t="shared" si="19"/>
        <v>-1499.2011066691487</v>
      </c>
      <c r="AG96" s="932" t="e">
        <f t="shared" si="20"/>
        <v>#REF!</v>
      </c>
      <c r="AH96" s="843"/>
      <c r="AI96" s="843"/>
      <c r="AJ96" s="843"/>
    </row>
    <row r="97" spans="2:42" x14ac:dyDescent="0.2">
      <c r="C97" s="933">
        <f t="shared" si="9"/>
        <v>43492</v>
      </c>
      <c r="D97" s="919">
        <f t="shared" si="10"/>
        <v>153350.92387096773</v>
      </c>
      <c r="E97" s="920">
        <f t="shared" si="11"/>
        <v>14421.080258064516</v>
      </c>
      <c r="F97" s="921">
        <f t="shared" si="5"/>
        <v>178603.32653018553</v>
      </c>
      <c r="G97" s="934">
        <f t="shared" si="12"/>
        <v>1.00347567</v>
      </c>
      <c r="H97" s="923">
        <f t="shared" si="6"/>
        <v>179.22409999999999</v>
      </c>
      <c r="I97" s="923">
        <f t="shared" si="7"/>
        <v>346555.55823488778</v>
      </c>
      <c r="J97" s="925"/>
      <c r="K97" s="926"/>
      <c r="L97" s="926"/>
      <c r="M97" s="1171"/>
      <c r="N97" s="928">
        <v>15163.66</v>
      </c>
      <c r="O97" s="928">
        <v>71862.195313000004</v>
      </c>
      <c r="P97" s="928">
        <v>91577.471217185521</v>
      </c>
      <c r="Q97" s="984">
        <v>0</v>
      </c>
      <c r="R97" s="981"/>
      <c r="S97" s="985">
        <f t="shared" si="13"/>
        <v>15163.66</v>
      </c>
      <c r="T97" s="981">
        <v>71862.2</v>
      </c>
      <c r="U97" s="985">
        <f t="shared" si="14"/>
        <v>-4.6869999932823703E-3</v>
      </c>
      <c r="V97" s="988">
        <v>57847.66</v>
      </c>
      <c r="W97" s="989">
        <v>31807.662</v>
      </c>
      <c r="X97" s="985">
        <f t="shared" si="15"/>
        <v>1922.1492171855207</v>
      </c>
      <c r="Y97" s="989">
        <v>0</v>
      </c>
      <c r="Z97" s="985">
        <f t="shared" si="16"/>
        <v>0</v>
      </c>
      <c r="AA97" s="1882"/>
      <c r="AB97" s="930"/>
      <c r="AC97" s="931">
        <f t="shared" si="17"/>
        <v>0</v>
      </c>
      <c r="AD97" s="931">
        <f t="shared" si="8"/>
        <v>0</v>
      </c>
      <c r="AE97" s="931">
        <f t="shared" si="18"/>
        <v>2027.9750644868866</v>
      </c>
      <c r="AF97" s="931">
        <f t="shared" si="19"/>
        <v>-2027.9750644868866</v>
      </c>
      <c r="AG97" s="932" t="e">
        <f t="shared" si="20"/>
        <v>#REF!</v>
      </c>
      <c r="AH97" s="843"/>
      <c r="AI97" s="843"/>
      <c r="AJ97" s="843"/>
    </row>
    <row r="98" spans="2:42" x14ac:dyDescent="0.2">
      <c r="C98" s="933">
        <f t="shared" si="9"/>
        <v>43493</v>
      </c>
      <c r="D98" s="919">
        <f t="shared" si="10"/>
        <v>153350.92387096773</v>
      </c>
      <c r="E98" s="920">
        <f t="shared" si="11"/>
        <v>14421.080258064516</v>
      </c>
      <c r="F98" s="921">
        <f t="shared" si="5"/>
        <v>201960.76960259513</v>
      </c>
      <c r="G98" s="934">
        <f t="shared" si="12"/>
        <v>1.00347567</v>
      </c>
      <c r="H98" s="923">
        <f t="shared" si="6"/>
        <v>202.6627</v>
      </c>
      <c r="I98" s="923">
        <f t="shared" si="7"/>
        <v>369936.43990729738</v>
      </c>
      <c r="J98" s="925"/>
      <c r="K98" s="926"/>
      <c r="L98" s="926"/>
      <c r="M98" s="1171"/>
      <c r="N98" s="937">
        <v>20263.575000000001</v>
      </c>
      <c r="O98" s="937">
        <v>72901.914063000004</v>
      </c>
      <c r="P98" s="937">
        <v>108795.28053959513</v>
      </c>
      <c r="Q98" s="984">
        <v>0</v>
      </c>
      <c r="R98" s="986"/>
      <c r="S98" s="985">
        <f t="shared" si="13"/>
        <v>20263.575000000001</v>
      </c>
      <c r="T98" s="986">
        <v>70132.982999999993</v>
      </c>
      <c r="U98" s="985">
        <f t="shared" si="14"/>
        <v>2768.9310630000109</v>
      </c>
      <c r="V98" s="988">
        <v>69146.887000000002</v>
      </c>
      <c r="W98" s="989">
        <v>36634.248</v>
      </c>
      <c r="X98" s="985">
        <f t="shared" si="15"/>
        <v>3014.1455395951198</v>
      </c>
      <c r="Y98" s="989">
        <v>0</v>
      </c>
      <c r="Z98" s="985">
        <f t="shared" si="16"/>
        <v>0</v>
      </c>
      <c r="AA98" s="1882"/>
      <c r="AB98" s="930"/>
      <c r="AC98" s="931">
        <f t="shared" si="17"/>
        <v>0</v>
      </c>
      <c r="AD98" s="931">
        <f t="shared" si="8"/>
        <v>0</v>
      </c>
      <c r="AE98" s="931">
        <f t="shared" si="18"/>
        <v>3180.0923364230684</v>
      </c>
      <c r="AF98" s="931">
        <f t="shared" si="19"/>
        <v>-3180.0923364230684</v>
      </c>
      <c r="AG98" s="932" t="e">
        <f t="shared" si="20"/>
        <v>#REF!</v>
      </c>
      <c r="AH98" s="843"/>
      <c r="AI98" s="843"/>
      <c r="AJ98" s="843"/>
    </row>
    <row r="99" spans="2:42" x14ac:dyDescent="0.2">
      <c r="C99" s="933">
        <f t="shared" si="9"/>
        <v>43494</v>
      </c>
      <c r="D99" s="919">
        <f t="shared" si="10"/>
        <v>153350.92387096773</v>
      </c>
      <c r="E99" s="920">
        <f t="shared" si="11"/>
        <v>14421.080258064516</v>
      </c>
      <c r="F99" s="921">
        <f t="shared" si="5"/>
        <v>206462.71634075261</v>
      </c>
      <c r="G99" s="934">
        <f t="shared" si="12"/>
        <v>1.00347567</v>
      </c>
      <c r="H99" s="923">
        <f t="shared" si="6"/>
        <v>207.18029999999999</v>
      </c>
      <c r="I99" s="923">
        <f t="shared" si="7"/>
        <v>374442.90424545488</v>
      </c>
      <c r="J99" s="925"/>
      <c r="K99" s="926"/>
      <c r="L99" s="926"/>
      <c r="M99" s="1171"/>
      <c r="N99" s="928">
        <v>19220.169999999998</v>
      </c>
      <c r="O99" s="928">
        <v>74088.804688000004</v>
      </c>
      <c r="P99" s="928">
        <v>113153.74165275264</v>
      </c>
      <c r="Q99" s="984">
        <v>0</v>
      </c>
      <c r="R99" s="981"/>
      <c r="S99" s="985">
        <f t="shared" si="13"/>
        <v>19220.169999999998</v>
      </c>
      <c r="T99" s="981">
        <v>70945.684999999998</v>
      </c>
      <c r="U99" s="985">
        <f t="shared" si="14"/>
        <v>3143.1196880000061</v>
      </c>
      <c r="V99" s="988">
        <v>68364.956999999995</v>
      </c>
      <c r="W99" s="989">
        <v>33919.855000000003</v>
      </c>
      <c r="X99" s="985">
        <f t="shared" si="15"/>
        <v>10868.929652752631</v>
      </c>
      <c r="Y99" s="989">
        <v>0</v>
      </c>
      <c r="Z99" s="985">
        <f t="shared" si="16"/>
        <v>0</v>
      </c>
      <c r="AA99" s="1882"/>
      <c r="AB99" s="930"/>
      <c r="AC99" s="931">
        <f t="shared" si="17"/>
        <v>0</v>
      </c>
      <c r="AD99" s="931">
        <f t="shared" si="8"/>
        <v>0</v>
      </c>
      <c r="AE99" s="931">
        <f t="shared" si="18"/>
        <v>11467.32944371458</v>
      </c>
      <c r="AF99" s="931">
        <f t="shared" si="19"/>
        <v>-11467.32944371458</v>
      </c>
      <c r="AG99" s="932" t="e">
        <f t="shared" si="20"/>
        <v>#REF!</v>
      </c>
      <c r="AH99" s="843"/>
      <c r="AI99" s="843"/>
      <c r="AJ99" s="843"/>
    </row>
    <row r="100" spans="2:42" x14ac:dyDescent="0.2">
      <c r="C100" s="933">
        <f t="shared" si="9"/>
        <v>43495</v>
      </c>
      <c r="D100" s="919">
        <f t="shared" si="10"/>
        <v>153350.92387096773</v>
      </c>
      <c r="E100" s="920">
        <f t="shared" si="11"/>
        <v>14421.080258064516</v>
      </c>
      <c r="F100" s="921">
        <f t="shared" si="5"/>
        <v>201792.8364548274</v>
      </c>
      <c r="G100" s="934">
        <f t="shared" si="12"/>
        <v>1.00347567</v>
      </c>
      <c r="H100" s="923">
        <f t="shared" si="6"/>
        <v>202.49420000000001</v>
      </c>
      <c r="I100" s="923">
        <f t="shared" si="7"/>
        <v>369768.33825952967</v>
      </c>
      <c r="J100" s="925"/>
      <c r="K100" s="926"/>
      <c r="L100" s="926"/>
      <c r="M100" s="1171"/>
      <c r="N100" s="928">
        <v>20149.672999999999</v>
      </c>
      <c r="O100" s="928">
        <v>74595.984375</v>
      </c>
      <c r="P100" s="928">
        <v>107047.17907982739</v>
      </c>
      <c r="Q100" s="984">
        <v>0</v>
      </c>
      <c r="R100" s="981"/>
      <c r="S100" s="985">
        <f t="shared" si="13"/>
        <v>20149.672999999999</v>
      </c>
      <c r="T100" s="981">
        <v>73839.149999999994</v>
      </c>
      <c r="U100" s="985">
        <f t="shared" si="14"/>
        <v>756.83437500000582</v>
      </c>
      <c r="V100" s="988">
        <v>76320.028000000006</v>
      </c>
      <c r="W100" s="989">
        <v>35873.677000000003</v>
      </c>
      <c r="X100" s="985">
        <f t="shared" si="15"/>
        <v>-5146.5259201726294</v>
      </c>
      <c r="Y100" s="989">
        <v>0</v>
      </c>
      <c r="Z100" s="985">
        <f t="shared" si="16"/>
        <v>0</v>
      </c>
      <c r="AA100" s="1882"/>
      <c r="AB100" s="930"/>
      <c r="AC100" s="931">
        <f t="shared" si="17"/>
        <v>0</v>
      </c>
      <c r="AD100" s="931">
        <f t="shared" si="8"/>
        <v>0</v>
      </c>
      <c r="AE100" s="931">
        <f t="shared" si="18"/>
        <v>-5429.8730512336533</v>
      </c>
      <c r="AF100" s="931">
        <f t="shared" si="19"/>
        <v>5429.8730512336533</v>
      </c>
      <c r="AG100" s="932" t="e">
        <f t="shared" si="20"/>
        <v>#REF!</v>
      </c>
      <c r="AH100" s="843"/>
      <c r="AI100" s="843"/>
      <c r="AJ100" s="843"/>
    </row>
    <row r="101" spans="2:42" ht="13.5" thickBot="1" x14ac:dyDescent="0.25">
      <c r="C101" s="938">
        <f t="shared" si="9"/>
        <v>43496</v>
      </c>
      <c r="D101" s="939">
        <f t="shared" si="10"/>
        <v>153350.92387096773</v>
      </c>
      <c r="E101" s="940">
        <f t="shared" si="11"/>
        <v>14421.080258064516</v>
      </c>
      <c r="F101" s="1887">
        <f t="shared" si="5"/>
        <v>202166.84272998766</v>
      </c>
      <c r="G101" s="941">
        <f t="shared" si="12"/>
        <v>1.00347567</v>
      </c>
      <c r="H101" s="943">
        <f t="shared" si="6"/>
        <v>202.86949999999999</v>
      </c>
      <c r="I101" s="943">
        <f t="shared" si="7"/>
        <v>370142.71983468992</v>
      </c>
      <c r="J101" s="945"/>
      <c r="K101" s="946"/>
      <c r="L101" s="946"/>
      <c r="M101" s="1298"/>
      <c r="N101" s="948">
        <v>19644.595000000001</v>
      </c>
      <c r="O101" s="948">
        <v>74664.945313000004</v>
      </c>
      <c r="P101" s="948">
        <v>107857.30241698764</v>
      </c>
      <c r="Q101" s="1881">
        <v>0</v>
      </c>
      <c r="R101" s="991"/>
      <c r="S101" s="1916">
        <f t="shared" si="13"/>
        <v>19644.595000000001</v>
      </c>
      <c r="T101" s="991">
        <v>73839.149999999994</v>
      </c>
      <c r="U101" s="1916">
        <f t="shared" si="14"/>
        <v>825.79531300000963</v>
      </c>
      <c r="V101" s="993">
        <v>76884.021999999997</v>
      </c>
      <c r="W101" s="994">
        <v>33919.855000000003</v>
      </c>
      <c r="X101" s="1916">
        <f t="shared" si="15"/>
        <v>-2946.5745830123633</v>
      </c>
      <c r="Y101" s="994">
        <v>0</v>
      </c>
      <c r="Z101" s="1916">
        <f t="shared" si="16"/>
        <v>0</v>
      </c>
      <c r="AA101" s="1883"/>
      <c r="AB101" s="950"/>
      <c r="AC101" s="951">
        <f t="shared" si="17"/>
        <v>0</v>
      </c>
      <c r="AD101" s="951">
        <f t="shared" si="8"/>
        <v>0</v>
      </c>
      <c r="AE101" s="951">
        <f t="shared" si="18"/>
        <v>-3108.801193254692</v>
      </c>
      <c r="AF101" s="951">
        <f t="shared" si="19"/>
        <v>3108.801193254692</v>
      </c>
      <c r="AG101" s="952" t="e">
        <f t="shared" si="20"/>
        <v>#REF!</v>
      </c>
      <c r="AH101" s="843"/>
      <c r="AI101" s="843"/>
      <c r="AJ101" s="843"/>
    </row>
    <row r="102" spans="2:42" ht="13.5" thickBot="1" x14ac:dyDescent="0.25">
      <c r="C102" s="953"/>
      <c r="D102" s="954">
        <f>SUM(D71:D101)</f>
        <v>4753878.6399999997</v>
      </c>
      <c r="E102" s="954">
        <f>SUM(E71:E101)</f>
        <v>447053.48799999978</v>
      </c>
      <c r="F102" s="955">
        <f>SUM(F71:F101)</f>
        <v>5935431.317131497</v>
      </c>
      <c r="G102" s="955"/>
      <c r="H102" s="956">
        <f t="shared" ref="H102:I102" si="21">SUM(H71:H101)</f>
        <v>5956.0610999999999</v>
      </c>
      <c r="I102" s="954">
        <f t="shared" si="21"/>
        <v>11142350.613977266</v>
      </c>
      <c r="J102" s="996">
        <f t="shared" ref="J102:Q102" si="22">SUM(J71:J101)</f>
        <v>0</v>
      </c>
      <c r="K102" s="996">
        <f t="shared" si="22"/>
        <v>0</v>
      </c>
      <c r="L102" s="996">
        <f t="shared" si="22"/>
        <v>0</v>
      </c>
      <c r="M102" s="996">
        <f t="shared" si="22"/>
        <v>0</v>
      </c>
      <c r="N102" s="996">
        <f t="shared" si="22"/>
        <v>547284.27299999981</v>
      </c>
      <c r="O102" s="996">
        <f t="shared" si="22"/>
        <v>2232626.6211020011</v>
      </c>
      <c r="P102" s="996">
        <f t="shared" si="22"/>
        <v>3155520.4230294991</v>
      </c>
      <c r="Q102" s="996">
        <f t="shared" si="22"/>
        <v>0</v>
      </c>
      <c r="S102" s="996">
        <f t="shared" ref="S102:AA102" si="23">SUM(S71:S101)</f>
        <v>547284.27299999981</v>
      </c>
      <c r="T102" s="996">
        <f t="shared" si="23"/>
        <v>2228131.841</v>
      </c>
      <c r="U102" s="996">
        <f t="shared" si="23"/>
        <v>4494.7801020000989</v>
      </c>
      <c r="V102" s="996">
        <f t="shared" si="23"/>
        <v>2011571.6909999996</v>
      </c>
      <c r="W102" s="996">
        <f t="shared" si="23"/>
        <v>1084921.4309999999</v>
      </c>
      <c r="X102" s="996">
        <f t="shared" si="23"/>
        <v>59027.301029498471</v>
      </c>
      <c r="Y102" s="996">
        <f t="shared" si="23"/>
        <v>0</v>
      </c>
      <c r="Z102" s="996">
        <f t="shared" si="23"/>
        <v>0</v>
      </c>
      <c r="AA102" s="958">
        <f t="shared" si="23"/>
        <v>0</v>
      </c>
      <c r="AB102" s="829"/>
      <c r="AC102" s="959"/>
      <c r="AD102" s="960">
        <f>SUM(AD71:AD101)</f>
        <v>0</v>
      </c>
      <c r="AE102" s="960">
        <f>SUM(AE71:AE101)</f>
        <v>62277.108114978524</v>
      </c>
      <c r="AF102" s="960">
        <f>SUM(AF71:AF101)</f>
        <v>-62277.108114978524</v>
      </c>
      <c r="AG102" s="961" t="e">
        <f>#REF!</f>
        <v>#REF!</v>
      </c>
      <c r="AH102" s="843"/>
      <c r="AI102" s="843"/>
      <c r="AJ102" s="843"/>
      <c r="AP102" s="958" t="e">
        <f>#REF!</f>
        <v>#REF!</v>
      </c>
    </row>
    <row r="103" spans="2:42" ht="15" customHeight="1" thickBot="1" x14ac:dyDescent="0.25">
      <c r="B103" s="843"/>
      <c r="C103" s="843"/>
      <c r="D103" s="843"/>
      <c r="E103" s="843"/>
      <c r="F103" s="843"/>
      <c r="G103" s="843"/>
      <c r="H103" s="843"/>
      <c r="I103" s="843"/>
      <c r="K103" s="843"/>
      <c r="L103" s="843"/>
      <c r="M103" s="843"/>
      <c r="N103" s="829"/>
      <c r="O103" s="843"/>
      <c r="V103" s="997">
        <f>V102/(V102+W102)</f>
        <v>0.64962898729151441</v>
      </c>
      <c r="W103" s="998">
        <f>W102/(V102+W102)</f>
        <v>0.35037101270848553</v>
      </c>
      <c r="Z103" s="829"/>
      <c r="AA103" s="829"/>
      <c r="AB103" s="829"/>
      <c r="AC103" s="829"/>
      <c r="AD103" s="829"/>
      <c r="AE103" s="829"/>
      <c r="AF103" s="829"/>
      <c r="AH103" s="843"/>
      <c r="AI103" s="843"/>
      <c r="AJ103" s="843"/>
    </row>
    <row r="104" spans="2:42" ht="13.5" thickBot="1" x14ac:dyDescent="0.25">
      <c r="D104" s="1795" t="s">
        <v>155</v>
      </c>
      <c r="E104" s="1796" t="s">
        <v>156</v>
      </c>
      <c r="F104" s="1797" t="s">
        <v>112</v>
      </c>
      <c r="N104" s="829"/>
      <c r="P104" s="827"/>
      <c r="Z104" s="829"/>
      <c r="AA104" s="829"/>
      <c r="AB104" s="829"/>
      <c r="AC104" s="829"/>
      <c r="AG104" s="843"/>
    </row>
    <row r="105" spans="2:42" x14ac:dyDescent="0.2">
      <c r="D105" s="1798">
        <v>4753878.6399999997</v>
      </c>
      <c r="E105" s="1800">
        <f>D102</f>
        <v>4753878.6399999997</v>
      </c>
      <c r="F105" s="1801">
        <f>D105-E105</f>
        <v>0</v>
      </c>
      <c r="G105" s="968"/>
      <c r="H105" s="968"/>
      <c r="I105" s="968"/>
      <c r="N105" s="829"/>
      <c r="P105" s="827"/>
      <c r="W105" s="1008">
        <f>1-V103-W103</f>
        <v>0</v>
      </c>
      <c r="Z105" s="829"/>
      <c r="AA105" s="829"/>
      <c r="AB105" s="829"/>
      <c r="AC105" s="829"/>
      <c r="AG105" s="843"/>
    </row>
    <row r="106" spans="2:42" x14ac:dyDescent="0.2">
      <c r="D106" s="1798">
        <v>447053.49</v>
      </c>
      <c r="E106" s="1800">
        <f>E102</f>
        <v>447053.48799999978</v>
      </c>
      <c r="F106" s="1801">
        <f>D106-E106</f>
        <v>2.0000002114102244E-3</v>
      </c>
      <c r="G106" s="968"/>
      <c r="H106" s="968"/>
      <c r="I106" s="968"/>
    </row>
    <row r="107" spans="2:42" ht="13.5" thickBot="1" x14ac:dyDescent="0.25">
      <c r="D107" s="1799">
        <f>2240.39+3166.49+549.19</f>
        <v>5956.07</v>
      </c>
      <c r="E107" s="1802">
        <f>ROUND(H102,2)</f>
        <v>5956.06</v>
      </c>
      <c r="F107" s="1803">
        <f>D107-E107</f>
        <v>9.999999999308784E-3</v>
      </c>
      <c r="G107" s="968"/>
    </row>
    <row r="108" spans="2:42" x14ac:dyDescent="0.2">
      <c r="D108" s="968"/>
    </row>
  </sheetData>
  <mergeCells count="8">
    <mergeCell ref="J69:M69"/>
    <mergeCell ref="C17:E17"/>
    <mergeCell ref="C3:M4"/>
    <mergeCell ref="C5:M5"/>
    <mergeCell ref="C6:M6"/>
    <mergeCell ref="C14:E14"/>
    <mergeCell ref="C15:E15"/>
    <mergeCell ref="C16:E16"/>
  </mergeCells>
  <conditionalFormatting sqref="O71:P101">
    <cfRule type="cellIs" dxfId="82" priority="6" stopIfTrue="1" operator="equal">
      <formula>0</formula>
    </cfRule>
  </conditionalFormatting>
  <conditionalFormatting sqref="T71:T99 T101">
    <cfRule type="cellIs" dxfId="81" priority="5" stopIfTrue="1" operator="equal">
      <formula>0</formula>
    </cfRule>
  </conditionalFormatting>
  <conditionalFormatting sqref="T100">
    <cfRule type="cellIs" dxfId="80" priority="4" stopIfTrue="1" operator="equal">
      <formula>0</formula>
    </cfRule>
  </conditionalFormatting>
  <conditionalFormatting sqref="N71:N101">
    <cfRule type="cellIs" dxfId="79" priority="3" stopIfTrue="1" operator="equal">
      <formula>0</formula>
    </cfRule>
  </conditionalFormatting>
  <conditionalFormatting sqref="R71:R99 R101">
    <cfRule type="cellIs" dxfId="78" priority="2" stopIfTrue="1" operator="equal">
      <formula>0</formula>
    </cfRule>
  </conditionalFormatting>
  <conditionalFormatting sqref="R100">
    <cfRule type="cellIs" dxfId="77" priority="1" stopIfTrue="1" operator="equal">
      <formula>0</formula>
    </cfRule>
  </conditionalFormatting>
  <printOptions horizontalCentered="1"/>
  <pageMargins left="0.59055118110236227" right="0.39370078740157483" top="0" bottom="0" header="0" footer="0.51181102362204722"/>
  <pageSetup scale="42" orientation="landscape" r:id="rId1"/>
  <drawing r:id="rId2"/>
  <legacyDrawing r:id="rId3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2:AP139"/>
  <sheetViews>
    <sheetView topLeftCell="K25" zoomScale="88" zoomScaleNormal="88" workbookViewId="0">
      <selection activeCell="AC37" sqref="AC37"/>
    </sheetView>
  </sheetViews>
  <sheetFormatPr baseColWidth="10" defaultColWidth="11" defaultRowHeight="12.75" x14ac:dyDescent="0.2"/>
  <cols>
    <col min="1" max="1" width="11" style="829"/>
    <col min="2" max="2" width="3.875" style="829" bestFit="1" customWidth="1"/>
    <col min="3" max="3" width="16.125" style="829" customWidth="1"/>
    <col min="4" max="4" width="15.625" style="829" customWidth="1"/>
    <col min="5" max="5" width="18.375" style="829" bestFit="1" customWidth="1"/>
    <col min="6" max="6" width="17.375" style="829" bestFit="1" customWidth="1"/>
    <col min="7" max="8" width="13.375" style="829" bestFit="1" customWidth="1"/>
    <col min="9" max="9" width="15.125" style="829" customWidth="1"/>
    <col min="10" max="10" width="20.5" style="829" customWidth="1"/>
    <col min="11" max="11" width="13.625" style="829" bestFit="1" customWidth="1"/>
    <col min="12" max="12" width="16" style="829" customWidth="1"/>
    <col min="13" max="13" width="17.875" style="829" bestFit="1" customWidth="1"/>
    <col min="14" max="14" width="19" style="827" bestFit="1" customWidth="1"/>
    <col min="15" max="17" width="12.625" style="829" bestFit="1" customWidth="1"/>
    <col min="18" max="18" width="10.875" style="829" customWidth="1"/>
    <col min="19" max="19" width="12.625" style="829" bestFit="1" customWidth="1"/>
    <col min="20" max="20" width="14.5" style="829" bestFit="1" customWidth="1"/>
    <col min="21" max="21" width="15.625" style="829" bestFit="1" customWidth="1"/>
    <col min="22" max="22" width="12.125" style="829" bestFit="1" customWidth="1"/>
    <col min="23" max="23" width="11.125" style="829" bestFit="1" customWidth="1"/>
    <col min="24" max="24" width="17.875" style="829" bestFit="1" customWidth="1"/>
    <col min="25" max="25" width="19" style="829" bestFit="1" customWidth="1"/>
    <col min="26" max="26" width="11.125" style="843" bestFit="1" customWidth="1"/>
    <col min="27" max="27" width="14" style="843" bestFit="1" customWidth="1"/>
    <col min="28" max="32" width="11" style="843"/>
    <col min="33" max="38" width="11" style="829"/>
    <col min="39" max="39" width="11.125" style="829" bestFit="1" customWidth="1"/>
    <col min="40" max="16384" width="11" style="829"/>
  </cols>
  <sheetData>
    <row r="2" spans="2:35" x14ac:dyDescent="0.2">
      <c r="B2" s="827"/>
      <c r="C2" s="828"/>
      <c r="D2" s="828"/>
      <c r="E2" s="828"/>
      <c r="F2" s="828"/>
      <c r="G2" s="828"/>
      <c r="H2" s="828"/>
      <c r="I2" s="828"/>
      <c r="J2" s="828"/>
      <c r="K2" s="828"/>
      <c r="L2" s="828"/>
      <c r="M2" s="828"/>
      <c r="N2" s="828"/>
      <c r="Z2" s="829"/>
      <c r="AA2" s="829"/>
      <c r="AB2" s="829"/>
      <c r="AC2" s="829"/>
      <c r="AD2" s="829"/>
      <c r="AE2" s="829"/>
      <c r="AF2" s="829"/>
    </row>
    <row r="3" spans="2:35" ht="15" customHeight="1" x14ac:dyDescent="0.2">
      <c r="B3" s="827"/>
      <c r="C3" s="2295"/>
      <c r="D3" s="2295"/>
      <c r="E3" s="2295"/>
      <c r="F3" s="2295"/>
      <c r="G3" s="2295"/>
      <c r="H3" s="2295"/>
      <c r="I3" s="2295"/>
      <c r="J3" s="2295"/>
      <c r="K3" s="2295"/>
      <c r="L3" s="2295"/>
      <c r="M3" s="2295"/>
      <c r="N3" s="828"/>
      <c r="Z3" s="829"/>
      <c r="AA3" s="829"/>
      <c r="AB3" s="829"/>
      <c r="AC3" s="829"/>
      <c r="AD3" s="829"/>
      <c r="AE3" s="829"/>
      <c r="AF3" s="829"/>
    </row>
    <row r="4" spans="2:35" ht="15" customHeight="1" x14ac:dyDescent="0.2">
      <c r="B4" s="827"/>
      <c r="C4" s="2295"/>
      <c r="D4" s="2295"/>
      <c r="E4" s="2295"/>
      <c r="F4" s="2295"/>
      <c r="G4" s="2295"/>
      <c r="H4" s="2295"/>
      <c r="I4" s="2295"/>
      <c r="J4" s="2295"/>
      <c r="K4" s="2295"/>
      <c r="L4" s="2295"/>
      <c r="M4" s="2295"/>
      <c r="N4" s="828"/>
      <c r="Z4" s="829"/>
      <c r="AA4" s="829"/>
      <c r="AB4" s="829"/>
      <c r="AC4" s="829"/>
      <c r="AD4" s="829"/>
      <c r="AE4" s="829"/>
      <c r="AF4" s="829"/>
    </row>
    <row r="5" spans="2:35" x14ac:dyDescent="0.2">
      <c r="B5" s="827"/>
      <c r="C5" s="2296"/>
      <c r="D5" s="2296"/>
      <c r="E5" s="2296"/>
      <c r="F5" s="2296"/>
      <c r="G5" s="2296"/>
      <c r="H5" s="2296"/>
      <c r="I5" s="2296"/>
      <c r="J5" s="2296"/>
      <c r="K5" s="2296"/>
      <c r="L5" s="2296"/>
      <c r="M5" s="2296"/>
      <c r="N5" s="828"/>
      <c r="Z5" s="829"/>
      <c r="AA5" s="829"/>
      <c r="AB5" s="829"/>
      <c r="AC5" s="829"/>
      <c r="AD5" s="829"/>
      <c r="AE5" s="829"/>
      <c r="AF5" s="829"/>
    </row>
    <row r="6" spans="2:35" x14ac:dyDescent="0.2">
      <c r="B6" s="827"/>
      <c r="C6" s="2296"/>
      <c r="D6" s="2296"/>
      <c r="E6" s="2296"/>
      <c r="F6" s="2296"/>
      <c r="G6" s="2296"/>
      <c r="H6" s="2296"/>
      <c r="I6" s="2296"/>
      <c r="J6" s="2296"/>
      <c r="K6" s="2296"/>
      <c r="L6" s="2296"/>
      <c r="M6" s="2296"/>
      <c r="N6" s="828"/>
      <c r="Z6" s="829"/>
      <c r="AA6" s="829"/>
      <c r="AB6" s="829"/>
      <c r="AC6" s="829"/>
      <c r="AD6" s="829"/>
      <c r="AE6" s="829"/>
      <c r="AF6" s="829"/>
    </row>
    <row r="7" spans="2:35" x14ac:dyDescent="0.2">
      <c r="B7" s="827"/>
      <c r="C7" s="830">
        <v>43101</v>
      </c>
      <c r="D7" s="830"/>
      <c r="E7" s="830"/>
      <c r="F7" s="830"/>
      <c r="G7" s="830"/>
      <c r="H7" s="830"/>
      <c r="I7" s="830"/>
      <c r="J7" s="830"/>
      <c r="K7" s="830"/>
      <c r="L7" s="830"/>
      <c r="M7" s="830"/>
      <c r="N7" s="830"/>
      <c r="O7" s="830"/>
      <c r="P7" s="830"/>
      <c r="Q7" s="830"/>
      <c r="R7" s="827"/>
      <c r="S7" s="827"/>
      <c r="T7" s="827"/>
      <c r="U7" s="827"/>
      <c r="V7" s="827"/>
      <c r="W7" s="827"/>
      <c r="X7" s="827"/>
      <c r="Y7" s="827"/>
      <c r="Z7" s="829"/>
      <c r="AA7" s="829"/>
      <c r="AB7" s="829"/>
      <c r="AC7" s="829"/>
      <c r="AD7" s="829"/>
      <c r="AE7" s="829"/>
      <c r="AF7" s="829"/>
    </row>
    <row r="8" spans="2:35" ht="19.5" customHeight="1" x14ac:dyDescent="0.2">
      <c r="B8" s="827"/>
      <c r="C8" s="1740"/>
      <c r="D8" s="1740"/>
      <c r="E8" s="1740"/>
      <c r="F8" s="1740"/>
      <c r="G8" s="1740"/>
      <c r="H8" s="1740"/>
      <c r="I8" s="1740"/>
      <c r="J8" s="1740"/>
      <c r="K8" s="1740"/>
      <c r="L8" s="1740"/>
      <c r="M8" s="828"/>
      <c r="N8" s="828"/>
      <c r="O8" s="827"/>
      <c r="P8" s="827"/>
      <c r="Q8" s="827"/>
      <c r="R8" s="827"/>
      <c r="S8" s="827"/>
      <c r="T8" s="827"/>
      <c r="U8" s="827"/>
      <c r="V8" s="827"/>
      <c r="W8" s="827"/>
      <c r="X8" s="827"/>
      <c r="Y8" s="827"/>
      <c r="Z8" s="829"/>
      <c r="AA8" s="829"/>
      <c r="AB8" s="829"/>
      <c r="AC8" s="829"/>
      <c r="AD8" s="829"/>
      <c r="AE8" s="829"/>
      <c r="AF8" s="829"/>
    </row>
    <row r="9" spans="2:35" ht="19.5" customHeight="1" x14ac:dyDescent="0.2">
      <c r="B9" s="827"/>
      <c r="C9" s="1740"/>
      <c r="D9" s="1740"/>
      <c r="E9" s="1740"/>
      <c r="F9" s="1740"/>
      <c r="G9" s="1740"/>
      <c r="H9" s="1740"/>
      <c r="I9" s="1740"/>
      <c r="J9" s="1740"/>
      <c r="K9" s="1740"/>
      <c r="L9" s="1740"/>
      <c r="M9" s="828"/>
      <c r="N9" s="828"/>
      <c r="O9" s="827"/>
      <c r="P9" s="827"/>
      <c r="Q9" s="827"/>
      <c r="R9" s="827"/>
      <c r="S9" s="827"/>
      <c r="T9" s="827"/>
      <c r="U9" s="827"/>
      <c r="V9" s="827"/>
      <c r="W9" s="827"/>
      <c r="X9" s="827"/>
      <c r="Y9" s="827"/>
      <c r="Z9" s="829"/>
      <c r="AA9" s="829"/>
      <c r="AB9" s="829"/>
      <c r="AC9" s="829"/>
      <c r="AD9" s="829"/>
      <c r="AE9" s="829"/>
      <c r="AF9" s="829"/>
    </row>
    <row r="10" spans="2:35" ht="19.5" customHeight="1" x14ac:dyDescent="0.2">
      <c r="B10" s="827"/>
      <c r="C10" s="1740"/>
      <c r="D10" s="1740"/>
      <c r="E10" s="1740"/>
      <c r="F10" s="1740"/>
      <c r="G10" s="1740"/>
      <c r="H10" s="1740"/>
      <c r="I10" s="1740"/>
      <c r="J10" s="1740"/>
      <c r="K10" s="1740"/>
      <c r="L10" s="1740"/>
      <c r="M10" s="828"/>
      <c r="N10" s="828"/>
      <c r="O10" s="827"/>
      <c r="P10" s="827"/>
      <c r="Q10" s="827"/>
      <c r="R10" s="827"/>
      <c r="S10" s="827"/>
      <c r="T10" s="827"/>
      <c r="U10" s="827"/>
      <c r="V10" s="827"/>
      <c r="W10" s="827"/>
      <c r="X10" s="827"/>
      <c r="Y10" s="827"/>
      <c r="Z10" s="829"/>
      <c r="AA10" s="829"/>
      <c r="AB10" s="829"/>
      <c r="AC10" s="829"/>
      <c r="AD10" s="829"/>
      <c r="AE10" s="829"/>
      <c r="AF10" s="829"/>
    </row>
    <row r="11" spans="2:35" ht="19.5" customHeight="1" x14ac:dyDescent="0.2">
      <c r="B11" s="827"/>
      <c r="C11" s="1740"/>
      <c r="D11" s="1740"/>
      <c r="E11" s="1740"/>
      <c r="F11" s="1740"/>
      <c r="G11" s="1740"/>
      <c r="H11" s="1740"/>
      <c r="I11" s="1740"/>
      <c r="J11" s="1740"/>
      <c r="K11" s="1740"/>
      <c r="L11" s="1740"/>
      <c r="M11" s="828"/>
      <c r="N11" s="828"/>
      <c r="O11" s="827"/>
      <c r="P11" s="827"/>
      <c r="Q11" s="827"/>
      <c r="R11" s="827"/>
      <c r="S11" s="827"/>
      <c r="T11" s="827"/>
      <c r="U11" s="827"/>
      <c r="V11" s="827"/>
      <c r="W11" s="827"/>
      <c r="X11" s="827"/>
      <c r="Y11" s="827"/>
      <c r="Z11" s="829"/>
      <c r="AA11" s="829"/>
      <c r="AB11" s="829"/>
      <c r="AC11" s="829"/>
      <c r="AD11" s="829"/>
      <c r="AE11" s="829"/>
      <c r="AF11" s="829"/>
    </row>
    <row r="12" spans="2:35" ht="19.5" customHeight="1" x14ac:dyDescent="0.2">
      <c r="B12" s="827"/>
      <c r="C12" s="1740"/>
      <c r="D12" s="1740"/>
      <c r="E12" s="1740"/>
      <c r="F12" s="1740"/>
      <c r="G12" s="1740"/>
      <c r="H12" s="1740"/>
      <c r="I12" s="1740"/>
      <c r="J12" s="1740"/>
      <c r="K12" s="1740"/>
      <c r="L12" s="1740"/>
      <c r="M12" s="828"/>
      <c r="N12" s="828"/>
      <c r="O12" s="827"/>
      <c r="P12" s="827"/>
      <c r="Q12" s="827"/>
      <c r="R12" s="827"/>
      <c r="S12" s="827"/>
      <c r="T12" s="827"/>
      <c r="U12" s="827"/>
      <c r="V12" s="827"/>
      <c r="W12" s="827"/>
      <c r="X12" s="827"/>
      <c r="Y12" s="827"/>
      <c r="Z12" s="829"/>
      <c r="AA12" s="829"/>
      <c r="AB12" s="829"/>
      <c r="AC12" s="829"/>
      <c r="AD12" s="829"/>
      <c r="AE12" s="829"/>
      <c r="AF12" s="829"/>
    </row>
    <row r="13" spans="2:35" ht="19.5" customHeight="1" thickBot="1" x14ac:dyDescent="0.25">
      <c r="B13" s="827"/>
      <c r="C13" s="1740"/>
      <c r="D13" s="1740"/>
      <c r="E13" s="1740"/>
      <c r="F13" s="1740"/>
      <c r="G13" s="1740"/>
      <c r="H13" s="1740"/>
      <c r="I13" s="1740"/>
      <c r="J13" s="1740"/>
      <c r="K13" s="1740"/>
      <c r="L13" s="1740"/>
      <c r="M13" s="828"/>
      <c r="N13" s="828"/>
      <c r="O13" s="827"/>
      <c r="P13" s="827"/>
      <c r="Q13" s="827"/>
      <c r="R13" s="827"/>
      <c r="S13" s="827"/>
      <c r="T13" s="827"/>
      <c r="U13" s="827"/>
      <c r="V13" s="827"/>
      <c r="W13" s="827"/>
      <c r="X13" s="827"/>
      <c r="Y13" s="827"/>
      <c r="Z13" s="829"/>
      <c r="AA13" s="829"/>
      <c r="AB13" s="829"/>
      <c r="AC13" s="829"/>
      <c r="AD13" s="829"/>
      <c r="AE13" s="829"/>
      <c r="AF13" s="829"/>
    </row>
    <row r="14" spans="2:35" ht="26.25" thickBot="1" x14ac:dyDescent="0.25">
      <c r="B14" s="827"/>
      <c r="C14" s="2333" t="s">
        <v>6</v>
      </c>
      <c r="D14" s="2334"/>
      <c r="E14" s="2335"/>
      <c r="F14" s="832" t="s">
        <v>227</v>
      </c>
      <c r="G14" s="832" t="s">
        <v>230</v>
      </c>
      <c r="H14" s="832" t="s">
        <v>228</v>
      </c>
      <c r="I14" s="832" t="s">
        <v>229</v>
      </c>
      <c r="J14" s="833" t="s">
        <v>126</v>
      </c>
      <c r="K14" s="833" t="s">
        <v>133</v>
      </c>
      <c r="L14" s="832" t="s">
        <v>127</v>
      </c>
      <c r="M14" s="834" t="s">
        <v>128</v>
      </c>
      <c r="N14" s="828"/>
      <c r="O14" s="827"/>
      <c r="P14" s="827"/>
      <c r="Q14" s="827"/>
      <c r="R14" s="827"/>
      <c r="S14" s="827"/>
      <c r="T14" s="827"/>
      <c r="U14" s="827"/>
      <c r="V14" s="827"/>
      <c r="W14" s="827"/>
      <c r="X14" s="827"/>
      <c r="Y14" s="827"/>
      <c r="Z14" s="829"/>
      <c r="AA14" s="829"/>
      <c r="AB14" s="829"/>
      <c r="AC14" s="829"/>
      <c r="AD14" s="829"/>
      <c r="AE14" s="829"/>
      <c r="AF14" s="829"/>
    </row>
    <row r="15" spans="2:35" ht="13.5" thickBot="1" x14ac:dyDescent="0.25">
      <c r="B15" s="827"/>
      <c r="C15" s="2329" t="s">
        <v>131</v>
      </c>
      <c r="D15" s="2330"/>
      <c r="E15" s="2331"/>
      <c r="F15" s="835"/>
      <c r="G15" s="836" t="s">
        <v>165</v>
      </c>
      <c r="H15" s="835"/>
      <c r="I15" s="837">
        <f>IF(D105=0,E105,D105)</f>
        <v>4753878.6399999997</v>
      </c>
      <c r="J15" s="837">
        <f>I15*0.16</f>
        <v>760620.58239999996</v>
      </c>
      <c r="K15" s="837">
        <f>I15+J15</f>
        <v>5514499.2223999994</v>
      </c>
      <c r="L15" s="838" t="s">
        <v>725</v>
      </c>
      <c r="M15" s="839">
        <v>19.0151</v>
      </c>
      <c r="O15" s="827"/>
      <c r="P15" s="827"/>
      <c r="Q15" s="827"/>
      <c r="R15" s="827"/>
      <c r="S15" s="827"/>
      <c r="T15" s="827"/>
      <c r="U15" s="827"/>
      <c r="V15" s="827"/>
      <c r="W15" s="827"/>
      <c r="X15" s="827"/>
      <c r="Y15" s="827"/>
      <c r="Z15" s="829"/>
      <c r="AA15" s="829"/>
      <c r="AB15" s="829"/>
      <c r="AC15" s="829"/>
      <c r="AD15" s="829"/>
      <c r="AE15" s="829"/>
      <c r="AF15" s="829"/>
    </row>
    <row r="16" spans="2:35" ht="13.5" thickBot="1" x14ac:dyDescent="0.25">
      <c r="B16" s="827"/>
      <c r="C16" s="2329" t="s">
        <v>275</v>
      </c>
      <c r="D16" s="2330"/>
      <c r="E16" s="2331"/>
      <c r="F16" s="840"/>
      <c r="G16" s="836" t="s">
        <v>165</v>
      </c>
      <c r="H16" s="840"/>
      <c r="I16" s="837">
        <f>IF(D106=0,E106,D106)</f>
        <v>447053.49</v>
      </c>
      <c r="J16" s="837">
        <f>I16*0.16</f>
        <v>71528.558399999994</v>
      </c>
      <c r="K16" s="837">
        <f>I16+J16</f>
        <v>518582.04839999997</v>
      </c>
      <c r="L16" s="838" t="s">
        <v>724</v>
      </c>
      <c r="M16" s="839">
        <v>19.0151</v>
      </c>
      <c r="O16" s="827"/>
      <c r="P16" s="827"/>
      <c r="Q16" s="827"/>
      <c r="R16" s="827"/>
      <c r="S16" s="827"/>
      <c r="T16" s="827"/>
      <c r="U16" s="827"/>
      <c r="V16" s="827"/>
      <c r="W16" s="827"/>
      <c r="X16" s="827"/>
      <c r="Y16" s="827"/>
      <c r="Z16" s="827"/>
      <c r="AA16" s="827"/>
      <c r="AB16" s="827"/>
      <c r="AG16" s="843"/>
      <c r="AH16" s="843"/>
      <c r="AI16" s="843"/>
    </row>
    <row r="17" spans="2:33" ht="26.25" thickBot="1" x14ac:dyDescent="0.25">
      <c r="B17" s="827"/>
      <c r="C17" s="2326" t="s">
        <v>132</v>
      </c>
      <c r="D17" s="2327"/>
      <c r="E17" s="2328"/>
      <c r="F17" s="844"/>
      <c r="G17" s="845" t="s">
        <v>165</v>
      </c>
      <c r="H17" s="844"/>
      <c r="I17" s="846">
        <f>IF(D107=0,E107,D107)</f>
        <v>5448.5599999999995</v>
      </c>
      <c r="J17" s="846">
        <f>I17*0.16</f>
        <v>871.76959999999997</v>
      </c>
      <c r="K17" s="846">
        <f>I17+J17</f>
        <v>6320.3295999999991</v>
      </c>
      <c r="L17" s="847" t="s">
        <v>733</v>
      </c>
      <c r="M17" s="848">
        <v>19.0151</v>
      </c>
      <c r="O17" s="827"/>
      <c r="P17" s="827"/>
      <c r="Q17" s="827"/>
      <c r="R17" s="827"/>
      <c r="S17" s="827"/>
      <c r="T17" s="827"/>
      <c r="U17" s="827"/>
      <c r="V17" s="827"/>
      <c r="W17" s="827"/>
      <c r="X17" s="827"/>
      <c r="Y17" s="827"/>
      <c r="Z17" s="829"/>
      <c r="AA17" s="829"/>
      <c r="AB17" s="829"/>
      <c r="AC17" s="829"/>
      <c r="AD17" s="829"/>
      <c r="AE17" s="829"/>
      <c r="AF17" s="829"/>
    </row>
    <row r="18" spans="2:33" x14ac:dyDescent="0.2">
      <c r="B18" s="827"/>
      <c r="C18" s="1740"/>
      <c r="D18" s="1740"/>
      <c r="E18" s="1740"/>
      <c r="F18" s="1740"/>
      <c r="G18" s="1740"/>
      <c r="H18" s="827"/>
      <c r="I18" s="827"/>
      <c r="J18" s="827"/>
      <c r="K18" s="827"/>
      <c r="L18" s="827"/>
      <c r="M18" s="827"/>
      <c r="O18" s="827"/>
      <c r="P18" s="827"/>
      <c r="Q18" s="827"/>
      <c r="R18" s="827"/>
      <c r="S18" s="827"/>
      <c r="T18" s="827"/>
      <c r="U18" s="827"/>
      <c r="V18" s="827"/>
      <c r="W18" s="827"/>
      <c r="X18" s="827"/>
      <c r="Y18" s="827"/>
    </row>
    <row r="19" spans="2:33" x14ac:dyDescent="0.2">
      <c r="B19" s="827"/>
      <c r="C19" s="1740"/>
      <c r="D19" s="1740"/>
      <c r="E19" s="1740"/>
      <c r="F19" s="1740"/>
      <c r="G19" s="1740"/>
      <c r="H19" s="827"/>
      <c r="I19" s="827"/>
      <c r="J19" s="827"/>
      <c r="K19" s="827"/>
      <c r="L19" s="827">
        <f>K17*M17</f>
        <v>120181.69937695998</v>
      </c>
      <c r="O19" s="827"/>
      <c r="P19" s="827"/>
      <c r="Q19" s="827"/>
      <c r="R19" s="827"/>
      <c r="S19" s="827"/>
      <c r="T19" s="827"/>
      <c r="U19" s="827"/>
      <c r="V19" s="827"/>
      <c r="W19" s="827"/>
      <c r="X19" s="827"/>
      <c r="Y19" s="827"/>
    </row>
    <row r="20" spans="2:33" ht="13.5" thickBot="1" x14ac:dyDescent="0.25">
      <c r="B20" s="827"/>
      <c r="C20" s="849"/>
      <c r="D20" s="1740"/>
      <c r="E20" s="1740"/>
      <c r="F20" s="1740"/>
      <c r="G20" s="1740"/>
      <c r="H20" s="1740"/>
      <c r="I20" s="1740"/>
      <c r="J20" s="1740"/>
      <c r="K20" s="1740"/>
      <c r="L20" s="1740"/>
      <c r="M20" s="1740"/>
      <c r="N20" s="1740"/>
      <c r="O20" s="1740"/>
      <c r="P20" s="1740"/>
      <c r="Q20" s="1740"/>
      <c r="R20" s="827"/>
      <c r="S20" s="827"/>
      <c r="T20" s="827"/>
      <c r="U20" s="827"/>
      <c r="V20" s="827"/>
      <c r="W20" s="827"/>
      <c r="X20" s="827"/>
      <c r="Y20" s="827"/>
      <c r="Z20" s="827"/>
      <c r="AG20" s="843"/>
    </row>
    <row r="21" spans="2:33" ht="51.75" thickBot="1" x14ac:dyDescent="0.25">
      <c r="B21" s="827"/>
      <c r="C21" s="850" t="s">
        <v>134</v>
      </c>
      <c r="D21" s="832" t="s">
        <v>135</v>
      </c>
      <c r="E21" s="832" t="s">
        <v>285</v>
      </c>
      <c r="F21" s="832" t="s">
        <v>278</v>
      </c>
      <c r="G21" s="832" t="s">
        <v>153</v>
      </c>
      <c r="H21" s="832" t="s">
        <v>279</v>
      </c>
      <c r="I21" s="832" t="s">
        <v>281</v>
      </c>
      <c r="J21" s="832" t="s">
        <v>280</v>
      </c>
      <c r="K21" s="832" t="s">
        <v>245</v>
      </c>
      <c r="L21" s="832" t="s">
        <v>246</v>
      </c>
      <c r="M21" s="834" t="s">
        <v>158</v>
      </c>
      <c r="O21" s="1740"/>
      <c r="P21" s="1740"/>
      <c r="Q21" s="1740"/>
      <c r="R21" s="1740"/>
      <c r="S21" s="1740"/>
      <c r="T21" s="1740"/>
      <c r="U21" s="1740"/>
      <c r="V21" s="827"/>
      <c r="W21" s="827"/>
      <c r="X21" s="827"/>
      <c r="Y21" s="827"/>
      <c r="Z21" s="827"/>
      <c r="AG21" s="843"/>
    </row>
    <row r="22" spans="2:33" ht="13.5" thickBot="1" x14ac:dyDescent="0.25">
      <c r="B22" s="827"/>
      <c r="C22" s="851">
        <v>850</v>
      </c>
      <c r="D22" s="1010">
        <v>850</v>
      </c>
      <c r="E22" s="852">
        <v>31482640</v>
      </c>
      <c r="F22" s="852">
        <v>31482640</v>
      </c>
      <c r="G22" s="852">
        <v>28</v>
      </c>
      <c r="H22" s="853">
        <f>VLOOKUP(C69,Tarifas!D4:H303,3)</f>
        <v>0.151</v>
      </c>
      <c r="I22" s="2073">
        <v>1.4200000000000001E-2</v>
      </c>
      <c r="J22" s="2073">
        <f>VLOOKUP(C69,Tarifas!D4:H303,5)</f>
        <v>1E-3</v>
      </c>
      <c r="K22" s="1873">
        <v>198.6</v>
      </c>
      <c r="L22" s="1873">
        <v>201.4</v>
      </c>
      <c r="M22" s="854">
        <f>F102</f>
        <v>5525821.0192775624</v>
      </c>
      <c r="O22" s="855"/>
      <c r="P22" s="855"/>
      <c r="Q22" s="1740"/>
      <c r="R22" s="1740"/>
      <c r="S22" s="1740"/>
      <c r="T22" s="1740"/>
      <c r="U22" s="1740"/>
      <c r="V22" s="827"/>
      <c r="W22" s="827"/>
      <c r="X22" s="827"/>
      <c r="Y22" s="827"/>
      <c r="Z22" s="827"/>
      <c r="AG22" s="843"/>
    </row>
    <row r="23" spans="2:33" x14ac:dyDescent="0.2">
      <c r="B23" s="827"/>
      <c r="C23" s="2013"/>
      <c r="D23" s="2013"/>
      <c r="E23" s="2013"/>
      <c r="F23" s="2013"/>
      <c r="G23" s="2013"/>
      <c r="H23" s="2013"/>
      <c r="I23" s="2013"/>
      <c r="J23" s="2013"/>
      <c r="K23" s="856"/>
      <c r="L23" s="2013"/>
      <c r="M23" s="2013"/>
      <c r="N23" s="2013"/>
      <c r="O23" s="2013"/>
      <c r="P23" s="2013"/>
      <c r="Q23" s="2013"/>
      <c r="R23" s="2013"/>
      <c r="S23" s="2013"/>
      <c r="T23" s="827"/>
      <c r="U23" s="827"/>
      <c r="V23" s="827"/>
      <c r="W23" s="827"/>
      <c r="X23" s="827"/>
      <c r="Y23" s="827"/>
      <c r="Z23" s="827"/>
      <c r="AG23" s="843"/>
    </row>
    <row r="24" spans="2:33" x14ac:dyDescent="0.2">
      <c r="B24" s="827"/>
      <c r="C24" s="2013"/>
      <c r="D24" s="2013"/>
      <c r="E24" s="2013"/>
      <c r="F24" s="2013"/>
      <c r="G24" s="2013"/>
      <c r="H24" s="2013"/>
      <c r="I24" s="2013"/>
      <c r="J24" s="2013"/>
      <c r="K24" s="2013"/>
      <c r="L24" s="2013"/>
      <c r="M24" s="2013"/>
      <c r="N24" s="2013"/>
      <c r="O24" s="2013"/>
      <c r="P24" s="2013"/>
      <c r="Q24" s="857" t="s">
        <v>405</v>
      </c>
      <c r="R24" s="827"/>
      <c r="S24" s="827"/>
      <c r="T24" s="827"/>
      <c r="U24" s="827"/>
      <c r="V24" s="827"/>
      <c r="W24" s="827"/>
      <c r="X24" s="827"/>
      <c r="Y24" s="827"/>
      <c r="Z24" s="827"/>
      <c r="AG24" s="843"/>
    </row>
    <row r="25" spans="2:33" x14ac:dyDescent="0.2">
      <c r="B25" s="827"/>
      <c r="C25" s="2013"/>
      <c r="D25" s="2013"/>
      <c r="E25" s="2013"/>
      <c r="F25" s="2013"/>
      <c r="G25" s="2013"/>
      <c r="H25" s="2013"/>
      <c r="I25" s="2013"/>
      <c r="J25" s="2013"/>
      <c r="K25" s="2013"/>
      <c r="L25" s="2013"/>
      <c r="M25" s="2013"/>
      <c r="N25" s="2013"/>
      <c r="O25" s="827"/>
      <c r="P25" s="827"/>
      <c r="R25" s="827"/>
      <c r="S25" s="827"/>
      <c r="T25" s="827"/>
      <c r="U25" s="827"/>
      <c r="V25" s="827"/>
      <c r="W25" s="827"/>
      <c r="X25" s="843"/>
      <c r="Y25" s="843"/>
      <c r="AE25" s="829"/>
      <c r="AF25" s="829"/>
    </row>
    <row r="26" spans="2:33" ht="13.5" thickBot="1" x14ac:dyDescent="0.25">
      <c r="B26" s="827"/>
      <c r="C26" s="858" t="s">
        <v>86</v>
      </c>
      <c r="D26" s="858"/>
      <c r="E26" s="858"/>
      <c r="F26" s="858"/>
      <c r="G26" s="858"/>
      <c r="H26" s="859"/>
      <c r="I26" s="858"/>
      <c r="J26" s="858"/>
      <c r="K26" s="858"/>
      <c r="L26" s="859"/>
      <c r="M26" s="860"/>
      <c r="N26" s="861"/>
      <c r="Q26" s="857"/>
      <c r="R26" s="827"/>
      <c r="S26" s="827"/>
      <c r="T26" s="827"/>
      <c r="U26" s="827"/>
      <c r="V26" s="827"/>
      <c r="W26" s="827"/>
      <c r="X26" s="843"/>
      <c r="Y26" s="843"/>
      <c r="Z26" s="862"/>
      <c r="AE26" s="829"/>
      <c r="AF26" s="829"/>
    </row>
    <row r="27" spans="2:33" ht="35.1" customHeight="1" thickBot="1" x14ac:dyDescent="0.25">
      <c r="B27" s="827"/>
      <c r="C27" s="850" t="s">
        <v>87</v>
      </c>
      <c r="D27" s="832" t="s">
        <v>88</v>
      </c>
      <c r="E27" s="832" t="s">
        <v>237</v>
      </c>
      <c r="F27" s="833" t="s">
        <v>160</v>
      </c>
      <c r="G27" s="832" t="s">
        <v>236</v>
      </c>
      <c r="H27" s="833" t="s">
        <v>232</v>
      </c>
      <c r="I27" s="833" t="s">
        <v>233</v>
      </c>
      <c r="J27" s="833" t="s">
        <v>20</v>
      </c>
      <c r="K27" s="832" t="s">
        <v>91</v>
      </c>
      <c r="L27" s="832" t="s">
        <v>93</v>
      </c>
      <c r="M27" s="832" t="s">
        <v>94</v>
      </c>
      <c r="N27" s="863" t="s">
        <v>95</v>
      </c>
      <c r="P27" s="850" t="s">
        <v>237</v>
      </c>
      <c r="Q27" s="833" t="s">
        <v>160</v>
      </c>
      <c r="R27" s="832" t="s">
        <v>236</v>
      </c>
      <c r="S27" s="833" t="s">
        <v>232</v>
      </c>
      <c r="T27" s="833" t="s">
        <v>233</v>
      </c>
      <c r="U27" s="833" t="s">
        <v>20</v>
      </c>
      <c r="V27" s="832" t="s">
        <v>91</v>
      </c>
      <c r="W27" s="832" t="s">
        <v>93</v>
      </c>
      <c r="X27" s="832" t="s">
        <v>94</v>
      </c>
      <c r="Y27" s="834" t="s">
        <v>95</v>
      </c>
      <c r="Z27" s="861"/>
      <c r="AE27" s="829"/>
      <c r="AF27" s="829"/>
    </row>
    <row r="28" spans="2:33" ht="35.1" customHeight="1" thickBot="1" x14ac:dyDescent="0.25">
      <c r="B28" s="827"/>
      <c r="C28" s="864"/>
      <c r="D28" s="1000"/>
      <c r="E28" s="1000"/>
      <c r="F28" s="836"/>
      <c r="G28" s="836"/>
      <c r="H28" s="836"/>
      <c r="I28" s="836"/>
      <c r="J28" s="972"/>
      <c r="K28" s="841"/>
      <c r="L28" s="866"/>
      <c r="M28" s="835"/>
      <c r="N28" s="867"/>
      <c r="P28" s="864" t="s">
        <v>242</v>
      </c>
      <c r="Q28" s="836" t="s">
        <v>221</v>
      </c>
      <c r="R28" s="836" t="s">
        <v>222</v>
      </c>
      <c r="S28" s="836">
        <v>2280</v>
      </c>
      <c r="T28" s="836">
        <v>453658</v>
      </c>
      <c r="U28" s="972" t="s">
        <v>97</v>
      </c>
      <c r="V28" s="841">
        <v>80000</v>
      </c>
      <c r="W28" s="1869">
        <f>IFERROR(V28/$V$34,0)</f>
        <v>9.4117647058823528E-2</v>
      </c>
      <c r="X28" s="837">
        <f t="shared" ref="X28:X33" si="0">ROUND(W28*I$15,2)</f>
        <v>447423.87</v>
      </c>
      <c r="Y28" s="868">
        <f t="shared" ref="Y28:Y33" si="1">X28*M$15</f>
        <v>8507809.6304369997</v>
      </c>
      <c r="Z28" s="860"/>
      <c r="AA28" s="1059"/>
      <c r="AE28" s="829"/>
      <c r="AF28" s="829"/>
    </row>
    <row r="29" spans="2:33" ht="35.1" customHeight="1" thickBot="1" x14ac:dyDescent="0.25">
      <c r="B29" s="827"/>
      <c r="C29" s="864"/>
      <c r="D29" s="1000"/>
      <c r="E29" s="1000"/>
      <c r="F29" s="836"/>
      <c r="G29" s="836"/>
      <c r="H29" s="836"/>
      <c r="I29" s="836"/>
      <c r="J29" s="972"/>
      <c r="K29" s="841"/>
      <c r="L29" s="866"/>
      <c r="M29" s="835"/>
      <c r="N29" s="867"/>
      <c r="P29" s="864" t="s">
        <v>242</v>
      </c>
      <c r="Q29" s="836" t="s">
        <v>221</v>
      </c>
      <c r="R29" s="836" t="s">
        <v>222</v>
      </c>
      <c r="S29" s="836">
        <v>2280</v>
      </c>
      <c r="T29" s="836">
        <v>453658</v>
      </c>
      <c r="U29" s="972" t="s">
        <v>100</v>
      </c>
      <c r="V29" s="841">
        <v>40000</v>
      </c>
      <c r="W29" s="1869">
        <f>IFERROR(V29/$V$34,0)</f>
        <v>4.7058823529411764E-2</v>
      </c>
      <c r="X29" s="837">
        <f t="shared" si="0"/>
        <v>223711.94</v>
      </c>
      <c r="Y29" s="868">
        <f t="shared" si="1"/>
        <v>4253904.9102940001</v>
      </c>
      <c r="Z29" s="860"/>
      <c r="AE29" s="829"/>
      <c r="AF29" s="829"/>
    </row>
    <row r="30" spans="2:33" ht="35.1" customHeight="1" thickBot="1" x14ac:dyDescent="0.25">
      <c r="B30" s="827"/>
      <c r="C30" s="864"/>
      <c r="D30" s="1000"/>
      <c r="E30" s="1000"/>
      <c r="F30" s="836"/>
      <c r="G30" s="836"/>
      <c r="H30" s="836"/>
      <c r="I30" s="836"/>
      <c r="J30" s="972"/>
      <c r="K30" s="841"/>
      <c r="L30" s="866"/>
      <c r="M30" s="835"/>
      <c r="N30" s="867"/>
      <c r="P30" s="864" t="s">
        <v>242</v>
      </c>
      <c r="Q30" s="836" t="s">
        <v>221</v>
      </c>
      <c r="R30" s="836" t="s">
        <v>222</v>
      </c>
      <c r="S30" s="836">
        <v>2280</v>
      </c>
      <c r="T30" s="836">
        <v>453658</v>
      </c>
      <c r="U30" s="972" t="s">
        <v>393</v>
      </c>
      <c r="V30" s="841">
        <v>22000</v>
      </c>
      <c r="W30" s="1869">
        <f>IFERROR(V30/$V$34,0)</f>
        <v>2.5882352941176471E-2</v>
      </c>
      <c r="X30" s="837">
        <f t="shared" si="0"/>
        <v>123041.56</v>
      </c>
      <c r="Y30" s="868">
        <f t="shared" si="1"/>
        <v>2339647.5675559998</v>
      </c>
      <c r="Z30" s="860"/>
      <c r="AE30" s="829"/>
      <c r="AF30" s="829"/>
    </row>
    <row r="31" spans="2:33" ht="35.1" customHeight="1" thickBot="1" x14ac:dyDescent="0.25">
      <c r="B31" s="827"/>
      <c r="C31" s="864"/>
      <c r="D31" s="1000"/>
      <c r="E31" s="1000"/>
      <c r="F31" s="836"/>
      <c r="G31" s="836"/>
      <c r="H31" s="836"/>
      <c r="I31" s="836"/>
      <c r="J31" s="972"/>
      <c r="K31" s="841"/>
      <c r="L31" s="866"/>
      <c r="M31" s="835"/>
      <c r="N31" s="867"/>
      <c r="P31" s="864" t="s">
        <v>242</v>
      </c>
      <c r="Q31" s="836" t="s">
        <v>221</v>
      </c>
      <c r="R31" s="836" t="s">
        <v>222</v>
      </c>
      <c r="S31" s="836">
        <v>2280</v>
      </c>
      <c r="T31" s="836">
        <v>453658</v>
      </c>
      <c r="U31" s="972" t="s">
        <v>288</v>
      </c>
      <c r="V31" s="841">
        <v>0</v>
      </c>
      <c r="W31" s="1869">
        <f t="shared" ref="W31:W33" si="2">IFERROR(V31/$V$34,0)</f>
        <v>0</v>
      </c>
      <c r="X31" s="837">
        <f t="shared" si="0"/>
        <v>0</v>
      </c>
      <c r="Y31" s="868">
        <f t="shared" si="1"/>
        <v>0</v>
      </c>
      <c r="Z31" s="860"/>
      <c r="AE31" s="829"/>
      <c r="AF31" s="829"/>
    </row>
    <row r="32" spans="2:33" ht="35.1" customHeight="1" thickBot="1" x14ac:dyDescent="0.25">
      <c r="B32" s="827"/>
      <c r="C32" s="1893"/>
      <c r="D32" s="2037"/>
      <c r="E32" s="2037"/>
      <c r="F32" s="1894"/>
      <c r="G32" s="1894"/>
      <c r="H32" s="1894"/>
      <c r="I32" s="1894"/>
      <c r="J32" s="1895"/>
      <c r="K32" s="1896"/>
      <c r="L32" s="866"/>
      <c r="M32" s="835"/>
      <c r="N32" s="867"/>
      <c r="P32" s="864" t="s">
        <v>739</v>
      </c>
      <c r="Q32" s="836" t="s">
        <v>221</v>
      </c>
      <c r="R32" s="836" t="s">
        <v>222</v>
      </c>
      <c r="S32" s="836" t="s">
        <v>344</v>
      </c>
      <c r="T32" s="836">
        <v>468094</v>
      </c>
      <c r="U32" s="972" t="s">
        <v>23</v>
      </c>
      <c r="V32" s="841">
        <v>95000</v>
      </c>
      <c r="W32" s="1869">
        <f t="shared" si="2"/>
        <v>0.11176470588235295</v>
      </c>
      <c r="X32" s="837">
        <f t="shared" si="0"/>
        <v>531315.85</v>
      </c>
      <c r="Y32" s="868">
        <f t="shared" si="1"/>
        <v>10103024.019335</v>
      </c>
      <c r="Z32" s="860"/>
      <c r="AE32" s="829"/>
      <c r="AF32" s="829"/>
    </row>
    <row r="33" spans="2:32" ht="35.1" customHeight="1" thickBot="1" x14ac:dyDescent="0.25">
      <c r="B33" s="827"/>
      <c r="C33" s="1890">
        <v>800874933</v>
      </c>
      <c r="D33" s="1877">
        <v>2</v>
      </c>
      <c r="E33" s="1877" t="s">
        <v>242</v>
      </c>
      <c r="F33" s="1878" t="s">
        <v>221</v>
      </c>
      <c r="G33" s="1878" t="s">
        <v>222</v>
      </c>
      <c r="H33" s="1878">
        <v>2280</v>
      </c>
      <c r="I33" s="1878">
        <v>453851</v>
      </c>
      <c r="J33" s="1891" t="s">
        <v>159</v>
      </c>
      <c r="K33" s="1892">
        <f>850000-K28-K29-K31-K32</f>
        <v>850000</v>
      </c>
      <c r="L33" s="872">
        <v>1</v>
      </c>
      <c r="M33" s="844">
        <v>4753878.6400000006</v>
      </c>
      <c r="N33" s="873">
        <f>M33*M15</f>
        <v>90395477.72746402</v>
      </c>
      <c r="P33" s="1004" t="s">
        <v>242</v>
      </c>
      <c r="Q33" s="1003" t="s">
        <v>221</v>
      </c>
      <c r="R33" s="1003" t="s">
        <v>222</v>
      </c>
      <c r="S33" s="1003">
        <v>2280</v>
      </c>
      <c r="T33" s="1003">
        <v>453851</v>
      </c>
      <c r="U33" s="2038" t="s">
        <v>159</v>
      </c>
      <c r="V33" s="1852">
        <f>850000-V28-V29-V30-V31-V32</f>
        <v>613000</v>
      </c>
      <c r="W33" s="2039">
        <f t="shared" si="2"/>
        <v>0.72117647058823531</v>
      </c>
      <c r="X33" s="1854">
        <f t="shared" si="0"/>
        <v>3428385.42</v>
      </c>
      <c r="Y33" s="1855">
        <f t="shared" si="1"/>
        <v>65191091.599841997</v>
      </c>
      <c r="Z33" s="860"/>
      <c r="AE33" s="829"/>
      <c r="AF33" s="829"/>
    </row>
    <row r="34" spans="2:32" ht="35.1" customHeight="1" x14ac:dyDescent="0.2">
      <c r="B34" s="827"/>
      <c r="C34" s="881"/>
      <c r="D34" s="882" t="s">
        <v>102</v>
      </c>
      <c r="E34" s="882"/>
      <c r="F34" s="882"/>
      <c r="G34" s="882"/>
      <c r="H34" s="882"/>
      <c r="I34" s="883"/>
      <c r="J34" s="883"/>
      <c r="K34" s="884">
        <f>SUM(K28:K33)</f>
        <v>850000</v>
      </c>
      <c r="L34" s="885">
        <f>SUM(L28:L33)</f>
        <v>1</v>
      </c>
      <c r="M34" s="886">
        <f>SUM(M28:M33)</f>
        <v>4753878.6400000006</v>
      </c>
      <c r="N34" s="886">
        <f>SUM(N28:N33)</f>
        <v>90395477.72746402</v>
      </c>
      <c r="P34" s="882"/>
      <c r="Q34" s="882"/>
      <c r="R34" s="882"/>
      <c r="S34" s="882"/>
      <c r="T34" s="883"/>
      <c r="U34" s="883"/>
      <c r="V34" s="884">
        <f>SUM(V28:V33)</f>
        <v>850000</v>
      </c>
      <c r="W34" s="885">
        <f>SUM(W28:W33)</f>
        <v>1</v>
      </c>
      <c r="X34" s="887">
        <f>SUM(X28:X33)</f>
        <v>4753878.6400000006</v>
      </c>
      <c r="Y34" s="887">
        <f>SUM(Y28:Y33)</f>
        <v>90395477.72746399</v>
      </c>
      <c r="Z34" s="827"/>
      <c r="AE34" s="829"/>
      <c r="AF34" s="829"/>
    </row>
    <row r="35" spans="2:32" ht="20.100000000000001" customHeight="1" x14ac:dyDescent="0.2">
      <c r="B35" s="827"/>
      <c r="C35" s="860"/>
      <c r="D35" s="860"/>
      <c r="E35" s="860"/>
      <c r="F35" s="860"/>
      <c r="G35" s="888"/>
      <c r="H35" s="888"/>
      <c r="I35" s="860"/>
      <c r="J35" s="860"/>
      <c r="K35" s="860"/>
      <c r="L35" s="860"/>
      <c r="M35" s="889"/>
      <c r="P35" s="860"/>
      <c r="Q35" s="860"/>
      <c r="R35" s="888"/>
      <c r="S35" s="888"/>
      <c r="T35" s="860"/>
      <c r="U35" s="860"/>
      <c r="V35" s="860"/>
      <c r="W35" s="860"/>
      <c r="X35" s="890"/>
      <c r="Y35" s="891"/>
      <c r="Z35" s="827"/>
      <c r="AE35" s="829"/>
      <c r="AF35" s="829"/>
    </row>
    <row r="36" spans="2:32" ht="20.100000000000001" customHeight="1" x14ac:dyDescent="0.2">
      <c r="B36" s="827"/>
      <c r="C36" s="860"/>
      <c r="D36" s="860"/>
      <c r="E36" s="860"/>
      <c r="F36" s="860"/>
      <c r="G36" s="888"/>
      <c r="H36" s="888"/>
      <c r="I36" s="860"/>
      <c r="J36" s="860"/>
      <c r="K36" s="860"/>
      <c r="L36" s="860"/>
      <c r="M36" s="889"/>
      <c r="P36" s="860"/>
      <c r="Q36" s="860"/>
      <c r="R36" s="888"/>
      <c r="S36" s="888"/>
      <c r="T36" s="860"/>
      <c r="U36" s="860"/>
      <c r="V36" s="860"/>
      <c r="W36" s="892"/>
      <c r="X36" s="889"/>
      <c r="Y36" s="893"/>
      <c r="Z36" s="827"/>
      <c r="AE36" s="829"/>
      <c r="AF36" s="829"/>
    </row>
    <row r="38" spans="2:32" ht="20.100000000000001" customHeight="1" thickBot="1" x14ac:dyDescent="0.25">
      <c r="B38" s="827"/>
      <c r="C38" s="858" t="s">
        <v>274</v>
      </c>
      <c r="D38" s="858"/>
      <c r="E38" s="858"/>
      <c r="F38" s="858"/>
      <c r="G38" s="858"/>
      <c r="H38" s="859"/>
      <c r="I38" s="858"/>
      <c r="J38" s="858"/>
      <c r="K38" s="858"/>
      <c r="L38" s="859"/>
      <c r="M38" s="860"/>
      <c r="N38" s="861"/>
      <c r="P38" s="858"/>
      <c r="Q38" s="858"/>
      <c r="R38" s="858"/>
      <c r="S38" s="859"/>
      <c r="T38" s="858"/>
      <c r="U38" s="858"/>
      <c r="V38" s="858"/>
      <c r="W38" s="860"/>
      <c r="X38" s="860"/>
      <c r="Y38" s="894"/>
      <c r="Z38" s="862"/>
      <c r="AE38" s="829"/>
      <c r="AF38" s="829"/>
    </row>
    <row r="39" spans="2:32" ht="35.1" customHeight="1" thickBot="1" x14ac:dyDescent="0.25">
      <c r="B39" s="827"/>
      <c r="C39" s="850" t="s">
        <v>87</v>
      </c>
      <c r="D39" s="895" t="s">
        <v>88</v>
      </c>
      <c r="E39" s="895" t="s">
        <v>237</v>
      </c>
      <c r="F39" s="896" t="s">
        <v>160</v>
      </c>
      <c r="G39" s="895" t="s">
        <v>236</v>
      </c>
      <c r="H39" s="896" t="s">
        <v>232</v>
      </c>
      <c r="I39" s="896" t="s">
        <v>233</v>
      </c>
      <c r="J39" s="896" t="s">
        <v>20</v>
      </c>
      <c r="K39" s="832" t="s">
        <v>91</v>
      </c>
      <c r="L39" s="895" t="s">
        <v>93</v>
      </c>
      <c r="M39" s="895" t="s">
        <v>94</v>
      </c>
      <c r="N39" s="897" t="s">
        <v>95</v>
      </c>
      <c r="P39" s="1075" t="s">
        <v>237</v>
      </c>
      <c r="Q39" s="896" t="s">
        <v>160</v>
      </c>
      <c r="R39" s="895" t="s">
        <v>236</v>
      </c>
      <c r="S39" s="896" t="s">
        <v>232</v>
      </c>
      <c r="T39" s="896" t="s">
        <v>233</v>
      </c>
      <c r="U39" s="896" t="s">
        <v>20</v>
      </c>
      <c r="V39" s="832" t="s">
        <v>91</v>
      </c>
      <c r="W39" s="895" t="s">
        <v>93</v>
      </c>
      <c r="X39" s="895" t="s">
        <v>94</v>
      </c>
      <c r="Y39" s="897" t="s">
        <v>95</v>
      </c>
      <c r="Z39" s="862"/>
      <c r="AE39" s="829"/>
      <c r="AF39" s="829"/>
    </row>
    <row r="40" spans="2:32" ht="35.1" customHeight="1" thickBot="1" x14ac:dyDescent="0.25">
      <c r="B40" s="827"/>
      <c r="C40" s="864"/>
      <c r="D40" s="1000"/>
      <c r="E40" s="1000"/>
      <c r="F40" s="836"/>
      <c r="G40" s="836"/>
      <c r="H40" s="836"/>
      <c r="I40" s="836"/>
      <c r="J40" s="865"/>
      <c r="K40" s="841"/>
      <c r="L40" s="866"/>
      <c r="M40" s="837"/>
      <c r="N40" s="868"/>
      <c r="P40" s="864" t="s">
        <v>242</v>
      </c>
      <c r="Q40" s="836" t="s">
        <v>221</v>
      </c>
      <c r="R40" s="836" t="s">
        <v>222</v>
      </c>
      <c r="S40" s="836">
        <v>2280</v>
      </c>
      <c r="T40" s="836">
        <v>453658</v>
      </c>
      <c r="U40" s="972" t="s">
        <v>97</v>
      </c>
      <c r="V40" s="841">
        <v>80000</v>
      </c>
      <c r="W40" s="866">
        <f>IFERROR(V40/$V$43,0)</f>
        <v>0.66666666666666663</v>
      </c>
      <c r="X40" s="837">
        <f>ROUND(W40*I$16,2)</f>
        <v>298035.65999999997</v>
      </c>
      <c r="Y40" s="868">
        <f>X40*$M$16</f>
        <v>5667177.8784659998</v>
      </c>
      <c r="Z40" s="862"/>
      <c r="AE40" s="829"/>
      <c r="AF40" s="829"/>
    </row>
    <row r="41" spans="2:32" ht="35.1" customHeight="1" thickBot="1" x14ac:dyDescent="0.25">
      <c r="B41" s="827"/>
      <c r="C41" s="864"/>
      <c r="D41" s="1000"/>
      <c r="E41" s="1000"/>
      <c r="F41" s="836"/>
      <c r="G41" s="836"/>
      <c r="H41" s="836"/>
      <c r="I41" s="836"/>
      <c r="J41" s="865"/>
      <c r="K41" s="841"/>
      <c r="L41" s="866"/>
      <c r="M41" s="837"/>
      <c r="N41" s="868"/>
      <c r="P41" s="864" t="s">
        <v>242</v>
      </c>
      <c r="Q41" s="836" t="s">
        <v>221</v>
      </c>
      <c r="R41" s="836" t="s">
        <v>222</v>
      </c>
      <c r="S41" s="836">
        <v>2280</v>
      </c>
      <c r="T41" s="836">
        <v>453658</v>
      </c>
      <c r="U41" s="972" t="s">
        <v>100</v>
      </c>
      <c r="V41" s="841">
        <v>40000</v>
      </c>
      <c r="W41" s="866">
        <f>IFERROR(V41/$V$43,0)</f>
        <v>0.33333333333333331</v>
      </c>
      <c r="X41" s="837">
        <f>ROUND(W41*I$16,2)</f>
        <v>149017.82999999999</v>
      </c>
      <c r="Y41" s="868">
        <f>X41*$M$16</f>
        <v>2833588.9392329999</v>
      </c>
      <c r="Z41" s="862"/>
      <c r="AE41" s="829"/>
      <c r="AF41" s="829"/>
    </row>
    <row r="42" spans="2:32" ht="35.1" customHeight="1" thickBot="1" x14ac:dyDescent="0.25">
      <c r="B42" s="827"/>
      <c r="C42" s="1004">
        <v>800874975</v>
      </c>
      <c r="D42" s="853">
        <v>2</v>
      </c>
      <c r="E42" s="853" t="s">
        <v>242</v>
      </c>
      <c r="F42" s="1003" t="s">
        <v>221</v>
      </c>
      <c r="G42" s="1003" t="s">
        <v>222</v>
      </c>
      <c r="H42" s="1003">
        <v>2280</v>
      </c>
      <c r="I42" s="1003">
        <v>453851</v>
      </c>
      <c r="J42" s="871" t="s">
        <v>159</v>
      </c>
      <c r="K42" s="852">
        <v>120000</v>
      </c>
      <c r="L42" s="872">
        <v>1</v>
      </c>
      <c r="M42" s="846">
        <f>ROUND(L42*I$16,2)</f>
        <v>447053.49</v>
      </c>
      <c r="N42" s="898">
        <f>M42*$M$16</f>
        <v>8500766.8176990002</v>
      </c>
      <c r="P42" s="851" t="s">
        <v>242</v>
      </c>
      <c r="Q42" s="845" t="s">
        <v>221</v>
      </c>
      <c r="R42" s="845" t="s">
        <v>222</v>
      </c>
      <c r="S42" s="845">
        <v>2280</v>
      </c>
      <c r="T42" s="845">
        <v>453851</v>
      </c>
      <c r="U42" s="973" t="s">
        <v>159</v>
      </c>
      <c r="V42" s="852">
        <v>0</v>
      </c>
      <c r="W42" s="872">
        <f>IFERROR(V42/$V$43,0)</f>
        <v>0</v>
      </c>
      <c r="X42" s="846">
        <f>ROUND(W42*I$16,2)</f>
        <v>0</v>
      </c>
      <c r="Y42" s="898">
        <f>X42*$M$16</f>
        <v>0</v>
      </c>
      <c r="Z42" s="862"/>
      <c r="AE42" s="829"/>
      <c r="AF42" s="829"/>
    </row>
    <row r="43" spans="2:32" ht="20.100000000000001" customHeight="1" x14ac:dyDescent="0.2">
      <c r="B43" s="827"/>
      <c r="C43" s="881"/>
      <c r="D43" s="882" t="s">
        <v>102</v>
      </c>
      <c r="E43" s="882"/>
      <c r="F43" s="882"/>
      <c r="G43" s="882"/>
      <c r="H43" s="882"/>
      <c r="I43" s="883"/>
      <c r="J43" s="883"/>
      <c r="K43" s="884">
        <f>SUM(K40:K42)</f>
        <v>120000</v>
      </c>
      <c r="L43" s="885">
        <f>SUM(L40:L42)</f>
        <v>1</v>
      </c>
      <c r="M43" s="886">
        <f>SUM(M40:M42)</f>
        <v>447053.49</v>
      </c>
      <c r="N43" s="886">
        <f>SUM(N40:N42)</f>
        <v>8500766.8176990002</v>
      </c>
      <c r="P43" s="882"/>
      <c r="Q43" s="882"/>
      <c r="R43" s="882"/>
      <c r="S43" s="882"/>
      <c r="T43" s="883"/>
      <c r="U43" s="883"/>
      <c r="V43" s="884">
        <f>SUM(V40:V42)</f>
        <v>120000</v>
      </c>
      <c r="W43" s="885">
        <f>SUM(W40:W42)</f>
        <v>1</v>
      </c>
      <c r="X43" s="886">
        <f>SUM(X40:X42)</f>
        <v>447053.49</v>
      </c>
      <c r="Y43" s="886">
        <f>SUM(Y40:Y42)</f>
        <v>8500766.8176990002</v>
      </c>
      <c r="Z43" s="862"/>
      <c r="AE43" s="829"/>
      <c r="AF43" s="829"/>
    </row>
    <row r="44" spans="2:32" ht="20.100000000000001" customHeight="1" x14ac:dyDescent="0.2">
      <c r="B44" s="827"/>
      <c r="C44" s="899"/>
      <c r="D44" s="858"/>
      <c r="E44" s="858"/>
      <c r="F44" s="858"/>
      <c r="G44" s="858"/>
      <c r="H44" s="859"/>
      <c r="I44" s="858"/>
      <c r="J44" s="858"/>
      <c r="K44" s="858"/>
      <c r="L44" s="860"/>
      <c r="M44" s="860"/>
      <c r="N44" s="843"/>
      <c r="P44" s="858"/>
      <c r="Q44" s="858"/>
      <c r="R44" s="858"/>
      <c r="S44" s="859"/>
      <c r="T44" s="858"/>
      <c r="U44" s="858"/>
      <c r="V44" s="858"/>
      <c r="W44" s="860"/>
      <c r="X44" s="860"/>
      <c r="Y44" s="894"/>
      <c r="Z44" s="862"/>
      <c r="AE44" s="829"/>
      <c r="AF44" s="829"/>
    </row>
    <row r="45" spans="2:32" ht="20.100000000000001" customHeight="1" x14ac:dyDescent="0.2">
      <c r="B45" s="827"/>
      <c r="C45" s="899"/>
      <c r="D45" s="858"/>
      <c r="E45" s="858"/>
      <c r="F45" s="858"/>
      <c r="G45" s="858"/>
      <c r="H45" s="859"/>
      <c r="I45" s="858"/>
      <c r="J45" s="858"/>
      <c r="K45" s="858"/>
      <c r="L45" s="860"/>
      <c r="M45" s="860"/>
      <c r="N45" s="843"/>
      <c r="P45" s="858"/>
      <c r="Q45" s="858"/>
      <c r="R45" s="858"/>
      <c r="S45" s="859"/>
      <c r="T45" s="858"/>
      <c r="U45" s="858"/>
      <c r="V45" s="858"/>
      <c r="W45" s="860"/>
      <c r="X45" s="860"/>
      <c r="Y45" s="894"/>
      <c r="Z45" s="862"/>
      <c r="AE45" s="829"/>
      <c r="AF45" s="829"/>
    </row>
    <row r="46" spans="2:32" ht="20.100000000000001" customHeight="1" x14ac:dyDescent="0.2">
      <c r="B46" s="827"/>
      <c r="C46" s="899"/>
      <c r="D46" s="858"/>
      <c r="E46" s="858"/>
      <c r="F46" s="858"/>
      <c r="G46" s="858"/>
      <c r="H46" s="859"/>
      <c r="I46" s="858"/>
      <c r="J46" s="858"/>
      <c r="K46" s="858"/>
      <c r="L46" s="860"/>
      <c r="M46" s="860"/>
      <c r="N46" s="843"/>
      <c r="P46" s="858"/>
      <c r="Q46" s="858"/>
      <c r="R46" s="858"/>
      <c r="S46" s="859"/>
      <c r="T46" s="858"/>
      <c r="U46" s="858"/>
      <c r="V46" s="858"/>
      <c r="W46" s="860"/>
      <c r="X46" s="860"/>
      <c r="Y46" s="894"/>
      <c r="Z46" s="862"/>
      <c r="AE46" s="829"/>
      <c r="AF46" s="829"/>
    </row>
    <row r="47" spans="2:32" ht="35.1" customHeight="1" thickBot="1" x14ac:dyDescent="0.25">
      <c r="B47" s="827"/>
      <c r="C47" s="899" t="s">
        <v>103</v>
      </c>
      <c r="D47" s="858"/>
      <c r="E47" s="858"/>
      <c r="F47" s="858"/>
      <c r="G47" s="858"/>
      <c r="H47" s="859"/>
      <c r="I47" s="858"/>
      <c r="J47" s="858"/>
      <c r="K47" s="858"/>
      <c r="L47" s="860"/>
      <c r="M47" s="860"/>
      <c r="N47" s="843"/>
      <c r="P47" s="858"/>
      <c r="Q47" s="858"/>
      <c r="R47" s="858"/>
      <c r="S47" s="859"/>
      <c r="T47" s="858"/>
      <c r="U47" s="858"/>
      <c r="V47" s="858"/>
      <c r="W47" s="860"/>
      <c r="X47" s="860"/>
      <c r="Y47" s="894"/>
      <c r="Z47" s="862"/>
      <c r="AE47" s="829"/>
      <c r="AF47" s="829"/>
    </row>
    <row r="48" spans="2:32" ht="35.1" customHeight="1" thickBot="1" x14ac:dyDescent="0.25">
      <c r="B48" s="827"/>
      <c r="C48" s="850" t="s">
        <v>87</v>
      </c>
      <c r="D48" s="832" t="s">
        <v>88</v>
      </c>
      <c r="E48" s="832" t="s">
        <v>237</v>
      </c>
      <c r="F48" s="833" t="s">
        <v>160</v>
      </c>
      <c r="G48" s="832" t="s">
        <v>90</v>
      </c>
      <c r="H48" s="833" t="s">
        <v>232</v>
      </c>
      <c r="I48" s="833" t="s">
        <v>233</v>
      </c>
      <c r="J48" s="833" t="s">
        <v>20</v>
      </c>
      <c r="K48" s="832" t="s">
        <v>234</v>
      </c>
      <c r="L48" s="832" t="s">
        <v>93</v>
      </c>
      <c r="M48" s="832" t="s">
        <v>94</v>
      </c>
      <c r="N48" s="863" t="s">
        <v>95</v>
      </c>
      <c r="P48" s="850" t="s">
        <v>237</v>
      </c>
      <c r="Q48" s="833" t="s">
        <v>160</v>
      </c>
      <c r="R48" s="832" t="s">
        <v>90</v>
      </c>
      <c r="S48" s="833" t="s">
        <v>232</v>
      </c>
      <c r="T48" s="833" t="s">
        <v>233</v>
      </c>
      <c r="U48" s="833" t="s">
        <v>20</v>
      </c>
      <c r="V48" s="832" t="s">
        <v>234</v>
      </c>
      <c r="W48" s="832" t="s">
        <v>93</v>
      </c>
      <c r="X48" s="832" t="s">
        <v>94</v>
      </c>
      <c r="Y48" s="834" t="s">
        <v>95</v>
      </c>
      <c r="Z48" s="861"/>
      <c r="AE48" s="829"/>
      <c r="AF48" s="829"/>
    </row>
    <row r="49" spans="2:32" ht="35.1" customHeight="1" thickBot="1" x14ac:dyDescent="0.25">
      <c r="B49" s="827"/>
      <c r="C49" s="864">
        <v>800874989</v>
      </c>
      <c r="D49" s="869">
        <v>4</v>
      </c>
      <c r="E49" s="869" t="s">
        <v>242</v>
      </c>
      <c r="F49" s="836" t="s">
        <v>221</v>
      </c>
      <c r="G49" s="836" t="s">
        <v>222</v>
      </c>
      <c r="H49" s="836">
        <v>2281</v>
      </c>
      <c r="I49" s="836">
        <v>453659</v>
      </c>
      <c r="J49" s="865" t="s">
        <v>159</v>
      </c>
      <c r="K49" s="841">
        <f>P102</f>
        <v>2927950.8525355863</v>
      </c>
      <c r="L49" s="866">
        <f>IFERROR(K49/K$54,0)</f>
        <v>0.52986711699873013</v>
      </c>
      <c r="M49" s="835">
        <f>L49*$I$17</f>
        <v>2887.0127789946009</v>
      </c>
      <c r="N49" s="867">
        <f>M49*$M$17</f>
        <v>54896.836693860234</v>
      </c>
      <c r="O49" s="2">
        <v>18.6234</v>
      </c>
      <c r="P49" s="864" t="s">
        <v>242</v>
      </c>
      <c r="Q49" s="836" t="s">
        <v>221</v>
      </c>
      <c r="R49" s="836" t="s">
        <v>222</v>
      </c>
      <c r="S49" s="836">
        <v>2281</v>
      </c>
      <c r="T49" s="836">
        <v>453658</v>
      </c>
      <c r="U49" s="972" t="s">
        <v>97</v>
      </c>
      <c r="V49" s="841">
        <f>K49</f>
        <v>2927950.8525355863</v>
      </c>
      <c r="W49" s="866">
        <f>IFERROR(V49/V$54,0)</f>
        <v>0.52986711699873013</v>
      </c>
      <c r="X49" s="835">
        <f>W49*$I$17</f>
        <v>2887.0127789946009</v>
      </c>
      <c r="Y49" s="867">
        <f>X49*$M$17</f>
        <v>54896.836693860234</v>
      </c>
      <c r="AE49" s="829"/>
      <c r="AF49" s="829"/>
    </row>
    <row r="50" spans="2:32" ht="35.1" customHeight="1" thickBot="1" x14ac:dyDescent="0.25">
      <c r="B50" s="827"/>
      <c r="C50" s="864"/>
      <c r="D50" s="1000"/>
      <c r="E50" s="1000"/>
      <c r="F50" s="836"/>
      <c r="G50" s="836"/>
      <c r="H50" s="836"/>
      <c r="I50" s="836"/>
      <c r="J50" s="972"/>
      <c r="K50" s="841"/>
      <c r="L50" s="866"/>
      <c r="M50" s="835"/>
      <c r="N50" s="867"/>
      <c r="O50" s="2"/>
      <c r="P50" s="864" t="s">
        <v>242</v>
      </c>
      <c r="Q50" s="836" t="s">
        <v>221</v>
      </c>
      <c r="R50" s="836" t="s">
        <v>222</v>
      </c>
      <c r="S50" s="836">
        <v>2281</v>
      </c>
      <c r="T50" s="836">
        <v>453658</v>
      </c>
      <c r="U50" s="972" t="s">
        <v>100</v>
      </c>
      <c r="V50" s="841">
        <f t="shared" ref="V50:V53" si="3">K50</f>
        <v>0</v>
      </c>
      <c r="W50" s="866">
        <f>IFERROR(V50/V$54,0)</f>
        <v>0</v>
      </c>
      <c r="X50" s="835">
        <f>W50*$I$17</f>
        <v>0</v>
      </c>
      <c r="Y50" s="867">
        <f>X50*$M$17</f>
        <v>0</v>
      </c>
      <c r="AE50" s="829"/>
      <c r="AF50" s="829"/>
    </row>
    <row r="51" spans="2:32" ht="35.1" customHeight="1" thickBot="1" x14ac:dyDescent="0.25">
      <c r="B51" s="827"/>
      <c r="C51" s="864">
        <v>800874989</v>
      </c>
      <c r="D51" s="869">
        <v>5</v>
      </c>
      <c r="E51" s="869" t="s">
        <v>242</v>
      </c>
      <c r="F51" s="836" t="s">
        <v>221</v>
      </c>
      <c r="G51" s="836" t="s">
        <v>222</v>
      </c>
      <c r="H51" s="836">
        <v>2281</v>
      </c>
      <c r="I51" s="836">
        <v>453659</v>
      </c>
      <c r="J51" s="865" t="s">
        <v>159</v>
      </c>
      <c r="K51" s="841">
        <f>N102</f>
        <v>564164.96511297568</v>
      </c>
      <c r="L51" s="866">
        <f>IFERROR(K51/K$54,0)</f>
        <v>0.10209613433819356</v>
      </c>
      <c r="M51" s="835">
        <f>L51*$I$17</f>
        <v>556.27691370970786</v>
      </c>
      <c r="N51" s="867">
        <f>M51*$M$17</f>
        <v>10577.661141881466</v>
      </c>
      <c r="O51" s="2"/>
      <c r="P51" s="864" t="s">
        <v>242</v>
      </c>
      <c r="Q51" s="836" t="s">
        <v>221</v>
      </c>
      <c r="R51" s="836" t="s">
        <v>222</v>
      </c>
      <c r="S51" s="836">
        <v>2281</v>
      </c>
      <c r="T51" s="836">
        <v>453658</v>
      </c>
      <c r="U51" s="972" t="s">
        <v>393</v>
      </c>
      <c r="V51" s="841">
        <f t="shared" si="3"/>
        <v>564164.96511297568</v>
      </c>
      <c r="W51" s="866">
        <f>IFERROR(V51/V$54,0)</f>
        <v>0.10209613433819356</v>
      </c>
      <c r="X51" s="835">
        <f>W51*$I$17</f>
        <v>556.27691370970786</v>
      </c>
      <c r="Y51" s="867">
        <f>X51*$M$17</f>
        <v>10577.661141881466</v>
      </c>
      <c r="AE51" s="829"/>
      <c r="AF51" s="829"/>
    </row>
    <row r="52" spans="2:32" ht="35.1" customHeight="1" thickBot="1" x14ac:dyDescent="0.25">
      <c r="B52" s="827"/>
      <c r="C52" s="864"/>
      <c r="D52" s="1000"/>
      <c r="E52" s="1000"/>
      <c r="F52" s="836"/>
      <c r="G52" s="836"/>
      <c r="H52" s="836"/>
      <c r="I52" s="836"/>
      <c r="J52" s="1897"/>
      <c r="K52" s="841"/>
      <c r="L52" s="866"/>
      <c r="M52" s="835"/>
      <c r="N52" s="867"/>
      <c r="O52" s="2"/>
      <c r="P52" s="864" t="s">
        <v>242</v>
      </c>
      <c r="Q52" s="836" t="s">
        <v>221</v>
      </c>
      <c r="R52" s="836" t="s">
        <v>222</v>
      </c>
      <c r="S52" s="836">
        <v>2281</v>
      </c>
      <c r="T52" s="836">
        <v>453658</v>
      </c>
      <c r="U52" s="972" t="s">
        <v>288</v>
      </c>
      <c r="V52" s="841">
        <f t="shared" si="3"/>
        <v>0</v>
      </c>
      <c r="W52" s="866">
        <f>IFERROR(V52/V$54,0)</f>
        <v>0</v>
      </c>
      <c r="X52" s="835">
        <f>W52*$I$17</f>
        <v>0</v>
      </c>
      <c r="Y52" s="867">
        <f t="shared" ref="Y52:Y53" si="4">X52*$M$17</f>
        <v>0</v>
      </c>
      <c r="AE52" s="829"/>
      <c r="AF52" s="829"/>
    </row>
    <row r="53" spans="2:32" ht="35.1" customHeight="1" thickBot="1" x14ac:dyDescent="0.25">
      <c r="B53" s="827"/>
      <c r="C53" s="851">
        <v>800874989</v>
      </c>
      <c r="D53" s="853">
        <v>6</v>
      </c>
      <c r="E53" s="853" t="s">
        <v>242</v>
      </c>
      <c r="F53" s="845" t="s">
        <v>221</v>
      </c>
      <c r="G53" s="845" t="s">
        <v>222</v>
      </c>
      <c r="H53" s="845">
        <v>2281</v>
      </c>
      <c r="I53" s="845">
        <v>453659</v>
      </c>
      <c r="J53" s="871" t="s">
        <v>159</v>
      </c>
      <c r="K53" s="852">
        <f>O102</f>
        <v>2033705.201629</v>
      </c>
      <c r="L53" s="872">
        <f>IFERROR(K53/K$54,0)</f>
        <v>0.36803674866307623</v>
      </c>
      <c r="M53" s="844">
        <f>L53*$I$17</f>
        <v>2005.2703072956904</v>
      </c>
      <c r="N53" s="873">
        <f t="shared" ref="N53" si="5">M53*$M$17</f>
        <v>38130.415420258279</v>
      </c>
      <c r="O53" s="2">
        <v>18.8506</v>
      </c>
      <c r="P53" s="851" t="s">
        <v>242</v>
      </c>
      <c r="Q53" s="845" t="s">
        <v>221</v>
      </c>
      <c r="R53" s="845" t="s">
        <v>222</v>
      </c>
      <c r="S53" s="845" t="s">
        <v>402</v>
      </c>
      <c r="T53" s="845">
        <v>468095</v>
      </c>
      <c r="U53" s="973" t="s">
        <v>23</v>
      </c>
      <c r="V53" s="852">
        <f t="shared" si="3"/>
        <v>2033705.201629</v>
      </c>
      <c r="W53" s="872">
        <f>IFERROR(V53/V$54,0)</f>
        <v>0.36803674866307623</v>
      </c>
      <c r="X53" s="844">
        <f>W53*$I$17</f>
        <v>2005.2703072956904</v>
      </c>
      <c r="Y53" s="873">
        <f t="shared" si="4"/>
        <v>38130.415420258279</v>
      </c>
      <c r="AE53" s="829"/>
      <c r="AF53" s="829"/>
    </row>
    <row r="54" spans="2:32" x14ac:dyDescent="0.2">
      <c r="B54" s="827"/>
      <c r="C54" s="901"/>
      <c r="D54" s="901"/>
      <c r="E54" s="901"/>
      <c r="F54" s="902"/>
      <c r="G54" s="902"/>
      <c r="H54" s="902"/>
      <c r="I54" s="902"/>
      <c r="J54" s="902"/>
      <c r="K54" s="1001">
        <f>SUM(K49:K53)</f>
        <v>5525821.0192775624</v>
      </c>
      <c r="L54" s="903">
        <f>SUM(L49:L53)</f>
        <v>0.99999999999999989</v>
      </c>
      <c r="M54" s="1002">
        <f>SUM(M49:M53)</f>
        <v>5448.5599999999995</v>
      </c>
      <c r="N54" s="1002">
        <f>SUM(N49:N53)</f>
        <v>103604.91325599997</v>
      </c>
      <c r="O54" s="843"/>
      <c r="P54" s="843"/>
      <c r="Q54" s="827"/>
      <c r="R54" s="827"/>
      <c r="S54" s="827"/>
      <c r="T54" s="827"/>
      <c r="U54" s="827"/>
      <c r="V54" s="1001">
        <f>SUM(V49:V53)</f>
        <v>5525821.0192775624</v>
      </c>
      <c r="W54" s="903">
        <f>SUM(W49:W53)</f>
        <v>0.99999999999999989</v>
      </c>
      <c r="X54" s="1002">
        <f>SUM(X49:X53)</f>
        <v>5448.5599999999995</v>
      </c>
      <c r="Y54" s="1002">
        <f>SUM(Y49:Y53)</f>
        <v>103604.91325599997</v>
      </c>
      <c r="AE54" s="829"/>
      <c r="AF54" s="829"/>
    </row>
    <row r="55" spans="2:32" s="906" customFormat="1" x14ac:dyDescent="0.2">
      <c r="B55" s="904"/>
      <c r="C55" s="902"/>
      <c r="D55" s="902"/>
      <c r="E55" s="902"/>
      <c r="F55" s="902"/>
      <c r="G55" s="902"/>
      <c r="H55" s="902"/>
      <c r="I55" s="902"/>
      <c r="J55" s="902"/>
      <c r="K55" s="902"/>
      <c r="L55" s="902"/>
      <c r="M55" s="905"/>
      <c r="N55" s="905"/>
      <c r="O55" s="843"/>
      <c r="P55" s="843"/>
      <c r="Q55" s="904"/>
      <c r="R55" s="904"/>
      <c r="S55" s="904"/>
      <c r="T55" s="904"/>
      <c r="U55" s="904"/>
      <c r="V55" s="904"/>
      <c r="W55" s="904"/>
      <c r="X55" s="843"/>
      <c r="Y55" s="843"/>
      <c r="Z55" s="843"/>
      <c r="AA55" s="843"/>
      <c r="AB55" s="843"/>
      <c r="AC55" s="843"/>
      <c r="AD55" s="843"/>
    </row>
    <row r="56" spans="2:32" s="906" customFormat="1" x14ac:dyDescent="0.2">
      <c r="B56" s="904"/>
      <c r="C56" s="902"/>
      <c r="D56" s="902"/>
      <c r="E56" s="902"/>
      <c r="F56" s="902"/>
      <c r="G56" s="902"/>
      <c r="H56" s="902"/>
      <c r="I56" s="902"/>
      <c r="J56" s="902"/>
      <c r="K56" s="902"/>
      <c r="L56" s="905"/>
      <c r="M56" s="905"/>
      <c r="N56" s="843"/>
      <c r="O56" s="904"/>
      <c r="P56" s="904"/>
      <c r="Q56" s="904"/>
      <c r="R56" s="904"/>
      <c r="S56" s="904"/>
      <c r="T56" s="904"/>
      <c r="U56" s="904"/>
      <c r="V56" s="843"/>
      <c r="W56" s="843"/>
      <c r="X56" s="843"/>
      <c r="Y56" s="843"/>
      <c r="Z56" s="843"/>
      <c r="AA56" s="843"/>
      <c r="AB56" s="843"/>
    </row>
    <row r="57" spans="2:32" s="906" customFormat="1" x14ac:dyDescent="0.2">
      <c r="B57" s="904"/>
      <c r="C57" s="902"/>
      <c r="D57" s="902"/>
      <c r="E57" s="902"/>
      <c r="F57" s="902"/>
      <c r="G57" s="902"/>
      <c r="H57" s="902"/>
      <c r="I57" s="902"/>
      <c r="J57" s="902"/>
      <c r="K57" s="902"/>
      <c r="L57" s="905"/>
      <c r="M57" s="905"/>
      <c r="N57" s="843"/>
      <c r="O57" s="843"/>
      <c r="P57" s="904"/>
      <c r="Q57" s="904"/>
      <c r="R57" s="904"/>
      <c r="S57" s="904"/>
      <c r="T57" s="904"/>
      <c r="U57" s="904"/>
      <c r="V57" s="904"/>
      <c r="W57" s="843"/>
      <c r="X57" s="843"/>
      <c r="Y57" s="843"/>
      <c r="Z57" s="843"/>
      <c r="AA57" s="843"/>
      <c r="AB57" s="843"/>
      <c r="AC57" s="843"/>
    </row>
    <row r="58" spans="2:32" s="906" customFormat="1" x14ac:dyDescent="0.2">
      <c r="B58" s="904"/>
      <c r="C58" s="902"/>
      <c r="D58" s="902"/>
      <c r="E58" s="902"/>
      <c r="F58" s="902"/>
      <c r="G58" s="902"/>
      <c r="H58" s="902"/>
      <c r="I58" s="902"/>
      <c r="J58" s="902"/>
      <c r="K58" s="902"/>
      <c r="L58" s="905"/>
      <c r="M58" s="905"/>
      <c r="N58" s="843"/>
      <c r="O58" s="905"/>
      <c r="P58" s="843"/>
      <c r="Q58" s="905"/>
      <c r="R58" s="904"/>
      <c r="S58" s="904"/>
      <c r="T58" s="904"/>
      <c r="U58" s="904"/>
      <c r="V58" s="904"/>
      <c r="W58" s="904"/>
      <c r="X58" s="904"/>
      <c r="Y58" s="904"/>
      <c r="Z58" s="843"/>
      <c r="AA58" s="843"/>
      <c r="AB58" s="843"/>
      <c r="AC58" s="843"/>
      <c r="AD58" s="843"/>
      <c r="AE58" s="843"/>
      <c r="AF58" s="843"/>
    </row>
    <row r="59" spans="2:32" s="906" customFormat="1" x14ac:dyDescent="0.2">
      <c r="B59" s="904"/>
      <c r="C59" s="902"/>
      <c r="D59" s="902"/>
      <c r="E59" s="902"/>
      <c r="F59" s="902"/>
      <c r="G59" s="902"/>
      <c r="H59" s="902"/>
      <c r="I59" s="902"/>
      <c r="J59" s="902"/>
      <c r="K59" s="902"/>
      <c r="L59" s="905"/>
      <c r="M59" s="905"/>
      <c r="N59" s="843"/>
      <c r="O59" s="905"/>
      <c r="P59" s="843"/>
      <c r="Q59" s="905"/>
      <c r="R59" s="904"/>
      <c r="S59" s="904"/>
      <c r="T59" s="904"/>
      <c r="U59" s="904"/>
      <c r="V59" s="904"/>
      <c r="W59" s="904"/>
      <c r="X59" s="904"/>
      <c r="Y59" s="904"/>
      <c r="Z59" s="843"/>
      <c r="AA59" s="843"/>
      <c r="AB59" s="843"/>
      <c r="AC59" s="843"/>
      <c r="AD59" s="843"/>
      <c r="AE59" s="843"/>
      <c r="AF59" s="843"/>
    </row>
    <row r="60" spans="2:32" s="906" customFormat="1" x14ac:dyDescent="0.2">
      <c r="B60" s="904"/>
      <c r="C60" s="902"/>
      <c r="D60" s="902"/>
      <c r="E60" s="902"/>
      <c r="F60" s="902"/>
      <c r="G60" s="902"/>
      <c r="H60" s="902"/>
      <c r="I60" s="902"/>
      <c r="J60" s="902"/>
      <c r="K60" s="902"/>
      <c r="L60" s="905"/>
      <c r="M60" s="905"/>
      <c r="N60" s="843"/>
      <c r="O60" s="905"/>
      <c r="P60" s="843"/>
      <c r="Q60" s="905"/>
      <c r="R60" s="904"/>
      <c r="S60" s="904"/>
      <c r="T60" s="904"/>
      <c r="U60" s="904"/>
      <c r="V60" s="904"/>
      <c r="W60" s="904"/>
      <c r="X60" s="904"/>
      <c r="Y60" s="904"/>
      <c r="Z60" s="843"/>
      <c r="AA60" s="843"/>
      <c r="AB60" s="843"/>
      <c r="AC60" s="843"/>
      <c r="AD60" s="843"/>
      <c r="AE60" s="843"/>
      <c r="AF60" s="843"/>
    </row>
    <row r="61" spans="2:32" s="906" customFormat="1" x14ac:dyDescent="0.2">
      <c r="B61" s="904"/>
      <c r="C61" s="902"/>
      <c r="D61" s="902"/>
      <c r="E61" s="902"/>
      <c r="F61" s="902"/>
      <c r="G61" s="902"/>
      <c r="H61" s="902"/>
      <c r="I61" s="902"/>
      <c r="J61" s="902"/>
      <c r="K61" s="902"/>
      <c r="L61" s="905"/>
      <c r="M61" s="905"/>
      <c r="N61" s="843"/>
      <c r="O61" s="905"/>
      <c r="P61" s="843"/>
      <c r="Q61" s="905"/>
      <c r="R61" s="904"/>
      <c r="S61" s="904"/>
      <c r="T61" s="904"/>
      <c r="U61" s="904"/>
      <c r="V61" s="904"/>
      <c r="W61" s="904"/>
      <c r="X61" s="904"/>
      <c r="Y61" s="904"/>
      <c r="Z61" s="843"/>
      <c r="AA61" s="843"/>
      <c r="AB61" s="843"/>
      <c r="AC61" s="843"/>
      <c r="AD61" s="843"/>
      <c r="AE61" s="843"/>
      <c r="AF61" s="843"/>
    </row>
    <row r="62" spans="2:32" s="906" customFormat="1" x14ac:dyDescent="0.2">
      <c r="B62" s="904"/>
      <c r="C62" s="902"/>
      <c r="D62" s="902"/>
      <c r="E62" s="902"/>
      <c r="F62" s="902"/>
      <c r="G62" s="902"/>
      <c r="H62" s="902"/>
      <c r="I62" s="902"/>
      <c r="J62" s="902"/>
      <c r="K62" s="902"/>
      <c r="L62" s="905"/>
      <c r="M62" s="905"/>
      <c r="N62" s="843"/>
      <c r="O62" s="905"/>
      <c r="P62" s="843"/>
      <c r="Q62" s="905"/>
      <c r="R62" s="904"/>
      <c r="S62" s="904"/>
      <c r="T62" s="904"/>
      <c r="U62" s="904"/>
      <c r="V62" s="904"/>
      <c r="W62" s="904"/>
      <c r="X62" s="904"/>
      <c r="Y62" s="904"/>
      <c r="Z62" s="843"/>
      <c r="AA62" s="843"/>
      <c r="AB62" s="843"/>
      <c r="AC62" s="843"/>
      <c r="AD62" s="843"/>
      <c r="AE62" s="843"/>
      <c r="AF62" s="843"/>
    </row>
    <row r="63" spans="2:32" s="906" customFormat="1" x14ac:dyDescent="0.2">
      <c r="B63" s="904"/>
      <c r="C63" s="902"/>
      <c r="D63" s="902"/>
      <c r="E63" s="902"/>
      <c r="F63" s="902"/>
      <c r="G63" s="902"/>
      <c r="H63" s="902"/>
      <c r="I63" s="902"/>
      <c r="J63" s="902"/>
      <c r="K63" s="902"/>
      <c r="L63" s="905"/>
      <c r="M63" s="905"/>
      <c r="N63" s="843"/>
      <c r="O63" s="905"/>
      <c r="P63" s="843"/>
      <c r="Q63" s="905"/>
      <c r="R63" s="904"/>
      <c r="S63" s="904"/>
      <c r="T63" s="904"/>
      <c r="U63" s="904"/>
      <c r="V63" s="904"/>
      <c r="W63" s="904"/>
      <c r="X63" s="904"/>
      <c r="Y63" s="904"/>
      <c r="Z63" s="843"/>
      <c r="AA63" s="843"/>
      <c r="AB63" s="843"/>
      <c r="AC63" s="843"/>
      <c r="AD63" s="843"/>
      <c r="AE63" s="843"/>
      <c r="AF63" s="843"/>
    </row>
    <row r="64" spans="2:32" s="906" customFormat="1" x14ac:dyDescent="0.2">
      <c r="B64" s="904"/>
      <c r="C64" s="902"/>
      <c r="D64" s="902"/>
      <c r="E64" s="902"/>
      <c r="F64" s="902"/>
      <c r="G64" s="902"/>
      <c r="H64" s="902"/>
      <c r="I64" s="902"/>
      <c r="J64" s="902"/>
      <c r="K64" s="902"/>
      <c r="L64" s="905"/>
      <c r="M64" s="905"/>
      <c r="N64" s="843"/>
      <c r="O64" s="905"/>
      <c r="P64" s="843"/>
      <c r="Q64" s="905"/>
      <c r="R64" s="904"/>
      <c r="S64" s="904"/>
      <c r="T64" s="904"/>
      <c r="U64" s="904"/>
      <c r="V64" s="904"/>
      <c r="W64" s="904"/>
      <c r="X64" s="904"/>
      <c r="Y64" s="904"/>
      <c r="Z64" s="843"/>
      <c r="AA64" s="843"/>
      <c r="AB64" s="843"/>
      <c r="AC64" s="843"/>
      <c r="AD64" s="843"/>
      <c r="AE64" s="843"/>
      <c r="AF64" s="843"/>
    </row>
    <row r="65" spans="2:36" s="906" customFormat="1" x14ac:dyDescent="0.2">
      <c r="B65" s="904"/>
      <c r="C65" s="902"/>
      <c r="D65" s="902"/>
      <c r="E65" s="902"/>
      <c r="F65" s="902"/>
      <c r="G65" s="902"/>
      <c r="H65" s="902"/>
      <c r="I65" s="902"/>
      <c r="J65" s="902"/>
      <c r="K65" s="902"/>
      <c r="L65" s="905"/>
      <c r="M65" s="905"/>
      <c r="N65" s="843"/>
      <c r="O65" s="905"/>
      <c r="P65" s="843"/>
      <c r="Q65" s="905"/>
      <c r="R65" s="904"/>
      <c r="S65" s="904"/>
      <c r="T65" s="904"/>
      <c r="U65" s="904"/>
      <c r="V65" s="904"/>
      <c r="W65" s="904"/>
      <c r="X65" s="904"/>
      <c r="Y65" s="904"/>
      <c r="Z65" s="843"/>
      <c r="AA65" s="843"/>
      <c r="AB65" s="843"/>
      <c r="AC65" s="843"/>
      <c r="AD65" s="843"/>
      <c r="AE65" s="843"/>
      <c r="AF65" s="843"/>
    </row>
    <row r="66" spans="2:36" s="906" customFormat="1" x14ac:dyDescent="0.2">
      <c r="B66" s="904"/>
      <c r="C66" s="902"/>
      <c r="D66" s="902"/>
      <c r="E66" s="902"/>
      <c r="F66" s="902"/>
      <c r="G66" s="902"/>
      <c r="H66" s="902"/>
      <c r="I66" s="902"/>
      <c r="J66" s="902"/>
      <c r="K66" s="902"/>
      <c r="L66" s="905"/>
      <c r="M66" s="905"/>
      <c r="N66" s="843"/>
      <c r="O66" s="905"/>
      <c r="P66" s="843"/>
      <c r="Q66" s="905"/>
      <c r="R66" s="904"/>
      <c r="S66" s="904"/>
      <c r="T66" s="904"/>
      <c r="U66" s="904"/>
      <c r="V66" s="904"/>
      <c r="W66" s="904"/>
      <c r="X66" s="904"/>
      <c r="Y66" s="904"/>
      <c r="Z66" s="843"/>
      <c r="AA66" s="843"/>
      <c r="AB66" s="843"/>
      <c r="AC66" s="843"/>
      <c r="AD66" s="843"/>
      <c r="AE66" s="843"/>
      <c r="AF66" s="843"/>
    </row>
    <row r="67" spans="2:36" s="906" customFormat="1" x14ac:dyDescent="0.2">
      <c r="B67" s="904"/>
      <c r="C67" s="902"/>
      <c r="D67" s="902"/>
      <c r="E67" s="902"/>
      <c r="F67" s="902"/>
      <c r="G67" s="902"/>
      <c r="H67" s="902"/>
      <c r="I67" s="902"/>
      <c r="J67" s="902"/>
      <c r="K67" s="902"/>
      <c r="L67" s="902"/>
      <c r="N67" s="905"/>
      <c r="O67" s="905"/>
      <c r="P67" s="843"/>
      <c r="Q67" s="905"/>
      <c r="R67" s="843"/>
      <c r="S67" s="905"/>
      <c r="T67" s="904"/>
      <c r="U67" s="904"/>
      <c r="V67" s="904"/>
      <c r="W67" s="904"/>
      <c r="X67" s="904"/>
      <c r="Y67" s="904"/>
      <c r="Z67" s="904"/>
      <c r="AA67" s="904"/>
      <c r="AB67" s="843"/>
      <c r="AC67" s="843"/>
      <c r="AD67" s="843"/>
      <c r="AE67" s="843"/>
      <c r="AF67" s="843"/>
      <c r="AG67" s="843"/>
    </row>
    <row r="68" spans="2:36" s="843" customFormat="1" ht="13.5" thickBot="1" x14ac:dyDescent="0.25">
      <c r="P68" s="860"/>
      <c r="Q68" s="860"/>
      <c r="T68" s="860"/>
      <c r="U68" s="860"/>
      <c r="V68" s="860"/>
      <c r="W68" s="860"/>
      <c r="X68" s="860"/>
      <c r="Y68" s="860"/>
      <c r="Z68" s="860"/>
      <c r="AA68" s="860"/>
      <c r="AB68" s="860"/>
      <c r="AC68" s="860"/>
      <c r="AD68" s="860"/>
      <c r="AE68" s="860"/>
      <c r="AF68" s="860"/>
      <c r="AG68" s="999" t="e">
        <f>'Junio - 2018'!AC101</f>
        <v>#REF!</v>
      </c>
    </row>
    <row r="69" spans="2:36" ht="15" customHeight="1" thickBot="1" x14ac:dyDescent="0.25">
      <c r="B69" s="907" t="s">
        <v>3</v>
      </c>
      <c r="C69" s="908">
        <f>SUMIF(Tarifas!E4:E303,'Febrero - 2019'!C71,Tarifas!D4:D303)</f>
        <v>67</v>
      </c>
      <c r="D69" s="909" t="s">
        <v>147</v>
      </c>
      <c r="E69" s="910"/>
      <c r="F69" s="910" t="s">
        <v>145</v>
      </c>
      <c r="G69" s="910" t="s">
        <v>287</v>
      </c>
      <c r="H69" s="910" t="s">
        <v>148</v>
      </c>
      <c r="I69" s="911"/>
      <c r="J69" s="2320" t="s">
        <v>120</v>
      </c>
      <c r="K69" s="2321"/>
      <c r="L69" s="2321"/>
      <c r="M69" s="2322"/>
      <c r="N69" s="2311" t="s">
        <v>270</v>
      </c>
      <c r="O69" s="2312"/>
      <c r="P69" s="2312"/>
      <c r="Q69" s="2313"/>
      <c r="R69" s="2309" t="s">
        <v>271</v>
      </c>
      <c r="S69" s="2310"/>
      <c r="T69" s="2310"/>
      <c r="U69" s="2310"/>
      <c r="V69" s="2310"/>
      <c r="W69" s="2310"/>
      <c r="X69" s="2310"/>
      <c r="Y69" s="2310"/>
      <c r="Z69" s="2332"/>
      <c r="AA69" s="2014" t="s">
        <v>121</v>
      </c>
      <c r="AB69" s="2015"/>
      <c r="AC69" s="2015"/>
      <c r="AD69" s="2015"/>
      <c r="AE69" s="2015"/>
      <c r="AF69" s="2015"/>
      <c r="AG69" s="2016"/>
      <c r="AH69" s="843"/>
      <c r="AI69" s="843"/>
      <c r="AJ69" s="843"/>
    </row>
    <row r="70" spans="2:36" ht="51.75" thickBot="1" x14ac:dyDescent="0.25">
      <c r="C70" s="914" t="s">
        <v>122</v>
      </c>
      <c r="D70" s="1016" t="s">
        <v>125</v>
      </c>
      <c r="E70" s="1017" t="s">
        <v>277</v>
      </c>
      <c r="F70" s="1017" t="s">
        <v>149</v>
      </c>
      <c r="G70" s="1017" t="s">
        <v>151</v>
      </c>
      <c r="H70" s="1017" t="s">
        <v>152</v>
      </c>
      <c r="I70" s="1018" t="s">
        <v>123</v>
      </c>
      <c r="J70" s="1027" t="s">
        <v>726</v>
      </c>
      <c r="K70" s="1028" t="s">
        <v>727</v>
      </c>
      <c r="L70" s="1028" t="s">
        <v>728</v>
      </c>
      <c r="M70" s="1028" t="s">
        <v>729</v>
      </c>
      <c r="N70" s="1665" t="s">
        <v>395</v>
      </c>
      <c r="O70" s="1666" t="s">
        <v>266</v>
      </c>
      <c r="P70" s="1666" t="s">
        <v>269</v>
      </c>
      <c r="Q70" s="1906" t="s">
        <v>267</v>
      </c>
      <c r="R70" s="1904" t="s">
        <v>395</v>
      </c>
      <c r="S70" s="2021" t="s">
        <v>272</v>
      </c>
      <c r="T70" s="1904" t="s">
        <v>22</v>
      </c>
      <c r="U70" s="1905" t="s">
        <v>272</v>
      </c>
      <c r="V70" s="978" t="s">
        <v>25</v>
      </c>
      <c r="W70" s="978" t="s">
        <v>26</v>
      </c>
      <c r="X70" s="979" t="s">
        <v>272</v>
      </c>
      <c r="Y70" s="980" t="s">
        <v>273</v>
      </c>
      <c r="Z70" s="977" t="s">
        <v>272</v>
      </c>
      <c r="AA70" s="1012" t="s">
        <v>207</v>
      </c>
      <c r="AB70" s="1013"/>
      <c r="AC70" s="1013" t="s">
        <v>112</v>
      </c>
      <c r="AD70" s="1014" t="s">
        <v>118</v>
      </c>
      <c r="AE70" s="1014" t="s">
        <v>119</v>
      </c>
      <c r="AF70" s="1014" t="s">
        <v>114</v>
      </c>
      <c r="AG70" s="1015" t="s">
        <v>113</v>
      </c>
      <c r="AH70" s="843"/>
      <c r="AI70" s="843"/>
      <c r="AJ70" s="843"/>
    </row>
    <row r="71" spans="2:36" x14ac:dyDescent="0.2">
      <c r="C71" s="918">
        <v>43497</v>
      </c>
      <c r="D71" s="919">
        <f>($E$22*$H$22)/$G$22</f>
        <v>169781.37999999998</v>
      </c>
      <c r="E71" s="2020">
        <f>($F$22*$I$22)/$G$22</f>
        <v>15966.196</v>
      </c>
      <c r="F71" s="921">
        <f t="shared" ref="F71:F98" si="6">O71+P71+Q71+N71</f>
        <v>207274.52758384633</v>
      </c>
      <c r="G71" s="921">
        <f>TRUNC(IFERROR(K$22/L$22,0),8)</f>
        <v>0.98609731</v>
      </c>
      <c r="H71" s="923">
        <f t="shared" ref="H71:H98" si="7">ROUND(J$22*G71*F71,4)</f>
        <v>204.3929</v>
      </c>
      <c r="I71" s="924">
        <f t="shared" ref="I71:I98" si="8">SUM(D71:H71)</f>
        <v>393227.48258115625</v>
      </c>
      <c r="J71" s="925">
        <v>19850.356000000076</v>
      </c>
      <c r="K71" s="926">
        <v>110085.00620000043</v>
      </c>
      <c r="L71" s="926">
        <v>71054.771650000272</v>
      </c>
      <c r="M71" s="984">
        <v>0</v>
      </c>
      <c r="N71" s="1874">
        <v>20145.95677737147</v>
      </c>
      <c r="O71" s="1668">
        <v>73754.59375</v>
      </c>
      <c r="P71" s="1668">
        <v>113373.97705647486</v>
      </c>
      <c r="Q71" s="1888">
        <v>0</v>
      </c>
      <c r="R71" s="1874">
        <v>18800</v>
      </c>
      <c r="S71" s="1889">
        <f>N71-R71</f>
        <v>1345.9567773714698</v>
      </c>
      <c r="T71" s="1668">
        <v>73754.593999999997</v>
      </c>
      <c r="U71" s="1889">
        <f t="shared" ref="U71:U98" si="9">O71-T71</f>
        <v>-2.499999973224476E-4</v>
      </c>
      <c r="V71" s="984">
        <v>75488.925000000003</v>
      </c>
      <c r="W71" s="984">
        <v>37885.082999999999</v>
      </c>
      <c r="X71" s="982">
        <f t="shared" ref="X71:X98" si="10">P71-(V71+W71)</f>
        <v>-3.0943525140173733E-2</v>
      </c>
      <c r="Y71" s="983">
        <v>0</v>
      </c>
      <c r="Z71" s="985">
        <f t="shared" ref="Z71:Z98" si="11">Q71-Y71</f>
        <v>0</v>
      </c>
      <c r="AA71" s="929"/>
      <c r="AB71" s="930"/>
      <c r="AC71" s="931">
        <f t="shared" ref="AC71:AC98" si="12">AA71+AB71-AD71</f>
        <v>-200990.13385000077</v>
      </c>
      <c r="AD71" s="931">
        <f t="shared" ref="AD71:AD98" si="13">J71+K71+L71</f>
        <v>200990.13385000077</v>
      </c>
      <c r="AE71" s="931">
        <f t="shared" ref="AE71:AE98" si="14">(X71+Y71+Z71)*1.055056</f>
        <v>-3.2647151860291136E-2</v>
      </c>
      <c r="AF71" s="931">
        <f t="shared" ref="AF71:AF98" si="15">AD71-AE71</f>
        <v>200990.16649715262</v>
      </c>
      <c r="AG71" s="932" t="e">
        <f>#REF!+AF71</f>
        <v>#REF!</v>
      </c>
      <c r="AH71" s="843"/>
      <c r="AI71" s="843"/>
      <c r="AJ71" s="843"/>
    </row>
    <row r="72" spans="2:36" x14ac:dyDescent="0.2">
      <c r="C72" s="933">
        <f t="shared" ref="C72:C98" si="16">C71+1</f>
        <v>43498</v>
      </c>
      <c r="D72" s="919">
        <f t="shared" ref="D72:D98" si="17">($E$22*$H$22)/$G$22</f>
        <v>169781.37999999998</v>
      </c>
      <c r="E72" s="2020">
        <f t="shared" ref="E72:E98" si="18">($F$22*$I$22)/$G$22</f>
        <v>15966.196</v>
      </c>
      <c r="F72" s="921">
        <f t="shared" si="6"/>
        <v>199479.89671972208</v>
      </c>
      <c r="G72" s="934">
        <f t="shared" ref="G72:G98" si="19">TRUNC(IFERROR(K$22/L$22,0),8)</f>
        <v>0.98609731</v>
      </c>
      <c r="H72" s="923">
        <f t="shared" si="7"/>
        <v>196.70660000000001</v>
      </c>
      <c r="I72" s="924">
        <f t="shared" si="8"/>
        <v>385425.16541703203</v>
      </c>
      <c r="J72" s="925">
        <v>18340.461900000071</v>
      </c>
      <c r="K72" s="926">
        <v>106591.13237000041</v>
      </c>
      <c r="L72" s="926">
        <v>71054.771650000272</v>
      </c>
      <c r="M72" s="984">
        <v>0</v>
      </c>
      <c r="N72" s="981">
        <v>16937.912840936457</v>
      </c>
      <c r="O72" s="937">
        <v>72404.9375</v>
      </c>
      <c r="P72" s="937">
        <v>110137.04637878561</v>
      </c>
      <c r="Q72" s="984">
        <v>0</v>
      </c>
      <c r="R72" s="986">
        <v>16924.852999999999</v>
      </c>
      <c r="S72" s="985">
        <f t="shared" ref="S72:S98" si="20">N72-R72</f>
        <v>13.059840936457476</v>
      </c>
      <c r="T72" s="937">
        <v>72404.937999999995</v>
      </c>
      <c r="U72" s="985">
        <f t="shared" si="9"/>
        <v>-4.999999946448952E-4</v>
      </c>
      <c r="V72" s="989">
        <v>72090.64</v>
      </c>
      <c r="W72" s="989">
        <v>38046.417999999998</v>
      </c>
      <c r="X72" s="982">
        <f t="shared" si="10"/>
        <v>-1.1621214376646094E-2</v>
      </c>
      <c r="Y72" s="988">
        <v>0</v>
      </c>
      <c r="Z72" s="990">
        <f t="shared" si="11"/>
        <v>0</v>
      </c>
      <c r="AA72" s="929"/>
      <c r="AB72" s="930"/>
      <c r="AC72" s="931">
        <f t="shared" si="12"/>
        <v>-195986.36592000077</v>
      </c>
      <c r="AD72" s="931">
        <f t="shared" si="13"/>
        <v>195986.36592000077</v>
      </c>
      <c r="AE72" s="931">
        <f t="shared" si="14"/>
        <v>-1.2261031955366722E-2</v>
      </c>
      <c r="AF72" s="931">
        <f t="shared" si="15"/>
        <v>195986.37818103272</v>
      </c>
      <c r="AG72" s="932" t="e">
        <f t="shared" ref="AG72:AG98" si="21">AG71+AF72</f>
        <v>#REF!</v>
      </c>
      <c r="AH72" s="843"/>
      <c r="AI72" s="843"/>
      <c r="AJ72" s="843"/>
    </row>
    <row r="73" spans="2:36" x14ac:dyDescent="0.2">
      <c r="C73" s="933">
        <f t="shared" si="16"/>
        <v>43499</v>
      </c>
      <c r="D73" s="919">
        <f t="shared" si="17"/>
        <v>169781.37999999998</v>
      </c>
      <c r="E73" s="2020">
        <f t="shared" si="18"/>
        <v>15966.196</v>
      </c>
      <c r="F73" s="921">
        <f t="shared" si="6"/>
        <v>202080.03094201899</v>
      </c>
      <c r="G73" s="934">
        <f t="shared" si="19"/>
        <v>0.98609731</v>
      </c>
      <c r="H73" s="923">
        <f t="shared" si="7"/>
        <v>199.2706</v>
      </c>
      <c r="I73" s="924">
        <f t="shared" si="8"/>
        <v>388027.86363932892</v>
      </c>
      <c r="J73" s="925">
        <v>17527.442000000068</v>
      </c>
      <c r="K73" s="926">
        <v>107404.15227000041</v>
      </c>
      <c r="L73" s="926">
        <v>71054.771650000272</v>
      </c>
      <c r="M73" s="984">
        <v>0</v>
      </c>
      <c r="N73" s="981">
        <v>18883.124739571311</v>
      </c>
      <c r="O73" s="928">
        <v>73815.8125</v>
      </c>
      <c r="P73" s="928">
        <v>109381.09370244769</v>
      </c>
      <c r="Q73" s="984">
        <v>0</v>
      </c>
      <c r="R73" s="981">
        <v>18868.564999999999</v>
      </c>
      <c r="S73" s="985">
        <f t="shared" si="20"/>
        <v>14.559739571312093</v>
      </c>
      <c r="T73" s="928">
        <v>73815.812999999995</v>
      </c>
      <c r="U73" s="985">
        <f t="shared" si="9"/>
        <v>-4.999999946448952E-4</v>
      </c>
      <c r="V73" s="989">
        <v>73993.960000000006</v>
      </c>
      <c r="W73" s="989">
        <v>35387.137999999999</v>
      </c>
      <c r="X73" s="982">
        <f t="shared" si="10"/>
        <v>-4.2975523101631552E-3</v>
      </c>
      <c r="Y73" s="988">
        <v>0</v>
      </c>
      <c r="Z73" s="990">
        <f t="shared" si="11"/>
        <v>0</v>
      </c>
      <c r="AA73" s="929"/>
      <c r="AB73" s="930"/>
      <c r="AC73" s="931">
        <f t="shared" si="12"/>
        <v>-195986.36592000077</v>
      </c>
      <c r="AD73" s="931">
        <f t="shared" si="13"/>
        <v>195986.36592000077</v>
      </c>
      <c r="AE73" s="931">
        <f t="shared" si="14"/>
        <v>-4.534158350151498E-3</v>
      </c>
      <c r="AF73" s="931">
        <f t="shared" si="15"/>
        <v>195986.37045415913</v>
      </c>
      <c r="AG73" s="932" t="e">
        <f t="shared" si="21"/>
        <v>#REF!</v>
      </c>
      <c r="AH73" s="843"/>
      <c r="AI73" s="843"/>
      <c r="AJ73" s="843"/>
    </row>
    <row r="74" spans="2:36" x14ac:dyDescent="0.2">
      <c r="C74" s="933">
        <f t="shared" si="16"/>
        <v>43500</v>
      </c>
      <c r="D74" s="919">
        <f t="shared" si="17"/>
        <v>169781.37999999998</v>
      </c>
      <c r="E74" s="2020">
        <f t="shared" si="18"/>
        <v>15966.196</v>
      </c>
      <c r="F74" s="921">
        <f t="shared" si="6"/>
        <v>206931.38776235475</v>
      </c>
      <c r="G74" s="934">
        <f t="shared" si="19"/>
        <v>0.98609731</v>
      </c>
      <c r="H74" s="923">
        <f t="shared" si="7"/>
        <v>204.05449999999999</v>
      </c>
      <c r="I74" s="924">
        <f t="shared" si="8"/>
        <v>392884.00435966469</v>
      </c>
      <c r="J74" s="925">
        <v>18266.551000000069</v>
      </c>
      <c r="K74" s="926">
        <v>145815.64700000055</v>
      </c>
      <c r="L74" s="926">
        <v>71054.771650000272</v>
      </c>
      <c r="M74" s="984">
        <v>0</v>
      </c>
      <c r="N74" s="981">
        <v>19815.084332044462</v>
      </c>
      <c r="O74" s="937">
        <v>74178.367188000004</v>
      </c>
      <c r="P74" s="937">
        <v>112937.93624231026</v>
      </c>
      <c r="Q74" s="984">
        <v>0</v>
      </c>
      <c r="R74" s="986">
        <v>19799.806</v>
      </c>
      <c r="S74" s="985">
        <f t="shared" si="20"/>
        <v>15.278332044461422</v>
      </c>
      <c r="T74" s="937">
        <v>74178.366999999998</v>
      </c>
      <c r="U74" s="985">
        <f t="shared" si="9"/>
        <v>1.8800000543706119E-4</v>
      </c>
      <c r="V74" s="989">
        <v>75519.544999999998</v>
      </c>
      <c r="W74" s="989">
        <v>37418.366000000002</v>
      </c>
      <c r="X74" s="982">
        <f t="shared" si="10"/>
        <v>2.5242310264729895E-2</v>
      </c>
      <c r="Y74" s="988">
        <v>0</v>
      </c>
      <c r="Z74" s="990">
        <f t="shared" si="11"/>
        <v>0</v>
      </c>
      <c r="AA74" s="929"/>
      <c r="AB74" s="930"/>
      <c r="AC74" s="931">
        <f t="shared" si="12"/>
        <v>-235136.96965000089</v>
      </c>
      <c r="AD74" s="931">
        <f t="shared" si="13"/>
        <v>235136.96965000089</v>
      </c>
      <c r="AE74" s="931">
        <f t="shared" si="14"/>
        <v>2.6632050898664862E-2</v>
      </c>
      <c r="AF74" s="931">
        <f t="shared" si="15"/>
        <v>235136.94301794999</v>
      </c>
      <c r="AG74" s="932" t="e">
        <f t="shared" si="21"/>
        <v>#REF!</v>
      </c>
      <c r="AH74" s="843"/>
      <c r="AI74" s="843"/>
      <c r="AJ74" s="843"/>
    </row>
    <row r="75" spans="2:36" x14ac:dyDescent="0.2">
      <c r="C75" s="933">
        <f t="shared" si="16"/>
        <v>43501</v>
      </c>
      <c r="D75" s="919">
        <f t="shared" si="17"/>
        <v>169781.37999999998</v>
      </c>
      <c r="E75" s="2020">
        <f t="shared" si="18"/>
        <v>15966.196</v>
      </c>
      <c r="F75" s="921">
        <f t="shared" si="6"/>
        <v>207162.61830921183</v>
      </c>
      <c r="G75" s="934">
        <f t="shared" si="19"/>
        <v>0.98609731</v>
      </c>
      <c r="H75" s="923">
        <f t="shared" si="7"/>
        <v>204.2825</v>
      </c>
      <c r="I75" s="924">
        <f t="shared" si="8"/>
        <v>393115.46290652175</v>
      </c>
      <c r="J75" s="925">
        <v>18741.692500000074</v>
      </c>
      <c r="K75" s="926">
        <v>102686.5251100004</v>
      </c>
      <c r="L75" s="926">
        <v>71054.771650000272</v>
      </c>
      <c r="M75" s="984">
        <v>0</v>
      </c>
      <c r="N75" s="981">
        <v>20871.00075913822</v>
      </c>
      <c r="O75" s="928">
        <v>72390.304688000004</v>
      </c>
      <c r="P75" s="928">
        <v>113901.31286207358</v>
      </c>
      <c r="Q75" s="984">
        <v>0</v>
      </c>
      <c r="R75" s="981">
        <v>20854.907999999999</v>
      </c>
      <c r="S75" s="985">
        <f t="shared" si="20"/>
        <v>16.092759138220572</v>
      </c>
      <c r="T75" s="928">
        <v>72390.3</v>
      </c>
      <c r="U75" s="985">
        <f t="shared" si="9"/>
        <v>4.6880000008968636E-3</v>
      </c>
      <c r="V75" s="989">
        <v>76034.375</v>
      </c>
      <c r="W75" s="989">
        <v>37866.908000000003</v>
      </c>
      <c r="X75" s="982">
        <f t="shared" si="10"/>
        <v>2.9862073584808968E-2</v>
      </c>
      <c r="Y75" s="988">
        <v>0</v>
      </c>
      <c r="Z75" s="990">
        <f t="shared" si="11"/>
        <v>0</v>
      </c>
      <c r="AA75" s="929"/>
      <c r="AB75" s="930"/>
      <c r="AC75" s="931">
        <f t="shared" si="12"/>
        <v>-192482.98926000076</v>
      </c>
      <c r="AD75" s="931">
        <f t="shared" si="13"/>
        <v>192482.98926000076</v>
      </c>
      <c r="AE75" s="931">
        <f t="shared" si="14"/>
        <v>3.150615990809421E-2</v>
      </c>
      <c r="AF75" s="931">
        <f t="shared" si="15"/>
        <v>192482.95775384086</v>
      </c>
      <c r="AG75" s="932" t="e">
        <f t="shared" si="21"/>
        <v>#REF!</v>
      </c>
      <c r="AH75" s="843"/>
      <c r="AI75" s="843"/>
      <c r="AJ75" s="843"/>
    </row>
    <row r="76" spans="2:36" x14ac:dyDescent="0.2">
      <c r="C76" s="933">
        <f t="shared" si="16"/>
        <v>43502</v>
      </c>
      <c r="D76" s="919">
        <f t="shared" si="17"/>
        <v>169781.37999999998</v>
      </c>
      <c r="E76" s="2020">
        <f t="shared" si="18"/>
        <v>15966.196</v>
      </c>
      <c r="F76" s="921">
        <f t="shared" si="6"/>
        <v>184853.82830136613</v>
      </c>
      <c r="G76" s="934">
        <f t="shared" si="19"/>
        <v>0.98609731</v>
      </c>
      <c r="H76" s="923">
        <f t="shared" si="7"/>
        <v>182.28389999999999</v>
      </c>
      <c r="I76" s="924">
        <f t="shared" si="8"/>
        <v>370784.67429867602</v>
      </c>
      <c r="J76" s="925">
        <v>19850.356000000076</v>
      </c>
      <c r="K76" s="926">
        <v>110085.00620000043</v>
      </c>
      <c r="L76" s="926">
        <v>71054.771650000272</v>
      </c>
      <c r="M76" s="984">
        <v>0</v>
      </c>
      <c r="N76" s="981">
        <v>20926.884467621683</v>
      </c>
      <c r="O76" s="937">
        <v>72409.101563000004</v>
      </c>
      <c r="P76" s="937">
        <v>91517.842270744455</v>
      </c>
      <c r="Q76" s="984">
        <v>0</v>
      </c>
      <c r="R76" s="986">
        <v>20910.748</v>
      </c>
      <c r="S76" s="985">
        <f t="shared" si="20"/>
        <v>16.136467621683551</v>
      </c>
      <c r="T76" s="937">
        <v>72409.100000000006</v>
      </c>
      <c r="U76" s="985">
        <f t="shared" si="9"/>
        <v>1.5629999979864806E-3</v>
      </c>
      <c r="V76" s="989">
        <v>56292.031000000003</v>
      </c>
      <c r="W76" s="989">
        <v>35225.826000000001</v>
      </c>
      <c r="X76" s="982">
        <f t="shared" si="10"/>
        <v>-1.4729255548445508E-2</v>
      </c>
      <c r="Y76" s="988">
        <v>0</v>
      </c>
      <c r="Z76" s="990">
        <f t="shared" si="11"/>
        <v>0</v>
      </c>
      <c r="AA76" s="929"/>
      <c r="AB76" s="930"/>
      <c r="AC76" s="931">
        <f t="shared" si="12"/>
        <v>-200990.13385000077</v>
      </c>
      <c r="AD76" s="931">
        <f t="shared" si="13"/>
        <v>200990.13385000077</v>
      </c>
      <c r="AE76" s="931">
        <f t="shared" si="14"/>
        <v>-1.5540189441920723E-2</v>
      </c>
      <c r="AF76" s="931">
        <f t="shared" si="15"/>
        <v>200990.1493901902</v>
      </c>
      <c r="AG76" s="932" t="e">
        <f t="shared" si="21"/>
        <v>#REF!</v>
      </c>
      <c r="AH76" s="843"/>
      <c r="AI76" s="843"/>
      <c r="AJ76" s="843"/>
    </row>
    <row r="77" spans="2:36" x14ac:dyDescent="0.2">
      <c r="C77" s="933">
        <f t="shared" si="16"/>
        <v>43503</v>
      </c>
      <c r="D77" s="919">
        <f t="shared" si="17"/>
        <v>169781.37999999998</v>
      </c>
      <c r="E77" s="2020">
        <f t="shared" si="18"/>
        <v>15966.196</v>
      </c>
      <c r="F77" s="921">
        <f t="shared" si="6"/>
        <v>207745.52317232007</v>
      </c>
      <c r="G77" s="934">
        <f t="shared" si="19"/>
        <v>0.98609731</v>
      </c>
      <c r="H77" s="923">
        <f t="shared" si="7"/>
        <v>204.85730000000001</v>
      </c>
      <c r="I77" s="924">
        <f t="shared" si="8"/>
        <v>393698.94256962999</v>
      </c>
      <c r="J77" s="925">
        <v>20272.704000000078</v>
      </c>
      <c r="K77" s="926">
        <v>111977.12524000043</v>
      </c>
      <c r="L77" s="926">
        <v>71054.771650000272</v>
      </c>
      <c r="M77" s="984">
        <v>0</v>
      </c>
      <c r="N77" s="981">
        <v>21740.93639880453</v>
      </c>
      <c r="O77" s="928">
        <v>72001.476563000004</v>
      </c>
      <c r="P77" s="928">
        <v>114003.11021051553</v>
      </c>
      <c r="Q77" s="984">
        <v>0</v>
      </c>
      <c r="R77" s="981">
        <v>21724.172999999999</v>
      </c>
      <c r="S77" s="985">
        <f t="shared" si="20"/>
        <v>16.76339880453088</v>
      </c>
      <c r="T77" s="928">
        <v>72001.5</v>
      </c>
      <c r="U77" s="985">
        <f t="shared" si="9"/>
        <v>-2.3436999996192753E-2</v>
      </c>
      <c r="V77" s="989">
        <v>76254.315000000002</v>
      </c>
      <c r="W77" s="989">
        <v>37748.771999999997</v>
      </c>
      <c r="X77" s="982">
        <f t="shared" si="10"/>
        <v>2.3210515530081466E-2</v>
      </c>
      <c r="Y77" s="988">
        <v>0</v>
      </c>
      <c r="Z77" s="990">
        <f t="shared" si="11"/>
        <v>0</v>
      </c>
      <c r="AA77" s="929"/>
      <c r="AB77" s="930"/>
      <c r="AC77" s="931">
        <f t="shared" si="12"/>
        <v>-203304.60089000079</v>
      </c>
      <c r="AD77" s="931">
        <f t="shared" si="13"/>
        <v>203304.60089000079</v>
      </c>
      <c r="AE77" s="931">
        <f t="shared" si="14"/>
        <v>2.4488393673105631E-2</v>
      </c>
      <c r="AF77" s="931">
        <f t="shared" si="15"/>
        <v>203304.5764016071</v>
      </c>
      <c r="AG77" s="932" t="e">
        <f t="shared" si="21"/>
        <v>#REF!</v>
      </c>
      <c r="AH77" s="843"/>
      <c r="AI77" s="843"/>
      <c r="AJ77" s="843"/>
    </row>
    <row r="78" spans="2:36" x14ac:dyDescent="0.2">
      <c r="C78" s="933">
        <f t="shared" si="16"/>
        <v>43504</v>
      </c>
      <c r="D78" s="919">
        <f t="shared" si="17"/>
        <v>169781.37999999998</v>
      </c>
      <c r="E78" s="2020">
        <f t="shared" si="18"/>
        <v>15966.196</v>
      </c>
      <c r="F78" s="921">
        <f t="shared" si="6"/>
        <v>200360.18602374167</v>
      </c>
      <c r="G78" s="934">
        <f t="shared" si="19"/>
        <v>0.98609731</v>
      </c>
      <c r="H78" s="923">
        <f t="shared" si="7"/>
        <v>197.5746</v>
      </c>
      <c r="I78" s="924">
        <f t="shared" si="8"/>
        <v>386306.32272105158</v>
      </c>
      <c r="J78" s="925">
        <v>22490.031000000086</v>
      </c>
      <c r="K78" s="926">
        <v>106422.19317000041</v>
      </c>
      <c r="L78" s="926">
        <v>71054.771650000272</v>
      </c>
      <c r="M78" s="984">
        <v>0</v>
      </c>
      <c r="N78" s="981">
        <v>22074.437630695698</v>
      </c>
      <c r="O78" s="937">
        <v>71655.429000000004</v>
      </c>
      <c r="P78" s="937">
        <v>106630.31939304598</v>
      </c>
      <c r="Q78" s="984">
        <v>0</v>
      </c>
      <c r="R78" s="986">
        <v>22057.417000000001</v>
      </c>
      <c r="S78" s="985">
        <f t="shared" si="20"/>
        <v>17.020630695697037</v>
      </c>
      <c r="T78" s="937">
        <v>71655.399999999994</v>
      </c>
      <c r="U78" s="985">
        <f t="shared" si="9"/>
        <v>2.9000000009546056E-2</v>
      </c>
      <c r="V78" s="989">
        <v>0</v>
      </c>
      <c r="W78" s="989">
        <v>37399.955999999998</v>
      </c>
      <c r="X78" s="982">
        <f t="shared" si="10"/>
        <v>69230.363393045991</v>
      </c>
      <c r="Y78" s="988">
        <v>0</v>
      </c>
      <c r="Z78" s="990">
        <f t="shared" si="11"/>
        <v>0</v>
      </c>
      <c r="AA78" s="929"/>
      <c r="AB78" s="930"/>
      <c r="AC78" s="931">
        <f t="shared" si="12"/>
        <v>-199966.99582000077</v>
      </c>
      <c r="AD78" s="931">
        <f t="shared" si="13"/>
        <v>199966.99582000077</v>
      </c>
      <c r="AE78" s="931">
        <f t="shared" si="14"/>
        <v>73041.91028001353</v>
      </c>
      <c r="AF78" s="931">
        <f t="shared" si="15"/>
        <v>126925.08553998724</v>
      </c>
      <c r="AG78" s="932" t="e">
        <f t="shared" si="21"/>
        <v>#REF!</v>
      </c>
    </row>
    <row r="79" spans="2:36" x14ac:dyDescent="0.2">
      <c r="C79" s="933">
        <f t="shared" si="16"/>
        <v>43505</v>
      </c>
      <c r="D79" s="919">
        <f t="shared" si="17"/>
        <v>169781.37999999998</v>
      </c>
      <c r="E79" s="2020">
        <f t="shared" si="18"/>
        <v>15966.196</v>
      </c>
      <c r="F79" s="921">
        <f t="shared" si="6"/>
        <v>197037.38890184823</v>
      </c>
      <c r="G79" s="934">
        <f t="shared" si="19"/>
        <v>0.98609731</v>
      </c>
      <c r="H79" s="923">
        <f t="shared" si="7"/>
        <v>194.298</v>
      </c>
      <c r="I79" s="924">
        <f t="shared" si="8"/>
        <v>382980.24899915821</v>
      </c>
      <c r="J79" s="925">
        <v>16859.076290000066</v>
      </c>
      <c r="K79" s="926">
        <v>95405.24559000037</v>
      </c>
      <c r="L79" s="926">
        <v>71054.771650000272</v>
      </c>
      <c r="M79" s="984">
        <v>0</v>
      </c>
      <c r="N79" s="981">
        <v>16593.961296980895</v>
      </c>
      <c r="O79" s="928">
        <v>71855.03125</v>
      </c>
      <c r="P79" s="928">
        <v>108588.39635486731</v>
      </c>
      <c r="Q79" s="984">
        <v>0</v>
      </c>
      <c r="R79" s="981">
        <v>16581.166000000001</v>
      </c>
      <c r="S79" s="985">
        <f t="shared" si="20"/>
        <v>12.795296980893909</v>
      </c>
      <c r="T79" s="928">
        <v>71855</v>
      </c>
      <c r="U79" s="985">
        <f t="shared" si="9"/>
        <v>3.125E-2</v>
      </c>
      <c r="V79" s="989">
        <v>0</v>
      </c>
      <c r="W79" s="989">
        <v>36804.476000000002</v>
      </c>
      <c r="X79" s="982">
        <f t="shared" si="10"/>
        <v>71783.920354867296</v>
      </c>
      <c r="Y79" s="988">
        <v>0</v>
      </c>
      <c r="Z79" s="990">
        <f t="shared" si="11"/>
        <v>0</v>
      </c>
      <c r="AA79" s="929"/>
      <c r="AB79" s="930"/>
      <c r="AC79" s="931">
        <f t="shared" si="12"/>
        <v>-183319.09353000071</v>
      </c>
      <c r="AD79" s="931">
        <f t="shared" si="13"/>
        <v>183319.09353000071</v>
      </c>
      <c r="AE79" s="931">
        <f t="shared" si="14"/>
        <v>75736.055873924866</v>
      </c>
      <c r="AF79" s="931">
        <f t="shared" si="15"/>
        <v>107583.03765607585</v>
      </c>
      <c r="AG79" s="932" t="e">
        <f t="shared" si="21"/>
        <v>#REF!</v>
      </c>
    </row>
    <row r="80" spans="2:36" x14ac:dyDescent="0.2">
      <c r="C80" s="933">
        <f t="shared" si="16"/>
        <v>43506</v>
      </c>
      <c r="D80" s="919">
        <f t="shared" si="17"/>
        <v>169781.37999999998</v>
      </c>
      <c r="E80" s="2020">
        <f t="shared" si="18"/>
        <v>15966.196</v>
      </c>
      <c r="F80" s="921">
        <f t="shared" si="6"/>
        <v>185099.96846071727</v>
      </c>
      <c r="G80" s="934">
        <f t="shared" si="19"/>
        <v>0.98609731</v>
      </c>
      <c r="H80" s="923">
        <f t="shared" si="7"/>
        <v>182.5266</v>
      </c>
      <c r="I80" s="924">
        <f t="shared" si="8"/>
        <v>371031.05715802719</v>
      </c>
      <c r="J80" s="925">
        <v>20378.291000000077</v>
      </c>
      <c r="K80" s="926">
        <v>100877.81980000039</v>
      </c>
      <c r="L80" s="926">
        <v>71054.771650000272</v>
      </c>
      <c r="M80" s="984">
        <v>0</v>
      </c>
      <c r="N80" s="981">
        <v>19036.431536975266</v>
      </c>
      <c r="O80" s="937">
        <v>65954.015625</v>
      </c>
      <c r="P80" s="937">
        <v>100109.52129874201</v>
      </c>
      <c r="Q80" s="984">
        <v>0</v>
      </c>
      <c r="R80" s="986">
        <v>19021.753000000001</v>
      </c>
      <c r="S80" s="985">
        <f t="shared" si="20"/>
        <v>14.67853697526516</v>
      </c>
      <c r="T80" s="937">
        <v>65954.016000000003</v>
      </c>
      <c r="U80" s="985">
        <f t="shared" si="9"/>
        <v>-3.7500000325962901E-4</v>
      </c>
      <c r="V80" s="989">
        <v>64803.286</v>
      </c>
      <c r="W80" s="989">
        <v>35306.233</v>
      </c>
      <c r="X80" s="982">
        <f t="shared" si="10"/>
        <v>2.2987420088611543E-3</v>
      </c>
      <c r="Y80" s="988">
        <v>0</v>
      </c>
      <c r="Z80" s="990">
        <f t="shared" si="11"/>
        <v>0</v>
      </c>
      <c r="AA80" s="929"/>
      <c r="AB80" s="930"/>
      <c r="AC80" s="931">
        <f t="shared" si="12"/>
        <v>-192310.88245000073</v>
      </c>
      <c r="AD80" s="931">
        <f t="shared" si="13"/>
        <v>192310.88245000073</v>
      </c>
      <c r="AE80" s="931">
        <f t="shared" si="14"/>
        <v>2.425301548901014E-3</v>
      </c>
      <c r="AF80" s="931">
        <f t="shared" si="15"/>
        <v>192310.88002469917</v>
      </c>
      <c r="AG80" s="932" t="e">
        <f t="shared" si="21"/>
        <v>#REF!</v>
      </c>
    </row>
    <row r="81" spans="3:36" x14ac:dyDescent="0.2">
      <c r="C81" s="933">
        <f t="shared" si="16"/>
        <v>43507</v>
      </c>
      <c r="D81" s="919">
        <f t="shared" si="17"/>
        <v>169781.37999999998</v>
      </c>
      <c r="E81" s="2020">
        <f t="shared" si="18"/>
        <v>15966.196</v>
      </c>
      <c r="F81" s="921">
        <f t="shared" si="6"/>
        <v>190233.1365639001</v>
      </c>
      <c r="G81" s="934">
        <f t="shared" si="19"/>
        <v>0.98609731</v>
      </c>
      <c r="H81" s="923">
        <f t="shared" si="7"/>
        <v>187.58840000000001</v>
      </c>
      <c r="I81" s="924">
        <f t="shared" si="8"/>
        <v>376169.28706121002</v>
      </c>
      <c r="J81" s="925">
        <v>20255.810080000079</v>
      </c>
      <c r="K81" s="926">
        <v>106081.14716000042</v>
      </c>
      <c r="L81" s="926">
        <v>71054.771650000272</v>
      </c>
      <c r="M81" s="984">
        <v>0</v>
      </c>
      <c r="N81" s="981">
        <v>16119.964227143231</v>
      </c>
      <c r="O81" s="928">
        <v>71364.171875</v>
      </c>
      <c r="P81" s="928">
        <v>102749.00046175686</v>
      </c>
      <c r="Q81" s="984">
        <v>0</v>
      </c>
      <c r="R81" s="981">
        <v>16107.535</v>
      </c>
      <c r="S81" s="985">
        <f t="shared" si="20"/>
        <v>12.429227143231401</v>
      </c>
      <c r="T81" s="928">
        <v>71364.172000000006</v>
      </c>
      <c r="U81" s="985">
        <f t="shared" si="9"/>
        <v>-1.2500000593718141E-4</v>
      </c>
      <c r="V81" s="989">
        <v>66379.721000000005</v>
      </c>
      <c r="W81" s="989">
        <v>0</v>
      </c>
      <c r="X81" s="982">
        <f t="shared" si="10"/>
        <v>36369.279461756858</v>
      </c>
      <c r="Y81" s="988">
        <v>0</v>
      </c>
      <c r="Z81" s="990">
        <f t="shared" si="11"/>
        <v>0</v>
      </c>
      <c r="AA81" s="929"/>
      <c r="AB81" s="930"/>
      <c r="AC81" s="931">
        <f t="shared" si="12"/>
        <v>-197391.72889000078</v>
      </c>
      <c r="AD81" s="931">
        <f t="shared" si="13"/>
        <v>197391.72889000078</v>
      </c>
      <c r="AE81" s="931">
        <f t="shared" si="14"/>
        <v>38371.626511803341</v>
      </c>
      <c r="AF81" s="931">
        <f t="shared" si="15"/>
        <v>159020.10237819745</v>
      </c>
      <c r="AG81" s="932" t="e">
        <f t="shared" si="21"/>
        <v>#REF!</v>
      </c>
    </row>
    <row r="82" spans="3:36" x14ac:dyDescent="0.2">
      <c r="C82" s="933">
        <f t="shared" si="16"/>
        <v>43508</v>
      </c>
      <c r="D82" s="919">
        <f t="shared" si="17"/>
        <v>169781.37999999998</v>
      </c>
      <c r="E82" s="2020">
        <f t="shared" si="18"/>
        <v>15966.196</v>
      </c>
      <c r="F82" s="921">
        <f t="shared" si="6"/>
        <v>203204.399026131</v>
      </c>
      <c r="G82" s="934">
        <f t="shared" si="19"/>
        <v>0.98609731</v>
      </c>
      <c r="H82" s="923">
        <f t="shared" si="7"/>
        <v>200.3793</v>
      </c>
      <c r="I82" s="924">
        <f t="shared" si="8"/>
        <v>389153.34042344091</v>
      </c>
      <c r="J82" s="925">
        <v>20695.05200000008</v>
      </c>
      <c r="K82" s="926">
        <v>113086.84461000044</v>
      </c>
      <c r="L82" s="926">
        <v>71054.771650000272</v>
      </c>
      <c r="M82" s="984">
        <v>0</v>
      </c>
      <c r="N82" s="981">
        <v>19480.390368799821</v>
      </c>
      <c r="O82" s="937">
        <v>71145.476563000004</v>
      </c>
      <c r="P82" s="937">
        <v>112578.53209433117</v>
      </c>
      <c r="Q82" s="984">
        <v>0</v>
      </c>
      <c r="R82" s="986">
        <v>19465.37</v>
      </c>
      <c r="S82" s="985">
        <f t="shared" si="20"/>
        <v>15.020368799821881</v>
      </c>
      <c r="T82" s="937">
        <v>71145.475999999995</v>
      </c>
      <c r="U82" s="985">
        <f t="shared" si="9"/>
        <v>5.630000086966902E-4</v>
      </c>
      <c r="V82" s="989">
        <v>71850.784</v>
      </c>
      <c r="W82" s="989">
        <v>40727.75</v>
      </c>
      <c r="X82" s="982">
        <f t="shared" si="10"/>
        <v>-1.9056688324781135E-3</v>
      </c>
      <c r="Y82" s="988">
        <v>0</v>
      </c>
      <c r="Z82" s="990">
        <f t="shared" si="11"/>
        <v>0</v>
      </c>
      <c r="AA82" s="929"/>
      <c r="AB82" s="930"/>
      <c r="AC82" s="931">
        <f t="shared" si="12"/>
        <v>-204836.66826000079</v>
      </c>
      <c r="AD82" s="931">
        <f t="shared" si="13"/>
        <v>204836.66826000079</v>
      </c>
      <c r="AE82" s="931">
        <f t="shared" si="14"/>
        <v>-2.0105873357190284E-3</v>
      </c>
      <c r="AF82" s="931">
        <f t="shared" si="15"/>
        <v>204836.67027058813</v>
      </c>
      <c r="AG82" s="932" t="e">
        <f t="shared" si="21"/>
        <v>#REF!</v>
      </c>
    </row>
    <row r="83" spans="3:36" x14ac:dyDescent="0.2">
      <c r="C83" s="933">
        <f t="shared" si="16"/>
        <v>43509</v>
      </c>
      <c r="D83" s="919">
        <f t="shared" si="17"/>
        <v>169781.37999999998</v>
      </c>
      <c r="E83" s="2020">
        <f t="shared" si="18"/>
        <v>15966.196</v>
      </c>
      <c r="F83" s="921">
        <f t="shared" si="6"/>
        <v>203261.94485155185</v>
      </c>
      <c r="G83" s="934">
        <f t="shared" si="19"/>
        <v>0.98609731</v>
      </c>
      <c r="H83" s="923">
        <f t="shared" si="7"/>
        <v>200.43610000000001</v>
      </c>
      <c r="I83" s="924">
        <f t="shared" si="8"/>
        <v>389210.94304886175</v>
      </c>
      <c r="J83" s="925">
        <v>18160.964000000069</v>
      </c>
      <c r="K83" s="926">
        <v>112085.87985000043</v>
      </c>
      <c r="L83" s="926">
        <v>71054.771650000272</v>
      </c>
      <c r="M83" s="984">
        <v>0</v>
      </c>
      <c r="N83" s="981">
        <v>18447.06312712888</v>
      </c>
      <c r="O83" s="928">
        <v>71135.992188000004</v>
      </c>
      <c r="P83" s="928">
        <v>113678.88953642298</v>
      </c>
      <c r="Q83" s="984">
        <v>0</v>
      </c>
      <c r="R83" s="981">
        <v>18432.839</v>
      </c>
      <c r="S83" s="985">
        <f t="shared" si="20"/>
        <v>14.224127128880355</v>
      </c>
      <c r="T83" s="928">
        <v>71135.991999999998</v>
      </c>
      <c r="U83" s="985">
        <f t="shared" si="9"/>
        <v>1.8800000543706119E-4</v>
      </c>
      <c r="V83" s="989">
        <v>75624.146999999997</v>
      </c>
      <c r="W83" s="989">
        <v>38054.764999999999</v>
      </c>
      <c r="X83" s="982">
        <f t="shared" si="10"/>
        <v>-2.2463577013695613E-2</v>
      </c>
      <c r="Y83" s="988">
        <v>0</v>
      </c>
      <c r="Z83" s="990">
        <f t="shared" si="11"/>
        <v>0</v>
      </c>
      <c r="AA83" s="929"/>
      <c r="AB83" s="930"/>
      <c r="AC83" s="931">
        <f t="shared" si="12"/>
        <v>-201301.61550000077</v>
      </c>
      <c r="AD83" s="931">
        <f t="shared" si="13"/>
        <v>201301.61550000077</v>
      </c>
      <c r="AE83" s="931">
        <f t="shared" si="14"/>
        <v>-2.3700331709761636E-2</v>
      </c>
      <c r="AF83" s="931">
        <f t="shared" si="15"/>
        <v>201301.63920033249</v>
      </c>
      <c r="AG83" s="932" t="e">
        <f t="shared" si="21"/>
        <v>#REF!</v>
      </c>
    </row>
    <row r="84" spans="3:36" x14ac:dyDescent="0.2">
      <c r="C84" s="933">
        <f t="shared" si="16"/>
        <v>43510</v>
      </c>
      <c r="D84" s="919">
        <f t="shared" si="17"/>
        <v>169781.37999999998</v>
      </c>
      <c r="E84" s="2020">
        <f t="shared" si="18"/>
        <v>15966.196</v>
      </c>
      <c r="F84" s="921">
        <f t="shared" si="6"/>
        <v>206389.94097980525</v>
      </c>
      <c r="G84" s="934">
        <f t="shared" si="19"/>
        <v>0.98609731</v>
      </c>
      <c r="H84" s="923">
        <f t="shared" si="7"/>
        <v>203.5206</v>
      </c>
      <c r="I84" s="924">
        <f t="shared" si="8"/>
        <v>392342.02367711515</v>
      </c>
      <c r="J84" s="925">
        <v>17527.442000000068</v>
      </c>
      <c r="K84" s="926">
        <v>113086.84461000044</v>
      </c>
      <c r="L84" s="926">
        <v>71054.771650000272</v>
      </c>
      <c r="M84" s="984">
        <v>0</v>
      </c>
      <c r="N84" s="981">
        <v>20985.185618309137</v>
      </c>
      <c r="O84" s="937">
        <v>71699.75</v>
      </c>
      <c r="P84" s="937">
        <v>113705.00536149612</v>
      </c>
      <c r="Q84" s="984">
        <v>0</v>
      </c>
      <c r="R84" s="986">
        <v>20969.005000000001</v>
      </c>
      <c r="S84" s="985">
        <f t="shared" si="20"/>
        <v>16.180618309135752</v>
      </c>
      <c r="T84" s="937">
        <v>71699.75</v>
      </c>
      <c r="U84" s="985">
        <f t="shared" si="9"/>
        <v>0</v>
      </c>
      <c r="V84" s="989">
        <v>75626.872000000003</v>
      </c>
      <c r="W84" s="989">
        <v>38078.127</v>
      </c>
      <c r="X84" s="982">
        <f t="shared" si="10"/>
        <v>6.3614961109124124E-3</v>
      </c>
      <c r="Y84" s="988">
        <v>0</v>
      </c>
      <c r="Z84" s="990">
        <f t="shared" si="11"/>
        <v>0</v>
      </c>
      <c r="AA84" s="929"/>
      <c r="AB84" s="930"/>
      <c r="AC84" s="931">
        <f t="shared" si="12"/>
        <v>-201669.05826000078</v>
      </c>
      <c r="AD84" s="931">
        <f t="shared" si="13"/>
        <v>201669.05826000078</v>
      </c>
      <c r="AE84" s="931">
        <f t="shared" si="14"/>
        <v>6.7117346407948066E-3</v>
      </c>
      <c r="AF84" s="931">
        <f t="shared" si="15"/>
        <v>201669.05154826614</v>
      </c>
      <c r="AG84" s="932" t="e">
        <f t="shared" si="21"/>
        <v>#REF!</v>
      </c>
    </row>
    <row r="85" spans="3:36" x14ac:dyDescent="0.2">
      <c r="C85" s="933">
        <f t="shared" si="16"/>
        <v>43511</v>
      </c>
      <c r="D85" s="919">
        <f t="shared" si="17"/>
        <v>169781.37999999998</v>
      </c>
      <c r="E85" s="2020">
        <f t="shared" si="18"/>
        <v>15966.196</v>
      </c>
      <c r="F85" s="921">
        <f t="shared" si="6"/>
        <v>205365.34401821098</v>
      </c>
      <c r="G85" s="934">
        <f t="shared" si="19"/>
        <v>0.98609731</v>
      </c>
      <c r="H85" s="923">
        <f t="shared" si="7"/>
        <v>202.5102</v>
      </c>
      <c r="I85" s="924">
        <f t="shared" si="8"/>
        <v>391316.41631552094</v>
      </c>
      <c r="J85" s="925">
        <v>18688.89900000007</v>
      </c>
      <c r="K85" s="926">
        <v>102078.34399000039</v>
      </c>
      <c r="L85" s="926">
        <v>71054.771650000272</v>
      </c>
      <c r="M85" s="984">
        <v>0</v>
      </c>
      <c r="N85" s="981">
        <v>20595.154528077663</v>
      </c>
      <c r="O85" s="928">
        <v>71112.71875</v>
      </c>
      <c r="P85" s="928">
        <v>113657.47074013331</v>
      </c>
      <c r="Q85" s="984">
        <v>0</v>
      </c>
      <c r="R85" s="981">
        <v>20579.274000000001</v>
      </c>
      <c r="S85" s="985">
        <f t="shared" si="20"/>
        <v>15.880528077661438</v>
      </c>
      <c r="T85" s="928">
        <v>71112.72</v>
      </c>
      <c r="U85" s="985">
        <f t="shared" si="9"/>
        <v>-1.2500000011641532E-3</v>
      </c>
      <c r="V85" s="989">
        <v>75748.323999999993</v>
      </c>
      <c r="W85" s="989">
        <v>37909.131000000001</v>
      </c>
      <c r="X85" s="982">
        <f t="shared" si="10"/>
        <v>1.5740133327199146E-2</v>
      </c>
      <c r="Y85" s="988">
        <v>0</v>
      </c>
      <c r="Z85" s="990">
        <f t="shared" si="11"/>
        <v>0</v>
      </c>
      <c r="AA85" s="929"/>
      <c r="AB85" s="930"/>
      <c r="AC85" s="931">
        <f t="shared" si="12"/>
        <v>-191822.01464000074</v>
      </c>
      <c r="AD85" s="931">
        <f t="shared" si="13"/>
        <v>191822.01464000074</v>
      </c>
      <c r="AE85" s="931">
        <f t="shared" si="14"/>
        <v>1.6606722107661422E-2</v>
      </c>
      <c r="AF85" s="931">
        <f t="shared" si="15"/>
        <v>191821.99803327862</v>
      </c>
      <c r="AG85" s="932" t="e">
        <f t="shared" si="21"/>
        <v>#REF!</v>
      </c>
    </row>
    <row r="86" spans="3:36" x14ac:dyDescent="0.2">
      <c r="C86" s="933">
        <f t="shared" si="16"/>
        <v>43512</v>
      </c>
      <c r="D86" s="919">
        <f t="shared" si="17"/>
        <v>169781.37999999998</v>
      </c>
      <c r="E86" s="2020">
        <f t="shared" si="18"/>
        <v>15966.196</v>
      </c>
      <c r="F86" s="921">
        <f t="shared" si="6"/>
        <v>202654.94195379323</v>
      </c>
      <c r="G86" s="934">
        <f t="shared" si="19"/>
        <v>0.98609731</v>
      </c>
      <c r="H86" s="923">
        <f t="shared" si="7"/>
        <v>199.83750000000001</v>
      </c>
      <c r="I86" s="924">
        <f t="shared" si="8"/>
        <v>388603.34155110316</v>
      </c>
      <c r="J86" s="925">
        <v>21605.211940000085</v>
      </c>
      <c r="K86" s="926">
        <v>107433.71663000042</v>
      </c>
      <c r="L86" s="926">
        <v>71054.771650000272</v>
      </c>
      <c r="M86" s="984">
        <v>0</v>
      </c>
      <c r="N86" s="981">
        <v>15831.99343046829</v>
      </c>
      <c r="O86" s="937">
        <v>73440.671875</v>
      </c>
      <c r="P86" s="937">
        <v>113382.27664832494</v>
      </c>
      <c r="Q86" s="984">
        <v>0</v>
      </c>
      <c r="R86" s="986">
        <v>15819.786</v>
      </c>
      <c r="S86" s="985">
        <f t="shared" si="20"/>
        <v>12.207430468290113</v>
      </c>
      <c r="T86" s="937">
        <v>73440.67</v>
      </c>
      <c r="U86" s="985">
        <f t="shared" si="9"/>
        <v>1.8750000017462298E-3</v>
      </c>
      <c r="V86" s="989">
        <v>75648.638999999996</v>
      </c>
      <c r="W86" s="989">
        <v>37733.661</v>
      </c>
      <c r="X86" s="982">
        <f t="shared" si="10"/>
        <v>-2.3351675044978037E-2</v>
      </c>
      <c r="Y86" s="988">
        <v>0</v>
      </c>
      <c r="Z86" s="990">
        <f t="shared" si="11"/>
        <v>0</v>
      </c>
      <c r="AA86" s="929"/>
      <c r="AB86" s="930"/>
      <c r="AC86" s="931">
        <f t="shared" si="12"/>
        <v>-200093.70022000076</v>
      </c>
      <c r="AD86" s="931">
        <f t="shared" si="13"/>
        <v>200093.70022000076</v>
      </c>
      <c r="AE86" s="931">
        <f t="shared" si="14"/>
        <v>-2.4637324866254348E-2</v>
      </c>
      <c r="AF86" s="931">
        <f t="shared" si="15"/>
        <v>200093.72485732561</v>
      </c>
      <c r="AG86" s="932" t="e">
        <f t="shared" si="21"/>
        <v>#REF!</v>
      </c>
    </row>
    <row r="87" spans="3:36" x14ac:dyDescent="0.2">
      <c r="C87" s="933">
        <f t="shared" si="16"/>
        <v>43513</v>
      </c>
      <c r="D87" s="919">
        <f t="shared" si="17"/>
        <v>169781.37999999998</v>
      </c>
      <c r="E87" s="2020">
        <f t="shared" si="18"/>
        <v>15966.196</v>
      </c>
      <c r="F87" s="921">
        <f t="shared" si="6"/>
        <v>199426.68379937939</v>
      </c>
      <c r="G87" s="934">
        <f t="shared" si="19"/>
        <v>0.98609731</v>
      </c>
      <c r="H87" s="923">
        <f t="shared" si="7"/>
        <v>196.6541</v>
      </c>
      <c r="I87" s="924">
        <f t="shared" si="8"/>
        <v>385371.89999668935</v>
      </c>
      <c r="J87" s="925">
        <v>12102.381940000047</v>
      </c>
      <c r="K87" s="926">
        <v>116936.54663000045</v>
      </c>
      <c r="L87" s="926">
        <v>71054.771650000272</v>
      </c>
      <c r="M87" s="984">
        <v>0</v>
      </c>
      <c r="N87" s="981">
        <v>12071.530430692181</v>
      </c>
      <c r="O87" s="928">
        <v>73617.71875</v>
      </c>
      <c r="P87" s="928">
        <v>113737.43461868721</v>
      </c>
      <c r="Q87" s="984">
        <v>0</v>
      </c>
      <c r="R87" s="981">
        <v>12062.222</v>
      </c>
      <c r="S87" s="985">
        <f t="shared" si="20"/>
        <v>9.3084306921809912</v>
      </c>
      <c r="T87" s="928">
        <v>73617.72</v>
      </c>
      <c r="U87" s="985">
        <f t="shared" si="9"/>
        <v>-1.2500000011641532E-3</v>
      </c>
      <c r="V87" s="989">
        <v>75796.460000000006</v>
      </c>
      <c r="W87" s="989">
        <v>37940.985999999997</v>
      </c>
      <c r="X87" s="982">
        <f t="shared" si="10"/>
        <v>-1.1381312782759778E-2</v>
      </c>
      <c r="Y87" s="988">
        <v>0</v>
      </c>
      <c r="Z87" s="990">
        <f t="shared" si="11"/>
        <v>0</v>
      </c>
      <c r="AA87" s="929"/>
      <c r="AB87" s="930"/>
      <c r="AC87" s="931">
        <f t="shared" si="12"/>
        <v>-200093.70022000076</v>
      </c>
      <c r="AD87" s="931">
        <f t="shared" si="13"/>
        <v>200093.70022000076</v>
      </c>
      <c r="AE87" s="931">
        <f t="shared" si="14"/>
        <v>-1.20079223393274E-2</v>
      </c>
      <c r="AF87" s="931">
        <f t="shared" si="15"/>
        <v>200093.7122279231</v>
      </c>
      <c r="AG87" s="932" t="e">
        <f t="shared" si="21"/>
        <v>#REF!</v>
      </c>
    </row>
    <row r="88" spans="3:36" x14ac:dyDescent="0.2">
      <c r="C88" s="933">
        <f t="shared" si="16"/>
        <v>43514</v>
      </c>
      <c r="D88" s="919">
        <f t="shared" si="17"/>
        <v>169781.37999999998</v>
      </c>
      <c r="E88" s="2020">
        <f t="shared" si="18"/>
        <v>15966.196</v>
      </c>
      <c r="F88" s="921">
        <f t="shared" si="6"/>
        <v>209769.85654679217</v>
      </c>
      <c r="G88" s="934">
        <f t="shared" si="19"/>
        <v>0.98609731</v>
      </c>
      <c r="H88" s="923">
        <f t="shared" si="7"/>
        <v>206.8535</v>
      </c>
      <c r="I88" s="924">
        <f t="shared" si="8"/>
        <v>395725.27214410214</v>
      </c>
      <c r="J88" s="925">
        <v>16325.861940000063</v>
      </c>
      <c r="K88" s="926">
        <v>101732.0186300004</v>
      </c>
      <c r="L88" s="926">
        <v>71054.771650000272</v>
      </c>
      <c r="M88" s="984">
        <v>0</v>
      </c>
      <c r="N88" s="981">
        <v>22047.296800024804</v>
      </c>
      <c r="O88" s="937">
        <v>73718.640625</v>
      </c>
      <c r="P88" s="937">
        <v>114003.91912176737</v>
      </c>
      <c r="Q88" s="984">
        <v>0</v>
      </c>
      <c r="R88" s="986">
        <v>22030.296999999999</v>
      </c>
      <c r="S88" s="985">
        <f t="shared" si="20"/>
        <v>16.999800024805154</v>
      </c>
      <c r="T88" s="937">
        <v>73718.64</v>
      </c>
      <c r="U88" s="985">
        <f t="shared" si="9"/>
        <v>6.2500000058207661E-4</v>
      </c>
      <c r="V88" s="989">
        <v>75951.58</v>
      </c>
      <c r="W88" s="989">
        <v>38052.358999999997</v>
      </c>
      <c r="X88" s="982">
        <f t="shared" si="10"/>
        <v>-1.987823263334576E-2</v>
      </c>
      <c r="Y88" s="988">
        <v>0</v>
      </c>
      <c r="Z88" s="990">
        <f t="shared" si="11"/>
        <v>0</v>
      </c>
      <c r="AA88" s="929"/>
      <c r="AB88" s="930"/>
      <c r="AC88" s="931">
        <f t="shared" si="12"/>
        <v>-189112.65222000075</v>
      </c>
      <c r="AD88" s="931">
        <f t="shared" si="13"/>
        <v>189112.65222000075</v>
      </c>
      <c r="AE88" s="931">
        <f t="shared" si="14"/>
        <v>-2.0972648609207244E-2</v>
      </c>
      <c r="AF88" s="931">
        <f t="shared" si="15"/>
        <v>189112.67319264935</v>
      </c>
      <c r="AG88" s="932" t="e">
        <f t="shared" si="21"/>
        <v>#REF!</v>
      </c>
    </row>
    <row r="89" spans="3:36" x14ac:dyDescent="0.2">
      <c r="C89" s="933">
        <f t="shared" si="16"/>
        <v>43515</v>
      </c>
      <c r="D89" s="919">
        <f t="shared" si="17"/>
        <v>169781.37999999998</v>
      </c>
      <c r="E89" s="2020">
        <f t="shared" si="18"/>
        <v>15966.196</v>
      </c>
      <c r="F89" s="921">
        <f t="shared" si="6"/>
        <v>198837.80243920931</v>
      </c>
      <c r="G89" s="934">
        <f t="shared" si="19"/>
        <v>0.98609731</v>
      </c>
      <c r="H89" s="923">
        <f t="shared" si="7"/>
        <v>196.07339999999999</v>
      </c>
      <c r="I89" s="924">
        <f t="shared" si="8"/>
        <v>384782.43793651927</v>
      </c>
      <c r="J89" s="925">
        <v>18648.775940000072</v>
      </c>
      <c r="K89" s="926">
        <v>109334.28263000042</v>
      </c>
      <c r="L89" s="926">
        <v>71054.771650000272</v>
      </c>
      <c r="M89" s="984">
        <v>0</v>
      </c>
      <c r="N89" s="981">
        <v>21357.34640775283</v>
      </c>
      <c r="O89" s="928">
        <v>73585.75</v>
      </c>
      <c r="P89" s="928">
        <v>103894.70603145646</v>
      </c>
      <c r="Q89" s="984">
        <v>0</v>
      </c>
      <c r="R89" s="981">
        <v>21340.878000000001</v>
      </c>
      <c r="S89" s="985">
        <f t="shared" si="20"/>
        <v>16.46840775282908</v>
      </c>
      <c r="T89" s="928">
        <v>73585.75</v>
      </c>
      <c r="U89" s="985">
        <f t="shared" si="9"/>
        <v>0</v>
      </c>
      <c r="V89" s="989">
        <v>65861.596999999994</v>
      </c>
      <c r="W89" s="989">
        <v>38033.142</v>
      </c>
      <c r="X89" s="982">
        <f t="shared" si="10"/>
        <v>-3.2968543542665429E-2</v>
      </c>
      <c r="Y89" s="988">
        <v>0</v>
      </c>
      <c r="Z89" s="990">
        <f t="shared" si="11"/>
        <v>0</v>
      </c>
      <c r="AA89" s="929"/>
      <c r="AB89" s="930"/>
      <c r="AC89" s="931">
        <f t="shared" si="12"/>
        <v>-199037.83022000076</v>
      </c>
      <c r="AD89" s="931">
        <f t="shared" si="13"/>
        <v>199037.83022000076</v>
      </c>
      <c r="AE89" s="931">
        <f t="shared" si="14"/>
        <v>-3.4783659675950415E-2</v>
      </c>
      <c r="AF89" s="931">
        <f t="shared" si="15"/>
        <v>199037.86500366044</v>
      </c>
      <c r="AG89" s="932" t="e">
        <f t="shared" si="21"/>
        <v>#REF!</v>
      </c>
    </row>
    <row r="90" spans="3:36" x14ac:dyDescent="0.2">
      <c r="C90" s="933">
        <f t="shared" si="16"/>
        <v>43516</v>
      </c>
      <c r="D90" s="919">
        <f t="shared" si="17"/>
        <v>169781.37999999998</v>
      </c>
      <c r="E90" s="2020">
        <f t="shared" si="18"/>
        <v>15966.196</v>
      </c>
      <c r="F90" s="921">
        <f t="shared" si="6"/>
        <v>207372.6532201042</v>
      </c>
      <c r="G90" s="934">
        <f t="shared" si="19"/>
        <v>0.98609731</v>
      </c>
      <c r="H90" s="923">
        <f t="shared" si="7"/>
        <v>204.4896</v>
      </c>
      <c r="I90" s="924">
        <f t="shared" si="8"/>
        <v>393325.70491741411</v>
      </c>
      <c r="J90" s="925">
        <v>19691.975500000077</v>
      </c>
      <c r="K90" s="926">
        <v>112586.36223000044</v>
      </c>
      <c r="L90" s="926">
        <v>71054.771650000272</v>
      </c>
      <c r="M90" s="984">
        <v>0</v>
      </c>
      <c r="N90" s="981">
        <v>22392.110505331057</v>
      </c>
      <c r="O90" s="937">
        <v>74226.15625</v>
      </c>
      <c r="P90" s="937">
        <v>110754.38646477317</v>
      </c>
      <c r="Q90" s="984">
        <v>0</v>
      </c>
      <c r="R90" s="986">
        <v>22374.845000000001</v>
      </c>
      <c r="S90" s="985">
        <f t="shared" si="20"/>
        <v>17.265505331055465</v>
      </c>
      <c r="T90" s="937">
        <v>74226.2</v>
      </c>
      <c r="U90" s="985">
        <f t="shared" si="9"/>
        <v>-4.3749999997089617E-2</v>
      </c>
      <c r="V90" s="989">
        <v>73058.664000000004</v>
      </c>
      <c r="W90" s="989">
        <v>37695.724000000002</v>
      </c>
      <c r="X90" s="982">
        <f t="shared" si="10"/>
        <v>-1.5352268383139744E-3</v>
      </c>
      <c r="Y90" s="988">
        <v>0</v>
      </c>
      <c r="Z90" s="990">
        <f t="shared" si="11"/>
        <v>0</v>
      </c>
      <c r="AA90" s="929"/>
      <c r="AB90" s="930"/>
      <c r="AC90" s="931">
        <f t="shared" si="12"/>
        <v>-203333.10938000079</v>
      </c>
      <c r="AD90" s="931">
        <f t="shared" si="13"/>
        <v>203333.10938000079</v>
      </c>
      <c r="AE90" s="931">
        <f t="shared" si="14"/>
        <v>-1.6197502871241887E-3</v>
      </c>
      <c r="AF90" s="931">
        <f t="shared" si="15"/>
        <v>203333.11099975108</v>
      </c>
      <c r="AG90" s="932" t="e">
        <f t="shared" si="21"/>
        <v>#REF!</v>
      </c>
    </row>
    <row r="91" spans="3:36" x14ac:dyDescent="0.2">
      <c r="C91" s="933">
        <f t="shared" si="16"/>
        <v>43517</v>
      </c>
      <c r="D91" s="919">
        <f t="shared" si="17"/>
        <v>169781.37999999998</v>
      </c>
      <c r="E91" s="2020">
        <f t="shared" si="18"/>
        <v>15966.196</v>
      </c>
      <c r="F91" s="921">
        <f t="shared" si="6"/>
        <v>210183.31131846318</v>
      </c>
      <c r="G91" s="934">
        <f t="shared" si="19"/>
        <v>0.98609731</v>
      </c>
      <c r="H91" s="923">
        <f t="shared" si="7"/>
        <v>207.2612</v>
      </c>
      <c r="I91" s="924">
        <f t="shared" si="8"/>
        <v>396139.13461577316</v>
      </c>
      <c r="J91" s="925">
        <v>20272.704000000078</v>
      </c>
      <c r="K91" s="926">
        <v>112587.41810000043</v>
      </c>
      <c r="L91" s="926">
        <v>71054.771650000272</v>
      </c>
      <c r="M91" s="984">
        <v>0</v>
      </c>
      <c r="N91" s="981">
        <v>22210.506677515667</v>
      </c>
      <c r="O91" s="928">
        <v>74130.53125</v>
      </c>
      <c r="P91" s="928">
        <v>113842.27339094752</v>
      </c>
      <c r="Q91" s="984">
        <v>0</v>
      </c>
      <c r="R91" s="981">
        <v>22193.381000000001</v>
      </c>
      <c r="S91" s="985">
        <f t="shared" si="20"/>
        <v>17.125677515665302</v>
      </c>
      <c r="T91" s="928">
        <v>74130.5</v>
      </c>
      <c r="U91" s="985">
        <f t="shared" si="9"/>
        <v>3.125E-2</v>
      </c>
      <c r="V91" s="989">
        <v>75957.308000000005</v>
      </c>
      <c r="W91" s="989">
        <v>37884.938999999998</v>
      </c>
      <c r="X91" s="982">
        <f t="shared" si="10"/>
        <v>2.6390947517938912E-2</v>
      </c>
      <c r="Y91" s="988">
        <v>0</v>
      </c>
      <c r="Z91" s="990">
        <f t="shared" si="11"/>
        <v>0</v>
      </c>
      <c r="AA91" s="929"/>
      <c r="AB91" s="930"/>
      <c r="AC91" s="931">
        <f t="shared" si="12"/>
        <v>-203914.89375000077</v>
      </c>
      <c r="AD91" s="931">
        <f t="shared" si="13"/>
        <v>203914.89375000077</v>
      </c>
      <c r="AE91" s="931">
        <f t="shared" si="14"/>
        <v>2.7843927524486556E-2</v>
      </c>
      <c r="AF91" s="931">
        <f t="shared" si="15"/>
        <v>203914.86590607325</v>
      </c>
      <c r="AG91" s="932" t="e">
        <f t="shared" si="21"/>
        <v>#REF!</v>
      </c>
    </row>
    <row r="92" spans="3:36" x14ac:dyDescent="0.2">
      <c r="C92" s="933">
        <f t="shared" si="16"/>
        <v>43518</v>
      </c>
      <c r="D92" s="919">
        <f t="shared" si="17"/>
        <v>169781.37999999998</v>
      </c>
      <c r="E92" s="2020">
        <f t="shared" si="18"/>
        <v>15966.196</v>
      </c>
      <c r="F92" s="921">
        <f t="shared" si="6"/>
        <v>210410.49283745041</v>
      </c>
      <c r="G92" s="934">
        <f t="shared" si="19"/>
        <v>0.98609731</v>
      </c>
      <c r="H92" s="923">
        <f t="shared" si="7"/>
        <v>207.48519999999999</v>
      </c>
      <c r="I92" s="924">
        <f t="shared" si="8"/>
        <v>396366.54013476032</v>
      </c>
      <c r="J92" s="925">
        <v>20483.878000000081</v>
      </c>
      <c r="K92" s="926">
        <v>110083.95033000043</v>
      </c>
      <c r="L92" s="926">
        <v>71054.771650000272</v>
      </c>
      <c r="M92" s="984">
        <v>0</v>
      </c>
      <c r="N92" s="981">
        <v>22461.203834825439</v>
      </c>
      <c r="O92" s="937">
        <v>74113.304688000004</v>
      </c>
      <c r="P92" s="937">
        <v>113835.98431462499</v>
      </c>
      <c r="Q92" s="984">
        <v>0</v>
      </c>
      <c r="R92" s="986">
        <v>22443.884999999998</v>
      </c>
      <c r="S92" s="985">
        <f t="shared" si="20"/>
        <v>17.318834825440717</v>
      </c>
      <c r="T92" s="937">
        <v>74113.3</v>
      </c>
      <c r="U92" s="985">
        <f t="shared" si="9"/>
        <v>4.6880000008968636E-3</v>
      </c>
      <c r="V92" s="989">
        <v>76030.875</v>
      </c>
      <c r="W92" s="989">
        <v>37805.089999999997</v>
      </c>
      <c r="X92" s="982">
        <f t="shared" si="10"/>
        <v>1.9314624994876795E-2</v>
      </c>
      <c r="Y92" s="988">
        <v>0</v>
      </c>
      <c r="Z92" s="990">
        <f t="shared" si="11"/>
        <v>0</v>
      </c>
      <c r="AA92" s="929"/>
      <c r="AB92" s="930"/>
      <c r="AC92" s="931">
        <f t="shared" si="12"/>
        <v>-201622.59998000078</v>
      </c>
      <c r="AD92" s="931">
        <f t="shared" si="13"/>
        <v>201622.59998000078</v>
      </c>
      <c r="AE92" s="931">
        <f t="shared" si="14"/>
        <v>2.0378010988594732E-2</v>
      </c>
      <c r="AF92" s="931">
        <f t="shared" si="15"/>
        <v>201622.5796019898</v>
      </c>
      <c r="AG92" s="932" t="e">
        <f t="shared" si="21"/>
        <v>#REF!</v>
      </c>
    </row>
    <row r="93" spans="3:36" x14ac:dyDescent="0.2">
      <c r="C93" s="933">
        <f t="shared" si="16"/>
        <v>43519</v>
      </c>
      <c r="D93" s="919">
        <f t="shared" si="17"/>
        <v>169781.37999999998</v>
      </c>
      <c r="E93" s="2020">
        <f t="shared" si="18"/>
        <v>15966.196</v>
      </c>
      <c r="F93" s="921">
        <f t="shared" si="6"/>
        <v>210427.50153868762</v>
      </c>
      <c r="G93" s="934">
        <f t="shared" si="19"/>
        <v>0.98609731</v>
      </c>
      <c r="H93" s="923">
        <f t="shared" si="7"/>
        <v>207.50200000000001</v>
      </c>
      <c r="I93" s="924">
        <f t="shared" si="8"/>
        <v>396383.56563599757</v>
      </c>
      <c r="J93" s="925">
        <v>19815.512290000075</v>
      </c>
      <c r="K93" s="926">
        <v>91959.941780000358</v>
      </c>
      <c r="L93" s="926">
        <v>71054.771650000272</v>
      </c>
      <c r="M93" s="984">
        <v>0</v>
      </c>
      <c r="N93" s="981">
        <v>22402.492069991462</v>
      </c>
      <c r="O93" s="928">
        <v>73914.265625</v>
      </c>
      <c r="P93" s="928">
        <v>114110.74384369617</v>
      </c>
      <c r="Q93" s="984">
        <v>0</v>
      </c>
      <c r="R93" s="981">
        <v>22385.218000000001</v>
      </c>
      <c r="S93" s="985">
        <f t="shared" si="20"/>
        <v>17.274069991461147</v>
      </c>
      <c r="T93" s="928">
        <v>73914.3</v>
      </c>
      <c r="U93" s="985">
        <f t="shared" si="9"/>
        <v>-3.4375000002910383E-2</v>
      </c>
      <c r="V93" s="989">
        <v>76290.273000000001</v>
      </c>
      <c r="W93" s="989">
        <v>37820.489000000001</v>
      </c>
      <c r="X93" s="982">
        <f t="shared" si="10"/>
        <v>-1.815630383498501E-2</v>
      </c>
      <c r="Y93" s="988">
        <v>0</v>
      </c>
      <c r="Z93" s="990">
        <f t="shared" si="11"/>
        <v>0</v>
      </c>
      <c r="AA93" s="929"/>
      <c r="AB93" s="930"/>
      <c r="AC93" s="931">
        <f t="shared" si="12"/>
        <v>-182830.22572000069</v>
      </c>
      <c r="AD93" s="931">
        <f t="shared" si="13"/>
        <v>182830.22572000069</v>
      </c>
      <c r="AE93" s="931">
        <f t="shared" si="14"/>
        <v>-1.9155917298923946E-2</v>
      </c>
      <c r="AF93" s="931">
        <f t="shared" si="15"/>
        <v>182830.244875918</v>
      </c>
      <c r="AG93" s="932" t="e">
        <f t="shared" si="21"/>
        <v>#REF!</v>
      </c>
    </row>
    <row r="94" spans="3:36" x14ac:dyDescent="0.2">
      <c r="C94" s="933">
        <f t="shared" si="16"/>
        <v>43520</v>
      </c>
      <c r="D94" s="919">
        <f t="shared" si="17"/>
        <v>169781.37999999998</v>
      </c>
      <c r="E94" s="2020">
        <f t="shared" si="18"/>
        <v>15966.196</v>
      </c>
      <c r="F94" s="921">
        <f t="shared" si="6"/>
        <v>182649.7675051367</v>
      </c>
      <c r="G94" s="934">
        <f t="shared" si="19"/>
        <v>0.98609731</v>
      </c>
      <c r="H94" s="923">
        <f t="shared" si="7"/>
        <v>180.1104</v>
      </c>
      <c r="I94" s="924">
        <f t="shared" si="8"/>
        <v>368578.44000244664</v>
      </c>
      <c r="J94" s="925">
        <v>18865.229290000072</v>
      </c>
      <c r="K94" s="926">
        <v>114664.31439000044</v>
      </c>
      <c r="L94" s="926">
        <v>71054.771650000272</v>
      </c>
      <c r="M94" s="984">
        <v>0</v>
      </c>
      <c r="N94" s="981">
        <v>19280.196117583517</v>
      </c>
      <c r="O94" s="937">
        <v>72863.625</v>
      </c>
      <c r="P94" s="937">
        <v>90505.94638755318</v>
      </c>
      <c r="Q94" s="984">
        <v>0</v>
      </c>
      <c r="R94" s="986">
        <v>19265.330000000002</v>
      </c>
      <c r="S94" s="985">
        <f t="shared" si="20"/>
        <v>14.866117583515006</v>
      </c>
      <c r="T94" s="937">
        <v>72863.625</v>
      </c>
      <c r="U94" s="985">
        <f t="shared" si="9"/>
        <v>0</v>
      </c>
      <c r="V94" s="989">
        <v>66162.456999999995</v>
      </c>
      <c r="W94" s="989">
        <v>24343.493999999999</v>
      </c>
      <c r="X94" s="982">
        <f t="shared" si="10"/>
        <v>-4.6124468208290637E-3</v>
      </c>
      <c r="Y94" s="988">
        <v>0</v>
      </c>
      <c r="Z94" s="990">
        <f t="shared" si="11"/>
        <v>0</v>
      </c>
      <c r="AA94" s="929"/>
      <c r="AB94" s="930"/>
      <c r="AC94" s="931">
        <f t="shared" si="12"/>
        <v>-204584.31533000077</v>
      </c>
      <c r="AD94" s="931">
        <f t="shared" si="13"/>
        <v>204584.31533000077</v>
      </c>
      <c r="AE94" s="931">
        <f t="shared" si="14"/>
        <v>-4.8663896929966284E-3</v>
      </c>
      <c r="AF94" s="931">
        <f t="shared" si="15"/>
        <v>204584.32019639047</v>
      </c>
      <c r="AG94" s="932" t="e">
        <f t="shared" si="21"/>
        <v>#REF!</v>
      </c>
      <c r="AH94" s="843"/>
      <c r="AI94" s="843"/>
      <c r="AJ94" s="843"/>
    </row>
    <row r="95" spans="3:36" x14ac:dyDescent="0.2">
      <c r="C95" s="933">
        <f t="shared" si="16"/>
        <v>43521</v>
      </c>
      <c r="D95" s="919">
        <f t="shared" si="17"/>
        <v>169781.37999999998</v>
      </c>
      <c r="E95" s="2020">
        <f t="shared" si="18"/>
        <v>15966.196</v>
      </c>
      <c r="F95" s="921">
        <f t="shared" si="6"/>
        <v>170092.43712306506</v>
      </c>
      <c r="G95" s="934">
        <f t="shared" si="19"/>
        <v>0.98609731</v>
      </c>
      <c r="H95" s="923">
        <f t="shared" si="7"/>
        <v>167.7277</v>
      </c>
      <c r="I95" s="924">
        <f t="shared" si="8"/>
        <v>356008.72692037496</v>
      </c>
      <c r="J95" s="925">
        <v>19815.512290000075</v>
      </c>
      <c r="K95" s="926">
        <v>91959.941780000358</v>
      </c>
      <c r="L95" s="926">
        <v>71054.771650000272</v>
      </c>
      <c r="M95" s="984">
        <v>0</v>
      </c>
      <c r="N95" s="981">
        <v>22384.549374663209</v>
      </c>
      <c r="O95" s="928">
        <v>71978.070313000004</v>
      </c>
      <c r="P95" s="928">
        <v>75729.817435401856</v>
      </c>
      <c r="Q95" s="984">
        <v>0</v>
      </c>
      <c r="R95" s="981">
        <v>22367.289000000001</v>
      </c>
      <c r="S95" s="985">
        <f t="shared" si="20"/>
        <v>17.260374663208495</v>
      </c>
      <c r="T95" s="928">
        <v>71978.070000000007</v>
      </c>
      <c r="U95" s="985">
        <f t="shared" si="9"/>
        <v>3.1299999682232738E-4</v>
      </c>
      <c r="V95" s="989">
        <v>75729.801999999996</v>
      </c>
      <c r="W95" s="989">
        <v>0</v>
      </c>
      <c r="X95" s="982">
        <f t="shared" si="10"/>
        <v>1.5435401859576814E-2</v>
      </c>
      <c r="Y95" s="988">
        <v>0</v>
      </c>
      <c r="Z95" s="990">
        <f t="shared" si="11"/>
        <v>0</v>
      </c>
      <c r="AA95" s="929"/>
      <c r="AB95" s="930"/>
      <c r="AC95" s="931">
        <f t="shared" si="12"/>
        <v>-182830.22572000069</v>
      </c>
      <c r="AD95" s="931">
        <f t="shared" si="13"/>
        <v>182830.22572000069</v>
      </c>
      <c r="AE95" s="931">
        <f t="shared" si="14"/>
        <v>1.6285213344357674E-2</v>
      </c>
      <c r="AF95" s="931">
        <f t="shared" si="15"/>
        <v>182830.20943478734</v>
      </c>
      <c r="AG95" s="932" t="e">
        <f t="shared" si="21"/>
        <v>#REF!</v>
      </c>
      <c r="AH95" s="843"/>
      <c r="AI95" s="843"/>
      <c r="AJ95" s="843"/>
    </row>
    <row r="96" spans="3:36" x14ac:dyDescent="0.2">
      <c r="C96" s="933">
        <f t="shared" si="16"/>
        <v>43522</v>
      </c>
      <c r="D96" s="919">
        <f t="shared" si="17"/>
        <v>169781.37999999998</v>
      </c>
      <c r="E96" s="2020">
        <f t="shared" si="18"/>
        <v>15966.196</v>
      </c>
      <c r="F96" s="921">
        <f t="shared" si="6"/>
        <v>169710.09194342484</v>
      </c>
      <c r="G96" s="934">
        <f t="shared" si="19"/>
        <v>0.98609731</v>
      </c>
      <c r="H96" s="923">
        <f t="shared" si="7"/>
        <v>167.35069999999999</v>
      </c>
      <c r="I96" s="924">
        <f t="shared" si="8"/>
        <v>355626.00474073476</v>
      </c>
      <c r="J96" s="925">
        <v>20483.878000000081</v>
      </c>
      <c r="K96" s="926">
        <v>75058.630690000282</v>
      </c>
      <c r="L96" s="926">
        <v>71054.771650000272</v>
      </c>
      <c r="M96" s="984">
        <v>0</v>
      </c>
      <c r="N96" s="981">
        <v>22124.088059912858</v>
      </c>
      <c r="O96" s="937">
        <v>71661.6875</v>
      </c>
      <c r="P96" s="937">
        <v>75924.316383511978</v>
      </c>
      <c r="Q96" s="984">
        <v>0</v>
      </c>
      <c r="R96" s="986">
        <v>22107.028999999999</v>
      </c>
      <c r="S96" s="985">
        <f t="shared" si="20"/>
        <v>17.059059912859084</v>
      </c>
      <c r="T96" s="937">
        <v>71661.687000000005</v>
      </c>
      <c r="U96" s="985">
        <f t="shared" si="9"/>
        <v>4.999999946448952E-4</v>
      </c>
      <c r="V96" s="989">
        <v>75924.324999999997</v>
      </c>
      <c r="W96" s="989">
        <v>0</v>
      </c>
      <c r="X96" s="982">
        <f t="shared" si="10"/>
        <v>-8.6164880194701254E-3</v>
      </c>
      <c r="Y96" s="988">
        <v>0</v>
      </c>
      <c r="Z96" s="990">
        <f t="shared" si="11"/>
        <v>0</v>
      </c>
      <c r="AA96" s="929"/>
      <c r="AB96" s="930"/>
      <c r="AC96" s="931">
        <f t="shared" si="12"/>
        <v>-166597.28034000064</v>
      </c>
      <c r="AD96" s="931">
        <f t="shared" si="13"/>
        <v>166597.28034000064</v>
      </c>
      <c r="AE96" s="931">
        <f t="shared" si="14"/>
        <v>-9.0908773838700718E-3</v>
      </c>
      <c r="AF96" s="931">
        <f t="shared" si="15"/>
        <v>166597.28943087801</v>
      </c>
      <c r="AG96" s="932" t="e">
        <f t="shared" si="21"/>
        <v>#REF!</v>
      </c>
      <c r="AH96" s="843"/>
      <c r="AI96" s="843"/>
      <c r="AJ96" s="843"/>
    </row>
    <row r="97" spans="2:42" x14ac:dyDescent="0.2">
      <c r="C97" s="933">
        <f t="shared" si="16"/>
        <v>43523</v>
      </c>
      <c r="D97" s="919">
        <f t="shared" si="17"/>
        <v>169781.37999999998</v>
      </c>
      <c r="E97" s="2020">
        <f t="shared" si="18"/>
        <v>15966.196</v>
      </c>
      <c r="F97" s="921">
        <f t="shared" si="6"/>
        <v>171854.26390215999</v>
      </c>
      <c r="G97" s="934">
        <f t="shared" si="19"/>
        <v>0.98609731</v>
      </c>
      <c r="H97" s="923">
        <f t="shared" si="7"/>
        <v>169.465</v>
      </c>
      <c r="I97" s="924">
        <f t="shared" si="8"/>
        <v>357772.29099946999</v>
      </c>
      <c r="J97" s="925">
        <v>20483.878000000081</v>
      </c>
      <c r="K97" s="926">
        <v>75057.574820000285</v>
      </c>
      <c r="L97" s="926">
        <v>70554.28927000027</v>
      </c>
      <c r="M97" s="984">
        <v>0</v>
      </c>
      <c r="N97" s="981">
        <v>23433.761788472268</v>
      </c>
      <c r="O97" s="928">
        <v>72734.59375</v>
      </c>
      <c r="P97" s="928">
        <v>75685.908363687719</v>
      </c>
      <c r="Q97" s="984">
        <v>0</v>
      </c>
      <c r="R97" s="981">
        <v>23415.692999999999</v>
      </c>
      <c r="S97" s="985">
        <f t="shared" si="20"/>
        <v>18.068788472268352</v>
      </c>
      <c r="T97" s="928">
        <v>72734.593999999997</v>
      </c>
      <c r="U97" s="985">
        <f t="shared" si="9"/>
        <v>-2.499999973224476E-4</v>
      </c>
      <c r="V97" s="989">
        <v>75685.925000000003</v>
      </c>
      <c r="W97" s="989">
        <v>0</v>
      </c>
      <c r="X97" s="982">
        <f t="shared" si="10"/>
        <v>-1.6636312284390442E-2</v>
      </c>
      <c r="Y97" s="988">
        <v>0</v>
      </c>
      <c r="Z97" s="990">
        <f t="shared" si="11"/>
        <v>0</v>
      </c>
      <c r="AA97" s="929"/>
      <c r="AB97" s="930"/>
      <c r="AC97" s="931">
        <f t="shared" si="12"/>
        <v>-166095.74209000065</v>
      </c>
      <c r="AD97" s="931">
        <f t="shared" si="13"/>
        <v>166095.74209000065</v>
      </c>
      <c r="AE97" s="931">
        <f t="shared" si="14"/>
        <v>-1.7552241093519841E-2</v>
      </c>
      <c r="AF97" s="931">
        <f t="shared" si="15"/>
        <v>166095.75964224176</v>
      </c>
      <c r="AG97" s="932" t="e">
        <f t="shared" si="21"/>
        <v>#REF!</v>
      </c>
      <c r="AH97" s="843"/>
      <c r="AI97" s="843"/>
      <c r="AJ97" s="843"/>
    </row>
    <row r="98" spans="2:42" x14ac:dyDescent="0.2">
      <c r="C98" s="933">
        <f t="shared" si="16"/>
        <v>43524</v>
      </c>
      <c r="D98" s="919">
        <f t="shared" si="17"/>
        <v>169781.37999999998</v>
      </c>
      <c r="E98" s="2020">
        <f t="shared" si="18"/>
        <v>15966.196</v>
      </c>
      <c r="F98" s="921">
        <f t="shared" si="6"/>
        <v>175951.09353314966</v>
      </c>
      <c r="G98" s="934">
        <f t="shared" si="19"/>
        <v>0.98609731</v>
      </c>
      <c r="H98" s="923">
        <f t="shared" si="7"/>
        <v>173.50489999999999</v>
      </c>
      <c r="I98" s="924">
        <f t="shared" si="8"/>
        <v>361873.1605304596</v>
      </c>
      <c r="J98" s="925"/>
      <c r="K98" s="926">
        <v>75057.574820000285</v>
      </c>
      <c r="L98" s="926">
        <v>70554.28927000027</v>
      </c>
      <c r="M98" s="984">
        <v>0</v>
      </c>
      <c r="N98" s="981">
        <v>23514.400966143327</v>
      </c>
      <c r="O98" s="937">
        <v>76843.006999999998</v>
      </c>
      <c r="P98" s="937">
        <v>75593.685567006352</v>
      </c>
      <c r="Q98" s="984">
        <v>0</v>
      </c>
      <c r="R98" s="986">
        <v>23496.27</v>
      </c>
      <c r="S98" s="985">
        <f t="shared" si="20"/>
        <v>18.130966143326077</v>
      </c>
      <c r="T98" s="937">
        <v>76843.006999999998</v>
      </c>
      <c r="U98" s="985">
        <f t="shared" si="9"/>
        <v>0</v>
      </c>
      <c r="V98" s="989">
        <v>75593.672000000006</v>
      </c>
      <c r="W98" s="989">
        <v>0</v>
      </c>
      <c r="X98" s="982">
        <f t="shared" si="10"/>
        <v>1.3567006346420385E-2</v>
      </c>
      <c r="Y98" s="988">
        <v>0</v>
      </c>
      <c r="Z98" s="990">
        <f t="shared" si="11"/>
        <v>0</v>
      </c>
      <c r="AA98" s="929"/>
      <c r="AB98" s="930"/>
      <c r="AC98" s="931">
        <f t="shared" si="12"/>
        <v>-145611.86409000057</v>
      </c>
      <c r="AD98" s="931">
        <f t="shared" si="13"/>
        <v>145611.86409000057</v>
      </c>
      <c r="AE98" s="931">
        <f t="shared" si="14"/>
        <v>1.4313951447828906E-2</v>
      </c>
      <c r="AF98" s="931">
        <f t="shared" si="15"/>
        <v>145611.84977604912</v>
      </c>
      <c r="AG98" s="932" t="e">
        <f t="shared" si="21"/>
        <v>#REF!</v>
      </c>
      <c r="AH98" s="843"/>
      <c r="AI98" s="843"/>
      <c r="AJ98" s="843"/>
    </row>
    <row r="99" spans="2:42" x14ac:dyDescent="0.2">
      <c r="C99" s="933"/>
      <c r="D99" s="919"/>
      <c r="E99" s="920"/>
      <c r="F99" s="934"/>
      <c r="G99" s="935"/>
      <c r="H99" s="923"/>
      <c r="I99" s="924"/>
      <c r="J99" s="925"/>
      <c r="K99" s="926"/>
      <c r="L99" s="926"/>
      <c r="M99" s="926"/>
      <c r="N99" s="927"/>
      <c r="O99" s="1005"/>
      <c r="P99" s="928"/>
      <c r="Q99" s="1005"/>
      <c r="R99" s="981"/>
      <c r="S99" s="990"/>
      <c r="T99" s="928"/>
      <c r="U99" s="990"/>
      <c r="V99" s="989"/>
      <c r="W99" s="989"/>
      <c r="X99" s="987"/>
      <c r="Y99" s="988"/>
      <c r="Z99" s="990"/>
      <c r="AA99" s="929"/>
      <c r="AB99" s="930"/>
      <c r="AC99" s="931"/>
      <c r="AD99" s="931"/>
      <c r="AE99" s="931"/>
      <c r="AF99" s="931"/>
      <c r="AG99" s="932"/>
      <c r="AH99" s="843"/>
      <c r="AI99" s="843"/>
      <c r="AJ99" s="843"/>
    </row>
    <row r="100" spans="2:42" x14ac:dyDescent="0.2">
      <c r="C100" s="933"/>
      <c r="D100" s="919"/>
      <c r="E100" s="920"/>
      <c r="F100" s="934"/>
      <c r="G100" s="935"/>
      <c r="H100" s="923"/>
      <c r="I100" s="924"/>
      <c r="J100" s="925"/>
      <c r="K100" s="926"/>
      <c r="L100" s="926"/>
      <c r="M100" s="926"/>
      <c r="N100" s="927"/>
      <c r="O100" s="1005"/>
      <c r="P100" s="928"/>
      <c r="Q100" s="1005"/>
      <c r="R100" s="981"/>
      <c r="S100" s="990"/>
      <c r="T100" s="928"/>
      <c r="U100" s="990"/>
      <c r="V100" s="989"/>
      <c r="W100" s="989"/>
      <c r="X100" s="987"/>
      <c r="Y100" s="988"/>
      <c r="Z100" s="990"/>
      <c r="AA100" s="929"/>
      <c r="AB100" s="930"/>
      <c r="AC100" s="931"/>
      <c r="AD100" s="931"/>
      <c r="AE100" s="931"/>
      <c r="AF100" s="931"/>
      <c r="AG100" s="932"/>
      <c r="AH100" s="843"/>
      <c r="AI100" s="843"/>
      <c r="AJ100" s="843"/>
    </row>
    <row r="101" spans="2:42" ht="13.5" thickBot="1" x14ac:dyDescent="0.25">
      <c r="C101" s="938"/>
      <c r="D101" s="939"/>
      <c r="E101" s="940"/>
      <c r="F101" s="941"/>
      <c r="G101" s="942"/>
      <c r="H101" s="943"/>
      <c r="I101" s="944"/>
      <c r="J101" s="945"/>
      <c r="K101" s="946"/>
      <c r="L101" s="946"/>
      <c r="M101" s="946"/>
      <c r="N101" s="947"/>
      <c r="O101" s="1007"/>
      <c r="P101" s="948"/>
      <c r="Q101" s="1007"/>
      <c r="R101" s="991"/>
      <c r="S101" s="995"/>
      <c r="T101" s="948"/>
      <c r="U101" s="995"/>
      <c r="V101" s="994"/>
      <c r="W101" s="994"/>
      <c r="X101" s="992"/>
      <c r="Y101" s="993"/>
      <c r="Z101" s="995"/>
      <c r="AA101" s="949"/>
      <c r="AB101" s="950"/>
      <c r="AC101" s="951"/>
      <c r="AD101" s="951"/>
      <c r="AE101" s="951"/>
      <c r="AF101" s="951"/>
      <c r="AG101" s="952"/>
      <c r="AH101" s="843"/>
      <c r="AI101" s="843"/>
      <c r="AJ101" s="843"/>
    </row>
    <row r="102" spans="2:42" ht="13.5" thickBot="1" x14ac:dyDescent="0.25">
      <c r="C102" s="953"/>
      <c r="D102" s="954">
        <f>SUM(D71:D101)</f>
        <v>4753878.6399999978</v>
      </c>
      <c r="E102" s="954">
        <f>SUM(E71:E101)</f>
        <v>447053.48799999995</v>
      </c>
      <c r="F102" s="955">
        <f>SUM(F71:F101)</f>
        <v>5525821.0192775624</v>
      </c>
      <c r="G102" s="955"/>
      <c r="H102" s="956">
        <f t="shared" ref="H102:M102" si="22">SUM(H71:H101)</f>
        <v>5448.9973000000009</v>
      </c>
      <c r="I102" s="954">
        <f t="shared" si="22"/>
        <v>10732229.755302243</v>
      </c>
      <c r="J102" s="996">
        <f t="shared" si="22"/>
        <v>516499.92790000205</v>
      </c>
      <c r="K102" s="996">
        <f t="shared" si="22"/>
        <v>2938221.1866300115</v>
      </c>
      <c r="L102" s="996">
        <f t="shared" si="22"/>
        <v>1988532.6414400071</v>
      </c>
      <c r="M102" s="996">
        <f t="shared" si="22"/>
        <v>0</v>
      </c>
      <c r="N102" s="1024">
        <f t="shared" ref="N102:AA102" si="23">SUM(N71:N101)</f>
        <v>564164.96511297568</v>
      </c>
      <c r="O102" s="1024">
        <f t="shared" si="23"/>
        <v>2033705.201629</v>
      </c>
      <c r="P102" s="1024">
        <f t="shared" si="23"/>
        <v>2927950.8525355863</v>
      </c>
      <c r="Q102" s="1024">
        <f t="shared" si="23"/>
        <v>0</v>
      </c>
      <c r="R102" s="1024">
        <f t="shared" si="23"/>
        <v>562399.53500000003</v>
      </c>
      <c r="S102" s="1024">
        <f t="shared" si="23"/>
        <v>1765.4301129756277</v>
      </c>
      <c r="T102" s="1024">
        <f t="shared" si="23"/>
        <v>2033705.2009999999</v>
      </c>
      <c r="U102" s="1024">
        <f t="shared" si="23"/>
        <v>6.2900003104005009E-4</v>
      </c>
      <c r="V102" s="1024">
        <f t="shared" si="23"/>
        <v>1899398.5020000001</v>
      </c>
      <c r="W102" s="1024">
        <f t="shared" si="23"/>
        <v>851168.8330000001</v>
      </c>
      <c r="X102" s="1024">
        <f t="shared" si="23"/>
        <v>177383.51753558672</v>
      </c>
      <c r="Y102" s="996">
        <f t="shared" si="23"/>
        <v>0</v>
      </c>
      <c r="Z102" s="996">
        <f t="shared" si="23"/>
        <v>0</v>
      </c>
      <c r="AA102" s="958">
        <f t="shared" si="23"/>
        <v>0</v>
      </c>
      <c r="AB102" s="829"/>
      <c r="AC102" s="959"/>
      <c r="AD102" s="960">
        <f>SUM(AD71:AD101)</f>
        <v>5443253.7559700208</v>
      </c>
      <c r="AE102" s="960">
        <f>SUM(AE71:AE101)</f>
        <v>187149.54447702592</v>
      </c>
      <c r="AF102" s="960">
        <f>SUM(AF71:AF101)</f>
        <v>5256104.2114929948</v>
      </c>
      <c r="AG102" s="961" t="e">
        <f>#REF!</f>
        <v>#REF!</v>
      </c>
      <c r="AH102" s="843"/>
      <c r="AI102" s="843"/>
      <c r="AJ102" s="843"/>
      <c r="AP102" s="958" t="e">
        <f>#REF!</f>
        <v>#REF!</v>
      </c>
    </row>
    <row r="103" spans="2:42" ht="15" customHeight="1" thickBot="1" x14ac:dyDescent="0.25">
      <c r="B103" s="843"/>
      <c r="C103" s="843"/>
      <c r="D103" s="843"/>
      <c r="E103" s="843"/>
      <c r="F103" s="843"/>
      <c r="G103" s="843"/>
      <c r="H103" s="843"/>
      <c r="I103" s="843"/>
      <c r="J103" s="843"/>
      <c r="K103" s="843"/>
      <c r="L103" s="843"/>
      <c r="N103" s="829"/>
      <c r="O103" s="843"/>
      <c r="V103" s="997">
        <f>V102/(V102+W102)</f>
        <v>0.69054790182040759</v>
      </c>
      <c r="W103" s="998">
        <f>W102/(V102+W102)</f>
        <v>0.30945209817959252</v>
      </c>
      <c r="Z103" s="829"/>
      <c r="AA103" s="829"/>
      <c r="AB103" s="829"/>
      <c r="AC103" s="829"/>
      <c r="AD103" s="829"/>
      <c r="AE103" s="829"/>
      <c r="AF103" s="829"/>
      <c r="AH103" s="843"/>
      <c r="AI103" s="843"/>
      <c r="AJ103" s="843"/>
    </row>
    <row r="104" spans="2:42" ht="13.5" thickBot="1" x14ac:dyDescent="0.25">
      <c r="D104" s="1795" t="s">
        <v>155</v>
      </c>
      <c r="E104" s="1796" t="s">
        <v>156</v>
      </c>
      <c r="F104" s="1797" t="s">
        <v>112</v>
      </c>
      <c r="N104" s="829"/>
      <c r="P104" s="827"/>
      <c r="Z104" s="829"/>
      <c r="AA104" s="829"/>
      <c r="AB104" s="829"/>
      <c r="AG104" s="843"/>
    </row>
    <row r="105" spans="2:42" x14ac:dyDescent="0.2">
      <c r="D105" s="1798">
        <v>4753878.6399999997</v>
      </c>
      <c r="E105" s="1800">
        <f>D102</f>
        <v>4753878.6399999978</v>
      </c>
      <c r="F105" s="1801">
        <f>D105-E105</f>
        <v>0</v>
      </c>
      <c r="G105" s="968"/>
      <c r="H105" s="968"/>
      <c r="I105" s="968"/>
      <c r="N105" s="829"/>
      <c r="P105" s="827"/>
      <c r="V105" s="1008">
        <f>1-V103-W103</f>
        <v>0</v>
      </c>
      <c r="X105" s="958">
        <f>V102+W102</f>
        <v>2750567.335</v>
      </c>
      <c r="Z105" s="829"/>
      <c r="AA105" s="829"/>
      <c r="AB105" s="829"/>
      <c r="AG105" s="843"/>
    </row>
    <row r="106" spans="2:42" x14ac:dyDescent="0.2">
      <c r="D106" s="1798">
        <v>447053.49</v>
      </c>
      <c r="E106" s="1800">
        <f>E102</f>
        <v>447053.48799999995</v>
      </c>
      <c r="F106" s="1801">
        <f>D106-E106</f>
        <v>2.0000000367872417E-3</v>
      </c>
      <c r="G106" s="968"/>
      <c r="H106" s="968"/>
      <c r="I106" s="968"/>
      <c r="Z106" s="829"/>
    </row>
    <row r="107" spans="2:42" ht="13.5" thickBot="1" x14ac:dyDescent="0.25">
      <c r="D107" s="1799">
        <f>2887.24+ 555.89+2005.43</f>
        <v>5448.5599999999995</v>
      </c>
      <c r="E107" s="1802">
        <f>ROUND(H102,2)</f>
        <v>5449</v>
      </c>
      <c r="F107" s="1803">
        <f>D107-E107</f>
        <v>-0.44000000000050932</v>
      </c>
      <c r="G107" s="968"/>
    </row>
    <row r="108" spans="2:42" x14ac:dyDescent="0.2">
      <c r="D108" s="968"/>
    </row>
    <row r="110" spans="2:42" x14ac:dyDescent="0.2">
      <c r="O110" s="827"/>
      <c r="P110" s="827"/>
      <c r="Q110" s="827"/>
    </row>
    <row r="111" spans="2:42" x14ac:dyDescent="0.2">
      <c r="O111" s="827"/>
      <c r="P111" s="827"/>
      <c r="Q111" s="827"/>
    </row>
    <row r="112" spans="2:42" x14ac:dyDescent="0.2">
      <c r="E112" s="1023"/>
      <c r="G112" s="1023"/>
      <c r="J112" s="958"/>
      <c r="O112" s="827"/>
      <c r="P112" s="827"/>
      <c r="Q112" s="827"/>
    </row>
    <row r="113" spans="6:17" x14ac:dyDescent="0.2">
      <c r="F113" s="1023"/>
      <c r="J113" s="1023"/>
      <c r="L113" s="1023"/>
      <c r="O113" s="827"/>
      <c r="P113" s="827"/>
      <c r="Q113" s="827"/>
    </row>
    <row r="114" spans="6:17" x14ac:dyDescent="0.2">
      <c r="F114" s="1023"/>
      <c r="J114" s="1023"/>
      <c r="L114" s="1023"/>
      <c r="O114" s="827"/>
      <c r="P114" s="827"/>
      <c r="Q114" s="827"/>
    </row>
    <row r="115" spans="6:17" x14ac:dyDescent="0.2">
      <c r="F115" s="1023"/>
      <c r="J115" s="1023"/>
      <c r="L115" s="1023"/>
      <c r="O115" s="827"/>
      <c r="P115" s="827"/>
      <c r="Q115" s="827"/>
    </row>
    <row r="116" spans="6:17" x14ac:dyDescent="0.2">
      <c r="F116" s="1023"/>
      <c r="J116" s="1023"/>
      <c r="L116" s="1023"/>
      <c r="O116" s="827"/>
      <c r="P116" s="827"/>
      <c r="Q116" s="827"/>
    </row>
    <row r="117" spans="6:17" x14ac:dyDescent="0.2">
      <c r="F117" s="1023"/>
      <c r="J117" s="1023"/>
      <c r="L117" s="1023"/>
      <c r="O117" s="827"/>
      <c r="P117" s="827"/>
      <c r="Q117" s="827"/>
    </row>
    <row r="118" spans="6:17" x14ac:dyDescent="0.2">
      <c r="F118" s="1023"/>
      <c r="J118" s="1023"/>
      <c r="L118" s="1023"/>
      <c r="O118" s="827"/>
      <c r="P118" s="827"/>
      <c r="Q118" s="827"/>
    </row>
    <row r="119" spans="6:17" x14ac:dyDescent="0.2">
      <c r="F119" s="1023"/>
      <c r="J119" s="1023"/>
      <c r="L119" s="1023"/>
      <c r="O119" s="827"/>
      <c r="P119" s="827"/>
      <c r="Q119" s="827"/>
    </row>
    <row r="120" spans="6:17" x14ac:dyDescent="0.2">
      <c r="F120" s="1023"/>
      <c r="J120" s="1023"/>
      <c r="L120" s="1023"/>
      <c r="O120" s="827"/>
      <c r="P120" s="827"/>
      <c r="Q120" s="827"/>
    </row>
    <row r="121" spans="6:17" x14ac:dyDescent="0.2">
      <c r="F121" s="1023"/>
      <c r="J121" s="1023"/>
      <c r="L121" s="1023"/>
      <c r="O121" s="827"/>
      <c r="P121" s="827"/>
      <c r="Q121" s="827"/>
    </row>
    <row r="122" spans="6:17" x14ac:dyDescent="0.2">
      <c r="F122" s="1023"/>
      <c r="J122" s="1023"/>
      <c r="L122" s="1023"/>
      <c r="O122" s="827"/>
      <c r="P122" s="827"/>
      <c r="Q122" s="827"/>
    </row>
    <row r="123" spans="6:17" x14ac:dyDescent="0.2">
      <c r="F123" s="1023"/>
      <c r="J123" s="1023"/>
      <c r="L123" s="1023"/>
      <c r="O123" s="827"/>
      <c r="P123" s="827"/>
      <c r="Q123" s="827"/>
    </row>
    <row r="124" spans="6:17" x14ac:dyDescent="0.2">
      <c r="F124" s="1023"/>
      <c r="J124" s="1023"/>
      <c r="L124" s="1023"/>
      <c r="O124" s="827"/>
      <c r="P124" s="827"/>
      <c r="Q124" s="827"/>
    </row>
    <row r="125" spans="6:17" x14ac:dyDescent="0.2">
      <c r="F125" s="1023"/>
      <c r="J125" s="1023"/>
      <c r="L125" s="1023"/>
      <c r="O125" s="827"/>
      <c r="P125" s="827"/>
      <c r="Q125" s="827"/>
    </row>
    <row r="126" spans="6:17" x14ac:dyDescent="0.2">
      <c r="F126" s="1023"/>
      <c r="J126" s="1023"/>
      <c r="L126" s="1023"/>
      <c r="O126" s="827"/>
      <c r="P126" s="827"/>
      <c r="Q126" s="827"/>
    </row>
    <row r="127" spans="6:17" x14ac:dyDescent="0.2">
      <c r="F127" s="1023"/>
      <c r="J127" s="1023"/>
      <c r="L127" s="1023"/>
      <c r="O127" s="827"/>
      <c r="P127" s="827"/>
      <c r="Q127" s="827"/>
    </row>
    <row r="128" spans="6:17" x14ac:dyDescent="0.2">
      <c r="F128" s="1023"/>
      <c r="J128" s="1023"/>
      <c r="L128" s="1023"/>
      <c r="O128" s="827"/>
      <c r="P128" s="827"/>
      <c r="Q128" s="827"/>
    </row>
    <row r="129" spans="6:17" x14ac:dyDescent="0.2">
      <c r="F129" s="1023"/>
      <c r="J129" s="1023"/>
      <c r="L129" s="1023"/>
      <c r="O129" s="827"/>
      <c r="P129" s="827"/>
      <c r="Q129" s="827"/>
    </row>
    <row r="130" spans="6:17" x14ac:dyDescent="0.2">
      <c r="F130" s="1023"/>
      <c r="J130" s="1023"/>
      <c r="L130" s="1023"/>
      <c r="O130" s="827"/>
      <c r="P130" s="827"/>
      <c r="Q130" s="827"/>
    </row>
    <row r="131" spans="6:17" x14ac:dyDescent="0.2">
      <c r="F131" s="1023"/>
      <c r="J131" s="1023"/>
      <c r="L131" s="1023"/>
      <c r="O131" s="827"/>
      <c r="P131" s="827"/>
      <c r="Q131" s="827"/>
    </row>
    <row r="132" spans="6:17" x14ac:dyDescent="0.2">
      <c r="F132" s="1023"/>
      <c r="J132" s="1023"/>
      <c r="L132" s="1023"/>
      <c r="O132" s="827"/>
      <c r="P132" s="827"/>
      <c r="Q132" s="827"/>
    </row>
    <row r="133" spans="6:17" x14ac:dyDescent="0.2">
      <c r="F133" s="1023"/>
      <c r="J133" s="1023"/>
      <c r="L133" s="1023"/>
      <c r="O133" s="827"/>
      <c r="P133" s="827"/>
      <c r="Q133" s="827"/>
    </row>
    <row r="134" spans="6:17" x14ac:dyDescent="0.2">
      <c r="F134" s="1023"/>
      <c r="J134" s="1023"/>
      <c r="L134" s="1023"/>
      <c r="O134" s="827"/>
      <c r="P134" s="827"/>
      <c r="Q134" s="827"/>
    </row>
    <row r="135" spans="6:17" x14ac:dyDescent="0.2">
      <c r="F135" s="1023"/>
      <c r="J135" s="1023"/>
      <c r="L135" s="1023"/>
      <c r="O135" s="827"/>
      <c r="P135" s="827"/>
      <c r="Q135" s="827"/>
    </row>
    <row r="136" spans="6:17" x14ac:dyDescent="0.2">
      <c r="F136" s="1023"/>
      <c r="J136" s="1023"/>
      <c r="L136" s="1023"/>
      <c r="O136" s="827"/>
      <c r="P136" s="827"/>
      <c r="Q136" s="827"/>
    </row>
    <row r="137" spans="6:17" x14ac:dyDescent="0.2">
      <c r="F137" s="1023"/>
      <c r="J137" s="1023"/>
      <c r="L137" s="1023"/>
      <c r="O137" s="827"/>
      <c r="P137" s="827"/>
      <c r="Q137" s="827"/>
    </row>
    <row r="138" spans="6:17" x14ac:dyDescent="0.2">
      <c r="F138" s="1023"/>
      <c r="J138" s="1023"/>
      <c r="L138" s="1023"/>
      <c r="N138" s="1074"/>
      <c r="O138" s="827"/>
    </row>
    <row r="139" spans="6:17" x14ac:dyDescent="0.2">
      <c r="F139" s="1023"/>
    </row>
  </sheetData>
  <mergeCells count="10">
    <mergeCell ref="N69:Q69"/>
    <mergeCell ref="R69:Z69"/>
    <mergeCell ref="J69:M69"/>
    <mergeCell ref="C17:E17"/>
    <mergeCell ref="C3:M4"/>
    <mergeCell ref="C5:M5"/>
    <mergeCell ref="C6:M6"/>
    <mergeCell ref="C14:E14"/>
    <mergeCell ref="C15:E15"/>
    <mergeCell ref="C16:E16"/>
  </mergeCells>
  <conditionalFormatting sqref="O99:Q101 O71:P98">
    <cfRule type="cellIs" dxfId="76" priority="10" stopIfTrue="1" operator="equal">
      <formula>0</formula>
    </cfRule>
  </conditionalFormatting>
  <conditionalFormatting sqref="T71:T99 T101">
    <cfRule type="cellIs" dxfId="75" priority="9" stopIfTrue="1" operator="equal">
      <formula>0</formula>
    </cfRule>
  </conditionalFormatting>
  <conditionalFormatting sqref="T100">
    <cfRule type="cellIs" dxfId="74" priority="8" stopIfTrue="1" operator="equal">
      <formula>0</formula>
    </cfRule>
  </conditionalFormatting>
  <conditionalFormatting sqref="R99 R101">
    <cfRule type="cellIs" dxfId="73" priority="7" stopIfTrue="1" operator="equal">
      <formula>0</formula>
    </cfRule>
  </conditionalFormatting>
  <conditionalFormatting sqref="R100">
    <cfRule type="cellIs" dxfId="72" priority="6" stopIfTrue="1" operator="equal">
      <formula>0</formula>
    </cfRule>
  </conditionalFormatting>
  <conditionalFormatting sqref="N71:N101">
    <cfRule type="cellIs" dxfId="71" priority="2" stopIfTrue="1" operator="equal">
      <formula>0</formula>
    </cfRule>
  </conditionalFormatting>
  <conditionalFormatting sqref="R71:R98">
    <cfRule type="cellIs" dxfId="70" priority="1" stopIfTrue="1" operator="equal">
      <formula>0</formula>
    </cfRule>
  </conditionalFormatting>
  <printOptions horizontalCentered="1"/>
  <pageMargins left="0.59055118110236227" right="0.39370078740157483" top="0" bottom="0" header="0" footer="0.51181102362204722"/>
  <pageSetup scale="42" orientation="landscape" r:id="rId1"/>
  <drawing r:id="rId2"/>
  <legacyDrawing r:id="rId3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2:AP139"/>
  <sheetViews>
    <sheetView topLeftCell="J57" zoomScale="90" zoomScaleNormal="90" workbookViewId="0">
      <selection activeCell="N17" sqref="N17"/>
    </sheetView>
  </sheetViews>
  <sheetFormatPr baseColWidth="10" defaultColWidth="11" defaultRowHeight="12.75" x14ac:dyDescent="0.2"/>
  <cols>
    <col min="1" max="1" width="11" style="829"/>
    <col min="2" max="2" width="3.875" style="829" bestFit="1" customWidth="1"/>
    <col min="3" max="3" width="16.125" style="829" customWidth="1"/>
    <col min="4" max="4" width="15.625" style="829" customWidth="1"/>
    <col min="5" max="5" width="18.375" style="829" customWidth="1"/>
    <col min="6" max="6" width="17.375" style="829" customWidth="1"/>
    <col min="7" max="8" width="13.375" style="829" customWidth="1"/>
    <col min="9" max="9" width="15.125" style="829" customWidth="1"/>
    <col min="10" max="10" width="20.5" style="829" customWidth="1"/>
    <col min="11" max="11" width="12.625" style="829" customWidth="1"/>
    <col min="12" max="12" width="16" style="829" customWidth="1"/>
    <col min="13" max="13" width="17.875" style="829" customWidth="1"/>
    <col min="14" max="14" width="19" style="827" customWidth="1"/>
    <col min="15" max="15" width="12.625" style="829" customWidth="1"/>
    <col min="16" max="17" width="12.625" style="829" bestFit="1" customWidth="1"/>
    <col min="18" max="18" width="10.875" style="829" customWidth="1"/>
    <col min="19" max="19" width="12.625" style="829" bestFit="1" customWidth="1"/>
    <col min="20" max="20" width="14.5" style="829" bestFit="1" customWidth="1"/>
    <col min="21" max="21" width="15.625" style="829" bestFit="1" customWidth="1"/>
    <col min="22" max="22" width="12.125" style="829" bestFit="1" customWidth="1"/>
    <col min="23" max="23" width="11.125" style="829" bestFit="1" customWidth="1"/>
    <col min="24" max="24" width="17.875" style="829" bestFit="1" customWidth="1"/>
    <col min="25" max="25" width="19" style="829" bestFit="1" customWidth="1"/>
    <col min="26" max="26" width="11.125" style="843" bestFit="1" customWidth="1"/>
    <col min="27" max="27" width="14" style="843" bestFit="1" customWidth="1"/>
    <col min="28" max="32" width="11" style="843"/>
    <col min="33" max="38" width="11" style="829"/>
    <col min="39" max="39" width="11.125" style="829" bestFit="1" customWidth="1"/>
    <col min="40" max="16384" width="11" style="829"/>
  </cols>
  <sheetData>
    <row r="2" spans="2:35" x14ac:dyDescent="0.2">
      <c r="B2" s="827"/>
      <c r="C2" s="828"/>
      <c r="D2" s="828"/>
      <c r="E2" s="828"/>
      <c r="F2" s="828"/>
      <c r="G2" s="828"/>
      <c r="H2" s="828"/>
      <c r="I2" s="828"/>
      <c r="J2" s="828"/>
      <c r="K2" s="828"/>
      <c r="L2" s="828"/>
      <c r="M2" s="828"/>
      <c r="N2" s="828"/>
      <c r="Z2" s="829"/>
      <c r="AA2" s="829"/>
      <c r="AB2" s="829"/>
      <c r="AC2" s="829"/>
      <c r="AD2" s="829"/>
      <c r="AE2" s="829"/>
      <c r="AF2" s="829"/>
    </row>
    <row r="3" spans="2:35" ht="15" customHeight="1" x14ac:dyDescent="0.2">
      <c r="B3" s="827"/>
      <c r="C3" s="2295"/>
      <c r="D3" s="2295"/>
      <c r="E3" s="2295"/>
      <c r="F3" s="2295"/>
      <c r="G3" s="2295"/>
      <c r="H3" s="2295"/>
      <c r="I3" s="2295"/>
      <c r="J3" s="2295"/>
      <c r="K3" s="2295"/>
      <c r="L3" s="2295"/>
      <c r="M3" s="2295"/>
      <c r="N3" s="828"/>
      <c r="Z3" s="829"/>
      <c r="AA3" s="829"/>
      <c r="AB3" s="829"/>
      <c r="AC3" s="829"/>
      <c r="AD3" s="829"/>
      <c r="AE3" s="829"/>
      <c r="AF3" s="829"/>
    </row>
    <row r="4" spans="2:35" ht="15" customHeight="1" x14ac:dyDescent="0.2">
      <c r="B4" s="827"/>
      <c r="C4" s="2295"/>
      <c r="D4" s="2295"/>
      <c r="E4" s="2295"/>
      <c r="F4" s="2295"/>
      <c r="G4" s="2295"/>
      <c r="H4" s="2295"/>
      <c r="I4" s="2295"/>
      <c r="J4" s="2295"/>
      <c r="K4" s="2295"/>
      <c r="L4" s="2295"/>
      <c r="M4" s="2295"/>
      <c r="N4" s="828"/>
      <c r="Z4" s="829"/>
      <c r="AA4" s="829"/>
      <c r="AB4" s="829"/>
      <c r="AC4" s="829"/>
      <c r="AD4" s="829"/>
      <c r="AE4" s="829"/>
      <c r="AF4" s="829"/>
    </row>
    <row r="5" spans="2:35" x14ac:dyDescent="0.2">
      <c r="B5" s="827"/>
      <c r="C5" s="2296"/>
      <c r="D5" s="2296"/>
      <c r="E5" s="2296"/>
      <c r="F5" s="2296"/>
      <c r="G5" s="2296"/>
      <c r="H5" s="2296"/>
      <c r="I5" s="2296"/>
      <c r="J5" s="2296"/>
      <c r="K5" s="2296"/>
      <c r="L5" s="2296"/>
      <c r="M5" s="2296"/>
      <c r="N5" s="828"/>
      <c r="Z5" s="829"/>
      <c r="AA5" s="829"/>
      <c r="AB5" s="829"/>
      <c r="AC5" s="829"/>
      <c r="AD5" s="829"/>
      <c r="AE5" s="829"/>
      <c r="AF5" s="829"/>
    </row>
    <row r="6" spans="2:35" x14ac:dyDescent="0.2">
      <c r="B6" s="827"/>
      <c r="C6" s="2296"/>
      <c r="D6" s="2296"/>
      <c r="E6" s="2296"/>
      <c r="F6" s="2296"/>
      <c r="G6" s="2296"/>
      <c r="H6" s="2296"/>
      <c r="I6" s="2296"/>
      <c r="J6" s="2296"/>
      <c r="K6" s="2296"/>
      <c r="L6" s="2296"/>
      <c r="M6" s="2296"/>
      <c r="N6" s="828"/>
      <c r="Z6" s="829"/>
      <c r="AA6" s="829"/>
      <c r="AB6" s="829"/>
      <c r="AC6" s="829"/>
      <c r="AD6" s="829"/>
      <c r="AE6" s="829"/>
      <c r="AF6" s="829"/>
    </row>
    <row r="7" spans="2:35" x14ac:dyDescent="0.2">
      <c r="B7" s="827"/>
      <c r="C7" s="830">
        <v>43101</v>
      </c>
      <c r="D7" s="830"/>
      <c r="E7" s="830"/>
      <c r="F7" s="830"/>
      <c r="G7" s="830"/>
      <c r="H7" s="830"/>
      <c r="I7" s="830"/>
      <c r="J7" s="830"/>
      <c r="K7" s="830"/>
      <c r="L7" s="830"/>
      <c r="M7" s="830"/>
      <c r="N7" s="830"/>
      <c r="O7" s="830"/>
      <c r="P7" s="830"/>
      <c r="Q7" s="830"/>
      <c r="R7" s="827"/>
      <c r="S7" s="827"/>
      <c r="T7" s="827"/>
      <c r="U7" s="827"/>
      <c r="V7" s="827"/>
      <c r="W7" s="827"/>
      <c r="X7" s="827"/>
      <c r="Y7" s="827"/>
      <c r="Z7" s="829"/>
      <c r="AA7" s="829"/>
      <c r="AB7" s="829"/>
      <c r="AC7" s="829"/>
      <c r="AD7" s="829"/>
      <c r="AE7" s="829"/>
      <c r="AF7" s="829"/>
    </row>
    <row r="8" spans="2:35" ht="19.5" customHeight="1" x14ac:dyDescent="0.2">
      <c r="B8" s="827"/>
      <c r="C8" s="2075"/>
      <c r="D8" s="2075"/>
      <c r="E8" s="2075"/>
      <c r="F8" s="2075"/>
      <c r="G8" s="2075"/>
      <c r="H8" s="2075"/>
      <c r="I8" s="2075"/>
      <c r="J8" s="2075"/>
      <c r="K8" s="2075"/>
      <c r="L8" s="2075"/>
      <c r="M8" s="828"/>
      <c r="N8" s="828"/>
      <c r="O8" s="827"/>
      <c r="P8" s="827"/>
      <c r="Q8" s="827"/>
      <c r="R8" s="827"/>
      <c r="S8" s="827"/>
      <c r="T8" s="827"/>
      <c r="U8" s="827"/>
      <c r="V8" s="827"/>
      <c r="W8" s="827"/>
      <c r="X8" s="827"/>
      <c r="Y8" s="827"/>
      <c r="Z8" s="829"/>
      <c r="AA8" s="829"/>
      <c r="AB8" s="829"/>
      <c r="AC8" s="829"/>
      <c r="AD8" s="829"/>
      <c r="AE8" s="829"/>
      <c r="AF8" s="829"/>
    </row>
    <row r="9" spans="2:35" ht="19.5" customHeight="1" x14ac:dyDescent="0.2">
      <c r="B9" s="827"/>
      <c r="C9" s="2075"/>
      <c r="D9" s="2075"/>
      <c r="E9" s="2075"/>
      <c r="F9" s="2075"/>
      <c r="G9" s="2075"/>
      <c r="H9" s="2075"/>
      <c r="I9" s="2075"/>
      <c r="J9" s="2075"/>
      <c r="K9" s="2075"/>
      <c r="L9" s="2075"/>
      <c r="M9" s="828"/>
      <c r="N9" s="828"/>
      <c r="O9" s="827"/>
      <c r="P9" s="827"/>
      <c r="Q9" s="827"/>
      <c r="R9" s="827"/>
      <c r="S9" s="827"/>
      <c r="T9" s="827"/>
      <c r="U9" s="827"/>
      <c r="V9" s="827"/>
      <c r="W9" s="827"/>
      <c r="X9" s="827"/>
      <c r="Y9" s="827"/>
      <c r="Z9" s="829"/>
      <c r="AA9" s="829"/>
      <c r="AB9" s="829"/>
      <c r="AC9" s="829"/>
      <c r="AD9" s="829"/>
      <c r="AE9" s="829"/>
      <c r="AF9" s="829"/>
    </row>
    <row r="10" spans="2:35" ht="19.5" customHeight="1" x14ac:dyDescent="0.2">
      <c r="B10" s="827"/>
      <c r="C10" s="2075"/>
      <c r="D10" s="2075"/>
      <c r="E10" s="2075"/>
      <c r="F10" s="2075"/>
      <c r="G10" s="2075"/>
      <c r="H10" s="2075"/>
      <c r="I10" s="2075"/>
      <c r="J10" s="2075"/>
      <c r="K10" s="2075"/>
      <c r="L10" s="2075"/>
      <c r="M10" s="828"/>
      <c r="N10" s="828"/>
      <c r="O10" s="827"/>
      <c r="P10" s="827"/>
      <c r="Q10" s="827"/>
      <c r="R10" s="827"/>
      <c r="S10" s="827"/>
      <c r="T10" s="827"/>
      <c r="U10" s="827"/>
      <c r="V10" s="827"/>
      <c r="W10" s="827"/>
      <c r="X10" s="827"/>
      <c r="Y10" s="827"/>
      <c r="Z10" s="829"/>
      <c r="AA10" s="829"/>
      <c r="AB10" s="829"/>
      <c r="AC10" s="829"/>
      <c r="AD10" s="829"/>
      <c r="AE10" s="829"/>
      <c r="AF10" s="829"/>
    </row>
    <row r="11" spans="2:35" ht="19.5" customHeight="1" x14ac:dyDescent="0.2">
      <c r="B11" s="827"/>
      <c r="C11" s="2075"/>
      <c r="D11" s="2075"/>
      <c r="E11" s="2075"/>
      <c r="F11" s="2075"/>
      <c r="G11" s="2075"/>
      <c r="H11" s="2075"/>
      <c r="I11" s="2075"/>
      <c r="J11" s="2075"/>
      <c r="K11" s="2075"/>
      <c r="L11" s="2075"/>
      <c r="M11" s="828"/>
      <c r="N11" s="828"/>
      <c r="O11" s="827"/>
      <c r="P11" s="827"/>
      <c r="Q11" s="827"/>
      <c r="R11" s="827"/>
      <c r="S11" s="827"/>
      <c r="T11" s="827"/>
      <c r="U11" s="827"/>
      <c r="V11" s="827"/>
      <c r="W11" s="827"/>
      <c r="X11" s="827"/>
      <c r="Y11" s="827"/>
      <c r="Z11" s="829"/>
      <c r="AA11" s="829"/>
      <c r="AB11" s="829"/>
      <c r="AC11" s="829"/>
      <c r="AD11" s="829"/>
      <c r="AE11" s="829"/>
      <c r="AF11" s="829"/>
    </row>
    <row r="12" spans="2:35" ht="19.5" customHeight="1" x14ac:dyDescent="0.2">
      <c r="B12" s="827"/>
      <c r="C12" s="2075"/>
      <c r="D12" s="2075"/>
      <c r="E12" s="2075"/>
      <c r="F12" s="2075"/>
      <c r="G12" s="2075"/>
      <c r="H12" s="2075"/>
      <c r="I12" s="2075"/>
      <c r="J12" s="2075"/>
      <c r="K12" s="2075"/>
      <c r="L12" s="2075"/>
      <c r="M12" s="828"/>
      <c r="N12" s="828"/>
      <c r="O12" s="827"/>
      <c r="P12" s="827"/>
      <c r="Q12" s="827"/>
      <c r="R12" s="827"/>
      <c r="S12" s="827"/>
      <c r="T12" s="827"/>
      <c r="U12" s="827"/>
      <c r="V12" s="827"/>
      <c r="W12" s="827"/>
      <c r="X12" s="827"/>
      <c r="Y12" s="827"/>
      <c r="Z12" s="829"/>
      <c r="AA12" s="829"/>
      <c r="AB12" s="829"/>
      <c r="AC12" s="829"/>
      <c r="AD12" s="829"/>
      <c r="AE12" s="829"/>
      <c r="AF12" s="829"/>
    </row>
    <row r="13" spans="2:35" ht="19.5" customHeight="1" thickBot="1" x14ac:dyDescent="0.25">
      <c r="B13" s="827"/>
      <c r="C13" s="2075"/>
      <c r="D13" s="2075"/>
      <c r="E13" s="2075"/>
      <c r="F13" s="2075"/>
      <c r="G13" s="2075"/>
      <c r="H13" s="2075"/>
      <c r="I13" s="2075"/>
      <c r="J13" s="2075"/>
      <c r="K13" s="2075"/>
      <c r="L13" s="2075"/>
      <c r="M13" s="828"/>
      <c r="N13" s="828"/>
      <c r="O13" s="827"/>
      <c r="P13" s="827"/>
      <c r="Q13" s="827"/>
      <c r="R13" s="827"/>
      <c r="S13" s="827"/>
      <c r="T13" s="827"/>
      <c r="U13" s="827"/>
      <c r="V13" s="827"/>
      <c r="W13" s="827"/>
      <c r="X13" s="827"/>
      <c r="Y13" s="827"/>
      <c r="Z13" s="829"/>
      <c r="AA13" s="829"/>
      <c r="AB13" s="829"/>
      <c r="AC13" s="829"/>
      <c r="AD13" s="829"/>
      <c r="AE13" s="829"/>
      <c r="AF13" s="829"/>
    </row>
    <row r="14" spans="2:35" ht="26.25" thickBot="1" x14ac:dyDescent="0.25">
      <c r="B14" s="827"/>
      <c r="C14" s="2333" t="s">
        <v>6</v>
      </c>
      <c r="D14" s="2334"/>
      <c r="E14" s="2335"/>
      <c r="F14" s="832" t="s">
        <v>227</v>
      </c>
      <c r="G14" s="832" t="s">
        <v>230</v>
      </c>
      <c r="H14" s="832" t="s">
        <v>228</v>
      </c>
      <c r="I14" s="832" t="s">
        <v>229</v>
      </c>
      <c r="J14" s="833" t="s">
        <v>126</v>
      </c>
      <c r="K14" s="833" t="s">
        <v>133</v>
      </c>
      <c r="L14" s="832" t="s">
        <v>127</v>
      </c>
      <c r="M14" s="834" t="s">
        <v>128</v>
      </c>
      <c r="N14" s="828"/>
      <c r="O14" s="827"/>
      <c r="P14" s="827"/>
      <c r="Q14" s="827"/>
      <c r="R14" s="827"/>
      <c r="S14" s="827"/>
      <c r="T14" s="827"/>
      <c r="U14" s="827"/>
      <c r="V14" s="827"/>
      <c r="W14" s="827"/>
      <c r="X14" s="827"/>
      <c r="Y14" s="827"/>
      <c r="Z14" s="829"/>
      <c r="AA14" s="829"/>
      <c r="AB14" s="829"/>
      <c r="AC14" s="829"/>
      <c r="AD14" s="829"/>
      <c r="AE14" s="829"/>
      <c r="AF14" s="829"/>
    </row>
    <row r="15" spans="2:35" ht="13.5" thickBot="1" x14ac:dyDescent="0.25">
      <c r="B15" s="827"/>
      <c r="C15" s="2329" t="s">
        <v>131</v>
      </c>
      <c r="D15" s="2330"/>
      <c r="E15" s="2331"/>
      <c r="F15" s="835"/>
      <c r="G15" s="836" t="s">
        <v>165</v>
      </c>
      <c r="H15" s="835"/>
      <c r="I15" s="837">
        <f>IF(D105=0,E105,D105)</f>
        <v>4753878.6399999997</v>
      </c>
      <c r="J15" s="837">
        <f>I15*0.16</f>
        <v>760620.58239999996</v>
      </c>
      <c r="K15" s="837">
        <f>I15+J15</f>
        <v>5514499.2223999994</v>
      </c>
      <c r="L15" s="838" t="s">
        <v>737</v>
      </c>
      <c r="M15" s="839">
        <v>18.957799999999999</v>
      </c>
      <c r="O15" s="827"/>
      <c r="P15" s="827"/>
      <c r="Q15" s="827"/>
      <c r="R15" s="827"/>
      <c r="S15" s="827"/>
      <c r="T15" s="827"/>
      <c r="U15" s="827"/>
      <c r="V15" s="827"/>
      <c r="W15" s="827"/>
      <c r="X15" s="827"/>
      <c r="Y15" s="827"/>
      <c r="Z15" s="829"/>
      <c r="AA15" s="829"/>
      <c r="AB15" s="829"/>
      <c r="AC15" s="829"/>
      <c r="AD15" s="829"/>
      <c r="AE15" s="829"/>
      <c r="AF15" s="829"/>
    </row>
    <row r="16" spans="2:35" ht="13.5" thickBot="1" x14ac:dyDescent="0.25">
      <c r="B16" s="827"/>
      <c r="C16" s="2329" t="s">
        <v>275</v>
      </c>
      <c r="D16" s="2330"/>
      <c r="E16" s="2331"/>
      <c r="F16" s="840"/>
      <c r="G16" s="836" t="s">
        <v>165</v>
      </c>
      <c r="H16" s="840"/>
      <c r="I16" s="837">
        <f>IF(D106=0,E106,D106)</f>
        <v>447053.49</v>
      </c>
      <c r="J16" s="837">
        <f>I16*0.16</f>
        <v>71528.558399999994</v>
      </c>
      <c r="K16" s="837">
        <f>I16+J16</f>
        <v>518582.04839999997</v>
      </c>
      <c r="L16" s="838" t="s">
        <v>735</v>
      </c>
      <c r="M16" s="839">
        <v>18.957799999999999</v>
      </c>
      <c r="O16" s="827"/>
      <c r="P16" s="827"/>
      <c r="Q16" s="827"/>
      <c r="R16" s="827"/>
      <c r="S16" s="827"/>
      <c r="T16" s="827"/>
      <c r="U16" s="827"/>
      <c r="V16" s="827"/>
      <c r="W16" s="827"/>
      <c r="X16" s="827"/>
      <c r="Y16" s="827"/>
      <c r="Z16" s="827"/>
      <c r="AA16" s="827"/>
      <c r="AB16" s="827"/>
      <c r="AG16" s="843"/>
      <c r="AH16" s="843"/>
      <c r="AI16" s="843"/>
    </row>
    <row r="17" spans="2:33" ht="26.25" thickBot="1" x14ac:dyDescent="0.25">
      <c r="B17" s="827"/>
      <c r="C17" s="2326" t="s">
        <v>132</v>
      </c>
      <c r="D17" s="2327"/>
      <c r="E17" s="2328"/>
      <c r="F17" s="844"/>
      <c r="G17" s="845" t="s">
        <v>165</v>
      </c>
      <c r="H17" s="844"/>
      <c r="I17" s="846">
        <f>IF(D107=0,E107,D107)</f>
        <v>5878.96</v>
      </c>
      <c r="J17" s="846">
        <f>I17*0.16</f>
        <v>940.6336</v>
      </c>
      <c r="K17" s="846">
        <f>I17+J17</f>
        <v>6819.5936000000002</v>
      </c>
      <c r="L17" s="847" t="s">
        <v>736</v>
      </c>
      <c r="M17" s="848">
        <v>18.957799999999999</v>
      </c>
      <c r="O17" s="827"/>
      <c r="P17" s="827"/>
      <c r="Q17" s="827"/>
      <c r="R17" s="827"/>
      <c r="S17" s="827"/>
      <c r="T17" s="827"/>
      <c r="U17" s="827"/>
      <c r="V17" s="827"/>
      <c r="W17" s="827"/>
      <c r="X17" s="827"/>
      <c r="Y17" s="827"/>
      <c r="Z17" s="829"/>
      <c r="AA17" s="829"/>
      <c r="AB17" s="829"/>
      <c r="AC17" s="829"/>
      <c r="AD17" s="829"/>
      <c r="AE17" s="829"/>
      <c r="AF17" s="829"/>
    </row>
    <row r="18" spans="2:33" x14ac:dyDescent="0.2">
      <c r="B18" s="827"/>
      <c r="C18" s="2075"/>
      <c r="D18" s="2075"/>
      <c r="E18" s="2075"/>
      <c r="F18" s="2075"/>
      <c r="G18" s="2075"/>
      <c r="H18" s="827"/>
      <c r="I18" s="827"/>
      <c r="J18" s="827"/>
      <c r="K18" s="827"/>
      <c r="L18" s="827"/>
      <c r="M18" s="827"/>
      <c r="O18" s="827"/>
      <c r="P18" s="827"/>
      <c r="Q18" s="827"/>
      <c r="R18" s="827"/>
      <c r="S18" s="827"/>
      <c r="T18" s="827"/>
      <c r="U18" s="827"/>
      <c r="V18" s="827"/>
      <c r="W18" s="827"/>
      <c r="X18" s="827"/>
      <c r="Y18" s="827"/>
    </row>
    <row r="19" spans="2:33" x14ac:dyDescent="0.2">
      <c r="B19" s="827"/>
      <c r="C19" s="2075"/>
      <c r="D19" s="2075"/>
      <c r="E19" s="2075"/>
      <c r="F19" s="2075"/>
      <c r="G19" s="2075"/>
      <c r="H19" s="827"/>
      <c r="I19" s="827"/>
      <c r="J19" s="827"/>
      <c r="K19" s="827"/>
      <c r="L19" s="827">
        <f>K17*M17</f>
        <v>129284.49155008</v>
      </c>
      <c r="O19" s="827"/>
      <c r="P19" s="827"/>
      <c r="Q19" s="827"/>
      <c r="R19" s="827"/>
      <c r="S19" s="827"/>
      <c r="T19" s="827"/>
      <c r="U19" s="827"/>
      <c r="V19" s="827"/>
      <c r="W19" s="827"/>
      <c r="X19" s="827"/>
      <c r="Y19" s="827"/>
    </row>
    <row r="20" spans="2:33" ht="13.5" thickBot="1" x14ac:dyDescent="0.25">
      <c r="B20" s="827"/>
      <c r="C20" s="849"/>
      <c r="D20" s="2075"/>
      <c r="E20" s="2075"/>
      <c r="F20" s="2075"/>
      <c r="G20" s="2075"/>
      <c r="H20" s="2075"/>
      <c r="I20" s="2075"/>
      <c r="J20" s="2075"/>
      <c r="K20" s="2075"/>
      <c r="L20" s="2075"/>
      <c r="M20" s="2075"/>
      <c r="N20" s="2075"/>
      <c r="O20" s="2075"/>
      <c r="P20" s="2075"/>
      <c r="Q20" s="2075"/>
      <c r="R20" s="827"/>
      <c r="S20" s="827"/>
      <c r="T20" s="827"/>
      <c r="U20" s="827"/>
      <c r="V20" s="827"/>
      <c r="W20" s="827"/>
      <c r="X20" s="827"/>
      <c r="Y20" s="827"/>
      <c r="Z20" s="827"/>
      <c r="AG20" s="843"/>
    </row>
    <row r="21" spans="2:33" ht="51.75" thickBot="1" x14ac:dyDescent="0.25">
      <c r="B21" s="827"/>
      <c r="C21" s="850" t="s">
        <v>134</v>
      </c>
      <c r="D21" s="832" t="s">
        <v>135</v>
      </c>
      <c r="E21" s="832" t="s">
        <v>285</v>
      </c>
      <c r="F21" s="832" t="s">
        <v>278</v>
      </c>
      <c r="G21" s="832" t="s">
        <v>153</v>
      </c>
      <c r="H21" s="832" t="s">
        <v>279</v>
      </c>
      <c r="I21" s="832" t="s">
        <v>281</v>
      </c>
      <c r="J21" s="832" t="s">
        <v>280</v>
      </c>
      <c r="K21" s="832" t="s">
        <v>245</v>
      </c>
      <c r="L21" s="832" t="s">
        <v>246</v>
      </c>
      <c r="M21" s="834" t="s">
        <v>158</v>
      </c>
      <c r="O21" s="2075"/>
      <c r="P21" s="2075"/>
      <c r="Q21" s="2075"/>
      <c r="R21" s="2075"/>
      <c r="S21" s="2075"/>
      <c r="T21" s="2075"/>
      <c r="U21" s="2075"/>
      <c r="V21" s="827"/>
      <c r="W21" s="827"/>
      <c r="X21" s="827"/>
      <c r="Y21" s="827"/>
      <c r="Z21" s="827"/>
      <c r="AG21" s="843"/>
    </row>
    <row r="22" spans="2:33" ht="13.5" thickBot="1" x14ac:dyDescent="0.25">
      <c r="B22" s="827"/>
      <c r="C22" s="851">
        <v>850</v>
      </c>
      <c r="D22" s="1010">
        <v>850</v>
      </c>
      <c r="E22" s="852">
        <v>31482640</v>
      </c>
      <c r="F22" s="852">
        <v>31482640</v>
      </c>
      <c r="G22" s="852">
        <v>31</v>
      </c>
      <c r="H22" s="853">
        <f>VLOOKUP(C69,Tarifas!D4:H303,3)</f>
        <v>0.151</v>
      </c>
      <c r="I22" s="1694">
        <v>1.4200000000000001E-2</v>
      </c>
      <c r="J22" s="2089">
        <f>VLOOKUP(C69,Tarifas!D4:H303,5)</f>
        <v>1E-3</v>
      </c>
      <c r="K22" s="1873">
        <v>198.7</v>
      </c>
      <c r="L22" s="1873">
        <v>201.4</v>
      </c>
      <c r="M22" s="854">
        <f>F102</f>
        <v>5958842.8269332126</v>
      </c>
      <c r="O22" s="855"/>
      <c r="P22" s="855"/>
      <c r="Q22" s="2075"/>
      <c r="R22" s="2075"/>
      <c r="S22" s="2075"/>
      <c r="T22" s="2075"/>
      <c r="U22" s="2075"/>
      <c r="V22" s="827"/>
      <c r="W22" s="827"/>
      <c r="X22" s="827"/>
      <c r="Y22" s="827"/>
      <c r="Z22" s="827"/>
      <c r="AG22" s="843"/>
    </row>
    <row r="23" spans="2:33" x14ac:dyDescent="0.2">
      <c r="B23" s="827"/>
      <c r="C23" s="2075"/>
      <c r="D23" s="2075"/>
      <c r="E23" s="2075"/>
      <c r="F23" s="2075"/>
      <c r="G23" s="2075"/>
      <c r="H23" s="2075"/>
      <c r="I23" s="2075"/>
      <c r="J23" s="2075"/>
      <c r="K23" s="856"/>
      <c r="L23" s="2075"/>
      <c r="M23" s="2075"/>
      <c r="N23" s="2075"/>
      <c r="O23" s="2075"/>
      <c r="P23" s="2075"/>
      <c r="Q23" s="2075"/>
      <c r="R23" s="2075"/>
      <c r="S23" s="2075"/>
      <c r="T23" s="827"/>
      <c r="U23" s="827"/>
      <c r="V23" s="827"/>
      <c r="W23" s="827"/>
      <c r="X23" s="827"/>
      <c r="Y23" s="827"/>
      <c r="Z23" s="827"/>
      <c r="AG23" s="843"/>
    </row>
    <row r="24" spans="2:33" x14ac:dyDescent="0.2">
      <c r="B24" s="827"/>
      <c r="C24" s="2075"/>
      <c r="D24" s="2075"/>
      <c r="E24" s="2075"/>
      <c r="F24" s="2075"/>
      <c r="G24" s="2075"/>
      <c r="H24" s="2075"/>
      <c r="I24" s="2075"/>
      <c r="J24" s="2075"/>
      <c r="K24" s="2075"/>
      <c r="L24" s="2075"/>
      <c r="M24" s="2075"/>
      <c r="N24" s="2075"/>
      <c r="O24" s="2075"/>
      <c r="P24" s="2075"/>
      <c r="Q24" s="857" t="s">
        <v>405</v>
      </c>
      <c r="R24" s="827"/>
      <c r="S24" s="827"/>
      <c r="T24" s="827"/>
      <c r="U24" s="827"/>
      <c r="V24" s="827"/>
      <c r="W24" s="827"/>
      <c r="X24" s="827"/>
      <c r="Y24" s="827"/>
      <c r="Z24" s="827"/>
      <c r="AG24" s="843"/>
    </row>
    <row r="25" spans="2:33" x14ac:dyDescent="0.2">
      <c r="B25" s="827"/>
      <c r="C25" s="2075"/>
      <c r="D25" s="2075"/>
      <c r="E25" s="2075"/>
      <c r="F25" s="2075"/>
      <c r="G25" s="2075"/>
      <c r="H25" s="2075"/>
      <c r="I25" s="2075"/>
      <c r="J25" s="2075"/>
      <c r="K25" s="2075"/>
      <c r="L25" s="2075"/>
      <c r="M25" s="2075"/>
      <c r="N25" s="2075"/>
      <c r="O25" s="827"/>
      <c r="P25" s="827"/>
      <c r="R25" s="827"/>
      <c r="S25" s="827"/>
      <c r="T25" s="827"/>
      <c r="U25" s="827"/>
      <c r="V25" s="827"/>
      <c r="W25" s="827"/>
      <c r="X25" s="843"/>
      <c r="Y25" s="843"/>
      <c r="AE25" s="829"/>
      <c r="AF25" s="829"/>
    </row>
    <row r="26" spans="2:33" ht="13.5" thickBot="1" x14ac:dyDescent="0.25">
      <c r="B26" s="827"/>
      <c r="C26" s="858" t="s">
        <v>86</v>
      </c>
      <c r="D26" s="858"/>
      <c r="E26" s="858"/>
      <c r="F26" s="858"/>
      <c r="G26" s="858"/>
      <c r="H26" s="859"/>
      <c r="I26" s="858"/>
      <c r="J26" s="858"/>
      <c r="K26" s="858"/>
      <c r="L26" s="859"/>
      <c r="M26" s="860"/>
      <c r="N26" s="861"/>
      <c r="Q26" s="857"/>
      <c r="R26" s="827"/>
      <c r="S26" s="827"/>
      <c r="T26" s="827"/>
      <c r="U26" s="827"/>
      <c r="V26" s="827"/>
      <c r="W26" s="827"/>
      <c r="X26" s="843"/>
      <c r="Y26" s="843"/>
      <c r="Z26" s="862"/>
      <c r="AE26" s="829"/>
      <c r="AF26" s="829"/>
    </row>
    <row r="27" spans="2:33" ht="35.1" customHeight="1" thickBot="1" x14ac:dyDescent="0.25">
      <c r="B27" s="827"/>
      <c r="C27" s="850" t="s">
        <v>87</v>
      </c>
      <c r="D27" s="832" t="s">
        <v>88</v>
      </c>
      <c r="E27" s="832" t="s">
        <v>237</v>
      </c>
      <c r="F27" s="833" t="s">
        <v>160</v>
      </c>
      <c r="G27" s="832" t="s">
        <v>236</v>
      </c>
      <c r="H27" s="833" t="s">
        <v>232</v>
      </c>
      <c r="I27" s="833" t="s">
        <v>233</v>
      </c>
      <c r="J27" s="833" t="s">
        <v>20</v>
      </c>
      <c r="K27" s="832" t="s">
        <v>91</v>
      </c>
      <c r="L27" s="832" t="s">
        <v>93</v>
      </c>
      <c r="M27" s="832" t="s">
        <v>94</v>
      </c>
      <c r="N27" s="863" t="s">
        <v>95</v>
      </c>
      <c r="P27" s="850" t="s">
        <v>237</v>
      </c>
      <c r="Q27" s="833" t="s">
        <v>160</v>
      </c>
      <c r="R27" s="832" t="s">
        <v>236</v>
      </c>
      <c r="S27" s="833" t="s">
        <v>232</v>
      </c>
      <c r="T27" s="833" t="s">
        <v>233</v>
      </c>
      <c r="U27" s="833" t="s">
        <v>20</v>
      </c>
      <c r="V27" s="832" t="s">
        <v>91</v>
      </c>
      <c r="W27" s="832" t="s">
        <v>93</v>
      </c>
      <c r="X27" s="832" t="s">
        <v>94</v>
      </c>
      <c r="Y27" s="834" t="s">
        <v>95</v>
      </c>
      <c r="Z27" s="861"/>
      <c r="AE27" s="829"/>
      <c r="AF27" s="829"/>
    </row>
    <row r="28" spans="2:33" ht="35.1" customHeight="1" thickBot="1" x14ac:dyDescent="0.25">
      <c r="B28" s="827"/>
      <c r="C28" s="864"/>
      <c r="D28" s="1000"/>
      <c r="E28" s="1000"/>
      <c r="F28" s="836"/>
      <c r="G28" s="836"/>
      <c r="H28" s="836"/>
      <c r="I28" s="836"/>
      <c r="J28" s="972"/>
      <c r="K28" s="841"/>
      <c r="L28" s="866"/>
      <c r="M28" s="835"/>
      <c r="N28" s="867"/>
      <c r="P28" s="864" t="s">
        <v>242</v>
      </c>
      <c r="Q28" s="836" t="s">
        <v>221</v>
      </c>
      <c r="R28" s="836" t="s">
        <v>222</v>
      </c>
      <c r="S28" s="836">
        <v>2280</v>
      </c>
      <c r="T28" s="836">
        <v>453658</v>
      </c>
      <c r="U28" s="972" t="s">
        <v>97</v>
      </c>
      <c r="V28" s="841">
        <v>80000</v>
      </c>
      <c r="W28" s="1869">
        <f>IFERROR(V28/$V$34,0)</f>
        <v>9.4117647058823528E-2</v>
      </c>
      <c r="X28" s="837">
        <f t="shared" ref="X28:X33" si="0">ROUND(W28*I$15,2)</f>
        <v>447423.87</v>
      </c>
      <c r="Y28" s="868">
        <f t="shared" ref="Y28:Y33" si="1">X28*M$15</f>
        <v>8482172.2426859997</v>
      </c>
      <c r="Z28" s="860"/>
      <c r="AA28" s="1059"/>
      <c r="AE28" s="829"/>
      <c r="AF28" s="829"/>
    </row>
    <row r="29" spans="2:33" ht="35.1" customHeight="1" thickBot="1" x14ac:dyDescent="0.25">
      <c r="B29" s="827"/>
      <c r="C29" s="864"/>
      <c r="D29" s="1000"/>
      <c r="E29" s="1000"/>
      <c r="F29" s="836"/>
      <c r="G29" s="836"/>
      <c r="H29" s="836"/>
      <c r="I29" s="836"/>
      <c r="J29" s="972"/>
      <c r="K29" s="841"/>
      <c r="L29" s="866"/>
      <c r="M29" s="835"/>
      <c r="N29" s="867"/>
      <c r="P29" s="864" t="s">
        <v>242</v>
      </c>
      <c r="Q29" s="836" t="s">
        <v>221</v>
      </c>
      <c r="R29" s="836" t="s">
        <v>222</v>
      </c>
      <c r="S29" s="836">
        <v>2280</v>
      </c>
      <c r="T29" s="836">
        <v>453658</v>
      </c>
      <c r="U29" s="972" t="s">
        <v>100</v>
      </c>
      <c r="V29" s="841">
        <v>40000</v>
      </c>
      <c r="W29" s="1869">
        <f>IFERROR(V29/$V$34,0)</f>
        <v>4.7058823529411764E-2</v>
      </c>
      <c r="X29" s="837">
        <f t="shared" si="0"/>
        <v>223711.94</v>
      </c>
      <c r="Y29" s="868">
        <f t="shared" si="1"/>
        <v>4241086.2161320001</v>
      </c>
      <c r="Z29" s="860"/>
      <c r="AE29" s="829"/>
      <c r="AF29" s="829"/>
    </row>
    <row r="30" spans="2:33" ht="35.1" customHeight="1" thickBot="1" x14ac:dyDescent="0.25">
      <c r="B30" s="827"/>
      <c r="C30" s="864"/>
      <c r="D30" s="1000"/>
      <c r="E30" s="1000"/>
      <c r="F30" s="836"/>
      <c r="G30" s="836"/>
      <c r="H30" s="836"/>
      <c r="I30" s="836"/>
      <c r="J30" s="972"/>
      <c r="K30" s="841"/>
      <c r="L30" s="866"/>
      <c r="M30" s="835"/>
      <c r="N30" s="867"/>
      <c r="P30" s="864" t="s">
        <v>242</v>
      </c>
      <c r="Q30" s="836" t="s">
        <v>221</v>
      </c>
      <c r="R30" s="836" t="s">
        <v>222</v>
      </c>
      <c r="S30" s="836">
        <v>2280</v>
      </c>
      <c r="T30" s="836">
        <v>453658</v>
      </c>
      <c r="U30" s="972" t="s">
        <v>393</v>
      </c>
      <c r="V30" s="841">
        <v>22000</v>
      </c>
      <c r="W30" s="1869">
        <f>IFERROR(V30/$V$34,0)</f>
        <v>2.5882352941176471E-2</v>
      </c>
      <c r="X30" s="837">
        <f t="shared" si="0"/>
        <v>123041.56</v>
      </c>
      <c r="Y30" s="868">
        <f t="shared" si="1"/>
        <v>2332597.2861679997</v>
      </c>
      <c r="Z30" s="860"/>
      <c r="AE30" s="829"/>
      <c r="AF30" s="829"/>
    </row>
    <row r="31" spans="2:33" ht="35.1" customHeight="1" thickBot="1" x14ac:dyDescent="0.25">
      <c r="B31" s="827"/>
      <c r="C31" s="864"/>
      <c r="D31" s="1000"/>
      <c r="E31" s="1000"/>
      <c r="F31" s="836"/>
      <c r="G31" s="836"/>
      <c r="H31" s="836"/>
      <c r="I31" s="836"/>
      <c r="J31" s="972"/>
      <c r="K31" s="841"/>
      <c r="L31" s="866"/>
      <c r="M31" s="835"/>
      <c r="N31" s="867"/>
      <c r="P31" s="864" t="s">
        <v>242</v>
      </c>
      <c r="Q31" s="836" t="s">
        <v>221</v>
      </c>
      <c r="R31" s="836" t="s">
        <v>222</v>
      </c>
      <c r="S31" s="836">
        <v>2280</v>
      </c>
      <c r="T31" s="836">
        <v>453658</v>
      </c>
      <c r="U31" s="972" t="s">
        <v>288</v>
      </c>
      <c r="V31" s="841">
        <v>0</v>
      </c>
      <c r="W31" s="1869">
        <f t="shared" ref="W31:W33" si="2">IFERROR(V31/$V$34,0)</f>
        <v>0</v>
      </c>
      <c r="X31" s="837">
        <f t="shared" si="0"/>
        <v>0</v>
      </c>
      <c r="Y31" s="868">
        <f t="shared" si="1"/>
        <v>0</v>
      </c>
      <c r="Z31" s="860"/>
      <c r="AE31" s="829"/>
      <c r="AF31" s="829"/>
    </row>
    <row r="32" spans="2:33" ht="35.1" customHeight="1" thickBot="1" x14ac:dyDescent="0.25">
      <c r="B32" s="827"/>
      <c r="C32" s="1893"/>
      <c r="D32" s="2037"/>
      <c r="E32" s="2037"/>
      <c r="F32" s="1894"/>
      <c r="G32" s="1894"/>
      <c r="H32" s="1894"/>
      <c r="I32" s="1894"/>
      <c r="J32" s="1895"/>
      <c r="K32" s="1896"/>
      <c r="L32" s="866"/>
      <c r="M32" s="835"/>
      <c r="N32" s="867"/>
      <c r="P32" s="864" t="s">
        <v>242</v>
      </c>
      <c r="Q32" s="836" t="s">
        <v>221</v>
      </c>
      <c r="R32" s="836" t="s">
        <v>222</v>
      </c>
      <c r="S32" s="836" t="s">
        <v>344</v>
      </c>
      <c r="T32" s="836">
        <v>468094</v>
      </c>
      <c r="U32" s="972" t="s">
        <v>23</v>
      </c>
      <c r="V32" s="841">
        <v>95000</v>
      </c>
      <c r="W32" s="1869">
        <f t="shared" si="2"/>
        <v>0.11176470588235295</v>
      </c>
      <c r="X32" s="837">
        <f t="shared" si="0"/>
        <v>531315.85</v>
      </c>
      <c r="Y32" s="868">
        <f t="shared" si="1"/>
        <v>10072579.621129999</v>
      </c>
      <c r="Z32" s="860"/>
      <c r="AE32" s="829"/>
      <c r="AF32" s="829"/>
    </row>
    <row r="33" spans="2:32" ht="35.1" customHeight="1" thickBot="1" x14ac:dyDescent="0.25">
      <c r="B33" s="827"/>
      <c r="C33" s="1890">
        <v>800874933</v>
      </c>
      <c r="D33" s="1877">
        <v>3</v>
      </c>
      <c r="E33" s="1877" t="s">
        <v>242</v>
      </c>
      <c r="F33" s="1878" t="s">
        <v>221</v>
      </c>
      <c r="G33" s="1878" t="s">
        <v>222</v>
      </c>
      <c r="H33" s="1878">
        <v>2280</v>
      </c>
      <c r="I33" s="1878">
        <v>453851</v>
      </c>
      <c r="J33" s="1891" t="s">
        <v>159</v>
      </c>
      <c r="K33" s="1892">
        <f>850000-K28-K29-K31-K32</f>
        <v>850000</v>
      </c>
      <c r="L33" s="872">
        <v>1</v>
      </c>
      <c r="M33" s="844">
        <v>4753878.6400000006</v>
      </c>
      <c r="N33" s="873">
        <f>M33*M15</f>
        <v>90123080.481392011</v>
      </c>
      <c r="P33" s="1004" t="s">
        <v>242</v>
      </c>
      <c r="Q33" s="1003" t="s">
        <v>221</v>
      </c>
      <c r="R33" s="1003" t="s">
        <v>222</v>
      </c>
      <c r="S33" s="1003">
        <v>2280</v>
      </c>
      <c r="T33" s="1003">
        <v>453851</v>
      </c>
      <c r="U33" s="2038" t="s">
        <v>159</v>
      </c>
      <c r="V33" s="1852">
        <f>850000-V28-V29-V30-V31-V32</f>
        <v>613000</v>
      </c>
      <c r="W33" s="2039">
        <f t="shared" si="2"/>
        <v>0.72117647058823531</v>
      </c>
      <c r="X33" s="1854">
        <f t="shared" si="0"/>
        <v>3428385.42</v>
      </c>
      <c r="Y33" s="1855">
        <f t="shared" si="1"/>
        <v>64994645.115275994</v>
      </c>
      <c r="Z33" s="860"/>
      <c r="AE33" s="829"/>
      <c r="AF33" s="829"/>
    </row>
    <row r="34" spans="2:32" ht="35.1" customHeight="1" x14ac:dyDescent="0.2">
      <c r="B34" s="827"/>
      <c r="C34" s="881"/>
      <c r="D34" s="882" t="s">
        <v>102</v>
      </c>
      <c r="E34" s="882"/>
      <c r="F34" s="882"/>
      <c r="G34" s="882"/>
      <c r="H34" s="882"/>
      <c r="I34" s="883"/>
      <c r="J34" s="883"/>
      <c r="K34" s="884">
        <f>SUM(K28:K33)</f>
        <v>850000</v>
      </c>
      <c r="L34" s="885">
        <f>SUM(L28:L33)</f>
        <v>1</v>
      </c>
      <c r="M34" s="886">
        <f>SUM(M28:M33)</f>
        <v>4753878.6400000006</v>
      </c>
      <c r="N34" s="886">
        <f>SUM(N28:N33)</f>
        <v>90123080.481392011</v>
      </c>
      <c r="P34" s="882"/>
      <c r="Q34" s="882"/>
      <c r="R34" s="882"/>
      <c r="S34" s="882"/>
      <c r="T34" s="883"/>
      <c r="U34" s="883"/>
      <c r="V34" s="884">
        <f>SUM(V28:V33)</f>
        <v>850000</v>
      </c>
      <c r="W34" s="885">
        <f>SUM(W28:W33)</f>
        <v>1</v>
      </c>
      <c r="X34" s="887">
        <f>SUM(X28:X33)</f>
        <v>4753878.6400000006</v>
      </c>
      <c r="Y34" s="887">
        <f>SUM(Y28:Y33)</f>
        <v>90123080.481391996</v>
      </c>
      <c r="Z34" s="827"/>
      <c r="AE34" s="829"/>
      <c r="AF34" s="829"/>
    </row>
    <row r="35" spans="2:32" ht="20.100000000000001" customHeight="1" x14ac:dyDescent="0.2">
      <c r="B35" s="827"/>
      <c r="C35" s="860"/>
      <c r="D35" s="860"/>
      <c r="E35" s="860"/>
      <c r="F35" s="860"/>
      <c r="G35" s="888"/>
      <c r="H35" s="888"/>
      <c r="I35" s="860"/>
      <c r="J35" s="860"/>
      <c r="K35" s="860"/>
      <c r="L35" s="860"/>
      <c r="M35" s="889"/>
      <c r="P35" s="860"/>
      <c r="Q35" s="860"/>
      <c r="R35" s="888"/>
      <c r="S35" s="888"/>
      <c r="T35" s="860"/>
      <c r="U35" s="860"/>
      <c r="V35" s="860"/>
      <c r="W35" s="860"/>
      <c r="X35" s="890"/>
      <c r="Y35" s="891"/>
      <c r="Z35" s="827"/>
      <c r="AE35" s="829"/>
      <c r="AF35" s="829"/>
    </row>
    <row r="36" spans="2:32" ht="20.100000000000001" customHeight="1" x14ac:dyDescent="0.2">
      <c r="B36" s="827"/>
      <c r="C36" s="860"/>
      <c r="D36" s="860"/>
      <c r="E36" s="860"/>
      <c r="F36" s="860"/>
      <c r="G36" s="888"/>
      <c r="H36" s="888"/>
      <c r="I36" s="860"/>
      <c r="J36" s="860"/>
      <c r="K36" s="860"/>
      <c r="L36" s="860"/>
      <c r="M36" s="889"/>
      <c r="P36" s="860"/>
      <c r="Q36" s="860"/>
      <c r="R36" s="888"/>
      <c r="S36" s="888"/>
      <c r="T36" s="860"/>
      <c r="U36" s="860"/>
      <c r="V36" s="860"/>
      <c r="W36" s="892"/>
      <c r="X36" s="889"/>
      <c r="Y36" s="893"/>
      <c r="Z36" s="827"/>
      <c r="AE36" s="829"/>
      <c r="AF36" s="829"/>
    </row>
    <row r="38" spans="2:32" ht="20.100000000000001" customHeight="1" thickBot="1" x14ac:dyDescent="0.25">
      <c r="B38" s="827"/>
      <c r="C38" s="858" t="s">
        <v>274</v>
      </c>
      <c r="D38" s="858"/>
      <c r="E38" s="858"/>
      <c r="F38" s="858"/>
      <c r="G38" s="858"/>
      <c r="H38" s="859"/>
      <c r="I38" s="858"/>
      <c r="J38" s="858"/>
      <c r="K38" s="858"/>
      <c r="L38" s="859"/>
      <c r="M38" s="860"/>
      <c r="N38" s="861"/>
      <c r="P38" s="858"/>
      <c r="Q38" s="858"/>
      <c r="R38" s="858"/>
      <c r="S38" s="859"/>
      <c r="T38" s="858"/>
      <c r="U38" s="858"/>
      <c r="V38" s="858"/>
      <c r="W38" s="860"/>
      <c r="X38" s="860"/>
      <c r="Y38" s="894"/>
      <c r="Z38" s="862"/>
      <c r="AE38" s="829"/>
      <c r="AF38" s="829"/>
    </row>
    <row r="39" spans="2:32" ht="35.1" customHeight="1" thickBot="1" x14ac:dyDescent="0.25">
      <c r="B39" s="827"/>
      <c r="C39" s="850" t="s">
        <v>87</v>
      </c>
      <c r="D39" s="895" t="s">
        <v>88</v>
      </c>
      <c r="E39" s="895" t="s">
        <v>237</v>
      </c>
      <c r="F39" s="896" t="s">
        <v>160</v>
      </c>
      <c r="G39" s="895" t="s">
        <v>236</v>
      </c>
      <c r="H39" s="896" t="s">
        <v>232</v>
      </c>
      <c r="I39" s="896" t="s">
        <v>233</v>
      </c>
      <c r="J39" s="896" t="s">
        <v>20</v>
      </c>
      <c r="K39" s="832" t="s">
        <v>91</v>
      </c>
      <c r="L39" s="895" t="s">
        <v>93</v>
      </c>
      <c r="M39" s="895" t="s">
        <v>94</v>
      </c>
      <c r="N39" s="897" t="s">
        <v>95</v>
      </c>
      <c r="P39" s="1075" t="s">
        <v>237</v>
      </c>
      <c r="Q39" s="896" t="s">
        <v>160</v>
      </c>
      <c r="R39" s="895" t="s">
        <v>236</v>
      </c>
      <c r="S39" s="896" t="s">
        <v>232</v>
      </c>
      <c r="T39" s="896" t="s">
        <v>233</v>
      </c>
      <c r="U39" s="896" t="s">
        <v>20</v>
      </c>
      <c r="V39" s="832" t="s">
        <v>91</v>
      </c>
      <c r="W39" s="895" t="s">
        <v>93</v>
      </c>
      <c r="X39" s="895" t="s">
        <v>94</v>
      </c>
      <c r="Y39" s="897" t="s">
        <v>95</v>
      </c>
      <c r="Z39" s="862"/>
      <c r="AE39" s="829"/>
      <c r="AF39" s="829"/>
    </row>
    <row r="40" spans="2:32" ht="35.1" customHeight="1" thickBot="1" x14ac:dyDescent="0.25">
      <c r="B40" s="827"/>
      <c r="C40" s="864"/>
      <c r="D40" s="1000"/>
      <c r="E40" s="1000"/>
      <c r="F40" s="836"/>
      <c r="G40" s="836"/>
      <c r="H40" s="836"/>
      <c r="I40" s="836"/>
      <c r="J40" s="865"/>
      <c r="K40" s="841"/>
      <c r="L40" s="866"/>
      <c r="M40" s="837"/>
      <c r="N40" s="868"/>
      <c r="P40" s="864" t="s">
        <v>242</v>
      </c>
      <c r="Q40" s="836" t="s">
        <v>221</v>
      </c>
      <c r="R40" s="836" t="s">
        <v>222</v>
      </c>
      <c r="S40" s="836">
        <v>2280</v>
      </c>
      <c r="T40" s="836">
        <v>453658</v>
      </c>
      <c r="U40" s="972" t="s">
        <v>97</v>
      </c>
      <c r="V40" s="841">
        <v>80000</v>
      </c>
      <c r="W40" s="866">
        <f>IFERROR(V40/$V$43,0)</f>
        <v>0.66666666666666663</v>
      </c>
      <c r="X40" s="837">
        <f>ROUND(W40*I$16,2)</f>
        <v>298035.65999999997</v>
      </c>
      <c r="Y40" s="868">
        <f>X40*$M$16</f>
        <v>5650100.4351479989</v>
      </c>
      <c r="Z40" s="862"/>
      <c r="AE40" s="829"/>
      <c r="AF40" s="829"/>
    </row>
    <row r="41" spans="2:32" ht="35.1" customHeight="1" thickBot="1" x14ac:dyDescent="0.25">
      <c r="B41" s="827"/>
      <c r="C41" s="864"/>
      <c r="D41" s="1000"/>
      <c r="E41" s="1000"/>
      <c r="F41" s="836"/>
      <c r="G41" s="836"/>
      <c r="H41" s="836"/>
      <c r="I41" s="836"/>
      <c r="J41" s="865"/>
      <c r="K41" s="841"/>
      <c r="L41" s="866"/>
      <c r="M41" s="837"/>
      <c r="N41" s="868"/>
      <c r="P41" s="864" t="s">
        <v>242</v>
      </c>
      <c r="Q41" s="836" t="s">
        <v>221</v>
      </c>
      <c r="R41" s="836" t="s">
        <v>222</v>
      </c>
      <c r="S41" s="836">
        <v>2280</v>
      </c>
      <c r="T41" s="836">
        <v>453658</v>
      </c>
      <c r="U41" s="972" t="s">
        <v>100</v>
      </c>
      <c r="V41" s="841">
        <v>40000</v>
      </c>
      <c r="W41" s="866">
        <f>IFERROR(V41/$V$43,0)</f>
        <v>0.33333333333333331</v>
      </c>
      <c r="X41" s="837">
        <f>ROUND(W41*I$16,2)</f>
        <v>149017.82999999999</v>
      </c>
      <c r="Y41" s="868">
        <f>X41*$M$16</f>
        <v>2825050.2175739994</v>
      </c>
      <c r="Z41" s="862"/>
      <c r="AE41" s="829"/>
      <c r="AF41" s="829"/>
    </row>
    <row r="42" spans="2:32" ht="35.1" customHeight="1" thickBot="1" x14ac:dyDescent="0.25">
      <c r="B42" s="827"/>
      <c r="C42" s="1004">
        <v>800874975</v>
      </c>
      <c r="D42" s="853">
        <v>3</v>
      </c>
      <c r="E42" s="853" t="s">
        <v>242</v>
      </c>
      <c r="F42" s="1003" t="s">
        <v>221</v>
      </c>
      <c r="G42" s="1003" t="s">
        <v>222</v>
      </c>
      <c r="H42" s="1003">
        <v>2280</v>
      </c>
      <c r="I42" s="1003">
        <v>453851</v>
      </c>
      <c r="J42" s="871" t="s">
        <v>159</v>
      </c>
      <c r="K42" s="852">
        <v>120000</v>
      </c>
      <c r="L42" s="872">
        <v>1</v>
      </c>
      <c r="M42" s="846">
        <f>ROUND(L42*I$16,2)</f>
        <v>447053.49</v>
      </c>
      <c r="N42" s="898">
        <f>M42*$M$16</f>
        <v>8475150.6527219992</v>
      </c>
      <c r="P42" s="851" t="s">
        <v>401</v>
      </c>
      <c r="Q42" s="845" t="s">
        <v>221</v>
      </c>
      <c r="R42" s="845" t="s">
        <v>222</v>
      </c>
      <c r="S42" s="845">
        <v>2280</v>
      </c>
      <c r="T42" s="845">
        <v>453851</v>
      </c>
      <c r="U42" s="973" t="s">
        <v>159</v>
      </c>
      <c r="V42" s="852">
        <v>0</v>
      </c>
      <c r="W42" s="872">
        <f>IFERROR(V42/$V$43,0)</f>
        <v>0</v>
      </c>
      <c r="X42" s="846">
        <f>ROUND(W42*I$16,2)</f>
        <v>0</v>
      </c>
      <c r="Y42" s="898">
        <f>X42*$M$16</f>
        <v>0</v>
      </c>
      <c r="Z42" s="862"/>
      <c r="AE42" s="829"/>
      <c r="AF42" s="829"/>
    </row>
    <row r="43" spans="2:32" ht="20.100000000000001" customHeight="1" x14ac:dyDescent="0.2">
      <c r="B43" s="827"/>
      <c r="C43" s="881"/>
      <c r="D43" s="882" t="s">
        <v>102</v>
      </c>
      <c r="E43" s="882"/>
      <c r="F43" s="882"/>
      <c r="G43" s="882"/>
      <c r="H43" s="882"/>
      <c r="I43" s="883"/>
      <c r="J43" s="883"/>
      <c r="K43" s="884">
        <f>SUM(K40:K42)</f>
        <v>120000</v>
      </c>
      <c r="L43" s="885">
        <f>SUM(L40:L42)</f>
        <v>1</v>
      </c>
      <c r="M43" s="886">
        <f>SUM(M40:M42)</f>
        <v>447053.49</v>
      </c>
      <c r="N43" s="886">
        <f>SUM(N40:N42)</f>
        <v>8475150.6527219992</v>
      </c>
      <c r="P43" s="882"/>
      <c r="Q43" s="882"/>
      <c r="R43" s="882"/>
      <c r="S43" s="882"/>
      <c r="T43" s="883"/>
      <c r="U43" s="883"/>
      <c r="V43" s="884">
        <f>SUM(V40:V42)</f>
        <v>120000</v>
      </c>
      <c r="W43" s="885">
        <f>SUM(W40:W42)</f>
        <v>1</v>
      </c>
      <c r="X43" s="886">
        <f>SUM(X40:X42)</f>
        <v>447053.49</v>
      </c>
      <c r="Y43" s="886">
        <f>SUM(Y40:Y42)</f>
        <v>8475150.6527219974</v>
      </c>
      <c r="Z43" s="862"/>
      <c r="AE43" s="829"/>
      <c r="AF43" s="829"/>
    </row>
    <row r="44" spans="2:32" ht="20.100000000000001" customHeight="1" x14ac:dyDescent="0.2">
      <c r="B44" s="827"/>
      <c r="C44" s="899"/>
      <c r="D44" s="858"/>
      <c r="E44" s="858"/>
      <c r="F44" s="858"/>
      <c r="G44" s="858"/>
      <c r="H44" s="859"/>
      <c r="I44" s="858"/>
      <c r="J44" s="858"/>
      <c r="K44" s="858"/>
      <c r="L44" s="860"/>
      <c r="M44" s="860"/>
      <c r="N44" s="843"/>
      <c r="P44" s="858"/>
      <c r="Q44" s="858"/>
      <c r="R44" s="858"/>
      <c r="S44" s="859"/>
      <c r="T44" s="858"/>
      <c r="U44" s="858"/>
      <c r="V44" s="858"/>
      <c r="W44" s="860"/>
      <c r="X44" s="860"/>
      <c r="Y44" s="894"/>
      <c r="Z44" s="862"/>
      <c r="AE44" s="829"/>
      <c r="AF44" s="829"/>
    </row>
    <row r="45" spans="2:32" ht="20.100000000000001" customHeight="1" x14ac:dyDescent="0.2">
      <c r="B45" s="827"/>
      <c r="C45" s="899"/>
      <c r="D45" s="858"/>
      <c r="E45" s="858"/>
      <c r="F45" s="858"/>
      <c r="G45" s="858"/>
      <c r="H45" s="859"/>
      <c r="I45" s="858"/>
      <c r="J45" s="858"/>
      <c r="K45" s="858"/>
      <c r="L45" s="860"/>
      <c r="M45" s="860"/>
      <c r="N45" s="843"/>
      <c r="P45" s="858"/>
      <c r="Q45" s="858"/>
      <c r="R45" s="858"/>
      <c r="S45" s="859"/>
      <c r="T45" s="858"/>
      <c r="U45" s="858"/>
      <c r="V45" s="858"/>
      <c r="W45" s="860"/>
      <c r="X45" s="860"/>
      <c r="Y45" s="894"/>
      <c r="Z45" s="862"/>
      <c r="AE45" s="829"/>
      <c r="AF45" s="829"/>
    </row>
    <row r="46" spans="2:32" ht="20.100000000000001" customHeight="1" x14ac:dyDescent="0.2">
      <c r="B46" s="827"/>
      <c r="C46" s="899"/>
      <c r="D46" s="858"/>
      <c r="E46" s="858"/>
      <c r="F46" s="858"/>
      <c r="G46" s="858"/>
      <c r="H46" s="859"/>
      <c r="I46" s="858"/>
      <c r="J46" s="858"/>
      <c r="K46" s="858"/>
      <c r="L46" s="860"/>
      <c r="M46" s="860"/>
      <c r="N46" s="843"/>
      <c r="P46" s="858"/>
      <c r="Q46" s="858"/>
      <c r="R46" s="858"/>
      <c r="S46" s="859"/>
      <c r="T46" s="858"/>
      <c r="U46" s="858"/>
      <c r="V46" s="858"/>
      <c r="W46" s="860"/>
      <c r="X46" s="860"/>
      <c r="Y46" s="894"/>
      <c r="Z46" s="862"/>
      <c r="AE46" s="829"/>
      <c r="AF46" s="829"/>
    </row>
    <row r="47" spans="2:32" ht="35.1" customHeight="1" thickBot="1" x14ac:dyDescent="0.25">
      <c r="B47" s="827"/>
      <c r="C47" s="899" t="s">
        <v>103</v>
      </c>
      <c r="D47" s="858"/>
      <c r="E47" s="858"/>
      <c r="F47" s="858"/>
      <c r="G47" s="858"/>
      <c r="H47" s="859"/>
      <c r="I47" s="858"/>
      <c r="J47" s="858"/>
      <c r="K47" s="858"/>
      <c r="L47" s="860"/>
      <c r="M47" s="860"/>
      <c r="N47" s="843"/>
      <c r="P47" s="858"/>
      <c r="Q47" s="858"/>
      <c r="R47" s="858"/>
      <c r="S47" s="859"/>
      <c r="T47" s="858"/>
      <c r="U47" s="858"/>
      <c r="V47" s="858"/>
      <c r="W47" s="860"/>
      <c r="X47" s="860"/>
      <c r="Y47" s="894"/>
      <c r="Z47" s="862"/>
      <c r="AE47" s="829"/>
      <c r="AF47" s="829"/>
    </row>
    <row r="48" spans="2:32" ht="35.1" customHeight="1" thickBot="1" x14ac:dyDescent="0.25">
      <c r="B48" s="827"/>
      <c r="C48" s="850" t="s">
        <v>87</v>
      </c>
      <c r="D48" s="832" t="s">
        <v>88</v>
      </c>
      <c r="E48" s="832" t="s">
        <v>237</v>
      </c>
      <c r="F48" s="833" t="s">
        <v>160</v>
      </c>
      <c r="G48" s="832" t="s">
        <v>90</v>
      </c>
      <c r="H48" s="833" t="s">
        <v>232</v>
      </c>
      <c r="I48" s="833" t="s">
        <v>233</v>
      </c>
      <c r="J48" s="833" t="s">
        <v>20</v>
      </c>
      <c r="K48" s="832" t="s">
        <v>234</v>
      </c>
      <c r="L48" s="832" t="s">
        <v>93</v>
      </c>
      <c r="M48" s="832" t="s">
        <v>94</v>
      </c>
      <c r="N48" s="863" t="s">
        <v>95</v>
      </c>
      <c r="P48" s="850" t="s">
        <v>237</v>
      </c>
      <c r="Q48" s="833" t="s">
        <v>160</v>
      </c>
      <c r="R48" s="832" t="s">
        <v>90</v>
      </c>
      <c r="S48" s="833" t="s">
        <v>232</v>
      </c>
      <c r="T48" s="833" t="s">
        <v>233</v>
      </c>
      <c r="U48" s="833" t="s">
        <v>20</v>
      </c>
      <c r="V48" s="832" t="s">
        <v>234</v>
      </c>
      <c r="W48" s="832" t="s">
        <v>93</v>
      </c>
      <c r="X48" s="832" t="s">
        <v>94</v>
      </c>
      <c r="Y48" s="834" t="s">
        <v>95</v>
      </c>
      <c r="Z48" s="861"/>
      <c r="AE48" s="829"/>
      <c r="AF48" s="829"/>
    </row>
    <row r="49" spans="2:32" ht="35.1" customHeight="1" thickBot="1" x14ac:dyDescent="0.25">
      <c r="B49" s="827"/>
      <c r="C49" s="864">
        <v>800874989</v>
      </c>
      <c r="D49" s="869">
        <v>7</v>
      </c>
      <c r="E49" s="869" t="s">
        <v>242</v>
      </c>
      <c r="F49" s="836" t="s">
        <v>221</v>
      </c>
      <c r="G49" s="836" t="s">
        <v>222</v>
      </c>
      <c r="H49" s="836">
        <v>2281</v>
      </c>
      <c r="I49" s="836">
        <v>453659</v>
      </c>
      <c r="J49" s="865" t="s">
        <v>159</v>
      </c>
      <c r="K49" s="841">
        <f>P102</f>
        <v>3212507.1966755306</v>
      </c>
      <c r="L49" s="866">
        <f>IFERROR(K49/K$54,0)</f>
        <v>0.53911594750500991</v>
      </c>
      <c r="M49" s="835">
        <f>L49*$I$17</f>
        <v>3169.4410907440529</v>
      </c>
      <c r="N49" s="867">
        <f>M49*$M$17</f>
        <v>60085.630310107605</v>
      </c>
      <c r="O49" s="2">
        <v>18.6234</v>
      </c>
      <c r="P49" s="864" t="s">
        <v>242</v>
      </c>
      <c r="Q49" s="836" t="s">
        <v>221</v>
      </c>
      <c r="R49" s="836" t="s">
        <v>222</v>
      </c>
      <c r="S49" s="836">
        <v>2281</v>
      </c>
      <c r="T49" s="836">
        <v>453658</v>
      </c>
      <c r="U49" s="972" t="s">
        <v>97</v>
      </c>
      <c r="V49" s="841">
        <f>K49</f>
        <v>3212507.1966755306</v>
      </c>
      <c r="W49" s="866">
        <f>IFERROR(V49/V$54,0)</f>
        <v>0.53911594750500991</v>
      </c>
      <c r="X49" s="835">
        <f>W49*$I$17</f>
        <v>3169.4410907440529</v>
      </c>
      <c r="Y49" s="867">
        <f>X49*$M$17</f>
        <v>60085.630310107605</v>
      </c>
      <c r="AE49" s="829"/>
      <c r="AF49" s="829"/>
    </row>
    <row r="50" spans="2:32" ht="35.1" customHeight="1" thickBot="1" x14ac:dyDescent="0.25">
      <c r="B50" s="827"/>
      <c r="C50" s="864"/>
      <c r="D50" s="1000"/>
      <c r="E50" s="1000"/>
      <c r="F50" s="836"/>
      <c r="G50" s="836"/>
      <c r="H50" s="836"/>
      <c r="I50" s="836"/>
      <c r="J50" s="972"/>
      <c r="K50" s="841"/>
      <c r="L50" s="866"/>
      <c r="M50" s="835"/>
      <c r="N50" s="867"/>
      <c r="O50" s="2"/>
      <c r="P50" s="864" t="s">
        <v>242</v>
      </c>
      <c r="Q50" s="836" t="s">
        <v>221</v>
      </c>
      <c r="R50" s="836" t="s">
        <v>222</v>
      </c>
      <c r="S50" s="836">
        <v>2281</v>
      </c>
      <c r="T50" s="836">
        <v>453658</v>
      </c>
      <c r="U50" s="972" t="s">
        <v>100</v>
      </c>
      <c r="V50" s="841">
        <f t="shared" ref="V50:V53" si="3">K50</f>
        <v>0</v>
      </c>
      <c r="W50" s="866">
        <f>IFERROR(V50/V$54,0)</f>
        <v>0</v>
      </c>
      <c r="X50" s="835">
        <f>W50*$I$17</f>
        <v>0</v>
      </c>
      <c r="Y50" s="867">
        <f>X50*$M$17</f>
        <v>0</v>
      </c>
      <c r="AE50" s="829"/>
      <c r="AF50" s="829"/>
    </row>
    <row r="51" spans="2:32" ht="35.1" customHeight="1" thickBot="1" x14ac:dyDescent="0.25">
      <c r="B51" s="827"/>
      <c r="C51" s="864">
        <v>800874989</v>
      </c>
      <c r="D51" s="869">
        <v>8</v>
      </c>
      <c r="E51" s="869" t="s">
        <v>242</v>
      </c>
      <c r="F51" s="836" t="s">
        <v>221</v>
      </c>
      <c r="G51" s="836" t="s">
        <v>222</v>
      </c>
      <c r="H51" s="836">
        <v>2281</v>
      </c>
      <c r="I51" s="836">
        <v>453659</v>
      </c>
      <c r="J51" s="865" t="s">
        <v>159</v>
      </c>
      <c r="K51" s="841">
        <f>N102</f>
        <v>591252.00419668108</v>
      </c>
      <c r="L51" s="866">
        <f>IFERROR(K51/K$54,0)</f>
        <v>9.922262113111914E-2</v>
      </c>
      <c r="M51" s="835">
        <f>L51*$I$17</f>
        <v>583.32582072500418</v>
      </c>
      <c r="N51" s="867">
        <f>M51*$M$17</f>
        <v>11058.574244140484</v>
      </c>
      <c r="O51" s="2"/>
      <c r="P51" s="864" t="s">
        <v>242</v>
      </c>
      <c r="Q51" s="836" t="s">
        <v>221</v>
      </c>
      <c r="R51" s="836" t="s">
        <v>222</v>
      </c>
      <c r="S51" s="836">
        <v>2281</v>
      </c>
      <c r="T51" s="836">
        <v>453658</v>
      </c>
      <c r="U51" s="972" t="s">
        <v>393</v>
      </c>
      <c r="V51" s="841">
        <f t="shared" si="3"/>
        <v>591252.00419668108</v>
      </c>
      <c r="W51" s="866">
        <f>IFERROR(V51/V$54,0)</f>
        <v>9.922262113111914E-2</v>
      </c>
      <c r="X51" s="835">
        <f>W51*$I$17</f>
        <v>583.32582072500418</v>
      </c>
      <c r="Y51" s="867">
        <f>X51*$M$17</f>
        <v>11058.574244140484</v>
      </c>
      <c r="AE51" s="829"/>
      <c r="AF51" s="829"/>
    </row>
    <row r="52" spans="2:32" ht="35.1" customHeight="1" thickBot="1" x14ac:dyDescent="0.25">
      <c r="B52" s="827"/>
      <c r="C52" s="864"/>
      <c r="D52" s="1000"/>
      <c r="E52" s="1000"/>
      <c r="F52" s="836"/>
      <c r="G52" s="836"/>
      <c r="H52" s="836"/>
      <c r="I52" s="836"/>
      <c r="J52" s="1897"/>
      <c r="K52" s="841"/>
      <c r="L52" s="866"/>
      <c r="M52" s="835"/>
      <c r="N52" s="867"/>
      <c r="O52" s="2"/>
      <c r="P52" s="864" t="s">
        <v>242</v>
      </c>
      <c r="Q52" s="836" t="s">
        <v>221</v>
      </c>
      <c r="R52" s="836" t="s">
        <v>222</v>
      </c>
      <c r="S52" s="836">
        <v>2281</v>
      </c>
      <c r="T52" s="836">
        <v>453658</v>
      </c>
      <c r="U52" s="972" t="s">
        <v>288</v>
      </c>
      <c r="V52" s="841">
        <f t="shared" si="3"/>
        <v>0</v>
      </c>
      <c r="W52" s="866">
        <f>IFERROR(V52/V$54,0)</f>
        <v>0</v>
      </c>
      <c r="X52" s="835">
        <f>W52*$I$17</f>
        <v>0</v>
      </c>
      <c r="Y52" s="867">
        <f t="shared" ref="Y52:Y53" si="4">X52*$M$17</f>
        <v>0</v>
      </c>
      <c r="AE52" s="829"/>
      <c r="AF52" s="829"/>
    </row>
    <row r="53" spans="2:32" ht="35.1" customHeight="1" thickBot="1" x14ac:dyDescent="0.25">
      <c r="B53" s="827"/>
      <c r="C53" s="851">
        <v>800874989</v>
      </c>
      <c r="D53" s="853">
        <v>9</v>
      </c>
      <c r="E53" s="853" t="s">
        <v>242</v>
      </c>
      <c r="F53" s="845" t="s">
        <v>221</v>
      </c>
      <c r="G53" s="845" t="s">
        <v>222</v>
      </c>
      <c r="H53" s="845">
        <v>2281</v>
      </c>
      <c r="I53" s="845">
        <v>453659</v>
      </c>
      <c r="J53" s="871" t="s">
        <v>159</v>
      </c>
      <c r="K53" s="852">
        <f>O102</f>
        <v>2155083.6260610004</v>
      </c>
      <c r="L53" s="872">
        <f>IFERROR(K53/K$54,0)</f>
        <v>0.36166143136387086</v>
      </c>
      <c r="M53" s="844">
        <f>L53*$I$17</f>
        <v>2126.1930885309421</v>
      </c>
      <c r="N53" s="873">
        <f t="shared" ref="N53" si="5">M53*$M$17</f>
        <v>40307.943333751893</v>
      </c>
      <c r="O53" s="2">
        <v>18.8506</v>
      </c>
      <c r="P53" s="851" t="s">
        <v>242</v>
      </c>
      <c r="Q53" s="845" t="s">
        <v>221</v>
      </c>
      <c r="R53" s="845" t="s">
        <v>222</v>
      </c>
      <c r="S53" s="845" t="s">
        <v>402</v>
      </c>
      <c r="T53" s="845">
        <v>468095</v>
      </c>
      <c r="U53" s="973" t="s">
        <v>23</v>
      </c>
      <c r="V53" s="852">
        <f t="shared" si="3"/>
        <v>2155083.6260610004</v>
      </c>
      <c r="W53" s="872">
        <f>IFERROR(V53/V$54,0)</f>
        <v>0.36166143136387086</v>
      </c>
      <c r="X53" s="844">
        <f>W53*$I$17</f>
        <v>2126.1930885309421</v>
      </c>
      <c r="Y53" s="873">
        <f t="shared" si="4"/>
        <v>40307.943333751893</v>
      </c>
      <c r="AE53" s="829"/>
      <c r="AF53" s="829"/>
    </row>
    <row r="54" spans="2:32" x14ac:dyDescent="0.2">
      <c r="B54" s="827"/>
      <c r="C54" s="901"/>
      <c r="D54" s="901"/>
      <c r="E54" s="901"/>
      <c r="F54" s="902"/>
      <c r="G54" s="902"/>
      <c r="H54" s="902"/>
      <c r="I54" s="902"/>
      <c r="J54" s="902"/>
      <c r="K54" s="1001">
        <f>SUM(K49:K53)</f>
        <v>5958842.8269332126</v>
      </c>
      <c r="L54" s="903">
        <f>SUM(L49:L53)</f>
        <v>0.99999999999999989</v>
      </c>
      <c r="M54" s="1002">
        <f>SUM(M49:M53)</f>
        <v>5878.9599999999991</v>
      </c>
      <c r="N54" s="1002">
        <f>SUM(N49:N53)</f>
        <v>111452.14788799998</v>
      </c>
      <c r="O54" s="843"/>
      <c r="P54" s="843"/>
      <c r="Q54" s="827"/>
      <c r="R54" s="827"/>
      <c r="S54" s="827"/>
      <c r="T54" s="827"/>
      <c r="U54" s="827"/>
      <c r="V54" s="1001">
        <f>SUM(V49:V53)</f>
        <v>5958842.8269332126</v>
      </c>
      <c r="W54" s="903">
        <f>SUM(W49:W53)</f>
        <v>0.99999999999999989</v>
      </c>
      <c r="X54" s="1002">
        <f>SUM(X49:X53)</f>
        <v>5878.9599999999991</v>
      </c>
      <c r="Y54" s="1002">
        <f>SUM(Y49:Y53)</f>
        <v>111452.14788799998</v>
      </c>
      <c r="AE54" s="829"/>
      <c r="AF54" s="829"/>
    </row>
    <row r="55" spans="2:32" s="906" customFormat="1" x14ac:dyDescent="0.2">
      <c r="B55" s="904"/>
      <c r="C55" s="902"/>
      <c r="D55" s="902"/>
      <c r="E55" s="902"/>
      <c r="F55" s="902"/>
      <c r="G55" s="902"/>
      <c r="H55" s="902"/>
      <c r="I55" s="902"/>
      <c r="J55" s="902"/>
      <c r="K55" s="902"/>
      <c r="L55" s="902"/>
      <c r="M55" s="905"/>
      <c r="N55" s="905"/>
      <c r="O55" s="843"/>
      <c r="P55" s="843"/>
      <c r="Q55" s="904"/>
      <c r="R55" s="904"/>
      <c r="S55" s="904"/>
      <c r="T55" s="904"/>
      <c r="U55" s="904"/>
      <c r="V55" s="904"/>
      <c r="W55" s="904"/>
      <c r="X55" s="843"/>
      <c r="Y55" s="843"/>
      <c r="Z55" s="843"/>
      <c r="AA55" s="843"/>
      <c r="AB55" s="843"/>
      <c r="AC55" s="843"/>
      <c r="AD55" s="843"/>
    </row>
    <row r="56" spans="2:32" s="906" customFormat="1" x14ac:dyDescent="0.2">
      <c r="B56" s="904"/>
      <c r="C56" s="902"/>
      <c r="D56" s="902"/>
      <c r="E56" s="902"/>
      <c r="F56" s="902"/>
      <c r="G56" s="902"/>
      <c r="H56" s="902"/>
      <c r="I56" s="902"/>
      <c r="J56" s="902"/>
      <c r="K56" s="902"/>
      <c r="L56" s="905"/>
      <c r="M56" s="905"/>
      <c r="N56" s="843"/>
      <c r="O56" s="904"/>
      <c r="P56" s="904"/>
      <c r="Q56" s="904"/>
      <c r="R56" s="904"/>
      <c r="S56" s="904"/>
      <c r="T56" s="904"/>
      <c r="U56" s="904"/>
      <c r="V56" s="843"/>
      <c r="W56" s="843"/>
      <c r="X56" s="843"/>
      <c r="Y56" s="843"/>
      <c r="Z56" s="843"/>
      <c r="AA56" s="843"/>
      <c r="AB56" s="843"/>
    </row>
    <row r="57" spans="2:32" s="906" customFormat="1" x14ac:dyDescent="0.2">
      <c r="B57" s="904"/>
      <c r="C57" s="902"/>
      <c r="D57" s="902"/>
      <c r="E57" s="902"/>
      <c r="F57" s="902"/>
      <c r="G57" s="902"/>
      <c r="H57" s="902"/>
      <c r="I57" s="902"/>
      <c r="J57" s="902"/>
      <c r="K57" s="902"/>
      <c r="L57" s="905"/>
      <c r="M57" s="905"/>
      <c r="N57" s="843"/>
      <c r="O57" s="843"/>
      <c r="P57" s="904"/>
      <c r="Q57" s="904"/>
      <c r="R57" s="904"/>
      <c r="S57" s="904"/>
      <c r="T57" s="904"/>
      <c r="U57" s="904"/>
      <c r="V57" s="904"/>
      <c r="W57" s="843"/>
      <c r="X57" s="843"/>
      <c r="Y57" s="843"/>
      <c r="Z57" s="843"/>
      <c r="AA57" s="843"/>
      <c r="AB57" s="843"/>
      <c r="AC57" s="843"/>
    </row>
    <row r="58" spans="2:32" s="906" customFormat="1" x14ac:dyDescent="0.2">
      <c r="B58" s="904"/>
      <c r="C58" s="902"/>
      <c r="D58" s="902"/>
      <c r="E58" s="902"/>
      <c r="F58" s="902"/>
      <c r="G58" s="902"/>
      <c r="H58" s="902"/>
      <c r="I58" s="902"/>
      <c r="J58" s="902"/>
      <c r="K58" s="902"/>
      <c r="L58" s="905"/>
      <c r="M58" s="905"/>
      <c r="N58" s="843"/>
      <c r="O58" s="905"/>
      <c r="P58" s="843"/>
      <c r="Q58" s="905"/>
      <c r="R58" s="904"/>
      <c r="S58" s="904"/>
      <c r="T58" s="904"/>
      <c r="U58" s="904"/>
      <c r="V58" s="904"/>
      <c r="W58" s="904"/>
      <c r="X58" s="904"/>
      <c r="Y58" s="904"/>
      <c r="Z58" s="843"/>
      <c r="AA58" s="843"/>
      <c r="AB58" s="843"/>
      <c r="AC58" s="843"/>
      <c r="AD58" s="843"/>
      <c r="AE58" s="843"/>
      <c r="AF58" s="843"/>
    </row>
    <row r="59" spans="2:32" s="906" customFormat="1" x14ac:dyDescent="0.2">
      <c r="B59" s="904"/>
      <c r="C59" s="902"/>
      <c r="D59" s="902"/>
      <c r="E59" s="902"/>
      <c r="F59" s="902"/>
      <c r="G59" s="902"/>
      <c r="H59" s="902"/>
      <c r="I59" s="902"/>
      <c r="J59" s="902"/>
      <c r="K59" s="902"/>
      <c r="L59" s="905"/>
      <c r="M59" s="905"/>
      <c r="N59" s="843"/>
      <c r="O59" s="905"/>
      <c r="P59" s="843"/>
      <c r="Q59" s="905"/>
      <c r="R59" s="904"/>
      <c r="S59" s="904"/>
      <c r="T59" s="904"/>
      <c r="U59" s="904"/>
      <c r="V59" s="904"/>
      <c r="W59" s="904"/>
      <c r="X59" s="904"/>
      <c r="Y59" s="904"/>
      <c r="Z59" s="843"/>
      <c r="AA59" s="843"/>
      <c r="AB59" s="843"/>
      <c r="AC59" s="843"/>
      <c r="AD59" s="843"/>
      <c r="AE59" s="843"/>
      <c r="AF59" s="843"/>
    </row>
    <row r="60" spans="2:32" s="906" customFormat="1" x14ac:dyDescent="0.2">
      <c r="B60" s="904"/>
      <c r="C60" s="902"/>
      <c r="D60" s="902"/>
      <c r="E60" s="902"/>
      <c r="F60" s="902"/>
      <c r="G60" s="902"/>
      <c r="H60" s="902"/>
      <c r="I60" s="902"/>
      <c r="J60" s="902"/>
      <c r="K60" s="902"/>
      <c r="L60" s="905"/>
      <c r="M60" s="905"/>
      <c r="N60" s="843"/>
      <c r="O60" s="905"/>
      <c r="P60" s="843"/>
      <c r="Q60" s="905"/>
      <c r="R60" s="904"/>
      <c r="S60" s="904"/>
      <c r="T60" s="904"/>
      <c r="U60" s="904"/>
      <c r="V60" s="904"/>
      <c r="W60" s="904"/>
      <c r="X60" s="904"/>
      <c r="Y60" s="904"/>
      <c r="Z60" s="843"/>
      <c r="AA60" s="843"/>
      <c r="AB60" s="843"/>
      <c r="AC60" s="843"/>
      <c r="AD60" s="843"/>
      <c r="AE60" s="843"/>
      <c r="AF60" s="843"/>
    </row>
    <row r="61" spans="2:32" s="906" customFormat="1" x14ac:dyDescent="0.2">
      <c r="B61" s="904"/>
      <c r="C61" s="902"/>
      <c r="D61" s="902"/>
      <c r="E61" s="902"/>
      <c r="F61" s="902"/>
      <c r="G61" s="902"/>
      <c r="H61" s="902"/>
      <c r="I61" s="902"/>
      <c r="J61" s="902"/>
      <c r="K61" s="902"/>
      <c r="L61" s="905"/>
      <c r="M61" s="905"/>
      <c r="N61" s="843"/>
      <c r="O61" s="905"/>
      <c r="P61" s="843"/>
      <c r="Q61" s="905"/>
      <c r="R61" s="904"/>
      <c r="S61" s="904"/>
      <c r="T61" s="904"/>
      <c r="U61" s="904"/>
      <c r="V61" s="904"/>
      <c r="W61" s="904"/>
      <c r="X61" s="904"/>
      <c r="Y61" s="904"/>
      <c r="Z61" s="843"/>
      <c r="AA61" s="843"/>
      <c r="AB61" s="843"/>
      <c r="AC61" s="843"/>
      <c r="AD61" s="843"/>
      <c r="AE61" s="843"/>
      <c r="AF61" s="843"/>
    </row>
    <row r="62" spans="2:32" s="906" customFormat="1" x14ac:dyDescent="0.2">
      <c r="B62" s="904"/>
      <c r="C62" s="902"/>
      <c r="D62" s="902"/>
      <c r="E62" s="902"/>
      <c r="F62" s="902"/>
      <c r="G62" s="902"/>
      <c r="H62" s="902"/>
      <c r="I62" s="902"/>
      <c r="J62" s="902"/>
      <c r="K62" s="902"/>
      <c r="L62" s="905"/>
      <c r="M62" s="905"/>
      <c r="N62" s="843"/>
      <c r="O62" s="905"/>
      <c r="P62" s="843"/>
      <c r="Q62" s="905"/>
      <c r="R62" s="904"/>
      <c r="S62" s="904"/>
      <c r="T62" s="904"/>
      <c r="U62" s="904"/>
      <c r="V62" s="904"/>
      <c r="W62" s="904"/>
      <c r="X62" s="904"/>
      <c r="Y62" s="904"/>
      <c r="Z62" s="843"/>
      <c r="AA62" s="843"/>
      <c r="AB62" s="843"/>
      <c r="AC62" s="843"/>
      <c r="AD62" s="843"/>
      <c r="AE62" s="843"/>
      <c r="AF62" s="843"/>
    </row>
    <row r="63" spans="2:32" s="906" customFormat="1" x14ac:dyDescent="0.2">
      <c r="B63" s="904"/>
      <c r="C63" s="902"/>
      <c r="D63" s="902"/>
      <c r="E63" s="902"/>
      <c r="F63" s="902"/>
      <c r="G63" s="902"/>
      <c r="H63" s="902"/>
      <c r="I63" s="902"/>
      <c r="J63" s="902"/>
      <c r="K63" s="902"/>
      <c r="L63" s="905"/>
      <c r="M63" s="905"/>
      <c r="N63" s="843"/>
      <c r="O63" s="905"/>
      <c r="P63" s="843"/>
      <c r="Q63" s="905"/>
      <c r="R63" s="904"/>
      <c r="S63" s="904"/>
      <c r="T63" s="904"/>
      <c r="U63" s="904"/>
      <c r="V63" s="904"/>
      <c r="W63" s="904"/>
      <c r="X63" s="904"/>
      <c r="Y63" s="904"/>
      <c r="Z63" s="843"/>
      <c r="AA63" s="843"/>
      <c r="AB63" s="843"/>
      <c r="AC63" s="843"/>
      <c r="AD63" s="843"/>
      <c r="AE63" s="843"/>
      <c r="AF63" s="843"/>
    </row>
    <row r="64" spans="2:32" s="906" customFormat="1" x14ac:dyDescent="0.2">
      <c r="B64" s="904"/>
      <c r="C64" s="902"/>
      <c r="D64" s="902"/>
      <c r="E64" s="902"/>
      <c r="F64" s="902"/>
      <c r="G64" s="902"/>
      <c r="H64" s="902"/>
      <c r="I64" s="902"/>
      <c r="J64" s="902"/>
      <c r="K64" s="902"/>
      <c r="L64" s="905"/>
      <c r="M64" s="905"/>
      <c r="N64" s="843"/>
      <c r="O64" s="905"/>
      <c r="P64" s="843"/>
      <c r="Q64" s="905"/>
      <c r="R64" s="904"/>
      <c r="S64" s="904"/>
      <c r="T64" s="904"/>
      <c r="U64" s="904"/>
      <c r="V64" s="904"/>
      <c r="W64" s="904"/>
      <c r="X64" s="904"/>
      <c r="Y64" s="904"/>
      <c r="Z64" s="843"/>
      <c r="AA64" s="843"/>
      <c r="AB64" s="843"/>
      <c r="AC64" s="843"/>
      <c r="AD64" s="843"/>
      <c r="AE64" s="843"/>
      <c r="AF64" s="843"/>
    </row>
    <row r="65" spans="2:36" s="906" customFormat="1" x14ac:dyDescent="0.2">
      <c r="B65" s="904"/>
      <c r="C65" s="902"/>
      <c r="D65" s="902"/>
      <c r="E65" s="902"/>
      <c r="F65" s="902"/>
      <c r="G65" s="902"/>
      <c r="H65" s="902"/>
      <c r="I65" s="902"/>
      <c r="J65" s="902"/>
      <c r="K65" s="902"/>
      <c r="L65" s="905"/>
      <c r="M65" s="905"/>
      <c r="N65" s="843"/>
      <c r="O65" s="905"/>
      <c r="P65" s="843"/>
      <c r="Q65" s="905"/>
      <c r="R65" s="904"/>
      <c r="S65" s="904"/>
      <c r="T65" s="904"/>
      <c r="U65" s="904"/>
      <c r="V65" s="904"/>
      <c r="W65" s="904"/>
      <c r="X65" s="904"/>
      <c r="Y65" s="904"/>
      <c r="Z65" s="843"/>
      <c r="AA65" s="843"/>
      <c r="AB65" s="843"/>
      <c r="AC65" s="843"/>
      <c r="AD65" s="843"/>
      <c r="AE65" s="843"/>
      <c r="AF65" s="843"/>
    </row>
    <row r="66" spans="2:36" s="906" customFormat="1" x14ac:dyDescent="0.2">
      <c r="B66" s="904"/>
      <c r="C66" s="902"/>
      <c r="D66" s="902"/>
      <c r="E66" s="902"/>
      <c r="F66" s="902"/>
      <c r="G66" s="902"/>
      <c r="H66" s="902"/>
      <c r="I66" s="902"/>
      <c r="J66" s="902"/>
      <c r="K66" s="902"/>
      <c r="L66" s="905"/>
      <c r="M66" s="905"/>
      <c r="N66" s="843"/>
      <c r="O66" s="905"/>
      <c r="P66" s="843"/>
      <c r="Q66" s="905"/>
      <c r="R66" s="904"/>
      <c r="S66" s="904"/>
      <c r="T66" s="904"/>
      <c r="U66" s="904"/>
      <c r="V66" s="904"/>
      <c r="W66" s="904"/>
      <c r="X66" s="904"/>
      <c r="Y66" s="904"/>
      <c r="Z66" s="843"/>
      <c r="AA66" s="843"/>
      <c r="AB66" s="843"/>
      <c r="AC66" s="843"/>
      <c r="AD66" s="843"/>
      <c r="AE66" s="843"/>
      <c r="AF66" s="843"/>
    </row>
    <row r="67" spans="2:36" s="906" customFormat="1" x14ac:dyDescent="0.2">
      <c r="B67" s="904"/>
      <c r="C67" s="902"/>
      <c r="D67" s="902"/>
      <c r="E67" s="902"/>
      <c r="F67" s="902"/>
      <c r="G67" s="902"/>
      <c r="H67" s="902"/>
      <c r="I67" s="902"/>
      <c r="J67" s="902"/>
      <c r="K67" s="902"/>
      <c r="L67" s="902"/>
      <c r="N67" s="905"/>
      <c r="O67" s="905"/>
      <c r="P67" s="843"/>
      <c r="Q67" s="905"/>
      <c r="R67" s="843"/>
      <c r="S67" s="905"/>
      <c r="T67" s="904"/>
      <c r="U67" s="904"/>
      <c r="V67" s="904"/>
      <c r="W67" s="904"/>
      <c r="X67" s="904"/>
      <c r="Y67" s="904"/>
      <c r="Z67" s="904"/>
      <c r="AA67" s="904"/>
      <c r="AB67" s="843"/>
      <c r="AC67" s="843"/>
      <c r="AD67" s="843"/>
      <c r="AE67" s="843"/>
      <c r="AF67" s="843"/>
      <c r="AG67" s="843"/>
    </row>
    <row r="68" spans="2:36" s="843" customFormat="1" ht="13.5" thickBot="1" x14ac:dyDescent="0.25">
      <c r="P68" s="860"/>
      <c r="Q68" s="860"/>
      <c r="T68" s="860"/>
      <c r="U68" s="860"/>
      <c r="V68" s="860"/>
      <c r="W68" s="860"/>
      <c r="X68" s="860"/>
      <c r="Y68" s="860"/>
      <c r="Z68" s="860"/>
      <c r="AA68" s="860"/>
      <c r="AB68" s="860"/>
      <c r="AC68" s="860"/>
      <c r="AD68" s="860"/>
      <c r="AE68" s="860"/>
      <c r="AF68" s="860"/>
      <c r="AG68" s="999" t="e">
        <f>'Junio - 2018'!AC101</f>
        <v>#REF!</v>
      </c>
    </row>
    <row r="69" spans="2:36" ht="15" customHeight="1" thickBot="1" x14ac:dyDescent="0.25">
      <c r="B69" s="907" t="s">
        <v>3</v>
      </c>
      <c r="C69" s="908">
        <f>SUMIF(Tarifas!E4:E303,'Marzo - 2019'!C71,Tarifas!D4:D303)</f>
        <v>68</v>
      </c>
      <c r="D69" s="909" t="s">
        <v>147</v>
      </c>
      <c r="E69" s="910"/>
      <c r="F69" s="910" t="s">
        <v>145</v>
      </c>
      <c r="G69" s="910" t="s">
        <v>287</v>
      </c>
      <c r="H69" s="910" t="s">
        <v>148</v>
      </c>
      <c r="I69" s="911"/>
      <c r="J69" s="2320" t="s">
        <v>120</v>
      </c>
      <c r="K69" s="2321"/>
      <c r="L69" s="2321"/>
      <c r="M69" s="2322"/>
      <c r="N69" s="2311" t="s">
        <v>270</v>
      </c>
      <c r="O69" s="2312"/>
      <c r="P69" s="2312"/>
      <c r="Q69" s="2313"/>
      <c r="R69" s="2309" t="s">
        <v>271</v>
      </c>
      <c r="S69" s="2310"/>
      <c r="T69" s="2310"/>
      <c r="U69" s="2310"/>
      <c r="V69" s="2310"/>
      <c r="W69" s="2310"/>
      <c r="X69" s="2310"/>
      <c r="Y69" s="2310"/>
      <c r="Z69" s="2332"/>
      <c r="AA69" s="2076" t="s">
        <v>121</v>
      </c>
      <c r="AB69" s="2077"/>
      <c r="AC69" s="2077"/>
      <c r="AD69" s="2077"/>
      <c r="AE69" s="2077"/>
      <c r="AF69" s="2077"/>
      <c r="AG69" s="2078"/>
      <c r="AH69" s="843"/>
      <c r="AI69" s="843"/>
      <c r="AJ69" s="843"/>
    </row>
    <row r="70" spans="2:36" ht="51.75" thickBot="1" x14ac:dyDescent="0.25">
      <c r="C70" s="914" t="s">
        <v>122</v>
      </c>
      <c r="D70" s="1016" t="s">
        <v>125</v>
      </c>
      <c r="E70" s="1017" t="s">
        <v>277</v>
      </c>
      <c r="F70" s="1017" t="s">
        <v>149</v>
      </c>
      <c r="G70" s="1017" t="s">
        <v>151</v>
      </c>
      <c r="H70" s="1017" t="s">
        <v>152</v>
      </c>
      <c r="I70" s="1018" t="s">
        <v>123</v>
      </c>
      <c r="J70" s="1027" t="s">
        <v>734</v>
      </c>
      <c r="K70" s="1028" t="s">
        <v>727</v>
      </c>
      <c r="L70" s="1028" t="s">
        <v>728</v>
      </c>
      <c r="M70" s="1028" t="s">
        <v>729</v>
      </c>
      <c r="N70" s="1665" t="s">
        <v>747</v>
      </c>
      <c r="O70" s="1666" t="s">
        <v>266</v>
      </c>
      <c r="P70" s="1666" t="s">
        <v>269</v>
      </c>
      <c r="Q70" s="1906" t="s">
        <v>267</v>
      </c>
      <c r="R70" s="1904" t="s">
        <v>395</v>
      </c>
      <c r="S70" s="2021" t="s">
        <v>272</v>
      </c>
      <c r="T70" s="1904" t="s">
        <v>22</v>
      </c>
      <c r="U70" s="1905" t="s">
        <v>272</v>
      </c>
      <c r="V70" s="978" t="s">
        <v>25</v>
      </c>
      <c r="W70" s="978" t="s">
        <v>26</v>
      </c>
      <c r="X70" s="979" t="s">
        <v>272</v>
      </c>
      <c r="Y70" s="980" t="s">
        <v>273</v>
      </c>
      <c r="Z70" s="977" t="s">
        <v>272</v>
      </c>
      <c r="AA70" s="1012" t="s">
        <v>207</v>
      </c>
      <c r="AB70" s="1013"/>
      <c r="AC70" s="1013" t="s">
        <v>112</v>
      </c>
      <c r="AD70" s="1014" t="s">
        <v>118</v>
      </c>
      <c r="AE70" s="1014" t="s">
        <v>119</v>
      </c>
      <c r="AF70" s="1014" t="s">
        <v>114</v>
      </c>
      <c r="AG70" s="1015" t="s">
        <v>113</v>
      </c>
      <c r="AH70" s="843"/>
      <c r="AI70" s="843"/>
      <c r="AJ70" s="843"/>
    </row>
    <row r="71" spans="2:36" x14ac:dyDescent="0.2">
      <c r="C71" s="918">
        <v>43525</v>
      </c>
      <c r="D71" s="919">
        <f>($E$22*$H$22)/$G$22</f>
        <v>153350.92387096773</v>
      </c>
      <c r="E71" s="2020">
        <f>($F$22*$I$22)/$G$22</f>
        <v>14421.080258064516</v>
      </c>
      <c r="F71" s="921">
        <f t="shared" ref="F71:F98" si="6">O71+P71+Q71+N71</f>
        <v>176811.45356249245</v>
      </c>
      <c r="G71" s="921">
        <f>TRUNC(IFERROR(K$22/L$22,0),8)</f>
        <v>0.98659384000000006</v>
      </c>
      <c r="H71" s="923">
        <f t="shared" ref="H71:H98" si="7">ROUND(J$22*G71*F71,4)</f>
        <v>174.44110000000001</v>
      </c>
      <c r="I71" s="924">
        <f t="shared" ref="I71:I98" si="8">SUM(D71:H71)</f>
        <v>344758.8853853647</v>
      </c>
      <c r="J71" s="925"/>
      <c r="K71" s="926"/>
      <c r="L71" s="926"/>
      <c r="M71" s="984"/>
      <c r="N71" s="1874">
        <v>16834.151027608201</v>
      </c>
      <c r="O71" s="1668">
        <v>76923.937999999995</v>
      </c>
      <c r="P71" s="1668">
        <v>83053.364534884255</v>
      </c>
      <c r="Q71" s="1888"/>
      <c r="R71" s="1874"/>
      <c r="S71" s="1889">
        <f>N71-R71</f>
        <v>16834.151027608201</v>
      </c>
      <c r="T71" s="1668">
        <v>76923.937999999995</v>
      </c>
      <c r="U71" s="1889">
        <f t="shared" ref="U71:U98" si="9">O71-T71</f>
        <v>0</v>
      </c>
      <c r="V71" s="984">
        <v>83027.02</v>
      </c>
      <c r="W71" s="984">
        <v>26.33</v>
      </c>
      <c r="X71" s="982">
        <f t="shared" ref="X71:X98" si="10">P71-(V71+W71)</f>
        <v>1.453488424886018E-2</v>
      </c>
      <c r="Y71" s="983">
        <v>0</v>
      </c>
      <c r="Z71" s="985">
        <f t="shared" ref="Z71:Z98" si="11">Q71-Y71</f>
        <v>0</v>
      </c>
      <c r="AA71" s="929"/>
      <c r="AB71" s="930"/>
      <c r="AC71" s="931">
        <f t="shared" ref="AC71:AC98" si="12">AA71+AB71-AD71</f>
        <v>0</v>
      </c>
      <c r="AD71" s="931">
        <f t="shared" ref="AD71:AD98" si="13">J71+K71+L71</f>
        <v>0</v>
      </c>
      <c r="AE71" s="931">
        <f t="shared" ref="AE71:AE98" si="14">(X71+Y71+Z71)*1.055056</f>
        <v>1.5335116836065426E-2</v>
      </c>
      <c r="AF71" s="931">
        <f t="shared" ref="AF71:AF98" si="15">AD71-AE71</f>
        <v>-1.5335116836065426E-2</v>
      </c>
      <c r="AG71" s="932" t="e">
        <f>#REF!+AF71</f>
        <v>#REF!</v>
      </c>
      <c r="AH71" s="843"/>
      <c r="AI71" s="843"/>
      <c r="AJ71" s="843"/>
    </row>
    <row r="72" spans="2:36" x14ac:dyDescent="0.2">
      <c r="C72" s="933">
        <f t="shared" ref="C72:C101" si="16">C71+1</f>
        <v>43526</v>
      </c>
      <c r="D72" s="919">
        <f t="shared" ref="D72:D101" si="17">($E$22*$H$22)/$G$22</f>
        <v>153350.92387096773</v>
      </c>
      <c r="E72" s="2020">
        <f t="shared" ref="E72:E101" si="18">($F$22*$I$22)/$G$22</f>
        <v>14421.080258064516</v>
      </c>
      <c r="F72" s="921">
        <f t="shared" si="6"/>
        <v>184395.82662352169</v>
      </c>
      <c r="G72" s="934">
        <f t="shared" ref="G72:G98" si="19">TRUNC(IFERROR(K$22/L$22,0),8)</f>
        <v>0.98659384000000006</v>
      </c>
      <c r="H72" s="923">
        <f t="shared" si="7"/>
        <v>181.9238</v>
      </c>
      <c r="I72" s="924">
        <f t="shared" si="8"/>
        <v>352350.74114639394</v>
      </c>
      <c r="J72" s="925"/>
      <c r="K72" s="926"/>
      <c r="L72" s="926"/>
      <c r="M72" s="984"/>
      <c r="N72" s="981">
        <v>13634.526026285201</v>
      </c>
      <c r="O72" s="937">
        <v>76807.742188000004</v>
      </c>
      <c r="P72" s="937">
        <v>93953.558409236488</v>
      </c>
      <c r="Q72" s="984"/>
      <c r="R72" s="986"/>
      <c r="S72" s="985">
        <f t="shared" ref="S72:S98" si="20">N72-R72</f>
        <v>13634.526026285201</v>
      </c>
      <c r="T72" s="937">
        <v>76807.741999999998</v>
      </c>
      <c r="U72" s="985">
        <f t="shared" si="9"/>
        <v>1.8800000543706119E-4</v>
      </c>
      <c r="V72" s="989">
        <v>56443.108999999997</v>
      </c>
      <c r="W72" s="989">
        <v>37510.445</v>
      </c>
      <c r="X72" s="982">
        <f t="shared" si="10"/>
        <v>4.4092364842072129E-3</v>
      </c>
      <c r="Y72" s="988">
        <v>0</v>
      </c>
      <c r="Z72" s="990">
        <f t="shared" si="11"/>
        <v>0</v>
      </c>
      <c r="AA72" s="929"/>
      <c r="AB72" s="930"/>
      <c r="AC72" s="931">
        <f t="shared" si="12"/>
        <v>0</v>
      </c>
      <c r="AD72" s="931">
        <f t="shared" si="13"/>
        <v>0</v>
      </c>
      <c r="AE72" s="931">
        <f t="shared" si="14"/>
        <v>4.6519914080817249E-3</v>
      </c>
      <c r="AF72" s="931">
        <f t="shared" si="15"/>
        <v>-4.6519914080817249E-3</v>
      </c>
      <c r="AG72" s="932" t="e">
        <f t="shared" ref="AG72:AG98" si="21">AG71+AF72</f>
        <v>#REF!</v>
      </c>
      <c r="AH72" s="843"/>
      <c r="AI72" s="843"/>
      <c r="AJ72" s="843"/>
    </row>
    <row r="73" spans="2:36" x14ac:dyDescent="0.2">
      <c r="C73" s="933">
        <f t="shared" si="16"/>
        <v>43527</v>
      </c>
      <c r="D73" s="919">
        <f t="shared" si="17"/>
        <v>153350.92387096773</v>
      </c>
      <c r="E73" s="2020">
        <f t="shared" si="18"/>
        <v>14421.080258064516</v>
      </c>
      <c r="F73" s="921">
        <f t="shared" si="6"/>
        <v>206768.47189710298</v>
      </c>
      <c r="G73" s="934">
        <f t="shared" si="19"/>
        <v>0.98659384000000006</v>
      </c>
      <c r="H73" s="923">
        <f t="shared" si="7"/>
        <v>203.9965</v>
      </c>
      <c r="I73" s="924">
        <f t="shared" si="8"/>
        <v>374745.45911997528</v>
      </c>
      <c r="J73" s="925"/>
      <c r="K73" s="926"/>
      <c r="L73" s="926"/>
      <c r="M73" s="984"/>
      <c r="N73" s="981">
        <v>19846.869433677301</v>
      </c>
      <c r="O73" s="928">
        <v>76769.6875</v>
      </c>
      <c r="P73" s="928">
        <v>110151.91496342569</v>
      </c>
      <c r="Q73" s="984"/>
      <c r="R73" s="981"/>
      <c r="S73" s="985">
        <f t="shared" si="20"/>
        <v>19846.869433677301</v>
      </c>
      <c r="T73" s="928">
        <v>76769.687999999995</v>
      </c>
      <c r="U73" s="985">
        <f t="shared" si="9"/>
        <v>-4.999999946448952E-4</v>
      </c>
      <c r="V73" s="989">
        <v>72867.922000000006</v>
      </c>
      <c r="W73" s="989">
        <v>37283.99</v>
      </c>
      <c r="X73" s="982">
        <f t="shared" si="10"/>
        <v>2.9634256788995117E-3</v>
      </c>
      <c r="Y73" s="988">
        <v>0</v>
      </c>
      <c r="Z73" s="990">
        <f t="shared" si="11"/>
        <v>0</v>
      </c>
      <c r="AA73" s="929"/>
      <c r="AB73" s="930"/>
      <c r="AC73" s="931">
        <f t="shared" si="12"/>
        <v>0</v>
      </c>
      <c r="AD73" s="931">
        <f t="shared" si="13"/>
        <v>0</v>
      </c>
      <c r="AE73" s="931">
        <f t="shared" si="14"/>
        <v>3.1265800430770032E-3</v>
      </c>
      <c r="AF73" s="931">
        <f t="shared" si="15"/>
        <v>-3.1265800430770032E-3</v>
      </c>
      <c r="AG73" s="932" t="e">
        <f t="shared" si="21"/>
        <v>#REF!</v>
      </c>
      <c r="AH73" s="843"/>
      <c r="AI73" s="843"/>
      <c r="AJ73" s="843"/>
    </row>
    <row r="74" spans="2:36" x14ac:dyDescent="0.2">
      <c r="C74" s="933">
        <f t="shared" si="16"/>
        <v>43528</v>
      </c>
      <c r="D74" s="919">
        <f t="shared" si="17"/>
        <v>153350.92387096773</v>
      </c>
      <c r="E74" s="2020">
        <f t="shared" si="18"/>
        <v>14421.080258064516</v>
      </c>
      <c r="F74" s="921">
        <f t="shared" si="6"/>
        <v>214504.20637027064</v>
      </c>
      <c r="G74" s="934">
        <f t="shared" si="19"/>
        <v>0.98659384000000006</v>
      </c>
      <c r="H74" s="923">
        <f t="shared" si="7"/>
        <v>211.6285</v>
      </c>
      <c r="I74" s="924">
        <f t="shared" si="8"/>
        <v>382488.82559314289</v>
      </c>
      <c r="J74" s="925"/>
      <c r="K74" s="926"/>
      <c r="L74" s="926"/>
      <c r="M74" s="984"/>
      <c r="N74" s="981">
        <v>23285.6506328619</v>
      </c>
      <c r="O74" s="937">
        <v>77372.241999999998</v>
      </c>
      <c r="P74" s="937">
        <v>113846.31373740875</v>
      </c>
      <c r="Q74" s="984"/>
      <c r="R74" s="986"/>
      <c r="S74" s="985">
        <f t="shared" si="20"/>
        <v>23285.6506328619</v>
      </c>
      <c r="T74" s="937">
        <v>77372.241999999998</v>
      </c>
      <c r="U74" s="985">
        <f t="shared" si="9"/>
        <v>0</v>
      </c>
      <c r="V74" s="989">
        <v>76041.732000000004</v>
      </c>
      <c r="W74" s="989">
        <v>37804.589999999997</v>
      </c>
      <c r="X74" s="982">
        <f t="shared" si="10"/>
        <v>-8.2625912473304197E-3</v>
      </c>
      <c r="Y74" s="988">
        <v>0</v>
      </c>
      <c r="Z74" s="990">
        <f t="shared" si="11"/>
        <v>0</v>
      </c>
      <c r="AA74" s="929"/>
      <c r="AB74" s="930"/>
      <c r="AC74" s="931">
        <f t="shared" si="12"/>
        <v>0</v>
      </c>
      <c r="AD74" s="931">
        <f t="shared" si="13"/>
        <v>0</v>
      </c>
      <c r="AE74" s="931">
        <f t="shared" si="14"/>
        <v>-8.7174964710434438E-3</v>
      </c>
      <c r="AF74" s="931">
        <f t="shared" si="15"/>
        <v>8.7174964710434438E-3</v>
      </c>
      <c r="AG74" s="932" t="e">
        <f t="shared" si="21"/>
        <v>#REF!</v>
      </c>
      <c r="AH74" s="843"/>
      <c r="AI74" s="843"/>
      <c r="AJ74" s="843"/>
    </row>
    <row r="75" spans="2:36" x14ac:dyDescent="0.2">
      <c r="C75" s="933">
        <f t="shared" si="16"/>
        <v>43529</v>
      </c>
      <c r="D75" s="919">
        <f t="shared" si="17"/>
        <v>153350.92387096773</v>
      </c>
      <c r="E75" s="2020">
        <f t="shared" si="18"/>
        <v>14421.080258064516</v>
      </c>
      <c r="F75" s="921">
        <f t="shared" si="6"/>
        <v>215025.79505564552</v>
      </c>
      <c r="G75" s="934">
        <f t="shared" si="19"/>
        <v>0.98659384000000006</v>
      </c>
      <c r="H75" s="923">
        <f t="shared" si="7"/>
        <v>212.1431</v>
      </c>
      <c r="I75" s="924">
        <f t="shared" si="8"/>
        <v>383010.92887851776</v>
      </c>
      <c r="J75" s="925"/>
      <c r="K75" s="926"/>
      <c r="L75" s="926"/>
      <c r="M75" s="984"/>
      <c r="N75" s="981">
        <v>23417.024618062402</v>
      </c>
      <c r="O75" s="928">
        <v>77658.554688000004</v>
      </c>
      <c r="P75" s="928">
        <v>113950.21574958312</v>
      </c>
      <c r="Q75" s="984"/>
      <c r="R75" s="981"/>
      <c r="S75" s="985">
        <f t="shared" si="20"/>
        <v>23417.024618062402</v>
      </c>
      <c r="T75" s="928">
        <v>77658.554999999993</v>
      </c>
      <c r="U75" s="985">
        <f t="shared" si="9"/>
        <v>-3.1199998920783401E-4</v>
      </c>
      <c r="V75" s="989">
        <v>76078.463000000003</v>
      </c>
      <c r="W75" s="989">
        <v>37871.748</v>
      </c>
      <c r="X75" s="982">
        <f t="shared" si="10"/>
        <v>4.7495831095147878E-3</v>
      </c>
      <c r="Y75" s="988">
        <v>0</v>
      </c>
      <c r="Z75" s="990">
        <f t="shared" si="11"/>
        <v>0</v>
      </c>
      <c r="AA75" s="929"/>
      <c r="AB75" s="930"/>
      <c r="AC75" s="931">
        <f t="shared" si="12"/>
        <v>0</v>
      </c>
      <c r="AD75" s="931">
        <f t="shared" si="13"/>
        <v>0</v>
      </c>
      <c r="AE75" s="931">
        <f t="shared" si="14"/>
        <v>5.0110761571922338E-3</v>
      </c>
      <c r="AF75" s="931">
        <f t="shared" si="15"/>
        <v>-5.0110761571922338E-3</v>
      </c>
      <c r="AG75" s="932" t="e">
        <f t="shared" si="21"/>
        <v>#REF!</v>
      </c>
      <c r="AH75" s="843"/>
      <c r="AI75" s="843"/>
      <c r="AJ75" s="843"/>
    </row>
    <row r="76" spans="2:36" x14ac:dyDescent="0.2">
      <c r="C76" s="933">
        <f t="shared" si="16"/>
        <v>43530</v>
      </c>
      <c r="D76" s="919">
        <f t="shared" si="17"/>
        <v>153350.92387096773</v>
      </c>
      <c r="E76" s="2020">
        <f t="shared" si="18"/>
        <v>14421.080258064516</v>
      </c>
      <c r="F76" s="921">
        <f t="shared" si="6"/>
        <v>215162.11836094153</v>
      </c>
      <c r="G76" s="934">
        <f t="shared" si="19"/>
        <v>0.98659384000000006</v>
      </c>
      <c r="H76" s="923">
        <f t="shared" si="7"/>
        <v>212.27760000000001</v>
      </c>
      <c r="I76" s="924">
        <f t="shared" si="8"/>
        <v>383147.38668381376</v>
      </c>
      <c r="J76" s="925"/>
      <c r="K76" s="926"/>
      <c r="L76" s="926"/>
      <c r="M76" s="984"/>
      <c r="N76" s="981">
        <v>23442.815190428297</v>
      </c>
      <c r="O76" s="937">
        <v>77531.859375</v>
      </c>
      <c r="P76" s="937">
        <v>114187.44379551326</v>
      </c>
      <c r="Q76" s="984"/>
      <c r="R76" s="986"/>
      <c r="S76" s="985">
        <f t="shared" si="20"/>
        <v>23442.815190428297</v>
      </c>
      <c r="T76" s="937">
        <v>77531.86</v>
      </c>
      <c r="U76" s="985">
        <f t="shared" si="9"/>
        <v>-6.2500000058207661E-4</v>
      </c>
      <c r="V76" s="989">
        <v>76278.566000000006</v>
      </c>
      <c r="W76" s="989">
        <v>37908.870000000003</v>
      </c>
      <c r="X76" s="982">
        <f t="shared" si="10"/>
        <v>7.7955132437637076E-3</v>
      </c>
      <c r="Y76" s="988">
        <v>0</v>
      </c>
      <c r="Z76" s="990">
        <f t="shared" si="11"/>
        <v>0</v>
      </c>
      <c r="AA76" s="929"/>
      <c r="AB76" s="930"/>
      <c r="AC76" s="931">
        <f t="shared" si="12"/>
        <v>0</v>
      </c>
      <c r="AD76" s="931">
        <f t="shared" si="13"/>
        <v>0</v>
      </c>
      <c r="AE76" s="931">
        <f t="shared" si="14"/>
        <v>8.224703020912362E-3</v>
      </c>
      <c r="AF76" s="931">
        <f t="shared" si="15"/>
        <v>-8.224703020912362E-3</v>
      </c>
      <c r="AG76" s="932" t="e">
        <f t="shared" si="21"/>
        <v>#REF!</v>
      </c>
      <c r="AH76" s="843"/>
      <c r="AI76" s="843"/>
      <c r="AJ76" s="843"/>
    </row>
    <row r="77" spans="2:36" x14ac:dyDescent="0.2">
      <c r="C77" s="933">
        <f t="shared" si="16"/>
        <v>43531</v>
      </c>
      <c r="D77" s="919">
        <f t="shared" si="17"/>
        <v>153350.92387096773</v>
      </c>
      <c r="E77" s="2020">
        <f t="shared" si="18"/>
        <v>14421.080258064516</v>
      </c>
      <c r="F77" s="921">
        <f t="shared" si="6"/>
        <v>214537.43530678653</v>
      </c>
      <c r="G77" s="934">
        <f t="shared" si="19"/>
        <v>0.98659384000000006</v>
      </c>
      <c r="H77" s="923">
        <f t="shared" si="7"/>
        <v>211.66130000000001</v>
      </c>
      <c r="I77" s="924">
        <f t="shared" si="8"/>
        <v>382522.0873296588</v>
      </c>
      <c r="J77" s="925"/>
      <c r="K77" s="926"/>
      <c r="L77" s="926"/>
      <c r="M77" s="984"/>
      <c r="N77" s="981">
        <v>23423.460199968296</v>
      </c>
      <c r="O77" s="928">
        <v>77619.984375</v>
      </c>
      <c r="P77" s="928">
        <v>113493.99073181822</v>
      </c>
      <c r="Q77" s="984"/>
      <c r="R77" s="981"/>
      <c r="S77" s="985">
        <f t="shared" si="20"/>
        <v>23423.460199968296</v>
      </c>
      <c r="T77" s="928">
        <v>77619.983999999997</v>
      </c>
      <c r="U77" s="985">
        <f t="shared" si="9"/>
        <v>3.7500000325962901E-4</v>
      </c>
      <c r="V77" s="989">
        <v>75789.491999999998</v>
      </c>
      <c r="W77" s="989">
        <v>37704.474999999999</v>
      </c>
      <c r="X77" s="982">
        <f t="shared" si="10"/>
        <v>2.373181821894832E-2</v>
      </c>
      <c r="Y77" s="988">
        <v>0</v>
      </c>
      <c r="Z77" s="990">
        <f t="shared" si="11"/>
        <v>0</v>
      </c>
      <c r="AA77" s="929"/>
      <c r="AB77" s="930"/>
      <c r="AC77" s="931">
        <f t="shared" si="12"/>
        <v>0</v>
      </c>
      <c r="AD77" s="931">
        <f t="shared" si="13"/>
        <v>0</v>
      </c>
      <c r="AE77" s="931">
        <f t="shared" si="14"/>
        <v>2.5038397202810737E-2</v>
      </c>
      <c r="AF77" s="931">
        <f t="shared" si="15"/>
        <v>-2.5038397202810737E-2</v>
      </c>
      <c r="AG77" s="932" t="e">
        <f t="shared" si="21"/>
        <v>#REF!</v>
      </c>
      <c r="AH77" s="843"/>
      <c r="AI77" s="843"/>
      <c r="AJ77" s="843"/>
    </row>
    <row r="78" spans="2:36" x14ac:dyDescent="0.2">
      <c r="C78" s="933">
        <f t="shared" si="16"/>
        <v>43532</v>
      </c>
      <c r="D78" s="919">
        <f t="shared" si="17"/>
        <v>153350.92387096773</v>
      </c>
      <c r="E78" s="2020">
        <f t="shared" si="18"/>
        <v>14421.080258064516</v>
      </c>
      <c r="F78" s="921">
        <f t="shared" si="6"/>
        <v>213631.65036754831</v>
      </c>
      <c r="G78" s="934">
        <f t="shared" si="19"/>
        <v>0.98659384000000006</v>
      </c>
      <c r="H78" s="923">
        <f t="shared" si="7"/>
        <v>210.76769999999999</v>
      </c>
      <c r="I78" s="924">
        <f t="shared" si="8"/>
        <v>381615.40879042062</v>
      </c>
      <c r="J78" s="925"/>
      <c r="K78" s="926"/>
      <c r="L78" s="926"/>
      <c r="M78" s="984"/>
      <c r="N78" s="981">
        <v>22953.628428183998</v>
      </c>
      <c r="O78" s="937">
        <v>77545.570313000004</v>
      </c>
      <c r="P78" s="937">
        <v>113132.45162636432</v>
      </c>
      <c r="Q78" s="984"/>
      <c r="R78" s="986"/>
      <c r="S78" s="985">
        <f t="shared" si="20"/>
        <v>22953.628428183998</v>
      </c>
      <c r="T78" s="937">
        <v>77545.570000000007</v>
      </c>
      <c r="U78" s="985">
        <f t="shared" si="9"/>
        <v>3.1299999682232738E-4</v>
      </c>
      <c r="V78" s="989">
        <v>75452.94</v>
      </c>
      <c r="W78" s="989">
        <v>37679.499000000003</v>
      </c>
      <c r="X78" s="982">
        <f t="shared" si="10"/>
        <v>1.2626364303287119E-2</v>
      </c>
      <c r="Y78" s="988">
        <v>0</v>
      </c>
      <c r="Z78" s="990">
        <f t="shared" si="11"/>
        <v>0</v>
      </c>
      <c r="AA78" s="929"/>
      <c r="AB78" s="930"/>
      <c r="AC78" s="931">
        <f t="shared" si="12"/>
        <v>0</v>
      </c>
      <c r="AD78" s="931">
        <f t="shared" si="13"/>
        <v>0</v>
      </c>
      <c r="AE78" s="931">
        <f t="shared" si="14"/>
        <v>1.3321521416368894E-2</v>
      </c>
      <c r="AF78" s="931">
        <f t="shared" si="15"/>
        <v>-1.3321521416368894E-2</v>
      </c>
      <c r="AG78" s="932" t="e">
        <f t="shared" si="21"/>
        <v>#REF!</v>
      </c>
    </row>
    <row r="79" spans="2:36" x14ac:dyDescent="0.2">
      <c r="C79" s="933">
        <f t="shared" si="16"/>
        <v>43533</v>
      </c>
      <c r="D79" s="919">
        <f t="shared" si="17"/>
        <v>153350.92387096773</v>
      </c>
      <c r="E79" s="2020">
        <f t="shared" si="18"/>
        <v>14421.080258064516</v>
      </c>
      <c r="F79" s="921">
        <f t="shared" si="6"/>
        <v>201856.41615717002</v>
      </c>
      <c r="G79" s="934">
        <f t="shared" si="19"/>
        <v>0.98659384000000006</v>
      </c>
      <c r="H79" s="923">
        <f t="shared" si="7"/>
        <v>199.15029999999999</v>
      </c>
      <c r="I79" s="924">
        <f t="shared" si="8"/>
        <v>369828.55718004226</v>
      </c>
      <c r="J79" s="925"/>
      <c r="K79" s="926"/>
      <c r="L79" s="926"/>
      <c r="M79" s="984"/>
      <c r="N79" s="981">
        <v>12658.4002211401</v>
      </c>
      <c r="O79" s="928">
        <v>77451.671875</v>
      </c>
      <c r="P79" s="928">
        <v>111746.34406102993</v>
      </c>
      <c r="Q79" s="984"/>
      <c r="R79" s="981"/>
      <c r="S79" s="985">
        <f t="shared" si="20"/>
        <v>12658.4002211401</v>
      </c>
      <c r="T79" s="928">
        <v>77451.672000000006</v>
      </c>
      <c r="U79" s="985">
        <f t="shared" si="9"/>
        <v>-1.2500000593718141E-4</v>
      </c>
      <c r="V79" s="989">
        <v>74332.972999999998</v>
      </c>
      <c r="W79" s="989">
        <v>37413.406000000003</v>
      </c>
      <c r="X79" s="982">
        <f t="shared" si="10"/>
        <v>-3.4938970071380027E-2</v>
      </c>
      <c r="Y79" s="988">
        <v>0</v>
      </c>
      <c r="Z79" s="990">
        <f t="shared" si="11"/>
        <v>0</v>
      </c>
      <c r="AA79" s="929"/>
      <c r="AB79" s="930"/>
      <c r="AC79" s="931">
        <f t="shared" si="12"/>
        <v>0</v>
      </c>
      <c r="AD79" s="931">
        <f t="shared" si="13"/>
        <v>0</v>
      </c>
      <c r="AE79" s="931">
        <f t="shared" si="14"/>
        <v>-3.6862570007629922E-2</v>
      </c>
      <c r="AF79" s="931">
        <f t="shared" si="15"/>
        <v>3.6862570007629922E-2</v>
      </c>
      <c r="AG79" s="932" t="e">
        <f t="shared" si="21"/>
        <v>#REF!</v>
      </c>
    </row>
    <row r="80" spans="2:36" x14ac:dyDescent="0.2">
      <c r="C80" s="933">
        <f t="shared" si="16"/>
        <v>43534</v>
      </c>
      <c r="D80" s="919">
        <f t="shared" si="17"/>
        <v>153350.92387096773</v>
      </c>
      <c r="E80" s="2020">
        <f t="shared" si="18"/>
        <v>14421.080258064516</v>
      </c>
      <c r="F80" s="921">
        <f t="shared" si="6"/>
        <v>206326.43935220473</v>
      </c>
      <c r="G80" s="934">
        <f t="shared" si="19"/>
        <v>0.98659384000000006</v>
      </c>
      <c r="H80" s="923">
        <f t="shared" si="7"/>
        <v>203.56039999999999</v>
      </c>
      <c r="I80" s="924">
        <f t="shared" si="8"/>
        <v>374302.99047507701</v>
      </c>
      <c r="J80" s="925"/>
      <c r="K80" s="926"/>
      <c r="L80" s="926"/>
      <c r="M80" s="984"/>
      <c r="N80" s="981">
        <v>18174.629972937601</v>
      </c>
      <c r="O80" s="937">
        <v>77465.320313000004</v>
      </c>
      <c r="P80" s="937">
        <v>110686.48906626712</v>
      </c>
      <c r="Q80" s="984"/>
      <c r="R80" s="986"/>
      <c r="S80" s="985">
        <f t="shared" si="20"/>
        <v>18174.629972937601</v>
      </c>
      <c r="T80" s="937">
        <v>77465.320000000007</v>
      </c>
      <c r="U80" s="985">
        <f t="shared" si="9"/>
        <v>3.1299999682232738E-4</v>
      </c>
      <c r="V80" s="989">
        <v>74316.274999999994</v>
      </c>
      <c r="W80" s="989">
        <v>36370.197</v>
      </c>
      <c r="X80" s="982">
        <f t="shared" si="10"/>
        <v>1.7066267129848711E-2</v>
      </c>
      <c r="Y80" s="988">
        <v>0</v>
      </c>
      <c r="Z80" s="990">
        <f t="shared" si="11"/>
        <v>0</v>
      </c>
      <c r="AA80" s="929"/>
      <c r="AB80" s="930"/>
      <c r="AC80" s="931">
        <f t="shared" si="12"/>
        <v>0</v>
      </c>
      <c r="AD80" s="931">
        <f t="shared" si="13"/>
        <v>0</v>
      </c>
      <c r="AE80" s="931">
        <f t="shared" si="14"/>
        <v>1.8005867532949662E-2</v>
      </c>
      <c r="AF80" s="931">
        <f t="shared" si="15"/>
        <v>-1.8005867532949662E-2</v>
      </c>
      <c r="AG80" s="932" t="e">
        <f t="shared" si="21"/>
        <v>#REF!</v>
      </c>
    </row>
    <row r="81" spans="3:36" x14ac:dyDescent="0.2">
      <c r="C81" s="933">
        <f t="shared" si="16"/>
        <v>43535</v>
      </c>
      <c r="D81" s="919">
        <f t="shared" si="17"/>
        <v>153350.92387096773</v>
      </c>
      <c r="E81" s="2020">
        <f t="shared" si="18"/>
        <v>14421.080258064516</v>
      </c>
      <c r="F81" s="921">
        <f t="shared" si="6"/>
        <v>202496.97399258398</v>
      </c>
      <c r="G81" s="934">
        <f t="shared" si="19"/>
        <v>0.98659384000000006</v>
      </c>
      <c r="H81" s="923">
        <f t="shared" si="7"/>
        <v>199.78229999999999</v>
      </c>
      <c r="I81" s="924">
        <f t="shared" si="8"/>
        <v>370469.74701545626</v>
      </c>
      <c r="J81" s="925"/>
      <c r="K81" s="926"/>
      <c r="L81" s="926"/>
      <c r="M81" s="984"/>
      <c r="N81" s="981">
        <v>19704.972992584</v>
      </c>
      <c r="O81" s="928">
        <v>77321.081000000006</v>
      </c>
      <c r="P81" s="928">
        <v>105470.92</v>
      </c>
      <c r="Q81" s="984"/>
      <c r="R81" s="981"/>
      <c r="S81" s="985">
        <f t="shared" si="20"/>
        <v>19704.972992584</v>
      </c>
      <c r="T81" s="928">
        <v>77321.081000000006</v>
      </c>
      <c r="U81" s="985">
        <f t="shared" si="9"/>
        <v>0</v>
      </c>
      <c r="V81" s="989">
        <v>67213.375</v>
      </c>
      <c r="W81" s="989">
        <v>38257.531999999999</v>
      </c>
      <c r="X81" s="982">
        <f t="shared" si="10"/>
        <v>1.2999999991734512E-2</v>
      </c>
      <c r="Y81" s="988">
        <v>0</v>
      </c>
      <c r="Z81" s="990">
        <f t="shared" si="11"/>
        <v>0</v>
      </c>
      <c r="AA81" s="929"/>
      <c r="AB81" s="930"/>
      <c r="AC81" s="931">
        <f t="shared" si="12"/>
        <v>0</v>
      </c>
      <c r="AD81" s="931">
        <f t="shared" si="13"/>
        <v>0</v>
      </c>
      <c r="AE81" s="931">
        <f t="shared" si="14"/>
        <v>1.3715727991279448E-2</v>
      </c>
      <c r="AF81" s="931">
        <f t="shared" si="15"/>
        <v>-1.3715727991279448E-2</v>
      </c>
      <c r="AG81" s="932" t="e">
        <f t="shared" si="21"/>
        <v>#REF!</v>
      </c>
    </row>
    <row r="82" spans="3:36" x14ac:dyDescent="0.2">
      <c r="C82" s="933">
        <f t="shared" si="16"/>
        <v>43536</v>
      </c>
      <c r="D82" s="919">
        <f t="shared" si="17"/>
        <v>153350.92387096773</v>
      </c>
      <c r="E82" s="2020">
        <f t="shared" si="18"/>
        <v>14421.080258064516</v>
      </c>
      <c r="F82" s="921">
        <f t="shared" si="6"/>
        <v>156250.8995800628</v>
      </c>
      <c r="G82" s="934">
        <f t="shared" si="19"/>
        <v>0.98659384000000006</v>
      </c>
      <c r="H82" s="923">
        <f t="shared" si="7"/>
        <v>154.15620000000001</v>
      </c>
      <c r="I82" s="924">
        <f t="shared" si="8"/>
        <v>324178.04650293512</v>
      </c>
      <c r="J82" s="925"/>
      <c r="K82" s="926"/>
      <c r="L82" s="926"/>
      <c r="M82" s="984"/>
      <c r="N82" s="981">
        <v>17747.521580062799</v>
      </c>
      <c r="O82" s="937">
        <v>33773.637999999999</v>
      </c>
      <c r="P82" s="937">
        <v>104729.74</v>
      </c>
      <c r="Q82" s="984"/>
      <c r="R82" s="986"/>
      <c r="S82" s="985">
        <f t="shared" si="20"/>
        <v>17747.521580062799</v>
      </c>
      <c r="T82" s="937">
        <v>33773.637999999999</v>
      </c>
      <c r="U82" s="985">
        <f t="shared" si="9"/>
        <v>0</v>
      </c>
      <c r="V82" s="989">
        <v>67760.698999999993</v>
      </c>
      <c r="W82" s="989">
        <v>36969.008999999998</v>
      </c>
      <c r="X82" s="982">
        <f t="shared" si="10"/>
        <v>3.2000000021071173E-2</v>
      </c>
      <c r="Y82" s="988">
        <v>0</v>
      </c>
      <c r="Z82" s="990">
        <f t="shared" si="11"/>
        <v>0</v>
      </c>
      <c r="AA82" s="929"/>
      <c r="AB82" s="930"/>
      <c r="AC82" s="931">
        <f t="shared" si="12"/>
        <v>0</v>
      </c>
      <c r="AD82" s="931">
        <f t="shared" si="13"/>
        <v>0</v>
      </c>
      <c r="AE82" s="931">
        <f t="shared" si="14"/>
        <v>3.3761792022231264E-2</v>
      </c>
      <c r="AF82" s="931">
        <f t="shared" si="15"/>
        <v>-3.3761792022231264E-2</v>
      </c>
      <c r="AG82" s="932" t="e">
        <f t="shared" si="21"/>
        <v>#REF!</v>
      </c>
    </row>
    <row r="83" spans="3:36" x14ac:dyDescent="0.2">
      <c r="C83" s="933">
        <f t="shared" si="16"/>
        <v>43537</v>
      </c>
      <c r="D83" s="919">
        <f t="shared" si="17"/>
        <v>153350.92387096773</v>
      </c>
      <c r="E83" s="2020">
        <f t="shared" si="18"/>
        <v>14421.080258064516</v>
      </c>
      <c r="F83" s="921">
        <f t="shared" si="6"/>
        <v>135920.084236</v>
      </c>
      <c r="G83" s="934">
        <f t="shared" si="19"/>
        <v>0.98659384000000006</v>
      </c>
      <c r="H83" s="923">
        <f t="shared" si="7"/>
        <v>134.09790000000001</v>
      </c>
      <c r="I83" s="924">
        <f t="shared" si="8"/>
        <v>303827.17285887222</v>
      </c>
      <c r="J83" s="925"/>
      <c r="K83" s="926"/>
      <c r="L83" s="926"/>
      <c r="M83" s="984"/>
      <c r="N83" s="981">
        <v>22258.020224000004</v>
      </c>
      <c r="O83" s="928">
        <v>354.64401199999998</v>
      </c>
      <c r="P83" s="928">
        <v>113307.42</v>
      </c>
      <c r="Q83" s="984"/>
      <c r="R83" s="981"/>
      <c r="S83" s="985">
        <f t="shared" si="20"/>
        <v>22258.020224000004</v>
      </c>
      <c r="T83" s="928">
        <v>354.64400000000001</v>
      </c>
      <c r="U83" s="985">
        <f t="shared" si="9"/>
        <v>1.1999999969702912E-5</v>
      </c>
      <c r="V83" s="989">
        <v>75679.251999999993</v>
      </c>
      <c r="W83" s="989">
        <v>37628.165999999997</v>
      </c>
      <c r="X83" s="982">
        <f t="shared" si="10"/>
        <v>2.0000000076834112E-3</v>
      </c>
      <c r="Y83" s="988">
        <v>0</v>
      </c>
      <c r="Z83" s="990">
        <f t="shared" si="11"/>
        <v>0</v>
      </c>
      <c r="AA83" s="929"/>
      <c r="AB83" s="930"/>
      <c r="AC83" s="931">
        <f t="shared" si="12"/>
        <v>0</v>
      </c>
      <c r="AD83" s="931">
        <f t="shared" si="13"/>
        <v>0</v>
      </c>
      <c r="AE83" s="931">
        <f t="shared" si="14"/>
        <v>2.1101120081064291E-3</v>
      </c>
      <c r="AF83" s="931">
        <f t="shared" si="15"/>
        <v>-2.1101120081064291E-3</v>
      </c>
      <c r="AG83" s="932" t="e">
        <f t="shared" si="21"/>
        <v>#REF!</v>
      </c>
    </row>
    <row r="84" spans="3:36" x14ac:dyDescent="0.2">
      <c r="C84" s="933">
        <f t="shared" si="16"/>
        <v>43538</v>
      </c>
      <c r="D84" s="919">
        <f t="shared" si="17"/>
        <v>153350.92387096773</v>
      </c>
      <c r="E84" s="2020">
        <f t="shared" si="18"/>
        <v>14421.080258064516</v>
      </c>
      <c r="F84" s="921">
        <f t="shared" si="6"/>
        <v>148256.84391912</v>
      </c>
      <c r="G84" s="934">
        <f t="shared" si="19"/>
        <v>0.98659384000000006</v>
      </c>
      <c r="H84" s="923">
        <f t="shared" si="7"/>
        <v>146.26929999999999</v>
      </c>
      <c r="I84" s="924">
        <f t="shared" si="8"/>
        <v>316176.10394199227</v>
      </c>
      <c r="J84" s="925"/>
      <c r="K84" s="926"/>
      <c r="L84" s="926"/>
      <c r="M84" s="984"/>
      <c r="N84" s="981">
        <v>23389.32149712</v>
      </c>
      <c r="O84" s="937">
        <v>11078.232421999999</v>
      </c>
      <c r="P84" s="937">
        <v>113789.29</v>
      </c>
      <c r="Q84" s="984"/>
      <c r="R84" s="986"/>
      <c r="S84" s="985">
        <f t="shared" si="20"/>
        <v>23389.32149712</v>
      </c>
      <c r="T84" s="937">
        <v>11078.232</v>
      </c>
      <c r="U84" s="985">
        <f t="shared" si="9"/>
        <v>4.219999991619261E-4</v>
      </c>
      <c r="V84" s="989">
        <v>76122.054999999993</v>
      </c>
      <c r="W84" s="989">
        <v>37667.228999999999</v>
      </c>
      <c r="X84" s="982">
        <f t="shared" si="10"/>
        <v>6.0000000084983185E-3</v>
      </c>
      <c r="Y84" s="988">
        <v>0</v>
      </c>
      <c r="Z84" s="990">
        <f t="shared" si="11"/>
        <v>0</v>
      </c>
      <c r="AA84" s="929"/>
      <c r="AB84" s="930"/>
      <c r="AC84" s="931">
        <f t="shared" si="12"/>
        <v>0</v>
      </c>
      <c r="AD84" s="931">
        <f t="shared" si="13"/>
        <v>0</v>
      </c>
      <c r="AE84" s="931">
        <f t="shared" si="14"/>
        <v>6.3303360089662017E-3</v>
      </c>
      <c r="AF84" s="931">
        <f t="shared" si="15"/>
        <v>-6.3303360089662017E-3</v>
      </c>
      <c r="AG84" s="932" t="e">
        <f t="shared" si="21"/>
        <v>#REF!</v>
      </c>
    </row>
    <row r="85" spans="3:36" x14ac:dyDescent="0.2">
      <c r="C85" s="933">
        <f t="shared" si="16"/>
        <v>43539</v>
      </c>
      <c r="D85" s="919">
        <f t="shared" si="17"/>
        <v>153350.92387096773</v>
      </c>
      <c r="E85" s="2020">
        <f t="shared" si="18"/>
        <v>14421.080258064516</v>
      </c>
      <c r="F85" s="921">
        <f t="shared" si="6"/>
        <v>190810.96441664</v>
      </c>
      <c r="G85" s="934">
        <f t="shared" si="19"/>
        <v>0.98659384000000006</v>
      </c>
      <c r="H85" s="923">
        <f t="shared" si="7"/>
        <v>188.25290000000001</v>
      </c>
      <c r="I85" s="924">
        <f t="shared" si="8"/>
        <v>358772.20803951228</v>
      </c>
      <c r="J85" s="925"/>
      <c r="K85" s="926"/>
      <c r="L85" s="926"/>
      <c r="M85" s="984"/>
      <c r="N85" s="981">
        <v>20283.954416639997</v>
      </c>
      <c r="O85" s="928">
        <v>56457.2</v>
      </c>
      <c r="P85" s="928">
        <v>114069.81</v>
      </c>
      <c r="Q85" s="984"/>
      <c r="R85" s="981"/>
      <c r="S85" s="985">
        <f t="shared" si="20"/>
        <v>20283.954416639997</v>
      </c>
      <c r="T85" s="928">
        <v>56457.16</v>
      </c>
      <c r="U85" s="985">
        <f t="shared" si="9"/>
        <v>3.9999999993597157E-2</v>
      </c>
      <c r="V85" s="989">
        <v>76618.142999999996</v>
      </c>
      <c r="W85" s="989">
        <v>37451.684999999998</v>
      </c>
      <c r="X85" s="982">
        <f t="shared" si="10"/>
        <v>-1.7999999996391125E-2</v>
      </c>
      <c r="Y85" s="988">
        <v>0</v>
      </c>
      <c r="Z85" s="990">
        <f t="shared" si="11"/>
        <v>0</v>
      </c>
      <c r="AA85" s="929"/>
      <c r="AB85" s="930"/>
      <c r="AC85" s="931">
        <f t="shared" si="12"/>
        <v>0</v>
      </c>
      <c r="AD85" s="931">
        <f t="shared" si="13"/>
        <v>0</v>
      </c>
      <c r="AE85" s="931">
        <f t="shared" si="14"/>
        <v>-1.8991007996192435E-2</v>
      </c>
      <c r="AF85" s="931">
        <f t="shared" si="15"/>
        <v>1.8991007996192435E-2</v>
      </c>
      <c r="AG85" s="932" t="e">
        <f t="shared" si="21"/>
        <v>#REF!</v>
      </c>
    </row>
    <row r="86" spans="3:36" x14ac:dyDescent="0.2">
      <c r="C86" s="933">
        <f t="shared" si="16"/>
        <v>43540</v>
      </c>
      <c r="D86" s="919">
        <f t="shared" si="17"/>
        <v>153350.92387096773</v>
      </c>
      <c r="E86" s="2020">
        <f t="shared" si="18"/>
        <v>14421.080258064516</v>
      </c>
      <c r="F86" s="921">
        <f t="shared" si="6"/>
        <v>206883.28864348799</v>
      </c>
      <c r="G86" s="934">
        <f t="shared" si="19"/>
        <v>0.98659384000000006</v>
      </c>
      <c r="H86" s="923">
        <f t="shared" si="7"/>
        <v>204.10980000000001</v>
      </c>
      <c r="I86" s="924">
        <f t="shared" si="8"/>
        <v>374860.3891663602</v>
      </c>
      <c r="J86" s="925"/>
      <c r="K86" s="926"/>
      <c r="L86" s="926"/>
      <c r="M86" s="984"/>
      <c r="N86" s="981">
        <v>19917.738643487999</v>
      </c>
      <c r="O86" s="937">
        <v>76824</v>
      </c>
      <c r="P86" s="937">
        <v>110141.55</v>
      </c>
      <c r="Q86" s="984"/>
      <c r="R86" s="986"/>
      <c r="S86" s="985">
        <f t="shared" si="20"/>
        <v>19917.738643487999</v>
      </c>
      <c r="T86" s="937">
        <v>76824.83</v>
      </c>
      <c r="U86" s="985">
        <f t="shared" si="9"/>
        <v>-0.83000000000174623</v>
      </c>
      <c r="V86" s="989">
        <v>72759.785999999993</v>
      </c>
      <c r="W86" s="989">
        <v>37381.743999999999</v>
      </c>
      <c r="X86" s="982">
        <f t="shared" si="10"/>
        <v>2.0000000004074536E-2</v>
      </c>
      <c r="Y86" s="988">
        <v>0</v>
      </c>
      <c r="Z86" s="990">
        <f t="shared" si="11"/>
        <v>0</v>
      </c>
      <c r="AA86" s="929"/>
      <c r="AB86" s="930"/>
      <c r="AC86" s="931">
        <f t="shared" si="12"/>
        <v>0</v>
      </c>
      <c r="AD86" s="931">
        <f t="shared" si="13"/>
        <v>0</v>
      </c>
      <c r="AE86" s="931">
        <f t="shared" si="14"/>
        <v>2.1101120004298864E-2</v>
      </c>
      <c r="AF86" s="931">
        <f t="shared" si="15"/>
        <v>-2.1101120004298864E-2</v>
      </c>
      <c r="AG86" s="932" t="e">
        <f t="shared" si="21"/>
        <v>#REF!</v>
      </c>
    </row>
    <row r="87" spans="3:36" x14ac:dyDescent="0.2">
      <c r="C87" s="933">
        <f t="shared" si="16"/>
        <v>43541</v>
      </c>
      <c r="D87" s="919">
        <f t="shared" si="17"/>
        <v>153350.92387096773</v>
      </c>
      <c r="E87" s="2020">
        <f t="shared" si="18"/>
        <v>14421.080258064516</v>
      </c>
      <c r="F87" s="921">
        <f t="shared" si="6"/>
        <v>185897.22914504702</v>
      </c>
      <c r="G87" s="934">
        <f t="shared" si="19"/>
        <v>0.98659384000000006</v>
      </c>
      <c r="H87" s="923">
        <f t="shared" si="7"/>
        <v>183.4051</v>
      </c>
      <c r="I87" s="924">
        <f t="shared" si="8"/>
        <v>353853.62496791926</v>
      </c>
      <c r="J87" s="925"/>
      <c r="K87" s="926"/>
      <c r="L87" s="926"/>
      <c r="M87" s="984"/>
      <c r="N87" s="981">
        <v>11615.899145047</v>
      </c>
      <c r="O87" s="928">
        <v>76905.5</v>
      </c>
      <c r="P87" s="928">
        <v>97375.83</v>
      </c>
      <c r="Q87" s="984"/>
      <c r="R87" s="981"/>
      <c r="S87" s="985">
        <f t="shared" si="20"/>
        <v>11615.899145047</v>
      </c>
      <c r="T87" s="928">
        <v>76905.52</v>
      </c>
      <c r="U87" s="985">
        <f t="shared" si="9"/>
        <v>-2.0000000004074536E-2</v>
      </c>
      <c r="V87" s="989">
        <v>66101.055999999997</v>
      </c>
      <c r="W87" s="989">
        <v>31274.766</v>
      </c>
      <c r="X87" s="982">
        <f t="shared" si="10"/>
        <v>8.0000000016298145E-3</v>
      </c>
      <c r="Y87" s="988">
        <v>0</v>
      </c>
      <c r="Z87" s="990">
        <f t="shared" si="11"/>
        <v>0</v>
      </c>
      <c r="AA87" s="929"/>
      <c r="AB87" s="930"/>
      <c r="AC87" s="931">
        <f t="shared" si="12"/>
        <v>0</v>
      </c>
      <c r="AD87" s="931">
        <f t="shared" si="13"/>
        <v>0</v>
      </c>
      <c r="AE87" s="931">
        <f t="shared" si="14"/>
        <v>8.4404480017195461E-3</v>
      </c>
      <c r="AF87" s="931">
        <f t="shared" si="15"/>
        <v>-8.4404480017195461E-3</v>
      </c>
      <c r="AG87" s="932" t="e">
        <f t="shared" si="21"/>
        <v>#REF!</v>
      </c>
    </row>
    <row r="88" spans="3:36" x14ac:dyDescent="0.2">
      <c r="C88" s="933">
        <f t="shared" si="16"/>
        <v>43542</v>
      </c>
      <c r="D88" s="919">
        <f t="shared" si="17"/>
        <v>153350.92387096773</v>
      </c>
      <c r="E88" s="2020">
        <f t="shared" si="18"/>
        <v>14421.080258064516</v>
      </c>
      <c r="F88" s="921">
        <f t="shared" si="6"/>
        <v>186658.032781585</v>
      </c>
      <c r="G88" s="934">
        <f t="shared" si="19"/>
        <v>0.98659384000000006</v>
      </c>
      <c r="H88" s="923">
        <f t="shared" si="7"/>
        <v>184.1557</v>
      </c>
      <c r="I88" s="924">
        <f t="shared" si="8"/>
        <v>354615.17920445726</v>
      </c>
      <c r="J88" s="925"/>
      <c r="K88" s="926"/>
      <c r="L88" s="926"/>
      <c r="M88" s="984"/>
      <c r="N88" s="981">
        <v>11761.022781585001</v>
      </c>
      <c r="O88" s="937">
        <v>76611.3</v>
      </c>
      <c r="P88" s="937">
        <v>98285.71</v>
      </c>
      <c r="Q88" s="984"/>
      <c r="R88" s="986"/>
      <c r="S88" s="985">
        <f t="shared" si="20"/>
        <v>11761.022781585001</v>
      </c>
      <c r="T88" s="937">
        <v>76611.3</v>
      </c>
      <c r="U88" s="985">
        <f t="shared" si="9"/>
        <v>0</v>
      </c>
      <c r="V88" s="989">
        <v>65844.202999999994</v>
      </c>
      <c r="W88" s="989">
        <v>32441.504000000001</v>
      </c>
      <c r="X88" s="982">
        <f t="shared" si="10"/>
        <v>3.0000000115251169E-3</v>
      </c>
      <c r="Y88" s="988">
        <v>55.424999999999997</v>
      </c>
      <c r="Z88" s="990">
        <f t="shared" si="11"/>
        <v>-55.424999999999997</v>
      </c>
      <c r="AA88" s="929"/>
      <c r="AB88" s="930"/>
      <c r="AC88" s="931">
        <f t="shared" si="12"/>
        <v>0</v>
      </c>
      <c r="AD88" s="931">
        <f t="shared" si="13"/>
        <v>0</v>
      </c>
      <c r="AE88" s="931">
        <f t="shared" si="14"/>
        <v>3.1651680121596438E-3</v>
      </c>
      <c r="AF88" s="931">
        <f t="shared" si="15"/>
        <v>-3.1651680121596438E-3</v>
      </c>
      <c r="AG88" s="932" t="e">
        <f t="shared" si="21"/>
        <v>#REF!</v>
      </c>
    </row>
    <row r="89" spans="3:36" x14ac:dyDescent="0.2">
      <c r="C89" s="933">
        <f t="shared" si="16"/>
        <v>43543</v>
      </c>
      <c r="D89" s="919">
        <f t="shared" si="17"/>
        <v>153350.92387096773</v>
      </c>
      <c r="E89" s="2020">
        <f t="shared" si="18"/>
        <v>14421.080258064516</v>
      </c>
      <c r="F89" s="921">
        <f t="shared" si="6"/>
        <v>203469.37669956801</v>
      </c>
      <c r="G89" s="934">
        <f t="shared" si="19"/>
        <v>0.98659384000000006</v>
      </c>
      <c r="H89" s="923">
        <f t="shared" si="7"/>
        <v>200.74160000000001</v>
      </c>
      <c r="I89" s="924">
        <f t="shared" si="8"/>
        <v>371443.10902244027</v>
      </c>
      <c r="J89" s="925"/>
      <c r="K89" s="926"/>
      <c r="L89" s="926"/>
      <c r="M89" s="984"/>
      <c r="N89" s="981">
        <v>11714.186699567999</v>
      </c>
      <c r="O89" s="928">
        <v>76267.100000000006</v>
      </c>
      <c r="P89" s="928">
        <v>115488.09</v>
      </c>
      <c r="Q89" s="984"/>
      <c r="R89" s="981"/>
      <c r="S89" s="985">
        <f t="shared" si="20"/>
        <v>11714.186699567999</v>
      </c>
      <c r="T89" s="928">
        <v>76267.070999999996</v>
      </c>
      <c r="U89" s="985">
        <f t="shared" si="9"/>
        <v>2.9000000009546056E-2</v>
      </c>
      <c r="V89" s="989">
        <v>77765.915999999997</v>
      </c>
      <c r="W89" s="989">
        <v>37722.192999999999</v>
      </c>
      <c r="X89" s="982">
        <f t="shared" si="10"/>
        <v>-1.9000000000232831E-2</v>
      </c>
      <c r="Y89" s="988">
        <v>53.893000000000001</v>
      </c>
      <c r="Z89" s="990">
        <f t="shared" si="11"/>
        <v>-53.893000000000001</v>
      </c>
      <c r="AA89" s="929"/>
      <c r="AB89" s="930"/>
      <c r="AC89" s="931">
        <f t="shared" si="12"/>
        <v>0</v>
      </c>
      <c r="AD89" s="931">
        <f t="shared" si="13"/>
        <v>0</v>
      </c>
      <c r="AE89" s="931">
        <f t="shared" si="14"/>
        <v>-2.004606400024565E-2</v>
      </c>
      <c r="AF89" s="931">
        <f t="shared" si="15"/>
        <v>2.004606400024565E-2</v>
      </c>
      <c r="AG89" s="932" t="e">
        <f t="shared" si="21"/>
        <v>#REF!</v>
      </c>
    </row>
    <row r="90" spans="3:36" x14ac:dyDescent="0.2">
      <c r="C90" s="933">
        <f t="shared" si="16"/>
        <v>43544</v>
      </c>
      <c r="D90" s="919">
        <f t="shared" si="17"/>
        <v>153350.92387096773</v>
      </c>
      <c r="E90" s="2020">
        <f t="shared" si="18"/>
        <v>14421.080258064516</v>
      </c>
      <c r="F90" s="921">
        <f t="shared" si="6"/>
        <v>203508.577005664</v>
      </c>
      <c r="G90" s="934">
        <f t="shared" si="19"/>
        <v>0.98659384000000006</v>
      </c>
      <c r="H90" s="923">
        <f t="shared" si="7"/>
        <v>200.78030000000001</v>
      </c>
      <c r="I90" s="924">
        <f t="shared" si="8"/>
        <v>371482.34802853625</v>
      </c>
      <c r="J90" s="925"/>
      <c r="K90" s="926"/>
      <c r="L90" s="926"/>
      <c r="M90" s="984"/>
      <c r="N90" s="981">
        <v>11769.747005664</v>
      </c>
      <c r="O90" s="937">
        <v>76290.2</v>
      </c>
      <c r="P90" s="937">
        <v>115448.63</v>
      </c>
      <c r="Q90" s="984"/>
      <c r="R90" s="986"/>
      <c r="S90" s="985">
        <f t="shared" si="20"/>
        <v>11769.747005664</v>
      </c>
      <c r="T90" s="937">
        <v>76290.2</v>
      </c>
      <c r="U90" s="985">
        <f t="shared" si="9"/>
        <v>0</v>
      </c>
      <c r="V90" s="989">
        <v>77692.592000000004</v>
      </c>
      <c r="W90" s="989">
        <v>37756.008000000002</v>
      </c>
      <c r="X90" s="982">
        <f t="shared" si="10"/>
        <v>2.9999999998835847E-2</v>
      </c>
      <c r="Y90" s="988">
        <v>123.648</v>
      </c>
      <c r="Z90" s="990">
        <f t="shared" si="11"/>
        <v>-123.648</v>
      </c>
      <c r="AA90" s="929"/>
      <c r="AB90" s="930"/>
      <c r="AC90" s="931">
        <f t="shared" si="12"/>
        <v>0</v>
      </c>
      <c r="AD90" s="931">
        <f t="shared" si="13"/>
        <v>0</v>
      </c>
      <c r="AE90" s="931">
        <f t="shared" si="14"/>
        <v>3.1651679998771755E-2</v>
      </c>
      <c r="AF90" s="931">
        <f t="shared" si="15"/>
        <v>-3.1651679998771755E-2</v>
      </c>
      <c r="AG90" s="932" t="e">
        <f t="shared" si="21"/>
        <v>#REF!</v>
      </c>
    </row>
    <row r="91" spans="3:36" x14ac:dyDescent="0.2">
      <c r="C91" s="933">
        <f t="shared" si="16"/>
        <v>43545</v>
      </c>
      <c r="D91" s="919">
        <f t="shared" si="17"/>
        <v>153350.92387096773</v>
      </c>
      <c r="E91" s="2020">
        <f t="shared" si="18"/>
        <v>14421.080258064516</v>
      </c>
      <c r="F91" s="921">
        <f t="shared" si="6"/>
        <v>203624.75105643799</v>
      </c>
      <c r="G91" s="934">
        <f t="shared" si="19"/>
        <v>0.98659384000000006</v>
      </c>
      <c r="H91" s="923">
        <f t="shared" si="7"/>
        <v>200.89490000000001</v>
      </c>
      <c r="I91" s="924">
        <f t="shared" si="8"/>
        <v>371598.63667931024</v>
      </c>
      <c r="J91" s="925"/>
      <c r="K91" s="926"/>
      <c r="L91" s="926"/>
      <c r="M91" s="984"/>
      <c r="N91" s="981">
        <v>11766.871056437998</v>
      </c>
      <c r="O91" s="928">
        <v>76839.31</v>
      </c>
      <c r="P91" s="928">
        <v>115018.57</v>
      </c>
      <c r="Q91" s="984"/>
      <c r="R91" s="981"/>
      <c r="S91" s="985">
        <f t="shared" si="20"/>
        <v>11766.871056437998</v>
      </c>
      <c r="T91" s="928">
        <v>76839.31</v>
      </c>
      <c r="U91" s="985">
        <f t="shared" si="9"/>
        <v>0</v>
      </c>
      <c r="V91" s="989">
        <v>77367.764999999999</v>
      </c>
      <c r="W91" s="989">
        <v>37650.783000000003</v>
      </c>
      <c r="X91" s="982">
        <f t="shared" si="10"/>
        <v>2.1999999997206032E-2</v>
      </c>
      <c r="Y91" s="988">
        <v>54.945999999999998</v>
      </c>
      <c r="Z91" s="990">
        <f t="shared" si="11"/>
        <v>-54.945999999999998</v>
      </c>
      <c r="AA91" s="929"/>
      <c r="AB91" s="930"/>
      <c r="AC91" s="931">
        <f t="shared" si="12"/>
        <v>0</v>
      </c>
      <c r="AD91" s="931">
        <f t="shared" si="13"/>
        <v>0</v>
      </c>
      <c r="AE91" s="931">
        <f t="shared" si="14"/>
        <v>2.3211231997052207E-2</v>
      </c>
      <c r="AF91" s="931">
        <f t="shared" si="15"/>
        <v>-2.3211231997052207E-2</v>
      </c>
      <c r="AG91" s="932" t="e">
        <f t="shared" si="21"/>
        <v>#REF!</v>
      </c>
    </row>
    <row r="92" spans="3:36" x14ac:dyDescent="0.2">
      <c r="C92" s="933">
        <f t="shared" si="16"/>
        <v>43546</v>
      </c>
      <c r="D92" s="919">
        <f t="shared" si="17"/>
        <v>153350.92387096773</v>
      </c>
      <c r="E92" s="2020">
        <f t="shared" si="18"/>
        <v>14421.080258064516</v>
      </c>
      <c r="F92" s="921">
        <f t="shared" si="6"/>
        <v>203407.06153582799</v>
      </c>
      <c r="G92" s="934">
        <f t="shared" si="19"/>
        <v>0.98659384000000006</v>
      </c>
      <c r="H92" s="923">
        <f t="shared" si="7"/>
        <v>200.68020000000001</v>
      </c>
      <c r="I92" s="924">
        <f t="shared" si="8"/>
        <v>371380.73245870025</v>
      </c>
      <c r="J92" s="925"/>
      <c r="K92" s="926"/>
      <c r="L92" s="926"/>
      <c r="M92" s="984"/>
      <c r="N92" s="981">
        <v>11785.151535827999</v>
      </c>
      <c r="O92" s="937">
        <v>76954.559999999998</v>
      </c>
      <c r="P92" s="937">
        <v>114667.35</v>
      </c>
      <c r="Q92" s="984"/>
      <c r="R92" s="986"/>
      <c r="S92" s="985">
        <f t="shared" si="20"/>
        <v>11785.151535827999</v>
      </c>
      <c r="T92" s="937">
        <v>76954.559999999998</v>
      </c>
      <c r="U92" s="985">
        <f t="shared" si="9"/>
        <v>0</v>
      </c>
      <c r="V92" s="989">
        <v>77030.706999999995</v>
      </c>
      <c r="W92" s="989">
        <v>37636.667000000001</v>
      </c>
      <c r="X92" s="982">
        <f t="shared" si="10"/>
        <v>-2.3999999990337528E-2</v>
      </c>
      <c r="Y92" s="988">
        <v>50.503</v>
      </c>
      <c r="Z92" s="990">
        <f t="shared" si="11"/>
        <v>-50.503</v>
      </c>
      <c r="AA92" s="929"/>
      <c r="AB92" s="930"/>
      <c r="AC92" s="931">
        <f t="shared" si="12"/>
        <v>0</v>
      </c>
      <c r="AD92" s="931">
        <f t="shared" si="13"/>
        <v>0</v>
      </c>
      <c r="AE92" s="931">
        <f t="shared" si="14"/>
        <v>-2.532134398980555E-2</v>
      </c>
      <c r="AF92" s="931">
        <f t="shared" si="15"/>
        <v>2.532134398980555E-2</v>
      </c>
      <c r="AG92" s="932" t="e">
        <f t="shared" si="21"/>
        <v>#REF!</v>
      </c>
    </row>
    <row r="93" spans="3:36" x14ac:dyDescent="0.2">
      <c r="C93" s="933">
        <f t="shared" si="16"/>
        <v>43547</v>
      </c>
      <c r="D93" s="919">
        <f t="shared" si="17"/>
        <v>153350.92387096773</v>
      </c>
      <c r="E93" s="2020">
        <f t="shared" si="18"/>
        <v>14421.080258064516</v>
      </c>
      <c r="F93" s="921">
        <f t="shared" si="6"/>
        <v>199652.60809660199</v>
      </c>
      <c r="G93" s="934">
        <f t="shared" si="19"/>
        <v>0.98659384000000006</v>
      </c>
      <c r="H93" s="923">
        <f t="shared" si="7"/>
        <v>196.976</v>
      </c>
      <c r="I93" s="924">
        <f t="shared" si="8"/>
        <v>367622.57481947431</v>
      </c>
      <c r="J93" s="925"/>
      <c r="K93" s="926"/>
      <c r="L93" s="926"/>
      <c r="M93" s="984"/>
      <c r="N93" s="981">
        <v>17196.018096602002</v>
      </c>
      <c r="O93" s="928">
        <v>78017.25</v>
      </c>
      <c r="P93" s="928">
        <v>104439.34</v>
      </c>
      <c r="Q93" s="984"/>
      <c r="R93" s="981"/>
      <c r="S93" s="985">
        <f t="shared" si="20"/>
        <v>17196.018096602002</v>
      </c>
      <c r="T93" s="928">
        <v>78017.25</v>
      </c>
      <c r="U93" s="985">
        <f t="shared" si="9"/>
        <v>0</v>
      </c>
      <c r="V93" s="989">
        <v>66345.877999999997</v>
      </c>
      <c r="W93" s="989">
        <v>38093.464</v>
      </c>
      <c r="X93" s="982">
        <f t="shared" si="10"/>
        <v>-2.0000000076834112E-3</v>
      </c>
      <c r="Y93" s="988">
        <v>41.741999999999997</v>
      </c>
      <c r="Z93" s="990">
        <f t="shared" si="11"/>
        <v>-41.741999999999997</v>
      </c>
      <c r="AA93" s="929"/>
      <c r="AB93" s="930"/>
      <c r="AC93" s="931">
        <f t="shared" si="12"/>
        <v>0</v>
      </c>
      <c r="AD93" s="931">
        <f t="shared" si="13"/>
        <v>0</v>
      </c>
      <c r="AE93" s="931">
        <f t="shared" si="14"/>
        <v>-2.1101120081064291E-3</v>
      </c>
      <c r="AF93" s="931">
        <f t="shared" si="15"/>
        <v>2.1101120081064291E-3</v>
      </c>
      <c r="AG93" s="932" t="e">
        <f t="shared" si="21"/>
        <v>#REF!</v>
      </c>
    </row>
    <row r="94" spans="3:36" x14ac:dyDescent="0.2">
      <c r="C94" s="933">
        <f t="shared" si="16"/>
        <v>43548</v>
      </c>
      <c r="D94" s="919">
        <f t="shared" si="17"/>
        <v>153350.92387096773</v>
      </c>
      <c r="E94" s="2020">
        <f t="shared" si="18"/>
        <v>14421.080258064516</v>
      </c>
      <c r="F94" s="921">
        <f t="shared" si="6"/>
        <v>178969.45083978598</v>
      </c>
      <c r="G94" s="934">
        <f t="shared" si="19"/>
        <v>0.98659384000000006</v>
      </c>
      <c r="H94" s="923">
        <f t="shared" si="7"/>
        <v>176.5702</v>
      </c>
      <c r="I94" s="924">
        <f t="shared" si="8"/>
        <v>346919.01176265825</v>
      </c>
      <c r="J94" s="925"/>
      <c r="K94" s="926"/>
      <c r="L94" s="926"/>
      <c r="M94" s="984"/>
      <c r="N94" s="981">
        <v>18661.210839785999</v>
      </c>
      <c r="O94" s="937">
        <v>78099.62</v>
      </c>
      <c r="P94" s="937">
        <v>82208.62</v>
      </c>
      <c r="Q94" s="984"/>
      <c r="R94" s="986"/>
      <c r="S94" s="985">
        <f t="shared" si="20"/>
        <v>18661.210839785999</v>
      </c>
      <c r="T94" s="937">
        <v>78099.62</v>
      </c>
      <c r="U94" s="985">
        <f t="shared" si="9"/>
        <v>0</v>
      </c>
      <c r="V94" s="989">
        <v>44028.171999999999</v>
      </c>
      <c r="W94" s="989">
        <v>38180.459000000003</v>
      </c>
      <c r="X94" s="982">
        <f t="shared" si="10"/>
        <v>-1.0999999998603016E-2</v>
      </c>
      <c r="Y94" s="988">
        <v>60.366</v>
      </c>
      <c r="Z94" s="990">
        <f t="shared" si="11"/>
        <v>-60.366</v>
      </c>
      <c r="AA94" s="929"/>
      <c r="AB94" s="930"/>
      <c r="AC94" s="931">
        <f t="shared" si="12"/>
        <v>0</v>
      </c>
      <c r="AD94" s="931">
        <f t="shared" si="13"/>
        <v>0</v>
      </c>
      <c r="AE94" s="931">
        <f t="shared" si="14"/>
        <v>-1.1605615998526103E-2</v>
      </c>
      <c r="AF94" s="931">
        <f t="shared" si="15"/>
        <v>1.1605615998526103E-2</v>
      </c>
      <c r="AG94" s="932" t="e">
        <f t="shared" si="21"/>
        <v>#REF!</v>
      </c>
      <c r="AH94" s="843"/>
      <c r="AI94" s="843"/>
      <c r="AJ94" s="843"/>
    </row>
    <row r="95" spans="3:36" x14ac:dyDescent="0.2">
      <c r="C95" s="933">
        <f t="shared" si="16"/>
        <v>43549</v>
      </c>
      <c r="D95" s="919">
        <f t="shared" si="17"/>
        <v>153350.92387096773</v>
      </c>
      <c r="E95" s="2020">
        <f t="shared" si="18"/>
        <v>14421.080258064516</v>
      </c>
      <c r="F95" s="921">
        <f t="shared" si="6"/>
        <v>176904.28305640601</v>
      </c>
      <c r="G95" s="934">
        <f t="shared" si="19"/>
        <v>0.98659384000000006</v>
      </c>
      <c r="H95" s="923">
        <f t="shared" si="7"/>
        <v>174.53270000000001</v>
      </c>
      <c r="I95" s="924">
        <f t="shared" si="8"/>
        <v>344851.80647927825</v>
      </c>
      <c r="J95" s="925"/>
      <c r="K95" s="926"/>
      <c r="L95" s="926"/>
      <c r="M95" s="984"/>
      <c r="N95" s="981">
        <v>23600.283056405999</v>
      </c>
      <c r="O95" s="928">
        <v>75928.740000000005</v>
      </c>
      <c r="P95" s="928">
        <v>77375.259999999995</v>
      </c>
      <c r="Q95" s="984"/>
      <c r="R95" s="981"/>
      <c r="S95" s="985">
        <f t="shared" si="20"/>
        <v>23600.283056405999</v>
      </c>
      <c r="T95" s="928">
        <v>75928.740000000005</v>
      </c>
      <c r="U95" s="985">
        <f t="shared" si="9"/>
        <v>0</v>
      </c>
      <c r="V95" s="989">
        <v>39479.286999999997</v>
      </c>
      <c r="W95" s="989">
        <v>37895.955000000002</v>
      </c>
      <c r="X95" s="982">
        <f t="shared" si="10"/>
        <v>1.7999999996391125E-2</v>
      </c>
      <c r="Y95" s="988">
        <v>63.959000000000003</v>
      </c>
      <c r="Z95" s="990">
        <f t="shared" si="11"/>
        <v>-63.959000000000003</v>
      </c>
      <c r="AA95" s="929"/>
      <c r="AB95" s="930"/>
      <c r="AC95" s="931">
        <f t="shared" si="12"/>
        <v>0</v>
      </c>
      <c r="AD95" s="931">
        <f t="shared" si="13"/>
        <v>0</v>
      </c>
      <c r="AE95" s="931">
        <f t="shared" si="14"/>
        <v>1.8991007996192435E-2</v>
      </c>
      <c r="AF95" s="931">
        <f t="shared" si="15"/>
        <v>-1.8991007996192435E-2</v>
      </c>
      <c r="AG95" s="932" t="e">
        <f t="shared" si="21"/>
        <v>#REF!</v>
      </c>
      <c r="AH95" s="843"/>
      <c r="AI95" s="843"/>
      <c r="AJ95" s="843"/>
    </row>
    <row r="96" spans="3:36" x14ac:dyDescent="0.2">
      <c r="C96" s="933">
        <f t="shared" si="16"/>
        <v>43550</v>
      </c>
      <c r="D96" s="919">
        <f t="shared" si="17"/>
        <v>153350.92387096773</v>
      </c>
      <c r="E96" s="2020">
        <f t="shared" si="18"/>
        <v>14421.080258064516</v>
      </c>
      <c r="F96" s="921">
        <f t="shared" si="6"/>
        <v>173361.75254932599</v>
      </c>
      <c r="G96" s="934">
        <f t="shared" si="19"/>
        <v>0.98659384000000006</v>
      </c>
      <c r="H96" s="923">
        <f t="shared" si="7"/>
        <v>171.0376</v>
      </c>
      <c r="I96" s="924">
        <f t="shared" si="8"/>
        <v>341305.78087219823</v>
      </c>
      <c r="J96" s="925"/>
      <c r="K96" s="926"/>
      <c r="L96" s="926"/>
      <c r="M96" s="984"/>
      <c r="N96" s="981">
        <v>23535.592549326</v>
      </c>
      <c r="O96" s="937">
        <v>72707.520000000004</v>
      </c>
      <c r="P96" s="937">
        <v>77118.64</v>
      </c>
      <c r="Q96" s="984"/>
      <c r="R96" s="986"/>
      <c r="S96" s="985">
        <f t="shared" si="20"/>
        <v>23535.592549326</v>
      </c>
      <c r="T96" s="937">
        <v>72707.520000000004</v>
      </c>
      <c r="U96" s="985">
        <f t="shared" si="9"/>
        <v>0</v>
      </c>
      <c r="V96" s="989">
        <v>39352.786</v>
      </c>
      <c r="W96" s="989">
        <v>37765.864000000001</v>
      </c>
      <c r="X96" s="982">
        <f t="shared" si="10"/>
        <v>-9.9999999947613105E-3</v>
      </c>
      <c r="Y96" s="988">
        <v>109.119</v>
      </c>
      <c r="Z96" s="990">
        <f t="shared" si="11"/>
        <v>-109.119</v>
      </c>
      <c r="AA96" s="929"/>
      <c r="AB96" s="930"/>
      <c r="AC96" s="931">
        <f t="shared" si="12"/>
        <v>0</v>
      </c>
      <c r="AD96" s="931">
        <f t="shared" si="13"/>
        <v>0</v>
      </c>
      <c r="AE96" s="931">
        <f t="shared" si="14"/>
        <v>-1.0550559994472889E-2</v>
      </c>
      <c r="AF96" s="931">
        <f t="shared" si="15"/>
        <v>1.0550559994472889E-2</v>
      </c>
      <c r="AG96" s="932" t="e">
        <f t="shared" si="21"/>
        <v>#REF!</v>
      </c>
      <c r="AH96" s="843"/>
      <c r="AI96" s="843"/>
      <c r="AJ96" s="843"/>
    </row>
    <row r="97" spans="2:42" x14ac:dyDescent="0.2">
      <c r="C97" s="933">
        <f t="shared" si="16"/>
        <v>43551</v>
      </c>
      <c r="D97" s="919">
        <f t="shared" si="17"/>
        <v>153350.92387096773</v>
      </c>
      <c r="E97" s="2020">
        <f t="shared" si="18"/>
        <v>14421.080258064516</v>
      </c>
      <c r="F97" s="921">
        <f t="shared" si="6"/>
        <v>173196.05696543702</v>
      </c>
      <c r="G97" s="934">
        <f t="shared" si="19"/>
        <v>0.98659384000000006</v>
      </c>
      <c r="H97" s="923">
        <f t="shared" si="7"/>
        <v>170.8742</v>
      </c>
      <c r="I97" s="924">
        <f t="shared" si="8"/>
        <v>341139.9218883093</v>
      </c>
      <c r="J97" s="925"/>
      <c r="K97" s="926"/>
      <c r="L97" s="926"/>
      <c r="M97" s="984"/>
      <c r="N97" s="981">
        <v>23732.096965437006</v>
      </c>
      <c r="O97" s="928">
        <v>72957.33</v>
      </c>
      <c r="P97" s="928">
        <v>76506.63</v>
      </c>
      <c r="Q97" s="984"/>
      <c r="R97" s="981"/>
      <c r="S97" s="985">
        <f t="shared" si="20"/>
        <v>23732.096965437006</v>
      </c>
      <c r="T97" s="928">
        <v>72957.33</v>
      </c>
      <c r="U97" s="985">
        <f t="shared" si="9"/>
        <v>0</v>
      </c>
      <c r="V97" s="989">
        <v>39031.798999999999</v>
      </c>
      <c r="W97" s="989">
        <v>37474.837</v>
      </c>
      <c r="X97" s="982">
        <f t="shared" si="10"/>
        <v>-5.9999999939464033E-3</v>
      </c>
      <c r="Y97" s="988">
        <v>60.076999999999998</v>
      </c>
      <c r="Z97" s="990">
        <f t="shared" si="11"/>
        <v>-60.076999999999998</v>
      </c>
      <c r="AA97" s="929"/>
      <c r="AB97" s="930"/>
      <c r="AC97" s="931">
        <f t="shared" si="12"/>
        <v>0</v>
      </c>
      <c r="AD97" s="931">
        <f t="shared" si="13"/>
        <v>0</v>
      </c>
      <c r="AE97" s="931">
        <f t="shared" si="14"/>
        <v>-6.3303359936131166E-3</v>
      </c>
      <c r="AF97" s="931">
        <f t="shared" si="15"/>
        <v>6.3303359936131166E-3</v>
      </c>
      <c r="AG97" s="932" t="e">
        <f t="shared" si="21"/>
        <v>#REF!</v>
      </c>
      <c r="AH97" s="843"/>
      <c r="AI97" s="843"/>
      <c r="AJ97" s="843"/>
    </row>
    <row r="98" spans="2:42" x14ac:dyDescent="0.2">
      <c r="C98" s="933">
        <f t="shared" si="16"/>
        <v>43552</v>
      </c>
      <c r="D98" s="919">
        <f t="shared" si="17"/>
        <v>153350.92387096773</v>
      </c>
      <c r="E98" s="2020">
        <f t="shared" si="18"/>
        <v>14421.080258064516</v>
      </c>
      <c r="F98" s="921">
        <f t="shared" si="6"/>
        <v>173838.64941833401</v>
      </c>
      <c r="G98" s="934">
        <f t="shared" si="19"/>
        <v>0.98659384000000006</v>
      </c>
      <c r="H98" s="923">
        <f t="shared" si="7"/>
        <v>171.50810000000001</v>
      </c>
      <c r="I98" s="924">
        <f t="shared" si="8"/>
        <v>341783.14824120625</v>
      </c>
      <c r="J98" s="925"/>
      <c r="K98" s="926"/>
      <c r="L98" s="926"/>
      <c r="M98" s="984"/>
      <c r="N98" s="981">
        <v>23735.509418334004</v>
      </c>
      <c r="O98" s="937">
        <v>73094.600000000006</v>
      </c>
      <c r="P98" s="937">
        <v>77008.539999999994</v>
      </c>
      <c r="Q98" s="984"/>
      <c r="R98" s="986"/>
      <c r="S98" s="985">
        <f t="shared" si="20"/>
        <v>23735.509418334004</v>
      </c>
      <c r="T98" s="937">
        <v>73094.63</v>
      </c>
      <c r="U98" s="985">
        <f t="shared" si="9"/>
        <v>-2.9999999998835847E-2</v>
      </c>
      <c r="V98" s="989">
        <v>39599.089999999997</v>
      </c>
      <c r="W98" s="989">
        <v>37409.425999999999</v>
      </c>
      <c r="X98" s="982">
        <f t="shared" si="10"/>
        <v>2.3999999990337528E-2</v>
      </c>
      <c r="Y98" s="988">
        <v>56.801000000000002</v>
      </c>
      <c r="Z98" s="990">
        <f t="shared" si="11"/>
        <v>-56.801000000000002</v>
      </c>
      <c r="AA98" s="929"/>
      <c r="AB98" s="930"/>
      <c r="AC98" s="931">
        <f t="shared" si="12"/>
        <v>0</v>
      </c>
      <c r="AD98" s="931">
        <f t="shared" si="13"/>
        <v>0</v>
      </c>
      <c r="AE98" s="931">
        <f t="shared" si="14"/>
        <v>2.532134398980555E-2</v>
      </c>
      <c r="AF98" s="931">
        <f t="shared" si="15"/>
        <v>-2.532134398980555E-2</v>
      </c>
      <c r="AG98" s="932" t="e">
        <f t="shared" si="21"/>
        <v>#REF!</v>
      </c>
      <c r="AH98" s="843"/>
      <c r="AI98" s="843"/>
      <c r="AJ98" s="843"/>
    </row>
    <row r="99" spans="2:42" x14ac:dyDescent="0.2">
      <c r="C99" s="933">
        <f t="shared" si="16"/>
        <v>43553</v>
      </c>
      <c r="D99" s="919">
        <f t="shared" si="17"/>
        <v>153350.92387096773</v>
      </c>
      <c r="E99" s="2020">
        <f t="shared" si="18"/>
        <v>14421.080258064516</v>
      </c>
      <c r="F99" s="934">
        <f t="shared" ref="F99:F101" si="22">O99+P99+Q99+N99</f>
        <v>198452.50751649399</v>
      </c>
      <c r="G99" s="935">
        <f t="shared" ref="G99:G101" si="23">TRUNC(IFERROR(K$22/L$22,0),8)</f>
        <v>0.98659384000000006</v>
      </c>
      <c r="H99" s="923">
        <f t="shared" ref="H99:H101" si="24">ROUND(J$22*G99*F99,4)</f>
        <v>195.792</v>
      </c>
      <c r="I99" s="924">
        <f t="shared" ref="I99:I101" si="25">SUM(D99:H99)</f>
        <v>366421.2902393663</v>
      </c>
      <c r="J99" s="925"/>
      <c r="K99" s="926"/>
      <c r="L99" s="926"/>
      <c r="M99" s="926"/>
      <c r="N99" s="927">
        <v>22644.187516493996</v>
      </c>
      <c r="O99" s="1005">
        <v>72246.5</v>
      </c>
      <c r="P99" s="928">
        <v>103561.82</v>
      </c>
      <c r="Q99" s="1005"/>
      <c r="R99" s="981"/>
      <c r="S99" s="990">
        <f t="shared" ref="S99:S101" si="26">N99-R99</f>
        <v>22644.187516493996</v>
      </c>
      <c r="T99" s="928">
        <v>72246.53</v>
      </c>
      <c r="U99" s="990">
        <f t="shared" ref="U99:U101" si="27">O99-T99</f>
        <v>-2.9999999998835847E-2</v>
      </c>
      <c r="V99" s="989">
        <v>66868.025999999998</v>
      </c>
      <c r="W99" s="989">
        <v>36693.803</v>
      </c>
      <c r="X99" s="987">
        <f t="shared" ref="X99:X101" si="28">P99-(V99+W99)</f>
        <v>-8.9999999909196049E-3</v>
      </c>
      <c r="Y99" s="988">
        <v>63.469000000000001</v>
      </c>
      <c r="Z99" s="990">
        <f t="shared" ref="Z99:Z101" si="29">Q99-Y99</f>
        <v>-63.469000000000001</v>
      </c>
      <c r="AA99" s="929"/>
      <c r="AB99" s="930"/>
      <c r="AC99" s="931">
        <f t="shared" ref="AC99:AC101" si="30">AA99+AB99-AD99</f>
        <v>0</v>
      </c>
      <c r="AD99" s="931">
        <f t="shared" ref="AD99:AD101" si="31">J99+K99+L99</f>
        <v>0</v>
      </c>
      <c r="AE99" s="931">
        <f t="shared" ref="AE99:AE101" si="32">(X99+Y99+Z99)*1.055056</f>
        <v>-9.495503990419674E-3</v>
      </c>
      <c r="AF99" s="931">
        <f t="shared" ref="AF99:AF101" si="33">AD99-AE99</f>
        <v>9.495503990419674E-3</v>
      </c>
      <c r="AG99" s="932" t="e">
        <f t="shared" ref="AG99:AG101" si="34">AG98+AF99</f>
        <v>#REF!</v>
      </c>
      <c r="AH99" s="843"/>
      <c r="AI99" s="843"/>
      <c r="AJ99" s="843"/>
    </row>
    <row r="100" spans="2:42" x14ac:dyDescent="0.2">
      <c r="C100" s="933">
        <f t="shared" si="16"/>
        <v>43554</v>
      </c>
      <c r="D100" s="919">
        <f t="shared" si="17"/>
        <v>153350.92387096773</v>
      </c>
      <c r="E100" s="2020">
        <f t="shared" si="18"/>
        <v>14421.080258064516</v>
      </c>
      <c r="F100" s="934">
        <f t="shared" si="22"/>
        <v>210541.209858207</v>
      </c>
      <c r="G100" s="935">
        <f t="shared" si="23"/>
        <v>0.98659384000000006</v>
      </c>
      <c r="H100" s="923">
        <f t="shared" si="24"/>
        <v>207.71870000000001</v>
      </c>
      <c r="I100" s="924">
        <f t="shared" si="25"/>
        <v>378521.91928107932</v>
      </c>
      <c r="J100" s="925"/>
      <c r="K100" s="926"/>
      <c r="L100" s="926"/>
      <c r="M100" s="926"/>
      <c r="N100" s="927">
        <v>23202.809858206998</v>
      </c>
      <c r="O100" s="1005">
        <v>71645.5</v>
      </c>
      <c r="P100" s="928">
        <v>115692.9</v>
      </c>
      <c r="Q100" s="1005"/>
      <c r="R100" s="981"/>
      <c r="S100" s="990">
        <f t="shared" si="26"/>
        <v>23202.809858206998</v>
      </c>
      <c r="T100" s="928">
        <v>71645.53</v>
      </c>
      <c r="U100" s="990">
        <f t="shared" si="27"/>
        <v>-2.9999999998835847E-2</v>
      </c>
      <c r="V100" s="989">
        <v>77964.244000000006</v>
      </c>
      <c r="W100" s="989">
        <v>37728.660000000003</v>
      </c>
      <c r="X100" s="987">
        <f t="shared" si="28"/>
        <v>-4.0000000153668225E-3</v>
      </c>
      <c r="Y100" s="988">
        <v>58.536999999999999</v>
      </c>
      <c r="Z100" s="990">
        <f t="shared" si="29"/>
        <v>-58.536999999999999</v>
      </c>
      <c r="AA100" s="929"/>
      <c r="AB100" s="930"/>
      <c r="AC100" s="931">
        <f t="shared" si="30"/>
        <v>0</v>
      </c>
      <c r="AD100" s="931">
        <f t="shared" si="31"/>
        <v>0</v>
      </c>
      <c r="AE100" s="931">
        <f t="shared" si="32"/>
        <v>-4.2202240162128582E-3</v>
      </c>
      <c r="AF100" s="931">
        <f t="shared" si="33"/>
        <v>4.2202240162128582E-3</v>
      </c>
      <c r="AG100" s="932" t="e">
        <f t="shared" si="34"/>
        <v>#REF!</v>
      </c>
      <c r="AH100" s="843"/>
      <c r="AI100" s="843"/>
      <c r="AJ100" s="843"/>
    </row>
    <row r="101" spans="2:42" ht="13.5" thickBot="1" x14ac:dyDescent="0.25">
      <c r="C101" s="938">
        <f t="shared" si="16"/>
        <v>43555</v>
      </c>
      <c r="D101" s="939">
        <f t="shared" si="17"/>
        <v>153350.92387096773</v>
      </c>
      <c r="E101" s="2088">
        <f t="shared" si="18"/>
        <v>14421.080258064516</v>
      </c>
      <c r="F101" s="941">
        <f t="shared" si="22"/>
        <v>197722.41256691099</v>
      </c>
      <c r="G101" s="942">
        <f t="shared" si="23"/>
        <v>0.98659384000000006</v>
      </c>
      <c r="H101" s="943">
        <f t="shared" si="24"/>
        <v>195.07169999999999</v>
      </c>
      <c r="I101" s="944">
        <f t="shared" si="25"/>
        <v>365690.47498978319</v>
      </c>
      <c r="J101" s="945"/>
      <c r="K101" s="946"/>
      <c r="L101" s="946"/>
      <c r="M101" s="946"/>
      <c r="N101" s="947">
        <v>23558.732566911003</v>
      </c>
      <c r="O101" s="1007">
        <v>71563.23</v>
      </c>
      <c r="P101" s="948">
        <v>102600.45</v>
      </c>
      <c r="Q101" s="1007"/>
      <c r="R101" s="991"/>
      <c r="S101" s="995">
        <f t="shared" si="26"/>
        <v>23558.732566911003</v>
      </c>
      <c r="T101" s="948">
        <v>71563.23</v>
      </c>
      <c r="U101" s="995">
        <f t="shared" si="27"/>
        <v>0</v>
      </c>
      <c r="V101" s="994">
        <v>63848.821000000004</v>
      </c>
      <c r="W101" s="994">
        <v>38751.625</v>
      </c>
      <c r="X101" s="992">
        <f t="shared" si="28"/>
        <v>4.0000000008149073E-3</v>
      </c>
      <c r="Y101" s="993">
        <v>48.246000000000002</v>
      </c>
      <c r="Z101" s="995">
        <f t="shared" si="29"/>
        <v>-48.246000000000002</v>
      </c>
      <c r="AA101" s="949"/>
      <c r="AB101" s="950"/>
      <c r="AC101" s="951">
        <f t="shared" si="30"/>
        <v>0</v>
      </c>
      <c r="AD101" s="951">
        <f t="shared" si="31"/>
        <v>0</v>
      </c>
      <c r="AE101" s="951">
        <f t="shared" si="32"/>
        <v>4.220224000859773E-3</v>
      </c>
      <c r="AF101" s="951">
        <f t="shared" si="33"/>
        <v>-4.220224000859773E-3</v>
      </c>
      <c r="AG101" s="952" t="e">
        <f t="shared" si="34"/>
        <v>#REF!</v>
      </c>
      <c r="AH101" s="843"/>
      <c r="AI101" s="843"/>
      <c r="AJ101" s="843"/>
    </row>
    <row r="102" spans="2:42" ht="13.5" thickBot="1" x14ac:dyDescent="0.25">
      <c r="C102" s="953"/>
      <c r="D102" s="954">
        <f>SUM(D71:D101)</f>
        <v>4753878.6399999997</v>
      </c>
      <c r="E102" s="954">
        <f>SUM(E71:E101)</f>
        <v>447053.48799999978</v>
      </c>
      <c r="F102" s="955">
        <f>SUM(F71:F101)</f>
        <v>5958842.8269332126</v>
      </c>
      <c r="G102" s="955"/>
      <c r="H102" s="956">
        <f t="shared" ref="H102:AA102" si="35">SUM(H71:H101)</f>
        <v>5878.9576999999999</v>
      </c>
      <c r="I102" s="954">
        <f t="shared" si="35"/>
        <v>11165684.497042252</v>
      </c>
      <c r="J102" s="996">
        <f t="shared" si="35"/>
        <v>0</v>
      </c>
      <c r="K102" s="996">
        <f t="shared" si="35"/>
        <v>0</v>
      </c>
      <c r="L102" s="996">
        <f t="shared" si="35"/>
        <v>0</v>
      </c>
      <c r="M102" s="996">
        <f t="shared" si="35"/>
        <v>0</v>
      </c>
      <c r="N102" s="1024">
        <f t="shared" si="35"/>
        <v>591252.00419668108</v>
      </c>
      <c r="O102" s="1024">
        <f t="shared" si="35"/>
        <v>2155083.6260610004</v>
      </c>
      <c r="P102" s="1024">
        <f t="shared" si="35"/>
        <v>3212507.1966755306</v>
      </c>
      <c r="Q102" s="1024">
        <f t="shared" si="35"/>
        <v>0</v>
      </c>
      <c r="R102" s="1024">
        <f t="shared" si="35"/>
        <v>0</v>
      </c>
      <c r="S102" s="1024">
        <f t="shared" si="35"/>
        <v>591252.00419668108</v>
      </c>
      <c r="T102" s="1024">
        <f t="shared" si="35"/>
        <v>2155084.4970000004</v>
      </c>
      <c r="U102" s="1024">
        <f t="shared" si="35"/>
        <v>-0.87093899998808411</v>
      </c>
      <c r="V102" s="1024">
        <f t="shared" si="35"/>
        <v>2095102.1440000001</v>
      </c>
      <c r="W102" s="1024">
        <f t="shared" si="35"/>
        <v>1117404.929</v>
      </c>
      <c r="X102" s="1024">
        <f t="shared" si="35"/>
        <v>0.12367553114017937</v>
      </c>
      <c r="Y102" s="996">
        <f t="shared" si="35"/>
        <v>900.73100000000011</v>
      </c>
      <c r="Z102" s="996">
        <f t="shared" si="35"/>
        <v>-900.73100000000011</v>
      </c>
      <c r="AA102" s="958">
        <f t="shared" si="35"/>
        <v>0</v>
      </c>
      <c r="AB102" s="829"/>
      <c r="AC102" s="959"/>
      <c r="AD102" s="960">
        <f>SUM(AD71:AD101)</f>
        <v>0</v>
      </c>
      <c r="AE102" s="960">
        <f>SUM(AE71:AE101)</f>
        <v>0.1304846111826331</v>
      </c>
      <c r="AF102" s="960">
        <f>SUM(AF71:AF101)</f>
        <v>-0.1304846111826331</v>
      </c>
      <c r="AG102" s="961" t="e">
        <f>#REF!</f>
        <v>#REF!</v>
      </c>
      <c r="AH102" s="843"/>
      <c r="AI102" s="843"/>
      <c r="AJ102" s="843"/>
      <c r="AP102" s="958" t="e">
        <f>#REF!</f>
        <v>#REF!</v>
      </c>
    </row>
    <row r="103" spans="2:42" ht="15" customHeight="1" thickBot="1" x14ac:dyDescent="0.25">
      <c r="B103" s="843"/>
      <c r="C103" s="843"/>
      <c r="D103" s="843"/>
      <c r="E103" s="843"/>
      <c r="F103" s="843"/>
      <c r="G103" s="843"/>
      <c r="H103" s="843"/>
      <c r="I103" s="843"/>
      <c r="J103" s="843"/>
      <c r="K103" s="843"/>
      <c r="L103" s="843"/>
      <c r="N103" s="829"/>
      <c r="O103" s="843"/>
      <c r="V103" s="997">
        <f>V102/(V102+W102)</f>
        <v>0.65217043772715766</v>
      </c>
      <c r="W103" s="998">
        <f>W102/(V102+W102)</f>
        <v>0.34782956227284234</v>
      </c>
      <c r="Z103" s="829"/>
      <c r="AA103" s="829"/>
      <c r="AB103" s="829"/>
      <c r="AC103" s="829"/>
      <c r="AD103" s="829"/>
      <c r="AE103" s="829"/>
      <c r="AF103" s="829"/>
      <c r="AH103" s="843"/>
      <c r="AI103" s="843"/>
      <c r="AJ103" s="843"/>
    </row>
    <row r="104" spans="2:42" ht="13.5" thickBot="1" x14ac:dyDescent="0.25">
      <c r="D104" s="1795" t="s">
        <v>155</v>
      </c>
      <c r="E104" s="1796" t="s">
        <v>156</v>
      </c>
      <c r="F104" s="1797" t="s">
        <v>112</v>
      </c>
      <c r="N104" s="829"/>
      <c r="P104" s="827"/>
      <c r="Z104" s="829"/>
      <c r="AA104" s="829"/>
      <c r="AB104" s="829"/>
      <c r="AG104" s="843"/>
    </row>
    <row r="105" spans="2:42" x14ac:dyDescent="0.2">
      <c r="D105" s="1798">
        <v>4753878.6399999997</v>
      </c>
      <c r="E105" s="1800">
        <f>D102</f>
        <v>4753878.6399999997</v>
      </c>
      <c r="F105" s="1801">
        <f>D105-E105</f>
        <v>0</v>
      </c>
      <c r="G105" s="968"/>
      <c r="H105" s="968"/>
      <c r="I105" s="968"/>
      <c r="N105" s="829"/>
      <c r="P105" s="827"/>
      <c r="V105" s="1008">
        <f>1-V103-W103</f>
        <v>0</v>
      </c>
      <c r="X105" s="958">
        <f>V102+W102</f>
        <v>3212507.0729999999</v>
      </c>
      <c r="Z105" s="829"/>
      <c r="AA105" s="829"/>
      <c r="AB105" s="829"/>
      <c r="AG105" s="843"/>
    </row>
    <row r="106" spans="2:42" x14ac:dyDescent="0.2">
      <c r="D106" s="1798">
        <v>447053.49</v>
      </c>
      <c r="E106" s="1800">
        <f>E102</f>
        <v>447053.48799999978</v>
      </c>
      <c r="F106" s="1801">
        <f>D106-E106</f>
        <v>2.0000002114102244E-3</v>
      </c>
      <c r="G106" s="968"/>
      <c r="H106" s="968"/>
      <c r="I106" s="968"/>
      <c r="Z106" s="829"/>
    </row>
    <row r="107" spans="2:42" ht="13.5" thickBot="1" x14ac:dyDescent="0.25">
      <c r="D107" s="1799">
        <f>583.33+2126.19+3169.44</f>
        <v>5878.96</v>
      </c>
      <c r="E107" s="1802">
        <f>ROUND(H102,2)</f>
        <v>5878.96</v>
      </c>
      <c r="F107" s="1803">
        <f>D107-E107</f>
        <v>0</v>
      </c>
      <c r="G107" s="968"/>
    </row>
    <row r="108" spans="2:42" x14ac:dyDescent="0.2">
      <c r="D108" s="968"/>
    </row>
    <row r="110" spans="2:42" x14ac:dyDescent="0.2">
      <c r="O110" s="827"/>
      <c r="P110" s="827"/>
      <c r="Q110" s="827"/>
    </row>
    <row r="111" spans="2:42" x14ac:dyDescent="0.2">
      <c r="O111" s="827"/>
      <c r="P111" s="827"/>
      <c r="Q111" s="827"/>
    </row>
    <row r="112" spans="2:42" x14ac:dyDescent="0.2">
      <c r="E112" s="1023"/>
      <c r="G112" s="1023"/>
      <c r="J112" s="958"/>
      <c r="O112" s="827"/>
      <c r="P112" s="827"/>
      <c r="Q112" s="827"/>
    </row>
    <row r="113" spans="6:17" x14ac:dyDescent="0.2">
      <c r="F113" s="1023"/>
      <c r="J113" s="1023"/>
      <c r="L113" s="1023"/>
      <c r="O113" s="827"/>
      <c r="P113" s="827"/>
      <c r="Q113" s="827"/>
    </row>
    <row r="114" spans="6:17" x14ac:dyDescent="0.2">
      <c r="F114" s="1023"/>
      <c r="J114" s="1023"/>
      <c r="L114" s="1023"/>
      <c r="O114" s="827"/>
      <c r="P114" s="827"/>
      <c r="Q114" s="827"/>
    </row>
    <row r="115" spans="6:17" x14ac:dyDescent="0.2">
      <c r="F115" s="1023"/>
      <c r="J115" s="1023"/>
      <c r="L115" s="1023"/>
      <c r="O115" s="827"/>
      <c r="P115" s="827"/>
      <c r="Q115" s="827"/>
    </row>
    <row r="116" spans="6:17" x14ac:dyDescent="0.2">
      <c r="F116" s="1023"/>
      <c r="J116" s="1023"/>
      <c r="L116" s="1023"/>
      <c r="O116" s="827"/>
      <c r="P116" s="827"/>
      <c r="Q116" s="827"/>
    </row>
    <row r="117" spans="6:17" x14ac:dyDescent="0.2">
      <c r="F117" s="1023"/>
      <c r="J117" s="1023"/>
      <c r="L117" s="1023"/>
      <c r="O117" s="827"/>
      <c r="P117" s="827"/>
      <c r="Q117" s="827"/>
    </row>
    <row r="118" spans="6:17" x14ac:dyDescent="0.2">
      <c r="F118" s="1023"/>
      <c r="J118" s="1023"/>
      <c r="L118" s="1023"/>
      <c r="O118" s="827"/>
      <c r="P118" s="827"/>
      <c r="Q118" s="827"/>
    </row>
    <row r="119" spans="6:17" x14ac:dyDescent="0.2">
      <c r="F119" s="1023"/>
      <c r="J119" s="1023"/>
      <c r="L119" s="1023"/>
      <c r="O119" s="827"/>
      <c r="P119" s="827"/>
      <c r="Q119" s="827"/>
    </row>
    <row r="120" spans="6:17" x14ac:dyDescent="0.2">
      <c r="F120" s="1023"/>
      <c r="J120" s="1023"/>
      <c r="L120" s="1023"/>
      <c r="O120" s="827"/>
      <c r="P120" s="827"/>
      <c r="Q120" s="827"/>
    </row>
    <row r="121" spans="6:17" x14ac:dyDescent="0.2">
      <c r="F121" s="1023"/>
      <c r="J121" s="1023"/>
      <c r="L121" s="1023"/>
      <c r="O121" s="827"/>
      <c r="P121" s="827"/>
      <c r="Q121" s="827"/>
    </row>
    <row r="122" spans="6:17" x14ac:dyDescent="0.2">
      <c r="F122" s="1023"/>
      <c r="J122" s="1023"/>
      <c r="L122" s="1023"/>
      <c r="O122" s="827"/>
      <c r="P122" s="827"/>
      <c r="Q122" s="827"/>
    </row>
    <row r="123" spans="6:17" x14ac:dyDescent="0.2">
      <c r="F123" s="1023"/>
      <c r="J123" s="1023"/>
      <c r="L123" s="1023"/>
      <c r="O123" s="827"/>
      <c r="P123" s="827"/>
      <c r="Q123" s="827"/>
    </row>
    <row r="124" spans="6:17" x14ac:dyDescent="0.2">
      <c r="F124" s="1023"/>
      <c r="J124" s="1023"/>
      <c r="L124" s="1023"/>
      <c r="O124" s="827"/>
      <c r="P124" s="827"/>
      <c r="Q124" s="827"/>
    </row>
    <row r="125" spans="6:17" x14ac:dyDescent="0.2">
      <c r="F125" s="1023"/>
      <c r="J125" s="1023"/>
      <c r="L125" s="1023"/>
      <c r="O125" s="827"/>
      <c r="P125" s="827"/>
      <c r="Q125" s="827"/>
    </row>
    <row r="126" spans="6:17" x14ac:dyDescent="0.2">
      <c r="F126" s="1023"/>
      <c r="J126" s="1023"/>
      <c r="L126" s="1023"/>
      <c r="O126" s="827"/>
      <c r="P126" s="827"/>
      <c r="Q126" s="827"/>
    </row>
    <row r="127" spans="6:17" x14ac:dyDescent="0.2">
      <c r="F127" s="1023"/>
      <c r="J127" s="1023"/>
      <c r="L127" s="1023"/>
      <c r="O127" s="827"/>
      <c r="P127" s="827"/>
      <c r="Q127" s="827"/>
    </row>
    <row r="128" spans="6:17" x14ac:dyDescent="0.2">
      <c r="F128" s="1023"/>
      <c r="J128" s="1023"/>
      <c r="L128" s="1023"/>
      <c r="O128" s="827"/>
      <c r="P128" s="827"/>
      <c r="Q128" s="827"/>
    </row>
    <row r="129" spans="6:17" x14ac:dyDescent="0.2">
      <c r="F129" s="1023"/>
      <c r="J129" s="1023"/>
      <c r="L129" s="1023"/>
      <c r="O129" s="827"/>
      <c r="P129" s="827"/>
      <c r="Q129" s="827"/>
    </row>
    <row r="130" spans="6:17" x14ac:dyDescent="0.2">
      <c r="F130" s="1023"/>
      <c r="J130" s="1023"/>
      <c r="L130" s="1023"/>
      <c r="O130" s="827"/>
      <c r="P130" s="827"/>
      <c r="Q130" s="827"/>
    </row>
    <row r="131" spans="6:17" x14ac:dyDescent="0.2">
      <c r="F131" s="1023"/>
      <c r="J131" s="1023"/>
      <c r="L131" s="1023"/>
      <c r="O131" s="827"/>
      <c r="P131" s="827"/>
      <c r="Q131" s="827"/>
    </row>
    <row r="132" spans="6:17" x14ac:dyDescent="0.2">
      <c r="F132" s="1023"/>
      <c r="J132" s="1023"/>
      <c r="L132" s="1023"/>
      <c r="O132" s="827"/>
      <c r="P132" s="827"/>
      <c r="Q132" s="827"/>
    </row>
    <row r="133" spans="6:17" x14ac:dyDescent="0.2">
      <c r="F133" s="1023"/>
      <c r="J133" s="1023"/>
      <c r="L133" s="1023"/>
      <c r="O133" s="827"/>
      <c r="P133" s="827"/>
      <c r="Q133" s="827"/>
    </row>
    <row r="134" spans="6:17" x14ac:dyDescent="0.2">
      <c r="F134" s="1023"/>
      <c r="J134" s="1023"/>
      <c r="L134" s="1023"/>
      <c r="O134" s="827"/>
      <c r="P134" s="827"/>
      <c r="Q134" s="827"/>
    </row>
    <row r="135" spans="6:17" x14ac:dyDescent="0.2">
      <c r="F135" s="1023"/>
      <c r="J135" s="1023"/>
      <c r="L135" s="1023"/>
      <c r="O135" s="827"/>
      <c r="P135" s="827"/>
      <c r="Q135" s="827"/>
    </row>
    <row r="136" spans="6:17" x14ac:dyDescent="0.2">
      <c r="F136" s="1023"/>
      <c r="J136" s="1023"/>
      <c r="L136" s="1023"/>
      <c r="O136" s="827"/>
      <c r="P136" s="827"/>
      <c r="Q136" s="827"/>
    </row>
    <row r="137" spans="6:17" x14ac:dyDescent="0.2">
      <c r="F137" s="1023"/>
      <c r="J137" s="1023"/>
      <c r="L137" s="1023"/>
      <c r="O137" s="827"/>
      <c r="P137" s="827"/>
      <c r="Q137" s="827"/>
    </row>
    <row r="138" spans="6:17" x14ac:dyDescent="0.2">
      <c r="F138" s="1023"/>
      <c r="J138" s="1023"/>
      <c r="L138" s="1023"/>
      <c r="N138" s="1074"/>
      <c r="O138" s="827"/>
    </row>
    <row r="139" spans="6:17" x14ac:dyDescent="0.2">
      <c r="F139" s="1023"/>
    </row>
  </sheetData>
  <mergeCells count="10">
    <mergeCell ref="R69:Z69"/>
    <mergeCell ref="N69:Q69"/>
    <mergeCell ref="J69:M69"/>
    <mergeCell ref="C17:E17"/>
    <mergeCell ref="C3:M4"/>
    <mergeCell ref="C5:M5"/>
    <mergeCell ref="C6:M6"/>
    <mergeCell ref="C14:E14"/>
    <mergeCell ref="C15:E15"/>
    <mergeCell ref="C16:E16"/>
  </mergeCells>
  <conditionalFormatting sqref="O99:Q101 O71:P98">
    <cfRule type="cellIs" dxfId="69" priority="7" stopIfTrue="1" operator="equal">
      <formula>0</formula>
    </cfRule>
  </conditionalFormatting>
  <conditionalFormatting sqref="T71:T99 T101">
    <cfRule type="cellIs" dxfId="68" priority="6" stopIfTrue="1" operator="equal">
      <formula>0</formula>
    </cfRule>
  </conditionalFormatting>
  <conditionalFormatting sqref="T100">
    <cfRule type="cellIs" dxfId="67" priority="5" stopIfTrue="1" operator="equal">
      <formula>0</formula>
    </cfRule>
  </conditionalFormatting>
  <conditionalFormatting sqref="R99 R101">
    <cfRule type="cellIs" dxfId="66" priority="4" stopIfTrue="1" operator="equal">
      <formula>0</formula>
    </cfRule>
  </conditionalFormatting>
  <conditionalFormatting sqref="R100">
    <cfRule type="cellIs" dxfId="65" priority="3" stopIfTrue="1" operator="equal">
      <formula>0</formula>
    </cfRule>
  </conditionalFormatting>
  <conditionalFormatting sqref="N71:N101">
    <cfRule type="cellIs" dxfId="64" priority="2" stopIfTrue="1" operator="equal">
      <formula>0</formula>
    </cfRule>
  </conditionalFormatting>
  <conditionalFormatting sqref="R71:R98">
    <cfRule type="cellIs" dxfId="63" priority="1" stopIfTrue="1" operator="equal">
      <formula>0</formula>
    </cfRule>
  </conditionalFormatting>
  <printOptions horizontalCentered="1"/>
  <pageMargins left="0.59055118110236227" right="0.39370078740157483" top="0" bottom="0" header="0" footer="0.51181102362204722"/>
  <pageSetup scale="42" orientation="landscape" r:id="rId1"/>
  <drawing r:id="rId2"/>
  <legacyDrawing r:id="rId3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2:AP108"/>
  <sheetViews>
    <sheetView tabSelected="1" topLeftCell="J67" workbookViewId="0">
      <selection activeCell="P81" sqref="P81"/>
    </sheetView>
  </sheetViews>
  <sheetFormatPr baseColWidth="10" defaultColWidth="11" defaultRowHeight="12.75" x14ac:dyDescent="0.2"/>
  <cols>
    <col min="1" max="1" width="11" style="829"/>
    <col min="2" max="2" width="3.875" style="829" bestFit="1" customWidth="1"/>
    <col min="3" max="3" width="16.125" style="829" customWidth="1"/>
    <col min="4" max="4" width="12.625" style="829" bestFit="1" customWidth="1"/>
    <col min="5" max="5" width="18.375" style="829" bestFit="1" customWidth="1"/>
    <col min="6" max="6" width="17.375" style="829" bestFit="1" customWidth="1"/>
    <col min="7" max="8" width="13.375" style="829" bestFit="1" customWidth="1"/>
    <col min="9" max="9" width="15.125" style="829" customWidth="1"/>
    <col min="10" max="10" width="20.5" style="829" customWidth="1"/>
    <col min="11" max="11" width="12.625" style="829" bestFit="1" customWidth="1"/>
    <col min="12" max="12" width="16" style="829" customWidth="1"/>
    <col min="13" max="13" width="15.125" style="829" bestFit="1" customWidth="1"/>
    <col min="14" max="14" width="16.125" style="827" bestFit="1" customWidth="1"/>
    <col min="15" max="15" width="11.375" style="829" bestFit="1" customWidth="1"/>
    <col min="16" max="16" width="11.125" style="829" bestFit="1" customWidth="1"/>
    <col min="17" max="17" width="12.625" style="829" bestFit="1" customWidth="1"/>
    <col min="18" max="18" width="10.875" style="829" customWidth="1"/>
    <col min="19" max="19" width="11.875" style="829" bestFit="1" customWidth="1"/>
    <col min="20" max="20" width="11.125" style="829" bestFit="1" customWidth="1"/>
    <col min="21" max="21" width="11.625" style="829" bestFit="1" customWidth="1"/>
    <col min="22" max="23" width="11.125" style="829" bestFit="1" customWidth="1"/>
    <col min="24" max="24" width="13.625" style="829" bestFit="1" customWidth="1"/>
    <col min="25" max="25" width="16.125" style="829" bestFit="1" customWidth="1"/>
    <col min="26" max="26" width="11.125" style="843" bestFit="1" customWidth="1"/>
    <col min="27" max="27" width="13" style="843" bestFit="1" customWidth="1"/>
    <col min="28" max="32" width="11" style="843"/>
    <col min="33" max="38" width="11" style="829"/>
    <col min="39" max="39" width="11.125" style="829" bestFit="1" customWidth="1"/>
    <col min="40" max="16384" width="11" style="829"/>
  </cols>
  <sheetData>
    <row r="2" spans="2:35" x14ac:dyDescent="0.2">
      <c r="B2" s="827"/>
      <c r="C2" s="828"/>
      <c r="D2" s="828"/>
      <c r="E2" s="828"/>
      <c r="F2" s="828"/>
      <c r="G2" s="828"/>
      <c r="H2" s="828"/>
      <c r="I2" s="828"/>
      <c r="J2" s="828"/>
      <c r="K2" s="828"/>
      <c r="L2" s="828"/>
      <c r="M2" s="828"/>
      <c r="N2" s="828"/>
      <c r="Z2" s="829"/>
      <c r="AA2" s="829"/>
      <c r="AB2" s="829"/>
      <c r="AC2" s="829"/>
      <c r="AD2" s="829"/>
      <c r="AE2" s="829"/>
      <c r="AF2" s="829"/>
    </row>
    <row r="3" spans="2:35" ht="15" customHeight="1" x14ac:dyDescent="0.2">
      <c r="B3" s="827"/>
      <c r="C3" s="2295"/>
      <c r="D3" s="2295"/>
      <c r="E3" s="2295"/>
      <c r="F3" s="2295"/>
      <c r="G3" s="2295"/>
      <c r="H3" s="2295"/>
      <c r="I3" s="2295"/>
      <c r="J3" s="2295"/>
      <c r="K3" s="2295"/>
      <c r="L3" s="2295"/>
      <c r="M3" s="2295"/>
      <c r="N3" s="828"/>
      <c r="Z3" s="829"/>
      <c r="AA3" s="829"/>
      <c r="AB3" s="829"/>
      <c r="AC3" s="829"/>
      <c r="AD3" s="829"/>
      <c r="AE3" s="829"/>
      <c r="AF3" s="829"/>
    </row>
    <row r="4" spans="2:35" ht="15" customHeight="1" x14ac:dyDescent="0.2">
      <c r="B4" s="827"/>
      <c r="C4" s="2295"/>
      <c r="D4" s="2295"/>
      <c r="E4" s="2295"/>
      <c r="F4" s="2295"/>
      <c r="G4" s="2295"/>
      <c r="H4" s="2295"/>
      <c r="I4" s="2295"/>
      <c r="J4" s="2295"/>
      <c r="K4" s="2295"/>
      <c r="L4" s="2295"/>
      <c r="M4" s="2295"/>
      <c r="N4" s="828"/>
      <c r="Z4" s="829"/>
      <c r="AA4" s="829"/>
      <c r="AB4" s="829"/>
      <c r="AC4" s="829"/>
      <c r="AD4" s="829"/>
      <c r="AE4" s="829"/>
      <c r="AF4" s="829"/>
    </row>
    <row r="5" spans="2:35" x14ac:dyDescent="0.2">
      <c r="B5" s="827"/>
      <c r="C5" s="2296"/>
      <c r="D5" s="2296"/>
      <c r="E5" s="2296"/>
      <c r="F5" s="2296"/>
      <c r="G5" s="2296"/>
      <c r="H5" s="2296"/>
      <c r="I5" s="2296"/>
      <c r="J5" s="2296"/>
      <c r="K5" s="2296"/>
      <c r="L5" s="2296"/>
      <c r="M5" s="2296"/>
      <c r="N5" s="828"/>
      <c r="Z5" s="829"/>
      <c r="AA5" s="829"/>
      <c r="AB5" s="829"/>
      <c r="AC5" s="829"/>
      <c r="AD5" s="829"/>
      <c r="AE5" s="829"/>
      <c r="AF5" s="829"/>
    </row>
    <row r="6" spans="2:35" x14ac:dyDescent="0.2">
      <c r="B6" s="827"/>
      <c r="C6" s="2296"/>
      <c r="D6" s="2296"/>
      <c r="E6" s="2296"/>
      <c r="F6" s="2296"/>
      <c r="G6" s="2296"/>
      <c r="H6" s="2296"/>
      <c r="I6" s="2296"/>
      <c r="J6" s="2296"/>
      <c r="K6" s="2296"/>
      <c r="L6" s="2296"/>
      <c r="M6" s="2296"/>
      <c r="N6" s="828"/>
      <c r="Z6" s="829"/>
      <c r="AA6" s="829"/>
      <c r="AB6" s="829"/>
      <c r="AC6" s="829"/>
      <c r="AD6" s="829"/>
      <c r="AE6" s="829"/>
      <c r="AF6" s="829"/>
    </row>
    <row r="7" spans="2:35" x14ac:dyDescent="0.2">
      <c r="B7" s="827"/>
      <c r="C7" s="830">
        <v>43101</v>
      </c>
      <c r="D7" s="830"/>
      <c r="E7" s="830"/>
      <c r="F7" s="830"/>
      <c r="G7" s="830"/>
      <c r="H7" s="830"/>
      <c r="I7" s="830"/>
      <c r="J7" s="830"/>
      <c r="K7" s="830"/>
      <c r="L7" s="830"/>
      <c r="M7" s="830"/>
      <c r="N7" s="830"/>
      <c r="O7" s="830"/>
      <c r="P7" s="830"/>
      <c r="Q7" s="830"/>
      <c r="R7" s="827"/>
      <c r="S7" s="827"/>
      <c r="T7" s="827"/>
      <c r="U7" s="827"/>
      <c r="V7" s="827"/>
      <c r="W7" s="827"/>
      <c r="X7" s="827"/>
      <c r="Y7" s="827"/>
      <c r="Z7" s="829"/>
      <c r="AA7" s="829"/>
      <c r="AB7" s="829"/>
      <c r="AC7" s="829"/>
      <c r="AD7" s="829"/>
      <c r="AE7" s="829"/>
      <c r="AF7" s="829"/>
    </row>
    <row r="8" spans="2:35" ht="19.5" customHeight="1" x14ac:dyDescent="0.2">
      <c r="B8" s="827"/>
      <c r="C8" s="1740"/>
      <c r="D8" s="1740"/>
      <c r="E8" s="1740"/>
      <c r="F8" s="1740"/>
      <c r="G8" s="1740"/>
      <c r="H8" s="1740"/>
      <c r="I8" s="1740"/>
      <c r="J8" s="1740"/>
      <c r="K8" s="1740"/>
      <c r="L8" s="1740"/>
      <c r="M8" s="828"/>
      <c r="N8" s="828"/>
      <c r="O8" s="827"/>
      <c r="P8" s="827"/>
      <c r="Q8" s="827"/>
      <c r="R8" s="827"/>
      <c r="S8" s="827"/>
      <c r="T8" s="827"/>
      <c r="U8" s="827"/>
      <c r="V8" s="827"/>
      <c r="W8" s="827"/>
      <c r="X8" s="827"/>
      <c r="Y8" s="827"/>
      <c r="Z8" s="829"/>
      <c r="AA8" s="829"/>
      <c r="AB8" s="829"/>
      <c r="AC8" s="829"/>
      <c r="AD8" s="829"/>
      <c r="AE8" s="829"/>
      <c r="AF8" s="829"/>
    </row>
    <row r="9" spans="2:35" ht="19.5" customHeight="1" x14ac:dyDescent="0.2">
      <c r="B9" s="827"/>
      <c r="C9" s="1740"/>
      <c r="D9" s="1740"/>
      <c r="E9" s="1740"/>
      <c r="F9" s="1740"/>
      <c r="G9" s="1740"/>
      <c r="H9" s="1740"/>
      <c r="I9" s="1740"/>
      <c r="J9" s="1740"/>
      <c r="K9" s="1740"/>
      <c r="L9" s="1740"/>
      <c r="M9" s="828"/>
      <c r="N9" s="828"/>
      <c r="O9" s="827"/>
      <c r="P9" s="827"/>
      <c r="Q9" s="827"/>
      <c r="R9" s="827"/>
      <c r="S9" s="827"/>
      <c r="T9" s="827"/>
      <c r="U9" s="827"/>
      <c r="V9" s="827"/>
      <c r="W9" s="827"/>
      <c r="X9" s="827"/>
      <c r="Y9" s="827"/>
      <c r="Z9" s="829"/>
      <c r="AA9" s="829"/>
      <c r="AB9" s="829"/>
      <c r="AC9" s="829"/>
      <c r="AD9" s="829"/>
      <c r="AE9" s="829"/>
      <c r="AF9" s="829"/>
    </row>
    <row r="10" spans="2:35" ht="19.5" customHeight="1" x14ac:dyDescent="0.2">
      <c r="B10" s="827"/>
      <c r="C10" s="1740"/>
      <c r="D10" s="1740"/>
      <c r="E10" s="1740"/>
      <c r="F10" s="1740"/>
      <c r="G10" s="1740"/>
      <c r="H10" s="1740"/>
      <c r="I10" s="1740"/>
      <c r="J10" s="1740"/>
      <c r="K10" s="1740"/>
      <c r="L10" s="1740"/>
      <c r="M10" s="828"/>
      <c r="N10" s="828"/>
      <c r="O10" s="827"/>
      <c r="P10" s="827"/>
      <c r="Q10" s="827"/>
      <c r="R10" s="827"/>
      <c r="S10" s="827"/>
      <c r="T10" s="827"/>
      <c r="U10" s="827"/>
      <c r="V10" s="827"/>
      <c r="W10" s="827"/>
      <c r="X10" s="827"/>
      <c r="Y10" s="827"/>
      <c r="Z10" s="829"/>
      <c r="AA10" s="829"/>
      <c r="AB10" s="829"/>
      <c r="AC10" s="829"/>
      <c r="AD10" s="829"/>
      <c r="AE10" s="829"/>
      <c r="AF10" s="829"/>
    </row>
    <row r="11" spans="2:35" ht="19.5" customHeight="1" x14ac:dyDescent="0.2">
      <c r="B11" s="827"/>
      <c r="C11" s="1740"/>
      <c r="D11" s="1740"/>
      <c r="E11" s="1740"/>
      <c r="F11" s="1740"/>
      <c r="G11" s="1740"/>
      <c r="H11" s="1740"/>
      <c r="I11" s="1740"/>
      <c r="J11" s="1740"/>
      <c r="K11" s="1740"/>
      <c r="L11" s="1740"/>
      <c r="M11" s="828"/>
      <c r="N11" s="828"/>
      <c r="O11" s="827"/>
      <c r="P11" s="827"/>
      <c r="Q11" s="827"/>
      <c r="R11" s="827"/>
      <c r="S11" s="827"/>
      <c r="T11" s="827"/>
      <c r="U11" s="827"/>
      <c r="V11" s="827"/>
      <c r="W11" s="827"/>
      <c r="X11" s="827"/>
      <c r="Y11" s="827"/>
      <c r="Z11" s="829"/>
      <c r="AA11" s="829"/>
      <c r="AB11" s="829"/>
      <c r="AC11" s="829"/>
      <c r="AD11" s="829"/>
      <c r="AE11" s="829"/>
      <c r="AF11" s="829"/>
    </row>
    <row r="12" spans="2:35" ht="19.5" customHeight="1" x14ac:dyDescent="0.2">
      <c r="B12" s="827"/>
      <c r="C12" s="1740"/>
      <c r="D12" s="1740"/>
      <c r="E12" s="1740"/>
      <c r="F12" s="1740"/>
      <c r="G12" s="1740"/>
      <c r="H12" s="1740"/>
      <c r="I12" s="1740"/>
      <c r="J12" s="1740"/>
      <c r="K12" s="1740"/>
      <c r="L12" s="1740"/>
      <c r="M12" s="828"/>
      <c r="N12" s="828"/>
      <c r="O12" s="827"/>
      <c r="P12" s="827"/>
      <c r="Q12" s="827"/>
      <c r="R12" s="827"/>
      <c r="S12" s="827"/>
      <c r="T12" s="827"/>
      <c r="U12" s="827"/>
      <c r="V12" s="827"/>
      <c r="W12" s="827"/>
      <c r="X12" s="827"/>
      <c r="Y12" s="827"/>
      <c r="Z12" s="829"/>
      <c r="AA12" s="829"/>
      <c r="AB12" s="829"/>
      <c r="AC12" s="829"/>
      <c r="AD12" s="829"/>
      <c r="AE12" s="829"/>
      <c r="AF12" s="829"/>
    </row>
    <row r="13" spans="2:35" ht="19.5" customHeight="1" thickBot="1" x14ac:dyDescent="0.25">
      <c r="B13" s="827"/>
      <c r="C13" s="1740"/>
      <c r="D13" s="1740"/>
      <c r="E13" s="1740"/>
      <c r="F13" s="1740"/>
      <c r="G13" s="1740"/>
      <c r="H13" s="1740"/>
      <c r="I13" s="1740"/>
      <c r="J13" s="1740"/>
      <c r="K13" s="1740"/>
      <c r="L13" s="1740"/>
      <c r="M13" s="828"/>
      <c r="N13" s="828"/>
      <c r="O13" s="827"/>
      <c r="P13" s="827"/>
      <c r="Q13" s="827"/>
      <c r="R13" s="827"/>
      <c r="S13" s="827"/>
      <c r="T13" s="827"/>
      <c r="U13" s="827"/>
      <c r="V13" s="827"/>
      <c r="W13" s="827"/>
      <c r="X13" s="827"/>
      <c r="Y13" s="827"/>
      <c r="Z13" s="829"/>
      <c r="AA13" s="829"/>
      <c r="AB13" s="829"/>
      <c r="AC13" s="829"/>
      <c r="AD13" s="829"/>
      <c r="AE13" s="829"/>
      <c r="AF13" s="829"/>
    </row>
    <row r="14" spans="2:35" ht="26.25" thickBot="1" x14ac:dyDescent="0.25">
      <c r="B14" s="827"/>
      <c r="C14" s="2333" t="s">
        <v>6</v>
      </c>
      <c r="D14" s="2334"/>
      <c r="E14" s="2335"/>
      <c r="F14" s="832" t="s">
        <v>227</v>
      </c>
      <c r="G14" s="832" t="s">
        <v>230</v>
      </c>
      <c r="H14" s="832" t="s">
        <v>228</v>
      </c>
      <c r="I14" s="832" t="s">
        <v>229</v>
      </c>
      <c r="J14" s="833" t="s">
        <v>126</v>
      </c>
      <c r="K14" s="833" t="s">
        <v>133</v>
      </c>
      <c r="L14" s="832" t="s">
        <v>127</v>
      </c>
      <c r="M14" s="834" t="s">
        <v>128</v>
      </c>
      <c r="N14" s="828"/>
      <c r="O14" s="827"/>
      <c r="P14" s="827"/>
      <c r="Q14" s="827"/>
      <c r="R14" s="827"/>
      <c r="S14" s="827"/>
      <c r="T14" s="827"/>
      <c r="U14" s="827"/>
      <c r="V14" s="827"/>
      <c r="W14" s="827"/>
      <c r="X14" s="827"/>
      <c r="Y14" s="827"/>
      <c r="Z14" s="829"/>
      <c r="AA14" s="829"/>
      <c r="AB14" s="829"/>
      <c r="AC14" s="829"/>
      <c r="AD14" s="829"/>
      <c r="AE14" s="829"/>
      <c r="AF14" s="829"/>
    </row>
    <row r="15" spans="2:35" ht="13.5" thickBot="1" x14ac:dyDescent="0.25">
      <c r="B15" s="827"/>
      <c r="C15" s="2329" t="s">
        <v>131</v>
      </c>
      <c r="D15" s="2330"/>
      <c r="E15" s="2331"/>
      <c r="F15" s="835"/>
      <c r="G15" s="836" t="s">
        <v>165</v>
      </c>
      <c r="H15" s="835"/>
      <c r="I15" s="837">
        <f>IF(D105=0,E105,D105)</f>
        <v>4600527.716129032</v>
      </c>
      <c r="J15" s="835">
        <f>I15*0.16</f>
        <v>736084.43458064517</v>
      </c>
      <c r="K15" s="835">
        <f>I15+J15</f>
        <v>5336612.1507096775</v>
      </c>
      <c r="L15" s="838"/>
      <c r="M15" s="1774">
        <v>22</v>
      </c>
      <c r="O15" s="827"/>
      <c r="P15" s="827"/>
      <c r="Q15" s="827"/>
      <c r="R15" s="827"/>
      <c r="S15" s="827"/>
      <c r="T15" s="827"/>
      <c r="U15" s="827"/>
      <c r="V15" s="827"/>
      <c r="W15" s="827"/>
      <c r="X15" s="827"/>
      <c r="Y15" s="827"/>
      <c r="Z15" s="829"/>
      <c r="AA15" s="829"/>
      <c r="AB15" s="829"/>
      <c r="AC15" s="829"/>
      <c r="AD15" s="829"/>
      <c r="AE15" s="829"/>
      <c r="AF15" s="829"/>
    </row>
    <row r="16" spans="2:35" ht="13.5" thickBot="1" x14ac:dyDescent="0.25">
      <c r="B16" s="827"/>
      <c r="C16" s="2329" t="s">
        <v>275</v>
      </c>
      <c r="D16" s="2330"/>
      <c r="E16" s="2331"/>
      <c r="F16" s="840"/>
      <c r="G16" s="840"/>
      <c r="H16" s="840"/>
      <c r="I16" s="837">
        <f>IF(D106=0,E106,D106)</f>
        <v>432632.40774193528</v>
      </c>
      <c r="J16" s="841">
        <f>I16*0.16</f>
        <v>69221.185238709644</v>
      </c>
      <c r="K16" s="841">
        <f>I16+J16</f>
        <v>501853.5929806449</v>
      </c>
      <c r="L16" s="838"/>
      <c r="M16" s="1775">
        <v>22</v>
      </c>
      <c r="O16" s="827"/>
      <c r="P16" s="827"/>
      <c r="Q16" s="827"/>
      <c r="R16" s="827"/>
      <c r="S16" s="827"/>
      <c r="T16" s="827"/>
      <c r="U16" s="827"/>
      <c r="V16" s="827"/>
      <c r="W16" s="827"/>
      <c r="X16" s="827"/>
      <c r="Y16" s="827"/>
      <c r="Z16" s="827"/>
      <c r="AA16" s="827"/>
      <c r="AB16" s="827"/>
      <c r="AG16" s="843"/>
      <c r="AH16" s="843"/>
      <c r="AI16" s="843"/>
    </row>
    <row r="17" spans="2:33" ht="13.5" thickBot="1" x14ac:dyDescent="0.25">
      <c r="B17" s="827"/>
      <c r="C17" s="2326" t="s">
        <v>132</v>
      </c>
      <c r="D17" s="2327"/>
      <c r="E17" s="2328"/>
      <c r="F17" s="844"/>
      <c r="G17" s="845" t="s">
        <v>165</v>
      </c>
      <c r="H17" s="844"/>
      <c r="I17" s="846">
        <f>IF(D107=0,E107,D107)</f>
        <v>5509.08</v>
      </c>
      <c r="J17" s="844">
        <f>I17*0.16</f>
        <v>881.45280000000002</v>
      </c>
      <c r="K17" s="844">
        <f>I17+J17</f>
        <v>6390.5328</v>
      </c>
      <c r="L17" s="847"/>
      <c r="M17" s="1776">
        <v>22</v>
      </c>
      <c r="O17" s="827"/>
      <c r="P17" s="827"/>
      <c r="Q17" s="827"/>
      <c r="R17" s="827"/>
      <c r="S17" s="827"/>
      <c r="T17" s="827"/>
      <c r="U17" s="827"/>
      <c r="V17" s="827"/>
      <c r="W17" s="827"/>
      <c r="X17" s="827"/>
      <c r="Y17" s="827"/>
      <c r="Z17" s="829"/>
      <c r="AA17" s="829"/>
      <c r="AB17" s="829"/>
      <c r="AC17" s="829"/>
      <c r="AD17" s="829"/>
      <c r="AE17" s="829"/>
      <c r="AF17" s="829"/>
    </row>
    <row r="18" spans="2:33" x14ac:dyDescent="0.2">
      <c r="B18" s="827"/>
      <c r="C18" s="1740"/>
      <c r="D18" s="1740"/>
      <c r="E18" s="1740"/>
      <c r="F18" s="1740"/>
      <c r="G18" s="1740"/>
      <c r="H18" s="827"/>
      <c r="I18" s="827"/>
      <c r="J18" s="827"/>
      <c r="K18" s="827"/>
      <c r="L18" s="827"/>
      <c r="M18" s="827"/>
      <c r="O18" s="827"/>
      <c r="P18" s="827"/>
      <c r="Q18" s="827"/>
      <c r="R18" s="827"/>
      <c r="S18" s="827"/>
      <c r="T18" s="827"/>
      <c r="U18" s="827"/>
      <c r="V18" s="827"/>
      <c r="W18" s="827"/>
      <c r="X18" s="827"/>
      <c r="Y18" s="827"/>
    </row>
    <row r="19" spans="2:33" x14ac:dyDescent="0.2">
      <c r="B19" s="827"/>
      <c r="C19" s="1740"/>
      <c r="D19" s="1740"/>
      <c r="E19" s="1740"/>
      <c r="F19" s="1740"/>
      <c r="G19" s="1740"/>
      <c r="H19" s="827"/>
      <c r="I19" s="827"/>
      <c r="J19" s="827"/>
      <c r="K19" s="827"/>
      <c r="L19" s="827">
        <f>K17*M17</f>
        <v>140591.72159999999</v>
      </c>
      <c r="O19" s="827"/>
      <c r="P19" s="827"/>
      <c r="Q19" s="827"/>
      <c r="R19" s="827"/>
      <c r="S19" s="827"/>
      <c r="T19" s="827"/>
      <c r="U19" s="827"/>
      <c r="V19" s="827"/>
      <c r="W19" s="827"/>
      <c r="X19" s="827"/>
      <c r="Y19" s="827"/>
    </row>
    <row r="20" spans="2:33" ht="13.5" thickBot="1" x14ac:dyDescent="0.25">
      <c r="B20" s="827"/>
      <c r="C20" s="849"/>
      <c r="D20" s="1740"/>
      <c r="E20" s="1740"/>
      <c r="F20" s="1740"/>
      <c r="G20" s="1740"/>
      <c r="H20" s="1740"/>
      <c r="I20" s="1740"/>
      <c r="J20" s="1740"/>
      <c r="K20" s="1740"/>
      <c r="L20" s="1740"/>
      <c r="M20" s="1740"/>
      <c r="N20" s="1740"/>
      <c r="O20" s="1740"/>
      <c r="P20" s="1740"/>
      <c r="Q20" s="1740"/>
      <c r="R20" s="827"/>
      <c r="S20" s="827"/>
      <c r="T20" s="827"/>
      <c r="U20" s="827"/>
      <c r="V20" s="827"/>
      <c r="W20" s="827"/>
      <c r="X20" s="827"/>
      <c r="Y20" s="827"/>
      <c r="Z20" s="827"/>
      <c r="AG20" s="843"/>
    </row>
    <row r="21" spans="2:33" ht="51.75" thickBot="1" x14ac:dyDescent="0.25">
      <c r="B21" s="827"/>
      <c r="C21" s="850" t="s">
        <v>134</v>
      </c>
      <c r="D21" s="832" t="s">
        <v>135</v>
      </c>
      <c r="E21" s="832" t="s">
        <v>285</v>
      </c>
      <c r="F21" s="832" t="s">
        <v>278</v>
      </c>
      <c r="G21" s="832" t="s">
        <v>153</v>
      </c>
      <c r="H21" s="832" t="s">
        <v>279</v>
      </c>
      <c r="I21" s="832" t="s">
        <v>281</v>
      </c>
      <c r="J21" s="832" t="s">
        <v>280</v>
      </c>
      <c r="K21" s="832" t="s">
        <v>245</v>
      </c>
      <c r="L21" s="832" t="s">
        <v>246</v>
      </c>
      <c r="M21" s="832"/>
      <c r="N21" s="834" t="s">
        <v>158</v>
      </c>
      <c r="O21" s="1740"/>
      <c r="P21" s="1740"/>
      <c r="Q21" s="1740"/>
      <c r="R21" s="1740"/>
      <c r="S21" s="1740"/>
      <c r="T21" s="1740"/>
      <c r="U21" s="1740"/>
      <c r="V21" s="827"/>
      <c r="W21" s="827"/>
      <c r="X21" s="827"/>
      <c r="Y21" s="827"/>
      <c r="Z21" s="827"/>
      <c r="AG21" s="843"/>
    </row>
    <row r="22" spans="2:33" ht="13.5" thickBot="1" x14ac:dyDescent="0.25">
      <c r="B22" s="827"/>
      <c r="C22" s="851">
        <v>850</v>
      </c>
      <c r="D22" s="1010">
        <v>850</v>
      </c>
      <c r="E22" s="852">
        <v>31482640</v>
      </c>
      <c r="F22" s="852">
        <v>31482640</v>
      </c>
      <c r="G22" s="852">
        <v>31</v>
      </c>
      <c r="H22" s="1777">
        <f>VLOOKUP(C69,Tarifas!D4:H303,3)</f>
        <v>0.151</v>
      </c>
      <c r="I22" s="2072">
        <v>1.4200000000000001E-2</v>
      </c>
      <c r="J22" s="2072">
        <f>VLOOKUP(C69,Tarifas!D4:H303,5)</f>
        <v>1E-3</v>
      </c>
      <c r="K22" s="2072">
        <v>204.7</v>
      </c>
      <c r="L22" s="2072">
        <v>201.4</v>
      </c>
      <c r="M22" s="1777"/>
      <c r="N22" s="1778">
        <f>F102</f>
        <v>5420265.9486329984</v>
      </c>
      <c r="O22" s="855"/>
      <c r="P22" s="855"/>
      <c r="Q22" s="1740"/>
      <c r="R22" s="1740"/>
      <c r="S22" s="1740"/>
      <c r="T22" s="1740"/>
      <c r="U22" s="1740"/>
      <c r="V22" s="827"/>
      <c r="W22" s="827"/>
      <c r="X22" s="827"/>
      <c r="Y22" s="827"/>
      <c r="Z22" s="827"/>
      <c r="AG22" s="843"/>
    </row>
    <row r="23" spans="2:33" x14ac:dyDescent="0.2">
      <c r="B23" s="827"/>
      <c r="C23" s="1740"/>
      <c r="D23" s="1740"/>
      <c r="E23" s="1740"/>
      <c r="F23" s="1740"/>
      <c r="G23" s="1740"/>
      <c r="H23" s="1740"/>
      <c r="I23" s="1740"/>
      <c r="J23" s="1740"/>
      <c r="K23" s="856"/>
      <c r="L23" s="1740"/>
      <c r="M23" s="1740"/>
      <c r="N23" s="1740"/>
      <c r="O23" s="1740"/>
      <c r="P23" s="1740"/>
      <c r="Q23" s="1740"/>
      <c r="R23" s="1740"/>
      <c r="S23" s="1740"/>
      <c r="T23" s="827"/>
      <c r="U23" s="827"/>
      <c r="V23" s="827"/>
      <c r="W23" s="827"/>
      <c r="X23" s="827"/>
      <c r="Y23" s="827"/>
      <c r="Z23" s="827"/>
      <c r="AG23" s="843"/>
    </row>
    <row r="24" spans="2:33" x14ac:dyDescent="0.2">
      <c r="B24" s="827"/>
      <c r="C24" s="1740"/>
      <c r="D24" s="1740"/>
      <c r="E24" s="1740"/>
      <c r="F24" s="1740"/>
      <c r="G24" s="1740"/>
      <c r="H24" s="1740"/>
      <c r="I24" s="1740"/>
      <c r="J24" s="1740"/>
      <c r="K24" s="1740"/>
      <c r="L24" s="1740"/>
      <c r="M24" s="1740"/>
      <c r="N24" s="1740"/>
      <c r="O24" s="1740"/>
      <c r="P24" s="1740"/>
      <c r="Q24" s="827" t="s">
        <v>405</v>
      </c>
      <c r="R24" s="827"/>
      <c r="S24" s="827"/>
      <c r="T24" s="827"/>
      <c r="U24" s="827"/>
      <c r="V24" s="827"/>
      <c r="W24" s="827"/>
      <c r="X24" s="827"/>
      <c r="Y24" s="827"/>
      <c r="Z24" s="827"/>
      <c r="AG24" s="843"/>
    </row>
    <row r="25" spans="2:33" x14ac:dyDescent="0.2">
      <c r="B25" s="827"/>
      <c r="C25" s="1740"/>
      <c r="D25" s="1740"/>
      <c r="E25" s="1740"/>
      <c r="F25" s="1740"/>
      <c r="G25" s="1740"/>
      <c r="H25" s="1740"/>
      <c r="I25" s="1740"/>
      <c r="J25" s="1740"/>
      <c r="K25" s="1740"/>
      <c r="L25" s="1740"/>
      <c r="M25" s="1740"/>
      <c r="N25" s="1740"/>
      <c r="O25" s="827"/>
      <c r="P25" s="827"/>
      <c r="Q25" s="857"/>
      <c r="R25" s="827"/>
      <c r="S25" s="827"/>
      <c r="T25" s="827"/>
      <c r="U25" s="827"/>
      <c r="V25" s="827"/>
      <c r="W25" s="827"/>
      <c r="X25" s="843"/>
      <c r="Y25" s="843"/>
      <c r="AE25" s="829"/>
      <c r="AF25" s="829"/>
    </row>
    <row r="26" spans="2:33" ht="13.5" thickBot="1" x14ac:dyDescent="0.25">
      <c r="B26" s="827"/>
      <c r="C26" s="858" t="s">
        <v>86</v>
      </c>
      <c r="D26" s="858"/>
      <c r="E26" s="858"/>
      <c r="F26" s="858"/>
      <c r="G26" s="858"/>
      <c r="H26" s="859"/>
      <c r="I26" s="858"/>
      <c r="J26" s="858"/>
      <c r="K26" s="858"/>
      <c r="L26" s="859"/>
      <c r="M26" s="860"/>
      <c r="N26" s="861"/>
      <c r="Q26" s="827"/>
      <c r="R26" s="827"/>
      <c r="S26" s="827"/>
      <c r="T26" s="827"/>
      <c r="U26" s="827"/>
      <c r="V26" s="827"/>
      <c r="W26" s="827"/>
      <c r="X26" s="843"/>
      <c r="Y26" s="843"/>
      <c r="Z26" s="862"/>
      <c r="AE26" s="829"/>
      <c r="AF26" s="829"/>
    </row>
    <row r="27" spans="2:33" ht="35.1" customHeight="1" thickBot="1" x14ac:dyDescent="0.25">
      <c r="B27" s="827"/>
      <c r="C27" s="850" t="s">
        <v>87</v>
      </c>
      <c r="D27" s="832" t="s">
        <v>88</v>
      </c>
      <c r="E27" s="832" t="s">
        <v>237</v>
      </c>
      <c r="F27" s="833" t="s">
        <v>160</v>
      </c>
      <c r="G27" s="832" t="s">
        <v>236</v>
      </c>
      <c r="H27" s="833" t="s">
        <v>232</v>
      </c>
      <c r="I27" s="833" t="s">
        <v>233</v>
      </c>
      <c r="J27" s="833" t="s">
        <v>20</v>
      </c>
      <c r="K27" s="832" t="s">
        <v>91</v>
      </c>
      <c r="L27" s="832" t="s">
        <v>93</v>
      </c>
      <c r="M27" s="832" t="s">
        <v>94</v>
      </c>
      <c r="N27" s="863" t="s">
        <v>95</v>
      </c>
      <c r="P27" s="850" t="s">
        <v>237</v>
      </c>
      <c r="Q27" s="833" t="s">
        <v>160</v>
      </c>
      <c r="R27" s="832" t="s">
        <v>236</v>
      </c>
      <c r="S27" s="833" t="s">
        <v>232</v>
      </c>
      <c r="T27" s="833" t="s">
        <v>233</v>
      </c>
      <c r="U27" s="833" t="s">
        <v>20</v>
      </c>
      <c r="V27" s="832" t="s">
        <v>91</v>
      </c>
      <c r="W27" s="832" t="s">
        <v>93</v>
      </c>
      <c r="X27" s="832" t="s">
        <v>94</v>
      </c>
      <c r="Y27" s="834" t="s">
        <v>95</v>
      </c>
      <c r="Z27" s="861"/>
      <c r="AE27" s="829"/>
      <c r="AF27" s="829"/>
    </row>
    <row r="28" spans="2:33" ht="35.1" customHeight="1" thickBot="1" x14ac:dyDescent="0.25">
      <c r="B28" s="827"/>
      <c r="C28" s="864"/>
      <c r="D28" s="836"/>
      <c r="E28" s="836"/>
      <c r="F28" s="836"/>
      <c r="G28" s="836"/>
      <c r="H28" s="836"/>
      <c r="I28" s="836"/>
      <c r="J28" s="972"/>
      <c r="K28" s="841"/>
      <c r="L28" s="866"/>
      <c r="M28" s="835"/>
      <c r="N28" s="867"/>
      <c r="P28" s="864" t="s">
        <v>242</v>
      </c>
      <c r="Q28" s="836" t="s">
        <v>221</v>
      </c>
      <c r="R28" s="836" t="s">
        <v>222</v>
      </c>
      <c r="S28" s="836">
        <v>2280</v>
      </c>
      <c r="T28" s="836">
        <v>453658</v>
      </c>
      <c r="U28" s="865" t="s">
        <v>97</v>
      </c>
      <c r="V28" s="841">
        <v>80000</v>
      </c>
      <c r="W28" s="866">
        <f>IFERROR(V28/$V$34,0)</f>
        <v>9.4117647058823528E-2</v>
      </c>
      <c r="X28" s="837">
        <f t="shared" ref="X28:X33" si="0">ROUND(W28*I$15,2)</f>
        <v>432990.84</v>
      </c>
      <c r="Y28" s="868">
        <f t="shared" ref="Y28:Y33" si="1">X28*M$15</f>
        <v>9525798.4800000004</v>
      </c>
      <c r="Z28" s="860"/>
      <c r="AA28" s="1059">
        <f>Y28+Y30+Y31+Y43</f>
        <v>21663306.060000002</v>
      </c>
      <c r="AE28" s="829"/>
      <c r="AF28" s="829"/>
    </row>
    <row r="29" spans="2:33" ht="35.1" customHeight="1" thickBot="1" x14ac:dyDescent="0.25">
      <c r="B29" s="827"/>
      <c r="C29" s="864"/>
      <c r="D29" s="836"/>
      <c r="E29" s="836"/>
      <c r="F29" s="836"/>
      <c r="G29" s="836"/>
      <c r="H29" s="836"/>
      <c r="I29" s="836"/>
      <c r="J29" s="972"/>
      <c r="K29" s="841"/>
      <c r="L29" s="866"/>
      <c r="M29" s="835"/>
      <c r="N29" s="867"/>
      <c r="P29" s="864" t="s">
        <v>242</v>
      </c>
      <c r="Q29" s="836" t="s">
        <v>221</v>
      </c>
      <c r="R29" s="836" t="s">
        <v>222</v>
      </c>
      <c r="S29" s="836">
        <v>2280</v>
      </c>
      <c r="T29" s="836">
        <v>453658</v>
      </c>
      <c r="U29" s="865" t="s">
        <v>100</v>
      </c>
      <c r="V29" s="841">
        <v>40000</v>
      </c>
      <c r="W29" s="866">
        <f>IFERROR(V29/$V$34,0)</f>
        <v>4.7058823529411764E-2</v>
      </c>
      <c r="X29" s="837">
        <f t="shared" si="0"/>
        <v>216495.42</v>
      </c>
      <c r="Y29" s="868">
        <f t="shared" si="1"/>
        <v>4762899.24</v>
      </c>
      <c r="Z29" s="860"/>
      <c r="AA29" s="1059"/>
      <c r="AE29" s="829"/>
      <c r="AF29" s="829"/>
    </row>
    <row r="30" spans="2:33" ht="35.1" customHeight="1" thickBot="1" x14ac:dyDescent="0.25">
      <c r="B30" s="827"/>
      <c r="C30" s="864"/>
      <c r="D30" s="836"/>
      <c r="E30" s="836"/>
      <c r="F30" s="836"/>
      <c r="G30" s="836"/>
      <c r="H30" s="836"/>
      <c r="I30" s="836"/>
      <c r="J30" s="972"/>
      <c r="K30" s="841"/>
      <c r="L30" s="866"/>
      <c r="M30" s="835"/>
      <c r="N30" s="867"/>
      <c r="P30" s="864" t="s">
        <v>242</v>
      </c>
      <c r="Q30" s="836" t="s">
        <v>221</v>
      </c>
      <c r="R30" s="836" t="s">
        <v>222</v>
      </c>
      <c r="S30" s="836">
        <v>2280</v>
      </c>
      <c r="T30" s="836">
        <v>453658</v>
      </c>
      <c r="U30" s="865" t="s">
        <v>393</v>
      </c>
      <c r="V30" s="841">
        <v>22000</v>
      </c>
      <c r="W30" s="866">
        <f>IFERROR(V30/$V$34,0)</f>
        <v>2.5882352941176471E-2</v>
      </c>
      <c r="X30" s="837">
        <f t="shared" si="0"/>
        <v>119072.48</v>
      </c>
      <c r="Y30" s="868">
        <f t="shared" si="1"/>
        <v>2619594.56</v>
      </c>
      <c r="Z30" s="860"/>
      <c r="AE30" s="829"/>
      <c r="AF30" s="829"/>
    </row>
    <row r="31" spans="2:33" ht="35.1" customHeight="1" thickBot="1" x14ac:dyDescent="0.25">
      <c r="B31" s="827"/>
      <c r="C31" s="864"/>
      <c r="D31" s="836"/>
      <c r="E31" s="836"/>
      <c r="F31" s="836"/>
      <c r="G31" s="836"/>
      <c r="H31" s="836"/>
      <c r="I31" s="836"/>
      <c r="J31" s="972"/>
      <c r="K31" s="841"/>
      <c r="L31" s="866"/>
      <c r="M31" s="835"/>
      <c r="N31" s="867"/>
      <c r="P31" s="864" t="s">
        <v>242</v>
      </c>
      <c r="Q31" s="836" t="s">
        <v>221</v>
      </c>
      <c r="R31" s="836" t="s">
        <v>222</v>
      </c>
      <c r="S31" s="836">
        <v>2280</v>
      </c>
      <c r="T31" s="836">
        <v>453658</v>
      </c>
      <c r="U31" s="865" t="s">
        <v>288</v>
      </c>
      <c r="V31" s="841">
        <v>0</v>
      </c>
      <c r="W31" s="866">
        <f t="shared" ref="W31:W33" si="2">IFERROR(V31/$V$34,0)</f>
        <v>0</v>
      </c>
      <c r="X31" s="837">
        <f t="shared" si="0"/>
        <v>0</v>
      </c>
      <c r="Y31" s="868">
        <f t="shared" si="1"/>
        <v>0</v>
      </c>
      <c r="Z31" s="860"/>
      <c r="AE31" s="829"/>
      <c r="AF31" s="829"/>
    </row>
    <row r="32" spans="2:33" ht="35.1" customHeight="1" thickBot="1" x14ac:dyDescent="0.25">
      <c r="B32" s="827"/>
      <c r="C32" s="864"/>
      <c r="D32" s="1000"/>
      <c r="E32" s="2036"/>
      <c r="F32" s="836"/>
      <c r="G32" s="836"/>
      <c r="H32" s="836"/>
      <c r="I32" s="836"/>
      <c r="J32" s="972"/>
      <c r="K32" s="841"/>
      <c r="L32" s="866"/>
      <c r="M32" s="835"/>
      <c r="N32" s="867"/>
      <c r="P32" s="1076" t="s">
        <v>242</v>
      </c>
      <c r="Q32" s="1000" t="s">
        <v>221</v>
      </c>
      <c r="R32" s="1000" t="s">
        <v>222</v>
      </c>
      <c r="S32" s="1000" t="s">
        <v>344</v>
      </c>
      <c r="T32" s="1000">
        <v>468094</v>
      </c>
      <c r="U32" s="2058" t="s">
        <v>23</v>
      </c>
      <c r="V32" s="2059">
        <v>95000</v>
      </c>
      <c r="W32" s="2060">
        <f t="shared" si="2"/>
        <v>0.11176470588235295</v>
      </c>
      <c r="X32" s="2061">
        <f t="shared" si="0"/>
        <v>514176.63</v>
      </c>
      <c r="Y32" s="2062">
        <f t="shared" si="1"/>
        <v>11311885.859999999</v>
      </c>
      <c r="Z32" s="860"/>
      <c r="AE32" s="829"/>
      <c r="AF32" s="829"/>
    </row>
    <row r="33" spans="2:32" ht="35.1" customHeight="1" thickBot="1" x14ac:dyDescent="0.25">
      <c r="B33" s="827"/>
      <c r="C33" s="851">
        <v>800874933</v>
      </c>
      <c r="D33" s="853"/>
      <c r="E33" s="853" t="s">
        <v>242</v>
      </c>
      <c r="F33" s="845" t="s">
        <v>221</v>
      </c>
      <c r="G33" s="845" t="s">
        <v>222</v>
      </c>
      <c r="H33" s="845">
        <v>2280</v>
      </c>
      <c r="I33" s="845">
        <v>453851</v>
      </c>
      <c r="J33" s="973" t="s">
        <v>159</v>
      </c>
      <c r="K33" s="852">
        <f>850000-K28-K29-K31-K32</f>
        <v>850000</v>
      </c>
      <c r="L33" s="872">
        <v>1</v>
      </c>
      <c r="M33" s="844">
        <v>4753878.6400000006</v>
      </c>
      <c r="N33" s="873">
        <f>M33*M15</f>
        <v>104585330.08000001</v>
      </c>
      <c r="P33" s="1004" t="s">
        <v>242</v>
      </c>
      <c r="Q33" s="1003" t="s">
        <v>221</v>
      </c>
      <c r="R33" s="1003" t="s">
        <v>222</v>
      </c>
      <c r="S33" s="1003">
        <v>2280</v>
      </c>
      <c r="T33" s="1003">
        <v>453851</v>
      </c>
      <c r="U33" s="1851" t="s">
        <v>159</v>
      </c>
      <c r="V33" s="1852">
        <f>850000-V28-V29-V30-V31-V32</f>
        <v>613000</v>
      </c>
      <c r="W33" s="1853">
        <f t="shared" si="2"/>
        <v>0.72117647058823531</v>
      </c>
      <c r="X33" s="1854">
        <f t="shared" si="0"/>
        <v>3317792.34</v>
      </c>
      <c r="Y33" s="1855">
        <f t="shared" si="1"/>
        <v>72991431.479999989</v>
      </c>
      <c r="Z33" s="860"/>
      <c r="AE33" s="829"/>
      <c r="AF33" s="829"/>
    </row>
    <row r="34" spans="2:32" ht="35.1" customHeight="1" x14ac:dyDescent="0.2">
      <c r="B34" s="827"/>
      <c r="C34" s="881"/>
      <c r="D34" s="882" t="s">
        <v>102</v>
      </c>
      <c r="E34" s="882"/>
      <c r="F34" s="882"/>
      <c r="G34" s="882"/>
      <c r="H34" s="882"/>
      <c r="I34" s="883"/>
      <c r="J34" s="883"/>
      <c r="K34" s="884">
        <f>SUM(K28:K33)</f>
        <v>850000</v>
      </c>
      <c r="L34" s="885">
        <f>SUM(L28:L33)</f>
        <v>1</v>
      </c>
      <c r="M34" s="886">
        <f>SUM(M28:M33)</f>
        <v>4753878.6400000006</v>
      </c>
      <c r="N34" s="886">
        <f>SUM(N28:N33)</f>
        <v>104585330.08000001</v>
      </c>
      <c r="P34" s="882"/>
      <c r="Q34" s="882"/>
      <c r="R34" s="882"/>
      <c r="S34" s="882"/>
      <c r="T34" s="883"/>
      <c r="U34" s="883"/>
      <c r="V34" s="884">
        <f>SUM(V28:V33)</f>
        <v>850000</v>
      </c>
      <c r="W34" s="885">
        <f>SUM(W28:W33)</f>
        <v>1</v>
      </c>
      <c r="X34" s="887">
        <f>SUM(X28:X33)</f>
        <v>4600527.71</v>
      </c>
      <c r="Y34" s="887">
        <f>SUM(Y28:Y33)</f>
        <v>101211609.61999999</v>
      </c>
      <c r="Z34" s="827"/>
      <c r="AE34" s="829"/>
      <c r="AF34" s="829"/>
    </row>
    <row r="35" spans="2:32" ht="20.100000000000001" customHeight="1" x14ac:dyDescent="0.2">
      <c r="B35" s="827"/>
      <c r="C35" s="860"/>
      <c r="D35" s="860"/>
      <c r="E35" s="860"/>
      <c r="F35" s="860"/>
      <c r="G35" s="888"/>
      <c r="H35" s="888"/>
      <c r="I35" s="860"/>
      <c r="J35" s="860"/>
      <c r="K35" s="860"/>
      <c r="L35" s="860"/>
      <c r="M35" s="889"/>
      <c r="P35" s="860"/>
      <c r="Q35" s="860"/>
      <c r="R35" s="888"/>
      <c r="S35" s="888"/>
      <c r="T35" s="860"/>
      <c r="U35" s="860"/>
      <c r="V35" s="860"/>
      <c r="W35" s="860"/>
      <c r="X35" s="890"/>
      <c r="Y35" s="891"/>
      <c r="Z35" s="827"/>
      <c r="AE35" s="829"/>
      <c r="AF35" s="829"/>
    </row>
    <row r="36" spans="2:32" ht="20.100000000000001" customHeight="1" x14ac:dyDescent="0.2">
      <c r="B36" s="827"/>
      <c r="C36" s="860"/>
      <c r="D36" s="860"/>
      <c r="E36" s="860"/>
      <c r="F36" s="860"/>
      <c r="G36" s="888"/>
      <c r="H36" s="888"/>
      <c r="I36" s="860"/>
      <c r="J36" s="860"/>
      <c r="K36" s="860"/>
      <c r="L36" s="860"/>
      <c r="M36" s="889"/>
      <c r="P36" s="860"/>
      <c r="Q36" s="860"/>
      <c r="R36" s="888"/>
      <c r="S36" s="888"/>
      <c r="T36" s="860"/>
      <c r="U36" s="860"/>
      <c r="V36" s="860"/>
      <c r="W36" s="892"/>
      <c r="X36" s="889"/>
      <c r="Y36" s="893"/>
      <c r="Z36" s="827"/>
      <c r="AE36" s="829"/>
      <c r="AF36" s="829"/>
    </row>
    <row r="38" spans="2:32" ht="20.100000000000001" customHeight="1" thickBot="1" x14ac:dyDescent="0.25">
      <c r="B38" s="827"/>
      <c r="C38" s="858" t="s">
        <v>274</v>
      </c>
      <c r="D38" s="858"/>
      <c r="E38" s="858"/>
      <c r="F38" s="858"/>
      <c r="G38" s="858"/>
      <c r="H38" s="859"/>
      <c r="I38" s="858"/>
      <c r="J38" s="858"/>
      <c r="K38" s="858"/>
      <c r="L38" s="859"/>
      <c r="M38" s="860"/>
      <c r="N38" s="861"/>
      <c r="P38" s="858"/>
      <c r="Q38" s="858"/>
      <c r="R38" s="858"/>
      <c r="S38" s="859"/>
      <c r="T38" s="858"/>
      <c r="U38" s="858"/>
      <c r="V38" s="858"/>
      <c r="W38" s="860"/>
      <c r="X38" s="860"/>
      <c r="Y38" s="894"/>
      <c r="Z38" s="862"/>
      <c r="AE38" s="829"/>
      <c r="AF38" s="829"/>
    </row>
    <row r="39" spans="2:32" ht="35.1" customHeight="1" thickBot="1" x14ac:dyDescent="0.25">
      <c r="B39" s="827"/>
      <c r="C39" s="850" t="s">
        <v>87</v>
      </c>
      <c r="D39" s="895" t="s">
        <v>88</v>
      </c>
      <c r="E39" s="895" t="s">
        <v>237</v>
      </c>
      <c r="F39" s="896" t="s">
        <v>160</v>
      </c>
      <c r="G39" s="895" t="s">
        <v>236</v>
      </c>
      <c r="H39" s="896" t="s">
        <v>232</v>
      </c>
      <c r="I39" s="896" t="s">
        <v>233</v>
      </c>
      <c r="J39" s="896" t="s">
        <v>20</v>
      </c>
      <c r="K39" s="832" t="s">
        <v>91</v>
      </c>
      <c r="L39" s="895" t="s">
        <v>93</v>
      </c>
      <c r="M39" s="895" t="s">
        <v>94</v>
      </c>
      <c r="N39" s="897" t="s">
        <v>95</v>
      </c>
      <c r="P39" s="1075" t="s">
        <v>237</v>
      </c>
      <c r="Q39" s="896" t="s">
        <v>160</v>
      </c>
      <c r="R39" s="895" t="s">
        <v>236</v>
      </c>
      <c r="S39" s="896" t="s">
        <v>232</v>
      </c>
      <c r="T39" s="896" t="s">
        <v>233</v>
      </c>
      <c r="U39" s="896" t="s">
        <v>20</v>
      </c>
      <c r="V39" s="832" t="s">
        <v>91</v>
      </c>
      <c r="W39" s="895" t="s">
        <v>93</v>
      </c>
      <c r="X39" s="895" t="s">
        <v>94</v>
      </c>
      <c r="Y39" s="897" t="s">
        <v>95</v>
      </c>
      <c r="Z39" s="862"/>
      <c r="AE39" s="829"/>
      <c r="AF39" s="829"/>
    </row>
    <row r="40" spans="2:32" ht="35.1" customHeight="1" thickBot="1" x14ac:dyDescent="0.25">
      <c r="B40" s="827"/>
      <c r="C40" s="864"/>
      <c r="D40" s="1000"/>
      <c r="E40" s="2036"/>
      <c r="F40" s="836"/>
      <c r="G40" s="836"/>
      <c r="H40" s="836"/>
      <c r="I40" s="836"/>
      <c r="J40" s="865"/>
      <c r="K40" s="841"/>
      <c r="L40" s="866"/>
      <c r="M40" s="837"/>
      <c r="N40" s="868"/>
      <c r="P40" s="864" t="s">
        <v>242</v>
      </c>
      <c r="Q40" s="836" t="s">
        <v>221</v>
      </c>
      <c r="R40" s="836" t="s">
        <v>222</v>
      </c>
      <c r="S40" s="836">
        <v>2280</v>
      </c>
      <c r="T40" s="836">
        <v>453658</v>
      </c>
      <c r="U40" s="865" t="s">
        <v>97</v>
      </c>
      <c r="V40" s="841">
        <v>80000</v>
      </c>
      <c r="W40" s="866">
        <f>IFERROR(V40/$V$43,0)</f>
        <v>0.66666666666666663</v>
      </c>
      <c r="X40" s="837">
        <f>ROUND(W40*I$16,2)</f>
        <v>288421.61</v>
      </c>
      <c r="Y40" s="868">
        <f>X40*$M$16</f>
        <v>6345275.4199999999</v>
      </c>
      <c r="Z40" s="862"/>
      <c r="AE40" s="829"/>
      <c r="AF40" s="829"/>
    </row>
    <row r="41" spans="2:32" ht="35.1" customHeight="1" thickBot="1" x14ac:dyDescent="0.25">
      <c r="B41" s="827"/>
      <c r="C41" s="864"/>
      <c r="D41" s="1000"/>
      <c r="E41" s="1000"/>
      <c r="F41" s="836"/>
      <c r="G41" s="836"/>
      <c r="H41" s="836"/>
      <c r="I41" s="836"/>
      <c r="J41" s="865"/>
      <c r="K41" s="841"/>
      <c r="L41" s="866"/>
      <c r="M41" s="837"/>
      <c r="N41" s="868"/>
      <c r="P41" s="1076" t="s">
        <v>242</v>
      </c>
      <c r="Q41" s="836" t="s">
        <v>221</v>
      </c>
      <c r="R41" s="836" t="s">
        <v>222</v>
      </c>
      <c r="S41" s="836">
        <v>2280</v>
      </c>
      <c r="T41" s="836">
        <v>453658</v>
      </c>
      <c r="U41" s="865" t="s">
        <v>100</v>
      </c>
      <c r="V41" s="841">
        <v>40000</v>
      </c>
      <c r="W41" s="866">
        <f>IFERROR(V41/$V$43,0)</f>
        <v>0.33333333333333331</v>
      </c>
      <c r="X41" s="837">
        <f>ROUND(W41*I$16,2)</f>
        <v>144210.79999999999</v>
      </c>
      <c r="Y41" s="868">
        <f>X41*$M$16</f>
        <v>3172637.5999999996</v>
      </c>
      <c r="Z41" s="862"/>
      <c r="AE41" s="829"/>
      <c r="AF41" s="829"/>
    </row>
    <row r="42" spans="2:32" ht="35.1" customHeight="1" thickBot="1" x14ac:dyDescent="0.25">
      <c r="B42" s="827"/>
      <c r="C42" s="1004">
        <v>800874975</v>
      </c>
      <c r="D42" s="853"/>
      <c r="E42" s="853" t="s">
        <v>242</v>
      </c>
      <c r="F42" s="1003" t="s">
        <v>221</v>
      </c>
      <c r="G42" s="1003" t="s">
        <v>222</v>
      </c>
      <c r="H42" s="1003">
        <v>2280</v>
      </c>
      <c r="I42" s="1003">
        <v>453851</v>
      </c>
      <c r="J42" s="871" t="s">
        <v>159</v>
      </c>
      <c r="K42" s="852">
        <v>120000</v>
      </c>
      <c r="L42" s="872">
        <v>1</v>
      </c>
      <c r="M42" s="846">
        <f>ROUND(L42*I$16,2)</f>
        <v>432632.41</v>
      </c>
      <c r="N42" s="898">
        <f>M42*$M$16</f>
        <v>9517913.0199999996</v>
      </c>
      <c r="P42" s="1004" t="s">
        <v>401</v>
      </c>
      <c r="Q42" s="845" t="s">
        <v>221</v>
      </c>
      <c r="R42" s="845" t="s">
        <v>222</v>
      </c>
      <c r="S42" s="845">
        <v>2280</v>
      </c>
      <c r="T42" s="845">
        <v>453851</v>
      </c>
      <c r="U42" s="871" t="s">
        <v>159</v>
      </c>
      <c r="V42" s="852">
        <v>0</v>
      </c>
      <c r="W42" s="872">
        <f>IFERROR(V42/$V$43,0)</f>
        <v>0</v>
      </c>
      <c r="X42" s="846">
        <f>ROUND(W42*I$16,2)</f>
        <v>0</v>
      </c>
      <c r="Y42" s="898">
        <f>X42*$M$16</f>
        <v>0</v>
      </c>
      <c r="Z42" s="862"/>
      <c r="AE42" s="829"/>
      <c r="AF42" s="829"/>
    </row>
    <row r="43" spans="2:32" ht="20.100000000000001" customHeight="1" x14ac:dyDescent="0.2">
      <c r="B43" s="827"/>
      <c r="C43" s="881"/>
      <c r="D43" s="882" t="s">
        <v>102</v>
      </c>
      <c r="E43" s="882"/>
      <c r="F43" s="882"/>
      <c r="G43" s="882"/>
      <c r="H43" s="882"/>
      <c r="I43" s="883"/>
      <c r="J43" s="883"/>
      <c r="K43" s="884">
        <f>SUM(K40:K42)</f>
        <v>120000</v>
      </c>
      <c r="L43" s="885">
        <f>SUM(L40:L42)</f>
        <v>1</v>
      </c>
      <c r="M43" s="886">
        <f>SUM(M40:M42)</f>
        <v>432632.41</v>
      </c>
      <c r="N43" s="886">
        <f>SUM(N40:N42)</f>
        <v>9517913.0199999996</v>
      </c>
      <c r="P43" s="882"/>
      <c r="Q43" s="882"/>
      <c r="R43" s="882"/>
      <c r="S43" s="882"/>
      <c r="T43" s="883"/>
      <c r="U43" s="883"/>
      <c r="V43" s="884">
        <f>SUM(V40:V42)</f>
        <v>120000</v>
      </c>
      <c r="W43" s="885">
        <f>SUM(W40:W42)</f>
        <v>1</v>
      </c>
      <c r="X43" s="886">
        <f>SUM(X40:X42)</f>
        <v>432632.41</v>
      </c>
      <c r="Y43" s="886">
        <f>SUM(Y40:Y42)</f>
        <v>9517913.0199999996</v>
      </c>
      <c r="Z43" s="862"/>
      <c r="AE43" s="829"/>
      <c r="AF43" s="829"/>
    </row>
    <row r="44" spans="2:32" ht="20.100000000000001" customHeight="1" x14ac:dyDescent="0.2">
      <c r="B44" s="827"/>
      <c r="C44" s="899"/>
      <c r="D44" s="858"/>
      <c r="E44" s="858"/>
      <c r="F44" s="858"/>
      <c r="G44" s="858"/>
      <c r="H44" s="859"/>
      <c r="I44" s="858"/>
      <c r="J44" s="858"/>
      <c r="K44" s="858"/>
      <c r="L44" s="860"/>
      <c r="M44" s="860"/>
      <c r="N44" s="843"/>
      <c r="P44" s="858"/>
      <c r="Q44" s="858"/>
      <c r="R44" s="858"/>
      <c r="S44" s="859"/>
      <c r="T44" s="858"/>
      <c r="U44" s="858"/>
      <c r="V44" s="858"/>
      <c r="W44" s="860"/>
      <c r="X44" s="860"/>
      <c r="Y44" s="894"/>
      <c r="Z44" s="862"/>
      <c r="AE44" s="829"/>
      <c r="AF44" s="829"/>
    </row>
    <row r="45" spans="2:32" ht="20.100000000000001" customHeight="1" x14ac:dyDescent="0.2">
      <c r="B45" s="827"/>
      <c r="C45" s="899"/>
      <c r="D45" s="858"/>
      <c r="E45" s="858"/>
      <c r="F45" s="858"/>
      <c r="G45" s="858"/>
      <c r="H45" s="859"/>
      <c r="I45" s="858"/>
      <c r="J45" s="858"/>
      <c r="K45" s="858"/>
      <c r="L45" s="860"/>
      <c r="M45" s="860"/>
      <c r="N45" s="843"/>
      <c r="P45" s="858"/>
      <c r="Q45" s="858"/>
      <c r="R45" s="858"/>
      <c r="S45" s="859"/>
      <c r="T45" s="858"/>
      <c r="U45" s="858"/>
      <c r="V45" s="858"/>
      <c r="W45" s="860"/>
      <c r="X45" s="860"/>
      <c r="Y45" s="894"/>
      <c r="Z45" s="862"/>
      <c r="AE45" s="829"/>
      <c r="AF45" s="829"/>
    </row>
    <row r="46" spans="2:32" ht="20.100000000000001" customHeight="1" x14ac:dyDescent="0.2">
      <c r="B46" s="827"/>
      <c r="C46" s="899"/>
      <c r="D46" s="858"/>
      <c r="E46" s="858"/>
      <c r="F46" s="858"/>
      <c r="G46" s="858"/>
      <c r="H46" s="859"/>
      <c r="I46" s="858"/>
      <c r="J46" s="858"/>
      <c r="K46" s="858"/>
      <c r="L46" s="860"/>
      <c r="M46" s="860"/>
      <c r="N46" s="843"/>
      <c r="P46" s="858"/>
      <c r="Q46" s="858"/>
      <c r="R46" s="858"/>
      <c r="S46" s="859"/>
      <c r="T46" s="858"/>
      <c r="U46" s="858"/>
      <c r="V46" s="858"/>
      <c r="W46" s="860"/>
      <c r="X46" s="860"/>
      <c r="Y46" s="894"/>
      <c r="Z46" s="862"/>
      <c r="AE46" s="829"/>
      <c r="AF46" s="829"/>
    </row>
    <row r="47" spans="2:32" ht="35.1" customHeight="1" thickBot="1" x14ac:dyDescent="0.25">
      <c r="B47" s="827"/>
      <c r="C47" s="899" t="s">
        <v>103</v>
      </c>
      <c r="D47" s="858"/>
      <c r="E47" s="858"/>
      <c r="F47" s="858"/>
      <c r="G47" s="858"/>
      <c r="H47" s="859"/>
      <c r="I47" s="858"/>
      <c r="J47" s="858"/>
      <c r="K47" s="858"/>
      <c r="L47" s="860"/>
      <c r="M47" s="860"/>
      <c r="N47" s="843"/>
      <c r="P47" s="858"/>
      <c r="Q47" s="858"/>
      <c r="R47" s="858"/>
      <c r="S47" s="859"/>
      <c r="T47" s="858"/>
      <c r="U47" s="858"/>
      <c r="V47" s="858"/>
      <c r="W47" s="860"/>
      <c r="X47" s="860"/>
      <c r="Y47" s="894"/>
      <c r="Z47" s="862"/>
      <c r="AE47" s="829"/>
      <c r="AF47" s="829"/>
    </row>
    <row r="48" spans="2:32" ht="35.1" customHeight="1" thickBot="1" x14ac:dyDescent="0.25">
      <c r="B48" s="827"/>
      <c r="C48" s="850" t="s">
        <v>87</v>
      </c>
      <c r="D48" s="832" t="s">
        <v>88</v>
      </c>
      <c r="E48" s="832" t="s">
        <v>237</v>
      </c>
      <c r="F48" s="833" t="s">
        <v>160</v>
      </c>
      <c r="G48" s="832" t="s">
        <v>90</v>
      </c>
      <c r="H48" s="833" t="s">
        <v>232</v>
      </c>
      <c r="I48" s="833" t="s">
        <v>233</v>
      </c>
      <c r="J48" s="833" t="s">
        <v>20</v>
      </c>
      <c r="K48" s="832" t="s">
        <v>234</v>
      </c>
      <c r="L48" s="832" t="s">
        <v>93</v>
      </c>
      <c r="M48" s="832" t="s">
        <v>94</v>
      </c>
      <c r="N48" s="863" t="s">
        <v>95</v>
      </c>
      <c r="P48" s="850" t="s">
        <v>237</v>
      </c>
      <c r="Q48" s="833" t="s">
        <v>160</v>
      </c>
      <c r="R48" s="832" t="s">
        <v>90</v>
      </c>
      <c r="S48" s="833" t="s">
        <v>232</v>
      </c>
      <c r="T48" s="833" t="s">
        <v>233</v>
      </c>
      <c r="U48" s="833" t="s">
        <v>20</v>
      </c>
      <c r="V48" s="832" t="s">
        <v>234</v>
      </c>
      <c r="W48" s="832" t="s">
        <v>93</v>
      </c>
      <c r="X48" s="832" t="s">
        <v>94</v>
      </c>
      <c r="Y48" s="834" t="s">
        <v>95</v>
      </c>
      <c r="Z48" s="861"/>
      <c r="AE48" s="829"/>
      <c r="AF48" s="829"/>
    </row>
    <row r="49" spans="2:32" ht="35.1" customHeight="1" thickBot="1" x14ac:dyDescent="0.25">
      <c r="B49" s="827"/>
      <c r="C49" s="864">
        <v>800874989</v>
      </c>
      <c r="D49" s="869"/>
      <c r="E49" s="869" t="s">
        <v>242</v>
      </c>
      <c r="F49" s="836" t="s">
        <v>221</v>
      </c>
      <c r="G49" s="836" t="s">
        <v>222</v>
      </c>
      <c r="H49" s="836">
        <v>2281</v>
      </c>
      <c r="I49" s="836">
        <v>453659</v>
      </c>
      <c r="J49" s="972" t="s">
        <v>159</v>
      </c>
      <c r="K49" s="2096">
        <f>P102</f>
        <v>3245239.61</v>
      </c>
      <c r="L49" s="2097">
        <f>IFERROR(K49/K$54,0)</f>
        <v>0.53098790417169817</v>
      </c>
      <c r="M49" s="2098">
        <f>L49*$I$17</f>
        <v>2925.2548431142191</v>
      </c>
      <c r="N49" s="2099">
        <f>M49*$M$17</f>
        <v>64355.60654851282</v>
      </c>
      <c r="O49" s="2">
        <v>18.6234</v>
      </c>
      <c r="P49" s="864" t="s">
        <v>242</v>
      </c>
      <c r="Q49" s="836" t="s">
        <v>221</v>
      </c>
      <c r="R49" s="836" t="s">
        <v>222</v>
      </c>
      <c r="S49" s="836">
        <v>2281</v>
      </c>
      <c r="T49" s="836">
        <v>453658</v>
      </c>
      <c r="U49" s="865" t="s">
        <v>97</v>
      </c>
      <c r="V49" s="841">
        <f>K49</f>
        <v>3245239.61</v>
      </c>
      <c r="W49" s="866">
        <f>IFERROR(V49/V$54,0)</f>
        <v>0.53098790417169817</v>
      </c>
      <c r="X49" s="835">
        <f>W49*$I$17</f>
        <v>2925.2548431142191</v>
      </c>
      <c r="Y49" s="867">
        <f>X49*$M$17</f>
        <v>64355.60654851282</v>
      </c>
      <c r="AE49" s="829"/>
      <c r="AF49" s="829"/>
    </row>
    <row r="50" spans="2:32" ht="35.1" customHeight="1" thickBot="1" x14ac:dyDescent="0.25">
      <c r="B50" s="827"/>
      <c r="C50" s="864"/>
      <c r="D50" s="1000"/>
      <c r="E50" s="1000"/>
      <c r="F50" s="836"/>
      <c r="G50" s="836"/>
      <c r="H50" s="836"/>
      <c r="I50" s="836"/>
      <c r="J50" s="972"/>
      <c r="K50" s="2096"/>
      <c r="L50" s="2097"/>
      <c r="M50" s="2098"/>
      <c r="N50" s="2099"/>
      <c r="O50" s="2"/>
      <c r="P50" s="864" t="s">
        <v>242</v>
      </c>
      <c r="Q50" s="836" t="s">
        <v>221</v>
      </c>
      <c r="R50" s="836" t="s">
        <v>222</v>
      </c>
      <c r="S50" s="836">
        <v>2281</v>
      </c>
      <c r="T50" s="836">
        <v>453658</v>
      </c>
      <c r="U50" s="865" t="s">
        <v>100</v>
      </c>
      <c r="V50" s="841">
        <f t="shared" ref="V50:V53" si="3">K50</f>
        <v>0</v>
      </c>
      <c r="W50" s="866">
        <f>IFERROR(V50/V$54,0)</f>
        <v>0</v>
      </c>
      <c r="X50" s="835">
        <f>W50*$I$17</f>
        <v>0</v>
      </c>
      <c r="Y50" s="867">
        <f>X50*$M$17</f>
        <v>0</v>
      </c>
      <c r="AE50" s="829"/>
      <c r="AF50" s="829"/>
    </row>
    <row r="51" spans="2:32" ht="35.1" customHeight="1" thickBot="1" x14ac:dyDescent="0.25">
      <c r="B51" s="827"/>
      <c r="C51" s="864">
        <v>800874989</v>
      </c>
      <c r="D51" s="869"/>
      <c r="E51" s="869" t="s">
        <v>242</v>
      </c>
      <c r="F51" s="836" t="s">
        <v>221</v>
      </c>
      <c r="G51" s="836" t="s">
        <v>222</v>
      </c>
      <c r="H51" s="836">
        <v>2281</v>
      </c>
      <c r="I51" s="836">
        <v>453659</v>
      </c>
      <c r="J51" s="972" t="s">
        <v>159</v>
      </c>
      <c r="K51" s="2096">
        <f>N102</f>
        <v>691435.62592985865</v>
      </c>
      <c r="L51" s="2097">
        <f>IFERROR(K51/K$54,0)</f>
        <v>0.11313308045138211</v>
      </c>
      <c r="M51" s="2098">
        <f>L51*$I$17</f>
        <v>623.25919085310011</v>
      </c>
      <c r="N51" s="2099">
        <f>M51*$M$17</f>
        <v>13711.702198768202</v>
      </c>
      <c r="O51" s="2"/>
      <c r="P51" s="864" t="s">
        <v>242</v>
      </c>
      <c r="Q51" s="836" t="s">
        <v>221</v>
      </c>
      <c r="R51" s="836" t="s">
        <v>222</v>
      </c>
      <c r="S51" s="836">
        <v>2281</v>
      </c>
      <c r="T51" s="836">
        <v>453658</v>
      </c>
      <c r="U51" s="865" t="s">
        <v>393</v>
      </c>
      <c r="V51" s="841">
        <f t="shared" si="3"/>
        <v>691435.62592985865</v>
      </c>
      <c r="W51" s="866">
        <f>IFERROR(V51/V$54,0)</f>
        <v>0.11313308045138211</v>
      </c>
      <c r="X51" s="835">
        <f>W51*$I$17</f>
        <v>623.25919085310011</v>
      </c>
      <c r="Y51" s="867">
        <f>X51*$M$17</f>
        <v>13711.702198768202</v>
      </c>
      <c r="AE51" s="829"/>
      <c r="AF51" s="829"/>
    </row>
    <row r="52" spans="2:32" ht="35.1" customHeight="1" thickBot="1" x14ac:dyDescent="0.25">
      <c r="B52" s="827"/>
      <c r="C52" s="864"/>
      <c r="D52" s="836"/>
      <c r="E52" s="1000"/>
      <c r="F52" s="836"/>
      <c r="G52" s="836"/>
      <c r="H52" s="836"/>
      <c r="I52" s="836"/>
      <c r="J52" s="972"/>
      <c r="K52" s="2096"/>
      <c r="L52" s="2097"/>
      <c r="M52" s="2098"/>
      <c r="N52" s="2099"/>
      <c r="O52" s="2"/>
      <c r="P52" s="864" t="s">
        <v>242</v>
      </c>
      <c r="Q52" s="836" t="s">
        <v>221</v>
      </c>
      <c r="R52" s="836" t="s">
        <v>222</v>
      </c>
      <c r="S52" s="836">
        <v>2281</v>
      </c>
      <c r="T52" s="836">
        <v>453658</v>
      </c>
      <c r="U52" s="865" t="s">
        <v>288</v>
      </c>
      <c r="V52" s="841">
        <f t="shared" si="3"/>
        <v>0</v>
      </c>
      <c r="W52" s="866">
        <f>IFERROR(V52/V$54,0)</f>
        <v>0</v>
      </c>
      <c r="X52" s="835">
        <f>W52*$I$17</f>
        <v>0</v>
      </c>
      <c r="Y52" s="867">
        <f t="shared" ref="Y52:Y53" si="4">X52*$M$17</f>
        <v>0</v>
      </c>
      <c r="AE52" s="829"/>
      <c r="AF52" s="829"/>
    </row>
    <row r="53" spans="2:32" ht="35.1" customHeight="1" thickBot="1" x14ac:dyDescent="0.25">
      <c r="B53" s="827"/>
      <c r="C53" s="851">
        <v>800874989</v>
      </c>
      <c r="D53" s="853"/>
      <c r="E53" s="853" t="s">
        <v>242</v>
      </c>
      <c r="F53" s="845" t="s">
        <v>221</v>
      </c>
      <c r="G53" s="845" t="s">
        <v>222</v>
      </c>
      <c r="H53" s="845">
        <v>2281</v>
      </c>
      <c r="I53" s="845">
        <v>453659</v>
      </c>
      <c r="J53" s="973" t="s">
        <v>159</v>
      </c>
      <c r="K53" s="2100">
        <f>O102</f>
        <v>2175026.3386330009</v>
      </c>
      <c r="L53" s="2102">
        <f>IFERROR(K53/K$54,0)</f>
        <v>0.35587901537691985</v>
      </c>
      <c r="M53" s="2101">
        <f>L53*$I$17</f>
        <v>1960.5659660326817</v>
      </c>
      <c r="N53" s="2103">
        <f t="shared" ref="N53" si="5">M53*$M$17</f>
        <v>43132.451252718995</v>
      </c>
      <c r="O53" s="2">
        <v>18.8506</v>
      </c>
      <c r="P53" s="1004" t="s">
        <v>242</v>
      </c>
      <c r="Q53" s="845" t="s">
        <v>221</v>
      </c>
      <c r="R53" s="845" t="s">
        <v>222</v>
      </c>
      <c r="S53" s="845" t="s">
        <v>402</v>
      </c>
      <c r="T53" s="845">
        <v>468095</v>
      </c>
      <c r="U53" s="871" t="s">
        <v>23</v>
      </c>
      <c r="V53" s="852">
        <f t="shared" si="3"/>
        <v>2175026.3386330009</v>
      </c>
      <c r="W53" s="872">
        <f>IFERROR(V53/V$54,0)</f>
        <v>0.35587901537691985</v>
      </c>
      <c r="X53" s="844">
        <f>W53*$I$17</f>
        <v>1960.5659660326817</v>
      </c>
      <c r="Y53" s="873">
        <f t="shared" si="4"/>
        <v>43132.451252718995</v>
      </c>
      <c r="AE53" s="829"/>
      <c r="AF53" s="829"/>
    </row>
    <row r="54" spans="2:32" x14ac:dyDescent="0.2">
      <c r="B54" s="827"/>
      <c r="C54" s="901"/>
      <c r="D54" s="901"/>
      <c r="E54" s="901"/>
      <c r="F54" s="902"/>
      <c r="G54" s="902"/>
      <c r="H54" s="902"/>
      <c r="I54" s="902"/>
      <c r="J54" s="902"/>
      <c r="K54" s="1001">
        <f>SUM(K49:K53)</f>
        <v>6111701.5745628588</v>
      </c>
      <c r="L54" s="903">
        <f>SUM(L49:L53)</f>
        <v>1.0000000000000002</v>
      </c>
      <c r="M54" s="1002">
        <f>SUM(M49:M53)</f>
        <v>5509.0800000000008</v>
      </c>
      <c r="N54" s="1002">
        <f>SUM(N49:N53)</f>
        <v>121199.76000000002</v>
      </c>
      <c r="O54" s="843"/>
      <c r="P54" s="843"/>
      <c r="Q54" s="827"/>
      <c r="R54" s="827"/>
      <c r="S54" s="827"/>
      <c r="T54" s="827"/>
      <c r="U54" s="827"/>
      <c r="V54" s="1001">
        <f>SUM(V49:V53)</f>
        <v>6111701.5745628588</v>
      </c>
      <c r="W54" s="903">
        <f>SUM(W49:W53)</f>
        <v>1.0000000000000002</v>
      </c>
      <c r="X54" s="1002">
        <f>SUM(X49:X53)</f>
        <v>5509.0800000000008</v>
      </c>
      <c r="Y54" s="1002">
        <f>SUM(Y49:Y53)</f>
        <v>121199.76000000002</v>
      </c>
      <c r="AE54" s="829"/>
      <c r="AF54" s="829"/>
    </row>
    <row r="55" spans="2:32" s="906" customFormat="1" x14ac:dyDescent="0.2">
      <c r="B55" s="904"/>
      <c r="C55" s="902"/>
      <c r="D55" s="902"/>
      <c r="E55" s="902"/>
      <c r="F55" s="902"/>
      <c r="G55" s="902"/>
      <c r="H55" s="902"/>
      <c r="I55" s="902"/>
      <c r="J55" s="902"/>
      <c r="K55" s="902"/>
      <c r="L55" s="902"/>
      <c r="M55" s="905"/>
      <c r="N55" s="905"/>
      <c r="O55" s="843"/>
      <c r="P55" s="843"/>
      <c r="Q55" s="904"/>
      <c r="R55" s="904"/>
      <c r="S55" s="904"/>
      <c r="T55" s="904"/>
      <c r="U55" s="904"/>
      <c r="V55" s="904"/>
      <c r="W55" s="904"/>
      <c r="X55" s="843"/>
      <c r="Y55" s="843"/>
      <c r="Z55" s="843"/>
      <c r="AA55" s="843"/>
      <c r="AB55" s="843"/>
      <c r="AC55" s="843"/>
      <c r="AD55" s="843"/>
    </row>
    <row r="56" spans="2:32" s="906" customFormat="1" x14ac:dyDescent="0.2">
      <c r="B56" s="904"/>
      <c r="C56" s="902"/>
      <c r="D56" s="902"/>
      <c r="E56" s="902"/>
      <c r="F56" s="902"/>
      <c r="G56" s="902"/>
      <c r="H56" s="902"/>
      <c r="I56" s="902"/>
      <c r="J56" s="902"/>
      <c r="K56" s="902"/>
      <c r="L56" s="905"/>
      <c r="M56" s="905"/>
      <c r="N56" s="843"/>
      <c r="O56" s="904"/>
      <c r="P56" s="904"/>
      <c r="Q56" s="904"/>
      <c r="R56" s="904"/>
      <c r="S56" s="904"/>
      <c r="T56" s="904"/>
      <c r="U56" s="904"/>
      <c r="V56" s="843"/>
      <c r="W56" s="843"/>
      <c r="X56" s="843"/>
      <c r="Y56" s="843"/>
      <c r="Z56" s="843"/>
      <c r="AA56" s="843"/>
      <c r="AB56" s="843"/>
    </row>
    <row r="57" spans="2:32" s="906" customFormat="1" x14ac:dyDescent="0.2">
      <c r="B57" s="904"/>
      <c r="C57" s="902"/>
      <c r="D57" s="902"/>
      <c r="E57" s="902"/>
      <c r="F57" s="902"/>
      <c r="G57" s="902"/>
      <c r="H57" s="902"/>
      <c r="I57" s="902"/>
      <c r="J57" s="902"/>
      <c r="K57" s="902"/>
      <c r="L57" s="905"/>
      <c r="M57" s="905"/>
      <c r="N57" s="843"/>
      <c r="O57" s="843"/>
      <c r="P57" s="904"/>
      <c r="Q57" s="904"/>
      <c r="R57" s="904"/>
      <c r="S57" s="904"/>
      <c r="T57" s="904"/>
      <c r="U57" s="904"/>
      <c r="V57" s="904"/>
      <c r="W57" s="843"/>
      <c r="X57" s="843"/>
      <c r="Y57" s="843"/>
      <c r="Z57" s="843"/>
      <c r="AA57" s="843"/>
      <c r="AB57" s="843"/>
      <c r="AC57" s="843"/>
    </row>
    <row r="58" spans="2:32" s="906" customFormat="1" x14ac:dyDescent="0.2">
      <c r="B58" s="904"/>
      <c r="C58" s="902"/>
      <c r="D58" s="902"/>
      <c r="E58" s="902"/>
      <c r="F58" s="902"/>
      <c r="G58" s="902"/>
      <c r="H58" s="902"/>
      <c r="I58" s="902"/>
      <c r="J58" s="902"/>
      <c r="K58" s="902"/>
      <c r="L58" s="905"/>
      <c r="M58" s="905"/>
      <c r="N58" s="843"/>
      <c r="O58" s="905"/>
      <c r="P58" s="843"/>
      <c r="Q58" s="905"/>
      <c r="R58" s="904"/>
      <c r="S58" s="904"/>
      <c r="T58" s="904"/>
      <c r="U58" s="904"/>
      <c r="V58" s="904"/>
      <c r="W58" s="904"/>
      <c r="X58" s="904"/>
      <c r="Y58" s="904"/>
      <c r="Z58" s="843"/>
      <c r="AA58" s="843"/>
      <c r="AB58" s="843"/>
      <c r="AC58" s="843"/>
      <c r="AD58" s="843"/>
      <c r="AE58" s="843"/>
      <c r="AF58" s="843"/>
    </row>
    <row r="59" spans="2:32" s="906" customFormat="1" x14ac:dyDescent="0.2">
      <c r="B59" s="904"/>
      <c r="C59" s="902"/>
      <c r="D59" s="902"/>
      <c r="E59" s="902"/>
      <c r="F59" s="902"/>
      <c r="G59" s="902"/>
      <c r="H59" s="902"/>
      <c r="I59" s="902"/>
      <c r="J59" s="902"/>
      <c r="K59" s="902"/>
      <c r="L59" s="905"/>
      <c r="M59" s="905"/>
      <c r="N59" s="843"/>
      <c r="O59" s="905"/>
      <c r="P59" s="843"/>
      <c r="Q59" s="905"/>
      <c r="R59" s="904"/>
      <c r="S59" s="904"/>
      <c r="T59" s="904"/>
      <c r="U59" s="904"/>
      <c r="V59" s="904"/>
      <c r="W59" s="904"/>
      <c r="X59" s="904"/>
      <c r="Y59" s="904"/>
      <c r="Z59" s="843"/>
      <c r="AA59" s="843"/>
      <c r="AB59" s="843"/>
      <c r="AC59" s="843"/>
      <c r="AD59" s="843"/>
      <c r="AE59" s="843"/>
      <c r="AF59" s="843"/>
    </row>
    <row r="60" spans="2:32" s="906" customFormat="1" x14ac:dyDescent="0.2">
      <c r="B60" s="904"/>
      <c r="C60" s="902"/>
      <c r="D60" s="902"/>
      <c r="E60" s="902"/>
      <c r="F60" s="902"/>
      <c r="G60" s="902"/>
      <c r="H60" s="902"/>
      <c r="I60" s="902"/>
      <c r="J60" s="902"/>
      <c r="K60" s="902"/>
      <c r="L60" s="905"/>
      <c r="M60" s="905"/>
      <c r="N60" s="843"/>
      <c r="O60" s="905"/>
      <c r="P60" s="843"/>
      <c r="Q60" s="905"/>
      <c r="R60" s="904"/>
      <c r="S60" s="904"/>
      <c r="T60" s="904"/>
      <c r="U60" s="904"/>
      <c r="V60" s="904"/>
      <c r="W60" s="904"/>
      <c r="X60" s="904"/>
      <c r="Y60" s="904"/>
      <c r="Z60" s="843"/>
      <c r="AA60" s="843"/>
      <c r="AB60" s="843"/>
      <c r="AC60" s="843"/>
      <c r="AD60" s="843"/>
      <c r="AE60" s="843"/>
      <c r="AF60" s="843"/>
    </row>
    <row r="61" spans="2:32" s="906" customFormat="1" x14ac:dyDescent="0.2">
      <c r="B61" s="904"/>
      <c r="C61" s="902"/>
      <c r="D61" s="902"/>
      <c r="E61" s="902"/>
      <c r="F61" s="902"/>
      <c r="G61" s="902"/>
      <c r="H61" s="902"/>
      <c r="I61" s="902"/>
      <c r="J61" s="902"/>
      <c r="K61" s="902"/>
      <c r="L61" s="905"/>
      <c r="M61" s="905"/>
      <c r="N61" s="843"/>
      <c r="O61" s="905"/>
      <c r="P61" s="843"/>
      <c r="Q61" s="905"/>
      <c r="R61" s="904"/>
      <c r="S61" s="904"/>
      <c r="T61" s="904"/>
      <c r="U61" s="904"/>
      <c r="V61" s="904"/>
      <c r="W61" s="904"/>
      <c r="X61" s="904"/>
      <c r="Y61" s="904"/>
      <c r="Z61" s="843"/>
      <c r="AA61" s="843"/>
      <c r="AB61" s="843"/>
      <c r="AC61" s="843"/>
      <c r="AD61" s="843"/>
      <c r="AE61" s="843"/>
      <c r="AF61" s="843"/>
    </row>
    <row r="62" spans="2:32" s="906" customFormat="1" x14ac:dyDescent="0.2">
      <c r="B62" s="904"/>
      <c r="C62" s="902"/>
      <c r="D62" s="902"/>
      <c r="E62" s="902"/>
      <c r="F62" s="902"/>
      <c r="G62" s="902"/>
      <c r="H62" s="902"/>
      <c r="I62" s="902"/>
      <c r="J62" s="902"/>
      <c r="K62" s="902"/>
      <c r="L62" s="905"/>
      <c r="M62" s="905"/>
      <c r="N62" s="843"/>
      <c r="O62" s="905"/>
      <c r="P62" s="843"/>
      <c r="Q62" s="905"/>
      <c r="R62" s="904"/>
      <c r="S62" s="904"/>
      <c r="T62" s="904"/>
      <c r="U62" s="904"/>
      <c r="V62" s="904"/>
      <c r="W62" s="904"/>
      <c r="X62" s="904"/>
      <c r="Y62" s="904"/>
      <c r="Z62" s="843"/>
      <c r="AA62" s="843"/>
      <c r="AB62" s="843"/>
      <c r="AC62" s="843"/>
      <c r="AD62" s="843"/>
      <c r="AE62" s="843"/>
      <c r="AF62" s="843"/>
    </row>
    <row r="63" spans="2:32" s="906" customFormat="1" x14ac:dyDescent="0.2">
      <c r="B63" s="904"/>
      <c r="C63" s="902"/>
      <c r="D63" s="902"/>
      <c r="E63" s="902"/>
      <c r="F63" s="902"/>
      <c r="G63" s="902"/>
      <c r="H63" s="902"/>
      <c r="I63" s="902"/>
      <c r="J63" s="902"/>
      <c r="K63" s="902"/>
      <c r="L63" s="905"/>
      <c r="M63" s="905"/>
      <c r="N63" s="843"/>
      <c r="O63" s="905"/>
      <c r="P63" s="843"/>
      <c r="Q63" s="905"/>
      <c r="R63" s="904"/>
      <c r="S63" s="904"/>
      <c r="T63" s="904"/>
      <c r="U63" s="904"/>
      <c r="V63" s="904"/>
      <c r="W63" s="904"/>
      <c r="X63" s="904"/>
      <c r="Y63" s="904"/>
      <c r="Z63" s="843"/>
      <c r="AA63" s="843"/>
      <c r="AB63" s="843"/>
      <c r="AC63" s="843"/>
      <c r="AD63" s="843"/>
      <c r="AE63" s="843"/>
      <c r="AF63" s="843"/>
    </row>
    <row r="64" spans="2:32" s="906" customFormat="1" x14ac:dyDescent="0.2">
      <c r="B64" s="904"/>
      <c r="C64" s="902"/>
      <c r="D64" s="902"/>
      <c r="E64" s="902"/>
      <c r="F64" s="902"/>
      <c r="G64" s="902"/>
      <c r="H64" s="902"/>
      <c r="I64" s="902"/>
      <c r="J64" s="902"/>
      <c r="K64" s="902"/>
      <c r="L64" s="905"/>
      <c r="M64" s="905"/>
      <c r="N64" s="843"/>
      <c r="O64" s="905"/>
      <c r="P64" s="843"/>
      <c r="Q64" s="905"/>
      <c r="R64" s="904"/>
      <c r="S64" s="904"/>
      <c r="T64" s="904"/>
      <c r="U64" s="904"/>
      <c r="V64" s="904"/>
      <c r="W64" s="904"/>
      <c r="X64" s="904"/>
      <c r="Y64" s="904"/>
      <c r="Z64" s="843"/>
      <c r="AA64" s="843"/>
      <c r="AB64" s="843"/>
      <c r="AC64" s="843"/>
      <c r="AD64" s="843"/>
      <c r="AE64" s="843"/>
      <c r="AF64" s="843"/>
    </row>
    <row r="65" spans="2:36" s="906" customFormat="1" x14ac:dyDescent="0.2">
      <c r="B65" s="904"/>
      <c r="C65" s="902"/>
      <c r="D65" s="902"/>
      <c r="E65" s="902"/>
      <c r="F65" s="902"/>
      <c r="G65" s="902"/>
      <c r="H65" s="902"/>
      <c r="I65" s="902"/>
      <c r="J65" s="902"/>
      <c r="K65" s="902"/>
      <c r="L65" s="905"/>
      <c r="M65" s="905"/>
      <c r="N65" s="843"/>
      <c r="O65" s="905"/>
      <c r="P65" s="843"/>
      <c r="Q65" s="905"/>
      <c r="R65" s="904"/>
      <c r="S65" s="904"/>
      <c r="T65" s="904"/>
      <c r="U65" s="904"/>
      <c r="V65" s="904"/>
      <c r="W65" s="904"/>
      <c r="X65" s="904"/>
      <c r="Y65" s="904"/>
      <c r="Z65" s="843"/>
      <c r="AA65" s="843"/>
      <c r="AB65" s="843"/>
      <c r="AC65" s="843"/>
      <c r="AD65" s="843"/>
      <c r="AE65" s="843"/>
      <c r="AF65" s="843"/>
    </row>
    <row r="66" spans="2:36" s="906" customFormat="1" x14ac:dyDescent="0.2">
      <c r="B66" s="904"/>
      <c r="C66" s="902"/>
      <c r="D66" s="902"/>
      <c r="E66" s="902"/>
      <c r="F66" s="902"/>
      <c r="G66" s="902"/>
      <c r="H66" s="902"/>
      <c r="I66" s="902"/>
      <c r="J66" s="902"/>
      <c r="K66" s="902"/>
      <c r="L66" s="905"/>
      <c r="M66" s="905"/>
      <c r="N66" s="843"/>
      <c r="O66" s="905"/>
      <c r="P66" s="843"/>
      <c r="Q66" s="905"/>
      <c r="R66" s="904"/>
      <c r="S66" s="904"/>
      <c r="T66" s="904"/>
      <c r="U66" s="904"/>
      <c r="V66" s="904"/>
      <c r="W66" s="904"/>
      <c r="X66" s="904"/>
      <c r="Y66" s="904"/>
      <c r="Z66" s="843"/>
      <c r="AA66" s="843"/>
      <c r="AB66" s="843"/>
      <c r="AC66" s="843"/>
      <c r="AD66" s="843"/>
      <c r="AE66" s="843"/>
      <c r="AF66" s="843"/>
    </row>
    <row r="67" spans="2:36" s="906" customFormat="1" x14ac:dyDescent="0.2">
      <c r="B67" s="904"/>
      <c r="C67" s="902"/>
      <c r="D67" s="902"/>
      <c r="E67" s="902"/>
      <c r="F67" s="902"/>
      <c r="G67" s="902"/>
      <c r="H67" s="902"/>
      <c r="I67" s="902"/>
      <c r="J67" s="902"/>
      <c r="K67" s="902"/>
      <c r="L67" s="902"/>
      <c r="M67" s="905"/>
      <c r="N67" s="905"/>
      <c r="O67" s="843"/>
      <c r="P67" s="905"/>
      <c r="Q67" s="843"/>
      <c r="R67" s="905"/>
      <c r="S67" s="904"/>
      <c r="T67" s="904"/>
      <c r="U67" s="904"/>
      <c r="V67" s="904"/>
      <c r="W67" s="904"/>
      <c r="X67" s="904"/>
      <c r="Y67" s="904"/>
      <c r="Z67" s="904"/>
      <c r="AA67" s="843"/>
      <c r="AB67" s="843"/>
      <c r="AC67" s="843"/>
      <c r="AD67" s="843"/>
      <c r="AE67" s="843"/>
      <c r="AF67" s="843"/>
      <c r="AG67" s="843"/>
    </row>
    <row r="68" spans="2:36" s="843" customFormat="1" ht="13.5" thickBot="1" x14ac:dyDescent="0.25">
      <c r="P68" s="860"/>
      <c r="Q68" s="860"/>
      <c r="T68" s="860"/>
      <c r="U68" s="860"/>
      <c r="V68" s="860"/>
      <c r="W68" s="860"/>
      <c r="X68" s="860"/>
      <c r="Y68" s="860"/>
      <c r="Z68" s="860"/>
      <c r="AA68" s="860"/>
      <c r="AB68" s="860"/>
      <c r="AC68" s="860"/>
      <c r="AD68" s="860"/>
      <c r="AE68" s="860"/>
      <c r="AF68" s="860"/>
      <c r="AG68" s="999" t="e">
        <f>'Junio - 2018'!AC101</f>
        <v>#REF!</v>
      </c>
    </row>
    <row r="69" spans="2:36" ht="15" customHeight="1" thickBot="1" x14ac:dyDescent="0.25">
      <c r="B69" s="907" t="s">
        <v>3</v>
      </c>
      <c r="C69" s="908">
        <f>SUMIF(Tarifas!E4:E303,'Abril- 2019'!C71,Tarifas!D4:D303)</f>
        <v>69</v>
      </c>
      <c r="D69" s="909" t="s">
        <v>147</v>
      </c>
      <c r="E69" s="910"/>
      <c r="F69" s="910" t="s">
        <v>145</v>
      </c>
      <c r="G69" s="910" t="s">
        <v>287</v>
      </c>
      <c r="H69" s="910" t="s">
        <v>148</v>
      </c>
      <c r="I69" s="911"/>
      <c r="J69" s="2320" t="s">
        <v>120</v>
      </c>
      <c r="K69" s="2321"/>
      <c r="L69" s="2321"/>
      <c r="M69" s="2322"/>
      <c r="N69" s="2311" t="s">
        <v>270</v>
      </c>
      <c r="O69" s="2312"/>
      <c r="P69" s="2312"/>
      <c r="Q69" s="2313"/>
      <c r="R69" s="2309" t="s">
        <v>271</v>
      </c>
      <c r="S69" s="2310"/>
      <c r="T69" s="2310"/>
      <c r="U69" s="2310"/>
      <c r="V69" s="2310"/>
      <c r="W69" s="2310"/>
      <c r="X69" s="2310"/>
      <c r="Y69" s="2310"/>
      <c r="Z69" s="2332"/>
      <c r="AA69" s="2079" t="s">
        <v>121</v>
      </c>
      <c r="AB69" s="2080"/>
      <c r="AC69" s="2080"/>
      <c r="AD69" s="2080"/>
      <c r="AE69" s="2080"/>
      <c r="AF69" s="2080"/>
      <c r="AG69" s="2081"/>
      <c r="AH69" s="843"/>
      <c r="AI69" s="843"/>
      <c r="AJ69" s="843"/>
    </row>
    <row r="70" spans="2:36" ht="51.75" thickBot="1" x14ac:dyDescent="0.25">
      <c r="C70" s="914" t="s">
        <v>122</v>
      </c>
      <c r="D70" s="1016" t="s">
        <v>125</v>
      </c>
      <c r="E70" s="1017" t="s">
        <v>277</v>
      </c>
      <c r="F70" s="1017" t="s">
        <v>149</v>
      </c>
      <c r="G70" s="1017" t="s">
        <v>151</v>
      </c>
      <c r="H70" s="1017" t="s">
        <v>152</v>
      </c>
      <c r="I70" s="1018" t="s">
        <v>123</v>
      </c>
      <c r="J70" s="1027" t="s">
        <v>734</v>
      </c>
      <c r="K70" s="1028" t="s">
        <v>727</v>
      </c>
      <c r="L70" s="1028" t="s">
        <v>728</v>
      </c>
      <c r="M70" s="1028" t="s">
        <v>729</v>
      </c>
      <c r="N70" s="1665" t="s">
        <v>738</v>
      </c>
      <c r="O70" s="1666" t="s">
        <v>266</v>
      </c>
      <c r="P70" s="1666" t="s">
        <v>269</v>
      </c>
      <c r="Q70" s="1906" t="s">
        <v>267</v>
      </c>
      <c r="R70" s="1904" t="s">
        <v>395</v>
      </c>
      <c r="S70" s="2021" t="s">
        <v>272</v>
      </c>
      <c r="T70" s="1904" t="s">
        <v>22</v>
      </c>
      <c r="U70" s="1905" t="s">
        <v>272</v>
      </c>
      <c r="V70" s="978" t="s">
        <v>25</v>
      </c>
      <c r="W70" s="978" t="s">
        <v>26</v>
      </c>
      <c r="X70" s="979" t="s">
        <v>272</v>
      </c>
      <c r="Y70" s="980" t="s">
        <v>273</v>
      </c>
      <c r="Z70" s="977" t="s">
        <v>272</v>
      </c>
      <c r="AA70" s="1012" t="s">
        <v>207</v>
      </c>
      <c r="AB70" s="1013"/>
      <c r="AC70" s="1013" t="s">
        <v>112</v>
      </c>
      <c r="AD70" s="1014" t="s">
        <v>118</v>
      </c>
      <c r="AE70" s="1014" t="s">
        <v>119</v>
      </c>
      <c r="AF70" s="1014" t="s">
        <v>114</v>
      </c>
      <c r="AG70" s="1015" t="s">
        <v>113</v>
      </c>
      <c r="AH70" s="843"/>
      <c r="AI70" s="843"/>
      <c r="AJ70" s="843"/>
    </row>
    <row r="71" spans="2:36" x14ac:dyDescent="0.2">
      <c r="C71" s="918">
        <v>43556</v>
      </c>
      <c r="D71" s="919">
        <f>($E$22*$H$22)/$G$22</f>
        <v>153350.92387096773</v>
      </c>
      <c r="E71" s="920">
        <f>($F$22*$I$22)/$G$22</f>
        <v>14421.080258064516</v>
      </c>
      <c r="F71" s="921">
        <f t="shared" ref="F71:F100" si="6">O71+P71+Q71</f>
        <v>149930.55968800001</v>
      </c>
      <c r="G71" s="922">
        <f>TRUNC(IFERROR(K$22/L$22,0),8)</f>
        <v>1.0163853</v>
      </c>
      <c r="H71" s="923">
        <f t="shared" ref="H71:H100" si="7">ROUND(J$22*G71*F71,4)</f>
        <v>152.38720000000001</v>
      </c>
      <c r="I71" s="924">
        <f t="shared" ref="I71:I100" si="8">SUM(D71:H71)</f>
        <v>317855.96740233229</v>
      </c>
      <c r="J71" s="925"/>
      <c r="K71" s="926"/>
      <c r="L71" s="926"/>
      <c r="M71" s="984"/>
      <c r="N71" s="1667">
        <v>23724.286680278401</v>
      </c>
      <c r="O71" s="1668">
        <v>72679.179688000004</v>
      </c>
      <c r="P71" s="1668">
        <v>77251.38</v>
      </c>
      <c r="Q71" s="2372">
        <v>0</v>
      </c>
      <c r="R71" s="2090"/>
      <c r="S71" s="2092">
        <f>N71-R71</f>
        <v>23724.286680278401</v>
      </c>
      <c r="T71" s="1668">
        <v>72679.179688000004</v>
      </c>
      <c r="U71" s="2092">
        <f t="shared" ref="U71:U100" si="9">O71-T71</f>
        <v>0</v>
      </c>
      <c r="V71" s="984">
        <v>33297.726000000002</v>
      </c>
      <c r="W71" s="984">
        <v>105836.333</v>
      </c>
      <c r="X71" s="2042">
        <f t="shared" ref="X71:X100" si="10">P71-(V71+W71)</f>
        <v>-61882.679000000004</v>
      </c>
      <c r="Y71" s="983">
        <v>0</v>
      </c>
      <c r="Z71" s="2045">
        <f t="shared" ref="Z71:Z100" si="11">Q71-Y71</f>
        <v>0</v>
      </c>
      <c r="AA71" s="929">
        <f>Y71+Z71-AB71</f>
        <v>0</v>
      </c>
      <c r="AB71" s="930">
        <f t="shared" ref="AB71:AB100" si="12">K71+L71+M71</f>
        <v>0</v>
      </c>
      <c r="AC71" s="931">
        <f>(V71+W71+X71)*1.055056</f>
        <v>81504.531977279999</v>
      </c>
      <c r="AD71" s="931">
        <f>AB71-AC71</f>
        <v>-81504.531977279999</v>
      </c>
      <c r="AE71" s="931">
        <f>AC68+AD71</f>
        <v>-81504.531977279999</v>
      </c>
      <c r="AF71" s="931"/>
      <c r="AG71" s="932"/>
      <c r="AH71" s="843"/>
      <c r="AI71" s="843"/>
      <c r="AJ71" s="843"/>
    </row>
    <row r="72" spans="2:36" x14ac:dyDescent="0.2">
      <c r="C72" s="933">
        <f t="shared" ref="C72:C100" si="13">C71+1</f>
        <v>43557</v>
      </c>
      <c r="D72" s="919">
        <f t="shared" ref="D72:D100" si="14">($E$22*$H$22)/$G$22</f>
        <v>153350.92387096773</v>
      </c>
      <c r="E72" s="920">
        <f t="shared" ref="E72:E100" si="15">($F$22*$I$22)/$G$22</f>
        <v>14421.080258064516</v>
      </c>
      <c r="F72" s="934">
        <f t="shared" si="6"/>
        <v>149191.87062499998</v>
      </c>
      <c r="G72" s="935">
        <f t="shared" ref="G72:G100" si="16">TRUNC(IFERROR(K$22/L$22,0),8)</f>
        <v>1.0163853</v>
      </c>
      <c r="H72" s="923">
        <f t="shared" si="7"/>
        <v>151.63640000000001</v>
      </c>
      <c r="I72" s="924">
        <f t="shared" si="8"/>
        <v>317116.52753933228</v>
      </c>
      <c r="J72" s="925"/>
      <c r="K72" s="926"/>
      <c r="L72" s="926"/>
      <c r="M72" s="984"/>
      <c r="N72" s="927">
        <v>23609.542797702397</v>
      </c>
      <c r="O72" s="937">
        <v>73010.640625</v>
      </c>
      <c r="P72" s="937">
        <v>76181.23</v>
      </c>
      <c r="Q72" s="2373">
        <v>0</v>
      </c>
      <c r="R72" s="2046"/>
      <c r="S72" s="2045">
        <f t="shared" ref="S72:S100" si="17">N72-R72</f>
        <v>23609.542797702397</v>
      </c>
      <c r="T72" s="937">
        <v>73010.640625</v>
      </c>
      <c r="U72" s="2045">
        <f t="shared" si="9"/>
        <v>0</v>
      </c>
      <c r="V72" s="989">
        <v>32811.756000000001</v>
      </c>
      <c r="W72" s="989">
        <v>103604.886</v>
      </c>
      <c r="X72" s="2042">
        <f t="shared" si="10"/>
        <v>-60235.411999999997</v>
      </c>
      <c r="Y72" s="988">
        <v>0</v>
      </c>
      <c r="Z72" s="2051">
        <f t="shared" si="11"/>
        <v>0</v>
      </c>
      <c r="AA72" s="929">
        <f t="shared" ref="AA72:AA100" si="18">Y72+Z72-AB72</f>
        <v>0</v>
      </c>
      <c r="AB72" s="930">
        <f t="shared" si="12"/>
        <v>0</v>
      </c>
      <c r="AC72" s="931">
        <f t="shared" ref="AC72:AC100" si="19">(V72+W72+X72)*1.055056</f>
        <v>80375.463798879995</v>
      </c>
      <c r="AD72" s="931">
        <f t="shared" ref="AD72:AD100" si="20">AB72-AC72</f>
        <v>-80375.463798879995</v>
      </c>
      <c r="AE72" s="931">
        <f>AE71+AD72</f>
        <v>-161879.99577615998</v>
      </c>
      <c r="AF72" s="931"/>
      <c r="AG72" s="932"/>
      <c r="AH72" s="843"/>
      <c r="AI72" s="843"/>
      <c r="AJ72" s="843"/>
    </row>
    <row r="73" spans="2:36" x14ac:dyDescent="0.2">
      <c r="C73" s="933">
        <f t="shared" si="13"/>
        <v>43558</v>
      </c>
      <c r="D73" s="919">
        <f t="shared" si="14"/>
        <v>153350.92387096773</v>
      </c>
      <c r="E73" s="920">
        <f t="shared" si="15"/>
        <v>14421.080258064516</v>
      </c>
      <c r="F73" s="934">
        <f t="shared" si="6"/>
        <v>148003.662813</v>
      </c>
      <c r="G73" s="935">
        <f t="shared" si="16"/>
        <v>1.0163853</v>
      </c>
      <c r="H73" s="923">
        <f t="shared" si="7"/>
        <v>150.42869999999999</v>
      </c>
      <c r="I73" s="924">
        <f t="shared" si="8"/>
        <v>315927.1120273323</v>
      </c>
      <c r="J73" s="925"/>
      <c r="K73" s="926"/>
      <c r="L73" s="926"/>
      <c r="M73" s="984"/>
      <c r="N73" s="927">
        <v>23779.542042789501</v>
      </c>
      <c r="O73" s="928">
        <v>72663.132813000004</v>
      </c>
      <c r="P73" s="928">
        <v>75340.53</v>
      </c>
      <c r="Q73" s="2373">
        <v>0</v>
      </c>
      <c r="R73" s="2040"/>
      <c r="S73" s="2045">
        <f t="shared" si="17"/>
        <v>23779.542042789501</v>
      </c>
      <c r="T73" s="928">
        <v>72663.132813000004</v>
      </c>
      <c r="U73" s="2045">
        <f t="shared" si="9"/>
        <v>0</v>
      </c>
      <c r="V73" s="989">
        <v>33282.275000000001</v>
      </c>
      <c r="W73" s="989">
        <v>103838.212</v>
      </c>
      <c r="X73" s="2042">
        <f t="shared" si="10"/>
        <v>-61779.956999999995</v>
      </c>
      <c r="Y73" s="988">
        <v>0</v>
      </c>
      <c r="Z73" s="2051">
        <f t="shared" si="11"/>
        <v>0</v>
      </c>
      <c r="AA73" s="929">
        <f t="shared" si="18"/>
        <v>0</v>
      </c>
      <c r="AB73" s="930">
        <f t="shared" si="12"/>
        <v>0</v>
      </c>
      <c r="AC73" s="931">
        <f t="shared" si="19"/>
        <v>79488.478219679993</v>
      </c>
      <c r="AD73" s="931">
        <f t="shared" si="20"/>
        <v>-79488.478219679993</v>
      </c>
      <c r="AE73" s="931">
        <f t="shared" ref="AE73:AE100" si="21">AE72+AD73</f>
        <v>-241368.47399583997</v>
      </c>
      <c r="AF73" s="931"/>
      <c r="AG73" s="932"/>
      <c r="AH73" s="843"/>
      <c r="AI73" s="843"/>
      <c r="AJ73" s="843"/>
    </row>
    <row r="74" spans="2:36" x14ac:dyDescent="0.2">
      <c r="C74" s="933">
        <f t="shared" si="13"/>
        <v>43559</v>
      </c>
      <c r="D74" s="919">
        <f t="shared" si="14"/>
        <v>153350.92387096773</v>
      </c>
      <c r="E74" s="920">
        <f t="shared" si="15"/>
        <v>14421.080258064516</v>
      </c>
      <c r="F74" s="934">
        <f t="shared" si="6"/>
        <v>160189.02312500001</v>
      </c>
      <c r="G74" s="935">
        <f t="shared" si="16"/>
        <v>1.0163853</v>
      </c>
      <c r="H74" s="923">
        <f t="shared" si="7"/>
        <v>162.81379999999999</v>
      </c>
      <c r="I74" s="924">
        <f t="shared" si="8"/>
        <v>328124.85743933229</v>
      </c>
      <c r="J74" s="925"/>
      <c r="K74" s="926"/>
      <c r="L74" s="926"/>
      <c r="M74" s="984"/>
      <c r="N74" s="927">
        <v>23736.490588722001</v>
      </c>
      <c r="O74" s="937">
        <v>73740.203125</v>
      </c>
      <c r="P74" s="937">
        <v>86448.82</v>
      </c>
      <c r="Q74" s="2373">
        <v>0</v>
      </c>
      <c r="R74" s="2046"/>
      <c r="S74" s="2045">
        <f t="shared" si="17"/>
        <v>23736.490588722001</v>
      </c>
      <c r="T74" s="937">
        <v>73740.203125</v>
      </c>
      <c r="U74" s="2045">
        <f t="shared" si="9"/>
        <v>0</v>
      </c>
      <c r="V74" s="989">
        <v>23761.64</v>
      </c>
      <c r="W74" s="989">
        <v>104671.455</v>
      </c>
      <c r="X74" s="2042">
        <f t="shared" si="10"/>
        <v>-41984.274999999994</v>
      </c>
      <c r="Y74" s="988">
        <v>0</v>
      </c>
      <c r="Z74" s="2051">
        <f t="shared" si="11"/>
        <v>0</v>
      </c>
      <c r="AA74" s="929">
        <f t="shared" si="18"/>
        <v>0</v>
      </c>
      <c r="AB74" s="930">
        <f t="shared" si="12"/>
        <v>0</v>
      </c>
      <c r="AC74" s="931">
        <f t="shared" si="19"/>
        <v>91208.346233920005</v>
      </c>
      <c r="AD74" s="931">
        <f t="shared" si="20"/>
        <v>-91208.346233920005</v>
      </c>
      <c r="AE74" s="931">
        <f t="shared" si="21"/>
        <v>-332576.82022975996</v>
      </c>
      <c r="AF74" s="931"/>
      <c r="AG74" s="932"/>
      <c r="AH74" s="843"/>
      <c r="AI74" s="843"/>
      <c r="AJ74" s="843"/>
    </row>
    <row r="75" spans="2:36" x14ac:dyDescent="0.2">
      <c r="C75" s="933">
        <f t="shared" si="13"/>
        <v>43560</v>
      </c>
      <c r="D75" s="919">
        <f t="shared" si="14"/>
        <v>153350.92387096773</v>
      </c>
      <c r="E75" s="920">
        <f t="shared" si="15"/>
        <v>14421.080258064516</v>
      </c>
      <c r="F75" s="934">
        <f t="shared" si="6"/>
        <v>179248.87218800001</v>
      </c>
      <c r="G75" s="935">
        <f t="shared" si="16"/>
        <v>1.0163853</v>
      </c>
      <c r="H75" s="923">
        <f t="shared" si="7"/>
        <v>182.1859</v>
      </c>
      <c r="I75" s="924">
        <f t="shared" si="8"/>
        <v>347204.07860233227</v>
      </c>
      <c r="J75" s="925"/>
      <c r="K75" s="926"/>
      <c r="L75" s="926"/>
      <c r="M75" s="984"/>
      <c r="N75" s="927">
        <v>23025.431018692798</v>
      </c>
      <c r="O75" s="928">
        <v>71882.242188000004</v>
      </c>
      <c r="P75" s="928">
        <v>107366.63</v>
      </c>
      <c r="Q75" s="2373">
        <v>0</v>
      </c>
      <c r="R75" s="2040"/>
      <c r="S75" s="2045">
        <f t="shared" si="17"/>
        <v>23025.431018692798</v>
      </c>
      <c r="T75" s="928">
        <v>71882.242188000004</v>
      </c>
      <c r="U75" s="2045">
        <f t="shared" si="9"/>
        <v>0</v>
      </c>
      <c r="V75" s="989">
        <v>28182.256000000001</v>
      </c>
      <c r="W75" s="989">
        <v>104532.38800000001</v>
      </c>
      <c r="X75" s="2042">
        <f t="shared" si="10"/>
        <v>-25348.013999999996</v>
      </c>
      <c r="Y75" s="988">
        <v>0</v>
      </c>
      <c r="Z75" s="2051">
        <f t="shared" si="11"/>
        <v>0</v>
      </c>
      <c r="AA75" s="929">
        <f t="shared" si="18"/>
        <v>0</v>
      </c>
      <c r="AB75" s="930">
        <f t="shared" si="12"/>
        <v>0</v>
      </c>
      <c r="AC75" s="931">
        <f t="shared" si="19"/>
        <v>113277.80718128</v>
      </c>
      <c r="AD75" s="931">
        <f t="shared" si="20"/>
        <v>-113277.80718128</v>
      </c>
      <c r="AE75" s="931">
        <f t="shared" si="21"/>
        <v>-445854.62741103995</v>
      </c>
      <c r="AF75" s="931"/>
      <c r="AG75" s="932"/>
      <c r="AH75" s="843"/>
      <c r="AI75" s="843"/>
      <c r="AJ75" s="843"/>
    </row>
    <row r="76" spans="2:36" x14ac:dyDescent="0.2">
      <c r="C76" s="933">
        <f t="shared" si="13"/>
        <v>43561</v>
      </c>
      <c r="D76" s="919">
        <f t="shared" si="14"/>
        <v>153350.92387096773</v>
      </c>
      <c r="E76" s="920">
        <f t="shared" si="15"/>
        <v>14421.080258064516</v>
      </c>
      <c r="F76" s="934">
        <f t="shared" si="6"/>
        <v>179612.755313</v>
      </c>
      <c r="G76" s="935">
        <f t="shared" si="16"/>
        <v>1.0163853</v>
      </c>
      <c r="H76" s="923">
        <f t="shared" si="7"/>
        <v>182.5558</v>
      </c>
      <c r="I76" s="924">
        <f t="shared" si="8"/>
        <v>347568.33162733226</v>
      </c>
      <c r="J76" s="925"/>
      <c r="K76" s="926"/>
      <c r="L76" s="926"/>
      <c r="M76" s="984"/>
      <c r="N76" s="927">
        <v>21603.801337192799</v>
      </c>
      <c r="O76" s="937">
        <v>68613.445313000004</v>
      </c>
      <c r="P76" s="937">
        <v>110999.31</v>
      </c>
      <c r="Q76" s="2373">
        <v>0</v>
      </c>
      <c r="R76" s="2046"/>
      <c r="S76" s="2045">
        <f t="shared" si="17"/>
        <v>21603.801337192799</v>
      </c>
      <c r="T76" s="937">
        <v>68613.445313000004</v>
      </c>
      <c r="U76" s="2045">
        <f t="shared" si="9"/>
        <v>0</v>
      </c>
      <c r="V76" s="989">
        <v>34096.084000000003</v>
      </c>
      <c r="W76" s="989">
        <v>100428.289</v>
      </c>
      <c r="X76" s="2042">
        <f t="shared" si="10"/>
        <v>-23525.063000000024</v>
      </c>
      <c r="Y76" s="988">
        <v>0</v>
      </c>
      <c r="Z76" s="2051">
        <f t="shared" si="11"/>
        <v>0</v>
      </c>
      <c r="AA76" s="929">
        <f t="shared" si="18"/>
        <v>0</v>
      </c>
      <c r="AB76" s="930">
        <f t="shared" si="12"/>
        <v>0</v>
      </c>
      <c r="AC76" s="931">
        <f t="shared" si="19"/>
        <v>117110.48801135999</v>
      </c>
      <c r="AD76" s="931">
        <f t="shared" si="20"/>
        <v>-117110.48801135999</v>
      </c>
      <c r="AE76" s="931">
        <f t="shared" si="21"/>
        <v>-562965.11542239995</v>
      </c>
      <c r="AF76" s="931"/>
      <c r="AG76" s="932"/>
      <c r="AH76" s="843"/>
      <c r="AI76" s="843"/>
      <c r="AJ76" s="843"/>
    </row>
    <row r="77" spans="2:36" x14ac:dyDescent="0.2">
      <c r="C77" s="933">
        <f t="shared" si="13"/>
        <v>43562</v>
      </c>
      <c r="D77" s="919">
        <f t="shared" si="14"/>
        <v>153350.92387096773</v>
      </c>
      <c r="E77" s="920">
        <f t="shared" si="15"/>
        <v>14421.080258064516</v>
      </c>
      <c r="F77" s="934">
        <f t="shared" si="6"/>
        <v>171428.86499999999</v>
      </c>
      <c r="G77" s="935">
        <f t="shared" si="16"/>
        <v>1.0163853</v>
      </c>
      <c r="H77" s="923">
        <f t="shared" si="7"/>
        <v>174.23779999999999</v>
      </c>
      <c r="I77" s="924">
        <f t="shared" si="8"/>
        <v>339376.12331433228</v>
      </c>
      <c r="J77" s="925"/>
      <c r="K77" s="926"/>
      <c r="L77" s="926"/>
      <c r="M77" s="984"/>
      <c r="N77" s="927">
        <v>23649.793391896197</v>
      </c>
      <c r="O77" s="928">
        <v>71466.875</v>
      </c>
      <c r="P77" s="928">
        <v>99961.99</v>
      </c>
      <c r="Q77" s="2373">
        <v>0</v>
      </c>
      <c r="R77" s="2040"/>
      <c r="S77" s="2045">
        <f t="shared" si="17"/>
        <v>23649.793391896197</v>
      </c>
      <c r="T77" s="928">
        <v>71466.875</v>
      </c>
      <c r="U77" s="2045">
        <f t="shared" si="9"/>
        <v>0</v>
      </c>
      <c r="V77" s="989">
        <v>36445.872000000003</v>
      </c>
      <c r="W77" s="989">
        <v>98944.963000000003</v>
      </c>
      <c r="X77" s="2042">
        <f t="shared" si="10"/>
        <v>-35428.845000000016</v>
      </c>
      <c r="Y77" s="988">
        <v>0</v>
      </c>
      <c r="Z77" s="2051">
        <f t="shared" si="11"/>
        <v>0</v>
      </c>
      <c r="AA77" s="929">
        <f t="shared" si="18"/>
        <v>0</v>
      </c>
      <c r="AB77" s="930">
        <f t="shared" si="12"/>
        <v>0</v>
      </c>
      <c r="AC77" s="931">
        <f t="shared" si="19"/>
        <v>105465.49732144001</v>
      </c>
      <c r="AD77" s="931">
        <f t="shared" si="20"/>
        <v>-105465.49732144001</v>
      </c>
      <c r="AE77" s="931">
        <f t="shared" si="21"/>
        <v>-668430.61274383997</v>
      </c>
      <c r="AF77" s="931"/>
      <c r="AG77" s="932"/>
      <c r="AH77" s="843"/>
      <c r="AI77" s="843"/>
      <c r="AJ77" s="843"/>
    </row>
    <row r="78" spans="2:36" x14ac:dyDescent="0.2">
      <c r="C78" s="933">
        <f t="shared" si="13"/>
        <v>43563</v>
      </c>
      <c r="D78" s="919">
        <f t="shared" si="14"/>
        <v>153350.92387096773</v>
      </c>
      <c r="E78" s="920">
        <f t="shared" si="15"/>
        <v>14421.080258064516</v>
      </c>
      <c r="F78" s="934">
        <f t="shared" si="6"/>
        <v>188232.240938</v>
      </c>
      <c r="G78" s="935">
        <f t="shared" si="16"/>
        <v>1.0163853</v>
      </c>
      <c r="H78" s="923">
        <f t="shared" si="7"/>
        <v>191.31649999999999</v>
      </c>
      <c r="I78" s="924">
        <f t="shared" si="8"/>
        <v>356196.57795233233</v>
      </c>
      <c r="J78" s="925"/>
      <c r="K78" s="926"/>
      <c r="L78" s="926"/>
      <c r="M78" s="984"/>
      <c r="N78" s="927">
        <v>23669.633674444798</v>
      </c>
      <c r="O78" s="937">
        <v>72876.210938000004</v>
      </c>
      <c r="P78" s="937">
        <v>115356.03</v>
      </c>
      <c r="Q78" s="2373">
        <v>0</v>
      </c>
      <c r="R78" s="2046"/>
      <c r="S78" s="2045">
        <f t="shared" si="17"/>
        <v>23669.633674444798</v>
      </c>
      <c r="T78" s="937">
        <v>72876.210938000004</v>
      </c>
      <c r="U78" s="2045">
        <f t="shared" si="9"/>
        <v>0</v>
      </c>
      <c r="V78" s="989">
        <v>31518.47</v>
      </c>
      <c r="W78" s="989">
        <v>103459.496</v>
      </c>
      <c r="X78" s="2042">
        <f t="shared" si="10"/>
        <v>-19621.936000000016</v>
      </c>
      <c r="Y78" s="988">
        <v>0</v>
      </c>
      <c r="Z78" s="2051">
        <f t="shared" si="11"/>
        <v>0</v>
      </c>
      <c r="AA78" s="929">
        <f t="shared" si="18"/>
        <v>0</v>
      </c>
      <c r="AB78" s="930">
        <f t="shared" si="12"/>
        <v>0</v>
      </c>
      <c r="AC78" s="931">
        <f t="shared" si="19"/>
        <v>121707.07158767999</v>
      </c>
      <c r="AD78" s="931">
        <f t="shared" si="20"/>
        <v>-121707.07158767999</v>
      </c>
      <c r="AE78" s="931">
        <f t="shared" si="21"/>
        <v>-790137.68433151999</v>
      </c>
      <c r="AF78" s="931"/>
      <c r="AG78" s="932"/>
    </row>
    <row r="79" spans="2:36" x14ac:dyDescent="0.2">
      <c r="C79" s="933">
        <f t="shared" si="13"/>
        <v>43564</v>
      </c>
      <c r="D79" s="919">
        <f t="shared" si="14"/>
        <v>153350.92387096773</v>
      </c>
      <c r="E79" s="920">
        <f t="shared" si="15"/>
        <v>14421.080258064516</v>
      </c>
      <c r="F79" s="934">
        <f t="shared" si="6"/>
        <v>188930.192813</v>
      </c>
      <c r="G79" s="935">
        <f t="shared" si="16"/>
        <v>1.0163853</v>
      </c>
      <c r="H79" s="923">
        <f t="shared" si="7"/>
        <v>192.02590000000001</v>
      </c>
      <c r="I79" s="924">
        <f t="shared" si="8"/>
        <v>356895.23922733229</v>
      </c>
      <c r="J79" s="925"/>
      <c r="K79" s="926"/>
      <c r="L79" s="926"/>
      <c r="M79" s="984"/>
      <c r="N79" s="927">
        <v>23731.092302277601</v>
      </c>
      <c r="O79" s="928">
        <v>73782.632813000004</v>
      </c>
      <c r="P79" s="928">
        <v>115147.56</v>
      </c>
      <c r="Q79" s="2373">
        <v>0</v>
      </c>
      <c r="R79" s="2040"/>
      <c r="S79" s="2045">
        <f t="shared" si="17"/>
        <v>23731.092302277601</v>
      </c>
      <c r="T79" s="928">
        <v>73782.632813000004</v>
      </c>
      <c r="U79" s="2045">
        <f t="shared" si="9"/>
        <v>0</v>
      </c>
      <c r="V79" s="989">
        <v>21905.485000000001</v>
      </c>
      <c r="W79" s="989">
        <v>100997.99</v>
      </c>
      <c r="X79" s="2042">
        <f t="shared" si="10"/>
        <v>-7755.9150000000081</v>
      </c>
      <c r="Y79" s="988">
        <v>0</v>
      </c>
      <c r="Z79" s="2051">
        <f t="shared" si="11"/>
        <v>0</v>
      </c>
      <c r="AA79" s="929">
        <f t="shared" si="18"/>
        <v>0</v>
      </c>
      <c r="AB79" s="930">
        <f t="shared" si="12"/>
        <v>0</v>
      </c>
      <c r="AC79" s="931">
        <f t="shared" si="19"/>
        <v>121487.12406336</v>
      </c>
      <c r="AD79" s="931">
        <f t="shared" si="20"/>
        <v>-121487.12406336</v>
      </c>
      <c r="AE79" s="931">
        <f t="shared" si="21"/>
        <v>-911624.80839488003</v>
      </c>
      <c r="AF79" s="931"/>
      <c r="AG79" s="932"/>
    </row>
    <row r="80" spans="2:36" x14ac:dyDescent="0.2">
      <c r="C80" s="933">
        <f t="shared" si="13"/>
        <v>43565</v>
      </c>
      <c r="D80" s="919">
        <f t="shared" si="14"/>
        <v>153350.92387096773</v>
      </c>
      <c r="E80" s="920">
        <f t="shared" si="15"/>
        <v>14421.080258064516</v>
      </c>
      <c r="F80" s="934">
        <f t="shared" si="6"/>
        <v>188394.33875</v>
      </c>
      <c r="G80" s="935">
        <f t="shared" si="16"/>
        <v>1.0163853</v>
      </c>
      <c r="H80" s="923">
        <f t="shared" si="7"/>
        <v>191.4812</v>
      </c>
      <c r="I80" s="924">
        <f t="shared" si="8"/>
        <v>356358.84046433226</v>
      </c>
      <c r="J80" s="925"/>
      <c r="K80" s="926"/>
      <c r="L80" s="926"/>
      <c r="M80" s="984"/>
      <c r="N80" s="927">
        <v>23768.160376853502</v>
      </c>
      <c r="O80" s="937">
        <v>72903.71875</v>
      </c>
      <c r="P80" s="937">
        <v>115490.62</v>
      </c>
      <c r="Q80" s="2373">
        <v>0</v>
      </c>
      <c r="R80" s="2046"/>
      <c r="S80" s="2045">
        <f t="shared" si="17"/>
        <v>23768.160376853502</v>
      </c>
      <c r="T80" s="937">
        <v>72903.71875</v>
      </c>
      <c r="U80" s="2045">
        <f t="shared" si="9"/>
        <v>0</v>
      </c>
      <c r="V80" s="989">
        <v>21575.938999999998</v>
      </c>
      <c r="W80" s="989">
        <v>102687.181</v>
      </c>
      <c r="X80" s="2042">
        <f t="shared" si="10"/>
        <v>-8772.5</v>
      </c>
      <c r="Y80" s="988">
        <v>0</v>
      </c>
      <c r="Z80" s="2051">
        <f t="shared" si="11"/>
        <v>0</v>
      </c>
      <c r="AA80" s="929">
        <f t="shared" si="18"/>
        <v>0</v>
      </c>
      <c r="AB80" s="930">
        <f t="shared" si="12"/>
        <v>0</v>
      </c>
      <c r="AC80" s="931">
        <f t="shared" si="19"/>
        <v>121849.07157472</v>
      </c>
      <c r="AD80" s="931">
        <f t="shared" si="20"/>
        <v>-121849.07157472</v>
      </c>
      <c r="AE80" s="931">
        <f t="shared" si="21"/>
        <v>-1033473.8799696</v>
      </c>
      <c r="AF80" s="931"/>
      <c r="AG80" s="932"/>
    </row>
    <row r="81" spans="3:36" x14ac:dyDescent="0.2">
      <c r="C81" s="933">
        <f t="shared" si="13"/>
        <v>43566</v>
      </c>
      <c r="D81" s="919">
        <f t="shared" si="14"/>
        <v>153350.92387096773</v>
      </c>
      <c r="E81" s="920">
        <f t="shared" si="15"/>
        <v>14421.080258064516</v>
      </c>
      <c r="F81" s="934">
        <f t="shared" si="6"/>
        <v>188074.337188</v>
      </c>
      <c r="G81" s="935">
        <f t="shared" si="16"/>
        <v>1.0163853</v>
      </c>
      <c r="H81" s="923">
        <f t="shared" si="7"/>
        <v>191.15600000000001</v>
      </c>
      <c r="I81" s="924">
        <f t="shared" si="8"/>
        <v>356038.51370233227</v>
      </c>
      <c r="J81" s="925"/>
      <c r="K81" s="926"/>
      <c r="L81" s="926"/>
      <c r="M81" s="984"/>
      <c r="N81" s="927">
        <v>23542.335717422997</v>
      </c>
      <c r="O81" s="928">
        <v>72312.867188000004</v>
      </c>
      <c r="P81" s="928">
        <v>115761.47</v>
      </c>
      <c r="Q81" s="2373">
        <v>0</v>
      </c>
      <c r="R81" s="2040"/>
      <c r="S81" s="2045">
        <f t="shared" si="17"/>
        <v>23542.335717422997</v>
      </c>
      <c r="T81" s="928">
        <v>72312.867188000004</v>
      </c>
      <c r="U81" s="2045">
        <f t="shared" si="9"/>
        <v>0</v>
      </c>
      <c r="V81" s="989">
        <v>21493.64</v>
      </c>
      <c r="W81" s="989">
        <v>104368.486</v>
      </c>
      <c r="X81" s="2042">
        <f t="shared" si="10"/>
        <v>-10100.656000000003</v>
      </c>
      <c r="Y81" s="988">
        <v>0</v>
      </c>
      <c r="Z81" s="2051">
        <f t="shared" si="11"/>
        <v>0</v>
      </c>
      <c r="AA81" s="929">
        <f t="shared" si="18"/>
        <v>0</v>
      </c>
      <c r="AB81" s="930">
        <f t="shared" si="12"/>
        <v>0</v>
      </c>
      <c r="AC81" s="931">
        <f t="shared" si="19"/>
        <v>122134.83349232</v>
      </c>
      <c r="AD81" s="931">
        <f t="shared" si="20"/>
        <v>-122134.83349232</v>
      </c>
      <c r="AE81" s="931">
        <f t="shared" si="21"/>
        <v>-1155608.7134619199</v>
      </c>
      <c r="AF81" s="931"/>
      <c r="AG81" s="932"/>
    </row>
    <row r="82" spans="3:36" x14ac:dyDescent="0.2">
      <c r="C82" s="933">
        <f t="shared" si="13"/>
        <v>43567</v>
      </c>
      <c r="D82" s="919">
        <f t="shared" si="14"/>
        <v>153350.92387096773</v>
      </c>
      <c r="E82" s="920">
        <f t="shared" si="15"/>
        <v>14421.080258064516</v>
      </c>
      <c r="F82" s="934">
        <f t="shared" si="6"/>
        <v>187221.38</v>
      </c>
      <c r="G82" s="935">
        <f t="shared" si="16"/>
        <v>1.0163853</v>
      </c>
      <c r="H82" s="923">
        <f t="shared" si="7"/>
        <v>190.28909999999999</v>
      </c>
      <c r="I82" s="924">
        <f t="shared" si="8"/>
        <v>355184.68961433228</v>
      </c>
      <c r="J82" s="925"/>
      <c r="K82" s="926"/>
      <c r="L82" s="926"/>
      <c r="M82" s="984"/>
      <c r="N82" s="927">
        <v>22875.355254182999</v>
      </c>
      <c r="O82" s="937">
        <v>71752.5</v>
      </c>
      <c r="P82" s="937">
        <v>115468.88</v>
      </c>
      <c r="Q82" s="2373">
        <v>0</v>
      </c>
      <c r="R82" s="2046"/>
      <c r="S82" s="2045">
        <f t="shared" si="17"/>
        <v>22875.355254182999</v>
      </c>
      <c r="T82" s="937">
        <v>71752.5</v>
      </c>
      <c r="U82" s="2045">
        <f t="shared" si="9"/>
        <v>0</v>
      </c>
      <c r="V82" s="989">
        <v>21501.254000000001</v>
      </c>
      <c r="W82" s="989">
        <v>104877.053</v>
      </c>
      <c r="X82" s="2042">
        <f t="shared" si="10"/>
        <v>-10909.426999999996</v>
      </c>
      <c r="Y82" s="988">
        <v>0</v>
      </c>
      <c r="Z82" s="2051">
        <f t="shared" si="11"/>
        <v>0</v>
      </c>
      <c r="AA82" s="929">
        <f t="shared" si="18"/>
        <v>0</v>
      </c>
      <c r="AB82" s="930">
        <f t="shared" si="12"/>
        <v>0</v>
      </c>
      <c r="AC82" s="931">
        <f t="shared" si="19"/>
        <v>121826.13465728001</v>
      </c>
      <c r="AD82" s="931">
        <f t="shared" si="20"/>
        <v>-121826.13465728001</v>
      </c>
      <c r="AE82" s="931">
        <f t="shared" si="21"/>
        <v>-1277434.8481192</v>
      </c>
      <c r="AF82" s="931"/>
      <c r="AG82" s="932"/>
    </row>
    <row r="83" spans="3:36" x14ac:dyDescent="0.2">
      <c r="C83" s="933">
        <f t="shared" si="13"/>
        <v>43568</v>
      </c>
      <c r="D83" s="919">
        <f t="shared" si="14"/>
        <v>153350.92387096773</v>
      </c>
      <c r="E83" s="920">
        <f t="shared" si="15"/>
        <v>14421.080258064516</v>
      </c>
      <c r="F83" s="934">
        <f t="shared" si="6"/>
        <v>187363.22625000001</v>
      </c>
      <c r="G83" s="935">
        <f t="shared" si="16"/>
        <v>1.0163853</v>
      </c>
      <c r="H83" s="923">
        <f t="shared" si="7"/>
        <v>190.4332</v>
      </c>
      <c r="I83" s="924">
        <f t="shared" si="8"/>
        <v>355326.67996433232</v>
      </c>
      <c r="J83" s="925"/>
      <c r="K83" s="926"/>
      <c r="L83" s="926"/>
      <c r="M83" s="984"/>
      <c r="N83" s="927">
        <v>22015.9970399472</v>
      </c>
      <c r="O83" s="928">
        <v>71583.65625</v>
      </c>
      <c r="P83" s="928">
        <v>115779.57</v>
      </c>
      <c r="Q83" s="2373">
        <v>0</v>
      </c>
      <c r="R83" s="2040"/>
      <c r="S83" s="2045">
        <f t="shared" si="17"/>
        <v>22015.9970399472</v>
      </c>
      <c r="T83" s="928">
        <v>71583.65625</v>
      </c>
      <c r="U83" s="2045">
        <f t="shared" si="9"/>
        <v>0</v>
      </c>
      <c r="V83" s="989">
        <v>21175.210999999999</v>
      </c>
      <c r="W83" s="989">
        <v>100966.06200000001</v>
      </c>
      <c r="X83" s="2042">
        <f t="shared" si="10"/>
        <v>-6361.7029999999941</v>
      </c>
      <c r="Y83" s="988">
        <v>0</v>
      </c>
      <c r="Z83" s="2051">
        <f t="shared" si="11"/>
        <v>0</v>
      </c>
      <c r="AA83" s="929">
        <f t="shared" si="18"/>
        <v>0</v>
      </c>
      <c r="AB83" s="930">
        <f t="shared" si="12"/>
        <v>0</v>
      </c>
      <c r="AC83" s="931">
        <f t="shared" si="19"/>
        <v>122153.93000592</v>
      </c>
      <c r="AD83" s="931">
        <f t="shared" si="20"/>
        <v>-122153.93000592</v>
      </c>
      <c r="AE83" s="931">
        <f t="shared" si="21"/>
        <v>-1399588.7781251199</v>
      </c>
      <c r="AF83" s="931"/>
      <c r="AG83" s="932"/>
    </row>
    <row r="84" spans="3:36" x14ac:dyDescent="0.2">
      <c r="C84" s="933">
        <f t="shared" si="13"/>
        <v>43569</v>
      </c>
      <c r="D84" s="919">
        <f t="shared" si="14"/>
        <v>153350.92387096773</v>
      </c>
      <c r="E84" s="920">
        <f t="shared" si="15"/>
        <v>14421.080258064516</v>
      </c>
      <c r="F84" s="934">
        <f t="shared" si="6"/>
        <v>181820.34156299999</v>
      </c>
      <c r="G84" s="935">
        <f t="shared" si="16"/>
        <v>1.0163853</v>
      </c>
      <c r="H84" s="923">
        <f t="shared" si="7"/>
        <v>184.79949999999999</v>
      </c>
      <c r="I84" s="924">
        <f t="shared" si="8"/>
        <v>349778.1615773323</v>
      </c>
      <c r="J84" s="925"/>
      <c r="K84" s="926"/>
      <c r="L84" s="926"/>
      <c r="M84" s="984"/>
      <c r="N84" s="927">
        <v>23429.206188303498</v>
      </c>
      <c r="O84" s="937">
        <v>71893.351563000004</v>
      </c>
      <c r="P84" s="937">
        <v>109926.99</v>
      </c>
      <c r="Q84" s="2373">
        <v>0</v>
      </c>
      <c r="R84" s="2046"/>
      <c r="S84" s="2045">
        <f t="shared" si="17"/>
        <v>23429.206188303498</v>
      </c>
      <c r="T84" s="937">
        <v>71893.351563000004</v>
      </c>
      <c r="U84" s="2045">
        <f t="shared" si="9"/>
        <v>0</v>
      </c>
      <c r="V84" s="989">
        <v>20975.322</v>
      </c>
      <c r="W84" s="989">
        <v>90204.73</v>
      </c>
      <c r="X84" s="2042">
        <f t="shared" si="10"/>
        <v>-1253.0619999999908</v>
      </c>
      <c r="Y84" s="988">
        <v>0</v>
      </c>
      <c r="Z84" s="2051">
        <f t="shared" si="11"/>
        <v>0</v>
      </c>
      <c r="AA84" s="929">
        <f t="shared" si="18"/>
        <v>0</v>
      </c>
      <c r="AB84" s="930">
        <f t="shared" si="12"/>
        <v>0</v>
      </c>
      <c r="AC84" s="931">
        <f t="shared" si="19"/>
        <v>115979.13036144001</v>
      </c>
      <c r="AD84" s="931">
        <f t="shared" si="20"/>
        <v>-115979.13036144001</v>
      </c>
      <c r="AE84" s="931">
        <f t="shared" si="21"/>
        <v>-1515567.90848656</v>
      </c>
      <c r="AF84" s="931"/>
      <c r="AG84" s="932"/>
    </row>
    <row r="85" spans="3:36" x14ac:dyDescent="0.2">
      <c r="C85" s="933">
        <f t="shared" si="13"/>
        <v>43570</v>
      </c>
      <c r="D85" s="919">
        <f t="shared" si="14"/>
        <v>153350.92387096773</v>
      </c>
      <c r="E85" s="920">
        <f t="shared" si="15"/>
        <v>14421.080258064516</v>
      </c>
      <c r="F85" s="934">
        <f t="shared" si="6"/>
        <v>188645.46843800001</v>
      </c>
      <c r="G85" s="935">
        <f t="shared" si="16"/>
        <v>1.0163853</v>
      </c>
      <c r="H85" s="923">
        <f t="shared" si="7"/>
        <v>191.73650000000001</v>
      </c>
      <c r="I85" s="924">
        <f t="shared" si="8"/>
        <v>356610.22545233229</v>
      </c>
      <c r="J85" s="925"/>
      <c r="K85" s="926"/>
      <c r="L85" s="926"/>
      <c r="M85" s="984"/>
      <c r="N85" s="927">
        <v>22615.078743384001</v>
      </c>
      <c r="O85" s="928">
        <v>73497.648438000004</v>
      </c>
      <c r="P85" s="928">
        <v>115147.82</v>
      </c>
      <c r="Q85" s="2373">
        <v>0</v>
      </c>
      <c r="R85" s="2040"/>
      <c r="S85" s="2045">
        <f t="shared" si="17"/>
        <v>22615.078743384001</v>
      </c>
      <c r="T85" s="928">
        <v>73497.600000000006</v>
      </c>
      <c r="U85" s="2045">
        <f t="shared" si="9"/>
        <v>4.8437999997986481E-2</v>
      </c>
      <c r="V85" s="989">
        <v>21397.611000000001</v>
      </c>
      <c r="W85" s="989">
        <v>102686.86900000001</v>
      </c>
      <c r="X85" s="2042">
        <f t="shared" si="10"/>
        <v>-8936.6600000000035</v>
      </c>
      <c r="Y85" s="988">
        <v>0</v>
      </c>
      <c r="Z85" s="2051">
        <f t="shared" si="11"/>
        <v>0</v>
      </c>
      <c r="AA85" s="929">
        <f t="shared" si="18"/>
        <v>0</v>
      </c>
      <c r="AB85" s="930">
        <f t="shared" si="12"/>
        <v>0</v>
      </c>
      <c r="AC85" s="931">
        <f t="shared" si="19"/>
        <v>121487.39837792001</v>
      </c>
      <c r="AD85" s="931">
        <f t="shared" si="20"/>
        <v>-121487.39837792001</v>
      </c>
      <c r="AE85" s="931">
        <f t="shared" si="21"/>
        <v>-1637055.30686448</v>
      </c>
      <c r="AF85" s="931"/>
      <c r="AG85" s="932"/>
    </row>
    <row r="86" spans="3:36" x14ac:dyDescent="0.2">
      <c r="C86" s="933">
        <f t="shared" si="13"/>
        <v>43571</v>
      </c>
      <c r="D86" s="919">
        <f t="shared" si="14"/>
        <v>153350.92387096773</v>
      </c>
      <c r="E86" s="920">
        <f t="shared" si="15"/>
        <v>14421.080258064516</v>
      </c>
      <c r="F86" s="934">
        <f t="shared" si="6"/>
        <v>188512.14031300001</v>
      </c>
      <c r="G86" s="935">
        <f t="shared" si="16"/>
        <v>1.0163853</v>
      </c>
      <c r="H86" s="923">
        <f t="shared" si="7"/>
        <v>191.601</v>
      </c>
      <c r="I86" s="924">
        <f t="shared" si="8"/>
        <v>356476.76182733232</v>
      </c>
      <c r="J86" s="925"/>
      <c r="K86" s="926"/>
      <c r="L86" s="926"/>
      <c r="M86" s="984"/>
      <c r="N86" s="927">
        <v>23478.200456536797</v>
      </c>
      <c r="O86" s="937">
        <v>73003.820313000004</v>
      </c>
      <c r="P86" s="937">
        <v>115508.32</v>
      </c>
      <c r="Q86" s="2373">
        <v>0</v>
      </c>
      <c r="R86" s="2046"/>
      <c r="S86" s="2045">
        <f t="shared" si="17"/>
        <v>23478.200456536797</v>
      </c>
      <c r="T86" s="937">
        <v>73003.8</v>
      </c>
      <c r="U86" s="2045">
        <f t="shared" si="9"/>
        <v>2.0313000000896864E-2</v>
      </c>
      <c r="V86" s="989">
        <v>25124.347000000002</v>
      </c>
      <c r="W86" s="989">
        <v>102875.466</v>
      </c>
      <c r="X86" s="2042">
        <f t="shared" si="10"/>
        <v>-12491.492999999988</v>
      </c>
      <c r="Y86" s="988">
        <v>0</v>
      </c>
      <c r="Z86" s="2051">
        <f t="shared" si="11"/>
        <v>0</v>
      </c>
      <c r="AA86" s="929">
        <f t="shared" si="18"/>
        <v>0</v>
      </c>
      <c r="AB86" s="930">
        <f t="shared" si="12"/>
        <v>0</v>
      </c>
      <c r="AC86" s="931">
        <f t="shared" si="19"/>
        <v>121867.74606592</v>
      </c>
      <c r="AD86" s="931">
        <f t="shared" si="20"/>
        <v>-121867.74606592</v>
      </c>
      <c r="AE86" s="931">
        <f t="shared" si="21"/>
        <v>-1758923.0529304</v>
      </c>
      <c r="AF86" s="931"/>
      <c r="AG86" s="932"/>
    </row>
    <row r="87" spans="3:36" x14ac:dyDescent="0.2">
      <c r="C87" s="933">
        <f t="shared" si="13"/>
        <v>43572</v>
      </c>
      <c r="D87" s="919">
        <f t="shared" si="14"/>
        <v>153350.92387096773</v>
      </c>
      <c r="E87" s="920">
        <f t="shared" si="15"/>
        <v>14421.080258064516</v>
      </c>
      <c r="F87" s="934">
        <f t="shared" si="6"/>
        <v>188328.55300000001</v>
      </c>
      <c r="G87" s="935">
        <f t="shared" si="16"/>
        <v>1.0163853</v>
      </c>
      <c r="H87" s="923">
        <f t="shared" si="7"/>
        <v>191.4144</v>
      </c>
      <c r="I87" s="924">
        <f t="shared" si="8"/>
        <v>356292.98791433231</v>
      </c>
      <c r="J87" s="925"/>
      <c r="K87" s="926"/>
      <c r="L87" s="926"/>
      <c r="M87" s="984"/>
      <c r="N87" s="927">
        <v>23675.802169653005</v>
      </c>
      <c r="O87" s="928">
        <v>72718.323000000004</v>
      </c>
      <c r="P87" s="928">
        <v>115610.23</v>
      </c>
      <c r="Q87" s="2373">
        <v>0</v>
      </c>
      <c r="R87" s="2040"/>
      <c r="S87" s="2045">
        <f t="shared" si="17"/>
        <v>23675.802169653005</v>
      </c>
      <c r="T87" s="928">
        <v>72718.3</v>
      </c>
      <c r="U87" s="2045">
        <f t="shared" si="9"/>
        <v>2.3000000001047738E-2</v>
      </c>
      <c r="V87" s="989">
        <v>26266.888999999999</v>
      </c>
      <c r="W87" s="989">
        <v>104055.261</v>
      </c>
      <c r="X87" s="2042">
        <f t="shared" si="10"/>
        <v>-14711.919999999998</v>
      </c>
      <c r="Y87" s="988">
        <v>0</v>
      </c>
      <c r="Z87" s="2051">
        <f t="shared" si="11"/>
        <v>0</v>
      </c>
      <c r="AA87" s="929">
        <f t="shared" si="18"/>
        <v>0</v>
      </c>
      <c r="AB87" s="930">
        <f t="shared" si="12"/>
        <v>0</v>
      </c>
      <c r="AC87" s="931">
        <f t="shared" si="19"/>
        <v>121975.26682287999</v>
      </c>
      <c r="AD87" s="931">
        <f t="shared" si="20"/>
        <v>-121975.26682287999</v>
      </c>
      <c r="AE87" s="931">
        <f t="shared" si="21"/>
        <v>-1880898.3197532799</v>
      </c>
      <c r="AF87" s="931"/>
      <c r="AG87" s="932"/>
    </row>
    <row r="88" spans="3:36" x14ac:dyDescent="0.2">
      <c r="C88" s="933">
        <f t="shared" si="13"/>
        <v>43573</v>
      </c>
      <c r="D88" s="919">
        <f t="shared" si="14"/>
        <v>153350.92387096773</v>
      </c>
      <c r="E88" s="920">
        <f t="shared" si="15"/>
        <v>14421.080258064516</v>
      </c>
      <c r="F88" s="934">
        <f t="shared" si="6"/>
        <v>183511.45624999999</v>
      </c>
      <c r="G88" s="935">
        <f t="shared" si="16"/>
        <v>1.0163853</v>
      </c>
      <c r="H88" s="923">
        <f t="shared" si="7"/>
        <v>186.51830000000001</v>
      </c>
      <c r="I88" s="924">
        <f t="shared" si="8"/>
        <v>351470.99506433227</v>
      </c>
      <c r="J88" s="925"/>
      <c r="K88" s="926"/>
      <c r="L88" s="926"/>
      <c r="M88" s="984"/>
      <c r="N88" s="927">
        <v>23562.18949968</v>
      </c>
      <c r="O88" s="937">
        <v>71286.40625</v>
      </c>
      <c r="P88" s="937">
        <v>112225.05</v>
      </c>
      <c r="Q88" s="2373">
        <v>0</v>
      </c>
      <c r="R88" s="2046"/>
      <c r="S88" s="2045">
        <f t="shared" si="17"/>
        <v>23562.18949968</v>
      </c>
      <c r="T88" s="937">
        <v>71286.399999999994</v>
      </c>
      <c r="U88" s="2045">
        <f t="shared" si="9"/>
        <v>6.2500000058207661E-3</v>
      </c>
      <c r="V88" s="989">
        <v>25943.787</v>
      </c>
      <c r="W88" s="989">
        <v>104069.76700000001</v>
      </c>
      <c r="X88" s="2042">
        <f t="shared" si="10"/>
        <v>-17788.504000000001</v>
      </c>
      <c r="Y88" s="988">
        <v>0</v>
      </c>
      <c r="Z88" s="2051">
        <f t="shared" si="11"/>
        <v>0</v>
      </c>
      <c r="AA88" s="929">
        <f t="shared" si="18"/>
        <v>0</v>
      </c>
      <c r="AB88" s="930">
        <f t="shared" si="12"/>
        <v>0</v>
      </c>
      <c r="AC88" s="931">
        <f t="shared" si="19"/>
        <v>118403.71235280001</v>
      </c>
      <c r="AD88" s="931">
        <f t="shared" si="20"/>
        <v>-118403.71235280001</v>
      </c>
      <c r="AE88" s="931">
        <f t="shared" si="21"/>
        <v>-1999302.0321060799</v>
      </c>
      <c r="AF88" s="931"/>
      <c r="AG88" s="932"/>
    </row>
    <row r="89" spans="3:36" x14ac:dyDescent="0.2">
      <c r="C89" s="933">
        <f t="shared" si="13"/>
        <v>43574</v>
      </c>
      <c r="D89" s="919">
        <f t="shared" si="14"/>
        <v>153350.92387096773</v>
      </c>
      <c r="E89" s="920">
        <f t="shared" si="15"/>
        <v>14421.080258064516</v>
      </c>
      <c r="F89" s="934">
        <f t="shared" si="6"/>
        <v>168506.53687499999</v>
      </c>
      <c r="G89" s="935">
        <f t="shared" si="16"/>
        <v>1.0163853</v>
      </c>
      <c r="H89" s="923">
        <f t="shared" si="7"/>
        <v>171.26759999999999</v>
      </c>
      <c r="I89" s="924">
        <f t="shared" si="8"/>
        <v>336450.82498933229</v>
      </c>
      <c r="J89" s="925"/>
      <c r="K89" s="926"/>
      <c r="L89" s="926"/>
      <c r="M89" s="984"/>
      <c r="N89" s="927">
        <v>23340.045944532601</v>
      </c>
      <c r="O89" s="928">
        <v>71361.046875</v>
      </c>
      <c r="P89" s="928">
        <v>97145.49</v>
      </c>
      <c r="Q89" s="2373">
        <v>0</v>
      </c>
      <c r="R89" s="2040"/>
      <c r="S89" s="2045">
        <f t="shared" si="17"/>
        <v>23340.045944532601</v>
      </c>
      <c r="T89" s="928">
        <v>71361</v>
      </c>
      <c r="U89" s="2045">
        <f t="shared" si="9"/>
        <v>4.6875E-2</v>
      </c>
      <c r="V89" s="989">
        <v>26186.512999999999</v>
      </c>
      <c r="W89" s="989">
        <v>102928.493</v>
      </c>
      <c r="X89" s="2042">
        <f t="shared" si="10"/>
        <v>-31969.515999999989</v>
      </c>
      <c r="Y89" s="988">
        <v>0</v>
      </c>
      <c r="Z89" s="2051">
        <f t="shared" si="11"/>
        <v>0</v>
      </c>
      <c r="AA89" s="929">
        <f t="shared" si="18"/>
        <v>0</v>
      </c>
      <c r="AB89" s="930">
        <f t="shared" si="12"/>
        <v>0</v>
      </c>
      <c r="AC89" s="931">
        <f t="shared" si="19"/>
        <v>102493.93209744</v>
      </c>
      <c r="AD89" s="931">
        <f t="shared" si="20"/>
        <v>-102493.93209744</v>
      </c>
      <c r="AE89" s="931">
        <f t="shared" si="21"/>
        <v>-2101795.9642035197</v>
      </c>
      <c r="AF89" s="931"/>
      <c r="AG89" s="932"/>
    </row>
    <row r="90" spans="3:36" x14ac:dyDescent="0.2">
      <c r="C90" s="933">
        <f t="shared" si="13"/>
        <v>43575</v>
      </c>
      <c r="D90" s="919">
        <f t="shared" si="14"/>
        <v>153350.92387096773</v>
      </c>
      <c r="E90" s="920">
        <f t="shared" si="15"/>
        <v>14421.080258064516</v>
      </c>
      <c r="F90" s="934">
        <f t="shared" si="6"/>
        <v>183954.46031300002</v>
      </c>
      <c r="G90" s="935">
        <f t="shared" si="16"/>
        <v>1.0163853</v>
      </c>
      <c r="H90" s="923">
        <f t="shared" si="7"/>
        <v>186.96860000000001</v>
      </c>
      <c r="I90" s="924">
        <f t="shared" si="8"/>
        <v>351914.44942733232</v>
      </c>
      <c r="J90" s="925"/>
      <c r="K90" s="926"/>
      <c r="L90" s="926"/>
      <c r="M90" s="984"/>
      <c r="N90" s="927">
        <v>16405.128707078398</v>
      </c>
      <c r="O90" s="937">
        <v>72524.570313000004</v>
      </c>
      <c r="P90" s="937">
        <v>111429.89</v>
      </c>
      <c r="Q90" s="2373">
        <v>0</v>
      </c>
      <c r="R90" s="2046"/>
      <c r="S90" s="2045">
        <f t="shared" si="17"/>
        <v>16405.128707078398</v>
      </c>
      <c r="T90" s="937">
        <v>72524.600000000006</v>
      </c>
      <c r="U90" s="2045">
        <f t="shared" si="9"/>
        <v>-2.9687000002013519E-2</v>
      </c>
      <c r="V90" s="989">
        <v>22826.368999999999</v>
      </c>
      <c r="W90" s="989">
        <v>97723.084000000003</v>
      </c>
      <c r="X90" s="2042">
        <f t="shared" si="10"/>
        <v>-9119.5630000000092</v>
      </c>
      <c r="Y90" s="988">
        <v>0</v>
      </c>
      <c r="Z90" s="2051">
        <f t="shared" si="11"/>
        <v>0</v>
      </c>
      <c r="AA90" s="929">
        <f t="shared" si="18"/>
        <v>0</v>
      </c>
      <c r="AB90" s="930">
        <f t="shared" si="12"/>
        <v>0</v>
      </c>
      <c r="AC90" s="931">
        <f t="shared" si="19"/>
        <v>117564.77402384</v>
      </c>
      <c r="AD90" s="931">
        <f t="shared" si="20"/>
        <v>-117564.77402384</v>
      </c>
      <c r="AE90" s="931">
        <f t="shared" si="21"/>
        <v>-2219360.73822736</v>
      </c>
      <c r="AF90" s="931"/>
      <c r="AG90" s="932"/>
    </row>
    <row r="91" spans="3:36" x14ac:dyDescent="0.2">
      <c r="C91" s="933">
        <f t="shared" si="13"/>
        <v>43576</v>
      </c>
      <c r="D91" s="919">
        <f t="shared" si="14"/>
        <v>153350.92387096773</v>
      </c>
      <c r="E91" s="920">
        <f t="shared" si="15"/>
        <v>14421.080258064516</v>
      </c>
      <c r="F91" s="934">
        <f t="shared" si="6"/>
        <v>173100.93468800001</v>
      </c>
      <c r="G91" s="935">
        <f t="shared" si="16"/>
        <v>1.0163853</v>
      </c>
      <c r="H91" s="923">
        <f t="shared" si="7"/>
        <v>175.93719999999999</v>
      </c>
      <c r="I91" s="924">
        <f t="shared" si="8"/>
        <v>341049.89240233228</v>
      </c>
      <c r="J91" s="925"/>
      <c r="K91" s="926"/>
      <c r="L91" s="926"/>
      <c r="M91" s="984"/>
      <c r="N91" s="927">
        <v>19274.543148442401</v>
      </c>
      <c r="O91" s="928">
        <v>71879.554688000004</v>
      </c>
      <c r="P91" s="928">
        <v>101221.38</v>
      </c>
      <c r="Q91" s="2373">
        <v>0</v>
      </c>
      <c r="R91" s="2040"/>
      <c r="S91" s="2045">
        <f t="shared" si="17"/>
        <v>19274.543148442401</v>
      </c>
      <c r="T91" s="928">
        <v>71879.600000000006</v>
      </c>
      <c r="U91" s="2045">
        <f t="shared" si="9"/>
        <v>-4.5312000002013519E-2</v>
      </c>
      <c r="V91" s="989">
        <v>23146.462</v>
      </c>
      <c r="W91" s="989">
        <v>96687.922999999995</v>
      </c>
      <c r="X91" s="2042">
        <f t="shared" si="10"/>
        <v>-18613.00499999999</v>
      </c>
      <c r="Y91" s="988">
        <v>0</v>
      </c>
      <c r="Z91" s="2051">
        <f t="shared" si="11"/>
        <v>0</v>
      </c>
      <c r="AA91" s="929">
        <f t="shared" si="18"/>
        <v>0</v>
      </c>
      <c r="AB91" s="930">
        <f t="shared" si="12"/>
        <v>0</v>
      </c>
      <c r="AC91" s="931">
        <f t="shared" si="19"/>
        <v>106794.22429728</v>
      </c>
      <c r="AD91" s="931">
        <f t="shared" si="20"/>
        <v>-106794.22429728</v>
      </c>
      <c r="AE91" s="931">
        <f t="shared" si="21"/>
        <v>-2326154.9625246399</v>
      </c>
      <c r="AF91" s="931"/>
      <c r="AG91" s="932"/>
    </row>
    <row r="92" spans="3:36" x14ac:dyDescent="0.2">
      <c r="C92" s="933">
        <f t="shared" si="13"/>
        <v>43577</v>
      </c>
      <c r="D92" s="919">
        <f t="shared" si="14"/>
        <v>153350.92387096773</v>
      </c>
      <c r="E92" s="920">
        <f t="shared" si="15"/>
        <v>14421.080258064516</v>
      </c>
      <c r="F92" s="934">
        <f t="shared" si="6"/>
        <v>187128.879063</v>
      </c>
      <c r="G92" s="935">
        <f t="shared" si="16"/>
        <v>1.0163853</v>
      </c>
      <c r="H92" s="923">
        <f t="shared" si="7"/>
        <v>190.19499999999999</v>
      </c>
      <c r="I92" s="924">
        <f t="shared" si="8"/>
        <v>355092.09457733226</v>
      </c>
      <c r="J92" s="925"/>
      <c r="K92" s="926"/>
      <c r="L92" s="926"/>
      <c r="M92" s="984"/>
      <c r="N92" s="927">
        <v>23733.518729097603</v>
      </c>
      <c r="O92" s="937">
        <v>72411.289063000004</v>
      </c>
      <c r="P92" s="937">
        <v>114717.59</v>
      </c>
      <c r="Q92" s="2373">
        <v>0</v>
      </c>
      <c r="R92" s="2046"/>
      <c r="S92" s="2045">
        <f t="shared" si="17"/>
        <v>23733.518729097603</v>
      </c>
      <c r="T92" s="937">
        <v>72411.3</v>
      </c>
      <c r="U92" s="2045">
        <f t="shared" si="9"/>
        <v>-1.0936999999103136E-2</v>
      </c>
      <c r="V92" s="989">
        <v>26227.492999999999</v>
      </c>
      <c r="W92" s="989">
        <v>104280.925</v>
      </c>
      <c r="X92" s="2042">
        <f t="shared" si="10"/>
        <v>-15790.828000000009</v>
      </c>
      <c r="Y92" s="988">
        <v>0</v>
      </c>
      <c r="Z92" s="2051">
        <f t="shared" si="11"/>
        <v>0</v>
      </c>
      <c r="AA92" s="929">
        <f t="shared" si="18"/>
        <v>0</v>
      </c>
      <c r="AB92" s="930">
        <f t="shared" si="12"/>
        <v>0</v>
      </c>
      <c r="AC92" s="931">
        <f t="shared" si="19"/>
        <v>121033.48163503999</v>
      </c>
      <c r="AD92" s="931">
        <f t="shared" si="20"/>
        <v>-121033.48163503999</v>
      </c>
      <c r="AE92" s="931">
        <f t="shared" si="21"/>
        <v>-2447188.44415968</v>
      </c>
      <c r="AF92" s="931"/>
      <c r="AG92" s="932"/>
    </row>
    <row r="93" spans="3:36" x14ac:dyDescent="0.2">
      <c r="C93" s="933">
        <f t="shared" si="13"/>
        <v>43578</v>
      </c>
      <c r="D93" s="919">
        <f t="shared" si="14"/>
        <v>153350.92387096773</v>
      </c>
      <c r="E93" s="920">
        <f t="shared" si="15"/>
        <v>14421.080258064516</v>
      </c>
      <c r="F93" s="934">
        <f t="shared" si="6"/>
        <v>187579.09437499999</v>
      </c>
      <c r="G93" s="935">
        <f t="shared" si="16"/>
        <v>1.0163853</v>
      </c>
      <c r="H93" s="923">
        <f t="shared" si="7"/>
        <v>190.65260000000001</v>
      </c>
      <c r="I93" s="924">
        <f t="shared" si="8"/>
        <v>355542.76748933224</v>
      </c>
      <c r="J93" s="925"/>
      <c r="K93" s="926"/>
      <c r="L93" s="926"/>
      <c r="M93" s="984"/>
      <c r="N93" s="927">
        <v>23375.082557746096</v>
      </c>
      <c r="O93" s="928">
        <v>71913.234375</v>
      </c>
      <c r="P93" s="928">
        <v>115665.86</v>
      </c>
      <c r="Q93" s="2373">
        <v>0</v>
      </c>
      <c r="R93" s="2040"/>
      <c r="S93" s="2045">
        <f t="shared" si="17"/>
        <v>23375.082557746096</v>
      </c>
      <c r="T93" s="928">
        <v>71913.2</v>
      </c>
      <c r="U93" s="2045">
        <f t="shared" si="9"/>
        <v>3.4375000002910383E-2</v>
      </c>
      <c r="V93" s="989">
        <v>27787.338</v>
      </c>
      <c r="W93" s="989">
        <v>104984.622</v>
      </c>
      <c r="X93" s="2042">
        <f t="shared" si="10"/>
        <v>-17106.099999999991</v>
      </c>
      <c r="Y93" s="988">
        <v>0</v>
      </c>
      <c r="Z93" s="2051">
        <f t="shared" si="11"/>
        <v>0</v>
      </c>
      <c r="AA93" s="929">
        <f t="shared" si="18"/>
        <v>0</v>
      </c>
      <c r="AB93" s="930">
        <f t="shared" si="12"/>
        <v>0</v>
      </c>
      <c r="AC93" s="931">
        <f t="shared" si="19"/>
        <v>122033.95958816</v>
      </c>
      <c r="AD93" s="931">
        <f t="shared" si="20"/>
        <v>-122033.95958816</v>
      </c>
      <c r="AE93" s="931">
        <f t="shared" si="21"/>
        <v>-2569222.4037478399</v>
      </c>
      <c r="AF93" s="931"/>
      <c r="AG93" s="932"/>
    </row>
    <row r="94" spans="3:36" x14ac:dyDescent="0.2">
      <c r="C94" s="933">
        <f t="shared" si="13"/>
        <v>43579</v>
      </c>
      <c r="D94" s="919">
        <f t="shared" si="14"/>
        <v>153350.92387096773</v>
      </c>
      <c r="E94" s="920">
        <f t="shared" si="15"/>
        <v>14421.080258064516</v>
      </c>
      <c r="F94" s="934">
        <f t="shared" si="6"/>
        <v>188469.77937499998</v>
      </c>
      <c r="G94" s="935">
        <f t="shared" si="16"/>
        <v>1.0163853</v>
      </c>
      <c r="H94" s="923">
        <f t="shared" si="7"/>
        <v>191.55789999999999</v>
      </c>
      <c r="I94" s="924">
        <f t="shared" si="8"/>
        <v>356434.35778933228</v>
      </c>
      <c r="J94" s="925"/>
      <c r="K94" s="926"/>
      <c r="L94" s="926"/>
      <c r="M94" s="984"/>
      <c r="N94" s="927">
        <v>23671.7154139704</v>
      </c>
      <c r="O94" s="937">
        <v>72632.359375</v>
      </c>
      <c r="P94" s="937">
        <v>115837.42</v>
      </c>
      <c r="Q94" s="2373">
        <v>0</v>
      </c>
      <c r="R94" s="2046"/>
      <c r="S94" s="2045">
        <f t="shared" si="17"/>
        <v>23671.7154139704</v>
      </c>
      <c r="T94" s="937">
        <v>72632.399999999994</v>
      </c>
      <c r="U94" s="2045">
        <f t="shared" si="9"/>
        <v>-4.0624999994179234E-2</v>
      </c>
      <c r="V94" s="989">
        <v>27684.021000000001</v>
      </c>
      <c r="W94" s="989">
        <v>104764.364</v>
      </c>
      <c r="X94" s="2042">
        <f t="shared" si="10"/>
        <v>-16610.965000000011</v>
      </c>
      <c r="Y94" s="988">
        <v>0</v>
      </c>
      <c r="Z94" s="2051">
        <f t="shared" si="11"/>
        <v>0</v>
      </c>
      <c r="AA94" s="929">
        <f t="shared" si="18"/>
        <v>0</v>
      </c>
      <c r="AB94" s="930">
        <f t="shared" si="12"/>
        <v>0</v>
      </c>
      <c r="AC94" s="931">
        <f t="shared" si="19"/>
        <v>122214.96499552</v>
      </c>
      <c r="AD94" s="931">
        <f t="shared" si="20"/>
        <v>-122214.96499552</v>
      </c>
      <c r="AE94" s="931">
        <f t="shared" si="21"/>
        <v>-2691437.36874336</v>
      </c>
      <c r="AF94" s="931"/>
      <c r="AG94" s="932"/>
      <c r="AH94" s="843"/>
      <c r="AI94" s="843"/>
      <c r="AJ94" s="843"/>
    </row>
    <row r="95" spans="3:36" x14ac:dyDescent="0.2">
      <c r="C95" s="933">
        <f t="shared" si="13"/>
        <v>43580</v>
      </c>
      <c r="D95" s="919">
        <f t="shared" si="14"/>
        <v>153350.92387096773</v>
      </c>
      <c r="E95" s="920">
        <f t="shared" si="15"/>
        <v>14421.080258064516</v>
      </c>
      <c r="F95" s="934">
        <f t="shared" si="6"/>
        <v>189720.34218800001</v>
      </c>
      <c r="G95" s="935">
        <f t="shared" si="16"/>
        <v>1.0163853</v>
      </c>
      <c r="H95" s="923">
        <f t="shared" si="7"/>
        <v>192.82900000000001</v>
      </c>
      <c r="I95" s="924">
        <f t="shared" si="8"/>
        <v>357686.19170233229</v>
      </c>
      <c r="J95" s="925"/>
      <c r="K95" s="926"/>
      <c r="L95" s="926"/>
      <c r="M95" s="984"/>
      <c r="N95" s="927">
        <v>23665.298077800002</v>
      </c>
      <c r="O95" s="928">
        <v>74076.492188000004</v>
      </c>
      <c r="P95" s="928">
        <v>115643.85</v>
      </c>
      <c r="Q95" s="2373">
        <v>0</v>
      </c>
      <c r="R95" s="2040"/>
      <c r="S95" s="2045">
        <f t="shared" si="17"/>
        <v>23665.298077800002</v>
      </c>
      <c r="T95" s="928">
        <v>74076.5</v>
      </c>
      <c r="U95" s="2045">
        <f t="shared" si="9"/>
        <v>-7.8119999961927533E-3</v>
      </c>
      <c r="V95" s="989">
        <v>30452.124</v>
      </c>
      <c r="W95" s="989">
        <v>99758.456000000006</v>
      </c>
      <c r="X95" s="2042">
        <f t="shared" si="10"/>
        <v>-14566.729999999996</v>
      </c>
      <c r="Y95" s="988">
        <v>0</v>
      </c>
      <c r="Z95" s="2051">
        <f t="shared" si="11"/>
        <v>0</v>
      </c>
      <c r="AA95" s="929">
        <f t="shared" si="18"/>
        <v>0</v>
      </c>
      <c r="AB95" s="930">
        <f t="shared" si="12"/>
        <v>0</v>
      </c>
      <c r="AC95" s="931">
        <f t="shared" si="19"/>
        <v>122010.7378056</v>
      </c>
      <c r="AD95" s="931">
        <f t="shared" si="20"/>
        <v>-122010.7378056</v>
      </c>
      <c r="AE95" s="931">
        <f t="shared" si="21"/>
        <v>-2813448.1065489599</v>
      </c>
      <c r="AF95" s="931"/>
      <c r="AG95" s="932"/>
      <c r="AH95" s="843"/>
      <c r="AI95" s="843"/>
      <c r="AJ95" s="843"/>
    </row>
    <row r="96" spans="3:36" x14ac:dyDescent="0.2">
      <c r="C96" s="933">
        <f t="shared" si="13"/>
        <v>43581</v>
      </c>
      <c r="D96" s="919">
        <f t="shared" si="14"/>
        <v>153350.92387096773</v>
      </c>
      <c r="E96" s="920">
        <f t="shared" si="15"/>
        <v>14421.080258064516</v>
      </c>
      <c r="F96" s="934">
        <f t="shared" si="6"/>
        <v>189859.302188</v>
      </c>
      <c r="G96" s="935">
        <f t="shared" si="16"/>
        <v>1.0163853</v>
      </c>
      <c r="H96" s="923">
        <f t="shared" si="7"/>
        <v>192.97020000000001</v>
      </c>
      <c r="I96" s="924">
        <f t="shared" si="8"/>
        <v>357825.29290233226</v>
      </c>
      <c r="J96" s="925"/>
      <c r="K96" s="926"/>
      <c r="L96" s="926"/>
      <c r="M96" s="984"/>
      <c r="N96" s="927">
        <v>23634.140414191996</v>
      </c>
      <c r="O96" s="937">
        <v>73722.992188000004</v>
      </c>
      <c r="P96" s="937">
        <v>116136.31</v>
      </c>
      <c r="Q96" s="2373">
        <v>0</v>
      </c>
      <c r="R96" s="2046"/>
      <c r="S96" s="2045">
        <f t="shared" si="17"/>
        <v>23634.140414191996</v>
      </c>
      <c r="T96" s="937">
        <v>73723</v>
      </c>
      <c r="U96" s="2045">
        <f t="shared" si="9"/>
        <v>-7.8119999961927533E-3</v>
      </c>
      <c r="V96" s="989">
        <v>31026.594000000001</v>
      </c>
      <c r="W96" s="989">
        <v>98654.324999999997</v>
      </c>
      <c r="X96" s="2042">
        <f t="shared" si="10"/>
        <v>-13544.608999999997</v>
      </c>
      <c r="Y96" s="988">
        <v>0</v>
      </c>
      <c r="Z96" s="2051">
        <f t="shared" si="11"/>
        <v>0</v>
      </c>
      <c r="AA96" s="929">
        <f t="shared" si="18"/>
        <v>0</v>
      </c>
      <c r="AB96" s="930">
        <f t="shared" si="12"/>
        <v>0</v>
      </c>
      <c r="AC96" s="931">
        <f t="shared" si="19"/>
        <v>122530.31068336</v>
      </c>
      <c r="AD96" s="931">
        <f t="shared" si="20"/>
        <v>-122530.31068336</v>
      </c>
      <c r="AE96" s="931">
        <f t="shared" si="21"/>
        <v>-2935978.4172323197</v>
      </c>
      <c r="AF96" s="931"/>
      <c r="AG96" s="932"/>
      <c r="AH96" s="843"/>
      <c r="AI96" s="843"/>
      <c r="AJ96" s="843"/>
    </row>
    <row r="97" spans="2:42" x14ac:dyDescent="0.2">
      <c r="C97" s="933">
        <f t="shared" si="13"/>
        <v>43582</v>
      </c>
      <c r="D97" s="919">
        <f t="shared" si="14"/>
        <v>153350.92387096773</v>
      </c>
      <c r="E97" s="920">
        <f t="shared" si="15"/>
        <v>14421.080258064516</v>
      </c>
      <c r="F97" s="934">
        <f t="shared" si="6"/>
        <v>189518.44750000001</v>
      </c>
      <c r="G97" s="935">
        <f t="shared" si="16"/>
        <v>1.0163853</v>
      </c>
      <c r="H97" s="923">
        <f t="shared" si="7"/>
        <v>192.62379999999999</v>
      </c>
      <c r="I97" s="924">
        <f t="shared" si="8"/>
        <v>357484.09181433229</v>
      </c>
      <c r="J97" s="925"/>
      <c r="K97" s="926"/>
      <c r="L97" s="926"/>
      <c r="M97" s="984"/>
      <c r="N97" s="927">
        <v>23645.264072684997</v>
      </c>
      <c r="O97" s="928">
        <v>73605.6875</v>
      </c>
      <c r="P97" s="928">
        <v>115912.76</v>
      </c>
      <c r="Q97" s="2373">
        <v>0</v>
      </c>
      <c r="R97" s="2040"/>
      <c r="S97" s="2045">
        <f t="shared" si="17"/>
        <v>23645.264072684997</v>
      </c>
      <c r="T97" s="928">
        <v>73605.7</v>
      </c>
      <c r="U97" s="2045">
        <f t="shared" si="9"/>
        <v>-1.2499999997089617E-2</v>
      </c>
      <c r="V97" s="989">
        <v>32658.124</v>
      </c>
      <c r="W97" s="989">
        <v>99753.255999999994</v>
      </c>
      <c r="X97" s="2042">
        <f t="shared" si="10"/>
        <v>-16498.62000000001</v>
      </c>
      <c r="Y97" s="988">
        <v>0</v>
      </c>
      <c r="Z97" s="2051">
        <f t="shared" si="11"/>
        <v>0</v>
      </c>
      <c r="AA97" s="929">
        <f t="shared" si="18"/>
        <v>0</v>
      </c>
      <c r="AB97" s="930">
        <f t="shared" si="12"/>
        <v>0</v>
      </c>
      <c r="AC97" s="931">
        <f t="shared" si="19"/>
        <v>122294.45291456</v>
      </c>
      <c r="AD97" s="931">
        <f t="shared" si="20"/>
        <v>-122294.45291456</v>
      </c>
      <c r="AE97" s="931">
        <f t="shared" si="21"/>
        <v>-3058272.8701468799</v>
      </c>
      <c r="AF97" s="931"/>
      <c r="AG97" s="932"/>
      <c r="AH97" s="843"/>
      <c r="AI97" s="843"/>
      <c r="AJ97" s="843"/>
    </row>
    <row r="98" spans="2:42" x14ac:dyDescent="0.2">
      <c r="C98" s="933">
        <f t="shared" si="13"/>
        <v>43583</v>
      </c>
      <c r="D98" s="919">
        <f t="shared" si="14"/>
        <v>153350.92387096773</v>
      </c>
      <c r="E98" s="920">
        <f t="shared" si="15"/>
        <v>14421.080258064516</v>
      </c>
      <c r="F98" s="934">
        <f t="shared" si="6"/>
        <v>188113.76624999999</v>
      </c>
      <c r="G98" s="935">
        <f t="shared" si="16"/>
        <v>1.0163853</v>
      </c>
      <c r="H98" s="923">
        <f t="shared" si="7"/>
        <v>191.1961</v>
      </c>
      <c r="I98" s="924">
        <f t="shared" si="8"/>
        <v>356077.98286433227</v>
      </c>
      <c r="J98" s="925"/>
      <c r="K98" s="926"/>
      <c r="L98" s="926"/>
      <c r="M98" s="984"/>
      <c r="N98" s="927">
        <v>23743.0274731629</v>
      </c>
      <c r="O98" s="937">
        <v>72405.40625</v>
      </c>
      <c r="P98" s="937">
        <v>115708.36</v>
      </c>
      <c r="Q98" s="2373">
        <v>0</v>
      </c>
      <c r="R98" s="2046"/>
      <c r="S98" s="2045">
        <f t="shared" si="17"/>
        <v>23743.0274731629</v>
      </c>
      <c r="T98" s="937">
        <v>72405.41</v>
      </c>
      <c r="U98" s="2045">
        <f t="shared" si="9"/>
        <v>-3.7500000034924597E-3</v>
      </c>
      <c r="V98" s="989">
        <v>31514.536</v>
      </c>
      <c r="W98" s="989">
        <v>99563.247000000003</v>
      </c>
      <c r="X98" s="2042">
        <f t="shared" si="10"/>
        <v>-15369.422999999995</v>
      </c>
      <c r="Y98" s="988">
        <v>0</v>
      </c>
      <c r="Z98" s="2051">
        <f t="shared" si="11"/>
        <v>0</v>
      </c>
      <c r="AA98" s="929">
        <f t="shared" si="18"/>
        <v>0</v>
      </c>
      <c r="AB98" s="930">
        <f t="shared" si="12"/>
        <v>0</v>
      </c>
      <c r="AC98" s="931">
        <f t="shared" si="19"/>
        <v>122078.79946816</v>
      </c>
      <c r="AD98" s="931">
        <f t="shared" si="20"/>
        <v>-122078.79946816</v>
      </c>
      <c r="AE98" s="931">
        <f t="shared" si="21"/>
        <v>-3180351.6696150401</v>
      </c>
      <c r="AF98" s="931"/>
      <c r="AG98" s="932"/>
      <c r="AH98" s="843"/>
      <c r="AI98" s="843"/>
      <c r="AJ98" s="843"/>
    </row>
    <row r="99" spans="2:42" x14ac:dyDescent="0.2">
      <c r="C99" s="933">
        <f t="shared" si="13"/>
        <v>43584</v>
      </c>
      <c r="D99" s="919">
        <f t="shared" si="14"/>
        <v>153350.92387096773</v>
      </c>
      <c r="E99" s="920">
        <f t="shared" si="15"/>
        <v>14421.080258064516</v>
      </c>
      <c r="F99" s="934">
        <f t="shared" si="6"/>
        <v>188860.17812500001</v>
      </c>
      <c r="G99" s="935">
        <f t="shared" si="16"/>
        <v>1.0163853</v>
      </c>
      <c r="H99" s="923">
        <f t="shared" si="7"/>
        <v>191.9547</v>
      </c>
      <c r="I99" s="924">
        <f t="shared" si="8"/>
        <v>356825.15333933226</v>
      </c>
      <c r="J99" s="925"/>
      <c r="K99" s="926"/>
      <c r="L99" s="926"/>
      <c r="M99" s="926"/>
      <c r="N99" s="927">
        <v>23724.766717869003</v>
      </c>
      <c r="O99" s="937">
        <v>73367.828125</v>
      </c>
      <c r="P99" s="937">
        <v>115492.35</v>
      </c>
      <c r="Q99" s="2373">
        <v>0</v>
      </c>
      <c r="R99" s="2040"/>
      <c r="S99" s="2051">
        <f t="shared" si="17"/>
        <v>23724.766717869003</v>
      </c>
      <c r="T99" s="928">
        <v>70000.417000000001</v>
      </c>
      <c r="U99" s="2051">
        <f t="shared" si="9"/>
        <v>3367.4111249999987</v>
      </c>
      <c r="V99" s="2050">
        <v>2.2000000011757948E-2</v>
      </c>
      <c r="W99" s="2050">
        <v>0</v>
      </c>
      <c r="X99" s="2048">
        <f t="shared" si="10"/>
        <v>115492.32799999999</v>
      </c>
      <c r="Y99" s="2049">
        <v>0</v>
      </c>
      <c r="Z99" s="2051">
        <f t="shared" si="11"/>
        <v>0</v>
      </c>
      <c r="AA99" s="929">
        <f t="shared" si="18"/>
        <v>0</v>
      </c>
      <c r="AB99" s="930">
        <f t="shared" si="12"/>
        <v>0</v>
      </c>
      <c r="AC99" s="931">
        <f t="shared" si="19"/>
        <v>121850.89682160001</v>
      </c>
      <c r="AD99" s="931">
        <f t="shared" si="20"/>
        <v>-121850.89682160001</v>
      </c>
      <c r="AE99" s="931">
        <f t="shared" si="21"/>
        <v>-3302202.56643664</v>
      </c>
      <c r="AF99" s="931"/>
      <c r="AG99" s="932"/>
      <c r="AH99" s="843"/>
      <c r="AI99" s="843"/>
      <c r="AJ99" s="843"/>
    </row>
    <row r="100" spans="2:42" x14ac:dyDescent="0.2">
      <c r="C100" s="933">
        <f t="shared" si="13"/>
        <v>43585</v>
      </c>
      <c r="D100" s="919">
        <f t="shared" si="14"/>
        <v>153350.92387096773</v>
      </c>
      <c r="E100" s="920">
        <f t="shared" si="15"/>
        <v>14421.080258064516</v>
      </c>
      <c r="F100" s="934">
        <f t="shared" si="6"/>
        <v>188814.94343799999</v>
      </c>
      <c r="G100" s="935">
        <f t="shared" si="16"/>
        <v>1.0163853</v>
      </c>
      <c r="H100" s="923">
        <f t="shared" si="7"/>
        <v>191.90870000000001</v>
      </c>
      <c r="I100" s="924">
        <f t="shared" si="8"/>
        <v>356779.8726523323</v>
      </c>
      <c r="J100" s="925"/>
      <c r="K100" s="926"/>
      <c r="L100" s="926"/>
      <c r="M100" s="926"/>
      <c r="N100" s="927">
        <v>23731.155393321798</v>
      </c>
      <c r="O100" s="937">
        <v>73459.023438000004</v>
      </c>
      <c r="P100" s="937">
        <v>115355.92</v>
      </c>
      <c r="Q100" s="2373">
        <v>0</v>
      </c>
      <c r="R100" s="2040"/>
      <c r="S100" s="2051">
        <f t="shared" si="17"/>
        <v>23731.155393321798</v>
      </c>
      <c r="T100" s="2041">
        <v>75382.153999999995</v>
      </c>
      <c r="U100" s="2051">
        <f t="shared" si="9"/>
        <v>-1923.1305619999912</v>
      </c>
      <c r="V100" s="2050">
        <v>-2.3999999990337528E-2</v>
      </c>
      <c r="W100" s="2050">
        <v>0</v>
      </c>
      <c r="X100" s="2048">
        <f t="shared" si="10"/>
        <v>115355.94399999999</v>
      </c>
      <c r="Y100" s="2049">
        <v>0</v>
      </c>
      <c r="Z100" s="2051">
        <f t="shared" si="11"/>
        <v>0</v>
      </c>
      <c r="AA100" s="929">
        <f t="shared" si="18"/>
        <v>0</v>
      </c>
      <c r="AB100" s="930">
        <f t="shared" si="12"/>
        <v>0</v>
      </c>
      <c r="AC100" s="931">
        <f t="shared" si="19"/>
        <v>121706.95553152</v>
      </c>
      <c r="AD100" s="931">
        <f t="shared" si="20"/>
        <v>-121706.95553152</v>
      </c>
      <c r="AE100" s="931">
        <f t="shared" si="21"/>
        <v>-3423909.5219681598</v>
      </c>
      <c r="AF100" s="931"/>
      <c r="AG100" s="932"/>
      <c r="AH100" s="843"/>
      <c r="AI100" s="843"/>
      <c r="AJ100" s="843"/>
    </row>
    <row r="101" spans="2:42" ht="13.5" thickBot="1" x14ac:dyDescent="0.25">
      <c r="C101" s="1783"/>
      <c r="D101" s="1784"/>
      <c r="E101" s="1785"/>
      <c r="F101" s="1786"/>
      <c r="G101" s="1787"/>
      <c r="H101" s="1788"/>
      <c r="I101" s="1789"/>
      <c r="J101" s="945"/>
      <c r="K101" s="946"/>
      <c r="L101" s="946"/>
      <c r="M101" s="946"/>
      <c r="N101" s="2052"/>
      <c r="O101" s="2053"/>
      <c r="P101" s="2053"/>
      <c r="Q101" s="2053"/>
      <c r="R101" s="2052"/>
      <c r="S101" s="2057"/>
      <c r="T101" s="2053"/>
      <c r="U101" s="2057"/>
      <c r="V101" s="2056"/>
      <c r="W101" s="2056"/>
      <c r="X101" s="2054"/>
      <c r="Y101" s="993"/>
      <c r="Z101" s="995"/>
      <c r="AA101" s="949"/>
      <c r="AB101" s="950"/>
      <c r="AC101" s="951"/>
      <c r="AD101" s="951"/>
      <c r="AE101" s="951"/>
      <c r="AF101" s="951"/>
      <c r="AG101" s="952"/>
      <c r="AH101" s="843"/>
      <c r="AI101" s="843"/>
      <c r="AJ101" s="843"/>
    </row>
    <row r="102" spans="2:42" ht="13.5" thickBot="1" x14ac:dyDescent="0.25">
      <c r="C102" s="953"/>
      <c r="D102" s="954">
        <f>SUM(D71:D101)</f>
        <v>4600527.716129032</v>
      </c>
      <c r="E102" s="954">
        <f>SUM(E71:E101)</f>
        <v>432632.40774193528</v>
      </c>
      <c r="F102" s="955">
        <f>SUM(F71:F101)</f>
        <v>5420265.9486329984</v>
      </c>
      <c r="G102" s="955"/>
      <c r="H102" s="956">
        <f t="shared" ref="H102:I102" si="22">SUM(H71:H101)</f>
        <v>5509.0786000000007</v>
      </c>
      <c r="I102" s="954">
        <f t="shared" si="22"/>
        <v>10458965.642662965</v>
      </c>
      <c r="J102" s="996">
        <f t="shared" ref="J102:Y102" si="23">SUM(J71:J101)</f>
        <v>0</v>
      </c>
      <c r="K102" s="996">
        <f t="shared" si="23"/>
        <v>0</v>
      </c>
      <c r="L102" s="996">
        <f t="shared" si="23"/>
        <v>0</v>
      </c>
      <c r="M102" s="996">
        <f t="shared" si="23"/>
        <v>0</v>
      </c>
      <c r="N102" s="1024">
        <f t="shared" si="23"/>
        <v>691435.62592985865</v>
      </c>
      <c r="O102" s="1024">
        <f t="shared" si="23"/>
        <v>2175026.3386330009</v>
      </c>
      <c r="P102" s="1024">
        <f t="shared" si="23"/>
        <v>3245239.61</v>
      </c>
      <c r="Q102" s="1024">
        <f t="shared" si="23"/>
        <v>0</v>
      </c>
      <c r="R102" s="1024">
        <f t="shared" si="23"/>
        <v>0</v>
      </c>
      <c r="S102" s="1024">
        <f t="shared" si="23"/>
        <v>691435.62592985865</v>
      </c>
      <c r="T102" s="1024">
        <f t="shared" si="23"/>
        <v>2173582.0372540001</v>
      </c>
      <c r="U102" s="1024">
        <f t="shared" si="23"/>
        <v>1444.3013790000259</v>
      </c>
      <c r="V102" s="1024">
        <f t="shared" si="23"/>
        <v>760265.13599999994</v>
      </c>
      <c r="W102" s="1024">
        <f t="shared" si="23"/>
        <v>2852203.5819999999</v>
      </c>
      <c r="X102" s="1024">
        <f t="shared" si="23"/>
        <v>-367229.10800000001</v>
      </c>
      <c r="Y102" s="996">
        <f t="shared" si="23"/>
        <v>0</v>
      </c>
      <c r="Z102" s="996"/>
      <c r="AA102" s="958"/>
      <c r="AB102" s="829">
        <f>SUM(AB71:AB101)</f>
        <v>0</v>
      </c>
      <c r="AC102" s="959">
        <f>SUM(AC71:AC101)</f>
        <v>3423909.5219681598</v>
      </c>
      <c r="AD102" s="960">
        <f>SUM(AD71:AD101)</f>
        <v>-3423909.5219681598</v>
      </c>
      <c r="AE102" s="960" t="e">
        <f>#REF!</f>
        <v>#REF!</v>
      </c>
      <c r="AF102" s="960"/>
      <c r="AG102" s="961"/>
      <c r="AH102" s="843"/>
      <c r="AI102" s="843"/>
      <c r="AJ102" s="843"/>
      <c r="AP102" s="958" t="e">
        <f>#REF!</f>
        <v>#REF!</v>
      </c>
    </row>
    <row r="103" spans="2:42" ht="15" customHeight="1" thickBot="1" x14ac:dyDescent="0.25">
      <c r="B103" s="843"/>
      <c r="C103" s="843"/>
      <c r="D103" s="843"/>
      <c r="E103" s="843"/>
      <c r="F103" s="843"/>
      <c r="G103" s="843"/>
      <c r="H103" s="843"/>
      <c r="I103" s="843"/>
      <c r="J103" s="843"/>
      <c r="K103" s="843"/>
      <c r="L103" s="843"/>
      <c r="N103" s="829"/>
      <c r="O103" s="843"/>
      <c r="T103" s="829">
        <f>T102/(T102+U102)</f>
        <v>0.99933596143028425</v>
      </c>
      <c r="U103" s="829">
        <f>U102/(T102+U102)</f>
        <v>6.6403856971578869E-4</v>
      </c>
      <c r="V103" s="997"/>
      <c r="W103" s="998"/>
      <c r="Z103" s="829"/>
      <c r="AA103" s="829"/>
      <c r="AB103" s="829"/>
      <c r="AC103" s="829"/>
      <c r="AD103" s="829"/>
      <c r="AE103" s="829"/>
      <c r="AF103" s="829"/>
      <c r="AH103" s="843"/>
      <c r="AI103" s="843"/>
      <c r="AJ103" s="843"/>
    </row>
    <row r="104" spans="2:42" ht="13.5" thickBot="1" x14ac:dyDescent="0.25">
      <c r="D104" s="1795" t="s">
        <v>155</v>
      </c>
      <c r="E104" s="1796" t="s">
        <v>156</v>
      </c>
      <c r="F104" s="1797" t="s">
        <v>112</v>
      </c>
      <c r="N104" s="829"/>
      <c r="P104" s="827"/>
      <c r="Z104" s="829"/>
      <c r="AA104" s="829"/>
      <c r="AB104" s="829"/>
      <c r="AG104" s="843"/>
    </row>
    <row r="105" spans="2:42" x14ac:dyDescent="0.2">
      <c r="D105" s="1793"/>
      <c r="E105" s="1779">
        <f>D102</f>
        <v>4600527.716129032</v>
      </c>
      <c r="F105" s="1780">
        <f>D105-E105</f>
        <v>-4600527.716129032</v>
      </c>
      <c r="G105" s="968"/>
      <c r="H105" s="968"/>
      <c r="I105" s="968"/>
      <c r="N105" s="829"/>
      <c r="P105" s="827"/>
      <c r="U105" s="829">
        <f>1-T103-U103</f>
        <v>-3.6212352561015848E-17</v>
      </c>
      <c r="V105" s="1008"/>
      <c r="X105" s="958"/>
      <c r="Z105" s="829"/>
      <c r="AA105" s="829"/>
      <c r="AB105" s="829"/>
      <c r="AG105" s="843"/>
    </row>
    <row r="106" spans="2:42" x14ac:dyDescent="0.2">
      <c r="D106" s="1793"/>
      <c r="E106" s="1779">
        <f>E102</f>
        <v>432632.40774193528</v>
      </c>
      <c r="F106" s="1780">
        <f>D106-E106</f>
        <v>-432632.40774193528</v>
      </c>
      <c r="G106" s="968"/>
      <c r="H106" s="968"/>
      <c r="I106" s="968"/>
      <c r="N106" s="829"/>
      <c r="O106" s="827"/>
      <c r="Z106" s="829"/>
    </row>
    <row r="107" spans="2:42" ht="13.5" thickBot="1" x14ac:dyDescent="0.25">
      <c r="D107" s="1794"/>
      <c r="E107" s="1781">
        <f>ROUND(H102,2)</f>
        <v>5509.08</v>
      </c>
      <c r="F107" s="1782">
        <f>D107-E107</f>
        <v>-5509.08</v>
      </c>
      <c r="G107" s="968"/>
    </row>
    <row r="108" spans="2:42" x14ac:dyDescent="0.2">
      <c r="D108" s="968"/>
    </row>
  </sheetData>
  <mergeCells count="10">
    <mergeCell ref="J69:M69"/>
    <mergeCell ref="N69:Q69"/>
    <mergeCell ref="R69:Z69"/>
    <mergeCell ref="C17:E17"/>
    <mergeCell ref="C3:M4"/>
    <mergeCell ref="C5:M5"/>
    <mergeCell ref="C6:M6"/>
    <mergeCell ref="C14:E14"/>
    <mergeCell ref="C15:E15"/>
    <mergeCell ref="C16:E16"/>
  </mergeCells>
  <conditionalFormatting sqref="R100">
    <cfRule type="cellIs" dxfId="62" priority="3" stopIfTrue="1" operator="equal">
      <formula>0</formula>
    </cfRule>
  </conditionalFormatting>
  <conditionalFormatting sqref="N71:N101">
    <cfRule type="cellIs" dxfId="61" priority="2" stopIfTrue="1" operator="equal">
      <formula>0</formula>
    </cfRule>
  </conditionalFormatting>
  <conditionalFormatting sqref="R71:R98">
    <cfRule type="cellIs" dxfId="60" priority="1" stopIfTrue="1" operator="equal">
      <formula>0</formula>
    </cfRule>
  </conditionalFormatting>
  <conditionalFormatting sqref="O101:Q101 O71:P100">
    <cfRule type="cellIs" dxfId="59" priority="7" stopIfTrue="1" operator="equal">
      <formula>0</formula>
    </cfRule>
  </conditionalFormatting>
  <conditionalFormatting sqref="T71:T99 T101">
    <cfRule type="cellIs" dxfId="58" priority="6" stopIfTrue="1" operator="equal">
      <formula>0</formula>
    </cfRule>
  </conditionalFormatting>
  <conditionalFormatting sqref="T100">
    <cfRule type="cellIs" dxfId="57" priority="5" stopIfTrue="1" operator="equal">
      <formula>0</formula>
    </cfRule>
  </conditionalFormatting>
  <conditionalFormatting sqref="R99 R101">
    <cfRule type="cellIs" dxfId="56" priority="4" stopIfTrue="1" operator="equal">
      <formula>0</formula>
    </cfRule>
  </conditionalFormatting>
  <printOptions horizontalCentered="1"/>
  <pageMargins left="0.59055118110236227" right="0.39370078740157483" top="0" bottom="0" header="0" footer="0.51181102362204722"/>
  <pageSetup scale="42" orientation="landscape" r:id="rId1"/>
  <drawing r:id="rId2"/>
  <legacyDrawing r:id="rId3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2:AP109"/>
  <sheetViews>
    <sheetView topLeftCell="F35" workbookViewId="0">
      <selection activeCell="I42" sqref="I42"/>
    </sheetView>
  </sheetViews>
  <sheetFormatPr baseColWidth="10" defaultColWidth="11" defaultRowHeight="12.75" x14ac:dyDescent="0.2"/>
  <cols>
    <col min="1" max="1" width="11" style="829"/>
    <col min="2" max="2" width="3.875" style="829" bestFit="1" customWidth="1"/>
    <col min="3" max="3" width="16.125" style="829" customWidth="1"/>
    <col min="4" max="4" width="14" style="829" bestFit="1" customWidth="1"/>
    <col min="5" max="5" width="18.375" style="829" bestFit="1" customWidth="1"/>
    <col min="6" max="6" width="17.375" style="829" bestFit="1" customWidth="1"/>
    <col min="7" max="8" width="13.375" style="829" bestFit="1" customWidth="1"/>
    <col min="9" max="9" width="15.125" style="829" customWidth="1"/>
    <col min="10" max="10" width="20.5" style="829" customWidth="1"/>
    <col min="11" max="11" width="12.625" style="829" bestFit="1" customWidth="1"/>
    <col min="12" max="12" width="16" style="829" customWidth="1"/>
    <col min="13" max="13" width="15.125" style="829" bestFit="1" customWidth="1"/>
    <col min="14" max="14" width="16.125" style="827" bestFit="1" customWidth="1"/>
    <col min="15" max="15" width="11.375" style="829" bestFit="1" customWidth="1"/>
    <col min="16" max="16" width="11.125" style="829" bestFit="1" customWidth="1"/>
    <col min="17" max="17" width="12.625" style="829" bestFit="1" customWidth="1"/>
    <col min="18" max="18" width="10.875" style="829" customWidth="1"/>
    <col min="19" max="19" width="11.875" style="829" bestFit="1" customWidth="1"/>
    <col min="20" max="20" width="11.125" style="829" bestFit="1" customWidth="1"/>
    <col min="21" max="21" width="11.625" style="829" bestFit="1" customWidth="1"/>
    <col min="22" max="23" width="11.125" style="829" bestFit="1" customWidth="1"/>
    <col min="24" max="24" width="13.625" style="829" bestFit="1" customWidth="1"/>
    <col min="25" max="25" width="16.125" style="829" bestFit="1" customWidth="1"/>
    <col min="26" max="26" width="11.125" style="843" bestFit="1" customWidth="1"/>
    <col min="27" max="27" width="13" style="843" bestFit="1" customWidth="1"/>
    <col min="28" max="32" width="11" style="843"/>
    <col min="33" max="38" width="11" style="829"/>
    <col min="39" max="39" width="11.125" style="829" bestFit="1" customWidth="1"/>
    <col min="40" max="16384" width="11" style="829"/>
  </cols>
  <sheetData>
    <row r="2" spans="2:35" x14ac:dyDescent="0.2">
      <c r="B2" s="827"/>
      <c r="C2" s="828"/>
      <c r="D2" s="828"/>
      <c r="E2" s="828"/>
      <c r="F2" s="828"/>
      <c r="G2" s="828"/>
      <c r="H2" s="828"/>
      <c r="I2" s="828"/>
      <c r="J2" s="828"/>
      <c r="K2" s="828"/>
      <c r="L2" s="828"/>
      <c r="M2" s="828"/>
      <c r="N2" s="828"/>
      <c r="Z2" s="829"/>
      <c r="AA2" s="829"/>
      <c r="AB2" s="829"/>
      <c r="AC2" s="829"/>
      <c r="AD2" s="829"/>
      <c r="AE2" s="829"/>
      <c r="AF2" s="829"/>
    </row>
    <row r="3" spans="2:35" ht="15" customHeight="1" x14ac:dyDescent="0.2">
      <c r="B3" s="827"/>
      <c r="C3" s="2295"/>
      <c r="D3" s="2295"/>
      <c r="E3" s="2295"/>
      <c r="F3" s="2295"/>
      <c r="G3" s="2295"/>
      <c r="H3" s="2295"/>
      <c r="I3" s="2295"/>
      <c r="J3" s="2295"/>
      <c r="K3" s="2295"/>
      <c r="L3" s="2295"/>
      <c r="M3" s="2295"/>
      <c r="N3" s="828"/>
      <c r="Z3" s="829"/>
      <c r="AA3" s="829"/>
      <c r="AB3" s="829"/>
      <c r="AC3" s="829"/>
      <c r="AD3" s="829"/>
      <c r="AE3" s="829"/>
      <c r="AF3" s="829"/>
    </row>
    <row r="4" spans="2:35" ht="15" customHeight="1" x14ac:dyDescent="0.2">
      <c r="B4" s="827"/>
      <c r="C4" s="2295"/>
      <c r="D4" s="2295"/>
      <c r="E4" s="2295"/>
      <c r="F4" s="2295"/>
      <c r="G4" s="2295"/>
      <c r="H4" s="2295"/>
      <c r="I4" s="2295"/>
      <c r="J4" s="2295"/>
      <c r="K4" s="2295"/>
      <c r="L4" s="2295"/>
      <c r="M4" s="2295"/>
      <c r="N4" s="828"/>
      <c r="Z4" s="829"/>
      <c r="AA4" s="829"/>
      <c r="AB4" s="829"/>
      <c r="AC4" s="829"/>
      <c r="AD4" s="829"/>
      <c r="AE4" s="829"/>
      <c r="AF4" s="829"/>
    </row>
    <row r="5" spans="2:35" x14ac:dyDescent="0.2">
      <c r="B5" s="827"/>
      <c r="C5" s="2296"/>
      <c r="D5" s="2296"/>
      <c r="E5" s="2296"/>
      <c r="F5" s="2296"/>
      <c r="G5" s="2296"/>
      <c r="H5" s="2296"/>
      <c r="I5" s="2296"/>
      <c r="J5" s="2296"/>
      <c r="K5" s="2296"/>
      <c r="L5" s="2296"/>
      <c r="M5" s="2296"/>
      <c r="N5" s="828"/>
      <c r="Z5" s="829"/>
      <c r="AA5" s="829"/>
      <c r="AB5" s="829"/>
      <c r="AC5" s="829"/>
      <c r="AD5" s="829"/>
      <c r="AE5" s="829"/>
      <c r="AF5" s="829"/>
    </row>
    <row r="6" spans="2:35" x14ac:dyDescent="0.2">
      <c r="B6" s="827"/>
      <c r="C6" s="2296"/>
      <c r="D6" s="2296"/>
      <c r="E6" s="2296"/>
      <c r="F6" s="2296"/>
      <c r="G6" s="2296"/>
      <c r="H6" s="2296"/>
      <c r="I6" s="2296"/>
      <c r="J6" s="2296"/>
      <c r="K6" s="2296"/>
      <c r="L6" s="2296"/>
      <c r="M6" s="2296"/>
      <c r="N6" s="828"/>
      <c r="Z6" s="829"/>
      <c r="AA6" s="829"/>
      <c r="AB6" s="829"/>
      <c r="AC6" s="829"/>
      <c r="AD6" s="829"/>
      <c r="AE6" s="829"/>
      <c r="AF6" s="829"/>
    </row>
    <row r="7" spans="2:35" x14ac:dyDescent="0.2">
      <c r="B7" s="827"/>
      <c r="C7" s="830">
        <v>43101</v>
      </c>
      <c r="D7" s="830"/>
      <c r="E7" s="830"/>
      <c r="F7" s="830"/>
      <c r="G7" s="830"/>
      <c r="H7" s="830"/>
      <c r="I7" s="830"/>
      <c r="J7" s="830"/>
      <c r="K7" s="830"/>
      <c r="L7" s="830"/>
      <c r="M7" s="830"/>
      <c r="N7" s="830"/>
      <c r="O7" s="830"/>
      <c r="P7" s="830"/>
      <c r="Q7" s="830"/>
      <c r="R7" s="827"/>
      <c r="S7" s="827"/>
      <c r="T7" s="827"/>
      <c r="U7" s="827"/>
      <c r="V7" s="827"/>
      <c r="W7" s="827"/>
      <c r="X7" s="827"/>
      <c r="Y7" s="827"/>
      <c r="Z7" s="829"/>
      <c r="AA7" s="829"/>
      <c r="AB7" s="829"/>
      <c r="AC7" s="829"/>
      <c r="AD7" s="829"/>
      <c r="AE7" s="829"/>
      <c r="AF7" s="829"/>
    </row>
    <row r="8" spans="2:35" ht="19.5" customHeight="1" x14ac:dyDescent="0.2">
      <c r="B8" s="827"/>
      <c r="C8" s="1740"/>
      <c r="D8" s="1740"/>
      <c r="E8" s="1740"/>
      <c r="F8" s="1740"/>
      <c r="G8" s="1740"/>
      <c r="H8" s="1740"/>
      <c r="I8" s="1740"/>
      <c r="J8" s="1740"/>
      <c r="K8" s="1740"/>
      <c r="L8" s="1740"/>
      <c r="M8" s="828"/>
      <c r="N8" s="828"/>
      <c r="O8" s="827"/>
      <c r="P8" s="827"/>
      <c r="Q8" s="827"/>
      <c r="R8" s="827"/>
      <c r="S8" s="827"/>
      <c r="T8" s="827"/>
      <c r="U8" s="827"/>
      <c r="V8" s="827"/>
      <c r="W8" s="827"/>
      <c r="X8" s="827"/>
      <c r="Y8" s="827"/>
      <c r="Z8" s="829"/>
      <c r="AA8" s="829"/>
      <c r="AB8" s="829"/>
      <c r="AC8" s="829"/>
      <c r="AD8" s="829"/>
      <c r="AE8" s="829"/>
      <c r="AF8" s="829"/>
    </row>
    <row r="9" spans="2:35" ht="19.5" customHeight="1" x14ac:dyDescent="0.2">
      <c r="B9" s="827"/>
      <c r="C9" s="1740"/>
      <c r="D9" s="1740"/>
      <c r="E9" s="1740"/>
      <c r="F9" s="1740"/>
      <c r="G9" s="1740"/>
      <c r="H9" s="1740"/>
      <c r="I9" s="1740"/>
      <c r="J9" s="1740"/>
      <c r="K9" s="1740"/>
      <c r="L9" s="1740"/>
      <c r="M9" s="828"/>
      <c r="N9" s="828"/>
      <c r="O9" s="827"/>
      <c r="P9" s="827"/>
      <c r="Q9" s="827"/>
      <c r="R9" s="827"/>
      <c r="S9" s="827"/>
      <c r="T9" s="827"/>
      <c r="U9" s="827"/>
      <c r="V9" s="827"/>
      <c r="W9" s="827"/>
      <c r="X9" s="827"/>
      <c r="Y9" s="827"/>
      <c r="Z9" s="829"/>
      <c r="AA9" s="829"/>
      <c r="AB9" s="829"/>
      <c r="AC9" s="829"/>
      <c r="AD9" s="829"/>
      <c r="AE9" s="829"/>
      <c r="AF9" s="829"/>
    </row>
    <row r="10" spans="2:35" ht="19.5" customHeight="1" x14ac:dyDescent="0.2">
      <c r="B10" s="827"/>
      <c r="C10" s="1740"/>
      <c r="D10" s="1740"/>
      <c r="E10" s="1740"/>
      <c r="F10" s="1740"/>
      <c r="G10" s="1740"/>
      <c r="H10" s="1740"/>
      <c r="I10" s="1740"/>
      <c r="J10" s="1740"/>
      <c r="K10" s="1740"/>
      <c r="L10" s="1740"/>
      <c r="M10" s="828"/>
      <c r="N10" s="828"/>
      <c r="O10" s="827"/>
      <c r="P10" s="827"/>
      <c r="Q10" s="827"/>
      <c r="R10" s="827"/>
      <c r="S10" s="827"/>
      <c r="T10" s="827"/>
      <c r="U10" s="827"/>
      <c r="V10" s="827"/>
      <c r="W10" s="827"/>
      <c r="X10" s="827"/>
      <c r="Y10" s="827"/>
      <c r="Z10" s="829"/>
      <c r="AA10" s="829"/>
      <c r="AB10" s="829"/>
      <c r="AC10" s="829"/>
      <c r="AD10" s="829"/>
      <c r="AE10" s="829"/>
      <c r="AF10" s="829"/>
    </row>
    <row r="11" spans="2:35" ht="19.5" customHeight="1" x14ac:dyDescent="0.2">
      <c r="B11" s="827"/>
      <c r="C11" s="1740"/>
      <c r="D11" s="1740"/>
      <c r="E11" s="1740"/>
      <c r="F11" s="1740"/>
      <c r="G11" s="1740"/>
      <c r="H11" s="1740"/>
      <c r="I11" s="1740"/>
      <c r="J11" s="1740"/>
      <c r="K11" s="1740"/>
      <c r="L11" s="1740"/>
      <c r="M11" s="828"/>
      <c r="N11" s="828"/>
      <c r="O11" s="827"/>
      <c r="P11" s="827"/>
      <c r="Q11" s="827"/>
      <c r="R11" s="827"/>
      <c r="S11" s="827"/>
      <c r="T11" s="827"/>
      <c r="U11" s="827"/>
      <c r="V11" s="827"/>
      <c r="W11" s="827"/>
      <c r="X11" s="827"/>
      <c r="Y11" s="827"/>
      <c r="Z11" s="829"/>
      <c r="AA11" s="829"/>
      <c r="AB11" s="829"/>
      <c r="AC11" s="829"/>
      <c r="AD11" s="829"/>
      <c r="AE11" s="829"/>
      <c r="AF11" s="829"/>
    </row>
    <row r="12" spans="2:35" ht="19.5" customHeight="1" x14ac:dyDescent="0.2">
      <c r="B12" s="827"/>
      <c r="C12" s="1740"/>
      <c r="D12" s="1740"/>
      <c r="E12" s="1740"/>
      <c r="F12" s="1740"/>
      <c r="G12" s="1740"/>
      <c r="H12" s="1740"/>
      <c r="I12" s="1740"/>
      <c r="J12" s="1740"/>
      <c r="K12" s="1740"/>
      <c r="L12" s="1740"/>
      <c r="M12" s="828"/>
      <c r="N12" s="828"/>
      <c r="O12" s="827"/>
      <c r="P12" s="827"/>
      <c r="Q12" s="827"/>
      <c r="R12" s="827"/>
      <c r="S12" s="827"/>
      <c r="T12" s="827"/>
      <c r="U12" s="827"/>
      <c r="V12" s="827"/>
      <c r="W12" s="827"/>
      <c r="X12" s="827"/>
      <c r="Y12" s="827"/>
      <c r="Z12" s="829"/>
      <c r="AA12" s="829"/>
      <c r="AB12" s="829"/>
      <c r="AC12" s="829"/>
      <c r="AD12" s="829"/>
      <c r="AE12" s="829"/>
      <c r="AF12" s="829"/>
    </row>
    <row r="13" spans="2:35" ht="19.5" customHeight="1" thickBot="1" x14ac:dyDescent="0.25">
      <c r="B13" s="827"/>
      <c r="C13" s="1740"/>
      <c r="D13" s="1740"/>
      <c r="E13" s="1740"/>
      <c r="F13" s="1740"/>
      <c r="G13" s="1740"/>
      <c r="H13" s="1740"/>
      <c r="I13" s="1740"/>
      <c r="J13" s="1740"/>
      <c r="K13" s="1740"/>
      <c r="L13" s="1740"/>
      <c r="M13" s="828"/>
      <c r="N13" s="828"/>
      <c r="O13" s="827"/>
      <c r="P13" s="827"/>
      <c r="Q13" s="827"/>
      <c r="R13" s="827"/>
      <c r="S13" s="827"/>
      <c r="T13" s="827"/>
      <c r="U13" s="827"/>
      <c r="V13" s="827"/>
      <c r="W13" s="827"/>
      <c r="X13" s="827"/>
      <c r="Y13" s="827"/>
      <c r="Z13" s="829"/>
      <c r="AA13" s="829"/>
      <c r="AB13" s="829"/>
      <c r="AC13" s="829"/>
      <c r="AD13" s="829"/>
      <c r="AE13" s="829"/>
      <c r="AF13" s="829"/>
    </row>
    <row r="14" spans="2:35" ht="26.25" thickBot="1" x14ac:dyDescent="0.25">
      <c r="B14" s="827"/>
      <c r="C14" s="2333" t="s">
        <v>6</v>
      </c>
      <c r="D14" s="2334"/>
      <c r="E14" s="2335"/>
      <c r="F14" s="832" t="s">
        <v>227</v>
      </c>
      <c r="G14" s="832" t="s">
        <v>230</v>
      </c>
      <c r="H14" s="832" t="s">
        <v>228</v>
      </c>
      <c r="I14" s="832" t="s">
        <v>229</v>
      </c>
      <c r="J14" s="833" t="s">
        <v>126</v>
      </c>
      <c r="K14" s="833" t="s">
        <v>133</v>
      </c>
      <c r="L14" s="832" t="s">
        <v>127</v>
      </c>
      <c r="M14" s="834" t="s">
        <v>128</v>
      </c>
      <c r="N14" s="828"/>
      <c r="O14" s="827"/>
      <c r="P14" s="827"/>
      <c r="Q14" s="827"/>
      <c r="R14" s="827"/>
      <c r="S14" s="827"/>
      <c r="T14" s="827"/>
      <c r="U14" s="827"/>
      <c r="V14" s="827"/>
      <c r="W14" s="827"/>
      <c r="X14" s="827"/>
      <c r="Y14" s="827"/>
      <c r="Z14" s="829"/>
      <c r="AA14" s="829"/>
      <c r="AB14" s="829"/>
      <c r="AC14" s="829"/>
      <c r="AD14" s="829"/>
      <c r="AE14" s="829"/>
      <c r="AF14" s="829"/>
    </row>
    <row r="15" spans="2:35" ht="13.5" thickBot="1" x14ac:dyDescent="0.25">
      <c r="B15" s="827"/>
      <c r="C15" s="2329" t="s">
        <v>131</v>
      </c>
      <c r="D15" s="2330"/>
      <c r="E15" s="2331"/>
      <c r="F15" s="835"/>
      <c r="G15" s="836" t="s">
        <v>165</v>
      </c>
      <c r="H15" s="835"/>
      <c r="I15" s="837">
        <f>IF(D105=0,E105,D105)</f>
        <v>4753878.6399999997</v>
      </c>
      <c r="J15" s="835">
        <f>I15*0.16</f>
        <v>760620.58239999996</v>
      </c>
      <c r="K15" s="835">
        <f>I15+J15</f>
        <v>5514499.2223999994</v>
      </c>
      <c r="L15" s="838"/>
      <c r="M15" s="1774">
        <v>22</v>
      </c>
      <c r="O15" s="827"/>
      <c r="P15" s="827"/>
      <c r="Q15" s="827"/>
      <c r="R15" s="827"/>
      <c r="S15" s="827"/>
      <c r="T15" s="827"/>
      <c r="U15" s="827"/>
      <c r="V15" s="827"/>
      <c r="W15" s="827"/>
      <c r="X15" s="827"/>
      <c r="Y15" s="827"/>
      <c r="Z15" s="829"/>
      <c r="AA15" s="829"/>
      <c r="AB15" s="829"/>
      <c r="AC15" s="829"/>
      <c r="AD15" s="829"/>
      <c r="AE15" s="829"/>
      <c r="AF15" s="829"/>
    </row>
    <row r="16" spans="2:35" ht="13.5" thickBot="1" x14ac:dyDescent="0.25">
      <c r="B16" s="827"/>
      <c r="C16" s="2329" t="s">
        <v>275</v>
      </c>
      <c r="D16" s="2330"/>
      <c r="E16" s="2331"/>
      <c r="F16" s="840"/>
      <c r="G16" s="840"/>
      <c r="H16" s="840"/>
      <c r="I16" s="837">
        <f>IF(D106=0,E106,D106)</f>
        <v>447053.48799999978</v>
      </c>
      <c r="J16" s="841">
        <f>I16*0.16</f>
        <v>71528.558079999973</v>
      </c>
      <c r="K16" s="841">
        <f>I16+J16</f>
        <v>518582.04607999977</v>
      </c>
      <c r="L16" s="838"/>
      <c r="M16" s="1775">
        <v>22</v>
      </c>
      <c r="O16" s="827"/>
      <c r="P16" s="827"/>
      <c r="Q16" s="827"/>
      <c r="R16" s="827"/>
      <c r="S16" s="827"/>
      <c r="T16" s="827"/>
      <c r="U16" s="827"/>
      <c r="V16" s="827"/>
      <c r="W16" s="827"/>
      <c r="X16" s="827"/>
      <c r="Y16" s="827"/>
      <c r="Z16" s="827"/>
      <c r="AA16" s="827"/>
      <c r="AB16" s="827"/>
      <c r="AG16" s="843"/>
      <c r="AH16" s="843"/>
      <c r="AI16" s="843"/>
    </row>
    <row r="17" spans="2:33" ht="13.5" thickBot="1" x14ac:dyDescent="0.25">
      <c r="B17" s="827"/>
      <c r="C17" s="2326" t="s">
        <v>132</v>
      </c>
      <c r="D17" s="2327"/>
      <c r="E17" s="2328"/>
      <c r="F17" s="844"/>
      <c r="G17" s="845" t="s">
        <v>165</v>
      </c>
      <c r="H17" s="844"/>
      <c r="I17" s="846">
        <f>IF(D107=0,E107,D107)</f>
        <v>5690.5</v>
      </c>
      <c r="J17" s="844">
        <f>I17*0.16</f>
        <v>910.48</v>
      </c>
      <c r="K17" s="844">
        <f>I17+J17</f>
        <v>6600.98</v>
      </c>
      <c r="L17" s="847"/>
      <c r="M17" s="1776">
        <v>22</v>
      </c>
      <c r="O17" s="827"/>
      <c r="P17" s="827"/>
      <c r="Q17" s="827"/>
      <c r="R17" s="827"/>
      <c r="S17" s="827"/>
      <c r="T17" s="827"/>
      <c r="U17" s="827"/>
      <c r="V17" s="827"/>
      <c r="W17" s="827"/>
      <c r="X17" s="827"/>
      <c r="Y17" s="827"/>
      <c r="Z17" s="829"/>
      <c r="AA17" s="829"/>
      <c r="AB17" s="829"/>
      <c r="AC17" s="829"/>
      <c r="AD17" s="829"/>
      <c r="AE17" s="829"/>
      <c r="AF17" s="829"/>
    </row>
    <row r="18" spans="2:33" x14ac:dyDescent="0.2">
      <c r="B18" s="827"/>
      <c r="C18" s="1740"/>
      <c r="D18" s="1740"/>
      <c r="E18" s="1740"/>
      <c r="F18" s="1740"/>
      <c r="G18" s="1740"/>
      <c r="H18" s="827"/>
      <c r="I18" s="827"/>
      <c r="J18" s="827"/>
      <c r="K18" s="827"/>
      <c r="L18" s="827"/>
      <c r="M18" s="827"/>
      <c r="O18" s="827"/>
      <c r="P18" s="827"/>
      <c r="Q18" s="827"/>
      <c r="R18" s="827"/>
      <c r="S18" s="827"/>
      <c r="T18" s="827"/>
      <c r="U18" s="827"/>
      <c r="V18" s="827"/>
      <c r="W18" s="827"/>
      <c r="X18" s="827"/>
      <c r="Y18" s="827"/>
    </row>
    <row r="19" spans="2:33" x14ac:dyDescent="0.2">
      <c r="B19" s="827"/>
      <c r="C19" s="1740"/>
      <c r="D19" s="1740"/>
      <c r="E19" s="1740"/>
      <c r="F19" s="1740"/>
      <c r="G19" s="1740"/>
      <c r="H19" s="827"/>
      <c r="I19" s="827"/>
      <c r="J19" s="827"/>
      <c r="K19" s="827"/>
      <c r="L19" s="827">
        <f>K17*M17</f>
        <v>145221.56</v>
      </c>
      <c r="O19" s="827"/>
      <c r="P19" s="827"/>
      <c r="Q19" s="827"/>
      <c r="R19" s="827"/>
      <c r="S19" s="827"/>
      <c r="T19" s="827"/>
      <c r="U19" s="827"/>
      <c r="V19" s="827"/>
      <c r="W19" s="827"/>
      <c r="X19" s="827"/>
      <c r="Y19" s="827"/>
    </row>
    <row r="20" spans="2:33" ht="13.5" thickBot="1" x14ac:dyDescent="0.25">
      <c r="B20" s="827"/>
      <c r="C20" s="849"/>
      <c r="D20" s="1740"/>
      <c r="E20" s="1740"/>
      <c r="F20" s="1740"/>
      <c r="G20" s="1740"/>
      <c r="H20" s="1740"/>
      <c r="I20" s="1740"/>
      <c r="J20" s="1740"/>
      <c r="K20" s="1740"/>
      <c r="L20" s="1740"/>
      <c r="M20" s="1740"/>
      <c r="N20" s="1740"/>
      <c r="O20" s="1740"/>
      <c r="P20" s="1740"/>
      <c r="Q20" s="1740"/>
      <c r="R20" s="827"/>
      <c r="S20" s="827"/>
      <c r="T20" s="827"/>
      <c r="U20" s="827"/>
      <c r="V20" s="827"/>
      <c r="W20" s="827"/>
      <c r="X20" s="827"/>
      <c r="Y20" s="827"/>
      <c r="Z20" s="827"/>
      <c r="AG20" s="843"/>
    </row>
    <row r="21" spans="2:33" ht="51.75" thickBot="1" x14ac:dyDescent="0.25">
      <c r="B21" s="827"/>
      <c r="C21" s="850" t="s">
        <v>134</v>
      </c>
      <c r="D21" s="832" t="s">
        <v>135</v>
      </c>
      <c r="E21" s="832" t="s">
        <v>285</v>
      </c>
      <c r="F21" s="832" t="s">
        <v>278</v>
      </c>
      <c r="G21" s="832" t="s">
        <v>153</v>
      </c>
      <c r="H21" s="832" t="s">
        <v>279</v>
      </c>
      <c r="I21" s="832" t="s">
        <v>281</v>
      </c>
      <c r="J21" s="832" t="s">
        <v>280</v>
      </c>
      <c r="K21" s="832" t="s">
        <v>245</v>
      </c>
      <c r="L21" s="832" t="s">
        <v>246</v>
      </c>
      <c r="M21" s="832"/>
      <c r="N21" s="834" t="s">
        <v>158</v>
      </c>
      <c r="O21" s="1740"/>
      <c r="P21" s="1740"/>
      <c r="Q21" s="1740"/>
      <c r="R21" s="1740"/>
      <c r="S21" s="1740"/>
      <c r="T21" s="1740"/>
      <c r="U21" s="1740"/>
      <c r="V21" s="827"/>
      <c r="W21" s="827"/>
      <c r="X21" s="827"/>
      <c r="Y21" s="827"/>
      <c r="Z21" s="827"/>
      <c r="AG21" s="843"/>
    </row>
    <row r="22" spans="2:33" ht="13.5" thickBot="1" x14ac:dyDescent="0.25">
      <c r="B22" s="827"/>
      <c r="C22" s="851">
        <v>850</v>
      </c>
      <c r="D22" s="1010">
        <v>850</v>
      </c>
      <c r="E22" s="852">
        <v>31482640</v>
      </c>
      <c r="F22" s="852">
        <v>31482640</v>
      </c>
      <c r="G22" s="852">
        <v>31</v>
      </c>
      <c r="H22" s="1777">
        <f>VLOOKUP(C69,Tarifas!D4:H303,3)</f>
        <v>0.151</v>
      </c>
      <c r="I22" s="2072">
        <v>1.4200000000000001E-2</v>
      </c>
      <c r="J22" s="2072">
        <f>VLOOKUP(C69,Tarifas!D4:H303,5)</f>
        <v>1E-3</v>
      </c>
      <c r="K22" s="2072">
        <v>204.7</v>
      </c>
      <c r="L22" s="2072">
        <v>201.4</v>
      </c>
      <c r="M22" s="1777"/>
      <c r="N22" s="1778">
        <f>F102</f>
        <v>5598758.4390080003</v>
      </c>
      <c r="O22" s="855"/>
      <c r="P22" s="855"/>
      <c r="Q22" s="1740"/>
      <c r="R22" s="1740"/>
      <c r="S22" s="1740"/>
      <c r="T22" s="1740"/>
      <c r="U22" s="1740"/>
      <c r="V22" s="827"/>
      <c r="W22" s="827"/>
      <c r="X22" s="827"/>
      <c r="Y22" s="827"/>
      <c r="Z22" s="827"/>
      <c r="AG22" s="843"/>
    </row>
    <row r="23" spans="2:33" x14ac:dyDescent="0.2">
      <c r="B23" s="827"/>
      <c r="C23" s="1740"/>
      <c r="D23" s="1740"/>
      <c r="E23" s="1740"/>
      <c r="F23" s="1740"/>
      <c r="G23" s="1740"/>
      <c r="H23" s="1740"/>
      <c r="I23" s="1740"/>
      <c r="J23" s="1740"/>
      <c r="K23" s="856"/>
      <c r="L23" s="1740"/>
      <c r="M23" s="1740"/>
      <c r="N23" s="1740"/>
      <c r="O23" s="1740"/>
      <c r="P23" s="1740"/>
      <c r="Q23" s="1740"/>
      <c r="R23" s="1740"/>
      <c r="S23" s="1740"/>
      <c r="T23" s="827"/>
      <c r="U23" s="827"/>
      <c r="V23" s="827"/>
      <c r="W23" s="827"/>
      <c r="X23" s="827"/>
      <c r="Y23" s="827"/>
      <c r="Z23" s="827"/>
      <c r="AG23" s="843"/>
    </row>
    <row r="24" spans="2:33" x14ac:dyDescent="0.2">
      <c r="B24" s="827"/>
      <c r="C24" s="1740"/>
      <c r="D24" s="1740"/>
      <c r="E24" s="1740"/>
      <c r="F24" s="1740"/>
      <c r="G24" s="1740"/>
      <c r="H24" s="1740"/>
      <c r="I24" s="1740"/>
      <c r="J24" s="1740"/>
      <c r="K24" s="1740"/>
      <c r="L24" s="1740"/>
      <c r="M24" s="1740"/>
      <c r="N24" s="1740"/>
      <c r="O24" s="1740"/>
      <c r="P24" s="1740"/>
      <c r="Q24" s="827" t="s">
        <v>405</v>
      </c>
      <c r="R24" s="827"/>
      <c r="S24" s="827"/>
      <c r="T24" s="827"/>
      <c r="U24" s="827"/>
      <c r="V24" s="827"/>
      <c r="W24" s="827"/>
      <c r="X24" s="827"/>
      <c r="Y24" s="827"/>
      <c r="Z24" s="827"/>
      <c r="AG24" s="843"/>
    </row>
    <row r="25" spans="2:33" x14ac:dyDescent="0.2">
      <c r="B25" s="827"/>
      <c r="C25" s="1740"/>
      <c r="D25" s="1740"/>
      <c r="E25" s="1740"/>
      <c r="F25" s="1740"/>
      <c r="G25" s="1740"/>
      <c r="H25" s="1740"/>
      <c r="I25" s="1740"/>
      <c r="J25" s="1740"/>
      <c r="K25" s="1740"/>
      <c r="L25" s="1740"/>
      <c r="M25" s="1740"/>
      <c r="N25" s="1740"/>
      <c r="O25" s="827"/>
      <c r="P25" s="827"/>
      <c r="Q25" s="857"/>
      <c r="R25" s="827"/>
      <c r="S25" s="827"/>
      <c r="T25" s="827"/>
      <c r="U25" s="827"/>
      <c r="V25" s="827"/>
      <c r="W25" s="827"/>
      <c r="X25" s="843"/>
      <c r="Y25" s="843"/>
      <c r="AE25" s="829"/>
      <c r="AF25" s="829"/>
    </row>
    <row r="26" spans="2:33" ht="13.5" thickBot="1" x14ac:dyDescent="0.25">
      <c r="B26" s="827"/>
      <c r="C26" s="858" t="s">
        <v>86</v>
      </c>
      <c r="D26" s="858"/>
      <c r="E26" s="858"/>
      <c r="F26" s="858"/>
      <c r="G26" s="858"/>
      <c r="H26" s="859"/>
      <c r="I26" s="858"/>
      <c r="J26" s="858"/>
      <c r="K26" s="858"/>
      <c r="L26" s="859"/>
      <c r="M26" s="860"/>
      <c r="N26" s="861"/>
      <c r="Q26" s="827"/>
      <c r="R26" s="827"/>
      <c r="S26" s="827"/>
      <c r="T26" s="827"/>
      <c r="U26" s="827"/>
      <c r="V26" s="827"/>
      <c r="W26" s="827"/>
      <c r="X26" s="843"/>
      <c r="Y26" s="843"/>
      <c r="Z26" s="862"/>
      <c r="AE26" s="829"/>
      <c r="AF26" s="829"/>
    </row>
    <row r="27" spans="2:33" ht="35.1" customHeight="1" thickBot="1" x14ac:dyDescent="0.25">
      <c r="B27" s="827"/>
      <c r="C27" s="850" t="s">
        <v>87</v>
      </c>
      <c r="D27" s="832" t="s">
        <v>88</v>
      </c>
      <c r="E27" s="832" t="s">
        <v>237</v>
      </c>
      <c r="F27" s="833" t="s">
        <v>160</v>
      </c>
      <c r="G27" s="832" t="s">
        <v>236</v>
      </c>
      <c r="H27" s="833" t="s">
        <v>232</v>
      </c>
      <c r="I27" s="833" t="s">
        <v>233</v>
      </c>
      <c r="J27" s="833" t="s">
        <v>20</v>
      </c>
      <c r="K27" s="832" t="s">
        <v>91</v>
      </c>
      <c r="L27" s="832" t="s">
        <v>93</v>
      </c>
      <c r="M27" s="832" t="s">
        <v>94</v>
      </c>
      <c r="N27" s="863" t="s">
        <v>95</v>
      </c>
      <c r="P27" s="850" t="s">
        <v>237</v>
      </c>
      <c r="Q27" s="833" t="s">
        <v>160</v>
      </c>
      <c r="R27" s="832" t="s">
        <v>236</v>
      </c>
      <c r="S27" s="833" t="s">
        <v>232</v>
      </c>
      <c r="T27" s="833" t="s">
        <v>233</v>
      </c>
      <c r="U27" s="833" t="s">
        <v>20</v>
      </c>
      <c r="V27" s="832" t="s">
        <v>91</v>
      </c>
      <c r="W27" s="832" t="s">
        <v>93</v>
      </c>
      <c r="X27" s="832" t="s">
        <v>94</v>
      </c>
      <c r="Y27" s="834" t="s">
        <v>95</v>
      </c>
      <c r="Z27" s="861"/>
      <c r="AE27" s="829"/>
      <c r="AF27" s="829"/>
    </row>
    <row r="28" spans="2:33" ht="35.1" customHeight="1" thickBot="1" x14ac:dyDescent="0.25">
      <c r="B28" s="827"/>
      <c r="C28" s="864"/>
      <c r="D28" s="836"/>
      <c r="E28" s="836"/>
      <c r="F28" s="836"/>
      <c r="G28" s="836"/>
      <c r="H28" s="836"/>
      <c r="I28" s="836"/>
      <c r="J28" s="972"/>
      <c r="K28" s="841"/>
      <c r="L28" s="866"/>
      <c r="M28" s="835"/>
      <c r="N28" s="867"/>
      <c r="P28" s="864" t="s">
        <v>242</v>
      </c>
      <c r="Q28" s="836" t="s">
        <v>221</v>
      </c>
      <c r="R28" s="836" t="s">
        <v>222</v>
      </c>
      <c r="S28" s="836">
        <v>2280</v>
      </c>
      <c r="T28" s="836">
        <v>453658</v>
      </c>
      <c r="U28" s="865" t="s">
        <v>97</v>
      </c>
      <c r="V28" s="841">
        <v>80000</v>
      </c>
      <c r="W28" s="866">
        <f>IFERROR(V28/$V$34,0)</f>
        <v>9.4117647058823528E-2</v>
      </c>
      <c r="X28" s="837">
        <f t="shared" ref="X28:X33" si="0">ROUND(W28*I$15,2)</f>
        <v>447423.87</v>
      </c>
      <c r="Y28" s="868">
        <f t="shared" ref="Y28:Y33" si="1">X28*M$15</f>
        <v>9843325.1400000006</v>
      </c>
      <c r="Z28" s="860"/>
      <c r="AA28" s="1059">
        <f>Y28+Y30+Y31+Y43</f>
        <v>22385416.240000002</v>
      </c>
      <c r="AE28" s="829"/>
      <c r="AF28" s="829"/>
    </row>
    <row r="29" spans="2:33" ht="35.1" customHeight="1" thickBot="1" x14ac:dyDescent="0.25">
      <c r="B29" s="827"/>
      <c r="C29" s="864"/>
      <c r="D29" s="836"/>
      <c r="E29" s="836"/>
      <c r="F29" s="836"/>
      <c r="G29" s="836"/>
      <c r="H29" s="836"/>
      <c r="I29" s="836"/>
      <c r="J29" s="972"/>
      <c r="K29" s="841"/>
      <c r="L29" s="866"/>
      <c r="M29" s="835"/>
      <c r="N29" s="867"/>
      <c r="P29" s="864" t="s">
        <v>242</v>
      </c>
      <c r="Q29" s="836" t="s">
        <v>221</v>
      </c>
      <c r="R29" s="836" t="s">
        <v>222</v>
      </c>
      <c r="S29" s="836">
        <v>2280</v>
      </c>
      <c r="T29" s="836">
        <v>453658</v>
      </c>
      <c r="U29" s="865" t="s">
        <v>100</v>
      </c>
      <c r="V29" s="841">
        <v>40000</v>
      </c>
      <c r="W29" s="866">
        <f>IFERROR(V29/$V$34,0)</f>
        <v>4.7058823529411764E-2</v>
      </c>
      <c r="X29" s="837">
        <f t="shared" si="0"/>
        <v>223711.94</v>
      </c>
      <c r="Y29" s="868">
        <f t="shared" si="1"/>
        <v>4921662.68</v>
      </c>
      <c r="Z29" s="860"/>
      <c r="AA29" s="1059"/>
      <c r="AE29" s="829"/>
      <c r="AF29" s="829"/>
    </row>
    <row r="30" spans="2:33" ht="35.1" customHeight="1" thickBot="1" x14ac:dyDescent="0.25">
      <c r="B30" s="827"/>
      <c r="C30" s="864"/>
      <c r="D30" s="836"/>
      <c r="E30" s="836"/>
      <c r="F30" s="836"/>
      <c r="G30" s="836"/>
      <c r="H30" s="836"/>
      <c r="I30" s="836"/>
      <c r="J30" s="972"/>
      <c r="K30" s="841"/>
      <c r="L30" s="866"/>
      <c r="M30" s="835"/>
      <c r="N30" s="867"/>
      <c r="P30" s="864" t="s">
        <v>242</v>
      </c>
      <c r="Q30" s="836" t="s">
        <v>221</v>
      </c>
      <c r="R30" s="836" t="s">
        <v>222</v>
      </c>
      <c r="S30" s="836">
        <v>2280</v>
      </c>
      <c r="T30" s="836">
        <v>453658</v>
      </c>
      <c r="U30" s="865" t="s">
        <v>393</v>
      </c>
      <c r="V30" s="841">
        <v>22000</v>
      </c>
      <c r="W30" s="866">
        <f>IFERROR(V30/$V$34,0)</f>
        <v>2.5882352941176471E-2</v>
      </c>
      <c r="X30" s="837">
        <f t="shared" si="0"/>
        <v>123041.56</v>
      </c>
      <c r="Y30" s="868">
        <f t="shared" si="1"/>
        <v>2706914.32</v>
      </c>
      <c r="Z30" s="860"/>
      <c r="AE30" s="829"/>
      <c r="AF30" s="829"/>
    </row>
    <row r="31" spans="2:33" ht="35.1" customHeight="1" thickBot="1" x14ac:dyDescent="0.25">
      <c r="B31" s="827"/>
      <c r="C31" s="864"/>
      <c r="D31" s="836"/>
      <c r="E31" s="836"/>
      <c r="F31" s="836"/>
      <c r="G31" s="836"/>
      <c r="H31" s="836"/>
      <c r="I31" s="836"/>
      <c r="J31" s="972"/>
      <c r="K31" s="841"/>
      <c r="L31" s="866"/>
      <c r="M31" s="835"/>
      <c r="N31" s="867"/>
      <c r="P31" s="864" t="s">
        <v>242</v>
      </c>
      <c r="Q31" s="836" t="s">
        <v>221</v>
      </c>
      <c r="R31" s="836" t="s">
        <v>222</v>
      </c>
      <c r="S31" s="836">
        <v>2280</v>
      </c>
      <c r="T31" s="836">
        <v>453658</v>
      </c>
      <c r="U31" s="865" t="s">
        <v>288</v>
      </c>
      <c r="V31" s="841">
        <v>0</v>
      </c>
      <c r="W31" s="866">
        <f t="shared" ref="W31:W33" si="2">IFERROR(V31/$V$34,0)</f>
        <v>0</v>
      </c>
      <c r="X31" s="837">
        <f t="shared" si="0"/>
        <v>0</v>
      </c>
      <c r="Y31" s="868">
        <f t="shared" si="1"/>
        <v>0</v>
      </c>
      <c r="Z31" s="860"/>
      <c r="AE31" s="829"/>
      <c r="AF31" s="829"/>
    </row>
    <row r="32" spans="2:33" ht="35.1" customHeight="1" thickBot="1" x14ac:dyDescent="0.25">
      <c r="B32" s="827"/>
      <c r="C32" s="864"/>
      <c r="D32" s="1000"/>
      <c r="E32" s="2036"/>
      <c r="F32" s="836"/>
      <c r="G32" s="836"/>
      <c r="H32" s="836"/>
      <c r="I32" s="836"/>
      <c r="J32" s="972"/>
      <c r="K32" s="841"/>
      <c r="L32" s="866"/>
      <c r="M32" s="835"/>
      <c r="N32" s="867"/>
      <c r="P32" s="1076" t="s">
        <v>242</v>
      </c>
      <c r="Q32" s="1000" t="s">
        <v>221</v>
      </c>
      <c r="R32" s="1000" t="s">
        <v>222</v>
      </c>
      <c r="S32" s="1000" t="s">
        <v>344</v>
      </c>
      <c r="T32" s="1000">
        <v>468094</v>
      </c>
      <c r="U32" s="2058" t="s">
        <v>23</v>
      </c>
      <c r="V32" s="2059">
        <v>95000</v>
      </c>
      <c r="W32" s="2060">
        <f t="shared" si="2"/>
        <v>0.11176470588235295</v>
      </c>
      <c r="X32" s="2061">
        <f t="shared" si="0"/>
        <v>531315.85</v>
      </c>
      <c r="Y32" s="2062">
        <f t="shared" si="1"/>
        <v>11688948.699999999</v>
      </c>
      <c r="Z32" s="860"/>
      <c r="AE32" s="829"/>
      <c r="AF32" s="829"/>
    </row>
    <row r="33" spans="2:32" ht="35.1" customHeight="1" thickBot="1" x14ac:dyDescent="0.25">
      <c r="B33" s="827"/>
      <c r="C33" s="851">
        <v>800874933</v>
      </c>
      <c r="D33" s="853"/>
      <c r="E33" s="853" t="s">
        <v>242</v>
      </c>
      <c r="F33" s="845" t="s">
        <v>221</v>
      </c>
      <c r="G33" s="845" t="s">
        <v>222</v>
      </c>
      <c r="H33" s="845">
        <v>2280</v>
      </c>
      <c r="I33" s="845">
        <v>453851</v>
      </c>
      <c r="J33" s="973" t="s">
        <v>159</v>
      </c>
      <c r="K33" s="852">
        <f>850000-K28-K29-K31-K32</f>
        <v>850000</v>
      </c>
      <c r="L33" s="872">
        <v>1</v>
      </c>
      <c r="M33" s="844">
        <v>4753878.6400000006</v>
      </c>
      <c r="N33" s="873">
        <f>M33*M15</f>
        <v>104585330.08000001</v>
      </c>
      <c r="P33" s="1004" t="s">
        <v>242</v>
      </c>
      <c r="Q33" s="1003" t="s">
        <v>221</v>
      </c>
      <c r="R33" s="1003" t="s">
        <v>222</v>
      </c>
      <c r="S33" s="1003">
        <v>2280</v>
      </c>
      <c r="T33" s="1003">
        <v>453851</v>
      </c>
      <c r="U33" s="1851" t="s">
        <v>159</v>
      </c>
      <c r="V33" s="1852">
        <f>850000-V28-V29-V30-V31-V32</f>
        <v>613000</v>
      </c>
      <c r="W33" s="1853">
        <f t="shared" si="2"/>
        <v>0.72117647058823531</v>
      </c>
      <c r="X33" s="1854">
        <f t="shared" si="0"/>
        <v>3428385.42</v>
      </c>
      <c r="Y33" s="1855">
        <f t="shared" si="1"/>
        <v>75424479.239999995</v>
      </c>
      <c r="Z33" s="860"/>
      <c r="AE33" s="829"/>
      <c r="AF33" s="829"/>
    </row>
    <row r="34" spans="2:32" ht="35.1" customHeight="1" x14ac:dyDescent="0.2">
      <c r="B34" s="827"/>
      <c r="C34" s="881"/>
      <c r="D34" s="882" t="s">
        <v>102</v>
      </c>
      <c r="E34" s="882"/>
      <c r="F34" s="882"/>
      <c r="G34" s="882"/>
      <c r="H34" s="882"/>
      <c r="I34" s="883"/>
      <c r="J34" s="883"/>
      <c r="K34" s="884">
        <f>SUM(K28:K33)</f>
        <v>850000</v>
      </c>
      <c r="L34" s="885">
        <f>SUM(L28:L33)</f>
        <v>1</v>
      </c>
      <c r="M34" s="886">
        <f>SUM(M28:M33)</f>
        <v>4753878.6400000006</v>
      </c>
      <c r="N34" s="886">
        <f>SUM(N28:N33)</f>
        <v>104585330.08000001</v>
      </c>
      <c r="P34" s="882"/>
      <c r="Q34" s="882"/>
      <c r="R34" s="882"/>
      <c r="S34" s="882"/>
      <c r="T34" s="883"/>
      <c r="U34" s="883"/>
      <c r="V34" s="884">
        <f>SUM(V28:V33)</f>
        <v>850000</v>
      </c>
      <c r="W34" s="885">
        <f>SUM(W28:W33)</f>
        <v>1</v>
      </c>
      <c r="X34" s="887">
        <f>SUM(X28:X33)</f>
        <v>4753878.6400000006</v>
      </c>
      <c r="Y34" s="887">
        <f>SUM(Y28:Y33)</f>
        <v>104585330.08</v>
      </c>
      <c r="Z34" s="827"/>
      <c r="AE34" s="829"/>
      <c r="AF34" s="829"/>
    </row>
    <row r="35" spans="2:32" ht="20.100000000000001" customHeight="1" x14ac:dyDescent="0.2">
      <c r="B35" s="827"/>
      <c r="C35" s="860"/>
      <c r="D35" s="860"/>
      <c r="E35" s="860"/>
      <c r="F35" s="860"/>
      <c r="G35" s="888"/>
      <c r="H35" s="888"/>
      <c r="I35" s="860"/>
      <c r="J35" s="860"/>
      <c r="K35" s="860"/>
      <c r="L35" s="860"/>
      <c r="M35" s="889"/>
      <c r="P35" s="860"/>
      <c r="Q35" s="860"/>
      <c r="R35" s="888"/>
      <c r="S35" s="888"/>
      <c r="T35" s="860"/>
      <c r="U35" s="860"/>
      <c r="V35" s="860"/>
      <c r="W35" s="860"/>
      <c r="X35" s="890"/>
      <c r="Y35" s="891"/>
      <c r="Z35" s="827"/>
      <c r="AE35" s="829"/>
      <c r="AF35" s="829"/>
    </row>
    <row r="36" spans="2:32" ht="20.100000000000001" customHeight="1" x14ac:dyDescent="0.2">
      <c r="B36" s="827"/>
      <c r="C36" s="860"/>
      <c r="D36" s="860"/>
      <c r="E36" s="860"/>
      <c r="F36" s="860"/>
      <c r="G36" s="888"/>
      <c r="H36" s="888"/>
      <c r="I36" s="860"/>
      <c r="J36" s="860"/>
      <c r="K36" s="860"/>
      <c r="L36" s="860"/>
      <c r="M36" s="889"/>
      <c r="P36" s="860"/>
      <c r="Q36" s="860"/>
      <c r="R36" s="888"/>
      <c r="S36" s="888"/>
      <c r="T36" s="860"/>
      <c r="U36" s="860"/>
      <c r="V36" s="860"/>
      <c r="W36" s="892"/>
      <c r="X36" s="889"/>
      <c r="Y36" s="893"/>
      <c r="Z36" s="827"/>
      <c r="AE36" s="829"/>
      <c r="AF36" s="829"/>
    </row>
    <row r="38" spans="2:32" ht="20.100000000000001" customHeight="1" thickBot="1" x14ac:dyDescent="0.25">
      <c r="B38" s="827"/>
      <c r="C38" s="858" t="s">
        <v>274</v>
      </c>
      <c r="D38" s="858"/>
      <c r="E38" s="858"/>
      <c r="F38" s="858"/>
      <c r="G38" s="858"/>
      <c r="H38" s="859"/>
      <c r="I38" s="858"/>
      <c r="J38" s="858"/>
      <c r="K38" s="858"/>
      <c r="L38" s="859"/>
      <c r="M38" s="860"/>
      <c r="N38" s="861"/>
      <c r="P38" s="858"/>
      <c r="Q38" s="858"/>
      <c r="R38" s="858"/>
      <c r="S38" s="859"/>
      <c r="T38" s="858"/>
      <c r="U38" s="858"/>
      <c r="V38" s="858"/>
      <c r="W38" s="860"/>
      <c r="X38" s="860"/>
      <c r="Y38" s="894"/>
      <c r="Z38" s="862"/>
      <c r="AE38" s="829"/>
      <c r="AF38" s="829"/>
    </row>
    <row r="39" spans="2:32" ht="35.1" customHeight="1" thickBot="1" x14ac:dyDescent="0.25">
      <c r="B39" s="827"/>
      <c r="C39" s="850" t="s">
        <v>87</v>
      </c>
      <c r="D39" s="895" t="s">
        <v>88</v>
      </c>
      <c r="E39" s="895" t="s">
        <v>237</v>
      </c>
      <c r="F39" s="896" t="s">
        <v>160</v>
      </c>
      <c r="G39" s="895" t="s">
        <v>236</v>
      </c>
      <c r="H39" s="896" t="s">
        <v>232</v>
      </c>
      <c r="I39" s="896" t="s">
        <v>233</v>
      </c>
      <c r="J39" s="896" t="s">
        <v>20</v>
      </c>
      <c r="K39" s="832" t="s">
        <v>91</v>
      </c>
      <c r="L39" s="895" t="s">
        <v>93</v>
      </c>
      <c r="M39" s="895" t="s">
        <v>94</v>
      </c>
      <c r="N39" s="897" t="s">
        <v>95</v>
      </c>
      <c r="P39" s="895" t="s">
        <v>237</v>
      </c>
      <c r="Q39" s="896" t="s">
        <v>160</v>
      </c>
      <c r="R39" s="895" t="s">
        <v>236</v>
      </c>
      <c r="S39" s="896" t="s">
        <v>232</v>
      </c>
      <c r="T39" s="896" t="s">
        <v>233</v>
      </c>
      <c r="U39" s="896" t="s">
        <v>20</v>
      </c>
      <c r="V39" s="832" t="s">
        <v>91</v>
      </c>
      <c r="W39" s="895" t="s">
        <v>93</v>
      </c>
      <c r="X39" s="895" t="s">
        <v>94</v>
      </c>
      <c r="Y39" s="897" t="s">
        <v>95</v>
      </c>
      <c r="Z39" s="862"/>
      <c r="AE39" s="829"/>
      <c r="AF39" s="829"/>
    </row>
    <row r="40" spans="2:32" ht="35.1" customHeight="1" thickBot="1" x14ac:dyDescent="0.25">
      <c r="B40" s="827"/>
      <c r="C40" s="864"/>
      <c r="D40" s="1000"/>
      <c r="E40" s="2036"/>
      <c r="F40" s="836"/>
      <c r="G40" s="836"/>
      <c r="H40" s="836"/>
      <c r="I40" s="836"/>
      <c r="J40" s="865"/>
      <c r="K40" s="841"/>
      <c r="L40" s="866"/>
      <c r="M40" s="837"/>
      <c r="N40" s="868"/>
      <c r="P40" s="836" t="s">
        <v>242</v>
      </c>
      <c r="Q40" s="836" t="s">
        <v>221</v>
      </c>
      <c r="R40" s="836" t="s">
        <v>222</v>
      </c>
      <c r="S40" s="836">
        <v>2280</v>
      </c>
      <c r="T40" s="836">
        <v>453658</v>
      </c>
      <c r="U40" s="865" t="s">
        <v>97</v>
      </c>
      <c r="V40" s="841">
        <v>80000</v>
      </c>
      <c r="W40" s="866">
        <f>IFERROR(V40/$V$43,0)</f>
        <v>0.66666666666666663</v>
      </c>
      <c r="X40" s="837">
        <f>ROUND(W40*I$16,2)</f>
        <v>298035.65999999997</v>
      </c>
      <c r="Y40" s="868">
        <f>X40*$M$16</f>
        <v>6556784.5199999996</v>
      </c>
      <c r="Z40" s="862"/>
      <c r="AE40" s="829"/>
      <c r="AF40" s="829"/>
    </row>
    <row r="41" spans="2:32" ht="35.1" customHeight="1" thickBot="1" x14ac:dyDescent="0.25">
      <c r="B41" s="827"/>
      <c r="C41" s="864"/>
      <c r="D41" s="836"/>
      <c r="E41" s="836"/>
      <c r="F41" s="836"/>
      <c r="G41" s="836"/>
      <c r="H41" s="836"/>
      <c r="I41" s="836"/>
      <c r="J41" s="865"/>
      <c r="K41" s="841"/>
      <c r="L41" s="866"/>
      <c r="M41" s="837"/>
      <c r="N41" s="868"/>
      <c r="P41" s="836" t="s">
        <v>242</v>
      </c>
      <c r="Q41" s="836" t="s">
        <v>221</v>
      </c>
      <c r="R41" s="836" t="s">
        <v>222</v>
      </c>
      <c r="S41" s="836">
        <v>2280</v>
      </c>
      <c r="T41" s="836">
        <v>453658</v>
      </c>
      <c r="U41" s="865" t="s">
        <v>100</v>
      </c>
      <c r="V41" s="841">
        <v>40000</v>
      </c>
      <c r="W41" s="866">
        <f>IFERROR(V41/$V$43,0)</f>
        <v>0.33333333333333331</v>
      </c>
      <c r="X41" s="837">
        <f>ROUND(W41*I$16,2)</f>
        <v>149017.82999999999</v>
      </c>
      <c r="Y41" s="868">
        <f>X41*$M$16</f>
        <v>3278392.26</v>
      </c>
      <c r="Z41" s="862"/>
      <c r="AE41" s="829"/>
      <c r="AF41" s="829"/>
    </row>
    <row r="42" spans="2:32" ht="35.1" customHeight="1" thickBot="1" x14ac:dyDescent="0.25">
      <c r="B42" s="827"/>
      <c r="C42" s="1004">
        <v>800874975</v>
      </c>
      <c r="D42" s="853"/>
      <c r="E42" s="853" t="s">
        <v>242</v>
      </c>
      <c r="F42" s="1003" t="s">
        <v>221</v>
      </c>
      <c r="G42" s="1003" t="s">
        <v>222</v>
      </c>
      <c r="H42" s="1003">
        <v>2280</v>
      </c>
      <c r="I42" s="1003">
        <v>453851</v>
      </c>
      <c r="J42" s="871" t="s">
        <v>159</v>
      </c>
      <c r="K42" s="852">
        <v>120000</v>
      </c>
      <c r="L42" s="872">
        <v>1</v>
      </c>
      <c r="M42" s="846">
        <f>ROUND(L42*I$16,2)</f>
        <v>447053.49</v>
      </c>
      <c r="N42" s="898">
        <f>M42*$M$16</f>
        <v>9835176.7799999993</v>
      </c>
      <c r="P42" s="1003" t="s">
        <v>401</v>
      </c>
      <c r="Q42" s="845" t="s">
        <v>221</v>
      </c>
      <c r="R42" s="845" t="s">
        <v>222</v>
      </c>
      <c r="S42" s="845">
        <v>2280</v>
      </c>
      <c r="T42" s="845">
        <v>453851</v>
      </c>
      <c r="U42" s="871" t="s">
        <v>159</v>
      </c>
      <c r="V42" s="852">
        <v>0</v>
      </c>
      <c r="W42" s="872">
        <f>IFERROR(V42/$V$43,0)</f>
        <v>0</v>
      </c>
      <c r="X42" s="846">
        <f>ROUND(W42*I$16,2)</f>
        <v>0</v>
      </c>
      <c r="Y42" s="898">
        <f>X42*$M$16</f>
        <v>0</v>
      </c>
      <c r="Z42" s="862"/>
      <c r="AE42" s="829"/>
      <c r="AF42" s="829"/>
    </row>
    <row r="43" spans="2:32" ht="20.100000000000001" customHeight="1" x14ac:dyDescent="0.2">
      <c r="B43" s="827"/>
      <c r="C43" s="881"/>
      <c r="D43" s="882" t="s">
        <v>102</v>
      </c>
      <c r="E43" s="882"/>
      <c r="F43" s="882"/>
      <c r="G43" s="882"/>
      <c r="H43" s="882"/>
      <c r="I43" s="883"/>
      <c r="J43" s="883"/>
      <c r="K43" s="884">
        <f>SUM(K40:K42)</f>
        <v>120000</v>
      </c>
      <c r="L43" s="885">
        <f>SUM(L40:L42)</f>
        <v>1</v>
      </c>
      <c r="M43" s="886">
        <f>SUM(M40:M42)</f>
        <v>447053.49</v>
      </c>
      <c r="N43" s="886">
        <f>SUM(N40:N42)</f>
        <v>9835176.7799999993</v>
      </c>
      <c r="P43" s="882"/>
      <c r="Q43" s="882"/>
      <c r="R43" s="882"/>
      <c r="S43" s="882"/>
      <c r="T43" s="883"/>
      <c r="U43" s="883"/>
      <c r="V43" s="884">
        <f>SUM(V40:V42)</f>
        <v>120000</v>
      </c>
      <c r="W43" s="885">
        <f>SUM(W40:W42)</f>
        <v>1</v>
      </c>
      <c r="X43" s="886">
        <f>SUM(X40:X42)</f>
        <v>447053.49</v>
      </c>
      <c r="Y43" s="886">
        <f>SUM(Y40:Y42)</f>
        <v>9835176.7799999993</v>
      </c>
      <c r="Z43" s="862"/>
      <c r="AE43" s="829"/>
      <c r="AF43" s="829"/>
    </row>
    <row r="44" spans="2:32" ht="20.100000000000001" customHeight="1" x14ac:dyDescent="0.2">
      <c r="B44" s="827"/>
      <c r="C44" s="899"/>
      <c r="D44" s="858"/>
      <c r="E44" s="858"/>
      <c r="F44" s="858"/>
      <c r="G44" s="858"/>
      <c r="H44" s="859"/>
      <c r="I44" s="858"/>
      <c r="J44" s="858"/>
      <c r="K44" s="858"/>
      <c r="L44" s="860"/>
      <c r="M44" s="860"/>
      <c r="N44" s="843"/>
      <c r="P44" s="858"/>
      <c r="Q44" s="858"/>
      <c r="R44" s="858"/>
      <c r="S44" s="859"/>
      <c r="T44" s="858"/>
      <c r="U44" s="858"/>
      <c r="V44" s="858"/>
      <c r="W44" s="860"/>
      <c r="X44" s="860"/>
      <c r="Y44" s="894"/>
      <c r="Z44" s="862"/>
      <c r="AE44" s="829"/>
      <c r="AF44" s="829"/>
    </row>
    <row r="45" spans="2:32" ht="20.100000000000001" customHeight="1" x14ac:dyDescent="0.2">
      <c r="B45" s="827"/>
      <c r="C45" s="899"/>
      <c r="D45" s="858"/>
      <c r="E45" s="858"/>
      <c r="F45" s="858"/>
      <c r="G45" s="858"/>
      <c r="H45" s="859"/>
      <c r="I45" s="858"/>
      <c r="J45" s="858"/>
      <c r="K45" s="858"/>
      <c r="L45" s="860"/>
      <c r="M45" s="860"/>
      <c r="N45" s="843"/>
      <c r="P45" s="858"/>
      <c r="Q45" s="858"/>
      <c r="R45" s="858"/>
      <c r="S45" s="859"/>
      <c r="T45" s="858"/>
      <c r="U45" s="858"/>
      <c r="V45" s="858"/>
      <c r="W45" s="860"/>
      <c r="X45" s="860"/>
      <c r="Y45" s="894"/>
      <c r="Z45" s="862"/>
      <c r="AE45" s="829"/>
      <c r="AF45" s="829"/>
    </row>
    <row r="46" spans="2:32" ht="20.100000000000001" customHeight="1" x14ac:dyDescent="0.2">
      <c r="B46" s="827"/>
      <c r="C46" s="899"/>
      <c r="D46" s="858"/>
      <c r="E46" s="858"/>
      <c r="F46" s="858"/>
      <c r="G46" s="858"/>
      <c r="H46" s="859"/>
      <c r="I46" s="858"/>
      <c r="J46" s="858"/>
      <c r="K46" s="858"/>
      <c r="L46" s="860"/>
      <c r="M46" s="860"/>
      <c r="N46" s="843"/>
      <c r="P46" s="858"/>
      <c r="Q46" s="858"/>
      <c r="R46" s="858"/>
      <c r="S46" s="859"/>
      <c r="T46" s="858"/>
      <c r="U46" s="858"/>
      <c r="V46" s="858"/>
      <c r="W46" s="860"/>
      <c r="X46" s="860"/>
      <c r="Y46" s="894"/>
      <c r="Z46" s="862"/>
      <c r="AE46" s="829"/>
      <c r="AF46" s="829"/>
    </row>
    <row r="47" spans="2:32" ht="35.1" customHeight="1" thickBot="1" x14ac:dyDescent="0.25">
      <c r="B47" s="827"/>
      <c r="C47" s="899" t="s">
        <v>103</v>
      </c>
      <c r="D47" s="858"/>
      <c r="E47" s="858"/>
      <c r="F47" s="858"/>
      <c r="G47" s="858"/>
      <c r="H47" s="859"/>
      <c r="I47" s="858"/>
      <c r="J47" s="858"/>
      <c r="K47" s="858"/>
      <c r="L47" s="860"/>
      <c r="M47" s="860"/>
      <c r="N47" s="843"/>
      <c r="P47" s="858"/>
      <c r="Q47" s="858"/>
      <c r="R47" s="858"/>
      <c r="S47" s="859"/>
      <c r="T47" s="858"/>
      <c r="U47" s="858"/>
      <c r="V47" s="858"/>
      <c r="W47" s="860"/>
      <c r="X47" s="860"/>
      <c r="Y47" s="894"/>
      <c r="Z47" s="862"/>
      <c r="AE47" s="829"/>
      <c r="AF47" s="829"/>
    </row>
    <row r="48" spans="2:32" ht="35.1" customHeight="1" thickBot="1" x14ac:dyDescent="0.25">
      <c r="B48" s="827"/>
      <c r="C48" s="850" t="s">
        <v>87</v>
      </c>
      <c r="D48" s="832" t="s">
        <v>88</v>
      </c>
      <c r="E48" s="832" t="s">
        <v>237</v>
      </c>
      <c r="F48" s="833" t="s">
        <v>160</v>
      </c>
      <c r="G48" s="832" t="s">
        <v>90</v>
      </c>
      <c r="H48" s="833" t="s">
        <v>232</v>
      </c>
      <c r="I48" s="833" t="s">
        <v>233</v>
      </c>
      <c r="J48" s="833" t="s">
        <v>20</v>
      </c>
      <c r="K48" s="832" t="s">
        <v>234</v>
      </c>
      <c r="L48" s="832" t="s">
        <v>93</v>
      </c>
      <c r="M48" s="832" t="s">
        <v>94</v>
      </c>
      <c r="N48" s="863" t="s">
        <v>95</v>
      </c>
      <c r="P48" s="850" t="s">
        <v>237</v>
      </c>
      <c r="Q48" s="833" t="s">
        <v>160</v>
      </c>
      <c r="R48" s="832" t="s">
        <v>90</v>
      </c>
      <c r="S48" s="833" t="s">
        <v>232</v>
      </c>
      <c r="T48" s="833" t="s">
        <v>233</v>
      </c>
      <c r="U48" s="833" t="s">
        <v>20</v>
      </c>
      <c r="V48" s="832" t="s">
        <v>234</v>
      </c>
      <c r="W48" s="832" t="s">
        <v>93</v>
      </c>
      <c r="X48" s="832" t="s">
        <v>94</v>
      </c>
      <c r="Y48" s="834" t="s">
        <v>95</v>
      </c>
      <c r="Z48" s="861"/>
      <c r="AE48" s="829"/>
      <c r="AF48" s="829"/>
    </row>
    <row r="49" spans="2:32" ht="35.1" customHeight="1" thickBot="1" x14ac:dyDescent="0.25">
      <c r="B49" s="827"/>
      <c r="C49" s="864">
        <v>800874989</v>
      </c>
      <c r="D49" s="869"/>
      <c r="E49" s="869" t="s">
        <v>242</v>
      </c>
      <c r="F49" s="836" t="s">
        <v>221</v>
      </c>
      <c r="G49" s="836" t="s">
        <v>222</v>
      </c>
      <c r="H49" s="836">
        <v>2281</v>
      </c>
      <c r="I49" s="836">
        <v>453659</v>
      </c>
      <c r="J49" s="972" t="s">
        <v>159</v>
      </c>
      <c r="K49" s="841">
        <f>P102</f>
        <v>3371343.7600000002</v>
      </c>
      <c r="L49" s="866">
        <f>IFERROR(K49/K$54,0)</f>
        <v>0.54672345105436915</v>
      </c>
      <c r="M49" s="835">
        <f>L49*$I$17</f>
        <v>3111.1297982248875</v>
      </c>
      <c r="N49" s="867">
        <f>M49*$M$17</f>
        <v>68444.85556094753</v>
      </c>
      <c r="O49" s="829">
        <v>18.6234</v>
      </c>
      <c r="P49" s="864" t="s">
        <v>242</v>
      </c>
      <c r="Q49" s="836" t="s">
        <v>221</v>
      </c>
      <c r="R49" s="836" t="s">
        <v>222</v>
      </c>
      <c r="S49" s="836">
        <v>2281</v>
      </c>
      <c r="T49" s="836">
        <v>453658</v>
      </c>
      <c r="U49" s="865" t="s">
        <v>97</v>
      </c>
      <c r="V49" s="841">
        <f>K49</f>
        <v>3371343.7600000002</v>
      </c>
      <c r="W49" s="866">
        <f>IFERROR(V49/V$54,0)</f>
        <v>0.54672345105436915</v>
      </c>
      <c r="X49" s="835">
        <f>W49*$I$17</f>
        <v>3111.1297982248875</v>
      </c>
      <c r="Y49" s="867">
        <f>X49*$M$17</f>
        <v>68444.85556094753</v>
      </c>
      <c r="AE49" s="829"/>
      <c r="AF49" s="829"/>
    </row>
    <row r="50" spans="2:32" ht="35.1" customHeight="1" thickBot="1" x14ac:dyDescent="0.25">
      <c r="B50" s="827"/>
      <c r="C50" s="864"/>
      <c r="D50" s="1000"/>
      <c r="E50" s="1000"/>
      <c r="F50" s="836"/>
      <c r="G50" s="836"/>
      <c r="H50" s="836"/>
      <c r="I50" s="836"/>
      <c r="J50" s="972"/>
      <c r="K50" s="841"/>
      <c r="L50" s="866"/>
      <c r="M50" s="835"/>
      <c r="N50" s="867"/>
      <c r="P50" s="864" t="s">
        <v>242</v>
      </c>
      <c r="Q50" s="836" t="s">
        <v>221</v>
      </c>
      <c r="R50" s="836" t="s">
        <v>222</v>
      </c>
      <c r="S50" s="836">
        <v>2281</v>
      </c>
      <c r="T50" s="836">
        <v>453658</v>
      </c>
      <c r="U50" s="865" t="s">
        <v>100</v>
      </c>
      <c r="V50" s="841">
        <f t="shared" ref="V50:V53" si="3">K50</f>
        <v>0</v>
      </c>
      <c r="W50" s="866">
        <f>IFERROR(V50/V$54,0)</f>
        <v>0</v>
      </c>
      <c r="X50" s="835">
        <f>W50*$I$17</f>
        <v>0</v>
      </c>
      <c r="Y50" s="867">
        <f>X50*$M$17</f>
        <v>0</v>
      </c>
      <c r="AE50" s="829"/>
      <c r="AF50" s="829"/>
    </row>
    <row r="51" spans="2:32" ht="35.1" customHeight="1" thickBot="1" x14ac:dyDescent="0.25">
      <c r="B51" s="827"/>
      <c r="C51" s="864">
        <v>800874989</v>
      </c>
      <c r="D51" s="869"/>
      <c r="E51" s="869" t="s">
        <v>242</v>
      </c>
      <c r="F51" s="836" t="s">
        <v>221</v>
      </c>
      <c r="G51" s="836" t="s">
        <v>222</v>
      </c>
      <c r="H51" s="836">
        <v>2281</v>
      </c>
      <c r="I51" s="836">
        <v>453659</v>
      </c>
      <c r="J51" s="972" t="s">
        <v>159</v>
      </c>
      <c r="K51" s="841">
        <f>N102</f>
        <v>567693.27162977005</v>
      </c>
      <c r="L51" s="866">
        <f>IFERROR(K51/K$54,0)</f>
        <v>9.2061577430411087E-2</v>
      </c>
      <c r="M51" s="835">
        <f>L51*$I$17</f>
        <v>523.87640636775427</v>
      </c>
      <c r="N51" s="867">
        <f>M51*$M$17</f>
        <v>11525.280940090594</v>
      </c>
      <c r="P51" s="864" t="s">
        <v>242</v>
      </c>
      <c r="Q51" s="836" t="s">
        <v>221</v>
      </c>
      <c r="R51" s="836" t="s">
        <v>222</v>
      </c>
      <c r="S51" s="836">
        <v>2281</v>
      </c>
      <c r="T51" s="836">
        <v>453658</v>
      </c>
      <c r="U51" s="865" t="s">
        <v>393</v>
      </c>
      <c r="V51" s="841">
        <f t="shared" si="3"/>
        <v>567693.27162977005</v>
      </c>
      <c r="W51" s="866">
        <f>IFERROR(V51/V$54,0)</f>
        <v>9.2061577430411087E-2</v>
      </c>
      <c r="X51" s="835">
        <f>W51*$I$17</f>
        <v>523.87640636775427</v>
      </c>
      <c r="Y51" s="867">
        <f>X51*$M$17</f>
        <v>11525.280940090594</v>
      </c>
      <c r="AE51" s="829"/>
      <c r="AF51" s="829"/>
    </row>
    <row r="52" spans="2:32" ht="35.1" customHeight="1" thickBot="1" x14ac:dyDescent="0.25">
      <c r="B52" s="827"/>
      <c r="C52" s="864"/>
      <c r="D52" s="836"/>
      <c r="E52" s="1000"/>
      <c r="F52" s="836"/>
      <c r="G52" s="836"/>
      <c r="H52" s="836"/>
      <c r="I52" s="836"/>
      <c r="J52" s="972"/>
      <c r="K52" s="841"/>
      <c r="L52" s="866"/>
      <c r="M52" s="835"/>
      <c r="N52" s="867"/>
      <c r="P52" s="864" t="s">
        <v>242</v>
      </c>
      <c r="Q52" s="836" t="s">
        <v>221</v>
      </c>
      <c r="R52" s="836" t="s">
        <v>222</v>
      </c>
      <c r="S52" s="836">
        <v>2281</v>
      </c>
      <c r="T52" s="836">
        <v>453658</v>
      </c>
      <c r="U52" s="865" t="s">
        <v>288</v>
      </c>
      <c r="V52" s="841">
        <f t="shared" si="3"/>
        <v>0</v>
      </c>
      <c r="W52" s="866">
        <f>IFERROR(V52/V$54,0)</f>
        <v>0</v>
      </c>
      <c r="X52" s="835">
        <f>W52*$I$17</f>
        <v>0</v>
      </c>
      <c r="Y52" s="867">
        <f t="shared" ref="Y52:Y53" si="4">X52*$M$17</f>
        <v>0</v>
      </c>
      <c r="AE52" s="829"/>
      <c r="AF52" s="829"/>
    </row>
    <row r="53" spans="2:32" ht="35.1" customHeight="1" thickBot="1" x14ac:dyDescent="0.25">
      <c r="B53" s="827"/>
      <c r="C53" s="851">
        <v>800874989</v>
      </c>
      <c r="D53" s="853"/>
      <c r="E53" s="853" t="s">
        <v>242</v>
      </c>
      <c r="F53" s="845" t="s">
        <v>221</v>
      </c>
      <c r="G53" s="845" t="s">
        <v>222</v>
      </c>
      <c r="H53" s="845">
        <v>2281</v>
      </c>
      <c r="I53" s="845">
        <v>453659</v>
      </c>
      <c r="J53" s="973" t="s">
        <v>159</v>
      </c>
      <c r="K53" s="852">
        <f>O102</f>
        <v>2227414.6790080005</v>
      </c>
      <c r="L53" s="866">
        <f>IFERROR(K53/K$54,0)</f>
        <v>0.36121497151521975</v>
      </c>
      <c r="M53" s="844">
        <f>L53*$I$17</f>
        <v>2055.493795407358</v>
      </c>
      <c r="N53" s="867">
        <f t="shared" ref="N53" si="5">M53*$M$17</f>
        <v>45220.863498961873</v>
      </c>
      <c r="O53" s="829">
        <v>18.8506</v>
      </c>
      <c r="P53" s="1004" t="s">
        <v>242</v>
      </c>
      <c r="Q53" s="845" t="s">
        <v>221</v>
      </c>
      <c r="R53" s="845" t="s">
        <v>222</v>
      </c>
      <c r="S53" s="845" t="s">
        <v>402</v>
      </c>
      <c r="T53" s="845">
        <v>468095</v>
      </c>
      <c r="U53" s="871" t="s">
        <v>23</v>
      </c>
      <c r="V53" s="852">
        <f t="shared" si="3"/>
        <v>2227414.6790080005</v>
      </c>
      <c r="W53" s="872">
        <f>IFERROR(V53/V$54,0)</f>
        <v>0.36121497151521975</v>
      </c>
      <c r="X53" s="844">
        <f>W53*$I$17</f>
        <v>2055.493795407358</v>
      </c>
      <c r="Y53" s="873">
        <f t="shared" si="4"/>
        <v>45220.863498961873</v>
      </c>
      <c r="AE53" s="829"/>
      <c r="AF53" s="829"/>
    </row>
    <row r="54" spans="2:32" x14ac:dyDescent="0.2">
      <c r="B54" s="827"/>
      <c r="C54" s="901"/>
      <c r="D54" s="901"/>
      <c r="E54" s="901"/>
      <c r="F54" s="902"/>
      <c r="G54" s="902"/>
      <c r="H54" s="902"/>
      <c r="I54" s="902"/>
      <c r="J54" s="902"/>
      <c r="K54" s="1001">
        <f>SUM(K49:K53)</f>
        <v>6166451.7106377706</v>
      </c>
      <c r="L54" s="903">
        <f>SUM(L49:L53)</f>
        <v>1</v>
      </c>
      <c r="M54" s="1002">
        <f>SUM(M49:M53)</f>
        <v>5690.5</v>
      </c>
      <c r="N54" s="1002">
        <f>SUM(N49:N53)</f>
        <v>125191</v>
      </c>
      <c r="O54" s="843"/>
      <c r="P54" s="843"/>
      <c r="Q54" s="827"/>
      <c r="R54" s="827"/>
      <c r="S54" s="827"/>
      <c r="T54" s="827"/>
      <c r="U54" s="827"/>
      <c r="V54" s="1001">
        <f>SUM(V49:V53)</f>
        <v>6166451.7106377706</v>
      </c>
      <c r="W54" s="903">
        <f>SUM(W49:W53)</f>
        <v>1</v>
      </c>
      <c r="X54" s="1002">
        <f>SUM(X49:X53)</f>
        <v>5690.5</v>
      </c>
      <c r="Y54" s="1002">
        <f>SUM(Y49:Y53)</f>
        <v>125191</v>
      </c>
      <c r="AE54" s="829"/>
      <c r="AF54" s="829"/>
    </row>
    <row r="55" spans="2:32" s="906" customFormat="1" x14ac:dyDescent="0.2">
      <c r="B55" s="904"/>
      <c r="C55" s="902"/>
      <c r="D55" s="902"/>
      <c r="E55" s="902"/>
      <c r="F55" s="902"/>
      <c r="G55" s="902"/>
      <c r="H55" s="902"/>
      <c r="I55" s="902"/>
      <c r="J55" s="902"/>
      <c r="K55" s="902"/>
      <c r="L55" s="902"/>
      <c r="M55" s="905"/>
      <c r="N55" s="905"/>
      <c r="O55" s="843"/>
      <c r="P55" s="843"/>
      <c r="Q55" s="904"/>
      <c r="R55" s="904"/>
      <c r="S55" s="904"/>
      <c r="T55" s="904"/>
      <c r="U55" s="904"/>
      <c r="V55" s="904"/>
      <c r="W55" s="904"/>
      <c r="X55" s="843"/>
      <c r="Y55" s="843"/>
      <c r="Z55" s="843"/>
      <c r="AA55" s="843"/>
      <c r="AB55" s="843"/>
      <c r="AC55" s="843"/>
      <c r="AD55" s="843"/>
    </row>
    <row r="56" spans="2:32" s="906" customFormat="1" x14ac:dyDescent="0.2">
      <c r="B56" s="904"/>
      <c r="C56" s="902"/>
      <c r="D56" s="902"/>
      <c r="E56" s="902"/>
      <c r="F56" s="902"/>
      <c r="G56" s="902"/>
      <c r="H56" s="902"/>
      <c r="I56" s="902"/>
      <c r="J56" s="902"/>
      <c r="K56" s="902"/>
      <c r="L56" s="905"/>
      <c r="M56" s="905"/>
      <c r="N56" s="843"/>
      <c r="O56" s="904"/>
      <c r="P56" s="904"/>
      <c r="Q56" s="904"/>
      <c r="R56" s="904"/>
      <c r="S56" s="904"/>
      <c r="T56" s="904"/>
      <c r="U56" s="904"/>
      <c r="V56" s="843"/>
      <c r="W56" s="843"/>
      <c r="X56" s="843"/>
      <c r="Y56" s="843"/>
      <c r="Z56" s="843"/>
      <c r="AA56" s="843"/>
      <c r="AB56" s="843"/>
    </row>
    <row r="57" spans="2:32" s="906" customFormat="1" x14ac:dyDescent="0.2">
      <c r="B57" s="904"/>
      <c r="C57" s="902"/>
      <c r="D57" s="902"/>
      <c r="E57" s="902"/>
      <c r="F57" s="902"/>
      <c r="G57" s="902"/>
      <c r="H57" s="902"/>
      <c r="I57" s="902"/>
      <c r="J57" s="902"/>
      <c r="K57" s="902"/>
      <c r="L57" s="905"/>
      <c r="M57" s="905"/>
      <c r="N57" s="843"/>
      <c r="O57" s="843"/>
      <c r="P57" s="904"/>
      <c r="Q57" s="904"/>
      <c r="R57" s="904"/>
      <c r="S57" s="904"/>
      <c r="T57" s="904"/>
      <c r="U57" s="904"/>
      <c r="V57" s="904"/>
      <c r="W57" s="843"/>
      <c r="X57" s="843"/>
      <c r="Y57" s="843"/>
      <c r="Z57" s="843"/>
      <c r="AA57" s="843"/>
      <c r="AB57" s="843"/>
      <c r="AC57" s="843"/>
    </row>
    <row r="58" spans="2:32" s="906" customFormat="1" x14ac:dyDescent="0.2">
      <c r="B58" s="904"/>
      <c r="C58" s="902"/>
      <c r="D58" s="902"/>
      <c r="E58" s="902"/>
      <c r="F58" s="902"/>
      <c r="G58" s="902"/>
      <c r="H58" s="902"/>
      <c r="I58" s="902"/>
      <c r="J58" s="902"/>
      <c r="K58" s="902"/>
      <c r="L58" s="905"/>
      <c r="M58" s="905"/>
      <c r="N58" s="843"/>
      <c r="O58" s="905"/>
      <c r="P58" s="843"/>
      <c r="Q58" s="905"/>
      <c r="R58" s="904"/>
      <c r="S58" s="904"/>
      <c r="T58" s="904"/>
      <c r="U58" s="904"/>
      <c r="V58" s="904"/>
      <c r="W58" s="904"/>
      <c r="X58" s="904"/>
      <c r="Y58" s="904"/>
      <c r="Z58" s="843"/>
      <c r="AA58" s="843"/>
      <c r="AB58" s="843"/>
      <c r="AC58" s="843"/>
      <c r="AD58" s="843"/>
      <c r="AE58" s="843"/>
      <c r="AF58" s="843"/>
    </row>
    <row r="59" spans="2:32" s="906" customFormat="1" x14ac:dyDescent="0.2">
      <c r="B59" s="904"/>
      <c r="C59" s="902"/>
      <c r="D59" s="902"/>
      <c r="E59" s="902"/>
      <c r="F59" s="902"/>
      <c r="G59" s="902"/>
      <c r="H59" s="902"/>
      <c r="I59" s="902"/>
      <c r="J59" s="902"/>
      <c r="K59" s="902"/>
      <c r="L59" s="905"/>
      <c r="M59" s="905"/>
      <c r="N59" s="843"/>
      <c r="O59" s="905"/>
      <c r="P59" s="843"/>
      <c r="Q59" s="905"/>
      <c r="R59" s="904"/>
      <c r="S59" s="904"/>
      <c r="T59" s="904"/>
      <c r="U59" s="904"/>
      <c r="V59" s="904"/>
      <c r="W59" s="904"/>
      <c r="X59" s="904"/>
      <c r="Y59" s="904"/>
      <c r="Z59" s="843"/>
      <c r="AA59" s="843"/>
      <c r="AB59" s="843"/>
      <c r="AC59" s="843"/>
      <c r="AD59" s="843"/>
      <c r="AE59" s="843"/>
      <c r="AF59" s="843"/>
    </row>
    <row r="60" spans="2:32" s="906" customFormat="1" x14ac:dyDescent="0.2">
      <c r="B60" s="904"/>
      <c r="C60" s="902"/>
      <c r="D60" s="902"/>
      <c r="E60" s="902"/>
      <c r="F60" s="902"/>
      <c r="G60" s="902"/>
      <c r="H60" s="902"/>
      <c r="I60" s="902"/>
      <c r="J60" s="902"/>
      <c r="K60" s="902"/>
      <c r="L60" s="905"/>
      <c r="M60" s="905"/>
      <c r="N60" s="843"/>
      <c r="O60" s="905"/>
      <c r="P60" s="843"/>
      <c r="Q60" s="905"/>
      <c r="R60" s="904"/>
      <c r="S60" s="904"/>
      <c r="T60" s="904"/>
      <c r="U60" s="904"/>
      <c r="V60" s="904"/>
      <c r="W60" s="904"/>
      <c r="X60" s="904"/>
      <c r="Y60" s="904"/>
      <c r="Z60" s="843"/>
      <c r="AA60" s="843"/>
      <c r="AB60" s="843"/>
      <c r="AC60" s="843"/>
      <c r="AD60" s="843"/>
      <c r="AE60" s="843"/>
      <c r="AF60" s="843"/>
    </row>
    <row r="61" spans="2:32" s="906" customFormat="1" x14ac:dyDescent="0.2">
      <c r="B61" s="904"/>
      <c r="C61" s="902"/>
      <c r="D61" s="902"/>
      <c r="E61" s="902"/>
      <c r="F61" s="902"/>
      <c r="G61" s="902"/>
      <c r="H61" s="902"/>
      <c r="I61" s="902"/>
      <c r="J61" s="902"/>
      <c r="K61" s="902"/>
      <c r="L61" s="905"/>
      <c r="M61" s="905"/>
      <c r="N61" s="843"/>
      <c r="O61" s="905"/>
      <c r="P61" s="843"/>
      <c r="Q61" s="905"/>
      <c r="R61" s="904"/>
      <c r="S61" s="904"/>
      <c r="T61" s="904"/>
      <c r="U61" s="904"/>
      <c r="V61" s="904"/>
      <c r="W61" s="904"/>
      <c r="X61" s="904"/>
      <c r="Y61" s="904"/>
      <c r="Z61" s="843"/>
      <c r="AA61" s="843"/>
      <c r="AB61" s="843"/>
      <c r="AC61" s="843"/>
      <c r="AD61" s="843"/>
      <c r="AE61" s="843"/>
      <c r="AF61" s="843"/>
    </row>
    <row r="62" spans="2:32" s="906" customFormat="1" x14ac:dyDescent="0.2">
      <c r="B62" s="904"/>
      <c r="C62" s="902"/>
      <c r="D62" s="902"/>
      <c r="E62" s="902"/>
      <c r="F62" s="902"/>
      <c r="G62" s="902"/>
      <c r="H62" s="902"/>
      <c r="I62" s="902"/>
      <c r="J62" s="902"/>
      <c r="K62" s="902"/>
      <c r="L62" s="905"/>
      <c r="M62" s="905"/>
      <c r="N62" s="843"/>
      <c r="O62" s="905"/>
      <c r="P62" s="843"/>
      <c r="Q62" s="905"/>
      <c r="R62" s="904"/>
      <c r="S62" s="904"/>
      <c r="T62" s="904"/>
      <c r="U62" s="904"/>
      <c r="V62" s="904"/>
      <c r="W62" s="904"/>
      <c r="X62" s="904"/>
      <c r="Y62" s="904"/>
      <c r="Z62" s="843"/>
      <c r="AA62" s="843"/>
      <c r="AB62" s="843"/>
      <c r="AC62" s="843"/>
      <c r="AD62" s="843"/>
      <c r="AE62" s="843"/>
      <c r="AF62" s="843"/>
    </row>
    <row r="63" spans="2:32" s="906" customFormat="1" x14ac:dyDescent="0.2">
      <c r="B63" s="904"/>
      <c r="C63" s="902"/>
      <c r="D63" s="902"/>
      <c r="E63" s="902"/>
      <c r="F63" s="902"/>
      <c r="G63" s="902"/>
      <c r="H63" s="902"/>
      <c r="I63" s="902"/>
      <c r="J63" s="902"/>
      <c r="K63" s="902"/>
      <c r="L63" s="905"/>
      <c r="M63" s="905"/>
      <c r="N63" s="843"/>
      <c r="O63" s="905"/>
      <c r="P63" s="843"/>
      <c r="Q63" s="905"/>
      <c r="R63" s="904"/>
      <c r="S63" s="904"/>
      <c r="T63" s="904"/>
      <c r="U63" s="904"/>
      <c r="V63" s="904"/>
      <c r="W63" s="904"/>
      <c r="X63" s="904"/>
      <c r="Y63" s="904"/>
      <c r="Z63" s="843"/>
      <c r="AA63" s="843"/>
      <c r="AB63" s="843"/>
      <c r="AC63" s="843"/>
      <c r="AD63" s="843"/>
      <c r="AE63" s="843"/>
      <c r="AF63" s="843"/>
    </row>
    <row r="64" spans="2:32" s="906" customFormat="1" x14ac:dyDescent="0.2">
      <c r="B64" s="904"/>
      <c r="C64" s="902"/>
      <c r="D64" s="902"/>
      <c r="E64" s="902"/>
      <c r="F64" s="902"/>
      <c r="G64" s="902"/>
      <c r="H64" s="902"/>
      <c r="I64" s="902"/>
      <c r="J64" s="902"/>
      <c r="K64" s="902"/>
      <c r="L64" s="905"/>
      <c r="M64" s="905"/>
      <c r="N64" s="843"/>
      <c r="O64" s="905"/>
      <c r="P64" s="843"/>
      <c r="Q64" s="905"/>
      <c r="R64" s="904"/>
      <c r="S64" s="904"/>
      <c r="T64" s="904"/>
      <c r="U64" s="904"/>
      <c r="V64" s="904"/>
      <c r="W64" s="904"/>
      <c r="X64" s="904"/>
      <c r="Y64" s="904"/>
      <c r="Z64" s="843"/>
      <c r="AA64" s="843"/>
      <c r="AB64" s="843"/>
      <c r="AC64" s="843"/>
      <c r="AD64" s="843"/>
      <c r="AE64" s="843"/>
      <c r="AF64" s="843"/>
    </row>
    <row r="65" spans="2:36" s="906" customFormat="1" x14ac:dyDescent="0.2">
      <c r="B65" s="904"/>
      <c r="C65" s="902"/>
      <c r="D65" s="902"/>
      <c r="E65" s="902"/>
      <c r="F65" s="902"/>
      <c r="G65" s="902"/>
      <c r="H65" s="902"/>
      <c r="I65" s="902"/>
      <c r="J65" s="902"/>
      <c r="K65" s="902"/>
      <c r="L65" s="905"/>
      <c r="M65" s="905"/>
      <c r="N65" s="843"/>
      <c r="O65" s="905"/>
      <c r="P65" s="843"/>
      <c r="Q65" s="905"/>
      <c r="R65" s="904"/>
      <c r="S65" s="904"/>
      <c r="T65" s="904"/>
      <c r="U65" s="904"/>
      <c r="V65" s="904"/>
      <c r="W65" s="904"/>
      <c r="X65" s="904"/>
      <c r="Y65" s="904"/>
      <c r="Z65" s="843"/>
      <c r="AA65" s="843"/>
      <c r="AB65" s="843"/>
      <c r="AC65" s="843"/>
      <c r="AD65" s="843"/>
      <c r="AE65" s="843"/>
      <c r="AF65" s="843"/>
    </row>
    <row r="66" spans="2:36" s="906" customFormat="1" x14ac:dyDescent="0.2">
      <c r="B66" s="904"/>
      <c r="C66" s="902"/>
      <c r="D66" s="902"/>
      <c r="E66" s="902"/>
      <c r="F66" s="902"/>
      <c r="G66" s="902"/>
      <c r="H66" s="902"/>
      <c r="I66" s="902"/>
      <c r="J66" s="902"/>
      <c r="K66" s="902"/>
      <c r="L66" s="905"/>
      <c r="M66" s="905"/>
      <c r="N66" s="843"/>
      <c r="O66" s="905"/>
      <c r="P66" s="843"/>
      <c r="Q66" s="905"/>
      <c r="R66" s="904"/>
      <c r="S66" s="904"/>
      <c r="T66" s="904"/>
      <c r="U66" s="904"/>
      <c r="V66" s="904"/>
      <c r="W66" s="904"/>
      <c r="X66" s="904"/>
      <c r="Y66" s="904"/>
      <c r="Z66" s="843"/>
      <c r="AA66" s="843"/>
      <c r="AB66" s="843"/>
      <c r="AC66" s="843"/>
      <c r="AD66" s="843"/>
      <c r="AE66" s="843"/>
      <c r="AF66" s="843"/>
    </row>
    <row r="67" spans="2:36" s="906" customFormat="1" x14ac:dyDescent="0.2">
      <c r="B67" s="904"/>
      <c r="C67" s="902"/>
      <c r="D67" s="902"/>
      <c r="E67" s="902"/>
      <c r="F67" s="902"/>
      <c r="G67" s="902"/>
      <c r="H67" s="902"/>
      <c r="I67" s="902"/>
      <c r="J67" s="902"/>
      <c r="K67" s="902"/>
      <c r="L67" s="902"/>
      <c r="M67" s="905"/>
      <c r="N67" s="905"/>
      <c r="O67" s="843"/>
      <c r="P67" s="905"/>
      <c r="Q67" s="843"/>
      <c r="R67" s="905"/>
      <c r="S67" s="904"/>
      <c r="T67" s="904"/>
      <c r="U67" s="904"/>
      <c r="V67" s="904"/>
      <c r="W67" s="904"/>
      <c r="X67" s="904"/>
      <c r="Y67" s="904"/>
      <c r="Z67" s="904"/>
      <c r="AA67" s="843"/>
      <c r="AB67" s="843"/>
      <c r="AC67" s="843"/>
      <c r="AD67" s="843"/>
      <c r="AE67" s="843"/>
      <c r="AF67" s="843"/>
      <c r="AG67" s="843"/>
    </row>
    <row r="68" spans="2:36" s="843" customFormat="1" ht="13.5" thickBot="1" x14ac:dyDescent="0.25">
      <c r="P68" s="860"/>
      <c r="Q68" s="860"/>
      <c r="T68" s="860"/>
      <c r="U68" s="860"/>
      <c r="V68" s="860"/>
      <c r="W68" s="860"/>
      <c r="X68" s="860"/>
      <c r="Y68" s="860"/>
      <c r="Z68" s="860"/>
      <c r="AA68" s="860"/>
      <c r="AB68" s="860"/>
      <c r="AC68" s="860"/>
      <c r="AD68" s="860"/>
      <c r="AE68" s="860" t="e">
        <f>'Junio - 2018'!AC101</f>
        <v>#REF!</v>
      </c>
      <c r="AF68" s="860"/>
      <c r="AG68" s="999"/>
    </row>
    <row r="69" spans="2:36" ht="15" customHeight="1" thickBot="1" x14ac:dyDescent="0.25">
      <c r="B69" s="907" t="s">
        <v>3</v>
      </c>
      <c r="C69" s="908">
        <f>SUMIF(Tarifas!E4:E303,'Mayo - 2019'!C71,Tarifas!D4:D303)</f>
        <v>70</v>
      </c>
      <c r="D69" s="909" t="s">
        <v>147</v>
      </c>
      <c r="E69" s="910"/>
      <c r="F69" s="910" t="s">
        <v>145</v>
      </c>
      <c r="G69" s="910" t="s">
        <v>287</v>
      </c>
      <c r="H69" s="910" t="s">
        <v>148</v>
      </c>
      <c r="I69" s="911"/>
      <c r="J69" s="2320" t="s">
        <v>120</v>
      </c>
      <c r="K69" s="2321"/>
      <c r="L69" s="2321"/>
      <c r="M69" s="2322"/>
      <c r="N69" s="2311" t="s">
        <v>270</v>
      </c>
      <c r="O69" s="2312"/>
      <c r="P69" s="2312"/>
      <c r="Q69" s="2313"/>
      <c r="R69" s="2309" t="s">
        <v>271</v>
      </c>
      <c r="S69" s="2310"/>
      <c r="T69" s="2310"/>
      <c r="U69" s="2310"/>
      <c r="V69" s="2310"/>
      <c r="W69" s="2310"/>
      <c r="X69" s="2310"/>
      <c r="Y69" s="2310"/>
      <c r="Z69" s="2332"/>
      <c r="AA69" s="2362" t="s">
        <v>121</v>
      </c>
      <c r="AB69" s="2363"/>
      <c r="AC69" s="2363"/>
      <c r="AD69" s="2363"/>
      <c r="AE69" s="2363"/>
      <c r="AF69" s="2363"/>
      <c r="AG69" s="2364"/>
      <c r="AH69" s="843"/>
      <c r="AI69" s="843"/>
      <c r="AJ69" s="843"/>
    </row>
    <row r="70" spans="2:36" ht="51.75" thickBot="1" x14ac:dyDescent="0.25">
      <c r="C70" s="914" t="s">
        <v>122</v>
      </c>
      <c r="D70" s="1016" t="s">
        <v>125</v>
      </c>
      <c r="E70" s="1017" t="s">
        <v>277</v>
      </c>
      <c r="F70" s="1017" t="s">
        <v>149</v>
      </c>
      <c r="G70" s="1017" t="s">
        <v>151</v>
      </c>
      <c r="H70" s="1017" t="s">
        <v>152</v>
      </c>
      <c r="I70" s="1018" t="s">
        <v>123</v>
      </c>
      <c r="J70" s="1027" t="s">
        <v>734</v>
      </c>
      <c r="K70" s="1028" t="s">
        <v>109</v>
      </c>
      <c r="L70" s="1028" t="s">
        <v>25</v>
      </c>
      <c r="M70" s="1028" t="s">
        <v>26</v>
      </c>
      <c r="N70" s="1665" t="s">
        <v>738</v>
      </c>
      <c r="O70" s="1666" t="s">
        <v>266</v>
      </c>
      <c r="P70" s="1666" t="s">
        <v>269</v>
      </c>
      <c r="Q70" s="1906" t="s">
        <v>267</v>
      </c>
      <c r="R70" s="1904" t="s">
        <v>395</v>
      </c>
      <c r="S70" s="2021" t="s">
        <v>272</v>
      </c>
      <c r="T70" s="1904" t="s">
        <v>22</v>
      </c>
      <c r="U70" s="1905" t="s">
        <v>272</v>
      </c>
      <c r="V70" s="978" t="s">
        <v>25</v>
      </c>
      <c r="W70" s="978" t="s">
        <v>26</v>
      </c>
      <c r="X70" s="979" t="s">
        <v>272</v>
      </c>
      <c r="Y70" s="980" t="s">
        <v>273</v>
      </c>
      <c r="Z70" s="977" t="s">
        <v>272</v>
      </c>
      <c r="AA70" s="1012" t="s">
        <v>207</v>
      </c>
      <c r="AB70" s="1013"/>
      <c r="AC70" s="1013" t="s">
        <v>112</v>
      </c>
      <c r="AD70" s="1014" t="s">
        <v>118</v>
      </c>
      <c r="AE70" s="1014" t="s">
        <v>119</v>
      </c>
      <c r="AF70" s="1014" t="s">
        <v>114</v>
      </c>
      <c r="AG70" s="1015" t="s">
        <v>113</v>
      </c>
      <c r="AH70" s="843"/>
      <c r="AI70" s="843"/>
      <c r="AJ70" s="843"/>
    </row>
    <row r="71" spans="2:36" x14ac:dyDescent="0.2">
      <c r="C71" s="918">
        <v>43586</v>
      </c>
      <c r="D71" s="919">
        <f>($E$22*$H$22)/$G$22</f>
        <v>153350.92387096773</v>
      </c>
      <c r="E71" s="920">
        <f>($F$22*$I$22)/$G$22</f>
        <v>14421.080258064516</v>
      </c>
      <c r="F71" s="921">
        <f t="shared" ref="F71:F101" si="6">O71+P71+Q71</f>
        <v>184709.239375</v>
      </c>
      <c r="G71" s="922">
        <f>TRUNC(IFERROR(K$22/L$22,0),8)</f>
        <v>1.0163853</v>
      </c>
      <c r="H71" s="923">
        <f t="shared" ref="H71:H101" si="7">ROUND(J$22*G71*F71,4)</f>
        <v>187.73580000000001</v>
      </c>
      <c r="I71" s="924">
        <f t="shared" ref="I71:I101" si="8">SUM(D71:H71)</f>
        <v>352669.99568933231</v>
      </c>
      <c r="J71" s="925"/>
      <c r="K71" s="926"/>
      <c r="L71" s="926"/>
      <c r="M71" s="984"/>
      <c r="N71" s="2090">
        <v>16834.151027608201</v>
      </c>
      <c r="O71" s="2091">
        <v>71570.859375</v>
      </c>
      <c r="P71" s="2091">
        <v>113138.38</v>
      </c>
      <c r="Q71" s="2093">
        <v>0</v>
      </c>
      <c r="R71" s="2090"/>
      <c r="S71" s="2092">
        <f t="shared" ref="S71:S101" si="9">N71-R71</f>
        <v>16834.151027608201</v>
      </c>
      <c r="T71" s="2091">
        <v>71570.86</v>
      </c>
      <c r="U71" s="2092">
        <f t="shared" ref="U71:U101" si="10">O71-T71</f>
        <v>-6.2500000058207661E-4</v>
      </c>
      <c r="V71" s="2044">
        <v>77156.52</v>
      </c>
      <c r="W71" s="2044">
        <v>35981.883000000002</v>
      </c>
      <c r="X71" s="2042">
        <f t="shared" ref="X71:X101" si="11">P71-(V71+W71)</f>
        <v>-2.3000000001047738E-2</v>
      </c>
      <c r="Y71" s="2043">
        <v>0</v>
      </c>
      <c r="Z71" s="2045">
        <f t="shared" ref="Z71:Z101" si="12">Q71-Y71</f>
        <v>0</v>
      </c>
      <c r="AA71" s="929"/>
      <c r="AB71" s="930"/>
      <c r="AC71" s="931">
        <f>AA71+AB71-AD71</f>
        <v>0</v>
      </c>
      <c r="AD71" s="931">
        <f t="shared" ref="AD71:AD101" si="13">K71+L71+M71</f>
        <v>0</v>
      </c>
      <c r="AE71" s="931">
        <f>(X71+Y71+Z71)*1.055056</f>
        <v>-2.4266288001105422E-2</v>
      </c>
      <c r="AF71" s="931">
        <f>AD71-AE71</f>
        <v>2.4266288001105422E-2</v>
      </c>
      <c r="AG71" s="932" t="e">
        <f>AE68+AF71</f>
        <v>#REF!</v>
      </c>
      <c r="AH71" s="843"/>
      <c r="AI71" s="843"/>
      <c r="AJ71" s="843"/>
    </row>
    <row r="72" spans="2:36" x14ac:dyDescent="0.2">
      <c r="C72" s="933">
        <f t="shared" ref="C72:C101" si="14">C71+1</f>
        <v>43587</v>
      </c>
      <c r="D72" s="919">
        <f t="shared" ref="D72:D101" si="15">($E$22*$H$22)/$G$22</f>
        <v>153350.92387096773</v>
      </c>
      <c r="E72" s="920">
        <f t="shared" ref="E72:E101" si="16">($F$22*$I$22)/$G$22</f>
        <v>14421.080258064516</v>
      </c>
      <c r="F72" s="934">
        <f t="shared" si="6"/>
        <v>180679.33156299999</v>
      </c>
      <c r="G72" s="935">
        <f t="shared" ref="G72:G101" si="17">TRUNC(IFERROR(K$22/L$22,0),8)</f>
        <v>1.0163853</v>
      </c>
      <c r="H72" s="923">
        <f t="shared" si="7"/>
        <v>183.63980000000001</v>
      </c>
      <c r="I72" s="924">
        <f t="shared" si="8"/>
        <v>348635.99187733227</v>
      </c>
      <c r="J72" s="925"/>
      <c r="K72" s="926"/>
      <c r="L72" s="926"/>
      <c r="M72" s="984"/>
      <c r="N72" s="2040">
        <v>13634.526026285201</v>
      </c>
      <c r="O72" s="2047">
        <v>71976.101563000004</v>
      </c>
      <c r="P72" s="2047">
        <v>108703.23</v>
      </c>
      <c r="Q72" s="2094">
        <v>0</v>
      </c>
      <c r="R72" s="2046"/>
      <c r="S72" s="2045">
        <f t="shared" si="9"/>
        <v>13634.526026285201</v>
      </c>
      <c r="T72" s="2047">
        <v>71976.100000000006</v>
      </c>
      <c r="U72" s="2045">
        <f t="shared" si="10"/>
        <v>1.5629999979864806E-3</v>
      </c>
      <c r="V72" s="2050">
        <v>71046.775999999998</v>
      </c>
      <c r="W72" s="2050">
        <v>37656.449999999997</v>
      </c>
      <c r="X72" s="2042">
        <f t="shared" si="11"/>
        <v>4.0000000008149073E-3</v>
      </c>
      <c r="Y72" s="2049">
        <v>0</v>
      </c>
      <c r="Z72" s="2051">
        <f t="shared" si="12"/>
        <v>0</v>
      </c>
      <c r="AA72" s="929"/>
      <c r="AB72" s="930"/>
      <c r="AC72" s="931">
        <f t="shared" ref="AC72:AC101" si="18">AA72+AB72-AD72</f>
        <v>0</v>
      </c>
      <c r="AD72" s="931">
        <f t="shared" si="13"/>
        <v>0</v>
      </c>
      <c r="AE72" s="931">
        <f t="shared" ref="AE72:AE101" si="19">(X72+Y72+Z72)*1.055056</f>
        <v>4.220224000859773E-3</v>
      </c>
      <c r="AF72" s="931">
        <f t="shared" ref="AF72:AF101" si="20">AD72-AE72</f>
        <v>-4.220224000859773E-3</v>
      </c>
      <c r="AG72" s="932" t="e">
        <f>AG71+AF72</f>
        <v>#REF!</v>
      </c>
      <c r="AH72" s="843"/>
      <c r="AI72" s="843"/>
      <c r="AJ72" s="843"/>
    </row>
    <row r="73" spans="2:36" x14ac:dyDescent="0.2">
      <c r="C73" s="933">
        <f t="shared" si="14"/>
        <v>43588</v>
      </c>
      <c r="D73" s="919">
        <f t="shared" si="15"/>
        <v>153350.92387096773</v>
      </c>
      <c r="E73" s="920">
        <f t="shared" si="16"/>
        <v>14421.080258064516</v>
      </c>
      <c r="F73" s="934">
        <f t="shared" si="6"/>
        <v>180403.064063</v>
      </c>
      <c r="G73" s="935">
        <f t="shared" si="17"/>
        <v>1.0163853</v>
      </c>
      <c r="H73" s="923">
        <f t="shared" si="7"/>
        <v>183.35900000000001</v>
      </c>
      <c r="I73" s="924">
        <f t="shared" si="8"/>
        <v>348359.44357733231</v>
      </c>
      <c r="J73" s="925"/>
      <c r="K73" s="926"/>
      <c r="L73" s="926"/>
      <c r="M73" s="984"/>
      <c r="N73" s="2040">
        <v>19846.869433677301</v>
      </c>
      <c r="O73" s="2041">
        <v>71824.914063000004</v>
      </c>
      <c r="P73" s="2041">
        <v>108578.15</v>
      </c>
      <c r="Q73" s="2094">
        <v>0</v>
      </c>
      <c r="R73" s="2040"/>
      <c r="S73" s="2045">
        <f t="shared" si="9"/>
        <v>19846.869433677301</v>
      </c>
      <c r="T73" s="2041">
        <v>71824.91</v>
      </c>
      <c r="U73" s="2045">
        <f t="shared" si="10"/>
        <v>4.063000000314787E-3</v>
      </c>
      <c r="V73" s="2050">
        <v>71055.213000000003</v>
      </c>
      <c r="W73" s="2050">
        <v>37522.955999999998</v>
      </c>
      <c r="X73" s="2042">
        <f t="shared" si="11"/>
        <v>-1.9000000000232831E-2</v>
      </c>
      <c r="Y73" s="2049">
        <v>0</v>
      </c>
      <c r="Z73" s="2051">
        <f t="shared" si="12"/>
        <v>0</v>
      </c>
      <c r="AA73" s="929"/>
      <c r="AB73" s="930"/>
      <c r="AC73" s="931">
        <f t="shared" si="18"/>
        <v>0</v>
      </c>
      <c r="AD73" s="931">
        <f t="shared" si="13"/>
        <v>0</v>
      </c>
      <c r="AE73" s="931">
        <f t="shared" si="19"/>
        <v>-2.004606400024565E-2</v>
      </c>
      <c r="AF73" s="931">
        <f t="shared" si="20"/>
        <v>2.004606400024565E-2</v>
      </c>
      <c r="AG73" s="932" t="e">
        <f t="shared" ref="AG73:AG101" si="21">AG72+AF73</f>
        <v>#REF!</v>
      </c>
      <c r="AH73" s="843"/>
      <c r="AI73" s="843"/>
      <c r="AJ73" s="843"/>
    </row>
    <row r="74" spans="2:36" x14ac:dyDescent="0.2">
      <c r="C74" s="933">
        <f t="shared" si="14"/>
        <v>43589</v>
      </c>
      <c r="D74" s="919">
        <f t="shared" si="15"/>
        <v>153350.92387096773</v>
      </c>
      <c r="E74" s="920">
        <f t="shared" si="16"/>
        <v>14421.080258064516</v>
      </c>
      <c r="F74" s="934">
        <f t="shared" si="6"/>
        <v>180203.68281299999</v>
      </c>
      <c r="G74" s="935">
        <f t="shared" si="17"/>
        <v>1.0163853</v>
      </c>
      <c r="H74" s="923">
        <f t="shared" si="7"/>
        <v>183.15639999999999</v>
      </c>
      <c r="I74" s="924">
        <f t="shared" si="8"/>
        <v>348159.85972733225</v>
      </c>
      <c r="J74" s="925"/>
      <c r="K74" s="926"/>
      <c r="L74" s="926"/>
      <c r="M74" s="984"/>
      <c r="N74" s="2040">
        <v>23285.6506328619</v>
      </c>
      <c r="O74" s="2047">
        <v>71598.382813000004</v>
      </c>
      <c r="P74" s="2047">
        <v>108605.3</v>
      </c>
      <c r="Q74" s="2094">
        <v>0</v>
      </c>
      <c r="R74" s="2046"/>
      <c r="S74" s="2045">
        <f t="shared" si="9"/>
        <v>23285.6506328619</v>
      </c>
      <c r="T74" s="2047">
        <v>71598.383000000002</v>
      </c>
      <c r="U74" s="2045">
        <f t="shared" si="10"/>
        <v>-1.8699999782256782E-4</v>
      </c>
      <c r="V74" s="2050">
        <v>71051.375</v>
      </c>
      <c r="W74" s="2050">
        <v>37553.93</v>
      </c>
      <c r="X74" s="2042">
        <f t="shared" si="11"/>
        <v>-4.9999999901046976E-3</v>
      </c>
      <c r="Y74" s="2049">
        <v>0</v>
      </c>
      <c r="Z74" s="2051">
        <f t="shared" si="12"/>
        <v>0</v>
      </c>
      <c r="AA74" s="929"/>
      <c r="AB74" s="930"/>
      <c r="AC74" s="931">
        <f t="shared" si="18"/>
        <v>0</v>
      </c>
      <c r="AD74" s="931">
        <f t="shared" si="13"/>
        <v>0</v>
      </c>
      <c r="AE74" s="931">
        <f t="shared" si="19"/>
        <v>-5.2752799895599018E-3</v>
      </c>
      <c r="AF74" s="931">
        <f t="shared" si="20"/>
        <v>5.2752799895599018E-3</v>
      </c>
      <c r="AG74" s="932" t="e">
        <f t="shared" si="21"/>
        <v>#REF!</v>
      </c>
      <c r="AH74" s="843"/>
      <c r="AI74" s="843"/>
      <c r="AJ74" s="843"/>
    </row>
    <row r="75" spans="2:36" x14ac:dyDescent="0.2">
      <c r="C75" s="933">
        <f t="shared" si="14"/>
        <v>43590</v>
      </c>
      <c r="D75" s="919">
        <f t="shared" si="15"/>
        <v>153350.92387096773</v>
      </c>
      <c r="E75" s="920">
        <f t="shared" si="16"/>
        <v>14421.080258064516</v>
      </c>
      <c r="F75" s="934">
        <f t="shared" si="6"/>
        <v>180126.47468799999</v>
      </c>
      <c r="G75" s="935">
        <f t="shared" si="17"/>
        <v>1.0163853</v>
      </c>
      <c r="H75" s="923">
        <f t="shared" si="7"/>
        <v>183.0779</v>
      </c>
      <c r="I75" s="924">
        <f t="shared" si="8"/>
        <v>348082.57310233224</v>
      </c>
      <c r="J75" s="925"/>
      <c r="K75" s="926"/>
      <c r="L75" s="926"/>
      <c r="M75" s="984"/>
      <c r="N75" s="2040">
        <v>23417.024618062402</v>
      </c>
      <c r="O75" s="2041">
        <v>71807.054688000004</v>
      </c>
      <c r="P75" s="2041">
        <v>108319.42</v>
      </c>
      <c r="Q75" s="2094">
        <v>0</v>
      </c>
      <c r="R75" s="2040"/>
      <c r="S75" s="2045">
        <f t="shared" si="9"/>
        <v>23417.024618062402</v>
      </c>
      <c r="T75" s="2041">
        <v>71807.054000000004</v>
      </c>
      <c r="U75" s="2045">
        <f t="shared" si="10"/>
        <v>6.8800000008195639E-4</v>
      </c>
      <c r="V75" s="2050">
        <v>70845.710999999996</v>
      </c>
      <c r="W75" s="2050">
        <v>37473.72</v>
      </c>
      <c r="X75" s="2042">
        <f t="shared" si="11"/>
        <v>-1.0999999998603016E-2</v>
      </c>
      <c r="Y75" s="2049">
        <v>0</v>
      </c>
      <c r="Z75" s="2051">
        <f t="shared" si="12"/>
        <v>0</v>
      </c>
      <c r="AA75" s="929"/>
      <c r="AB75" s="930"/>
      <c r="AC75" s="931">
        <f t="shared" si="18"/>
        <v>0</v>
      </c>
      <c r="AD75" s="931">
        <f t="shared" si="13"/>
        <v>0</v>
      </c>
      <c r="AE75" s="931">
        <f t="shared" si="19"/>
        <v>-1.1605615998526103E-2</v>
      </c>
      <c r="AF75" s="931">
        <f t="shared" si="20"/>
        <v>1.1605615998526103E-2</v>
      </c>
      <c r="AG75" s="932" t="e">
        <f t="shared" si="21"/>
        <v>#REF!</v>
      </c>
      <c r="AH75" s="843"/>
      <c r="AI75" s="843"/>
      <c r="AJ75" s="843"/>
    </row>
    <row r="76" spans="2:36" x14ac:dyDescent="0.2">
      <c r="C76" s="933">
        <f t="shared" si="14"/>
        <v>43591</v>
      </c>
      <c r="D76" s="919">
        <f t="shared" si="15"/>
        <v>153350.92387096773</v>
      </c>
      <c r="E76" s="920">
        <f t="shared" si="16"/>
        <v>14421.080258064516</v>
      </c>
      <c r="F76" s="934">
        <f t="shared" si="6"/>
        <v>179816.509063</v>
      </c>
      <c r="G76" s="935">
        <f t="shared" si="17"/>
        <v>1.0163853</v>
      </c>
      <c r="H76" s="923">
        <f t="shared" si="7"/>
        <v>182.7629</v>
      </c>
      <c r="I76" s="924">
        <f t="shared" si="8"/>
        <v>347772.29247733223</v>
      </c>
      <c r="J76" s="925"/>
      <c r="K76" s="926"/>
      <c r="L76" s="926"/>
      <c r="M76" s="984"/>
      <c r="N76" s="2040">
        <v>23442.815190428297</v>
      </c>
      <c r="O76" s="2047">
        <v>71494.789063000004</v>
      </c>
      <c r="P76" s="2047">
        <v>108321.72</v>
      </c>
      <c r="Q76" s="2094">
        <v>0</v>
      </c>
      <c r="R76" s="2046"/>
      <c r="S76" s="2045">
        <f t="shared" si="9"/>
        <v>23442.815190428297</v>
      </c>
      <c r="T76" s="2047">
        <v>71494.789000000004</v>
      </c>
      <c r="U76" s="2045">
        <f t="shared" si="10"/>
        <v>6.2999999499879777E-5</v>
      </c>
      <c r="V76" s="2050">
        <v>70834.313999999998</v>
      </c>
      <c r="W76" s="2050">
        <v>37487.398999999998</v>
      </c>
      <c r="X76" s="2042">
        <f t="shared" si="11"/>
        <v>7.0000000123400241E-3</v>
      </c>
      <c r="Y76" s="2049">
        <v>0</v>
      </c>
      <c r="Z76" s="2051">
        <f t="shared" si="12"/>
        <v>0</v>
      </c>
      <c r="AA76" s="929"/>
      <c r="AB76" s="930"/>
      <c r="AC76" s="931">
        <f t="shared" si="18"/>
        <v>0</v>
      </c>
      <c r="AD76" s="931">
        <f t="shared" si="13"/>
        <v>0</v>
      </c>
      <c r="AE76" s="931">
        <f t="shared" si="19"/>
        <v>7.3853920130194164E-3</v>
      </c>
      <c r="AF76" s="931">
        <f t="shared" si="20"/>
        <v>-7.3853920130194164E-3</v>
      </c>
      <c r="AG76" s="932" t="e">
        <f t="shared" si="21"/>
        <v>#REF!</v>
      </c>
      <c r="AH76" s="843"/>
      <c r="AI76" s="843"/>
      <c r="AJ76" s="843"/>
    </row>
    <row r="77" spans="2:36" x14ac:dyDescent="0.2">
      <c r="C77" s="933">
        <f t="shared" si="14"/>
        <v>43592</v>
      </c>
      <c r="D77" s="919">
        <f t="shared" si="15"/>
        <v>153350.92387096773</v>
      </c>
      <c r="E77" s="920">
        <f t="shared" si="16"/>
        <v>14421.080258064516</v>
      </c>
      <c r="F77" s="934">
        <f t="shared" si="6"/>
        <v>180994.55562499998</v>
      </c>
      <c r="G77" s="935">
        <f t="shared" si="17"/>
        <v>1.0163853</v>
      </c>
      <c r="H77" s="923">
        <f t="shared" si="7"/>
        <v>183.96019999999999</v>
      </c>
      <c r="I77" s="924">
        <f t="shared" si="8"/>
        <v>348951.53633933223</v>
      </c>
      <c r="J77" s="925"/>
      <c r="K77" s="926"/>
      <c r="L77" s="926"/>
      <c r="M77" s="984"/>
      <c r="N77" s="2040">
        <v>23423.460199968296</v>
      </c>
      <c r="O77" s="2041">
        <v>72488.015625</v>
      </c>
      <c r="P77" s="2041">
        <v>108506.54</v>
      </c>
      <c r="Q77" s="2094">
        <v>0</v>
      </c>
      <c r="R77" s="2040"/>
      <c r="S77" s="2045">
        <f t="shared" si="9"/>
        <v>23423.460199968296</v>
      </c>
      <c r="T77" s="2041">
        <v>72488.016000000003</v>
      </c>
      <c r="U77" s="2045">
        <f t="shared" si="10"/>
        <v>-3.7500000325962901E-4</v>
      </c>
      <c r="V77" s="2050">
        <v>71019.456999999995</v>
      </c>
      <c r="W77" s="2050">
        <v>37487.11</v>
      </c>
      <c r="X77" s="2042">
        <f t="shared" si="11"/>
        <v>-2.7000000001862645E-2</v>
      </c>
      <c r="Y77" s="2049">
        <v>0</v>
      </c>
      <c r="Z77" s="2051">
        <f t="shared" si="12"/>
        <v>0</v>
      </c>
      <c r="AA77" s="929"/>
      <c r="AB77" s="930"/>
      <c r="AC77" s="931">
        <f t="shared" si="18"/>
        <v>0</v>
      </c>
      <c r="AD77" s="931">
        <f t="shared" si="13"/>
        <v>0</v>
      </c>
      <c r="AE77" s="931">
        <f t="shared" si="19"/>
        <v>-2.8486512001965194E-2</v>
      </c>
      <c r="AF77" s="931">
        <f t="shared" si="20"/>
        <v>2.8486512001965194E-2</v>
      </c>
      <c r="AG77" s="932" t="e">
        <f t="shared" si="21"/>
        <v>#REF!</v>
      </c>
      <c r="AH77" s="843"/>
      <c r="AI77" s="843"/>
      <c r="AJ77" s="843"/>
    </row>
    <row r="78" spans="2:36" x14ac:dyDescent="0.2">
      <c r="C78" s="933">
        <f t="shared" si="14"/>
        <v>43593</v>
      </c>
      <c r="D78" s="919">
        <f t="shared" si="15"/>
        <v>153350.92387096773</v>
      </c>
      <c r="E78" s="920">
        <f t="shared" si="16"/>
        <v>14421.080258064516</v>
      </c>
      <c r="F78" s="934">
        <f t="shared" si="6"/>
        <v>180615.52781300002</v>
      </c>
      <c r="G78" s="935">
        <f t="shared" si="17"/>
        <v>1.0163853</v>
      </c>
      <c r="H78" s="923">
        <f t="shared" si="7"/>
        <v>183.57499999999999</v>
      </c>
      <c r="I78" s="924">
        <f t="shared" si="8"/>
        <v>348572.12332733232</v>
      </c>
      <c r="J78" s="925"/>
      <c r="K78" s="926"/>
      <c r="L78" s="926"/>
      <c r="M78" s="984"/>
      <c r="N78" s="2040">
        <v>22953.628428183998</v>
      </c>
      <c r="O78" s="2047">
        <v>72073.257813000004</v>
      </c>
      <c r="P78" s="2047">
        <v>108542.27</v>
      </c>
      <c r="Q78" s="2094">
        <v>0</v>
      </c>
      <c r="R78" s="2046"/>
      <c r="S78" s="2045">
        <f t="shared" si="9"/>
        <v>22953.628428183998</v>
      </c>
      <c r="T78" s="2047">
        <v>72073.258000000002</v>
      </c>
      <c r="U78" s="2045">
        <f t="shared" si="10"/>
        <v>-1.8699999782256782E-4</v>
      </c>
      <c r="V78" s="2050">
        <v>71028.865999999995</v>
      </c>
      <c r="W78" s="2050">
        <v>37513.4</v>
      </c>
      <c r="X78" s="2042">
        <f t="shared" si="11"/>
        <v>4.0000000008149073E-3</v>
      </c>
      <c r="Y78" s="2049">
        <v>0</v>
      </c>
      <c r="Z78" s="2051">
        <f t="shared" si="12"/>
        <v>0</v>
      </c>
      <c r="AA78" s="929"/>
      <c r="AB78" s="930"/>
      <c r="AC78" s="931">
        <f t="shared" si="18"/>
        <v>0</v>
      </c>
      <c r="AD78" s="931">
        <f t="shared" si="13"/>
        <v>0</v>
      </c>
      <c r="AE78" s="931">
        <f t="shared" si="19"/>
        <v>4.220224000859773E-3</v>
      </c>
      <c r="AF78" s="931">
        <f t="shared" si="20"/>
        <v>-4.220224000859773E-3</v>
      </c>
      <c r="AG78" s="932" t="e">
        <f t="shared" si="21"/>
        <v>#REF!</v>
      </c>
    </row>
    <row r="79" spans="2:36" x14ac:dyDescent="0.2">
      <c r="C79" s="933">
        <f t="shared" si="14"/>
        <v>43594</v>
      </c>
      <c r="D79" s="919">
        <f t="shared" si="15"/>
        <v>153350.92387096773</v>
      </c>
      <c r="E79" s="920">
        <f t="shared" si="16"/>
        <v>14421.080258064516</v>
      </c>
      <c r="F79" s="934">
        <f t="shared" si="6"/>
        <v>181424.99031299999</v>
      </c>
      <c r="G79" s="935">
        <f t="shared" si="17"/>
        <v>1.0163853</v>
      </c>
      <c r="H79" s="923">
        <f t="shared" si="7"/>
        <v>184.39769999999999</v>
      </c>
      <c r="I79" s="924">
        <f t="shared" si="8"/>
        <v>349382.40852733224</v>
      </c>
      <c r="J79" s="925"/>
      <c r="K79" s="926"/>
      <c r="L79" s="926"/>
      <c r="M79" s="984"/>
      <c r="N79" s="2040">
        <v>12658.4002211401</v>
      </c>
      <c r="O79" s="2041">
        <v>71918.320313000004</v>
      </c>
      <c r="P79" s="2041">
        <v>109506.67</v>
      </c>
      <c r="Q79" s="2094">
        <v>0</v>
      </c>
      <c r="R79" s="2040"/>
      <c r="S79" s="2045">
        <f t="shared" si="9"/>
        <v>12658.4002211401</v>
      </c>
      <c r="T79" s="2041">
        <v>71918.3</v>
      </c>
      <c r="U79" s="2045">
        <f t="shared" si="10"/>
        <v>2.0313000000896864E-2</v>
      </c>
      <c r="V79" s="2050">
        <v>72239.739000000001</v>
      </c>
      <c r="W79" s="2050">
        <v>37266.925000000003</v>
      </c>
      <c r="X79" s="2042">
        <f t="shared" si="11"/>
        <v>5.9999999939464033E-3</v>
      </c>
      <c r="Y79" s="2049">
        <v>0</v>
      </c>
      <c r="Z79" s="2051">
        <f t="shared" si="12"/>
        <v>0</v>
      </c>
      <c r="AA79" s="929"/>
      <c r="AB79" s="930"/>
      <c r="AC79" s="931">
        <f t="shared" si="18"/>
        <v>0</v>
      </c>
      <c r="AD79" s="931">
        <f t="shared" si="13"/>
        <v>0</v>
      </c>
      <c r="AE79" s="931">
        <f t="shared" si="19"/>
        <v>6.3303359936131166E-3</v>
      </c>
      <c r="AF79" s="931">
        <f t="shared" si="20"/>
        <v>-6.3303359936131166E-3</v>
      </c>
      <c r="AG79" s="932" t="e">
        <f t="shared" si="21"/>
        <v>#REF!</v>
      </c>
    </row>
    <row r="80" spans="2:36" x14ac:dyDescent="0.2">
      <c r="C80" s="933">
        <f t="shared" si="14"/>
        <v>43595</v>
      </c>
      <c r="D80" s="919">
        <f t="shared" si="15"/>
        <v>153350.92387096773</v>
      </c>
      <c r="E80" s="920">
        <f t="shared" si="16"/>
        <v>14421.080258064516</v>
      </c>
      <c r="F80" s="934">
        <f t="shared" si="6"/>
        <v>187126.17499999999</v>
      </c>
      <c r="G80" s="935">
        <f t="shared" si="17"/>
        <v>1.0163853</v>
      </c>
      <c r="H80" s="923">
        <f t="shared" si="7"/>
        <v>190.19229999999999</v>
      </c>
      <c r="I80" s="924">
        <f t="shared" si="8"/>
        <v>355089.38781433227</v>
      </c>
      <c r="J80" s="925"/>
      <c r="K80" s="926"/>
      <c r="L80" s="926"/>
      <c r="M80" s="984"/>
      <c r="N80" s="2040">
        <v>18174.629972937601</v>
      </c>
      <c r="O80" s="2047">
        <v>71859.875</v>
      </c>
      <c r="P80" s="2047">
        <v>115266.3</v>
      </c>
      <c r="Q80" s="2094">
        <v>0</v>
      </c>
      <c r="R80" s="2046"/>
      <c r="S80" s="2045">
        <f t="shared" si="9"/>
        <v>18174.629972937601</v>
      </c>
      <c r="T80" s="2047">
        <v>71859.899999999994</v>
      </c>
      <c r="U80" s="2045">
        <f t="shared" si="10"/>
        <v>-2.4999999994179234E-2</v>
      </c>
      <c r="V80" s="2050">
        <v>78013.578999999998</v>
      </c>
      <c r="W80" s="2050">
        <v>37252.741999999998</v>
      </c>
      <c r="X80" s="2042">
        <f t="shared" si="11"/>
        <v>-2.0999999993364327E-2</v>
      </c>
      <c r="Y80" s="2049">
        <v>0</v>
      </c>
      <c r="Z80" s="2051">
        <f t="shared" si="12"/>
        <v>0</v>
      </c>
      <c r="AA80" s="929"/>
      <c r="AB80" s="930"/>
      <c r="AC80" s="931">
        <f t="shared" si="18"/>
        <v>0</v>
      </c>
      <c r="AD80" s="931">
        <f t="shared" si="13"/>
        <v>0</v>
      </c>
      <c r="AE80" s="931">
        <f t="shared" si="19"/>
        <v>-2.2156175992998992E-2</v>
      </c>
      <c r="AF80" s="931">
        <f t="shared" si="20"/>
        <v>2.2156175992998992E-2</v>
      </c>
      <c r="AG80" s="932" t="e">
        <f t="shared" si="21"/>
        <v>#REF!</v>
      </c>
    </row>
    <row r="81" spans="3:36" x14ac:dyDescent="0.2">
      <c r="C81" s="933">
        <f t="shared" si="14"/>
        <v>43596</v>
      </c>
      <c r="D81" s="919">
        <f t="shared" si="15"/>
        <v>153350.92387096773</v>
      </c>
      <c r="E81" s="920">
        <f t="shared" si="16"/>
        <v>14421.080258064516</v>
      </c>
      <c r="F81" s="934">
        <f t="shared" si="6"/>
        <v>183997.328438</v>
      </c>
      <c r="G81" s="935">
        <f t="shared" si="17"/>
        <v>1.0163853</v>
      </c>
      <c r="H81" s="923">
        <f t="shared" si="7"/>
        <v>187.01220000000001</v>
      </c>
      <c r="I81" s="924">
        <f t="shared" si="8"/>
        <v>351957.36115233228</v>
      </c>
      <c r="J81" s="925"/>
      <c r="K81" s="926"/>
      <c r="L81" s="926"/>
      <c r="M81" s="984"/>
      <c r="N81" s="2040">
        <v>19704.972992584</v>
      </c>
      <c r="O81" s="2041">
        <v>71640.648438000004</v>
      </c>
      <c r="P81" s="2041">
        <v>112356.68</v>
      </c>
      <c r="Q81" s="2094">
        <v>0</v>
      </c>
      <c r="R81" s="2040"/>
      <c r="S81" s="2045">
        <f t="shared" si="9"/>
        <v>19704.972992584</v>
      </c>
      <c r="T81" s="2041">
        <v>71640.648000000001</v>
      </c>
      <c r="U81" s="2045">
        <f t="shared" si="10"/>
        <v>4.3800000275950879E-4</v>
      </c>
      <c r="V81" s="2050">
        <v>74861.983999999997</v>
      </c>
      <c r="W81" s="2050">
        <v>37494.686000000002</v>
      </c>
      <c r="X81" s="2042">
        <f t="shared" si="11"/>
        <v>9.9999999947613105E-3</v>
      </c>
      <c r="Y81" s="2049">
        <v>0</v>
      </c>
      <c r="Z81" s="2051">
        <f t="shared" si="12"/>
        <v>0</v>
      </c>
      <c r="AA81" s="929"/>
      <c r="AB81" s="930"/>
      <c r="AC81" s="931">
        <f t="shared" si="18"/>
        <v>0</v>
      </c>
      <c r="AD81" s="931">
        <f t="shared" si="13"/>
        <v>0</v>
      </c>
      <c r="AE81" s="931">
        <f t="shared" si="19"/>
        <v>1.0550559994472889E-2</v>
      </c>
      <c r="AF81" s="931">
        <f t="shared" si="20"/>
        <v>-1.0550559994472889E-2</v>
      </c>
      <c r="AG81" s="932" t="e">
        <f t="shared" si="21"/>
        <v>#REF!</v>
      </c>
    </row>
    <row r="82" spans="3:36" x14ac:dyDescent="0.2">
      <c r="C82" s="933">
        <f t="shared" si="14"/>
        <v>43597</v>
      </c>
      <c r="D82" s="919">
        <f t="shared" si="15"/>
        <v>153350.92387096773</v>
      </c>
      <c r="E82" s="920">
        <f t="shared" si="16"/>
        <v>14421.080258064516</v>
      </c>
      <c r="F82" s="934">
        <f t="shared" si="6"/>
        <v>185338.979375</v>
      </c>
      <c r="G82" s="935">
        <f t="shared" si="17"/>
        <v>1.0163853</v>
      </c>
      <c r="H82" s="923">
        <f t="shared" si="7"/>
        <v>188.3758</v>
      </c>
      <c r="I82" s="924">
        <f t="shared" si="8"/>
        <v>353300.37568933226</v>
      </c>
      <c r="J82" s="925"/>
      <c r="K82" s="926"/>
      <c r="L82" s="926"/>
      <c r="M82" s="984"/>
      <c r="N82" s="2040">
        <v>17747.521580062799</v>
      </c>
      <c r="O82" s="2047">
        <v>72011.359375</v>
      </c>
      <c r="P82" s="2047">
        <v>113327.62</v>
      </c>
      <c r="Q82" s="2094">
        <v>0</v>
      </c>
      <c r="R82" s="2046"/>
      <c r="S82" s="2045">
        <f t="shared" si="9"/>
        <v>17747.521580062799</v>
      </c>
      <c r="T82" s="2047">
        <v>72011.360000000001</v>
      </c>
      <c r="U82" s="2045">
        <f t="shared" si="10"/>
        <v>-6.2500000058207661E-4</v>
      </c>
      <c r="V82" s="2050">
        <v>75954.286999999997</v>
      </c>
      <c r="W82" s="2050">
        <v>38136.476000000002</v>
      </c>
      <c r="X82" s="2042">
        <f t="shared" si="11"/>
        <v>-763.14300000001094</v>
      </c>
      <c r="Y82" s="2049">
        <v>0</v>
      </c>
      <c r="Z82" s="2051">
        <f t="shared" si="12"/>
        <v>0</v>
      </c>
      <c r="AA82" s="929"/>
      <c r="AB82" s="930"/>
      <c r="AC82" s="931">
        <f t="shared" si="18"/>
        <v>0</v>
      </c>
      <c r="AD82" s="931">
        <f t="shared" si="13"/>
        <v>0</v>
      </c>
      <c r="AE82" s="931">
        <f t="shared" si="19"/>
        <v>-805.15860100801149</v>
      </c>
      <c r="AF82" s="931">
        <f t="shared" si="20"/>
        <v>805.15860100801149</v>
      </c>
      <c r="AG82" s="932" t="e">
        <f t="shared" si="21"/>
        <v>#REF!</v>
      </c>
    </row>
    <row r="83" spans="3:36" x14ac:dyDescent="0.2">
      <c r="C83" s="933">
        <f t="shared" si="14"/>
        <v>43598</v>
      </c>
      <c r="D83" s="919">
        <f t="shared" si="15"/>
        <v>153350.92387096773</v>
      </c>
      <c r="E83" s="920">
        <f t="shared" si="16"/>
        <v>14421.080258064516</v>
      </c>
      <c r="F83" s="934">
        <f t="shared" si="6"/>
        <v>184919.74</v>
      </c>
      <c r="G83" s="935">
        <f t="shared" si="17"/>
        <v>1.0163853</v>
      </c>
      <c r="H83" s="923">
        <f t="shared" si="7"/>
        <v>187.94970000000001</v>
      </c>
      <c r="I83" s="924">
        <f t="shared" si="8"/>
        <v>352880.71021433227</v>
      </c>
      <c r="J83" s="925"/>
      <c r="K83" s="926"/>
      <c r="L83" s="926"/>
      <c r="M83" s="984"/>
      <c r="N83" s="2040">
        <v>22258.020224000004</v>
      </c>
      <c r="O83" s="2041">
        <v>73087.75</v>
      </c>
      <c r="P83" s="2041">
        <v>111831.99</v>
      </c>
      <c r="Q83" s="2094">
        <v>0</v>
      </c>
      <c r="R83" s="2040"/>
      <c r="S83" s="2045">
        <f t="shared" si="9"/>
        <v>22258.020224000004</v>
      </c>
      <c r="T83" s="2041">
        <v>73087.75</v>
      </c>
      <c r="U83" s="2045">
        <f t="shared" si="10"/>
        <v>0</v>
      </c>
      <c r="V83" s="2050">
        <v>70861.504000000001</v>
      </c>
      <c r="W83" s="2050">
        <v>40970.497000000003</v>
      </c>
      <c r="X83" s="2042">
        <f t="shared" si="11"/>
        <v>-1.0999999998603016E-2</v>
      </c>
      <c r="Y83" s="2049">
        <v>0</v>
      </c>
      <c r="Z83" s="2051">
        <f t="shared" si="12"/>
        <v>0</v>
      </c>
      <c r="AA83" s="929"/>
      <c r="AB83" s="930"/>
      <c r="AC83" s="931">
        <f t="shared" si="18"/>
        <v>0</v>
      </c>
      <c r="AD83" s="931">
        <f t="shared" si="13"/>
        <v>0</v>
      </c>
      <c r="AE83" s="931">
        <f t="shared" si="19"/>
        <v>-1.1605615998526103E-2</v>
      </c>
      <c r="AF83" s="931">
        <f t="shared" si="20"/>
        <v>1.1605615998526103E-2</v>
      </c>
      <c r="AG83" s="932" t="e">
        <f t="shared" si="21"/>
        <v>#REF!</v>
      </c>
    </row>
    <row r="84" spans="3:36" x14ac:dyDescent="0.2">
      <c r="C84" s="933">
        <f t="shared" si="14"/>
        <v>43599</v>
      </c>
      <c r="D84" s="919">
        <f t="shared" si="15"/>
        <v>153350.92387096773</v>
      </c>
      <c r="E84" s="920">
        <f t="shared" si="16"/>
        <v>14421.080258064516</v>
      </c>
      <c r="F84" s="934">
        <f t="shared" si="6"/>
        <v>185394.0275</v>
      </c>
      <c r="G84" s="935">
        <f t="shared" si="17"/>
        <v>1.0163853</v>
      </c>
      <c r="H84" s="923">
        <f t="shared" si="7"/>
        <v>188.43180000000001</v>
      </c>
      <c r="I84" s="924">
        <f t="shared" si="8"/>
        <v>353355.47981433227</v>
      </c>
      <c r="J84" s="925"/>
      <c r="K84" s="926"/>
      <c r="L84" s="926"/>
      <c r="M84" s="984"/>
      <c r="N84" s="2040">
        <v>23389.32149712</v>
      </c>
      <c r="O84" s="2047">
        <v>73107.1875</v>
      </c>
      <c r="P84" s="2047">
        <v>112286.84</v>
      </c>
      <c r="Q84" s="2094">
        <v>0</v>
      </c>
      <c r="R84" s="2046"/>
      <c r="S84" s="2045">
        <f t="shared" si="9"/>
        <v>23389.32149712</v>
      </c>
      <c r="T84" s="2047">
        <v>73107.187999999995</v>
      </c>
      <c r="U84" s="2045">
        <f t="shared" si="10"/>
        <v>-4.999999946448952E-4</v>
      </c>
      <c r="V84" s="2050">
        <v>74488.214000000007</v>
      </c>
      <c r="W84" s="2050">
        <v>38580.525999999998</v>
      </c>
      <c r="X84" s="2042">
        <f t="shared" si="11"/>
        <v>-781.90000000000873</v>
      </c>
      <c r="Y84" s="2049">
        <v>0</v>
      </c>
      <c r="Z84" s="2051">
        <f t="shared" si="12"/>
        <v>0</v>
      </c>
      <c r="AA84" s="929"/>
      <c r="AB84" s="930"/>
      <c r="AC84" s="931">
        <f t="shared" si="18"/>
        <v>0</v>
      </c>
      <c r="AD84" s="931">
        <f t="shared" si="13"/>
        <v>0</v>
      </c>
      <c r="AE84" s="931">
        <f t="shared" si="19"/>
        <v>-824.94828640000924</v>
      </c>
      <c r="AF84" s="931">
        <f t="shared" si="20"/>
        <v>824.94828640000924</v>
      </c>
      <c r="AG84" s="932" t="e">
        <f t="shared" si="21"/>
        <v>#REF!</v>
      </c>
    </row>
    <row r="85" spans="3:36" x14ac:dyDescent="0.2">
      <c r="C85" s="933">
        <f t="shared" si="14"/>
        <v>43600</v>
      </c>
      <c r="D85" s="919">
        <f t="shared" si="15"/>
        <v>153350.92387096773</v>
      </c>
      <c r="E85" s="920">
        <f t="shared" si="16"/>
        <v>14421.080258064516</v>
      </c>
      <c r="F85" s="934">
        <f t="shared" si="6"/>
        <v>180681.601563</v>
      </c>
      <c r="G85" s="935">
        <f t="shared" si="17"/>
        <v>1.0163853</v>
      </c>
      <c r="H85" s="923">
        <f t="shared" si="7"/>
        <v>183.6421</v>
      </c>
      <c r="I85" s="924">
        <f t="shared" si="8"/>
        <v>348638.26417733228</v>
      </c>
      <c r="J85" s="925"/>
      <c r="K85" s="926"/>
      <c r="L85" s="926"/>
      <c r="M85" s="984"/>
      <c r="N85" s="2040">
        <v>20283.954416639997</v>
      </c>
      <c r="O85" s="2041">
        <v>72787.601563000004</v>
      </c>
      <c r="P85" s="2041">
        <v>107894</v>
      </c>
      <c r="Q85" s="2094">
        <v>0</v>
      </c>
      <c r="R85" s="2040"/>
      <c r="S85" s="2045">
        <f t="shared" si="9"/>
        <v>20283.954416639997</v>
      </c>
      <c r="T85" s="2041">
        <v>72787.600000000006</v>
      </c>
      <c r="U85" s="2045">
        <f t="shared" si="10"/>
        <v>1.5629999979864806E-3</v>
      </c>
      <c r="V85" s="2050">
        <v>70272.202999999994</v>
      </c>
      <c r="W85" s="2050">
        <v>37621.796999999999</v>
      </c>
      <c r="X85" s="2042">
        <f t="shared" si="11"/>
        <v>0</v>
      </c>
      <c r="Y85" s="2049">
        <v>0</v>
      </c>
      <c r="Z85" s="2051">
        <f t="shared" si="12"/>
        <v>0</v>
      </c>
      <c r="AA85" s="929"/>
      <c r="AB85" s="930"/>
      <c r="AC85" s="931">
        <f t="shared" si="18"/>
        <v>0</v>
      </c>
      <c r="AD85" s="931">
        <f t="shared" si="13"/>
        <v>0</v>
      </c>
      <c r="AE85" s="931">
        <f t="shared" si="19"/>
        <v>0</v>
      </c>
      <c r="AF85" s="931">
        <f t="shared" si="20"/>
        <v>0</v>
      </c>
      <c r="AG85" s="932" t="e">
        <f t="shared" si="21"/>
        <v>#REF!</v>
      </c>
    </row>
    <row r="86" spans="3:36" x14ac:dyDescent="0.2">
      <c r="C86" s="933">
        <f t="shared" si="14"/>
        <v>43601</v>
      </c>
      <c r="D86" s="919">
        <f t="shared" si="15"/>
        <v>153350.92387096773</v>
      </c>
      <c r="E86" s="920">
        <f t="shared" si="16"/>
        <v>14421.080258064516</v>
      </c>
      <c r="F86" s="934">
        <f t="shared" si="6"/>
        <v>179293.11281299999</v>
      </c>
      <c r="G86" s="935">
        <f t="shared" si="17"/>
        <v>1.0163853</v>
      </c>
      <c r="H86" s="923">
        <f t="shared" si="7"/>
        <v>182.23089999999999</v>
      </c>
      <c r="I86" s="924">
        <f t="shared" si="8"/>
        <v>347248.36422733229</v>
      </c>
      <c r="J86" s="925"/>
      <c r="K86" s="926"/>
      <c r="L86" s="926"/>
      <c r="M86" s="984"/>
      <c r="N86" s="2040">
        <v>19917.738643487999</v>
      </c>
      <c r="O86" s="2047">
        <v>73597.132813000004</v>
      </c>
      <c r="P86" s="2047">
        <v>105695.98</v>
      </c>
      <c r="Q86" s="2094">
        <v>0</v>
      </c>
      <c r="R86" s="2046"/>
      <c r="S86" s="2045">
        <f t="shared" si="9"/>
        <v>19917.738643487999</v>
      </c>
      <c r="T86" s="2047">
        <v>73597.13</v>
      </c>
      <c r="U86" s="2045">
        <f t="shared" si="10"/>
        <v>2.8129999991506338E-3</v>
      </c>
      <c r="V86" s="2050">
        <v>69111.035999999993</v>
      </c>
      <c r="W86" s="2050">
        <v>36584.923999999999</v>
      </c>
      <c r="X86" s="2042">
        <f t="shared" si="11"/>
        <v>2.0000000004074536E-2</v>
      </c>
      <c r="Y86" s="2049">
        <v>0</v>
      </c>
      <c r="Z86" s="2051">
        <f t="shared" si="12"/>
        <v>0</v>
      </c>
      <c r="AA86" s="929"/>
      <c r="AB86" s="930"/>
      <c r="AC86" s="931">
        <f t="shared" si="18"/>
        <v>0</v>
      </c>
      <c r="AD86" s="931">
        <f t="shared" si="13"/>
        <v>0</v>
      </c>
      <c r="AE86" s="931">
        <f t="shared" si="19"/>
        <v>2.1101120004298864E-2</v>
      </c>
      <c r="AF86" s="931">
        <f t="shared" si="20"/>
        <v>-2.1101120004298864E-2</v>
      </c>
      <c r="AG86" s="932" t="e">
        <f t="shared" si="21"/>
        <v>#REF!</v>
      </c>
    </row>
    <row r="87" spans="3:36" x14ac:dyDescent="0.2">
      <c r="C87" s="933">
        <f t="shared" si="14"/>
        <v>43602</v>
      </c>
      <c r="D87" s="919">
        <f t="shared" si="15"/>
        <v>153350.92387096773</v>
      </c>
      <c r="E87" s="920">
        <f t="shared" si="16"/>
        <v>14421.080258064516</v>
      </c>
      <c r="F87" s="934">
        <f t="shared" si="6"/>
        <v>180269.09687499999</v>
      </c>
      <c r="G87" s="935">
        <f t="shared" si="17"/>
        <v>1.0163853</v>
      </c>
      <c r="H87" s="923">
        <f t="shared" si="7"/>
        <v>183.22290000000001</v>
      </c>
      <c r="I87" s="924">
        <f t="shared" si="8"/>
        <v>348225.34028933226</v>
      </c>
      <c r="J87" s="925"/>
      <c r="K87" s="926"/>
      <c r="L87" s="926"/>
      <c r="M87" s="984"/>
      <c r="N87" s="2040">
        <v>11615.899145047</v>
      </c>
      <c r="O87" s="2041">
        <v>72140.796875</v>
      </c>
      <c r="P87" s="2041">
        <v>108128.3</v>
      </c>
      <c r="Q87" s="2094">
        <v>0</v>
      </c>
      <c r="R87" s="2040"/>
      <c r="S87" s="2045">
        <f t="shared" si="9"/>
        <v>11615.899145047</v>
      </c>
      <c r="T87" s="2041">
        <v>72140.800000000003</v>
      </c>
      <c r="U87" s="2045">
        <f t="shared" si="10"/>
        <v>-3.125000002910383E-3</v>
      </c>
      <c r="V87" s="2050">
        <v>71245.400999999998</v>
      </c>
      <c r="W87" s="2050">
        <v>36882.906999999999</v>
      </c>
      <c r="X87" s="2042">
        <f t="shared" si="11"/>
        <v>-7.9999999870778993E-3</v>
      </c>
      <c r="Y87" s="2049">
        <v>0</v>
      </c>
      <c r="Z87" s="2051">
        <f t="shared" si="12"/>
        <v>0</v>
      </c>
      <c r="AA87" s="929"/>
      <c r="AB87" s="930"/>
      <c r="AC87" s="931">
        <f t="shared" si="18"/>
        <v>0</v>
      </c>
      <c r="AD87" s="931">
        <f t="shared" si="13"/>
        <v>0</v>
      </c>
      <c r="AE87" s="931">
        <f t="shared" si="19"/>
        <v>-8.4404479863664592E-3</v>
      </c>
      <c r="AF87" s="931">
        <f t="shared" si="20"/>
        <v>8.4404479863664592E-3</v>
      </c>
      <c r="AG87" s="932" t="e">
        <f t="shared" si="21"/>
        <v>#REF!</v>
      </c>
    </row>
    <row r="88" spans="3:36" x14ac:dyDescent="0.2">
      <c r="C88" s="933">
        <f t="shared" si="14"/>
        <v>43603</v>
      </c>
      <c r="D88" s="919">
        <f t="shared" si="15"/>
        <v>153350.92387096773</v>
      </c>
      <c r="E88" s="920">
        <f t="shared" si="16"/>
        <v>14421.080258064516</v>
      </c>
      <c r="F88" s="934">
        <f t="shared" si="6"/>
        <v>145274.96843800001</v>
      </c>
      <c r="G88" s="935">
        <f t="shared" si="17"/>
        <v>1.0163853</v>
      </c>
      <c r="H88" s="923">
        <f t="shared" si="7"/>
        <v>147.65530000000001</v>
      </c>
      <c r="I88" s="924">
        <f t="shared" si="8"/>
        <v>313195.64425233228</v>
      </c>
      <c r="J88" s="925"/>
      <c r="K88" s="926"/>
      <c r="L88" s="926"/>
      <c r="M88" s="984"/>
      <c r="N88" s="2040">
        <v>11761.022781585001</v>
      </c>
      <c r="O88" s="2047">
        <v>63246.398437999997</v>
      </c>
      <c r="P88" s="2047">
        <v>82028.570000000007</v>
      </c>
      <c r="Q88" s="2094">
        <v>0</v>
      </c>
      <c r="R88" s="2046"/>
      <c r="S88" s="2045">
        <f t="shared" si="9"/>
        <v>11761.022781585001</v>
      </c>
      <c r="T88" s="2047">
        <v>63246</v>
      </c>
      <c r="U88" s="2045">
        <f t="shared" si="10"/>
        <v>0.39843799999653129</v>
      </c>
      <c r="V88" s="2050">
        <v>51120.627999999997</v>
      </c>
      <c r="W88" s="2050">
        <v>30907.932000000001</v>
      </c>
      <c r="X88" s="2042">
        <f t="shared" si="11"/>
        <v>1.0000000009313226E-2</v>
      </c>
      <c r="Y88" s="2049">
        <v>0</v>
      </c>
      <c r="Z88" s="2051">
        <f t="shared" si="12"/>
        <v>0</v>
      </c>
      <c r="AA88" s="929"/>
      <c r="AB88" s="930"/>
      <c r="AC88" s="931">
        <f t="shared" si="18"/>
        <v>0</v>
      </c>
      <c r="AD88" s="931">
        <f t="shared" si="13"/>
        <v>0</v>
      </c>
      <c r="AE88" s="931">
        <f t="shared" si="19"/>
        <v>1.0550560009825974E-2</v>
      </c>
      <c r="AF88" s="931">
        <f t="shared" si="20"/>
        <v>-1.0550560009825974E-2</v>
      </c>
      <c r="AG88" s="932" t="e">
        <f t="shared" si="21"/>
        <v>#REF!</v>
      </c>
    </row>
    <row r="89" spans="3:36" x14ac:dyDescent="0.2">
      <c r="C89" s="933">
        <f t="shared" si="14"/>
        <v>43604</v>
      </c>
      <c r="D89" s="919">
        <f t="shared" si="15"/>
        <v>153350.92387096773</v>
      </c>
      <c r="E89" s="920">
        <f t="shared" si="16"/>
        <v>14421.080258064516</v>
      </c>
      <c r="F89" s="934">
        <f t="shared" si="6"/>
        <v>162624.176875</v>
      </c>
      <c r="G89" s="935">
        <f t="shared" si="17"/>
        <v>1.0163853</v>
      </c>
      <c r="H89" s="923">
        <f t="shared" si="7"/>
        <v>165.28880000000001</v>
      </c>
      <c r="I89" s="924">
        <f t="shared" si="8"/>
        <v>330562.48618933227</v>
      </c>
      <c r="J89" s="925"/>
      <c r="K89" s="926"/>
      <c r="L89" s="926"/>
      <c r="M89" s="984"/>
      <c r="N89" s="2040">
        <v>11714.186699567999</v>
      </c>
      <c r="O89" s="2041">
        <v>73158.796875</v>
      </c>
      <c r="P89" s="2041">
        <v>89465.38</v>
      </c>
      <c r="Q89" s="2094">
        <v>0</v>
      </c>
      <c r="R89" s="2040"/>
      <c r="S89" s="2045">
        <f t="shared" si="9"/>
        <v>11714.186699567999</v>
      </c>
      <c r="T89" s="2041">
        <v>73158.8</v>
      </c>
      <c r="U89" s="2045">
        <f t="shared" si="10"/>
        <v>-3.125000002910383E-3</v>
      </c>
      <c r="V89" s="2050">
        <v>55884.571000000004</v>
      </c>
      <c r="W89" s="2050">
        <v>33580.813999999998</v>
      </c>
      <c r="X89" s="2042">
        <f t="shared" si="11"/>
        <v>-5.0000000046566129E-3</v>
      </c>
      <c r="Y89" s="2049">
        <v>0</v>
      </c>
      <c r="Z89" s="2051">
        <f t="shared" si="12"/>
        <v>0</v>
      </c>
      <c r="AA89" s="929"/>
      <c r="AB89" s="930"/>
      <c r="AC89" s="931">
        <f t="shared" si="18"/>
        <v>0</v>
      </c>
      <c r="AD89" s="931">
        <f t="shared" si="13"/>
        <v>0</v>
      </c>
      <c r="AE89" s="931">
        <f t="shared" si="19"/>
        <v>-5.2752800049129869E-3</v>
      </c>
      <c r="AF89" s="931">
        <f t="shared" si="20"/>
        <v>5.2752800049129869E-3</v>
      </c>
      <c r="AG89" s="932" t="e">
        <f t="shared" si="21"/>
        <v>#REF!</v>
      </c>
    </row>
    <row r="90" spans="3:36" x14ac:dyDescent="0.2">
      <c r="C90" s="933">
        <f t="shared" si="14"/>
        <v>43605</v>
      </c>
      <c r="D90" s="919">
        <f t="shared" si="15"/>
        <v>153350.92387096773</v>
      </c>
      <c r="E90" s="920">
        <f t="shared" si="16"/>
        <v>14421.080258064516</v>
      </c>
      <c r="F90" s="934">
        <f t="shared" si="6"/>
        <v>186684.98249999998</v>
      </c>
      <c r="G90" s="935">
        <f t="shared" si="17"/>
        <v>1.0163853</v>
      </c>
      <c r="H90" s="923">
        <f t="shared" si="7"/>
        <v>189.7439</v>
      </c>
      <c r="I90" s="924">
        <f t="shared" si="8"/>
        <v>354647.74691433227</v>
      </c>
      <c r="J90" s="925"/>
      <c r="K90" s="926"/>
      <c r="L90" s="926"/>
      <c r="M90" s="984"/>
      <c r="N90" s="2040">
        <v>11769.747005664</v>
      </c>
      <c r="O90" s="2047">
        <v>72844.8125</v>
      </c>
      <c r="P90" s="2047">
        <v>113840.17</v>
      </c>
      <c r="Q90" s="2094">
        <v>0</v>
      </c>
      <c r="R90" s="2046"/>
      <c r="S90" s="2045">
        <f t="shared" si="9"/>
        <v>11769.747005664</v>
      </c>
      <c r="T90" s="2047">
        <v>72844.800000000003</v>
      </c>
      <c r="U90" s="2045">
        <f t="shared" si="10"/>
        <v>1.2499999997089617E-2</v>
      </c>
      <c r="V90" s="2050">
        <v>76044.05</v>
      </c>
      <c r="W90" s="2050">
        <v>37796.103999999999</v>
      </c>
      <c r="X90" s="2042">
        <f t="shared" si="11"/>
        <v>1.5999999988707714E-2</v>
      </c>
      <c r="Y90" s="2049">
        <v>0</v>
      </c>
      <c r="Z90" s="2051">
        <f t="shared" si="12"/>
        <v>0</v>
      </c>
      <c r="AA90" s="929"/>
      <c r="AB90" s="930"/>
      <c r="AC90" s="931">
        <f t="shared" si="18"/>
        <v>0</v>
      </c>
      <c r="AD90" s="931">
        <f t="shared" si="13"/>
        <v>0</v>
      </c>
      <c r="AE90" s="931">
        <f t="shared" si="19"/>
        <v>1.6880895988086005E-2</v>
      </c>
      <c r="AF90" s="931">
        <f t="shared" si="20"/>
        <v>-1.6880895988086005E-2</v>
      </c>
      <c r="AG90" s="932" t="e">
        <f t="shared" si="21"/>
        <v>#REF!</v>
      </c>
    </row>
    <row r="91" spans="3:36" x14ac:dyDescent="0.2">
      <c r="C91" s="933">
        <f t="shared" si="14"/>
        <v>43606</v>
      </c>
      <c r="D91" s="919">
        <f t="shared" si="15"/>
        <v>153350.92387096773</v>
      </c>
      <c r="E91" s="920">
        <f t="shared" si="16"/>
        <v>14421.080258064516</v>
      </c>
      <c r="F91" s="934">
        <f t="shared" si="6"/>
        <v>185873.83812500001</v>
      </c>
      <c r="G91" s="935">
        <f t="shared" si="17"/>
        <v>1.0163853</v>
      </c>
      <c r="H91" s="923">
        <f t="shared" si="7"/>
        <v>188.9194</v>
      </c>
      <c r="I91" s="924">
        <f t="shared" si="8"/>
        <v>353835.7780393323</v>
      </c>
      <c r="J91" s="925"/>
      <c r="K91" s="926"/>
      <c r="L91" s="926"/>
      <c r="M91" s="984"/>
      <c r="N91" s="2040">
        <v>11766.871056437998</v>
      </c>
      <c r="O91" s="2041">
        <v>72693.078125</v>
      </c>
      <c r="P91" s="2041">
        <v>113180.76</v>
      </c>
      <c r="Q91" s="2094">
        <v>0</v>
      </c>
      <c r="R91" s="2040"/>
      <c r="S91" s="2045">
        <f t="shared" si="9"/>
        <v>11766.871056437998</v>
      </c>
      <c r="T91" s="2041">
        <v>72693.100000000006</v>
      </c>
      <c r="U91" s="2045">
        <f t="shared" si="10"/>
        <v>-2.1875000005820766E-2</v>
      </c>
      <c r="V91" s="2050">
        <v>75415.338000000003</v>
      </c>
      <c r="W91" s="2050">
        <v>37765.436999999998</v>
      </c>
      <c r="X91" s="2042">
        <f t="shared" si="11"/>
        <v>-1.4999999999417923E-2</v>
      </c>
      <c r="Y91" s="2049">
        <v>0</v>
      </c>
      <c r="Z91" s="2051">
        <f t="shared" si="12"/>
        <v>0</v>
      </c>
      <c r="AA91" s="929"/>
      <c r="AB91" s="930"/>
      <c r="AC91" s="931">
        <f t="shared" si="18"/>
        <v>0</v>
      </c>
      <c r="AD91" s="931">
        <f t="shared" si="13"/>
        <v>0</v>
      </c>
      <c r="AE91" s="931">
        <f t="shared" si="19"/>
        <v>-1.5825839999385877E-2</v>
      </c>
      <c r="AF91" s="931">
        <f t="shared" si="20"/>
        <v>1.5825839999385877E-2</v>
      </c>
      <c r="AG91" s="932" t="e">
        <f t="shared" si="21"/>
        <v>#REF!</v>
      </c>
    </row>
    <row r="92" spans="3:36" x14ac:dyDescent="0.2">
      <c r="C92" s="933">
        <f t="shared" si="14"/>
        <v>43607</v>
      </c>
      <c r="D92" s="919">
        <f t="shared" si="15"/>
        <v>153350.92387096773</v>
      </c>
      <c r="E92" s="920">
        <f t="shared" si="16"/>
        <v>14421.080258064516</v>
      </c>
      <c r="F92" s="934">
        <f t="shared" si="6"/>
        <v>186190.88400000002</v>
      </c>
      <c r="G92" s="935">
        <f t="shared" si="17"/>
        <v>1.0163853</v>
      </c>
      <c r="H92" s="923">
        <f t="shared" si="7"/>
        <v>189.24170000000001</v>
      </c>
      <c r="I92" s="924">
        <f t="shared" si="8"/>
        <v>354153.14621433232</v>
      </c>
      <c r="J92" s="925"/>
      <c r="K92" s="926"/>
      <c r="L92" s="926"/>
      <c r="M92" s="984"/>
      <c r="N92" s="2040">
        <v>11785.151535827999</v>
      </c>
      <c r="O92" s="2047">
        <v>72615.054000000004</v>
      </c>
      <c r="P92" s="2047">
        <v>113575.83</v>
      </c>
      <c r="Q92" s="2094">
        <v>0</v>
      </c>
      <c r="R92" s="2046"/>
      <c r="S92" s="2045">
        <f t="shared" si="9"/>
        <v>11785.151535827999</v>
      </c>
      <c r="T92" s="2047">
        <v>72615.05</v>
      </c>
      <c r="U92" s="2045">
        <f t="shared" si="10"/>
        <v>4.0000000008149073E-3</v>
      </c>
      <c r="V92" s="2050">
        <v>75626.697</v>
      </c>
      <c r="W92" s="2050">
        <v>37949.108999999997</v>
      </c>
      <c r="X92" s="2042">
        <f t="shared" si="11"/>
        <v>2.4000000004889444E-2</v>
      </c>
      <c r="Y92" s="2049">
        <v>0</v>
      </c>
      <c r="Z92" s="2051">
        <f t="shared" si="12"/>
        <v>0</v>
      </c>
      <c r="AA92" s="929"/>
      <c r="AB92" s="930"/>
      <c r="AC92" s="931">
        <f t="shared" si="18"/>
        <v>0</v>
      </c>
      <c r="AD92" s="931">
        <f t="shared" si="13"/>
        <v>0</v>
      </c>
      <c r="AE92" s="931">
        <f t="shared" si="19"/>
        <v>2.5321344005158637E-2</v>
      </c>
      <c r="AF92" s="931">
        <f t="shared" si="20"/>
        <v>-2.5321344005158637E-2</v>
      </c>
      <c r="AG92" s="932" t="e">
        <f t="shared" si="21"/>
        <v>#REF!</v>
      </c>
    </row>
    <row r="93" spans="3:36" x14ac:dyDescent="0.2">
      <c r="C93" s="933">
        <f t="shared" si="14"/>
        <v>43608</v>
      </c>
      <c r="D93" s="919">
        <f t="shared" si="15"/>
        <v>153350.92387096773</v>
      </c>
      <c r="E93" s="920">
        <f t="shared" si="16"/>
        <v>14421.080258064516</v>
      </c>
      <c r="F93" s="934">
        <f t="shared" si="6"/>
        <v>185362.66187499999</v>
      </c>
      <c r="G93" s="935">
        <f t="shared" si="17"/>
        <v>1.0163853</v>
      </c>
      <c r="H93" s="923">
        <f t="shared" si="7"/>
        <v>188.3999</v>
      </c>
      <c r="I93" s="924">
        <f t="shared" si="8"/>
        <v>353324.08228933229</v>
      </c>
      <c r="J93" s="925"/>
      <c r="K93" s="926"/>
      <c r="L93" s="926"/>
      <c r="M93" s="984"/>
      <c r="N93" s="2040">
        <v>17196.018096602002</v>
      </c>
      <c r="O93" s="2041">
        <v>71833.171875</v>
      </c>
      <c r="P93" s="2041">
        <v>113529.49</v>
      </c>
      <c r="Q93" s="2094">
        <v>0</v>
      </c>
      <c r="R93" s="2040"/>
      <c r="S93" s="2045">
        <f t="shared" si="9"/>
        <v>17196.018096602002</v>
      </c>
      <c r="T93" s="2041">
        <v>71833.17</v>
      </c>
      <c r="U93" s="2045">
        <f t="shared" si="10"/>
        <v>1.8750000017462298E-3</v>
      </c>
      <c r="V93" s="2050">
        <v>75645.418000000005</v>
      </c>
      <c r="W93" s="2050">
        <v>37884.076000000001</v>
      </c>
      <c r="X93" s="2042">
        <f t="shared" si="11"/>
        <v>-4.0000000008149073E-3</v>
      </c>
      <c r="Y93" s="2049">
        <v>0</v>
      </c>
      <c r="Z93" s="2051">
        <f t="shared" si="12"/>
        <v>0</v>
      </c>
      <c r="AA93" s="929"/>
      <c r="AB93" s="930"/>
      <c r="AC93" s="931">
        <f t="shared" si="18"/>
        <v>0</v>
      </c>
      <c r="AD93" s="931">
        <f t="shared" si="13"/>
        <v>0</v>
      </c>
      <c r="AE93" s="931">
        <f t="shared" si="19"/>
        <v>-4.220224000859773E-3</v>
      </c>
      <c r="AF93" s="931">
        <f t="shared" si="20"/>
        <v>4.220224000859773E-3</v>
      </c>
      <c r="AG93" s="932" t="e">
        <f t="shared" si="21"/>
        <v>#REF!</v>
      </c>
    </row>
    <row r="94" spans="3:36" x14ac:dyDescent="0.2">
      <c r="C94" s="933">
        <f t="shared" si="14"/>
        <v>43609</v>
      </c>
      <c r="D94" s="919">
        <f t="shared" si="15"/>
        <v>153350.92387096773</v>
      </c>
      <c r="E94" s="920">
        <f t="shared" si="16"/>
        <v>14421.080258064516</v>
      </c>
      <c r="F94" s="934">
        <f t="shared" si="6"/>
        <v>176589.03593800002</v>
      </c>
      <c r="G94" s="935">
        <f t="shared" si="17"/>
        <v>1.0163853</v>
      </c>
      <c r="H94" s="923">
        <f t="shared" si="7"/>
        <v>179.48249999999999</v>
      </c>
      <c r="I94" s="924">
        <f t="shared" si="8"/>
        <v>344541.53895233228</v>
      </c>
      <c r="J94" s="925"/>
      <c r="K94" s="926"/>
      <c r="L94" s="926"/>
      <c r="M94" s="984"/>
      <c r="N94" s="2040">
        <v>18661.210839785999</v>
      </c>
      <c r="O94" s="2047">
        <v>71752.835938000004</v>
      </c>
      <c r="P94" s="2047">
        <v>104836.2</v>
      </c>
      <c r="Q94" s="2094">
        <v>0</v>
      </c>
      <c r="R94" s="2046"/>
      <c r="S94" s="2045">
        <f t="shared" si="9"/>
        <v>18661.210839785999</v>
      </c>
      <c r="T94" s="2047">
        <v>71752.84</v>
      </c>
      <c r="U94" s="2045">
        <f t="shared" si="10"/>
        <v>-4.0619999927002937E-3</v>
      </c>
      <c r="V94" s="2050">
        <v>68749.019</v>
      </c>
      <c r="W94" s="2050">
        <v>36087.163</v>
      </c>
      <c r="X94" s="2042">
        <f t="shared" si="11"/>
        <v>1.7999999996391125E-2</v>
      </c>
      <c r="Y94" s="2049">
        <v>0</v>
      </c>
      <c r="Z94" s="2051">
        <f t="shared" si="12"/>
        <v>0</v>
      </c>
      <c r="AA94" s="929"/>
      <c r="AB94" s="930"/>
      <c r="AC94" s="931">
        <f t="shared" si="18"/>
        <v>0</v>
      </c>
      <c r="AD94" s="931">
        <f t="shared" si="13"/>
        <v>0</v>
      </c>
      <c r="AE94" s="931">
        <f t="shared" si="19"/>
        <v>1.8991007996192435E-2</v>
      </c>
      <c r="AF94" s="931">
        <f t="shared" si="20"/>
        <v>-1.8991007996192435E-2</v>
      </c>
      <c r="AG94" s="932" t="e">
        <f t="shared" si="21"/>
        <v>#REF!</v>
      </c>
      <c r="AH94" s="843"/>
      <c r="AI94" s="843"/>
      <c r="AJ94" s="843"/>
    </row>
    <row r="95" spans="3:36" x14ac:dyDescent="0.2">
      <c r="C95" s="933">
        <f t="shared" si="14"/>
        <v>43610</v>
      </c>
      <c r="D95" s="919">
        <f t="shared" si="15"/>
        <v>153350.92387096773</v>
      </c>
      <c r="E95" s="920">
        <f t="shared" si="16"/>
        <v>14421.080258064516</v>
      </c>
      <c r="F95" s="934">
        <f t="shared" si="6"/>
        <v>168621.945313</v>
      </c>
      <c r="G95" s="935">
        <f t="shared" si="17"/>
        <v>1.0163853</v>
      </c>
      <c r="H95" s="923">
        <f t="shared" si="7"/>
        <v>171.38489999999999</v>
      </c>
      <c r="I95" s="924">
        <f t="shared" si="8"/>
        <v>336566.35072733229</v>
      </c>
      <c r="J95" s="925"/>
      <c r="K95" s="926"/>
      <c r="L95" s="926"/>
      <c r="M95" s="984"/>
      <c r="N95" s="2040">
        <v>23600.283056405999</v>
      </c>
      <c r="O95" s="2041">
        <v>71889.195313000004</v>
      </c>
      <c r="P95" s="2041">
        <v>96732.75</v>
      </c>
      <c r="Q95" s="2094">
        <v>0</v>
      </c>
      <c r="R95" s="2040"/>
      <c r="S95" s="2045">
        <f t="shared" si="9"/>
        <v>23600.283056405999</v>
      </c>
      <c r="T95" s="2041">
        <v>71889.2</v>
      </c>
      <c r="U95" s="2045">
        <f t="shared" si="10"/>
        <v>-4.6869999932823703E-3</v>
      </c>
      <c r="V95" s="2050">
        <v>63252.756999999998</v>
      </c>
      <c r="W95" s="2050">
        <v>33479.998</v>
      </c>
      <c r="X95" s="2042">
        <f t="shared" si="11"/>
        <v>-5.0000000046566129E-3</v>
      </c>
      <c r="Y95" s="2049">
        <v>0</v>
      </c>
      <c r="Z95" s="2051">
        <f t="shared" si="12"/>
        <v>0</v>
      </c>
      <c r="AA95" s="929"/>
      <c r="AB95" s="930"/>
      <c r="AC95" s="931">
        <f t="shared" si="18"/>
        <v>0</v>
      </c>
      <c r="AD95" s="931">
        <f t="shared" si="13"/>
        <v>0</v>
      </c>
      <c r="AE95" s="931">
        <f t="shared" si="19"/>
        <v>-5.2752800049129869E-3</v>
      </c>
      <c r="AF95" s="931">
        <f t="shared" si="20"/>
        <v>5.2752800049129869E-3</v>
      </c>
      <c r="AG95" s="932" t="e">
        <f t="shared" si="21"/>
        <v>#REF!</v>
      </c>
      <c r="AH95" s="843"/>
      <c r="AI95" s="843"/>
      <c r="AJ95" s="843"/>
    </row>
    <row r="96" spans="3:36" x14ac:dyDescent="0.2">
      <c r="C96" s="933">
        <f t="shared" si="14"/>
        <v>43611</v>
      </c>
      <c r="D96" s="919">
        <f t="shared" si="15"/>
        <v>153350.92387096773</v>
      </c>
      <c r="E96" s="920">
        <f t="shared" si="16"/>
        <v>14421.080258064516</v>
      </c>
      <c r="F96" s="934">
        <f t="shared" si="6"/>
        <v>185641.894688</v>
      </c>
      <c r="G96" s="935">
        <f t="shared" si="17"/>
        <v>1.0163853</v>
      </c>
      <c r="H96" s="923">
        <f t="shared" si="7"/>
        <v>188.68369999999999</v>
      </c>
      <c r="I96" s="924">
        <f t="shared" si="8"/>
        <v>353603.59890233225</v>
      </c>
      <c r="J96" s="925"/>
      <c r="K96" s="926"/>
      <c r="L96" s="926"/>
      <c r="M96" s="984"/>
      <c r="N96" s="2040">
        <v>23535.592549326</v>
      </c>
      <c r="O96" s="2047">
        <v>72052.304688000004</v>
      </c>
      <c r="P96" s="2047">
        <v>113589.59</v>
      </c>
      <c r="Q96" s="2094">
        <v>0</v>
      </c>
      <c r="R96" s="2046"/>
      <c r="S96" s="2045">
        <f t="shared" si="9"/>
        <v>23535.592549326</v>
      </c>
      <c r="T96" s="2047">
        <v>72052.304999999993</v>
      </c>
      <c r="U96" s="2045">
        <f t="shared" si="10"/>
        <v>-3.1199998920783401E-4</v>
      </c>
      <c r="V96" s="2050">
        <v>75990.126999999993</v>
      </c>
      <c r="W96" s="2050">
        <v>37599.446000000004</v>
      </c>
      <c r="X96" s="2042">
        <f t="shared" si="11"/>
        <v>1.6999999992549419E-2</v>
      </c>
      <c r="Y96" s="2049">
        <v>0</v>
      </c>
      <c r="Z96" s="2051">
        <f t="shared" si="12"/>
        <v>0</v>
      </c>
      <c r="AA96" s="929"/>
      <c r="AB96" s="930"/>
      <c r="AC96" s="931">
        <f t="shared" si="18"/>
        <v>0</v>
      </c>
      <c r="AD96" s="931">
        <f t="shared" si="13"/>
        <v>0</v>
      </c>
      <c r="AE96" s="931">
        <f t="shared" si="19"/>
        <v>1.793595199213922E-2</v>
      </c>
      <c r="AF96" s="931">
        <f t="shared" si="20"/>
        <v>-1.793595199213922E-2</v>
      </c>
      <c r="AG96" s="932" t="e">
        <f t="shared" si="21"/>
        <v>#REF!</v>
      </c>
      <c r="AH96" s="843"/>
      <c r="AI96" s="843"/>
      <c r="AJ96" s="843"/>
    </row>
    <row r="97" spans="2:42" x14ac:dyDescent="0.2">
      <c r="C97" s="933">
        <f t="shared" si="14"/>
        <v>43612</v>
      </c>
      <c r="D97" s="919">
        <f t="shared" si="15"/>
        <v>153350.92387096773</v>
      </c>
      <c r="E97" s="920">
        <f t="shared" si="16"/>
        <v>14421.080258064516</v>
      </c>
      <c r="F97" s="934">
        <f t="shared" si="6"/>
        <v>185617.35062500002</v>
      </c>
      <c r="G97" s="935">
        <f t="shared" si="17"/>
        <v>1.0163853</v>
      </c>
      <c r="H97" s="923">
        <f t="shared" si="7"/>
        <v>188.65870000000001</v>
      </c>
      <c r="I97" s="924">
        <f t="shared" si="8"/>
        <v>353579.02983933233</v>
      </c>
      <c r="J97" s="925"/>
      <c r="K97" s="926"/>
      <c r="L97" s="926"/>
      <c r="M97" s="984"/>
      <c r="N97" s="2040">
        <v>23732.096965437006</v>
      </c>
      <c r="O97" s="2041">
        <v>71955.890625</v>
      </c>
      <c r="P97" s="2041">
        <v>113661.46</v>
      </c>
      <c r="Q97" s="2094">
        <v>0</v>
      </c>
      <c r="R97" s="2040"/>
      <c r="S97" s="2045">
        <f t="shared" si="9"/>
        <v>23732.096965437006</v>
      </c>
      <c r="T97" s="2041">
        <v>71955.891000000003</v>
      </c>
      <c r="U97" s="2045">
        <f t="shared" si="10"/>
        <v>-3.7500000325962901E-4</v>
      </c>
      <c r="V97" s="2050">
        <v>75840.92</v>
      </c>
      <c r="W97" s="2050">
        <v>37820.542000000001</v>
      </c>
      <c r="X97" s="2042">
        <f t="shared" si="11"/>
        <v>-1.999999993131496E-3</v>
      </c>
      <c r="Y97" s="2049">
        <v>0</v>
      </c>
      <c r="Z97" s="2051">
        <f t="shared" si="12"/>
        <v>0</v>
      </c>
      <c r="AA97" s="929"/>
      <c r="AB97" s="930"/>
      <c r="AC97" s="931">
        <f t="shared" si="18"/>
        <v>0</v>
      </c>
      <c r="AD97" s="931">
        <f t="shared" si="13"/>
        <v>0</v>
      </c>
      <c r="AE97" s="931">
        <f t="shared" si="19"/>
        <v>-2.1101119927533435E-3</v>
      </c>
      <c r="AF97" s="931">
        <f t="shared" si="20"/>
        <v>2.1101119927533435E-3</v>
      </c>
      <c r="AG97" s="932" t="e">
        <f t="shared" si="21"/>
        <v>#REF!</v>
      </c>
      <c r="AH97" s="843"/>
      <c r="AI97" s="843"/>
      <c r="AJ97" s="843"/>
    </row>
    <row r="98" spans="2:42" x14ac:dyDescent="0.2">
      <c r="C98" s="933">
        <f t="shared" si="14"/>
        <v>43613</v>
      </c>
      <c r="D98" s="919">
        <f t="shared" si="15"/>
        <v>153350.92387096773</v>
      </c>
      <c r="E98" s="920">
        <f t="shared" si="16"/>
        <v>14421.080258064516</v>
      </c>
      <c r="F98" s="934">
        <f t="shared" si="6"/>
        <v>185217.5025</v>
      </c>
      <c r="G98" s="935">
        <f t="shared" si="17"/>
        <v>1.0163853</v>
      </c>
      <c r="H98" s="923">
        <f t="shared" si="7"/>
        <v>188.25229999999999</v>
      </c>
      <c r="I98" s="924">
        <f t="shared" si="8"/>
        <v>353178.77531433228</v>
      </c>
      <c r="J98" s="925"/>
      <c r="K98" s="926"/>
      <c r="L98" s="926"/>
      <c r="M98" s="984"/>
      <c r="N98" s="2040">
        <v>23735.509418334004</v>
      </c>
      <c r="O98" s="2047">
        <v>71411.8125</v>
      </c>
      <c r="P98" s="2047">
        <v>113805.69</v>
      </c>
      <c r="Q98" s="2094">
        <v>0</v>
      </c>
      <c r="R98" s="2046"/>
      <c r="S98" s="2045">
        <f t="shared" si="9"/>
        <v>23735.509418334004</v>
      </c>
      <c r="T98" s="2047">
        <v>71411.812000000005</v>
      </c>
      <c r="U98" s="2045">
        <f t="shared" si="10"/>
        <v>4.999999946448952E-4</v>
      </c>
      <c r="V98" s="2050">
        <v>75995.994999999995</v>
      </c>
      <c r="W98" s="2050">
        <v>37809.714999999997</v>
      </c>
      <c r="X98" s="2042">
        <f t="shared" si="11"/>
        <v>-1.9999999989522621E-2</v>
      </c>
      <c r="Y98" s="2049">
        <v>0</v>
      </c>
      <c r="Z98" s="2051">
        <f t="shared" si="12"/>
        <v>0</v>
      </c>
      <c r="AA98" s="929"/>
      <c r="AB98" s="930"/>
      <c r="AC98" s="931">
        <f t="shared" si="18"/>
        <v>0</v>
      </c>
      <c r="AD98" s="931">
        <f t="shared" si="13"/>
        <v>0</v>
      </c>
      <c r="AE98" s="931">
        <f t="shared" si="19"/>
        <v>-2.1101119988945777E-2</v>
      </c>
      <c r="AF98" s="931">
        <f t="shared" si="20"/>
        <v>2.1101119988945777E-2</v>
      </c>
      <c r="AG98" s="932" t="e">
        <f t="shared" si="21"/>
        <v>#REF!</v>
      </c>
      <c r="AH98" s="843"/>
      <c r="AI98" s="843"/>
      <c r="AJ98" s="843"/>
    </row>
    <row r="99" spans="2:42" x14ac:dyDescent="0.2">
      <c r="C99" s="933">
        <f t="shared" si="14"/>
        <v>43614</v>
      </c>
      <c r="D99" s="919">
        <f t="shared" si="15"/>
        <v>153350.92387096773</v>
      </c>
      <c r="E99" s="920">
        <f t="shared" si="16"/>
        <v>14421.080258064516</v>
      </c>
      <c r="F99" s="934">
        <f t="shared" si="6"/>
        <v>179627.073125</v>
      </c>
      <c r="G99" s="935">
        <f t="shared" si="17"/>
        <v>1.0163853</v>
      </c>
      <c r="H99" s="923">
        <f t="shared" si="7"/>
        <v>182.5703</v>
      </c>
      <c r="I99" s="924">
        <f t="shared" si="8"/>
        <v>347582.6639393323</v>
      </c>
      <c r="J99" s="925"/>
      <c r="K99" s="926"/>
      <c r="L99" s="926"/>
      <c r="M99" s="926"/>
      <c r="N99" s="2040">
        <v>22644.187516493996</v>
      </c>
      <c r="O99" s="2041">
        <v>71785.453125</v>
      </c>
      <c r="P99" s="2041">
        <v>107841.62</v>
      </c>
      <c r="Q99" s="2094">
        <v>0</v>
      </c>
      <c r="R99" s="2040"/>
      <c r="S99" s="2051">
        <f t="shared" si="9"/>
        <v>22644.187516493996</v>
      </c>
      <c r="T99" s="2041">
        <v>71785.452999999994</v>
      </c>
      <c r="U99" s="2051">
        <f t="shared" si="10"/>
        <v>1.2500000593718141E-4</v>
      </c>
      <c r="V99" s="2050">
        <v>70000.417000000001</v>
      </c>
      <c r="W99" s="2050">
        <v>37841.216999999997</v>
      </c>
      <c r="X99" s="2048">
        <f t="shared" si="11"/>
        <v>-1.3999999995576218E-2</v>
      </c>
      <c r="Y99" s="2049">
        <v>0</v>
      </c>
      <c r="Z99" s="2051">
        <f t="shared" si="12"/>
        <v>0</v>
      </c>
      <c r="AA99" s="929"/>
      <c r="AB99" s="930"/>
      <c r="AC99" s="931">
        <f t="shared" si="18"/>
        <v>0</v>
      </c>
      <c r="AD99" s="931">
        <f t="shared" si="13"/>
        <v>0</v>
      </c>
      <c r="AE99" s="931">
        <f t="shared" si="19"/>
        <v>-1.4770783995332663E-2</v>
      </c>
      <c r="AF99" s="931">
        <f t="shared" si="20"/>
        <v>1.4770783995332663E-2</v>
      </c>
      <c r="AG99" s="932" t="e">
        <f t="shared" si="21"/>
        <v>#REF!</v>
      </c>
      <c r="AH99" s="843"/>
      <c r="AI99" s="843"/>
      <c r="AJ99" s="843"/>
    </row>
    <row r="100" spans="2:42" x14ac:dyDescent="0.2">
      <c r="C100" s="933">
        <f t="shared" si="14"/>
        <v>43615</v>
      </c>
      <c r="D100" s="919">
        <f t="shared" si="15"/>
        <v>153350.92387096773</v>
      </c>
      <c r="E100" s="920">
        <f t="shared" si="16"/>
        <v>14421.080258064516</v>
      </c>
      <c r="F100" s="934">
        <f t="shared" si="6"/>
        <v>184719.344063</v>
      </c>
      <c r="G100" s="935">
        <f t="shared" si="17"/>
        <v>1.0163853</v>
      </c>
      <c r="H100" s="923">
        <f t="shared" si="7"/>
        <v>187.74600000000001</v>
      </c>
      <c r="I100" s="924">
        <f t="shared" si="8"/>
        <v>352680.11057733226</v>
      </c>
      <c r="J100" s="925"/>
      <c r="K100" s="926"/>
      <c r="L100" s="926"/>
      <c r="M100" s="926"/>
      <c r="N100" s="2040">
        <v>23202.809858206998</v>
      </c>
      <c r="O100" s="2041">
        <v>71595.914063000004</v>
      </c>
      <c r="P100" s="2041">
        <v>113123.43</v>
      </c>
      <c r="Q100" s="2094">
        <v>0</v>
      </c>
      <c r="R100" s="2040"/>
      <c r="S100" s="2051">
        <f t="shared" si="9"/>
        <v>23202.809858206998</v>
      </c>
      <c r="T100" s="2041">
        <v>71595.914000000004</v>
      </c>
      <c r="U100" s="2051">
        <f t="shared" si="10"/>
        <v>6.2999999499879777E-5</v>
      </c>
      <c r="V100" s="2050">
        <v>75382.153999999995</v>
      </c>
      <c r="W100" s="2050">
        <v>37741.279999999999</v>
      </c>
      <c r="X100" s="2048">
        <f t="shared" si="11"/>
        <v>-4.0000000008149073E-3</v>
      </c>
      <c r="Y100" s="2049">
        <v>0</v>
      </c>
      <c r="Z100" s="2051">
        <f t="shared" si="12"/>
        <v>0</v>
      </c>
      <c r="AA100" s="929"/>
      <c r="AB100" s="930"/>
      <c r="AC100" s="931">
        <f t="shared" si="18"/>
        <v>0</v>
      </c>
      <c r="AD100" s="931">
        <f t="shared" si="13"/>
        <v>0</v>
      </c>
      <c r="AE100" s="931">
        <f t="shared" si="19"/>
        <v>-4.220224000859773E-3</v>
      </c>
      <c r="AF100" s="931">
        <f t="shared" si="20"/>
        <v>4.220224000859773E-3</v>
      </c>
      <c r="AG100" s="932" t="e">
        <f t="shared" si="21"/>
        <v>#REF!</v>
      </c>
      <c r="AH100" s="843"/>
      <c r="AI100" s="843"/>
      <c r="AJ100" s="843"/>
    </row>
    <row r="101" spans="2:42" ht="13.5" thickBot="1" x14ac:dyDescent="0.25">
      <c r="C101" s="938">
        <f t="shared" si="14"/>
        <v>43616</v>
      </c>
      <c r="D101" s="939">
        <f t="shared" si="15"/>
        <v>153350.92387096773</v>
      </c>
      <c r="E101" s="940">
        <f t="shared" si="16"/>
        <v>14421.080258064516</v>
      </c>
      <c r="F101" s="941">
        <f t="shared" si="6"/>
        <v>184719.344063</v>
      </c>
      <c r="G101" s="942">
        <f t="shared" si="17"/>
        <v>1.0163853</v>
      </c>
      <c r="H101" s="943">
        <f t="shared" si="7"/>
        <v>187.74600000000001</v>
      </c>
      <c r="I101" s="944">
        <f t="shared" si="8"/>
        <v>352680.11057733226</v>
      </c>
      <c r="J101" s="945"/>
      <c r="K101" s="946"/>
      <c r="L101" s="946"/>
      <c r="M101" s="946"/>
      <c r="N101" s="2052">
        <v>23558.732566911003</v>
      </c>
      <c r="O101" s="2053">
        <v>71595.914063000004</v>
      </c>
      <c r="P101" s="2053">
        <v>113123.43</v>
      </c>
      <c r="Q101" s="2095">
        <v>0</v>
      </c>
      <c r="R101" s="2052"/>
      <c r="S101" s="2057">
        <f t="shared" si="9"/>
        <v>23558.732566911003</v>
      </c>
      <c r="T101" s="2053">
        <v>71595.914000000004</v>
      </c>
      <c r="U101" s="2057">
        <f t="shared" si="10"/>
        <v>6.2999999499879777E-5</v>
      </c>
      <c r="V101" s="2056">
        <v>75382.153999999995</v>
      </c>
      <c r="W101" s="2056">
        <v>37741.279999999999</v>
      </c>
      <c r="X101" s="2054">
        <f t="shared" si="11"/>
        <v>-4.0000000008149073E-3</v>
      </c>
      <c r="Y101" s="2055">
        <v>0</v>
      </c>
      <c r="Z101" s="2057">
        <f t="shared" si="12"/>
        <v>0</v>
      </c>
      <c r="AA101" s="949"/>
      <c r="AB101" s="950"/>
      <c r="AC101" s="951">
        <f t="shared" si="18"/>
        <v>0</v>
      </c>
      <c r="AD101" s="951">
        <f t="shared" si="13"/>
        <v>0</v>
      </c>
      <c r="AE101" s="951">
        <f t="shared" si="19"/>
        <v>-4.220224000859773E-3</v>
      </c>
      <c r="AF101" s="951">
        <f t="shared" si="20"/>
        <v>4.220224000859773E-3</v>
      </c>
      <c r="AG101" s="952" t="e">
        <f t="shared" si="21"/>
        <v>#REF!</v>
      </c>
      <c r="AH101" s="843"/>
      <c r="AI101" s="843"/>
      <c r="AJ101" s="843"/>
    </row>
    <row r="102" spans="2:42" ht="13.5" thickBot="1" x14ac:dyDescent="0.25">
      <c r="C102" s="953"/>
      <c r="D102" s="954">
        <f>SUM(D71:D101)</f>
        <v>4753878.6399999997</v>
      </c>
      <c r="E102" s="954">
        <f>SUM(E71:E101)</f>
        <v>447053.48799999978</v>
      </c>
      <c r="F102" s="955">
        <f>SUM(F71:F101)</f>
        <v>5598758.4390080003</v>
      </c>
      <c r="G102" s="955"/>
      <c r="H102" s="956">
        <f t="shared" ref="H102:I102" si="22">SUM(H71:H101)</f>
        <v>5690.4957999999997</v>
      </c>
      <c r="I102" s="954">
        <f t="shared" si="22"/>
        <v>10805412.5707523</v>
      </c>
      <c r="J102" s="996">
        <f>SUM(J71:J101)</f>
        <v>0</v>
      </c>
      <c r="K102" s="996">
        <f>SUM(K71:K101)</f>
        <v>0</v>
      </c>
      <c r="L102" s="996">
        <f>SUM(L71:L101)</f>
        <v>0</v>
      </c>
      <c r="M102" s="996">
        <f>SUM(M71:M101)</f>
        <v>0</v>
      </c>
      <c r="N102" s="1024">
        <v>567693.27162977005</v>
      </c>
      <c r="O102" s="1024">
        <f>SUM(O71:O101)</f>
        <v>2227414.6790080005</v>
      </c>
      <c r="P102" s="1024">
        <f>SUM(P71:P101)</f>
        <v>3371343.7600000002</v>
      </c>
      <c r="Q102" s="1024">
        <f>SUM(Q71:Q101)</f>
        <v>0</v>
      </c>
      <c r="R102" s="1024">
        <f>SUM(R71:R101)</f>
        <v>0</v>
      </c>
      <c r="S102" s="1024">
        <v>-8.0678999904193915E-2</v>
      </c>
      <c r="T102" s="1024">
        <f t="shared" ref="T102:AA102" si="23">SUM(T71:T101)</f>
        <v>2227414.2950000004</v>
      </c>
      <c r="U102" s="1024">
        <f t="shared" si="23"/>
        <v>0.38400800001545576</v>
      </c>
      <c r="V102" s="1024">
        <f t="shared" si="23"/>
        <v>2221416.4240000006</v>
      </c>
      <c r="W102" s="1024">
        <f t="shared" si="23"/>
        <v>1151472.4410000003</v>
      </c>
      <c r="X102" s="1024">
        <f t="shared" si="23"/>
        <v>-1545.1049999999814</v>
      </c>
      <c r="Y102" s="996">
        <f t="shared" si="23"/>
        <v>0</v>
      </c>
      <c r="Z102" s="996">
        <f t="shared" si="23"/>
        <v>0</v>
      </c>
      <c r="AA102" s="958">
        <f t="shared" si="23"/>
        <v>0</v>
      </c>
      <c r="AB102" s="829"/>
      <c r="AC102" s="959"/>
      <c r="AD102" s="960">
        <f>SUM(AD71:AD101)</f>
        <v>0</v>
      </c>
      <c r="AE102" s="960">
        <f>SUM(AE71:AE101)</f>
        <v>-1630.1723008799811</v>
      </c>
      <c r="AF102" s="960">
        <f>SUM(AF71:AF101)</f>
        <v>1630.1723008799811</v>
      </c>
      <c r="AG102" s="961" t="e">
        <f>#REF!</f>
        <v>#REF!</v>
      </c>
      <c r="AH102" s="843"/>
      <c r="AI102" s="843"/>
      <c r="AJ102" s="843"/>
      <c r="AP102" s="958" t="e">
        <f>#REF!</f>
        <v>#REF!</v>
      </c>
    </row>
    <row r="103" spans="2:42" ht="15" customHeight="1" thickBot="1" x14ac:dyDescent="0.25">
      <c r="B103" s="843"/>
      <c r="C103" s="843"/>
      <c r="D103" s="843"/>
      <c r="E103" s="843"/>
      <c r="F103" s="843"/>
      <c r="G103" s="843"/>
      <c r="H103" s="843"/>
      <c r="I103" s="843"/>
      <c r="J103" s="843"/>
      <c r="K103" s="843"/>
      <c r="L103" s="843"/>
      <c r="N103" s="829"/>
      <c r="O103" s="843"/>
      <c r="V103" s="997">
        <f>V102/(V102+W102)</f>
        <v>0.65860943331140553</v>
      </c>
      <c r="W103" s="998">
        <f>W102/(V102+W102)</f>
        <v>0.34139056668859441</v>
      </c>
      <c r="Z103" s="829"/>
      <c r="AA103" s="829"/>
      <c r="AB103" s="829"/>
      <c r="AC103" s="829"/>
      <c r="AD103" s="829"/>
      <c r="AE103" s="829"/>
      <c r="AF103" s="829"/>
      <c r="AH103" s="843"/>
      <c r="AI103" s="843"/>
      <c r="AJ103" s="843"/>
    </row>
    <row r="104" spans="2:42" ht="13.5" thickBot="1" x14ac:dyDescent="0.25">
      <c r="D104" s="1795" t="s">
        <v>155</v>
      </c>
      <c r="E104" s="1796" t="s">
        <v>156</v>
      </c>
      <c r="F104" s="1797" t="s">
        <v>112</v>
      </c>
      <c r="N104" s="829"/>
      <c r="P104" s="827"/>
      <c r="Z104" s="829"/>
      <c r="AA104" s="829"/>
      <c r="AB104" s="829"/>
      <c r="AG104" s="843"/>
    </row>
    <row r="105" spans="2:42" x14ac:dyDescent="0.2">
      <c r="D105" s="1793"/>
      <c r="E105" s="1779">
        <f>D102</f>
        <v>4753878.6399999997</v>
      </c>
      <c r="F105" s="1780">
        <f>D105-E105</f>
        <v>-4753878.6399999997</v>
      </c>
      <c r="G105" s="968"/>
      <c r="H105" s="968"/>
      <c r="I105" s="968"/>
      <c r="N105" s="829"/>
      <c r="P105" s="827"/>
      <c r="V105" s="1008"/>
      <c r="W105" s="829">
        <f>1-V103-W103</f>
        <v>0</v>
      </c>
      <c r="X105" s="958"/>
      <c r="Z105" s="829"/>
      <c r="AA105" s="829"/>
      <c r="AB105" s="829"/>
      <c r="AG105" s="843"/>
    </row>
    <row r="106" spans="2:42" x14ac:dyDescent="0.2">
      <c r="D106" s="1793"/>
      <c r="E106" s="1779">
        <f>E102</f>
        <v>447053.48799999978</v>
      </c>
      <c r="F106" s="1780">
        <f>D106-E106</f>
        <v>-447053.48799999978</v>
      </c>
      <c r="G106" s="968"/>
      <c r="H106" s="968"/>
      <c r="I106" s="968"/>
    </row>
    <row r="107" spans="2:42" ht="13.5" thickBot="1" x14ac:dyDescent="0.25">
      <c r="D107" s="1794"/>
      <c r="E107" s="1781">
        <f>ROUND(H102,2)</f>
        <v>5690.5</v>
      </c>
      <c r="F107" s="1782">
        <f>D107-E107</f>
        <v>-5690.5</v>
      </c>
      <c r="G107" s="968"/>
    </row>
    <row r="108" spans="2:42" x14ac:dyDescent="0.2">
      <c r="D108" s="968"/>
    </row>
    <row r="109" spans="2:42" x14ac:dyDescent="0.2">
      <c r="N109" s="1790"/>
    </row>
  </sheetData>
  <mergeCells count="11">
    <mergeCell ref="C16:E16"/>
    <mergeCell ref="C3:M4"/>
    <mergeCell ref="C5:M5"/>
    <mergeCell ref="C6:M6"/>
    <mergeCell ref="C14:E14"/>
    <mergeCell ref="C15:E15"/>
    <mergeCell ref="J69:M69"/>
    <mergeCell ref="N69:Q69"/>
    <mergeCell ref="AA69:AG69"/>
    <mergeCell ref="R69:Z69"/>
    <mergeCell ref="C17:E17"/>
  </mergeCells>
  <conditionalFormatting sqref="R100">
    <cfRule type="cellIs" dxfId="55" priority="3" stopIfTrue="1" operator="equal">
      <formula>0</formula>
    </cfRule>
  </conditionalFormatting>
  <conditionalFormatting sqref="N71:N101">
    <cfRule type="cellIs" dxfId="54" priority="2" stopIfTrue="1" operator="equal">
      <formula>0</formula>
    </cfRule>
  </conditionalFormatting>
  <conditionalFormatting sqref="R71:R98">
    <cfRule type="cellIs" dxfId="53" priority="1" stopIfTrue="1" operator="equal">
      <formula>0</formula>
    </cfRule>
  </conditionalFormatting>
  <conditionalFormatting sqref="O71:P101">
    <cfRule type="cellIs" dxfId="52" priority="7" stopIfTrue="1" operator="equal">
      <formula>0</formula>
    </cfRule>
  </conditionalFormatting>
  <conditionalFormatting sqref="T71:T99 T101">
    <cfRule type="cellIs" dxfId="51" priority="6" stopIfTrue="1" operator="equal">
      <formula>0</formula>
    </cfRule>
  </conditionalFormatting>
  <conditionalFormatting sqref="T100">
    <cfRule type="cellIs" dxfId="50" priority="5" stopIfTrue="1" operator="equal">
      <formula>0</formula>
    </cfRule>
  </conditionalFormatting>
  <conditionalFormatting sqref="R99 R101">
    <cfRule type="cellIs" dxfId="49" priority="4" stopIfTrue="1" operator="equal">
      <formula>0</formula>
    </cfRule>
  </conditionalFormatting>
  <printOptions horizontalCentered="1"/>
  <pageMargins left="0.59055118110236227" right="0.39370078740157483" top="0" bottom="0" header="0" footer="0.51181102362204722"/>
  <pageSetup scale="42" orientation="landscape" r:id="rId1"/>
  <drawing r:id="rId2"/>
  <legacyDrawing r:id="rId3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2:AP108"/>
  <sheetViews>
    <sheetView topLeftCell="E40" workbookViewId="0">
      <selection activeCell="I42" sqref="I42"/>
    </sheetView>
  </sheetViews>
  <sheetFormatPr baseColWidth="10" defaultColWidth="11" defaultRowHeight="12.75" x14ac:dyDescent="0.2"/>
  <cols>
    <col min="1" max="1" width="11" style="829"/>
    <col min="2" max="2" width="3.875" style="829" bestFit="1" customWidth="1"/>
    <col min="3" max="3" width="16.125" style="829" customWidth="1"/>
    <col min="4" max="4" width="14" style="829" bestFit="1" customWidth="1"/>
    <col min="5" max="5" width="18.375" style="829" bestFit="1" customWidth="1"/>
    <col min="6" max="6" width="17.375" style="829" bestFit="1" customWidth="1"/>
    <col min="7" max="8" width="13.375" style="829" bestFit="1" customWidth="1"/>
    <col min="9" max="9" width="15.125" style="829" customWidth="1"/>
    <col min="10" max="10" width="20.5" style="829" customWidth="1"/>
    <col min="11" max="11" width="12.625" style="829" bestFit="1" customWidth="1"/>
    <col min="12" max="12" width="16" style="829" customWidth="1"/>
    <col min="13" max="13" width="15.125" style="829" bestFit="1" customWidth="1"/>
    <col min="14" max="14" width="16.125" style="827" bestFit="1" customWidth="1"/>
    <col min="15" max="15" width="11.375" style="829" bestFit="1" customWidth="1"/>
    <col min="16" max="16" width="11.125" style="829" bestFit="1" customWidth="1"/>
    <col min="17" max="17" width="12.625" style="829" bestFit="1" customWidth="1"/>
    <col min="18" max="18" width="10.875" style="829" customWidth="1"/>
    <col min="19" max="19" width="11.875" style="829" bestFit="1" customWidth="1"/>
    <col min="20" max="20" width="11.125" style="829" bestFit="1" customWidth="1"/>
    <col min="21" max="21" width="11.625" style="829" bestFit="1" customWidth="1"/>
    <col min="22" max="23" width="11.125" style="829" bestFit="1" customWidth="1"/>
    <col min="24" max="24" width="13.625" style="829" bestFit="1" customWidth="1"/>
    <col min="25" max="25" width="16.125" style="829" bestFit="1" customWidth="1"/>
    <col min="26" max="26" width="11.125" style="843" bestFit="1" customWidth="1"/>
    <col min="27" max="27" width="13" style="843" bestFit="1" customWidth="1"/>
    <col min="28" max="32" width="11" style="843"/>
    <col min="33" max="38" width="11" style="829"/>
    <col min="39" max="39" width="11.125" style="829" bestFit="1" customWidth="1"/>
    <col min="40" max="16384" width="11" style="829"/>
  </cols>
  <sheetData>
    <row r="2" spans="2:35" x14ac:dyDescent="0.2">
      <c r="B2" s="827"/>
      <c r="C2" s="828"/>
      <c r="D2" s="828"/>
      <c r="E2" s="828"/>
      <c r="F2" s="828"/>
      <c r="G2" s="828"/>
      <c r="H2" s="828"/>
      <c r="I2" s="828"/>
      <c r="J2" s="828"/>
      <c r="K2" s="828"/>
      <c r="L2" s="828"/>
      <c r="M2" s="828"/>
      <c r="N2" s="828"/>
      <c r="Z2" s="829"/>
      <c r="AA2" s="829"/>
      <c r="AB2" s="829"/>
      <c r="AC2" s="829"/>
      <c r="AD2" s="829"/>
      <c r="AE2" s="829"/>
      <c r="AF2" s="829"/>
    </row>
    <row r="3" spans="2:35" ht="15" customHeight="1" x14ac:dyDescent="0.2">
      <c r="B3" s="827"/>
      <c r="C3" s="2295"/>
      <c r="D3" s="2295"/>
      <c r="E3" s="2295"/>
      <c r="F3" s="2295"/>
      <c r="G3" s="2295"/>
      <c r="H3" s="2295"/>
      <c r="I3" s="2295"/>
      <c r="J3" s="2295"/>
      <c r="K3" s="2295"/>
      <c r="L3" s="2295"/>
      <c r="M3" s="2295"/>
      <c r="N3" s="828"/>
      <c r="Z3" s="829"/>
      <c r="AA3" s="829"/>
      <c r="AB3" s="829"/>
      <c r="AC3" s="829"/>
      <c r="AD3" s="829"/>
      <c r="AE3" s="829"/>
      <c r="AF3" s="829"/>
    </row>
    <row r="4" spans="2:35" ht="15" customHeight="1" x14ac:dyDescent="0.2">
      <c r="B4" s="827"/>
      <c r="C4" s="2295"/>
      <c r="D4" s="2295"/>
      <c r="E4" s="2295"/>
      <c r="F4" s="2295"/>
      <c r="G4" s="2295"/>
      <c r="H4" s="2295"/>
      <c r="I4" s="2295"/>
      <c r="J4" s="2295"/>
      <c r="K4" s="2295"/>
      <c r="L4" s="2295"/>
      <c r="M4" s="2295"/>
      <c r="N4" s="828"/>
      <c r="Z4" s="829"/>
      <c r="AA4" s="829"/>
      <c r="AB4" s="829"/>
      <c r="AC4" s="829"/>
      <c r="AD4" s="829"/>
      <c r="AE4" s="829"/>
      <c r="AF4" s="829"/>
    </row>
    <row r="5" spans="2:35" x14ac:dyDescent="0.2">
      <c r="B5" s="827"/>
      <c r="C5" s="2296"/>
      <c r="D5" s="2296"/>
      <c r="E5" s="2296"/>
      <c r="F5" s="2296"/>
      <c r="G5" s="2296"/>
      <c r="H5" s="2296"/>
      <c r="I5" s="2296"/>
      <c r="J5" s="2296"/>
      <c r="K5" s="2296"/>
      <c r="L5" s="2296"/>
      <c r="M5" s="2296"/>
      <c r="N5" s="828"/>
      <c r="Z5" s="829"/>
      <c r="AA5" s="829"/>
      <c r="AB5" s="829"/>
      <c r="AC5" s="829"/>
      <c r="AD5" s="829"/>
      <c r="AE5" s="829"/>
      <c r="AF5" s="829"/>
    </row>
    <row r="6" spans="2:35" x14ac:dyDescent="0.2">
      <c r="B6" s="827"/>
      <c r="C6" s="2296"/>
      <c r="D6" s="2296"/>
      <c r="E6" s="2296"/>
      <c r="F6" s="2296"/>
      <c r="G6" s="2296"/>
      <c r="H6" s="2296"/>
      <c r="I6" s="2296"/>
      <c r="J6" s="2296"/>
      <c r="K6" s="2296"/>
      <c r="L6" s="2296"/>
      <c r="M6" s="2296"/>
      <c r="N6" s="828"/>
      <c r="Z6" s="829"/>
      <c r="AA6" s="829"/>
      <c r="AB6" s="829"/>
      <c r="AC6" s="829"/>
      <c r="AD6" s="829"/>
      <c r="AE6" s="829"/>
      <c r="AF6" s="829"/>
    </row>
    <row r="7" spans="2:35" x14ac:dyDescent="0.2">
      <c r="B7" s="827"/>
      <c r="C7" s="830">
        <v>43101</v>
      </c>
      <c r="D7" s="830"/>
      <c r="E7" s="830"/>
      <c r="F7" s="830"/>
      <c r="G7" s="830"/>
      <c r="H7" s="830"/>
      <c r="I7" s="830"/>
      <c r="J7" s="830"/>
      <c r="K7" s="830"/>
      <c r="L7" s="830"/>
      <c r="M7" s="830"/>
      <c r="N7" s="830"/>
      <c r="O7" s="830"/>
      <c r="P7" s="830"/>
      <c r="Q7" s="830"/>
      <c r="R7" s="827"/>
      <c r="S7" s="827"/>
      <c r="T7" s="827"/>
      <c r="U7" s="827"/>
      <c r="V7" s="827"/>
      <c r="W7" s="827"/>
      <c r="X7" s="827"/>
      <c r="Y7" s="827"/>
      <c r="Z7" s="829"/>
      <c r="AA7" s="829"/>
      <c r="AB7" s="829"/>
      <c r="AC7" s="829"/>
      <c r="AD7" s="829"/>
      <c r="AE7" s="829"/>
      <c r="AF7" s="829"/>
    </row>
    <row r="8" spans="2:35" ht="19.5" customHeight="1" x14ac:dyDescent="0.2">
      <c r="B8" s="827"/>
      <c r="C8" s="1740"/>
      <c r="D8" s="1740"/>
      <c r="E8" s="1740"/>
      <c r="F8" s="1740"/>
      <c r="G8" s="1740"/>
      <c r="H8" s="1740"/>
      <c r="I8" s="1740"/>
      <c r="J8" s="1740"/>
      <c r="K8" s="1740"/>
      <c r="L8" s="1740"/>
      <c r="M8" s="828"/>
      <c r="N8" s="828"/>
      <c r="O8" s="827"/>
      <c r="P8" s="827"/>
      <c r="Q8" s="827"/>
      <c r="R8" s="827"/>
      <c r="S8" s="827"/>
      <c r="T8" s="827"/>
      <c r="U8" s="827"/>
      <c r="V8" s="827"/>
      <c r="W8" s="827"/>
      <c r="X8" s="827"/>
      <c r="Y8" s="827"/>
      <c r="Z8" s="829"/>
      <c r="AA8" s="829"/>
      <c r="AB8" s="829"/>
      <c r="AC8" s="829"/>
      <c r="AD8" s="829"/>
      <c r="AE8" s="829"/>
      <c r="AF8" s="829"/>
    </row>
    <row r="9" spans="2:35" ht="19.5" customHeight="1" x14ac:dyDescent="0.2">
      <c r="B9" s="827"/>
      <c r="C9" s="1740"/>
      <c r="D9" s="1740"/>
      <c r="E9" s="1740"/>
      <c r="F9" s="1740"/>
      <c r="G9" s="1740"/>
      <c r="H9" s="1740"/>
      <c r="I9" s="1740"/>
      <c r="J9" s="1740"/>
      <c r="K9" s="1740"/>
      <c r="L9" s="1740"/>
      <c r="M9" s="828"/>
      <c r="N9" s="828"/>
      <c r="O9" s="827"/>
      <c r="P9" s="827"/>
      <c r="Q9" s="827"/>
      <c r="R9" s="827"/>
      <c r="S9" s="827"/>
      <c r="T9" s="827"/>
      <c r="U9" s="827"/>
      <c r="V9" s="827"/>
      <c r="W9" s="827"/>
      <c r="X9" s="827"/>
      <c r="Y9" s="827"/>
      <c r="Z9" s="829"/>
      <c r="AA9" s="829"/>
      <c r="AB9" s="829"/>
      <c r="AC9" s="829"/>
      <c r="AD9" s="829"/>
      <c r="AE9" s="829"/>
      <c r="AF9" s="829"/>
    </row>
    <row r="10" spans="2:35" ht="19.5" customHeight="1" x14ac:dyDescent="0.2">
      <c r="B10" s="827"/>
      <c r="C10" s="1740"/>
      <c r="D10" s="1740"/>
      <c r="E10" s="1740"/>
      <c r="F10" s="1740"/>
      <c r="G10" s="1740"/>
      <c r="H10" s="1740"/>
      <c r="I10" s="1740"/>
      <c r="J10" s="1740"/>
      <c r="K10" s="1740"/>
      <c r="L10" s="1740"/>
      <c r="M10" s="828"/>
      <c r="N10" s="828"/>
      <c r="O10" s="827"/>
      <c r="P10" s="827"/>
      <c r="Q10" s="827"/>
      <c r="R10" s="827"/>
      <c r="S10" s="827"/>
      <c r="T10" s="827"/>
      <c r="U10" s="827"/>
      <c r="V10" s="827"/>
      <c r="W10" s="827"/>
      <c r="X10" s="827"/>
      <c r="Y10" s="827"/>
      <c r="Z10" s="829"/>
      <c r="AA10" s="829"/>
      <c r="AB10" s="829"/>
      <c r="AC10" s="829"/>
      <c r="AD10" s="829"/>
      <c r="AE10" s="829"/>
      <c r="AF10" s="829"/>
    </row>
    <row r="11" spans="2:35" ht="19.5" customHeight="1" x14ac:dyDescent="0.2">
      <c r="B11" s="827"/>
      <c r="C11" s="1740"/>
      <c r="D11" s="1740"/>
      <c r="E11" s="1740"/>
      <c r="F11" s="1740"/>
      <c r="G11" s="1740"/>
      <c r="H11" s="1740"/>
      <c r="I11" s="1740"/>
      <c r="J11" s="1740"/>
      <c r="K11" s="1740"/>
      <c r="L11" s="1740"/>
      <c r="M11" s="828"/>
      <c r="N11" s="828"/>
      <c r="O11" s="827"/>
      <c r="P11" s="827"/>
      <c r="Q11" s="827"/>
      <c r="R11" s="827"/>
      <c r="S11" s="827"/>
      <c r="T11" s="827"/>
      <c r="U11" s="827"/>
      <c r="V11" s="827"/>
      <c r="W11" s="827"/>
      <c r="X11" s="827"/>
      <c r="Y11" s="827"/>
      <c r="Z11" s="829"/>
      <c r="AA11" s="829"/>
      <c r="AB11" s="829"/>
      <c r="AC11" s="829"/>
      <c r="AD11" s="829"/>
      <c r="AE11" s="829"/>
      <c r="AF11" s="829"/>
    </row>
    <row r="12" spans="2:35" ht="19.5" customHeight="1" x14ac:dyDescent="0.2">
      <c r="B12" s="827"/>
      <c r="C12" s="1740"/>
      <c r="D12" s="1740"/>
      <c r="E12" s="1740"/>
      <c r="F12" s="1740"/>
      <c r="G12" s="1740"/>
      <c r="H12" s="1740"/>
      <c r="I12" s="1740"/>
      <c r="J12" s="1740"/>
      <c r="K12" s="1740"/>
      <c r="L12" s="1740"/>
      <c r="M12" s="828"/>
      <c r="N12" s="828"/>
      <c r="O12" s="827"/>
      <c r="P12" s="827"/>
      <c r="Q12" s="827"/>
      <c r="R12" s="827"/>
      <c r="S12" s="827"/>
      <c r="T12" s="827"/>
      <c r="U12" s="827"/>
      <c r="V12" s="827"/>
      <c r="W12" s="827"/>
      <c r="X12" s="827"/>
      <c r="Y12" s="827"/>
      <c r="Z12" s="829"/>
      <c r="AA12" s="829"/>
      <c r="AB12" s="829"/>
      <c r="AC12" s="829"/>
      <c r="AD12" s="829"/>
      <c r="AE12" s="829"/>
      <c r="AF12" s="829"/>
    </row>
    <row r="13" spans="2:35" ht="19.5" customHeight="1" thickBot="1" x14ac:dyDescent="0.25">
      <c r="B13" s="827"/>
      <c r="C13" s="1740"/>
      <c r="D13" s="1740"/>
      <c r="E13" s="1740"/>
      <c r="F13" s="1740"/>
      <c r="G13" s="1740"/>
      <c r="H13" s="1740"/>
      <c r="I13" s="1740"/>
      <c r="J13" s="1740"/>
      <c r="K13" s="1740"/>
      <c r="L13" s="1740"/>
      <c r="M13" s="828"/>
      <c r="N13" s="828"/>
      <c r="O13" s="827"/>
      <c r="P13" s="827"/>
      <c r="Q13" s="827"/>
      <c r="R13" s="827"/>
      <c r="S13" s="827"/>
      <c r="T13" s="827"/>
      <c r="U13" s="827"/>
      <c r="V13" s="827"/>
      <c r="W13" s="827"/>
      <c r="X13" s="827"/>
      <c r="Y13" s="827"/>
      <c r="Z13" s="829"/>
      <c r="AA13" s="829"/>
      <c r="AB13" s="829"/>
      <c r="AC13" s="829"/>
      <c r="AD13" s="829"/>
      <c r="AE13" s="829"/>
      <c r="AF13" s="829"/>
    </row>
    <row r="14" spans="2:35" ht="26.25" thickBot="1" x14ac:dyDescent="0.25">
      <c r="B14" s="827"/>
      <c r="C14" s="2333" t="s">
        <v>6</v>
      </c>
      <c r="D14" s="2334"/>
      <c r="E14" s="2335"/>
      <c r="F14" s="832" t="s">
        <v>227</v>
      </c>
      <c r="G14" s="832" t="s">
        <v>230</v>
      </c>
      <c r="H14" s="832" t="s">
        <v>228</v>
      </c>
      <c r="I14" s="832" t="s">
        <v>229</v>
      </c>
      <c r="J14" s="833" t="s">
        <v>126</v>
      </c>
      <c r="K14" s="833" t="s">
        <v>133</v>
      </c>
      <c r="L14" s="832" t="s">
        <v>127</v>
      </c>
      <c r="M14" s="834" t="s">
        <v>128</v>
      </c>
      <c r="N14" s="828"/>
      <c r="O14" s="827"/>
      <c r="P14" s="827"/>
      <c r="Q14" s="827"/>
      <c r="R14" s="827"/>
      <c r="S14" s="827"/>
      <c r="T14" s="827"/>
      <c r="U14" s="827"/>
      <c r="V14" s="827"/>
      <c r="W14" s="827"/>
      <c r="X14" s="827"/>
      <c r="Y14" s="827"/>
      <c r="Z14" s="829"/>
      <c r="AA14" s="829"/>
      <c r="AB14" s="829"/>
      <c r="AC14" s="829"/>
      <c r="AD14" s="829"/>
      <c r="AE14" s="829"/>
      <c r="AF14" s="829"/>
    </row>
    <row r="15" spans="2:35" ht="13.5" thickBot="1" x14ac:dyDescent="0.25">
      <c r="B15" s="827"/>
      <c r="C15" s="2329" t="s">
        <v>131</v>
      </c>
      <c r="D15" s="2330"/>
      <c r="E15" s="2331"/>
      <c r="F15" s="835"/>
      <c r="G15" s="836" t="s">
        <v>165</v>
      </c>
      <c r="H15" s="835"/>
      <c r="I15" s="837">
        <f>IF(D105=0,E105,D105)</f>
        <v>4600527.716129032</v>
      </c>
      <c r="J15" s="835">
        <f>I15*0.16</f>
        <v>736084.43458064517</v>
      </c>
      <c r="K15" s="835">
        <f>I15+J15</f>
        <v>5336612.1507096775</v>
      </c>
      <c r="L15" s="838"/>
      <c r="M15" s="1774">
        <v>22</v>
      </c>
      <c r="O15" s="827"/>
      <c r="P15" s="827"/>
      <c r="Q15" s="827"/>
      <c r="R15" s="827"/>
      <c r="S15" s="827"/>
      <c r="T15" s="827"/>
      <c r="U15" s="827"/>
      <c r="V15" s="827"/>
      <c r="W15" s="827"/>
      <c r="X15" s="827"/>
      <c r="Y15" s="827"/>
      <c r="Z15" s="829"/>
      <c r="AA15" s="829"/>
      <c r="AB15" s="829"/>
      <c r="AC15" s="829"/>
      <c r="AD15" s="829"/>
      <c r="AE15" s="829"/>
      <c r="AF15" s="829"/>
    </row>
    <row r="16" spans="2:35" ht="13.5" thickBot="1" x14ac:dyDescent="0.25">
      <c r="B16" s="827"/>
      <c r="C16" s="2329" t="s">
        <v>275</v>
      </c>
      <c r="D16" s="2330"/>
      <c r="E16" s="2331"/>
      <c r="F16" s="840"/>
      <c r="G16" s="840"/>
      <c r="H16" s="840"/>
      <c r="I16" s="837">
        <f>IF(D106=0,E106,D106)</f>
        <v>432632.40774193528</v>
      </c>
      <c r="J16" s="841">
        <f>I16*0.16</f>
        <v>69221.185238709644</v>
      </c>
      <c r="K16" s="841">
        <f>I16+J16</f>
        <v>501853.5929806449</v>
      </c>
      <c r="L16" s="838"/>
      <c r="M16" s="1775">
        <v>22</v>
      </c>
      <c r="O16" s="827"/>
      <c r="P16" s="827"/>
      <c r="Q16" s="827"/>
      <c r="R16" s="827"/>
      <c r="S16" s="827"/>
      <c r="T16" s="827"/>
      <c r="U16" s="827"/>
      <c r="V16" s="827"/>
      <c r="W16" s="827"/>
      <c r="X16" s="827"/>
      <c r="Y16" s="827"/>
      <c r="Z16" s="827"/>
      <c r="AA16" s="827"/>
      <c r="AB16" s="827"/>
      <c r="AG16" s="843"/>
      <c r="AH16" s="843"/>
      <c r="AI16" s="843"/>
    </row>
    <row r="17" spans="2:33" ht="13.5" thickBot="1" x14ac:dyDescent="0.25">
      <c r="B17" s="827"/>
      <c r="C17" s="2326" t="s">
        <v>132</v>
      </c>
      <c r="D17" s="2327"/>
      <c r="E17" s="2328"/>
      <c r="F17" s="844"/>
      <c r="G17" s="845" t="s">
        <v>165</v>
      </c>
      <c r="H17" s="844"/>
      <c r="I17" s="846">
        <f>IF(D107=0,E107,D107)</f>
        <v>5502.75</v>
      </c>
      <c r="J17" s="844">
        <f>I17*0.16</f>
        <v>880.44</v>
      </c>
      <c r="K17" s="844">
        <f>I17+J17</f>
        <v>6383.1900000000005</v>
      </c>
      <c r="L17" s="847"/>
      <c r="M17" s="1776">
        <v>22</v>
      </c>
      <c r="O17" s="827"/>
      <c r="P17" s="827"/>
      <c r="Q17" s="827"/>
      <c r="R17" s="827"/>
      <c r="S17" s="827"/>
      <c r="T17" s="827"/>
      <c r="U17" s="827"/>
      <c r="V17" s="827"/>
      <c r="W17" s="827"/>
      <c r="X17" s="827"/>
      <c r="Y17" s="827"/>
      <c r="Z17" s="829"/>
      <c r="AA17" s="829"/>
      <c r="AB17" s="829"/>
      <c r="AC17" s="829"/>
      <c r="AD17" s="829"/>
      <c r="AE17" s="829"/>
      <c r="AF17" s="829"/>
    </row>
    <row r="18" spans="2:33" x14ac:dyDescent="0.2">
      <c r="B18" s="827"/>
      <c r="C18" s="1740"/>
      <c r="D18" s="1740"/>
      <c r="E18" s="1740"/>
      <c r="F18" s="1740"/>
      <c r="G18" s="1740"/>
      <c r="H18" s="827"/>
      <c r="I18" s="827"/>
      <c r="J18" s="827"/>
      <c r="K18" s="827"/>
      <c r="L18" s="827"/>
      <c r="M18" s="827"/>
      <c r="O18" s="827"/>
      <c r="P18" s="827"/>
      <c r="Q18" s="827"/>
      <c r="R18" s="827"/>
      <c r="S18" s="827"/>
      <c r="T18" s="827"/>
      <c r="U18" s="827"/>
      <c r="V18" s="827"/>
      <c r="W18" s="827"/>
      <c r="X18" s="827"/>
      <c r="Y18" s="827"/>
    </row>
    <row r="19" spans="2:33" x14ac:dyDescent="0.2">
      <c r="B19" s="827"/>
      <c r="C19" s="1740"/>
      <c r="D19" s="1740"/>
      <c r="E19" s="1740"/>
      <c r="F19" s="1740"/>
      <c r="G19" s="1740"/>
      <c r="H19" s="827"/>
      <c r="I19" s="827"/>
      <c r="J19" s="827"/>
      <c r="K19" s="827"/>
      <c r="L19" s="827">
        <f>K17*M17</f>
        <v>140430.18000000002</v>
      </c>
      <c r="O19" s="827"/>
      <c r="P19" s="827"/>
      <c r="Q19" s="827"/>
      <c r="R19" s="827"/>
      <c r="S19" s="827"/>
      <c r="T19" s="827"/>
      <c r="U19" s="827"/>
      <c r="V19" s="827"/>
      <c r="W19" s="827"/>
      <c r="X19" s="827"/>
      <c r="Y19" s="827"/>
    </row>
    <row r="20" spans="2:33" ht="13.5" thickBot="1" x14ac:dyDescent="0.25">
      <c r="B20" s="827"/>
      <c r="C20" s="849"/>
      <c r="D20" s="1740"/>
      <c r="E20" s="1740"/>
      <c r="F20" s="1740"/>
      <c r="G20" s="1740"/>
      <c r="H20" s="1740"/>
      <c r="I20" s="1740"/>
      <c r="J20" s="1740"/>
      <c r="K20" s="1740"/>
      <c r="L20" s="1740"/>
      <c r="M20" s="1740"/>
      <c r="N20" s="1740"/>
      <c r="O20" s="1740"/>
      <c r="P20" s="1740"/>
      <c r="Q20" s="1740"/>
      <c r="R20" s="827"/>
      <c r="S20" s="827"/>
      <c r="T20" s="827"/>
      <c r="U20" s="827"/>
      <c r="V20" s="827"/>
      <c r="W20" s="827"/>
      <c r="X20" s="827"/>
      <c r="Y20" s="827"/>
      <c r="Z20" s="827"/>
      <c r="AG20" s="843"/>
    </row>
    <row r="21" spans="2:33" ht="51.75" thickBot="1" x14ac:dyDescent="0.25">
      <c r="B21" s="827"/>
      <c r="C21" s="850" t="s">
        <v>134</v>
      </c>
      <c r="D21" s="832" t="s">
        <v>135</v>
      </c>
      <c r="E21" s="832" t="s">
        <v>285</v>
      </c>
      <c r="F21" s="832" t="s">
        <v>278</v>
      </c>
      <c r="G21" s="832" t="s">
        <v>153</v>
      </c>
      <c r="H21" s="832" t="s">
        <v>279</v>
      </c>
      <c r="I21" s="832" t="s">
        <v>281</v>
      </c>
      <c r="J21" s="832" t="s">
        <v>280</v>
      </c>
      <c r="K21" s="832" t="s">
        <v>245</v>
      </c>
      <c r="L21" s="832" t="s">
        <v>246</v>
      </c>
      <c r="M21" s="832"/>
      <c r="N21" s="834" t="s">
        <v>158</v>
      </c>
      <c r="O21" s="1740"/>
      <c r="P21" s="1740"/>
      <c r="Q21" s="1740"/>
      <c r="R21" s="1740"/>
      <c r="S21" s="1740"/>
      <c r="T21" s="1740"/>
      <c r="U21" s="1740"/>
      <c r="V21" s="827"/>
      <c r="W21" s="827"/>
      <c r="X21" s="827"/>
      <c r="Y21" s="827"/>
      <c r="Z21" s="827"/>
      <c r="AG21" s="843"/>
    </row>
    <row r="22" spans="2:33" ht="13.5" thickBot="1" x14ac:dyDescent="0.25">
      <c r="B22" s="827"/>
      <c r="C22" s="851">
        <v>850</v>
      </c>
      <c r="D22" s="1010">
        <v>850</v>
      </c>
      <c r="E22" s="852">
        <v>31482640</v>
      </c>
      <c r="F22" s="852">
        <v>31482640</v>
      </c>
      <c r="G22" s="852">
        <v>31</v>
      </c>
      <c r="H22" s="1777">
        <f>VLOOKUP(C69,Tarifas!D4:H303,3)</f>
        <v>0.151</v>
      </c>
      <c r="I22" s="2072">
        <v>1.4200000000000001E-2</v>
      </c>
      <c r="J22" s="2072">
        <f>VLOOKUP(C69,Tarifas!D4:H303,5)</f>
        <v>1E-3</v>
      </c>
      <c r="K22" s="2072">
        <v>204.7</v>
      </c>
      <c r="L22" s="2072">
        <v>201.4</v>
      </c>
      <c r="M22" s="1777"/>
      <c r="N22" s="1778">
        <f>F102</f>
        <v>5414039.0949450005</v>
      </c>
      <c r="O22" s="855"/>
      <c r="P22" s="855"/>
      <c r="Q22" s="1740"/>
      <c r="R22" s="1740"/>
      <c r="S22" s="1740"/>
      <c r="T22" s="1740"/>
      <c r="U22" s="1740"/>
      <c r="V22" s="827"/>
      <c r="W22" s="827"/>
      <c r="X22" s="827"/>
      <c r="Y22" s="827"/>
      <c r="Z22" s="827"/>
      <c r="AG22" s="843"/>
    </row>
    <row r="23" spans="2:33" x14ac:dyDescent="0.2">
      <c r="B23" s="827"/>
      <c r="C23" s="1740"/>
      <c r="D23" s="1740"/>
      <c r="E23" s="1740"/>
      <c r="F23" s="1740"/>
      <c r="G23" s="1740"/>
      <c r="H23" s="1740"/>
      <c r="I23" s="1740"/>
      <c r="J23" s="1740"/>
      <c r="K23" s="856"/>
      <c r="L23" s="1740"/>
      <c r="M23" s="1740"/>
      <c r="N23" s="1740"/>
      <c r="O23" s="1740"/>
      <c r="P23" s="1740"/>
      <c r="Q23" s="1740"/>
      <c r="R23" s="1740"/>
      <c r="S23" s="1740"/>
      <c r="T23" s="827"/>
      <c r="U23" s="827"/>
      <c r="V23" s="827"/>
      <c r="W23" s="827"/>
      <c r="X23" s="827"/>
      <c r="Y23" s="827"/>
      <c r="Z23" s="827"/>
      <c r="AG23" s="843"/>
    </row>
    <row r="24" spans="2:33" x14ac:dyDescent="0.2">
      <c r="B24" s="827"/>
      <c r="C24" s="1740"/>
      <c r="D24" s="1740"/>
      <c r="E24" s="1740"/>
      <c r="F24" s="1740"/>
      <c r="G24" s="1740"/>
      <c r="H24" s="1740"/>
      <c r="I24" s="1740"/>
      <c r="J24" s="1740"/>
      <c r="K24" s="1740"/>
      <c r="L24" s="1740"/>
      <c r="M24" s="1740"/>
      <c r="N24" s="1740"/>
      <c r="O24" s="1740"/>
      <c r="P24" s="1740"/>
      <c r="Q24" s="827" t="s">
        <v>405</v>
      </c>
      <c r="R24" s="827"/>
      <c r="S24" s="827"/>
      <c r="T24" s="827"/>
      <c r="U24" s="827"/>
      <c r="V24" s="827"/>
      <c r="W24" s="827"/>
      <c r="X24" s="827"/>
      <c r="Y24" s="827"/>
      <c r="Z24" s="827"/>
      <c r="AG24" s="843"/>
    </row>
    <row r="25" spans="2:33" x14ac:dyDescent="0.2">
      <c r="B25" s="827"/>
      <c r="C25" s="1740"/>
      <c r="D25" s="1740"/>
      <c r="E25" s="1740"/>
      <c r="F25" s="1740"/>
      <c r="G25" s="1740"/>
      <c r="H25" s="1740"/>
      <c r="I25" s="1740"/>
      <c r="J25" s="1740"/>
      <c r="K25" s="1740"/>
      <c r="L25" s="1740"/>
      <c r="M25" s="1740"/>
      <c r="N25" s="1740"/>
      <c r="O25" s="827"/>
      <c r="P25" s="827"/>
      <c r="Q25" s="857"/>
      <c r="R25" s="827"/>
      <c r="S25" s="827"/>
      <c r="T25" s="827"/>
      <c r="U25" s="827"/>
      <c r="V25" s="827"/>
      <c r="W25" s="827"/>
      <c r="X25" s="843"/>
      <c r="Y25" s="843"/>
      <c r="AE25" s="829"/>
      <c r="AF25" s="829"/>
    </row>
    <row r="26" spans="2:33" ht="13.5" thickBot="1" x14ac:dyDescent="0.25">
      <c r="B26" s="827"/>
      <c r="C26" s="858" t="s">
        <v>86</v>
      </c>
      <c r="D26" s="858"/>
      <c r="E26" s="858"/>
      <c r="F26" s="858"/>
      <c r="G26" s="858"/>
      <c r="H26" s="859"/>
      <c r="I26" s="858"/>
      <c r="J26" s="858"/>
      <c r="K26" s="858"/>
      <c r="L26" s="859"/>
      <c r="M26" s="860"/>
      <c r="N26" s="861"/>
      <c r="Q26" s="827"/>
      <c r="R26" s="827"/>
      <c r="S26" s="827"/>
      <c r="T26" s="827"/>
      <c r="U26" s="827"/>
      <c r="V26" s="827"/>
      <c r="W26" s="827"/>
      <c r="X26" s="843"/>
      <c r="Y26" s="843"/>
      <c r="Z26" s="862"/>
      <c r="AE26" s="829"/>
      <c r="AF26" s="829"/>
    </row>
    <row r="27" spans="2:33" ht="35.1" customHeight="1" thickBot="1" x14ac:dyDescent="0.25">
      <c r="B27" s="827"/>
      <c r="C27" s="850" t="s">
        <v>87</v>
      </c>
      <c r="D27" s="832" t="s">
        <v>88</v>
      </c>
      <c r="E27" s="832" t="s">
        <v>237</v>
      </c>
      <c r="F27" s="833" t="s">
        <v>160</v>
      </c>
      <c r="G27" s="832" t="s">
        <v>236</v>
      </c>
      <c r="H27" s="833" t="s">
        <v>232</v>
      </c>
      <c r="I27" s="833" t="s">
        <v>233</v>
      </c>
      <c r="J27" s="833" t="s">
        <v>20</v>
      </c>
      <c r="K27" s="832" t="s">
        <v>91</v>
      </c>
      <c r="L27" s="832" t="s">
        <v>93</v>
      </c>
      <c r="M27" s="832" t="s">
        <v>94</v>
      </c>
      <c r="N27" s="863" t="s">
        <v>95</v>
      </c>
      <c r="P27" s="850" t="s">
        <v>237</v>
      </c>
      <c r="Q27" s="833" t="s">
        <v>160</v>
      </c>
      <c r="R27" s="832" t="s">
        <v>236</v>
      </c>
      <c r="S27" s="833" t="s">
        <v>232</v>
      </c>
      <c r="T27" s="833" t="s">
        <v>233</v>
      </c>
      <c r="U27" s="833" t="s">
        <v>20</v>
      </c>
      <c r="V27" s="832" t="s">
        <v>91</v>
      </c>
      <c r="W27" s="832" t="s">
        <v>93</v>
      </c>
      <c r="X27" s="832" t="s">
        <v>94</v>
      </c>
      <c r="Y27" s="834" t="s">
        <v>95</v>
      </c>
      <c r="Z27" s="861"/>
      <c r="AE27" s="829"/>
      <c r="AF27" s="829"/>
    </row>
    <row r="28" spans="2:33" ht="35.1" customHeight="1" thickBot="1" x14ac:dyDescent="0.25">
      <c r="B28" s="827"/>
      <c r="C28" s="864"/>
      <c r="D28" s="836"/>
      <c r="E28" s="836"/>
      <c r="F28" s="836"/>
      <c r="G28" s="836"/>
      <c r="H28" s="836"/>
      <c r="I28" s="836"/>
      <c r="J28" s="972"/>
      <c r="K28" s="841"/>
      <c r="L28" s="866"/>
      <c r="M28" s="835"/>
      <c r="N28" s="867"/>
      <c r="P28" s="864" t="s">
        <v>242</v>
      </c>
      <c r="Q28" s="836" t="s">
        <v>221</v>
      </c>
      <c r="R28" s="836" t="s">
        <v>222</v>
      </c>
      <c r="S28" s="836">
        <v>2280</v>
      </c>
      <c r="T28" s="836">
        <v>453658</v>
      </c>
      <c r="U28" s="865" t="s">
        <v>97</v>
      </c>
      <c r="V28" s="841">
        <v>80000</v>
      </c>
      <c r="W28" s="866">
        <f>IFERROR(V28/$V$34,0)</f>
        <v>9.4117647058823528E-2</v>
      </c>
      <c r="X28" s="837">
        <f t="shared" ref="X28:X33" si="0">ROUND(W28*I$15,2)</f>
        <v>432990.84</v>
      </c>
      <c r="Y28" s="868">
        <f t="shared" ref="Y28:Y33" si="1">X28*M$15</f>
        <v>9525798.4800000004</v>
      </c>
      <c r="Z28" s="860"/>
      <c r="AA28" s="1059">
        <f>Y28+Y29+Y31+Y43</f>
        <v>23806610.740000002</v>
      </c>
      <c r="AE28" s="829"/>
      <c r="AF28" s="829"/>
    </row>
    <row r="29" spans="2:33" ht="35.1" customHeight="1" thickBot="1" x14ac:dyDescent="0.25">
      <c r="B29" s="827"/>
      <c r="C29" s="864"/>
      <c r="D29" s="836"/>
      <c r="E29" s="836"/>
      <c r="F29" s="836"/>
      <c r="G29" s="836"/>
      <c r="H29" s="836"/>
      <c r="I29" s="836"/>
      <c r="J29" s="972"/>
      <c r="K29" s="841"/>
      <c r="L29" s="866"/>
      <c r="M29" s="835"/>
      <c r="N29" s="867"/>
      <c r="P29" s="864" t="s">
        <v>242</v>
      </c>
      <c r="Q29" s="836" t="s">
        <v>221</v>
      </c>
      <c r="R29" s="836" t="s">
        <v>222</v>
      </c>
      <c r="S29" s="836">
        <v>2280</v>
      </c>
      <c r="T29" s="836">
        <v>453658</v>
      </c>
      <c r="U29" s="865" t="s">
        <v>100</v>
      </c>
      <c r="V29" s="841">
        <v>40000</v>
      </c>
      <c r="W29" s="866">
        <f>IFERROR(V29/$V$34,0)</f>
        <v>4.7058823529411764E-2</v>
      </c>
      <c r="X29" s="837">
        <f t="shared" si="0"/>
        <v>216495.42</v>
      </c>
      <c r="Y29" s="868">
        <f t="shared" si="1"/>
        <v>4762899.24</v>
      </c>
      <c r="Z29" s="860"/>
      <c r="AE29" s="829"/>
      <c r="AF29" s="829"/>
    </row>
    <row r="30" spans="2:33" ht="35.1" customHeight="1" thickBot="1" x14ac:dyDescent="0.25">
      <c r="B30" s="827"/>
      <c r="C30" s="864"/>
      <c r="D30" s="836"/>
      <c r="E30" s="836"/>
      <c r="F30" s="836"/>
      <c r="G30" s="836"/>
      <c r="H30" s="836"/>
      <c r="I30" s="836"/>
      <c r="J30" s="972"/>
      <c r="K30" s="841"/>
      <c r="L30" s="866"/>
      <c r="M30" s="835"/>
      <c r="N30" s="867"/>
      <c r="P30" s="864" t="s">
        <v>242</v>
      </c>
      <c r="Q30" s="836" t="s">
        <v>221</v>
      </c>
      <c r="R30" s="836" t="s">
        <v>222</v>
      </c>
      <c r="S30" s="836">
        <v>2280</v>
      </c>
      <c r="T30" s="836">
        <v>453658</v>
      </c>
      <c r="U30" s="865" t="s">
        <v>393</v>
      </c>
      <c r="V30" s="841">
        <v>22000</v>
      </c>
      <c r="W30" s="866">
        <f>IFERROR(V30/$V$34,0)</f>
        <v>2.5882352941176471E-2</v>
      </c>
      <c r="X30" s="837">
        <f t="shared" si="0"/>
        <v>119072.48</v>
      </c>
      <c r="Y30" s="868">
        <f t="shared" si="1"/>
        <v>2619594.56</v>
      </c>
      <c r="Z30" s="860"/>
      <c r="AE30" s="829"/>
      <c r="AF30" s="829"/>
    </row>
    <row r="31" spans="2:33" ht="35.1" customHeight="1" thickBot="1" x14ac:dyDescent="0.25">
      <c r="B31" s="827"/>
      <c r="C31" s="864"/>
      <c r="D31" s="836"/>
      <c r="E31" s="836"/>
      <c r="F31" s="836"/>
      <c r="G31" s="836"/>
      <c r="H31" s="836"/>
      <c r="I31" s="836"/>
      <c r="J31" s="972"/>
      <c r="K31" s="841"/>
      <c r="L31" s="866"/>
      <c r="M31" s="835"/>
      <c r="N31" s="867"/>
      <c r="P31" s="864" t="s">
        <v>242</v>
      </c>
      <c r="Q31" s="836" t="s">
        <v>221</v>
      </c>
      <c r="R31" s="836" t="s">
        <v>222</v>
      </c>
      <c r="S31" s="836">
        <v>2280</v>
      </c>
      <c r="T31" s="836">
        <v>453658</v>
      </c>
      <c r="U31" s="865" t="s">
        <v>288</v>
      </c>
      <c r="V31" s="841">
        <v>0</v>
      </c>
      <c r="W31" s="866">
        <f t="shared" ref="W31:W33" si="2">IFERROR(V31/$V$34,0)</f>
        <v>0</v>
      </c>
      <c r="X31" s="837">
        <f t="shared" si="0"/>
        <v>0</v>
      </c>
      <c r="Y31" s="868">
        <f t="shared" si="1"/>
        <v>0</v>
      </c>
      <c r="Z31" s="860"/>
      <c r="AE31" s="829"/>
      <c r="AF31" s="829"/>
    </row>
    <row r="32" spans="2:33" ht="35.1" customHeight="1" thickBot="1" x14ac:dyDescent="0.25">
      <c r="B32" s="827"/>
      <c r="C32" s="864"/>
      <c r="D32" s="1000"/>
      <c r="E32" s="2036"/>
      <c r="F32" s="836"/>
      <c r="G32" s="836"/>
      <c r="H32" s="836"/>
      <c r="I32" s="836"/>
      <c r="J32" s="972"/>
      <c r="K32" s="841"/>
      <c r="L32" s="866"/>
      <c r="M32" s="835"/>
      <c r="N32" s="867"/>
      <c r="P32" s="1076" t="s">
        <v>242</v>
      </c>
      <c r="Q32" s="1000" t="s">
        <v>221</v>
      </c>
      <c r="R32" s="1000" t="s">
        <v>222</v>
      </c>
      <c r="S32" s="1000" t="s">
        <v>344</v>
      </c>
      <c r="T32" s="1000">
        <v>468094</v>
      </c>
      <c r="U32" s="2058" t="s">
        <v>23</v>
      </c>
      <c r="V32" s="2059">
        <v>95000</v>
      </c>
      <c r="W32" s="2060">
        <f t="shared" si="2"/>
        <v>0.11176470588235295</v>
      </c>
      <c r="X32" s="2061">
        <f t="shared" si="0"/>
        <v>514176.63</v>
      </c>
      <c r="Y32" s="2062">
        <f t="shared" si="1"/>
        <v>11311885.859999999</v>
      </c>
      <c r="Z32" s="860"/>
      <c r="AE32" s="829"/>
      <c r="AF32" s="829"/>
    </row>
    <row r="33" spans="2:32" ht="35.1" customHeight="1" thickBot="1" x14ac:dyDescent="0.25">
      <c r="B33" s="827"/>
      <c r="C33" s="851">
        <v>800874933</v>
      </c>
      <c r="D33" s="853"/>
      <c r="E33" s="853" t="s">
        <v>242</v>
      </c>
      <c r="F33" s="845" t="s">
        <v>221</v>
      </c>
      <c r="G33" s="845" t="s">
        <v>222</v>
      </c>
      <c r="H33" s="845">
        <v>2280</v>
      </c>
      <c r="I33" s="845">
        <v>453851</v>
      </c>
      <c r="J33" s="973" t="s">
        <v>159</v>
      </c>
      <c r="K33" s="852">
        <f>850000-K28-K29-K31-K32</f>
        <v>850000</v>
      </c>
      <c r="L33" s="872">
        <v>1</v>
      </c>
      <c r="M33" s="844">
        <v>4753878.6400000006</v>
      </c>
      <c r="N33" s="873">
        <f>M33*M15</f>
        <v>104585330.08000001</v>
      </c>
      <c r="P33" s="1004" t="s">
        <v>242</v>
      </c>
      <c r="Q33" s="1003" t="s">
        <v>221</v>
      </c>
      <c r="R33" s="1003" t="s">
        <v>222</v>
      </c>
      <c r="S33" s="1003">
        <v>2280</v>
      </c>
      <c r="T33" s="1003">
        <v>453851</v>
      </c>
      <c r="U33" s="1851" t="s">
        <v>159</v>
      </c>
      <c r="V33" s="1852">
        <f>850000-V28-V29-V30-V31-V32</f>
        <v>613000</v>
      </c>
      <c r="W33" s="1853">
        <f t="shared" si="2"/>
        <v>0.72117647058823531</v>
      </c>
      <c r="X33" s="1854">
        <f t="shared" si="0"/>
        <v>3317792.34</v>
      </c>
      <c r="Y33" s="1855">
        <f t="shared" si="1"/>
        <v>72991431.479999989</v>
      </c>
      <c r="Z33" s="860"/>
      <c r="AE33" s="829"/>
      <c r="AF33" s="829"/>
    </row>
    <row r="34" spans="2:32" ht="35.1" customHeight="1" x14ac:dyDescent="0.2">
      <c r="B34" s="827"/>
      <c r="C34" s="881"/>
      <c r="D34" s="882" t="s">
        <v>102</v>
      </c>
      <c r="E34" s="882"/>
      <c r="F34" s="882"/>
      <c r="G34" s="882"/>
      <c r="H34" s="882"/>
      <c r="I34" s="883"/>
      <c r="J34" s="883"/>
      <c r="K34" s="884">
        <f>SUM(K28:K33)</f>
        <v>850000</v>
      </c>
      <c r="L34" s="885">
        <f>SUM(L28:L33)</f>
        <v>1</v>
      </c>
      <c r="M34" s="886">
        <f>SUM(M28:M33)</f>
        <v>4753878.6400000006</v>
      </c>
      <c r="N34" s="886">
        <f>SUM(N28:N33)</f>
        <v>104585330.08000001</v>
      </c>
      <c r="P34" s="882"/>
      <c r="Q34" s="882"/>
      <c r="R34" s="882"/>
      <c r="S34" s="882"/>
      <c r="T34" s="883"/>
      <c r="U34" s="883"/>
      <c r="V34" s="884">
        <f>SUM(V28:V33)</f>
        <v>850000</v>
      </c>
      <c r="W34" s="885">
        <f>SUM(W28:W33)</f>
        <v>1</v>
      </c>
      <c r="X34" s="887">
        <f>SUM(X28:X33)</f>
        <v>4600527.71</v>
      </c>
      <c r="Y34" s="887">
        <f>SUM(Y28:Y33)</f>
        <v>101211609.61999999</v>
      </c>
      <c r="Z34" s="827"/>
      <c r="AE34" s="829"/>
      <c r="AF34" s="829"/>
    </row>
    <row r="35" spans="2:32" ht="20.100000000000001" customHeight="1" x14ac:dyDescent="0.2">
      <c r="B35" s="827"/>
      <c r="C35" s="860"/>
      <c r="D35" s="860"/>
      <c r="E35" s="860"/>
      <c r="F35" s="860"/>
      <c r="G35" s="888"/>
      <c r="H35" s="888"/>
      <c r="I35" s="860"/>
      <c r="J35" s="860"/>
      <c r="K35" s="860"/>
      <c r="L35" s="860"/>
      <c r="M35" s="889"/>
      <c r="P35" s="860"/>
      <c r="Q35" s="860"/>
      <c r="R35" s="888"/>
      <c r="S35" s="888"/>
      <c r="T35" s="860"/>
      <c r="U35" s="860"/>
      <c r="V35" s="860"/>
      <c r="W35" s="860"/>
      <c r="X35" s="890"/>
      <c r="Y35" s="891"/>
      <c r="Z35" s="827"/>
      <c r="AE35" s="829"/>
      <c r="AF35" s="829"/>
    </row>
    <row r="36" spans="2:32" ht="20.100000000000001" customHeight="1" x14ac:dyDescent="0.2">
      <c r="B36" s="827"/>
      <c r="C36" s="860"/>
      <c r="D36" s="860"/>
      <c r="E36" s="860"/>
      <c r="F36" s="860"/>
      <c r="G36" s="888"/>
      <c r="H36" s="888"/>
      <c r="I36" s="860"/>
      <c r="J36" s="860"/>
      <c r="K36" s="860"/>
      <c r="L36" s="860"/>
      <c r="M36" s="889"/>
      <c r="P36" s="860"/>
      <c r="Q36" s="860"/>
      <c r="R36" s="888"/>
      <c r="S36" s="888"/>
      <c r="T36" s="860"/>
      <c r="U36" s="860"/>
      <c r="V36" s="860"/>
      <c r="W36" s="892"/>
      <c r="X36" s="889"/>
      <c r="Y36" s="893"/>
      <c r="Z36" s="827"/>
      <c r="AE36" s="829"/>
      <c r="AF36" s="829"/>
    </row>
    <row r="38" spans="2:32" ht="20.100000000000001" customHeight="1" thickBot="1" x14ac:dyDescent="0.25">
      <c r="B38" s="827"/>
      <c r="C38" s="858" t="s">
        <v>274</v>
      </c>
      <c r="D38" s="858"/>
      <c r="E38" s="858"/>
      <c r="F38" s="858"/>
      <c r="G38" s="858"/>
      <c r="H38" s="859"/>
      <c r="I38" s="858"/>
      <c r="J38" s="858"/>
      <c r="K38" s="858"/>
      <c r="L38" s="859"/>
      <c r="M38" s="860"/>
      <c r="N38" s="861"/>
      <c r="P38" s="858"/>
      <c r="Q38" s="858"/>
      <c r="R38" s="858"/>
      <c r="S38" s="859"/>
      <c r="T38" s="858"/>
      <c r="U38" s="858"/>
      <c r="V38" s="858"/>
      <c r="W38" s="860"/>
      <c r="X38" s="860"/>
      <c r="Y38" s="894"/>
      <c r="Z38" s="862"/>
      <c r="AE38" s="829"/>
      <c r="AF38" s="829"/>
    </row>
    <row r="39" spans="2:32" ht="35.1" customHeight="1" thickBot="1" x14ac:dyDescent="0.25">
      <c r="B39" s="827"/>
      <c r="C39" s="850" t="s">
        <v>87</v>
      </c>
      <c r="D39" s="895" t="s">
        <v>88</v>
      </c>
      <c r="E39" s="895" t="s">
        <v>237</v>
      </c>
      <c r="F39" s="896" t="s">
        <v>160</v>
      </c>
      <c r="G39" s="895" t="s">
        <v>236</v>
      </c>
      <c r="H39" s="896" t="s">
        <v>232</v>
      </c>
      <c r="I39" s="896" t="s">
        <v>233</v>
      </c>
      <c r="J39" s="896" t="s">
        <v>20</v>
      </c>
      <c r="K39" s="832" t="s">
        <v>91</v>
      </c>
      <c r="L39" s="895" t="s">
        <v>93</v>
      </c>
      <c r="M39" s="895" t="s">
        <v>94</v>
      </c>
      <c r="N39" s="897" t="s">
        <v>95</v>
      </c>
      <c r="P39" s="895" t="s">
        <v>237</v>
      </c>
      <c r="Q39" s="896" t="s">
        <v>160</v>
      </c>
      <c r="R39" s="895" t="s">
        <v>236</v>
      </c>
      <c r="S39" s="896" t="s">
        <v>232</v>
      </c>
      <c r="T39" s="896" t="s">
        <v>233</v>
      </c>
      <c r="U39" s="896" t="s">
        <v>20</v>
      </c>
      <c r="V39" s="832" t="s">
        <v>91</v>
      </c>
      <c r="W39" s="895" t="s">
        <v>93</v>
      </c>
      <c r="X39" s="895" t="s">
        <v>94</v>
      </c>
      <c r="Y39" s="897" t="s">
        <v>95</v>
      </c>
      <c r="Z39" s="862"/>
      <c r="AE39" s="829"/>
      <c r="AF39" s="829"/>
    </row>
    <row r="40" spans="2:32" ht="35.1" customHeight="1" thickBot="1" x14ac:dyDescent="0.25">
      <c r="B40" s="827"/>
      <c r="C40" s="864"/>
      <c r="D40" s="1000"/>
      <c r="E40" s="2036"/>
      <c r="F40" s="836"/>
      <c r="G40" s="836"/>
      <c r="H40" s="836"/>
      <c r="I40" s="836"/>
      <c r="J40" s="865"/>
      <c r="K40" s="841"/>
      <c r="L40" s="866"/>
      <c r="M40" s="837"/>
      <c r="N40" s="868"/>
      <c r="P40" s="836" t="s">
        <v>242</v>
      </c>
      <c r="Q40" s="836" t="s">
        <v>221</v>
      </c>
      <c r="R40" s="836" t="s">
        <v>222</v>
      </c>
      <c r="S40" s="836">
        <v>2280</v>
      </c>
      <c r="T40" s="836">
        <v>453658</v>
      </c>
      <c r="U40" s="865" t="s">
        <v>97</v>
      </c>
      <c r="V40" s="841">
        <v>80000</v>
      </c>
      <c r="W40" s="866">
        <f>IFERROR(V40/$V$43,0)</f>
        <v>0.66666666666666663</v>
      </c>
      <c r="X40" s="837">
        <f>ROUND(W40*I$16,2)</f>
        <v>288421.61</v>
      </c>
      <c r="Y40" s="868">
        <f>X40*$M$16</f>
        <v>6345275.4199999999</v>
      </c>
      <c r="Z40" s="862"/>
      <c r="AE40" s="829"/>
      <c r="AF40" s="829"/>
    </row>
    <row r="41" spans="2:32" ht="35.1" customHeight="1" thickBot="1" x14ac:dyDescent="0.25">
      <c r="B41" s="827"/>
      <c r="C41" s="864"/>
      <c r="D41" s="836"/>
      <c r="E41" s="836"/>
      <c r="F41" s="836"/>
      <c r="G41" s="836"/>
      <c r="H41" s="836"/>
      <c r="I41" s="836"/>
      <c r="J41" s="865"/>
      <c r="K41" s="841"/>
      <c r="L41" s="866"/>
      <c r="M41" s="837"/>
      <c r="N41" s="868"/>
      <c r="P41" s="836" t="s">
        <v>242</v>
      </c>
      <c r="Q41" s="836" t="s">
        <v>221</v>
      </c>
      <c r="R41" s="836" t="s">
        <v>222</v>
      </c>
      <c r="S41" s="836">
        <v>2280</v>
      </c>
      <c r="T41" s="836">
        <v>453658</v>
      </c>
      <c r="U41" s="865" t="s">
        <v>100</v>
      </c>
      <c r="V41" s="841">
        <v>40000</v>
      </c>
      <c r="W41" s="866">
        <f>IFERROR(V41/$V$43,0)</f>
        <v>0.33333333333333331</v>
      </c>
      <c r="X41" s="837">
        <f>ROUND(W41*I$16,2)</f>
        <v>144210.79999999999</v>
      </c>
      <c r="Y41" s="868">
        <f>X41*$M$16</f>
        <v>3172637.5999999996</v>
      </c>
      <c r="Z41" s="862"/>
      <c r="AE41" s="829"/>
      <c r="AF41" s="829"/>
    </row>
    <row r="42" spans="2:32" ht="35.1" customHeight="1" thickBot="1" x14ac:dyDescent="0.25">
      <c r="B42" s="827"/>
      <c r="C42" s="1004">
        <v>800874975</v>
      </c>
      <c r="D42" s="853"/>
      <c r="E42" s="853" t="s">
        <v>242</v>
      </c>
      <c r="F42" s="1003" t="s">
        <v>221</v>
      </c>
      <c r="G42" s="1003" t="s">
        <v>222</v>
      </c>
      <c r="H42" s="1003">
        <v>2280</v>
      </c>
      <c r="I42" s="1003">
        <v>453851</v>
      </c>
      <c r="J42" s="871" t="s">
        <v>159</v>
      </c>
      <c r="K42" s="852">
        <v>120000</v>
      </c>
      <c r="L42" s="872">
        <v>1</v>
      </c>
      <c r="M42" s="846">
        <f>ROUND(L42*I$16,2)</f>
        <v>432632.41</v>
      </c>
      <c r="N42" s="898">
        <f>M42*$M$16</f>
        <v>9517913.0199999996</v>
      </c>
      <c r="P42" s="1003" t="s">
        <v>401</v>
      </c>
      <c r="Q42" s="845" t="s">
        <v>221</v>
      </c>
      <c r="R42" s="845" t="s">
        <v>222</v>
      </c>
      <c r="S42" s="845">
        <v>2280</v>
      </c>
      <c r="T42" s="845">
        <v>453851</v>
      </c>
      <c r="U42" s="871" t="s">
        <v>159</v>
      </c>
      <c r="V42" s="852">
        <v>0</v>
      </c>
      <c r="W42" s="872">
        <f>IFERROR(V42/$V$43,0)</f>
        <v>0</v>
      </c>
      <c r="X42" s="846">
        <f>ROUND(W42*I$16,2)</f>
        <v>0</v>
      </c>
      <c r="Y42" s="898">
        <f>X42*$M$16</f>
        <v>0</v>
      </c>
      <c r="Z42" s="862"/>
      <c r="AE42" s="829"/>
      <c r="AF42" s="829"/>
    </row>
    <row r="43" spans="2:32" ht="20.100000000000001" customHeight="1" x14ac:dyDescent="0.2">
      <c r="B43" s="827"/>
      <c r="C43" s="881"/>
      <c r="D43" s="882" t="s">
        <v>102</v>
      </c>
      <c r="E43" s="882"/>
      <c r="F43" s="882"/>
      <c r="G43" s="882"/>
      <c r="H43" s="882"/>
      <c r="I43" s="883"/>
      <c r="J43" s="883"/>
      <c r="K43" s="884">
        <f>SUM(K40:K42)</f>
        <v>120000</v>
      </c>
      <c r="L43" s="885">
        <f>SUM(L40:L42)</f>
        <v>1</v>
      </c>
      <c r="M43" s="886">
        <f>SUM(M40:M42)</f>
        <v>432632.41</v>
      </c>
      <c r="N43" s="886">
        <f>SUM(N40:N42)</f>
        <v>9517913.0199999996</v>
      </c>
      <c r="P43" s="882"/>
      <c r="Q43" s="882"/>
      <c r="R43" s="882"/>
      <c r="S43" s="882"/>
      <c r="T43" s="883"/>
      <c r="U43" s="883"/>
      <c r="V43" s="884">
        <f>SUM(V40:V42)</f>
        <v>120000</v>
      </c>
      <c r="W43" s="885">
        <f>SUM(W40:W42)</f>
        <v>1</v>
      </c>
      <c r="X43" s="886">
        <f>SUM(X40:X42)</f>
        <v>432632.41</v>
      </c>
      <c r="Y43" s="886">
        <f>SUM(Y40:Y42)</f>
        <v>9517913.0199999996</v>
      </c>
      <c r="Z43" s="862"/>
      <c r="AE43" s="829"/>
      <c r="AF43" s="829"/>
    </row>
    <row r="44" spans="2:32" ht="20.100000000000001" customHeight="1" x14ac:dyDescent="0.2">
      <c r="B44" s="827"/>
      <c r="C44" s="899"/>
      <c r="D44" s="858"/>
      <c r="E44" s="858"/>
      <c r="F44" s="858"/>
      <c r="G44" s="858"/>
      <c r="H44" s="859"/>
      <c r="I44" s="858"/>
      <c r="J44" s="858"/>
      <c r="K44" s="858"/>
      <c r="L44" s="860"/>
      <c r="M44" s="860"/>
      <c r="N44" s="843"/>
      <c r="P44" s="858"/>
      <c r="Q44" s="858"/>
      <c r="R44" s="858"/>
      <c r="S44" s="859"/>
      <c r="T44" s="858"/>
      <c r="U44" s="858"/>
      <c r="V44" s="858"/>
      <c r="W44" s="860"/>
      <c r="X44" s="860"/>
      <c r="Y44" s="894"/>
      <c r="Z44" s="862"/>
      <c r="AE44" s="829"/>
      <c r="AF44" s="829"/>
    </row>
    <row r="45" spans="2:32" ht="20.100000000000001" customHeight="1" x14ac:dyDescent="0.2">
      <c r="B45" s="827"/>
      <c r="C45" s="899"/>
      <c r="D45" s="858"/>
      <c r="E45" s="858"/>
      <c r="F45" s="858"/>
      <c r="G45" s="858"/>
      <c r="H45" s="859"/>
      <c r="I45" s="858"/>
      <c r="J45" s="858"/>
      <c r="K45" s="858"/>
      <c r="L45" s="860"/>
      <c r="M45" s="860"/>
      <c r="N45" s="843"/>
      <c r="P45" s="858"/>
      <c r="Q45" s="858"/>
      <c r="R45" s="858"/>
      <c r="S45" s="859"/>
      <c r="T45" s="858"/>
      <c r="U45" s="858"/>
      <c r="V45" s="858"/>
      <c r="W45" s="860"/>
      <c r="X45" s="860"/>
      <c r="Y45" s="894"/>
      <c r="Z45" s="862"/>
      <c r="AE45" s="829"/>
      <c r="AF45" s="829"/>
    </row>
    <row r="46" spans="2:32" ht="20.100000000000001" customHeight="1" x14ac:dyDescent="0.2">
      <c r="B46" s="827"/>
      <c r="C46" s="899"/>
      <c r="D46" s="858"/>
      <c r="E46" s="858"/>
      <c r="F46" s="858"/>
      <c r="G46" s="858"/>
      <c r="H46" s="859"/>
      <c r="I46" s="858"/>
      <c r="J46" s="858"/>
      <c r="K46" s="858"/>
      <c r="L46" s="860"/>
      <c r="M46" s="860"/>
      <c r="N46" s="843"/>
      <c r="P46" s="858"/>
      <c r="Q46" s="858"/>
      <c r="R46" s="858"/>
      <c r="S46" s="859"/>
      <c r="T46" s="858"/>
      <c r="U46" s="858"/>
      <c r="V46" s="858"/>
      <c r="W46" s="860"/>
      <c r="X46" s="860"/>
      <c r="Y46" s="894"/>
      <c r="Z46" s="862"/>
      <c r="AE46" s="829"/>
      <c r="AF46" s="829"/>
    </row>
    <row r="47" spans="2:32" ht="35.1" customHeight="1" thickBot="1" x14ac:dyDescent="0.25">
      <c r="B47" s="827"/>
      <c r="C47" s="899" t="s">
        <v>103</v>
      </c>
      <c r="D47" s="858"/>
      <c r="E47" s="858"/>
      <c r="F47" s="858"/>
      <c r="G47" s="858"/>
      <c r="H47" s="859"/>
      <c r="I47" s="858"/>
      <c r="J47" s="858"/>
      <c r="K47" s="858"/>
      <c r="L47" s="860"/>
      <c r="M47" s="860"/>
      <c r="N47" s="843"/>
      <c r="P47" s="858"/>
      <c r="Q47" s="858"/>
      <c r="R47" s="858"/>
      <c r="S47" s="859"/>
      <c r="T47" s="858"/>
      <c r="U47" s="858"/>
      <c r="V47" s="858"/>
      <c r="W47" s="860"/>
      <c r="X47" s="860"/>
      <c r="Y47" s="894"/>
      <c r="Z47" s="862"/>
      <c r="AE47" s="829"/>
      <c r="AF47" s="829"/>
    </row>
    <row r="48" spans="2:32" ht="35.1" customHeight="1" thickBot="1" x14ac:dyDescent="0.25">
      <c r="B48" s="827"/>
      <c r="C48" s="850" t="s">
        <v>87</v>
      </c>
      <c r="D48" s="832" t="s">
        <v>88</v>
      </c>
      <c r="E48" s="832" t="s">
        <v>237</v>
      </c>
      <c r="F48" s="833" t="s">
        <v>160</v>
      </c>
      <c r="G48" s="832" t="s">
        <v>90</v>
      </c>
      <c r="H48" s="833" t="s">
        <v>232</v>
      </c>
      <c r="I48" s="833" t="s">
        <v>233</v>
      </c>
      <c r="J48" s="833" t="s">
        <v>20</v>
      </c>
      <c r="K48" s="832" t="s">
        <v>234</v>
      </c>
      <c r="L48" s="832" t="s">
        <v>93</v>
      </c>
      <c r="M48" s="832" t="s">
        <v>94</v>
      </c>
      <c r="N48" s="863" t="s">
        <v>95</v>
      </c>
      <c r="P48" s="850" t="s">
        <v>237</v>
      </c>
      <c r="Q48" s="833" t="s">
        <v>160</v>
      </c>
      <c r="R48" s="832" t="s">
        <v>90</v>
      </c>
      <c r="S48" s="833" t="s">
        <v>232</v>
      </c>
      <c r="T48" s="833" t="s">
        <v>233</v>
      </c>
      <c r="U48" s="833" t="s">
        <v>20</v>
      </c>
      <c r="V48" s="832" t="s">
        <v>234</v>
      </c>
      <c r="W48" s="832" t="s">
        <v>93</v>
      </c>
      <c r="X48" s="832" t="s">
        <v>94</v>
      </c>
      <c r="Y48" s="834" t="s">
        <v>95</v>
      </c>
      <c r="Z48" s="861"/>
      <c r="AE48" s="829"/>
      <c r="AF48" s="829"/>
    </row>
    <row r="49" spans="2:32" ht="35.1" customHeight="1" thickBot="1" x14ac:dyDescent="0.25">
      <c r="B49" s="827"/>
      <c r="C49" s="864">
        <v>800874989</v>
      </c>
      <c r="D49" s="869"/>
      <c r="E49" s="869" t="s">
        <v>242</v>
      </c>
      <c r="F49" s="836" t="s">
        <v>221</v>
      </c>
      <c r="G49" s="836" t="s">
        <v>222</v>
      </c>
      <c r="H49" s="836">
        <v>2281</v>
      </c>
      <c r="I49" s="836">
        <v>453659</v>
      </c>
      <c r="J49" s="972" t="s">
        <v>159</v>
      </c>
      <c r="K49" s="841">
        <f>P102</f>
        <v>3258220.33</v>
      </c>
      <c r="L49" s="866">
        <f>IFERROR(K49/K$54,0)</f>
        <v>0.54469510341294414</v>
      </c>
      <c r="M49" s="835">
        <f>L49*$I$17</f>
        <v>2997.3209803055784</v>
      </c>
      <c r="N49" s="867">
        <f>M49*$M$17</f>
        <v>65941.061566722725</v>
      </c>
      <c r="O49" s="2">
        <v>18.6234</v>
      </c>
      <c r="P49" s="864" t="s">
        <v>242</v>
      </c>
      <c r="Q49" s="836" t="s">
        <v>221</v>
      </c>
      <c r="R49" s="836" t="s">
        <v>222</v>
      </c>
      <c r="S49" s="836">
        <v>2281</v>
      </c>
      <c r="T49" s="836">
        <v>453658</v>
      </c>
      <c r="U49" s="865" t="s">
        <v>97</v>
      </c>
      <c r="V49" s="841">
        <f>K49</f>
        <v>3258220.33</v>
      </c>
      <c r="W49" s="866">
        <f>IFERROR(V49/V$54,0)</f>
        <v>0.54469510341294414</v>
      </c>
      <c r="X49" s="835">
        <f>W49*$I$17</f>
        <v>2997.3209803055784</v>
      </c>
      <c r="Y49" s="867">
        <f>X49*$M$17</f>
        <v>65941.061566722725</v>
      </c>
      <c r="AE49" s="829"/>
      <c r="AF49" s="829"/>
    </row>
    <row r="50" spans="2:32" ht="35.1" customHeight="1" thickBot="1" x14ac:dyDescent="0.25">
      <c r="B50" s="827"/>
      <c r="C50" s="864"/>
      <c r="D50" s="1000"/>
      <c r="E50" s="1000"/>
      <c r="F50" s="836"/>
      <c r="G50" s="836"/>
      <c r="H50" s="836"/>
      <c r="I50" s="836"/>
      <c r="J50" s="972"/>
      <c r="K50" s="841"/>
      <c r="L50" s="866"/>
      <c r="M50" s="835"/>
      <c r="N50" s="867"/>
      <c r="O50" s="2"/>
      <c r="P50" s="864" t="s">
        <v>242</v>
      </c>
      <c r="Q50" s="836" t="s">
        <v>221</v>
      </c>
      <c r="R50" s="836" t="s">
        <v>222</v>
      </c>
      <c r="S50" s="836">
        <v>2281</v>
      </c>
      <c r="T50" s="836">
        <v>453658</v>
      </c>
      <c r="U50" s="865" t="s">
        <v>100</v>
      </c>
      <c r="V50" s="841">
        <f t="shared" ref="V50:V53" si="3">K50</f>
        <v>0</v>
      </c>
      <c r="W50" s="866">
        <f>IFERROR(V50/V$54,0)</f>
        <v>0</v>
      </c>
      <c r="X50" s="835">
        <f>W50*$I$17</f>
        <v>0</v>
      </c>
      <c r="Y50" s="867">
        <f>X50*$M$17</f>
        <v>0</v>
      </c>
      <c r="AE50" s="829"/>
      <c r="AF50" s="829"/>
    </row>
    <row r="51" spans="2:32" ht="35.1" customHeight="1" thickBot="1" x14ac:dyDescent="0.25">
      <c r="B51" s="827"/>
      <c r="C51" s="864">
        <v>800874989</v>
      </c>
      <c r="D51" s="869"/>
      <c r="E51" s="869" t="s">
        <v>242</v>
      </c>
      <c r="F51" s="836" t="s">
        <v>221</v>
      </c>
      <c r="G51" s="836" t="s">
        <v>222</v>
      </c>
      <c r="H51" s="836">
        <v>2281</v>
      </c>
      <c r="I51" s="836">
        <v>453659</v>
      </c>
      <c r="J51" s="972" t="s">
        <v>159</v>
      </c>
      <c r="K51" s="841">
        <f>N102</f>
        <v>567693.27162977005</v>
      </c>
      <c r="L51" s="866">
        <f>IFERROR(K51/K$54,0)</f>
        <v>9.4904492016723185E-2</v>
      </c>
      <c r="M51" s="835">
        <f>L51*$I$17</f>
        <v>522.23569344502346</v>
      </c>
      <c r="N51" s="867">
        <f>M51*$M$17</f>
        <v>11489.185255790517</v>
      </c>
      <c r="O51" s="2"/>
      <c r="P51" s="864" t="s">
        <v>242</v>
      </c>
      <c r="Q51" s="836" t="s">
        <v>221</v>
      </c>
      <c r="R51" s="836" t="s">
        <v>222</v>
      </c>
      <c r="S51" s="836">
        <v>2281</v>
      </c>
      <c r="T51" s="836">
        <v>453658</v>
      </c>
      <c r="U51" s="865" t="s">
        <v>393</v>
      </c>
      <c r="V51" s="841">
        <f t="shared" si="3"/>
        <v>567693.27162977005</v>
      </c>
      <c r="W51" s="866">
        <f>IFERROR(V51/V$54,0)</f>
        <v>9.4904492016723185E-2</v>
      </c>
      <c r="X51" s="835">
        <f>W51*$I$17</f>
        <v>522.23569344502346</v>
      </c>
      <c r="Y51" s="867">
        <f>X51*$M$17</f>
        <v>11489.185255790517</v>
      </c>
      <c r="AE51" s="829"/>
      <c r="AF51" s="829"/>
    </row>
    <row r="52" spans="2:32" ht="35.1" customHeight="1" thickBot="1" x14ac:dyDescent="0.25">
      <c r="B52" s="827"/>
      <c r="C52" s="864"/>
      <c r="D52" s="836"/>
      <c r="E52" s="1000"/>
      <c r="F52" s="836"/>
      <c r="G52" s="836"/>
      <c r="H52" s="836"/>
      <c r="I52" s="836"/>
      <c r="J52" s="972"/>
      <c r="K52" s="841"/>
      <c r="L52" s="866"/>
      <c r="M52" s="835"/>
      <c r="N52" s="867"/>
      <c r="O52" s="2"/>
      <c r="P52" s="864" t="s">
        <v>242</v>
      </c>
      <c r="Q52" s="836" t="s">
        <v>221</v>
      </c>
      <c r="R52" s="836" t="s">
        <v>222</v>
      </c>
      <c r="S52" s="836">
        <v>2281</v>
      </c>
      <c r="T52" s="836">
        <v>453658</v>
      </c>
      <c r="U52" s="865" t="s">
        <v>288</v>
      </c>
      <c r="V52" s="841">
        <f t="shared" si="3"/>
        <v>0</v>
      </c>
      <c r="W52" s="866">
        <f>IFERROR(V52/V$54,0)</f>
        <v>0</v>
      </c>
      <c r="X52" s="835">
        <f>W52*$I$17</f>
        <v>0</v>
      </c>
      <c r="Y52" s="867">
        <f t="shared" ref="Y52:Y53" si="4">X52*$M$17</f>
        <v>0</v>
      </c>
      <c r="AE52" s="829"/>
      <c r="AF52" s="829"/>
    </row>
    <row r="53" spans="2:32" ht="35.1" customHeight="1" thickBot="1" x14ac:dyDescent="0.25">
      <c r="B53" s="827"/>
      <c r="C53" s="851">
        <v>800874989</v>
      </c>
      <c r="D53" s="853"/>
      <c r="E53" s="853" t="s">
        <v>242</v>
      </c>
      <c r="F53" s="845" t="s">
        <v>221</v>
      </c>
      <c r="G53" s="845" t="s">
        <v>222</v>
      </c>
      <c r="H53" s="845">
        <v>2281</v>
      </c>
      <c r="I53" s="845">
        <v>453659</v>
      </c>
      <c r="J53" s="973" t="s">
        <v>159</v>
      </c>
      <c r="K53" s="852">
        <f>O102</f>
        <v>2155818.7649450004</v>
      </c>
      <c r="L53" s="866">
        <f>IFERROR(K53/K$54,0)</f>
        <v>0.36040040457033257</v>
      </c>
      <c r="M53" s="844">
        <f>L53*$I$17</f>
        <v>1983.1933262493976</v>
      </c>
      <c r="N53" s="867">
        <f t="shared" ref="N53" si="5">M53*$M$17</f>
        <v>43630.253177486746</v>
      </c>
      <c r="O53" s="2">
        <v>18.8506</v>
      </c>
      <c r="P53" s="1004" t="s">
        <v>242</v>
      </c>
      <c r="Q53" s="845" t="s">
        <v>221</v>
      </c>
      <c r="R53" s="845" t="s">
        <v>222</v>
      </c>
      <c r="S53" s="845" t="s">
        <v>402</v>
      </c>
      <c r="T53" s="845">
        <v>468095</v>
      </c>
      <c r="U53" s="871" t="s">
        <v>23</v>
      </c>
      <c r="V53" s="852">
        <f t="shared" si="3"/>
        <v>2155818.7649450004</v>
      </c>
      <c r="W53" s="872">
        <f>IFERROR(V53/V$54,0)</f>
        <v>0.36040040457033257</v>
      </c>
      <c r="X53" s="844">
        <f>W53*$I$17</f>
        <v>1983.1933262493976</v>
      </c>
      <c r="Y53" s="873">
        <f t="shared" si="4"/>
        <v>43630.253177486746</v>
      </c>
      <c r="AE53" s="829"/>
      <c r="AF53" s="829"/>
    </row>
    <row r="54" spans="2:32" x14ac:dyDescent="0.2">
      <c r="B54" s="827"/>
      <c r="C54" s="901"/>
      <c r="D54" s="901"/>
      <c r="E54" s="901"/>
      <c r="F54" s="902"/>
      <c r="G54" s="902"/>
      <c r="H54" s="902"/>
      <c r="I54" s="902"/>
      <c r="J54" s="902"/>
      <c r="K54" s="1001">
        <f>SUM(K49:K53)</f>
        <v>5981732.3665747708</v>
      </c>
      <c r="L54" s="903">
        <f>SUM(L49:L53)</f>
        <v>1</v>
      </c>
      <c r="M54" s="1002">
        <f>SUM(M49:M53)</f>
        <v>5502.75</v>
      </c>
      <c r="N54" s="1002">
        <f>SUM(N49:N53)</f>
        <v>121060.5</v>
      </c>
      <c r="O54" s="843"/>
      <c r="P54" s="843"/>
      <c r="Q54" s="827"/>
      <c r="R54" s="827"/>
      <c r="S54" s="827"/>
      <c r="T54" s="827"/>
      <c r="U54" s="827"/>
      <c r="V54" s="1001">
        <f>SUM(V49:V53)</f>
        <v>5981732.3665747708</v>
      </c>
      <c r="W54" s="903">
        <f>SUM(W49:W53)</f>
        <v>1</v>
      </c>
      <c r="X54" s="1002">
        <f>SUM(X49:X53)</f>
        <v>5502.75</v>
      </c>
      <c r="Y54" s="1002">
        <f>SUM(Y49:Y53)</f>
        <v>121060.5</v>
      </c>
      <c r="AE54" s="829"/>
      <c r="AF54" s="829"/>
    </row>
    <row r="55" spans="2:32" s="906" customFormat="1" x14ac:dyDescent="0.2">
      <c r="B55" s="904"/>
      <c r="C55" s="902"/>
      <c r="D55" s="902"/>
      <c r="E55" s="902"/>
      <c r="F55" s="902"/>
      <c r="G55" s="902"/>
      <c r="H55" s="902"/>
      <c r="I55" s="902"/>
      <c r="J55" s="902"/>
      <c r="K55" s="902"/>
      <c r="L55" s="902"/>
      <c r="M55" s="905"/>
      <c r="N55" s="905"/>
      <c r="O55" s="843"/>
      <c r="P55" s="843"/>
      <c r="Q55" s="904"/>
      <c r="R55" s="904"/>
      <c r="S55" s="904"/>
      <c r="T55" s="904"/>
      <c r="U55" s="904"/>
      <c r="V55" s="904"/>
      <c r="W55" s="904"/>
      <c r="X55" s="843"/>
      <c r="Y55" s="843"/>
      <c r="Z55" s="843"/>
      <c r="AA55" s="843"/>
      <c r="AB55" s="843"/>
      <c r="AC55" s="843"/>
      <c r="AD55" s="843"/>
    </row>
    <row r="56" spans="2:32" s="906" customFormat="1" x14ac:dyDescent="0.2">
      <c r="B56" s="904"/>
      <c r="C56" s="902"/>
      <c r="D56" s="902"/>
      <c r="E56" s="902"/>
      <c r="F56" s="902"/>
      <c r="G56" s="902"/>
      <c r="H56" s="902"/>
      <c r="I56" s="902"/>
      <c r="J56" s="902"/>
      <c r="K56" s="902"/>
      <c r="L56" s="905"/>
      <c r="M56" s="905"/>
      <c r="N56" s="843"/>
      <c r="O56" s="904"/>
      <c r="P56" s="904"/>
      <c r="Q56" s="904"/>
      <c r="R56" s="904"/>
      <c r="S56" s="904"/>
      <c r="T56" s="904"/>
      <c r="U56" s="904"/>
      <c r="V56" s="843"/>
      <c r="W56" s="843"/>
      <c r="X56" s="843"/>
      <c r="Y56" s="843"/>
      <c r="Z56" s="843"/>
      <c r="AA56" s="843"/>
      <c r="AB56" s="843"/>
    </row>
    <row r="57" spans="2:32" s="906" customFormat="1" x14ac:dyDescent="0.2">
      <c r="B57" s="904"/>
      <c r="C57" s="902"/>
      <c r="D57" s="902"/>
      <c r="E57" s="902"/>
      <c r="F57" s="902"/>
      <c r="G57" s="902"/>
      <c r="H57" s="902"/>
      <c r="I57" s="902"/>
      <c r="J57" s="902"/>
      <c r="K57" s="902"/>
      <c r="L57" s="905"/>
      <c r="M57" s="905"/>
      <c r="N57" s="843"/>
      <c r="O57" s="843"/>
      <c r="P57" s="904"/>
      <c r="Q57" s="904"/>
      <c r="R57" s="904"/>
      <c r="S57" s="904"/>
      <c r="T57" s="904"/>
      <c r="U57" s="904"/>
      <c r="V57" s="904"/>
      <c r="W57" s="843"/>
      <c r="X57" s="843"/>
      <c r="Y57" s="843"/>
      <c r="Z57" s="843"/>
      <c r="AA57" s="843"/>
      <c r="AB57" s="843"/>
      <c r="AC57" s="843"/>
    </row>
    <row r="58" spans="2:32" s="906" customFormat="1" x14ac:dyDescent="0.2">
      <c r="B58" s="904"/>
      <c r="C58" s="902"/>
      <c r="D58" s="902"/>
      <c r="E58" s="902"/>
      <c r="F58" s="902"/>
      <c r="G58" s="902"/>
      <c r="H58" s="902"/>
      <c r="I58" s="902"/>
      <c r="J58" s="902"/>
      <c r="K58" s="902"/>
      <c r="L58" s="905"/>
      <c r="M58" s="905"/>
      <c r="N58" s="843"/>
      <c r="O58" s="905"/>
      <c r="P58" s="843"/>
      <c r="Q58" s="905"/>
      <c r="R58" s="904"/>
      <c r="S58" s="904"/>
      <c r="T58" s="904"/>
      <c r="U58" s="904"/>
      <c r="V58" s="904"/>
      <c r="W58" s="904"/>
      <c r="X58" s="904"/>
      <c r="Y58" s="904"/>
      <c r="Z58" s="843"/>
      <c r="AA58" s="843"/>
      <c r="AB58" s="843"/>
      <c r="AC58" s="843"/>
      <c r="AD58" s="843"/>
      <c r="AE58" s="843"/>
      <c r="AF58" s="843"/>
    </row>
    <row r="59" spans="2:32" s="906" customFormat="1" x14ac:dyDescent="0.2">
      <c r="B59" s="904"/>
      <c r="C59" s="902"/>
      <c r="D59" s="902"/>
      <c r="E59" s="902"/>
      <c r="F59" s="902"/>
      <c r="G59" s="902"/>
      <c r="H59" s="902"/>
      <c r="I59" s="902"/>
      <c r="J59" s="902"/>
      <c r="K59" s="902"/>
      <c r="L59" s="905"/>
      <c r="M59" s="905"/>
      <c r="N59" s="843"/>
      <c r="O59" s="905"/>
      <c r="P59" s="843"/>
      <c r="Q59" s="905"/>
      <c r="R59" s="904"/>
      <c r="S59" s="904"/>
      <c r="T59" s="904"/>
      <c r="U59" s="904"/>
      <c r="V59" s="904"/>
      <c r="W59" s="904"/>
      <c r="X59" s="904"/>
      <c r="Y59" s="904"/>
      <c r="Z59" s="843"/>
      <c r="AA59" s="843"/>
      <c r="AB59" s="843"/>
      <c r="AC59" s="843"/>
      <c r="AD59" s="843"/>
      <c r="AE59" s="843"/>
      <c r="AF59" s="843"/>
    </row>
    <row r="60" spans="2:32" s="906" customFormat="1" x14ac:dyDescent="0.2">
      <c r="B60" s="904"/>
      <c r="C60" s="902"/>
      <c r="D60" s="902"/>
      <c r="E60" s="902"/>
      <c r="F60" s="902"/>
      <c r="G60" s="902"/>
      <c r="H60" s="902"/>
      <c r="I60" s="902"/>
      <c r="J60" s="902"/>
      <c r="K60" s="902"/>
      <c r="L60" s="905"/>
      <c r="M60" s="905"/>
      <c r="N60" s="843"/>
      <c r="O60" s="905"/>
      <c r="P60" s="843"/>
      <c r="Q60" s="905"/>
      <c r="R60" s="904"/>
      <c r="S60" s="904"/>
      <c r="T60" s="904"/>
      <c r="U60" s="904"/>
      <c r="V60" s="904"/>
      <c r="W60" s="904"/>
      <c r="X60" s="904"/>
      <c r="Y60" s="904"/>
      <c r="Z60" s="843"/>
      <c r="AA60" s="843"/>
      <c r="AB60" s="843"/>
      <c r="AC60" s="843"/>
      <c r="AD60" s="843"/>
      <c r="AE60" s="843"/>
      <c r="AF60" s="843"/>
    </row>
    <row r="61" spans="2:32" s="906" customFormat="1" x14ac:dyDescent="0.2">
      <c r="B61" s="904"/>
      <c r="C61" s="902"/>
      <c r="D61" s="902"/>
      <c r="E61" s="902"/>
      <c r="F61" s="902"/>
      <c r="G61" s="902"/>
      <c r="H61" s="902"/>
      <c r="I61" s="902"/>
      <c r="J61" s="902"/>
      <c r="K61" s="902"/>
      <c r="L61" s="905"/>
      <c r="M61" s="905"/>
      <c r="N61" s="843"/>
      <c r="O61" s="905"/>
      <c r="P61" s="843"/>
      <c r="Q61" s="905"/>
      <c r="R61" s="904"/>
      <c r="S61" s="904"/>
      <c r="T61" s="904"/>
      <c r="U61" s="904"/>
      <c r="V61" s="904"/>
      <c r="W61" s="904"/>
      <c r="X61" s="904"/>
      <c r="Y61" s="904"/>
      <c r="Z61" s="843"/>
      <c r="AA61" s="843"/>
      <c r="AB61" s="843"/>
      <c r="AC61" s="843"/>
      <c r="AD61" s="843"/>
      <c r="AE61" s="843"/>
      <c r="AF61" s="843"/>
    </row>
    <row r="62" spans="2:32" s="906" customFormat="1" x14ac:dyDescent="0.2">
      <c r="B62" s="904"/>
      <c r="C62" s="902"/>
      <c r="D62" s="902"/>
      <c r="E62" s="902"/>
      <c r="F62" s="902"/>
      <c r="G62" s="902"/>
      <c r="H62" s="902"/>
      <c r="I62" s="902"/>
      <c r="J62" s="902"/>
      <c r="K62" s="902"/>
      <c r="L62" s="905"/>
      <c r="M62" s="905"/>
      <c r="N62" s="843"/>
      <c r="O62" s="905"/>
      <c r="P62" s="843"/>
      <c r="Q62" s="905"/>
      <c r="R62" s="904"/>
      <c r="S62" s="904"/>
      <c r="T62" s="904"/>
      <c r="U62" s="904"/>
      <c r="V62" s="904"/>
      <c r="W62" s="904"/>
      <c r="X62" s="904"/>
      <c r="Y62" s="904"/>
      <c r="Z62" s="843"/>
      <c r="AA62" s="843"/>
      <c r="AB62" s="843"/>
      <c r="AC62" s="843"/>
      <c r="AD62" s="843"/>
      <c r="AE62" s="843"/>
      <c r="AF62" s="843"/>
    </row>
    <row r="63" spans="2:32" s="906" customFormat="1" x14ac:dyDescent="0.2">
      <c r="B63" s="904"/>
      <c r="C63" s="902"/>
      <c r="D63" s="902"/>
      <c r="E63" s="902"/>
      <c r="F63" s="902"/>
      <c r="G63" s="902"/>
      <c r="H63" s="902"/>
      <c r="I63" s="902"/>
      <c r="J63" s="902"/>
      <c r="K63" s="902"/>
      <c r="L63" s="905"/>
      <c r="M63" s="905"/>
      <c r="N63" s="843"/>
      <c r="O63" s="905"/>
      <c r="P63" s="843"/>
      <c r="Q63" s="905"/>
      <c r="R63" s="904"/>
      <c r="S63" s="904"/>
      <c r="T63" s="904"/>
      <c r="U63" s="904"/>
      <c r="V63" s="904"/>
      <c r="W63" s="904"/>
      <c r="X63" s="904"/>
      <c r="Y63" s="904"/>
      <c r="Z63" s="843"/>
      <c r="AA63" s="843"/>
      <c r="AB63" s="843"/>
      <c r="AC63" s="843"/>
      <c r="AD63" s="843"/>
      <c r="AE63" s="843"/>
      <c r="AF63" s="843"/>
    </row>
    <row r="64" spans="2:32" s="906" customFormat="1" x14ac:dyDescent="0.2">
      <c r="B64" s="904"/>
      <c r="C64" s="902"/>
      <c r="D64" s="902"/>
      <c r="E64" s="902"/>
      <c r="F64" s="902"/>
      <c r="G64" s="902"/>
      <c r="H64" s="902"/>
      <c r="I64" s="902"/>
      <c r="J64" s="902"/>
      <c r="K64" s="902"/>
      <c r="L64" s="905"/>
      <c r="M64" s="905"/>
      <c r="N64" s="843"/>
      <c r="O64" s="905"/>
      <c r="P64" s="843"/>
      <c r="Q64" s="905"/>
      <c r="R64" s="904"/>
      <c r="S64" s="904"/>
      <c r="T64" s="904"/>
      <c r="U64" s="904"/>
      <c r="V64" s="904"/>
      <c r="W64" s="904"/>
      <c r="X64" s="904"/>
      <c r="Y64" s="904"/>
      <c r="Z64" s="843"/>
      <c r="AA64" s="843"/>
      <c r="AB64" s="843"/>
      <c r="AC64" s="843"/>
      <c r="AD64" s="843"/>
      <c r="AE64" s="843"/>
      <c r="AF64" s="843"/>
    </row>
    <row r="65" spans="2:36" s="906" customFormat="1" x14ac:dyDescent="0.2">
      <c r="B65" s="904"/>
      <c r="C65" s="902"/>
      <c r="D65" s="902"/>
      <c r="E65" s="902"/>
      <c r="F65" s="902"/>
      <c r="G65" s="902"/>
      <c r="H65" s="902"/>
      <c r="I65" s="902"/>
      <c r="J65" s="902"/>
      <c r="K65" s="902"/>
      <c r="L65" s="905"/>
      <c r="M65" s="905"/>
      <c r="N65" s="843"/>
      <c r="O65" s="905"/>
      <c r="P65" s="843"/>
      <c r="Q65" s="905"/>
      <c r="R65" s="904"/>
      <c r="S65" s="904"/>
      <c r="T65" s="904"/>
      <c r="U65" s="904"/>
      <c r="V65" s="904"/>
      <c r="W65" s="904"/>
      <c r="X65" s="904"/>
      <c r="Y65" s="904"/>
      <c r="Z65" s="843"/>
      <c r="AA65" s="843"/>
      <c r="AB65" s="843"/>
      <c r="AC65" s="843"/>
      <c r="AD65" s="843"/>
      <c r="AE65" s="843"/>
      <c r="AF65" s="843"/>
    </row>
    <row r="66" spans="2:36" s="906" customFormat="1" x14ac:dyDescent="0.2">
      <c r="B66" s="904"/>
      <c r="C66" s="902"/>
      <c r="D66" s="902"/>
      <c r="E66" s="902"/>
      <c r="F66" s="902"/>
      <c r="G66" s="902"/>
      <c r="H66" s="902"/>
      <c r="I66" s="902"/>
      <c r="J66" s="902"/>
      <c r="K66" s="902"/>
      <c r="L66" s="905"/>
      <c r="M66" s="905"/>
      <c r="N66" s="843"/>
      <c r="O66" s="905"/>
      <c r="P66" s="843"/>
      <c r="Q66" s="905"/>
      <c r="R66" s="904"/>
      <c r="S66" s="904"/>
      <c r="T66" s="904"/>
      <c r="U66" s="904"/>
      <c r="V66" s="904"/>
      <c r="W66" s="904"/>
      <c r="X66" s="904"/>
      <c r="Y66" s="904"/>
      <c r="Z66" s="843"/>
      <c r="AA66" s="843"/>
      <c r="AB66" s="843"/>
      <c r="AC66" s="843"/>
      <c r="AD66" s="843"/>
      <c r="AE66" s="843"/>
      <c r="AF66" s="843"/>
    </row>
    <row r="67" spans="2:36" s="906" customFormat="1" x14ac:dyDescent="0.2">
      <c r="B67" s="904"/>
      <c r="C67" s="902"/>
      <c r="D67" s="902"/>
      <c r="E67" s="902"/>
      <c r="F67" s="902"/>
      <c r="G67" s="902"/>
      <c r="H67" s="902"/>
      <c r="I67" s="902"/>
      <c r="J67" s="902"/>
      <c r="K67" s="902"/>
      <c r="L67" s="902"/>
      <c r="M67" s="905"/>
      <c r="N67" s="905"/>
      <c r="O67" s="843"/>
      <c r="P67" s="905"/>
      <c r="Q67" s="843"/>
      <c r="R67" s="905"/>
      <c r="S67" s="904"/>
      <c r="T67" s="904"/>
      <c r="U67" s="904"/>
      <c r="V67" s="904"/>
      <c r="W67" s="904"/>
      <c r="X67" s="904"/>
      <c r="Y67" s="904"/>
      <c r="Z67" s="904"/>
      <c r="AA67" s="843"/>
      <c r="AB67" s="843"/>
      <c r="AC67" s="843"/>
      <c r="AD67" s="843"/>
      <c r="AE67" s="843"/>
      <c r="AF67" s="843"/>
      <c r="AG67" s="843"/>
    </row>
    <row r="68" spans="2:36" s="843" customFormat="1" ht="13.5" thickBot="1" x14ac:dyDescent="0.25">
      <c r="P68" s="860"/>
      <c r="Q68" s="860"/>
      <c r="T68" s="860"/>
      <c r="U68" s="860"/>
      <c r="V68" s="860"/>
      <c r="W68" s="860"/>
      <c r="X68" s="860"/>
      <c r="Y68" s="860"/>
      <c r="Z68" s="860"/>
      <c r="AA68" s="860"/>
      <c r="AB68" s="860"/>
      <c r="AC68" s="860"/>
      <c r="AD68" s="860"/>
      <c r="AE68" s="860"/>
      <c r="AF68" s="860"/>
      <c r="AG68" s="999" t="e">
        <f>'Junio - 2018'!AC101</f>
        <v>#REF!</v>
      </c>
    </row>
    <row r="69" spans="2:36" ht="13.5" thickBot="1" x14ac:dyDescent="0.25">
      <c r="B69" s="907" t="s">
        <v>3</v>
      </c>
      <c r="C69" s="908">
        <f>SUMIF(Tarifas!E4:E303,'Junio - 2019'!C71,Tarifas!D4:D303)</f>
        <v>71</v>
      </c>
      <c r="D69" s="909" t="s">
        <v>147</v>
      </c>
      <c r="E69" s="910"/>
      <c r="F69" s="910" t="s">
        <v>145</v>
      </c>
      <c r="G69" s="910" t="s">
        <v>287</v>
      </c>
      <c r="H69" s="910" t="s">
        <v>148</v>
      </c>
      <c r="I69" s="911"/>
      <c r="J69" s="2320" t="s">
        <v>120</v>
      </c>
      <c r="K69" s="2321"/>
      <c r="L69" s="2321"/>
      <c r="M69" s="2322"/>
      <c r="N69" s="2311" t="s">
        <v>270</v>
      </c>
      <c r="O69" s="2312"/>
      <c r="P69" s="2312"/>
      <c r="Q69" s="2313"/>
      <c r="R69" s="2309" t="s">
        <v>271</v>
      </c>
      <c r="S69" s="2310"/>
      <c r="T69" s="2310"/>
      <c r="U69" s="2310"/>
      <c r="V69" s="2310"/>
      <c r="W69" s="2310"/>
      <c r="X69" s="2310"/>
      <c r="Y69" s="2310"/>
      <c r="Z69" s="2332"/>
      <c r="AA69" s="2362" t="s">
        <v>121</v>
      </c>
      <c r="AB69" s="2363"/>
      <c r="AC69" s="2363"/>
      <c r="AD69" s="2363"/>
      <c r="AE69" s="2363"/>
      <c r="AF69" s="2363"/>
      <c r="AG69" s="2364"/>
      <c r="AH69" s="843"/>
      <c r="AI69" s="843"/>
      <c r="AJ69" s="843"/>
    </row>
    <row r="70" spans="2:36" ht="51.75" thickBot="1" x14ac:dyDescent="0.25">
      <c r="C70" s="914" t="s">
        <v>122</v>
      </c>
      <c r="D70" s="1016" t="s">
        <v>125</v>
      </c>
      <c r="E70" s="1017" t="s">
        <v>277</v>
      </c>
      <c r="F70" s="1017" t="s">
        <v>149</v>
      </c>
      <c r="G70" s="1017" t="s">
        <v>151</v>
      </c>
      <c r="H70" s="1017" t="s">
        <v>152</v>
      </c>
      <c r="I70" s="1018" t="s">
        <v>123</v>
      </c>
      <c r="J70" s="1027" t="s">
        <v>734</v>
      </c>
      <c r="K70" s="1028" t="s">
        <v>109</v>
      </c>
      <c r="L70" s="1028" t="s">
        <v>25</v>
      </c>
      <c r="M70" s="1028" t="s">
        <v>26</v>
      </c>
      <c r="N70" s="1665" t="s">
        <v>738</v>
      </c>
      <c r="O70" s="1666" t="s">
        <v>266</v>
      </c>
      <c r="P70" s="1666" t="s">
        <v>269</v>
      </c>
      <c r="Q70" s="1906" t="s">
        <v>267</v>
      </c>
      <c r="R70" s="1904" t="s">
        <v>395</v>
      </c>
      <c r="S70" s="2021" t="s">
        <v>272</v>
      </c>
      <c r="T70" s="1904" t="s">
        <v>22</v>
      </c>
      <c r="U70" s="1905" t="s">
        <v>272</v>
      </c>
      <c r="V70" s="978" t="s">
        <v>25</v>
      </c>
      <c r="W70" s="978" t="s">
        <v>26</v>
      </c>
      <c r="X70" s="979" t="s">
        <v>272</v>
      </c>
      <c r="Y70" s="980" t="s">
        <v>273</v>
      </c>
      <c r="Z70" s="977" t="s">
        <v>272</v>
      </c>
      <c r="AA70" s="1012" t="s">
        <v>207</v>
      </c>
      <c r="AB70" s="1013"/>
      <c r="AC70" s="1013" t="s">
        <v>112</v>
      </c>
      <c r="AD70" s="1014" t="s">
        <v>118</v>
      </c>
      <c r="AE70" s="1014" t="s">
        <v>119</v>
      </c>
      <c r="AF70" s="1014" t="s">
        <v>114</v>
      </c>
      <c r="AG70" s="1015" t="s">
        <v>113</v>
      </c>
      <c r="AH70" s="843"/>
      <c r="AI70" s="843"/>
      <c r="AJ70" s="843"/>
    </row>
    <row r="71" spans="2:36" x14ac:dyDescent="0.2">
      <c r="C71" s="918">
        <v>43617</v>
      </c>
      <c r="D71" s="919">
        <f>($E$22*$H$22)/$G$22</f>
        <v>153350.92387096773</v>
      </c>
      <c r="E71" s="920">
        <f>($F$22*$I$22)/$G$22</f>
        <v>14421.080258064516</v>
      </c>
      <c r="F71" s="921">
        <f t="shared" ref="F71:F100" si="6">O71+P71+Q71</f>
        <v>184709.239375</v>
      </c>
      <c r="G71" s="922">
        <f>TRUNC(IFERROR(K$22/L$22,0),8)</f>
        <v>1.0163853</v>
      </c>
      <c r="H71" s="923">
        <f t="shared" ref="H71:H100" si="7">ROUND(J$22*G71*F71,4)</f>
        <v>187.73580000000001</v>
      </c>
      <c r="I71" s="924">
        <f t="shared" ref="I71:I100" si="8">SUM(D71:H71)</f>
        <v>352669.99568933231</v>
      </c>
      <c r="J71" s="925"/>
      <c r="K71" s="926"/>
      <c r="L71" s="926"/>
      <c r="M71" s="984"/>
      <c r="N71" s="2090">
        <v>16834.151027608201</v>
      </c>
      <c r="O71" s="2091">
        <v>71570.859375</v>
      </c>
      <c r="P71" s="2091">
        <v>113138.38</v>
      </c>
      <c r="Q71" s="2093">
        <v>0</v>
      </c>
      <c r="R71" s="2090"/>
      <c r="S71" s="2092">
        <f>N71-R71</f>
        <v>16834.151027608201</v>
      </c>
      <c r="T71" s="2091">
        <v>71570.86</v>
      </c>
      <c r="U71" s="2092">
        <f t="shared" ref="U71:U100" si="9">O71-T71</f>
        <v>-6.2500000058207661E-4</v>
      </c>
      <c r="V71" s="2044">
        <v>77156.52</v>
      </c>
      <c r="W71" s="2044">
        <v>35981.883000000002</v>
      </c>
      <c r="X71" s="2042">
        <f t="shared" ref="X71:X100" si="10">P71-(V71+W71)</f>
        <v>-2.3000000001047738E-2</v>
      </c>
      <c r="Y71" s="2043">
        <v>0</v>
      </c>
      <c r="Z71" s="2045">
        <f t="shared" ref="Z71:Z100" si="11">Q71-Y71</f>
        <v>0</v>
      </c>
      <c r="AA71" s="929"/>
      <c r="AB71" s="930"/>
      <c r="AC71" s="931">
        <f>AA71+AB71-AD71</f>
        <v>0</v>
      </c>
      <c r="AD71" s="931">
        <f t="shared" ref="AD71:AD100" si="12">K71+L71+M71</f>
        <v>0</v>
      </c>
      <c r="AE71" s="931">
        <f>(X71+Y71+Z71)*1.055056</f>
        <v>-2.4266288001105422E-2</v>
      </c>
      <c r="AF71" s="931">
        <f>AD71-AE71</f>
        <v>2.4266288001105422E-2</v>
      </c>
      <c r="AG71" s="932" t="e">
        <f>AG68+AF71</f>
        <v>#REF!</v>
      </c>
      <c r="AH71" s="843"/>
      <c r="AI71" s="843"/>
      <c r="AJ71" s="843"/>
    </row>
    <row r="72" spans="2:36" x14ac:dyDescent="0.2">
      <c r="C72" s="933">
        <f t="shared" ref="C72:C100" si="13">C71+1</f>
        <v>43618</v>
      </c>
      <c r="D72" s="919">
        <f t="shared" ref="D72:D100" si="14">($E$22*$H$22)/$G$22</f>
        <v>153350.92387096773</v>
      </c>
      <c r="E72" s="920">
        <f t="shared" ref="E72:E100" si="15">($F$22*$I$22)/$G$22</f>
        <v>14421.080258064516</v>
      </c>
      <c r="F72" s="934">
        <f t="shared" si="6"/>
        <v>180679.33156299999</v>
      </c>
      <c r="G72" s="935">
        <f t="shared" ref="G72:G100" si="16">TRUNC(IFERROR(K$22/L$22,0),8)</f>
        <v>1.0163853</v>
      </c>
      <c r="H72" s="923">
        <f t="shared" si="7"/>
        <v>183.63980000000001</v>
      </c>
      <c r="I72" s="924">
        <f t="shared" si="8"/>
        <v>348635.99187733227</v>
      </c>
      <c r="J72" s="925"/>
      <c r="K72" s="926"/>
      <c r="L72" s="926"/>
      <c r="M72" s="984"/>
      <c r="N72" s="2040">
        <v>13634.526026285201</v>
      </c>
      <c r="O72" s="2047">
        <v>71976.101563000004</v>
      </c>
      <c r="P72" s="2047">
        <v>108703.23</v>
      </c>
      <c r="Q72" s="2094">
        <v>0</v>
      </c>
      <c r="R72" s="2046"/>
      <c r="S72" s="2045">
        <f t="shared" ref="S72:S100" si="17">N72-R72</f>
        <v>13634.526026285201</v>
      </c>
      <c r="T72" s="2047">
        <v>71976.100000000006</v>
      </c>
      <c r="U72" s="2045">
        <f t="shared" si="9"/>
        <v>1.5629999979864806E-3</v>
      </c>
      <c r="V72" s="2050">
        <v>71046.775999999998</v>
      </c>
      <c r="W72" s="2050">
        <v>37656.449999999997</v>
      </c>
      <c r="X72" s="2042">
        <f t="shared" si="10"/>
        <v>4.0000000008149073E-3</v>
      </c>
      <c r="Y72" s="2049">
        <v>0</v>
      </c>
      <c r="Z72" s="2051">
        <f t="shared" si="11"/>
        <v>0</v>
      </c>
      <c r="AA72" s="929"/>
      <c r="AB72" s="930"/>
      <c r="AC72" s="931">
        <f t="shared" ref="AC72:AC100" si="18">AA72+AB72-AD72</f>
        <v>0</v>
      </c>
      <c r="AD72" s="931">
        <f t="shared" si="12"/>
        <v>0</v>
      </c>
      <c r="AE72" s="931">
        <f t="shared" ref="AE72:AE100" si="19">(X72+Y72+Z72)*1.055056</f>
        <v>4.220224000859773E-3</v>
      </c>
      <c r="AF72" s="931">
        <f t="shared" ref="AF72:AF100" si="20">AD72-AE72</f>
        <v>-4.220224000859773E-3</v>
      </c>
      <c r="AG72" s="932" t="e">
        <f>AG71+AF72</f>
        <v>#REF!</v>
      </c>
      <c r="AH72" s="843"/>
      <c r="AI72" s="843"/>
      <c r="AJ72" s="843"/>
    </row>
    <row r="73" spans="2:36" x14ac:dyDescent="0.2">
      <c r="C73" s="933">
        <f t="shared" si="13"/>
        <v>43619</v>
      </c>
      <c r="D73" s="919">
        <f t="shared" si="14"/>
        <v>153350.92387096773</v>
      </c>
      <c r="E73" s="920">
        <f t="shared" si="15"/>
        <v>14421.080258064516</v>
      </c>
      <c r="F73" s="934">
        <f t="shared" si="6"/>
        <v>180403.064063</v>
      </c>
      <c r="G73" s="935">
        <f t="shared" si="16"/>
        <v>1.0163853</v>
      </c>
      <c r="H73" s="923">
        <f t="shared" si="7"/>
        <v>183.35900000000001</v>
      </c>
      <c r="I73" s="924">
        <f t="shared" si="8"/>
        <v>348359.44357733231</v>
      </c>
      <c r="J73" s="925"/>
      <c r="K73" s="926"/>
      <c r="L73" s="926"/>
      <c r="M73" s="984"/>
      <c r="N73" s="2040">
        <v>19846.869433677301</v>
      </c>
      <c r="O73" s="2041">
        <v>71824.914063000004</v>
      </c>
      <c r="P73" s="2041">
        <v>108578.15</v>
      </c>
      <c r="Q73" s="2094">
        <v>0</v>
      </c>
      <c r="R73" s="2040"/>
      <c r="S73" s="2045">
        <f t="shared" si="17"/>
        <v>19846.869433677301</v>
      </c>
      <c r="T73" s="2041">
        <v>71824.91</v>
      </c>
      <c r="U73" s="2045">
        <f t="shared" si="9"/>
        <v>4.063000000314787E-3</v>
      </c>
      <c r="V73" s="2050">
        <v>71055.213000000003</v>
      </c>
      <c r="W73" s="2050">
        <v>37522.955999999998</v>
      </c>
      <c r="X73" s="2042">
        <f t="shared" si="10"/>
        <v>-1.9000000000232831E-2</v>
      </c>
      <c r="Y73" s="2049">
        <v>0</v>
      </c>
      <c r="Z73" s="2051">
        <f t="shared" si="11"/>
        <v>0</v>
      </c>
      <c r="AA73" s="929"/>
      <c r="AB73" s="930"/>
      <c r="AC73" s="931">
        <f t="shared" si="18"/>
        <v>0</v>
      </c>
      <c r="AD73" s="931">
        <f t="shared" si="12"/>
        <v>0</v>
      </c>
      <c r="AE73" s="931">
        <f t="shared" si="19"/>
        <v>-2.004606400024565E-2</v>
      </c>
      <c r="AF73" s="931">
        <f t="shared" si="20"/>
        <v>2.004606400024565E-2</v>
      </c>
      <c r="AG73" s="932" t="e">
        <f t="shared" ref="AG73:AG100" si="21">AG72+AF73</f>
        <v>#REF!</v>
      </c>
      <c r="AH73" s="843"/>
      <c r="AI73" s="843"/>
      <c r="AJ73" s="843"/>
    </row>
    <row r="74" spans="2:36" x14ac:dyDescent="0.2">
      <c r="C74" s="933">
        <f t="shared" si="13"/>
        <v>43620</v>
      </c>
      <c r="D74" s="919">
        <f t="shared" si="14"/>
        <v>153350.92387096773</v>
      </c>
      <c r="E74" s="920">
        <f t="shared" si="15"/>
        <v>14421.080258064516</v>
      </c>
      <c r="F74" s="934">
        <f t="shared" si="6"/>
        <v>180203.68281299999</v>
      </c>
      <c r="G74" s="935">
        <f t="shared" si="16"/>
        <v>1.0163853</v>
      </c>
      <c r="H74" s="923">
        <f t="shared" si="7"/>
        <v>183.15639999999999</v>
      </c>
      <c r="I74" s="924">
        <f t="shared" si="8"/>
        <v>348159.85972733225</v>
      </c>
      <c r="J74" s="925"/>
      <c r="K74" s="926"/>
      <c r="L74" s="926"/>
      <c r="M74" s="984"/>
      <c r="N74" s="2040">
        <v>23285.6506328619</v>
      </c>
      <c r="O74" s="2047">
        <v>71598.382813000004</v>
      </c>
      <c r="P74" s="2047">
        <v>108605.3</v>
      </c>
      <c r="Q74" s="2094">
        <v>0</v>
      </c>
      <c r="R74" s="2046"/>
      <c r="S74" s="2045">
        <f t="shared" si="17"/>
        <v>23285.6506328619</v>
      </c>
      <c r="T74" s="2047">
        <v>71598.383000000002</v>
      </c>
      <c r="U74" s="2045">
        <f t="shared" si="9"/>
        <v>-1.8699999782256782E-4</v>
      </c>
      <c r="V74" s="2050">
        <v>71051.375</v>
      </c>
      <c r="W74" s="2050">
        <v>37553.93</v>
      </c>
      <c r="X74" s="2042">
        <f t="shared" si="10"/>
        <v>-4.9999999901046976E-3</v>
      </c>
      <c r="Y74" s="2049">
        <v>0</v>
      </c>
      <c r="Z74" s="2051">
        <f t="shared" si="11"/>
        <v>0</v>
      </c>
      <c r="AA74" s="929"/>
      <c r="AB74" s="930"/>
      <c r="AC74" s="931">
        <f t="shared" si="18"/>
        <v>0</v>
      </c>
      <c r="AD74" s="931">
        <f t="shared" si="12"/>
        <v>0</v>
      </c>
      <c r="AE74" s="931">
        <f t="shared" si="19"/>
        <v>-5.2752799895599018E-3</v>
      </c>
      <c r="AF74" s="931">
        <f t="shared" si="20"/>
        <v>5.2752799895599018E-3</v>
      </c>
      <c r="AG74" s="932" t="e">
        <f t="shared" si="21"/>
        <v>#REF!</v>
      </c>
      <c r="AH74" s="843"/>
      <c r="AI74" s="843"/>
      <c r="AJ74" s="843"/>
    </row>
    <row r="75" spans="2:36" x14ac:dyDescent="0.2">
      <c r="C75" s="933">
        <f t="shared" si="13"/>
        <v>43621</v>
      </c>
      <c r="D75" s="919">
        <f t="shared" si="14"/>
        <v>153350.92387096773</v>
      </c>
      <c r="E75" s="920">
        <f t="shared" si="15"/>
        <v>14421.080258064516</v>
      </c>
      <c r="F75" s="934">
        <f t="shared" si="6"/>
        <v>180126.47468799999</v>
      </c>
      <c r="G75" s="935">
        <f t="shared" si="16"/>
        <v>1.0163853</v>
      </c>
      <c r="H75" s="923">
        <f t="shared" si="7"/>
        <v>183.0779</v>
      </c>
      <c r="I75" s="924">
        <f t="shared" si="8"/>
        <v>348082.57310233224</v>
      </c>
      <c r="J75" s="925"/>
      <c r="K75" s="926"/>
      <c r="L75" s="926"/>
      <c r="M75" s="984"/>
      <c r="N75" s="2040">
        <v>23417.024618062402</v>
      </c>
      <c r="O75" s="2041">
        <v>71807.054688000004</v>
      </c>
      <c r="P75" s="2041">
        <v>108319.42</v>
      </c>
      <c r="Q75" s="2094">
        <v>0</v>
      </c>
      <c r="R75" s="2040"/>
      <c r="S75" s="2045">
        <f t="shared" si="17"/>
        <v>23417.024618062402</v>
      </c>
      <c r="T75" s="2041">
        <v>71807.054000000004</v>
      </c>
      <c r="U75" s="2045">
        <f t="shared" si="9"/>
        <v>6.8800000008195639E-4</v>
      </c>
      <c r="V75" s="2050">
        <v>70845.710999999996</v>
      </c>
      <c r="W75" s="2050">
        <v>37473.72</v>
      </c>
      <c r="X75" s="2042">
        <f t="shared" si="10"/>
        <v>-1.0999999998603016E-2</v>
      </c>
      <c r="Y75" s="2049">
        <v>0</v>
      </c>
      <c r="Z75" s="2051">
        <f t="shared" si="11"/>
        <v>0</v>
      </c>
      <c r="AA75" s="929"/>
      <c r="AB75" s="930"/>
      <c r="AC75" s="931">
        <f t="shared" si="18"/>
        <v>0</v>
      </c>
      <c r="AD75" s="931">
        <f t="shared" si="12"/>
        <v>0</v>
      </c>
      <c r="AE75" s="931">
        <f t="shared" si="19"/>
        <v>-1.1605615998526103E-2</v>
      </c>
      <c r="AF75" s="931">
        <f t="shared" si="20"/>
        <v>1.1605615998526103E-2</v>
      </c>
      <c r="AG75" s="932" t="e">
        <f t="shared" si="21"/>
        <v>#REF!</v>
      </c>
      <c r="AH75" s="843"/>
      <c r="AI75" s="843"/>
      <c r="AJ75" s="843"/>
    </row>
    <row r="76" spans="2:36" x14ac:dyDescent="0.2">
      <c r="C76" s="933">
        <f t="shared" si="13"/>
        <v>43622</v>
      </c>
      <c r="D76" s="919">
        <f t="shared" si="14"/>
        <v>153350.92387096773</v>
      </c>
      <c r="E76" s="920">
        <f t="shared" si="15"/>
        <v>14421.080258064516</v>
      </c>
      <c r="F76" s="934">
        <f t="shared" si="6"/>
        <v>179816.509063</v>
      </c>
      <c r="G76" s="935">
        <f t="shared" si="16"/>
        <v>1.0163853</v>
      </c>
      <c r="H76" s="923">
        <f t="shared" si="7"/>
        <v>182.7629</v>
      </c>
      <c r="I76" s="924">
        <f t="shared" si="8"/>
        <v>347772.29247733223</v>
      </c>
      <c r="J76" s="925"/>
      <c r="K76" s="926"/>
      <c r="L76" s="926"/>
      <c r="M76" s="984"/>
      <c r="N76" s="2040">
        <v>23442.815190428297</v>
      </c>
      <c r="O76" s="2047">
        <v>71494.789063000004</v>
      </c>
      <c r="P76" s="2047">
        <v>108321.72</v>
      </c>
      <c r="Q76" s="2094">
        <v>0</v>
      </c>
      <c r="R76" s="2046"/>
      <c r="S76" s="2045">
        <f t="shared" si="17"/>
        <v>23442.815190428297</v>
      </c>
      <c r="T76" s="2047">
        <v>71494.789000000004</v>
      </c>
      <c r="U76" s="2045">
        <f t="shared" si="9"/>
        <v>6.2999999499879777E-5</v>
      </c>
      <c r="V76" s="2050">
        <v>70834.313999999998</v>
      </c>
      <c r="W76" s="2050">
        <v>37487.398999999998</v>
      </c>
      <c r="X76" s="2042">
        <f t="shared" si="10"/>
        <v>7.0000000123400241E-3</v>
      </c>
      <c r="Y76" s="2049">
        <v>0</v>
      </c>
      <c r="Z76" s="2051">
        <f t="shared" si="11"/>
        <v>0</v>
      </c>
      <c r="AA76" s="929"/>
      <c r="AB76" s="930"/>
      <c r="AC76" s="931">
        <f t="shared" si="18"/>
        <v>0</v>
      </c>
      <c r="AD76" s="931">
        <f t="shared" si="12"/>
        <v>0</v>
      </c>
      <c r="AE76" s="931">
        <f t="shared" si="19"/>
        <v>7.3853920130194164E-3</v>
      </c>
      <c r="AF76" s="931">
        <f t="shared" si="20"/>
        <v>-7.3853920130194164E-3</v>
      </c>
      <c r="AG76" s="932" t="e">
        <f t="shared" si="21"/>
        <v>#REF!</v>
      </c>
      <c r="AH76" s="843"/>
      <c r="AI76" s="843"/>
      <c r="AJ76" s="843"/>
    </row>
    <row r="77" spans="2:36" x14ac:dyDescent="0.2">
      <c r="C77" s="933">
        <f t="shared" si="13"/>
        <v>43623</v>
      </c>
      <c r="D77" s="919">
        <f t="shared" si="14"/>
        <v>153350.92387096773</v>
      </c>
      <c r="E77" s="920">
        <f t="shared" si="15"/>
        <v>14421.080258064516</v>
      </c>
      <c r="F77" s="934">
        <f t="shared" si="6"/>
        <v>180994.55562499998</v>
      </c>
      <c r="G77" s="935">
        <f t="shared" si="16"/>
        <v>1.0163853</v>
      </c>
      <c r="H77" s="923">
        <f t="shared" si="7"/>
        <v>183.96019999999999</v>
      </c>
      <c r="I77" s="924">
        <f t="shared" si="8"/>
        <v>348951.53633933223</v>
      </c>
      <c r="J77" s="925"/>
      <c r="K77" s="926"/>
      <c r="L77" s="926"/>
      <c r="M77" s="984"/>
      <c r="N77" s="2040">
        <v>23423.460199968296</v>
      </c>
      <c r="O77" s="2041">
        <v>72488.015625</v>
      </c>
      <c r="P77" s="2041">
        <v>108506.54</v>
      </c>
      <c r="Q77" s="2094">
        <v>0</v>
      </c>
      <c r="R77" s="2040"/>
      <c r="S77" s="2045">
        <f t="shared" si="17"/>
        <v>23423.460199968296</v>
      </c>
      <c r="T77" s="2041">
        <v>72488.016000000003</v>
      </c>
      <c r="U77" s="2045">
        <f t="shared" si="9"/>
        <v>-3.7500000325962901E-4</v>
      </c>
      <c r="V77" s="2050">
        <v>71019.456999999995</v>
      </c>
      <c r="W77" s="2050">
        <v>37487.11</v>
      </c>
      <c r="X77" s="2042">
        <f t="shared" si="10"/>
        <v>-2.7000000001862645E-2</v>
      </c>
      <c r="Y77" s="2049">
        <v>0</v>
      </c>
      <c r="Z77" s="2051">
        <f t="shared" si="11"/>
        <v>0</v>
      </c>
      <c r="AA77" s="929"/>
      <c r="AB77" s="930"/>
      <c r="AC77" s="931">
        <f t="shared" si="18"/>
        <v>0</v>
      </c>
      <c r="AD77" s="931">
        <f t="shared" si="12"/>
        <v>0</v>
      </c>
      <c r="AE77" s="931">
        <f t="shared" si="19"/>
        <v>-2.8486512001965194E-2</v>
      </c>
      <c r="AF77" s="931">
        <f t="shared" si="20"/>
        <v>2.8486512001965194E-2</v>
      </c>
      <c r="AG77" s="932" t="e">
        <f t="shared" si="21"/>
        <v>#REF!</v>
      </c>
      <c r="AH77" s="843"/>
      <c r="AI77" s="843"/>
      <c r="AJ77" s="843"/>
    </row>
    <row r="78" spans="2:36" x14ac:dyDescent="0.2">
      <c r="C78" s="933">
        <f t="shared" si="13"/>
        <v>43624</v>
      </c>
      <c r="D78" s="919">
        <f t="shared" si="14"/>
        <v>153350.92387096773</v>
      </c>
      <c r="E78" s="920">
        <f t="shared" si="15"/>
        <v>14421.080258064516</v>
      </c>
      <c r="F78" s="934">
        <f t="shared" si="6"/>
        <v>180615.52781300002</v>
      </c>
      <c r="G78" s="935">
        <f t="shared" si="16"/>
        <v>1.0163853</v>
      </c>
      <c r="H78" s="923">
        <f t="shared" si="7"/>
        <v>183.57499999999999</v>
      </c>
      <c r="I78" s="924">
        <f t="shared" si="8"/>
        <v>348572.12332733232</v>
      </c>
      <c r="J78" s="925"/>
      <c r="K78" s="926"/>
      <c r="L78" s="926"/>
      <c r="M78" s="984"/>
      <c r="N78" s="2040">
        <v>22953.628428183998</v>
      </c>
      <c r="O78" s="2047">
        <v>72073.257813000004</v>
      </c>
      <c r="P78" s="2047">
        <v>108542.27</v>
      </c>
      <c r="Q78" s="2094">
        <v>0</v>
      </c>
      <c r="R78" s="2046"/>
      <c r="S78" s="2045">
        <f t="shared" si="17"/>
        <v>22953.628428183998</v>
      </c>
      <c r="T78" s="2047">
        <v>72073.258000000002</v>
      </c>
      <c r="U78" s="2045">
        <f t="shared" si="9"/>
        <v>-1.8699999782256782E-4</v>
      </c>
      <c r="V78" s="2050">
        <v>71028.865999999995</v>
      </c>
      <c r="W78" s="2050">
        <v>37513.4</v>
      </c>
      <c r="X78" s="2042">
        <f t="shared" si="10"/>
        <v>4.0000000008149073E-3</v>
      </c>
      <c r="Y78" s="2049">
        <v>0</v>
      </c>
      <c r="Z78" s="2051">
        <f t="shared" si="11"/>
        <v>0</v>
      </c>
      <c r="AA78" s="929"/>
      <c r="AB78" s="930"/>
      <c r="AC78" s="931">
        <f t="shared" si="18"/>
        <v>0</v>
      </c>
      <c r="AD78" s="931">
        <f t="shared" si="12"/>
        <v>0</v>
      </c>
      <c r="AE78" s="931">
        <f t="shared" si="19"/>
        <v>4.220224000859773E-3</v>
      </c>
      <c r="AF78" s="931">
        <f t="shared" si="20"/>
        <v>-4.220224000859773E-3</v>
      </c>
      <c r="AG78" s="932" t="e">
        <f t="shared" si="21"/>
        <v>#REF!</v>
      </c>
    </row>
    <row r="79" spans="2:36" x14ac:dyDescent="0.2">
      <c r="C79" s="933">
        <f t="shared" si="13"/>
        <v>43625</v>
      </c>
      <c r="D79" s="919">
        <f t="shared" si="14"/>
        <v>153350.92387096773</v>
      </c>
      <c r="E79" s="920">
        <f t="shared" si="15"/>
        <v>14421.080258064516</v>
      </c>
      <c r="F79" s="934">
        <f t="shared" si="6"/>
        <v>181424.99031299999</v>
      </c>
      <c r="G79" s="935">
        <f t="shared" si="16"/>
        <v>1.0163853</v>
      </c>
      <c r="H79" s="923">
        <f t="shared" si="7"/>
        <v>184.39769999999999</v>
      </c>
      <c r="I79" s="924">
        <f t="shared" si="8"/>
        <v>349382.40852733224</v>
      </c>
      <c r="J79" s="925"/>
      <c r="K79" s="926"/>
      <c r="L79" s="926"/>
      <c r="M79" s="984"/>
      <c r="N79" s="2040">
        <v>12658.4002211401</v>
      </c>
      <c r="O79" s="2041">
        <v>71918.320313000004</v>
      </c>
      <c r="P79" s="2041">
        <v>109506.67</v>
      </c>
      <c r="Q79" s="2094">
        <v>0</v>
      </c>
      <c r="R79" s="2040"/>
      <c r="S79" s="2045">
        <f t="shared" si="17"/>
        <v>12658.4002211401</v>
      </c>
      <c r="T79" s="2041">
        <v>71918.3</v>
      </c>
      <c r="U79" s="2045">
        <f t="shared" si="9"/>
        <v>2.0313000000896864E-2</v>
      </c>
      <c r="V79" s="2050">
        <v>72239.739000000001</v>
      </c>
      <c r="W79" s="2050">
        <v>37266.925000000003</v>
      </c>
      <c r="X79" s="2042">
        <f t="shared" si="10"/>
        <v>5.9999999939464033E-3</v>
      </c>
      <c r="Y79" s="2049">
        <v>0</v>
      </c>
      <c r="Z79" s="2051">
        <f t="shared" si="11"/>
        <v>0</v>
      </c>
      <c r="AA79" s="929"/>
      <c r="AB79" s="930"/>
      <c r="AC79" s="931">
        <f t="shared" si="18"/>
        <v>0</v>
      </c>
      <c r="AD79" s="931">
        <f t="shared" si="12"/>
        <v>0</v>
      </c>
      <c r="AE79" s="931">
        <f t="shared" si="19"/>
        <v>6.3303359936131166E-3</v>
      </c>
      <c r="AF79" s="931">
        <f t="shared" si="20"/>
        <v>-6.3303359936131166E-3</v>
      </c>
      <c r="AG79" s="932" t="e">
        <f t="shared" si="21"/>
        <v>#REF!</v>
      </c>
    </row>
    <row r="80" spans="2:36" x14ac:dyDescent="0.2">
      <c r="C80" s="933">
        <f t="shared" si="13"/>
        <v>43626</v>
      </c>
      <c r="D80" s="919">
        <f t="shared" si="14"/>
        <v>153350.92387096773</v>
      </c>
      <c r="E80" s="920">
        <f t="shared" si="15"/>
        <v>14421.080258064516</v>
      </c>
      <c r="F80" s="934">
        <f t="shared" si="6"/>
        <v>187126.17499999999</v>
      </c>
      <c r="G80" s="935">
        <f t="shared" si="16"/>
        <v>1.0163853</v>
      </c>
      <c r="H80" s="923">
        <f t="shared" si="7"/>
        <v>190.19229999999999</v>
      </c>
      <c r="I80" s="924">
        <f t="shared" si="8"/>
        <v>355089.38781433227</v>
      </c>
      <c r="J80" s="925"/>
      <c r="K80" s="926"/>
      <c r="L80" s="926"/>
      <c r="M80" s="984"/>
      <c r="N80" s="2040">
        <v>18174.629972937601</v>
      </c>
      <c r="O80" s="2047">
        <v>71859.875</v>
      </c>
      <c r="P80" s="2047">
        <v>115266.3</v>
      </c>
      <c r="Q80" s="2094">
        <v>0</v>
      </c>
      <c r="R80" s="2046"/>
      <c r="S80" s="2045">
        <f t="shared" si="17"/>
        <v>18174.629972937601</v>
      </c>
      <c r="T80" s="2047">
        <v>71859.899999999994</v>
      </c>
      <c r="U80" s="2045">
        <f t="shared" si="9"/>
        <v>-2.4999999994179234E-2</v>
      </c>
      <c r="V80" s="2050">
        <v>78013.578999999998</v>
      </c>
      <c r="W80" s="2050">
        <v>37252.741999999998</v>
      </c>
      <c r="X80" s="2042">
        <f t="shared" si="10"/>
        <v>-2.0999999993364327E-2</v>
      </c>
      <c r="Y80" s="2049">
        <v>0</v>
      </c>
      <c r="Z80" s="2051">
        <f t="shared" si="11"/>
        <v>0</v>
      </c>
      <c r="AA80" s="929"/>
      <c r="AB80" s="930"/>
      <c r="AC80" s="931">
        <f t="shared" si="18"/>
        <v>0</v>
      </c>
      <c r="AD80" s="931">
        <f t="shared" si="12"/>
        <v>0</v>
      </c>
      <c r="AE80" s="931">
        <f t="shared" si="19"/>
        <v>-2.2156175992998992E-2</v>
      </c>
      <c r="AF80" s="931">
        <f t="shared" si="20"/>
        <v>2.2156175992998992E-2</v>
      </c>
      <c r="AG80" s="932" t="e">
        <f t="shared" si="21"/>
        <v>#REF!</v>
      </c>
    </row>
    <row r="81" spans="3:36" x14ac:dyDescent="0.2">
      <c r="C81" s="933">
        <f t="shared" si="13"/>
        <v>43627</v>
      </c>
      <c r="D81" s="919">
        <f t="shared" si="14"/>
        <v>153350.92387096773</v>
      </c>
      <c r="E81" s="920">
        <f t="shared" si="15"/>
        <v>14421.080258064516</v>
      </c>
      <c r="F81" s="934">
        <f t="shared" si="6"/>
        <v>183997.328438</v>
      </c>
      <c r="G81" s="935">
        <f t="shared" si="16"/>
        <v>1.0163853</v>
      </c>
      <c r="H81" s="923">
        <f t="shared" si="7"/>
        <v>187.01220000000001</v>
      </c>
      <c r="I81" s="924">
        <f t="shared" si="8"/>
        <v>351957.36115233228</v>
      </c>
      <c r="J81" s="925"/>
      <c r="K81" s="926"/>
      <c r="L81" s="926"/>
      <c r="M81" s="984"/>
      <c r="N81" s="2040">
        <v>19704.972992584</v>
      </c>
      <c r="O81" s="2041">
        <v>71640.648438000004</v>
      </c>
      <c r="P81" s="2041">
        <v>112356.68</v>
      </c>
      <c r="Q81" s="2094">
        <v>0</v>
      </c>
      <c r="R81" s="2040"/>
      <c r="S81" s="2045">
        <f t="shared" si="17"/>
        <v>19704.972992584</v>
      </c>
      <c r="T81" s="2041">
        <v>71640.648000000001</v>
      </c>
      <c r="U81" s="2045">
        <f t="shared" si="9"/>
        <v>4.3800000275950879E-4</v>
      </c>
      <c r="V81" s="2050">
        <v>74861.983999999997</v>
      </c>
      <c r="W81" s="2050">
        <v>37494.686000000002</v>
      </c>
      <c r="X81" s="2042">
        <f t="shared" si="10"/>
        <v>9.9999999947613105E-3</v>
      </c>
      <c r="Y81" s="2049">
        <v>0</v>
      </c>
      <c r="Z81" s="2051">
        <f t="shared" si="11"/>
        <v>0</v>
      </c>
      <c r="AA81" s="929"/>
      <c r="AB81" s="930"/>
      <c r="AC81" s="931">
        <f t="shared" si="18"/>
        <v>0</v>
      </c>
      <c r="AD81" s="931">
        <f t="shared" si="12"/>
        <v>0</v>
      </c>
      <c r="AE81" s="931">
        <f t="shared" si="19"/>
        <v>1.0550559994472889E-2</v>
      </c>
      <c r="AF81" s="931">
        <f t="shared" si="20"/>
        <v>-1.0550559994472889E-2</v>
      </c>
      <c r="AG81" s="932" t="e">
        <f t="shared" si="21"/>
        <v>#REF!</v>
      </c>
    </row>
    <row r="82" spans="3:36" x14ac:dyDescent="0.2">
      <c r="C82" s="933">
        <f t="shared" si="13"/>
        <v>43628</v>
      </c>
      <c r="D82" s="919">
        <f t="shared" si="14"/>
        <v>153350.92387096773</v>
      </c>
      <c r="E82" s="920">
        <f t="shared" si="15"/>
        <v>14421.080258064516</v>
      </c>
      <c r="F82" s="934">
        <f t="shared" si="6"/>
        <v>185338.979375</v>
      </c>
      <c r="G82" s="935">
        <f t="shared" si="16"/>
        <v>1.0163853</v>
      </c>
      <c r="H82" s="923">
        <f t="shared" si="7"/>
        <v>188.3758</v>
      </c>
      <c r="I82" s="924">
        <f t="shared" si="8"/>
        <v>353300.37568933226</v>
      </c>
      <c r="J82" s="925"/>
      <c r="K82" s="926"/>
      <c r="L82" s="926"/>
      <c r="M82" s="984"/>
      <c r="N82" s="2040">
        <v>17747.521580062799</v>
      </c>
      <c r="O82" s="2047">
        <v>72011.359375</v>
      </c>
      <c r="P82" s="2047">
        <v>113327.62</v>
      </c>
      <c r="Q82" s="2094">
        <v>0</v>
      </c>
      <c r="R82" s="2046"/>
      <c r="S82" s="2045">
        <f t="shared" si="17"/>
        <v>17747.521580062799</v>
      </c>
      <c r="T82" s="2047">
        <v>72011.360000000001</v>
      </c>
      <c r="U82" s="2045">
        <f t="shared" si="9"/>
        <v>-6.2500000058207661E-4</v>
      </c>
      <c r="V82" s="2050">
        <v>75954.286999999997</v>
      </c>
      <c r="W82" s="2050">
        <v>38136.476000000002</v>
      </c>
      <c r="X82" s="2042">
        <f t="shared" si="10"/>
        <v>-763.14300000001094</v>
      </c>
      <c r="Y82" s="2049">
        <v>0</v>
      </c>
      <c r="Z82" s="2051">
        <f t="shared" si="11"/>
        <v>0</v>
      </c>
      <c r="AA82" s="929"/>
      <c r="AB82" s="930"/>
      <c r="AC82" s="931">
        <f t="shared" si="18"/>
        <v>0</v>
      </c>
      <c r="AD82" s="931">
        <f t="shared" si="12"/>
        <v>0</v>
      </c>
      <c r="AE82" s="931">
        <f t="shared" si="19"/>
        <v>-805.15860100801149</v>
      </c>
      <c r="AF82" s="931">
        <f t="shared" si="20"/>
        <v>805.15860100801149</v>
      </c>
      <c r="AG82" s="932" t="e">
        <f t="shared" si="21"/>
        <v>#REF!</v>
      </c>
    </row>
    <row r="83" spans="3:36" x14ac:dyDescent="0.2">
      <c r="C83" s="933">
        <f t="shared" si="13"/>
        <v>43629</v>
      </c>
      <c r="D83" s="919">
        <f t="shared" si="14"/>
        <v>153350.92387096773</v>
      </c>
      <c r="E83" s="920">
        <f t="shared" si="15"/>
        <v>14421.080258064516</v>
      </c>
      <c r="F83" s="934">
        <f t="shared" si="6"/>
        <v>184919.74</v>
      </c>
      <c r="G83" s="935">
        <f t="shared" si="16"/>
        <v>1.0163853</v>
      </c>
      <c r="H83" s="923">
        <f t="shared" si="7"/>
        <v>187.94970000000001</v>
      </c>
      <c r="I83" s="924">
        <f t="shared" si="8"/>
        <v>352880.71021433227</v>
      </c>
      <c r="J83" s="925"/>
      <c r="K83" s="926"/>
      <c r="L83" s="926"/>
      <c r="M83" s="984"/>
      <c r="N83" s="2040">
        <v>22258.020224000004</v>
      </c>
      <c r="O83" s="2041">
        <v>73087.75</v>
      </c>
      <c r="P83" s="2041">
        <v>111831.99</v>
      </c>
      <c r="Q83" s="2094">
        <v>0</v>
      </c>
      <c r="R83" s="2040"/>
      <c r="S83" s="2045">
        <f t="shared" si="17"/>
        <v>22258.020224000004</v>
      </c>
      <c r="T83" s="2041">
        <v>73087.75</v>
      </c>
      <c r="U83" s="2045">
        <f t="shared" si="9"/>
        <v>0</v>
      </c>
      <c r="V83" s="2050">
        <v>70861.504000000001</v>
      </c>
      <c r="W83" s="2050">
        <v>40970.497000000003</v>
      </c>
      <c r="X83" s="2042">
        <f t="shared" si="10"/>
        <v>-1.0999999998603016E-2</v>
      </c>
      <c r="Y83" s="2049">
        <v>0</v>
      </c>
      <c r="Z83" s="2051">
        <f t="shared" si="11"/>
        <v>0</v>
      </c>
      <c r="AA83" s="929"/>
      <c r="AB83" s="930"/>
      <c r="AC83" s="931">
        <f t="shared" si="18"/>
        <v>0</v>
      </c>
      <c r="AD83" s="931">
        <f t="shared" si="12"/>
        <v>0</v>
      </c>
      <c r="AE83" s="931">
        <f t="shared" si="19"/>
        <v>-1.1605615998526103E-2</v>
      </c>
      <c r="AF83" s="931">
        <f t="shared" si="20"/>
        <v>1.1605615998526103E-2</v>
      </c>
      <c r="AG83" s="932" t="e">
        <f t="shared" si="21"/>
        <v>#REF!</v>
      </c>
    </row>
    <row r="84" spans="3:36" x14ac:dyDescent="0.2">
      <c r="C84" s="933">
        <f t="shared" si="13"/>
        <v>43630</v>
      </c>
      <c r="D84" s="919">
        <f t="shared" si="14"/>
        <v>153350.92387096773</v>
      </c>
      <c r="E84" s="920">
        <f t="shared" si="15"/>
        <v>14421.080258064516</v>
      </c>
      <c r="F84" s="934">
        <f t="shared" si="6"/>
        <v>185394.0275</v>
      </c>
      <c r="G84" s="935">
        <f t="shared" si="16"/>
        <v>1.0163853</v>
      </c>
      <c r="H84" s="923">
        <f t="shared" si="7"/>
        <v>188.43180000000001</v>
      </c>
      <c r="I84" s="924">
        <f t="shared" si="8"/>
        <v>353355.47981433227</v>
      </c>
      <c r="J84" s="925"/>
      <c r="K84" s="926"/>
      <c r="L84" s="926"/>
      <c r="M84" s="984"/>
      <c r="N84" s="2040">
        <v>23389.32149712</v>
      </c>
      <c r="O84" s="2047">
        <v>73107.1875</v>
      </c>
      <c r="P84" s="2047">
        <v>112286.84</v>
      </c>
      <c r="Q84" s="2094">
        <v>0</v>
      </c>
      <c r="R84" s="2046"/>
      <c r="S84" s="2045">
        <f t="shared" si="17"/>
        <v>23389.32149712</v>
      </c>
      <c r="T84" s="2047">
        <v>73107.187999999995</v>
      </c>
      <c r="U84" s="2045">
        <f t="shared" si="9"/>
        <v>-4.999999946448952E-4</v>
      </c>
      <c r="V84" s="2050">
        <v>74488.214000000007</v>
      </c>
      <c r="W84" s="2050">
        <v>38580.525999999998</v>
      </c>
      <c r="X84" s="2042">
        <f t="shared" si="10"/>
        <v>-781.90000000000873</v>
      </c>
      <c r="Y84" s="2049">
        <v>0</v>
      </c>
      <c r="Z84" s="2051">
        <f t="shared" si="11"/>
        <v>0</v>
      </c>
      <c r="AA84" s="929"/>
      <c r="AB84" s="930"/>
      <c r="AC84" s="931">
        <f t="shared" si="18"/>
        <v>0</v>
      </c>
      <c r="AD84" s="931">
        <f t="shared" si="12"/>
        <v>0</v>
      </c>
      <c r="AE84" s="931">
        <f t="shared" si="19"/>
        <v>-824.94828640000924</v>
      </c>
      <c r="AF84" s="931">
        <f t="shared" si="20"/>
        <v>824.94828640000924</v>
      </c>
      <c r="AG84" s="932" t="e">
        <f t="shared" si="21"/>
        <v>#REF!</v>
      </c>
    </row>
    <row r="85" spans="3:36" x14ac:dyDescent="0.2">
      <c r="C85" s="933">
        <f t="shared" si="13"/>
        <v>43631</v>
      </c>
      <c r="D85" s="919">
        <f t="shared" si="14"/>
        <v>153350.92387096773</v>
      </c>
      <c r="E85" s="920">
        <f t="shared" si="15"/>
        <v>14421.080258064516</v>
      </c>
      <c r="F85" s="934">
        <f t="shared" si="6"/>
        <v>180681.601563</v>
      </c>
      <c r="G85" s="935">
        <f t="shared" si="16"/>
        <v>1.0163853</v>
      </c>
      <c r="H85" s="923">
        <f t="shared" si="7"/>
        <v>183.6421</v>
      </c>
      <c r="I85" s="924">
        <f t="shared" si="8"/>
        <v>348638.26417733228</v>
      </c>
      <c r="J85" s="925"/>
      <c r="K85" s="926"/>
      <c r="L85" s="926"/>
      <c r="M85" s="984"/>
      <c r="N85" s="2040">
        <v>20283.954416639997</v>
      </c>
      <c r="O85" s="2041">
        <v>72787.601563000004</v>
      </c>
      <c r="P85" s="2041">
        <v>107894</v>
      </c>
      <c r="Q85" s="2094">
        <v>0</v>
      </c>
      <c r="R85" s="2040"/>
      <c r="S85" s="2045">
        <f t="shared" si="17"/>
        <v>20283.954416639997</v>
      </c>
      <c r="T85" s="2041">
        <v>72787.600000000006</v>
      </c>
      <c r="U85" s="2045">
        <f t="shared" si="9"/>
        <v>1.5629999979864806E-3</v>
      </c>
      <c r="V85" s="2050">
        <v>70272.202999999994</v>
      </c>
      <c r="W85" s="2050">
        <v>37621.796999999999</v>
      </c>
      <c r="X85" s="2042">
        <f t="shared" si="10"/>
        <v>0</v>
      </c>
      <c r="Y85" s="2049">
        <v>0</v>
      </c>
      <c r="Z85" s="2051">
        <f t="shared" si="11"/>
        <v>0</v>
      </c>
      <c r="AA85" s="929"/>
      <c r="AB85" s="930"/>
      <c r="AC85" s="931">
        <f t="shared" si="18"/>
        <v>0</v>
      </c>
      <c r="AD85" s="931">
        <f t="shared" si="12"/>
        <v>0</v>
      </c>
      <c r="AE85" s="931">
        <f t="shared" si="19"/>
        <v>0</v>
      </c>
      <c r="AF85" s="931">
        <f t="shared" si="20"/>
        <v>0</v>
      </c>
      <c r="AG85" s="932" t="e">
        <f t="shared" si="21"/>
        <v>#REF!</v>
      </c>
    </row>
    <row r="86" spans="3:36" x14ac:dyDescent="0.2">
      <c r="C86" s="933">
        <f t="shared" si="13"/>
        <v>43632</v>
      </c>
      <c r="D86" s="919">
        <f t="shared" si="14"/>
        <v>153350.92387096773</v>
      </c>
      <c r="E86" s="920">
        <f t="shared" si="15"/>
        <v>14421.080258064516</v>
      </c>
      <c r="F86" s="934">
        <f t="shared" si="6"/>
        <v>179293.11281299999</v>
      </c>
      <c r="G86" s="935">
        <f t="shared" si="16"/>
        <v>1.0163853</v>
      </c>
      <c r="H86" s="923">
        <f t="shared" si="7"/>
        <v>182.23089999999999</v>
      </c>
      <c r="I86" s="924">
        <f t="shared" si="8"/>
        <v>347248.36422733229</v>
      </c>
      <c r="J86" s="925"/>
      <c r="K86" s="926"/>
      <c r="L86" s="926"/>
      <c r="M86" s="984"/>
      <c r="N86" s="2040">
        <v>19917.738643487999</v>
      </c>
      <c r="O86" s="2047">
        <v>73597.132813000004</v>
      </c>
      <c r="P86" s="2047">
        <v>105695.98</v>
      </c>
      <c r="Q86" s="2094">
        <v>0</v>
      </c>
      <c r="R86" s="2046"/>
      <c r="S86" s="2045">
        <f t="shared" si="17"/>
        <v>19917.738643487999</v>
      </c>
      <c r="T86" s="2047">
        <v>73597.13</v>
      </c>
      <c r="U86" s="2045">
        <f t="shared" si="9"/>
        <v>2.8129999991506338E-3</v>
      </c>
      <c r="V86" s="2050">
        <v>69111.035999999993</v>
      </c>
      <c r="W86" s="2050">
        <v>36584.923999999999</v>
      </c>
      <c r="X86" s="2042">
        <f t="shared" si="10"/>
        <v>2.0000000004074536E-2</v>
      </c>
      <c r="Y86" s="2049">
        <v>0</v>
      </c>
      <c r="Z86" s="2051">
        <f t="shared" si="11"/>
        <v>0</v>
      </c>
      <c r="AA86" s="929"/>
      <c r="AB86" s="930"/>
      <c r="AC86" s="931">
        <f t="shared" si="18"/>
        <v>0</v>
      </c>
      <c r="AD86" s="931">
        <f t="shared" si="12"/>
        <v>0</v>
      </c>
      <c r="AE86" s="931">
        <f t="shared" si="19"/>
        <v>2.1101120004298864E-2</v>
      </c>
      <c r="AF86" s="931">
        <f t="shared" si="20"/>
        <v>-2.1101120004298864E-2</v>
      </c>
      <c r="AG86" s="932" t="e">
        <f t="shared" si="21"/>
        <v>#REF!</v>
      </c>
    </row>
    <row r="87" spans="3:36" x14ac:dyDescent="0.2">
      <c r="C87" s="933">
        <f t="shared" si="13"/>
        <v>43633</v>
      </c>
      <c r="D87" s="919">
        <f t="shared" si="14"/>
        <v>153350.92387096773</v>
      </c>
      <c r="E87" s="920">
        <f t="shared" si="15"/>
        <v>14421.080258064516</v>
      </c>
      <c r="F87" s="934">
        <f t="shared" si="6"/>
        <v>180269.09687499999</v>
      </c>
      <c r="G87" s="935">
        <f t="shared" si="16"/>
        <v>1.0163853</v>
      </c>
      <c r="H87" s="923">
        <f t="shared" si="7"/>
        <v>183.22290000000001</v>
      </c>
      <c r="I87" s="924">
        <f t="shared" si="8"/>
        <v>348225.34028933226</v>
      </c>
      <c r="J87" s="925"/>
      <c r="K87" s="926"/>
      <c r="L87" s="926"/>
      <c r="M87" s="984"/>
      <c r="N87" s="2040">
        <v>11615.899145047</v>
      </c>
      <c r="O87" s="2041">
        <v>72140.796875</v>
      </c>
      <c r="P87" s="2041">
        <v>108128.3</v>
      </c>
      <c r="Q87" s="2094">
        <v>0</v>
      </c>
      <c r="R87" s="2040"/>
      <c r="S87" s="2045">
        <f t="shared" si="17"/>
        <v>11615.899145047</v>
      </c>
      <c r="T87" s="2041">
        <v>72140.800000000003</v>
      </c>
      <c r="U87" s="2045">
        <f t="shared" si="9"/>
        <v>-3.125000002910383E-3</v>
      </c>
      <c r="V87" s="2050">
        <v>71245.400999999998</v>
      </c>
      <c r="W87" s="2050">
        <v>36882.906999999999</v>
      </c>
      <c r="X87" s="2042">
        <f t="shared" si="10"/>
        <v>-7.9999999870778993E-3</v>
      </c>
      <c r="Y87" s="2049">
        <v>0</v>
      </c>
      <c r="Z87" s="2051">
        <f t="shared" si="11"/>
        <v>0</v>
      </c>
      <c r="AA87" s="929"/>
      <c r="AB87" s="930"/>
      <c r="AC87" s="931">
        <f t="shared" si="18"/>
        <v>0</v>
      </c>
      <c r="AD87" s="931">
        <f t="shared" si="12"/>
        <v>0</v>
      </c>
      <c r="AE87" s="931">
        <f t="shared" si="19"/>
        <v>-8.4404479863664592E-3</v>
      </c>
      <c r="AF87" s="931">
        <f t="shared" si="20"/>
        <v>8.4404479863664592E-3</v>
      </c>
      <c r="AG87" s="932" t="e">
        <f t="shared" si="21"/>
        <v>#REF!</v>
      </c>
    </row>
    <row r="88" spans="3:36" x14ac:dyDescent="0.2">
      <c r="C88" s="933">
        <f t="shared" si="13"/>
        <v>43634</v>
      </c>
      <c r="D88" s="919">
        <f t="shared" si="14"/>
        <v>153350.92387096773</v>
      </c>
      <c r="E88" s="920">
        <f t="shared" si="15"/>
        <v>14421.080258064516</v>
      </c>
      <c r="F88" s="934">
        <f t="shared" si="6"/>
        <v>145274.96843800001</v>
      </c>
      <c r="G88" s="935">
        <f t="shared" si="16"/>
        <v>1.0163853</v>
      </c>
      <c r="H88" s="923">
        <f t="shared" si="7"/>
        <v>147.65530000000001</v>
      </c>
      <c r="I88" s="924">
        <f t="shared" si="8"/>
        <v>313195.64425233228</v>
      </c>
      <c r="J88" s="925"/>
      <c r="K88" s="926"/>
      <c r="L88" s="926"/>
      <c r="M88" s="984"/>
      <c r="N88" s="2040">
        <v>11761.022781585001</v>
      </c>
      <c r="O88" s="2047">
        <v>63246.398437999997</v>
      </c>
      <c r="P88" s="2047">
        <v>82028.570000000007</v>
      </c>
      <c r="Q88" s="2094">
        <v>0</v>
      </c>
      <c r="R88" s="2046"/>
      <c r="S88" s="2045">
        <f t="shared" si="17"/>
        <v>11761.022781585001</v>
      </c>
      <c r="T88" s="2047">
        <v>63246</v>
      </c>
      <c r="U88" s="2045">
        <f t="shared" si="9"/>
        <v>0.39843799999653129</v>
      </c>
      <c r="V88" s="2050">
        <v>51120.627999999997</v>
      </c>
      <c r="W88" s="2050">
        <v>30907.932000000001</v>
      </c>
      <c r="X88" s="2042">
        <f t="shared" si="10"/>
        <v>1.0000000009313226E-2</v>
      </c>
      <c r="Y88" s="2049">
        <v>0</v>
      </c>
      <c r="Z88" s="2051">
        <f t="shared" si="11"/>
        <v>0</v>
      </c>
      <c r="AA88" s="929"/>
      <c r="AB88" s="930"/>
      <c r="AC88" s="931">
        <f t="shared" si="18"/>
        <v>0</v>
      </c>
      <c r="AD88" s="931">
        <f t="shared" si="12"/>
        <v>0</v>
      </c>
      <c r="AE88" s="931">
        <f t="shared" si="19"/>
        <v>1.0550560009825974E-2</v>
      </c>
      <c r="AF88" s="931">
        <f t="shared" si="20"/>
        <v>-1.0550560009825974E-2</v>
      </c>
      <c r="AG88" s="932" t="e">
        <f t="shared" si="21"/>
        <v>#REF!</v>
      </c>
    </row>
    <row r="89" spans="3:36" x14ac:dyDescent="0.2">
      <c r="C89" s="933">
        <f t="shared" si="13"/>
        <v>43635</v>
      </c>
      <c r="D89" s="919">
        <f t="shared" si="14"/>
        <v>153350.92387096773</v>
      </c>
      <c r="E89" s="920">
        <f t="shared" si="15"/>
        <v>14421.080258064516</v>
      </c>
      <c r="F89" s="934">
        <f t="shared" si="6"/>
        <v>162624.176875</v>
      </c>
      <c r="G89" s="935">
        <f t="shared" si="16"/>
        <v>1.0163853</v>
      </c>
      <c r="H89" s="923">
        <f t="shared" si="7"/>
        <v>165.28880000000001</v>
      </c>
      <c r="I89" s="924">
        <f t="shared" si="8"/>
        <v>330562.48618933227</v>
      </c>
      <c r="J89" s="925"/>
      <c r="K89" s="926"/>
      <c r="L89" s="926"/>
      <c r="M89" s="984"/>
      <c r="N89" s="2040">
        <v>11714.186699567999</v>
      </c>
      <c r="O89" s="2041">
        <v>73158.796875</v>
      </c>
      <c r="P89" s="2041">
        <v>89465.38</v>
      </c>
      <c r="Q89" s="2094">
        <v>0</v>
      </c>
      <c r="R89" s="2040"/>
      <c r="S89" s="2045">
        <f t="shared" si="17"/>
        <v>11714.186699567999</v>
      </c>
      <c r="T89" s="2041">
        <v>73158.8</v>
      </c>
      <c r="U89" s="2045">
        <f t="shared" si="9"/>
        <v>-3.125000002910383E-3</v>
      </c>
      <c r="V89" s="2050">
        <v>55884.571000000004</v>
      </c>
      <c r="W89" s="2050">
        <v>33580.813999999998</v>
      </c>
      <c r="X89" s="2042">
        <f t="shared" si="10"/>
        <v>-5.0000000046566129E-3</v>
      </c>
      <c r="Y89" s="2049">
        <v>0</v>
      </c>
      <c r="Z89" s="2051">
        <f t="shared" si="11"/>
        <v>0</v>
      </c>
      <c r="AA89" s="929"/>
      <c r="AB89" s="930"/>
      <c r="AC89" s="931">
        <f t="shared" si="18"/>
        <v>0</v>
      </c>
      <c r="AD89" s="931">
        <f t="shared" si="12"/>
        <v>0</v>
      </c>
      <c r="AE89" s="931">
        <f t="shared" si="19"/>
        <v>-5.2752800049129869E-3</v>
      </c>
      <c r="AF89" s="931">
        <f t="shared" si="20"/>
        <v>5.2752800049129869E-3</v>
      </c>
      <c r="AG89" s="932" t="e">
        <f t="shared" si="21"/>
        <v>#REF!</v>
      </c>
    </row>
    <row r="90" spans="3:36" x14ac:dyDescent="0.2">
      <c r="C90" s="933">
        <f t="shared" si="13"/>
        <v>43636</v>
      </c>
      <c r="D90" s="919">
        <f t="shared" si="14"/>
        <v>153350.92387096773</v>
      </c>
      <c r="E90" s="920">
        <f t="shared" si="15"/>
        <v>14421.080258064516</v>
      </c>
      <c r="F90" s="934">
        <f t="shared" si="6"/>
        <v>186684.98249999998</v>
      </c>
      <c r="G90" s="935">
        <f t="shared" si="16"/>
        <v>1.0163853</v>
      </c>
      <c r="H90" s="923">
        <f t="shared" si="7"/>
        <v>189.7439</v>
      </c>
      <c r="I90" s="924">
        <f t="shared" si="8"/>
        <v>354647.74691433227</v>
      </c>
      <c r="J90" s="925"/>
      <c r="K90" s="926"/>
      <c r="L90" s="926"/>
      <c r="M90" s="984"/>
      <c r="N90" s="2040">
        <v>11769.747005664</v>
      </c>
      <c r="O90" s="2047">
        <v>72844.8125</v>
      </c>
      <c r="P90" s="2047">
        <v>113840.17</v>
      </c>
      <c r="Q90" s="2094">
        <v>0</v>
      </c>
      <c r="R90" s="2046"/>
      <c r="S90" s="2045">
        <f t="shared" si="17"/>
        <v>11769.747005664</v>
      </c>
      <c r="T90" s="2047">
        <v>72844.800000000003</v>
      </c>
      <c r="U90" s="2045">
        <f t="shared" si="9"/>
        <v>1.2499999997089617E-2</v>
      </c>
      <c r="V90" s="2050">
        <v>76044.05</v>
      </c>
      <c r="W90" s="2050">
        <v>37796.103999999999</v>
      </c>
      <c r="X90" s="2042">
        <f t="shared" si="10"/>
        <v>1.5999999988707714E-2</v>
      </c>
      <c r="Y90" s="2049">
        <v>0</v>
      </c>
      <c r="Z90" s="2051">
        <f t="shared" si="11"/>
        <v>0</v>
      </c>
      <c r="AA90" s="929"/>
      <c r="AB90" s="930"/>
      <c r="AC90" s="931">
        <f t="shared" si="18"/>
        <v>0</v>
      </c>
      <c r="AD90" s="931">
        <f t="shared" si="12"/>
        <v>0</v>
      </c>
      <c r="AE90" s="931">
        <f t="shared" si="19"/>
        <v>1.6880895988086005E-2</v>
      </c>
      <c r="AF90" s="931">
        <f t="shared" si="20"/>
        <v>-1.6880895988086005E-2</v>
      </c>
      <c r="AG90" s="932" t="e">
        <f t="shared" si="21"/>
        <v>#REF!</v>
      </c>
    </row>
    <row r="91" spans="3:36" x14ac:dyDescent="0.2">
      <c r="C91" s="933">
        <f t="shared" si="13"/>
        <v>43637</v>
      </c>
      <c r="D91" s="919">
        <f t="shared" si="14"/>
        <v>153350.92387096773</v>
      </c>
      <c r="E91" s="920">
        <f t="shared" si="15"/>
        <v>14421.080258064516</v>
      </c>
      <c r="F91" s="934">
        <f t="shared" si="6"/>
        <v>185873.83812500001</v>
      </c>
      <c r="G91" s="935">
        <f t="shared" si="16"/>
        <v>1.0163853</v>
      </c>
      <c r="H91" s="923">
        <f t="shared" si="7"/>
        <v>188.9194</v>
      </c>
      <c r="I91" s="924">
        <f t="shared" si="8"/>
        <v>353835.7780393323</v>
      </c>
      <c r="J91" s="925"/>
      <c r="K91" s="926"/>
      <c r="L91" s="926"/>
      <c r="M91" s="984"/>
      <c r="N91" s="2040">
        <v>11766.871056437998</v>
      </c>
      <c r="O91" s="2041">
        <v>72693.078125</v>
      </c>
      <c r="P91" s="2041">
        <v>113180.76</v>
      </c>
      <c r="Q91" s="2094">
        <v>0</v>
      </c>
      <c r="R91" s="2040"/>
      <c r="S91" s="2045">
        <f t="shared" si="17"/>
        <v>11766.871056437998</v>
      </c>
      <c r="T91" s="2041">
        <v>72693.100000000006</v>
      </c>
      <c r="U91" s="2045">
        <f t="shared" si="9"/>
        <v>-2.1875000005820766E-2</v>
      </c>
      <c r="V91" s="2050">
        <v>75415.338000000003</v>
      </c>
      <c r="W91" s="2050">
        <v>37765.436999999998</v>
      </c>
      <c r="X91" s="2042">
        <f t="shared" si="10"/>
        <v>-1.4999999999417923E-2</v>
      </c>
      <c r="Y91" s="2049">
        <v>0</v>
      </c>
      <c r="Z91" s="2051">
        <f t="shared" si="11"/>
        <v>0</v>
      </c>
      <c r="AA91" s="929"/>
      <c r="AB91" s="930"/>
      <c r="AC91" s="931">
        <f t="shared" si="18"/>
        <v>0</v>
      </c>
      <c r="AD91" s="931">
        <f t="shared" si="12"/>
        <v>0</v>
      </c>
      <c r="AE91" s="931">
        <f t="shared" si="19"/>
        <v>-1.5825839999385877E-2</v>
      </c>
      <c r="AF91" s="931">
        <f t="shared" si="20"/>
        <v>1.5825839999385877E-2</v>
      </c>
      <c r="AG91" s="932" t="e">
        <f t="shared" si="21"/>
        <v>#REF!</v>
      </c>
    </row>
    <row r="92" spans="3:36" x14ac:dyDescent="0.2">
      <c r="C92" s="933">
        <f t="shared" si="13"/>
        <v>43638</v>
      </c>
      <c r="D92" s="919">
        <f t="shared" si="14"/>
        <v>153350.92387096773</v>
      </c>
      <c r="E92" s="920">
        <f t="shared" si="15"/>
        <v>14421.080258064516</v>
      </c>
      <c r="F92" s="934">
        <f t="shared" si="6"/>
        <v>186190.88400000002</v>
      </c>
      <c r="G92" s="935">
        <f t="shared" si="16"/>
        <v>1.0163853</v>
      </c>
      <c r="H92" s="923">
        <f t="shared" si="7"/>
        <v>189.24170000000001</v>
      </c>
      <c r="I92" s="924">
        <f t="shared" si="8"/>
        <v>354153.14621433232</v>
      </c>
      <c r="J92" s="925"/>
      <c r="K92" s="926"/>
      <c r="L92" s="926"/>
      <c r="M92" s="984"/>
      <c r="N92" s="2040">
        <v>11785.151535827999</v>
      </c>
      <c r="O92" s="2047">
        <v>72615.054000000004</v>
      </c>
      <c r="P92" s="2047">
        <v>113575.83</v>
      </c>
      <c r="Q92" s="2094">
        <v>0</v>
      </c>
      <c r="R92" s="2046"/>
      <c r="S92" s="2045">
        <f t="shared" si="17"/>
        <v>11785.151535827999</v>
      </c>
      <c r="T92" s="2047">
        <v>72615.05</v>
      </c>
      <c r="U92" s="2045">
        <f t="shared" si="9"/>
        <v>4.0000000008149073E-3</v>
      </c>
      <c r="V92" s="2050">
        <v>75626.697</v>
      </c>
      <c r="W92" s="2050">
        <v>37949.108999999997</v>
      </c>
      <c r="X92" s="2042">
        <f t="shared" si="10"/>
        <v>2.4000000004889444E-2</v>
      </c>
      <c r="Y92" s="2049">
        <v>0</v>
      </c>
      <c r="Z92" s="2051">
        <f t="shared" si="11"/>
        <v>0</v>
      </c>
      <c r="AA92" s="929"/>
      <c r="AB92" s="930"/>
      <c r="AC92" s="931">
        <f t="shared" si="18"/>
        <v>0</v>
      </c>
      <c r="AD92" s="931">
        <f t="shared" si="12"/>
        <v>0</v>
      </c>
      <c r="AE92" s="931">
        <f t="shared" si="19"/>
        <v>2.5321344005158637E-2</v>
      </c>
      <c r="AF92" s="931">
        <f t="shared" si="20"/>
        <v>-2.5321344005158637E-2</v>
      </c>
      <c r="AG92" s="932" t="e">
        <f t="shared" si="21"/>
        <v>#REF!</v>
      </c>
    </row>
    <row r="93" spans="3:36" x14ac:dyDescent="0.2">
      <c r="C93" s="933">
        <f t="shared" si="13"/>
        <v>43639</v>
      </c>
      <c r="D93" s="919">
        <f t="shared" si="14"/>
        <v>153350.92387096773</v>
      </c>
      <c r="E93" s="920">
        <f t="shared" si="15"/>
        <v>14421.080258064516</v>
      </c>
      <c r="F93" s="934">
        <f t="shared" si="6"/>
        <v>185362.66187499999</v>
      </c>
      <c r="G93" s="935">
        <f t="shared" si="16"/>
        <v>1.0163853</v>
      </c>
      <c r="H93" s="923">
        <f t="shared" si="7"/>
        <v>188.3999</v>
      </c>
      <c r="I93" s="924">
        <f t="shared" si="8"/>
        <v>353324.08228933229</v>
      </c>
      <c r="J93" s="925"/>
      <c r="K93" s="926"/>
      <c r="L93" s="926"/>
      <c r="M93" s="984"/>
      <c r="N93" s="2040">
        <v>17196.018096602002</v>
      </c>
      <c r="O93" s="2041">
        <v>71833.171875</v>
      </c>
      <c r="P93" s="2041">
        <v>113529.49</v>
      </c>
      <c r="Q93" s="2094">
        <v>0</v>
      </c>
      <c r="R93" s="2040"/>
      <c r="S93" s="2045">
        <f t="shared" si="17"/>
        <v>17196.018096602002</v>
      </c>
      <c r="T93" s="2041">
        <v>71833.17</v>
      </c>
      <c r="U93" s="2045">
        <f t="shared" si="9"/>
        <v>1.8750000017462298E-3</v>
      </c>
      <c r="V93" s="2050">
        <v>75645.418000000005</v>
      </c>
      <c r="W93" s="2050">
        <v>37884.076000000001</v>
      </c>
      <c r="X93" s="2042">
        <f t="shared" si="10"/>
        <v>-4.0000000008149073E-3</v>
      </c>
      <c r="Y93" s="2049">
        <v>0</v>
      </c>
      <c r="Z93" s="2051">
        <f t="shared" si="11"/>
        <v>0</v>
      </c>
      <c r="AA93" s="929"/>
      <c r="AB93" s="930"/>
      <c r="AC93" s="931">
        <f t="shared" si="18"/>
        <v>0</v>
      </c>
      <c r="AD93" s="931">
        <f t="shared" si="12"/>
        <v>0</v>
      </c>
      <c r="AE93" s="931">
        <f t="shared" si="19"/>
        <v>-4.220224000859773E-3</v>
      </c>
      <c r="AF93" s="931">
        <f t="shared" si="20"/>
        <v>4.220224000859773E-3</v>
      </c>
      <c r="AG93" s="932" t="e">
        <f t="shared" si="21"/>
        <v>#REF!</v>
      </c>
    </row>
    <row r="94" spans="3:36" x14ac:dyDescent="0.2">
      <c r="C94" s="933">
        <f t="shared" si="13"/>
        <v>43640</v>
      </c>
      <c r="D94" s="919">
        <f t="shared" si="14"/>
        <v>153350.92387096773</v>
      </c>
      <c r="E94" s="920">
        <f t="shared" si="15"/>
        <v>14421.080258064516</v>
      </c>
      <c r="F94" s="934">
        <f t="shared" si="6"/>
        <v>176589.03593800002</v>
      </c>
      <c r="G94" s="935">
        <f t="shared" si="16"/>
        <v>1.0163853</v>
      </c>
      <c r="H94" s="923">
        <f t="shared" si="7"/>
        <v>179.48249999999999</v>
      </c>
      <c r="I94" s="924">
        <f t="shared" si="8"/>
        <v>344541.53895233228</v>
      </c>
      <c r="J94" s="925"/>
      <c r="K94" s="926"/>
      <c r="L94" s="926"/>
      <c r="M94" s="984"/>
      <c r="N94" s="2040">
        <v>18661.210839785999</v>
      </c>
      <c r="O94" s="2047">
        <v>71752.835938000004</v>
      </c>
      <c r="P94" s="2047">
        <v>104836.2</v>
      </c>
      <c r="Q94" s="2094">
        <v>0</v>
      </c>
      <c r="R94" s="2046"/>
      <c r="S94" s="2045">
        <f t="shared" si="17"/>
        <v>18661.210839785999</v>
      </c>
      <c r="T94" s="2047">
        <v>71752.84</v>
      </c>
      <c r="U94" s="2045">
        <f t="shared" si="9"/>
        <v>-4.0619999927002937E-3</v>
      </c>
      <c r="V94" s="2050">
        <v>68749.019</v>
      </c>
      <c r="W94" s="2050">
        <v>36087.163</v>
      </c>
      <c r="X94" s="2042">
        <f t="shared" si="10"/>
        <v>1.7999999996391125E-2</v>
      </c>
      <c r="Y94" s="2049">
        <v>0</v>
      </c>
      <c r="Z94" s="2051">
        <f t="shared" si="11"/>
        <v>0</v>
      </c>
      <c r="AA94" s="929"/>
      <c r="AB94" s="930"/>
      <c r="AC94" s="931">
        <f t="shared" si="18"/>
        <v>0</v>
      </c>
      <c r="AD94" s="931">
        <f t="shared" si="12"/>
        <v>0</v>
      </c>
      <c r="AE94" s="931">
        <f t="shared" si="19"/>
        <v>1.8991007996192435E-2</v>
      </c>
      <c r="AF94" s="931">
        <f t="shared" si="20"/>
        <v>-1.8991007996192435E-2</v>
      </c>
      <c r="AG94" s="932" t="e">
        <f t="shared" si="21"/>
        <v>#REF!</v>
      </c>
      <c r="AH94" s="843"/>
      <c r="AI94" s="843"/>
      <c r="AJ94" s="843"/>
    </row>
    <row r="95" spans="3:36" x14ac:dyDescent="0.2">
      <c r="C95" s="933">
        <f t="shared" si="13"/>
        <v>43641</v>
      </c>
      <c r="D95" s="919">
        <f t="shared" si="14"/>
        <v>153350.92387096773</v>
      </c>
      <c r="E95" s="920">
        <f t="shared" si="15"/>
        <v>14421.080258064516</v>
      </c>
      <c r="F95" s="934">
        <f t="shared" si="6"/>
        <v>168621.945313</v>
      </c>
      <c r="G95" s="935">
        <f t="shared" si="16"/>
        <v>1.0163853</v>
      </c>
      <c r="H95" s="923">
        <f t="shared" si="7"/>
        <v>171.38489999999999</v>
      </c>
      <c r="I95" s="924">
        <f t="shared" si="8"/>
        <v>336566.35072733229</v>
      </c>
      <c r="J95" s="925"/>
      <c r="K95" s="926"/>
      <c r="L95" s="926"/>
      <c r="M95" s="984"/>
      <c r="N95" s="2040">
        <v>23600.283056405999</v>
      </c>
      <c r="O95" s="2041">
        <v>71889.195313000004</v>
      </c>
      <c r="P95" s="2041">
        <v>96732.75</v>
      </c>
      <c r="Q95" s="2094">
        <v>0</v>
      </c>
      <c r="R95" s="2040"/>
      <c r="S95" s="2045">
        <f t="shared" si="17"/>
        <v>23600.283056405999</v>
      </c>
      <c r="T95" s="2041">
        <v>71889.2</v>
      </c>
      <c r="U95" s="2045">
        <f t="shared" si="9"/>
        <v>-4.6869999932823703E-3</v>
      </c>
      <c r="V95" s="2050">
        <v>63252.756999999998</v>
      </c>
      <c r="W95" s="2050">
        <v>33479.998</v>
      </c>
      <c r="X95" s="2042">
        <f t="shared" si="10"/>
        <v>-5.0000000046566129E-3</v>
      </c>
      <c r="Y95" s="2049">
        <v>0</v>
      </c>
      <c r="Z95" s="2051">
        <f t="shared" si="11"/>
        <v>0</v>
      </c>
      <c r="AA95" s="929"/>
      <c r="AB95" s="930"/>
      <c r="AC95" s="931">
        <f t="shared" si="18"/>
        <v>0</v>
      </c>
      <c r="AD95" s="931">
        <f t="shared" si="12"/>
        <v>0</v>
      </c>
      <c r="AE95" s="931">
        <f t="shared" si="19"/>
        <v>-5.2752800049129869E-3</v>
      </c>
      <c r="AF95" s="931">
        <f t="shared" si="20"/>
        <v>5.2752800049129869E-3</v>
      </c>
      <c r="AG95" s="932" t="e">
        <f t="shared" si="21"/>
        <v>#REF!</v>
      </c>
      <c r="AH95" s="843"/>
      <c r="AI95" s="843"/>
      <c r="AJ95" s="843"/>
    </row>
    <row r="96" spans="3:36" x14ac:dyDescent="0.2">
      <c r="C96" s="933">
        <f t="shared" si="13"/>
        <v>43642</v>
      </c>
      <c r="D96" s="919">
        <f t="shared" si="14"/>
        <v>153350.92387096773</v>
      </c>
      <c r="E96" s="920">
        <f t="shared" si="15"/>
        <v>14421.080258064516</v>
      </c>
      <c r="F96" s="934">
        <f t="shared" si="6"/>
        <v>185641.894688</v>
      </c>
      <c r="G96" s="935">
        <f t="shared" si="16"/>
        <v>1.0163853</v>
      </c>
      <c r="H96" s="923">
        <f t="shared" si="7"/>
        <v>188.68369999999999</v>
      </c>
      <c r="I96" s="924">
        <f t="shared" si="8"/>
        <v>353603.59890233225</v>
      </c>
      <c r="J96" s="925"/>
      <c r="K96" s="926"/>
      <c r="L96" s="926"/>
      <c r="M96" s="984"/>
      <c r="N96" s="2040">
        <v>23535.592549326</v>
      </c>
      <c r="O96" s="2047">
        <v>72052.304688000004</v>
      </c>
      <c r="P96" s="2047">
        <v>113589.59</v>
      </c>
      <c r="Q96" s="2094">
        <v>0</v>
      </c>
      <c r="R96" s="2046"/>
      <c r="S96" s="2045">
        <f t="shared" si="17"/>
        <v>23535.592549326</v>
      </c>
      <c r="T96" s="2047">
        <v>72052.304999999993</v>
      </c>
      <c r="U96" s="2045">
        <f t="shared" si="9"/>
        <v>-3.1199998920783401E-4</v>
      </c>
      <c r="V96" s="2050">
        <v>75990.126999999993</v>
      </c>
      <c r="W96" s="2050">
        <v>37599.446000000004</v>
      </c>
      <c r="X96" s="2042">
        <f t="shared" si="10"/>
        <v>1.6999999992549419E-2</v>
      </c>
      <c r="Y96" s="2049">
        <v>0</v>
      </c>
      <c r="Z96" s="2051">
        <f t="shared" si="11"/>
        <v>0</v>
      </c>
      <c r="AA96" s="929"/>
      <c r="AB96" s="930"/>
      <c r="AC96" s="931">
        <f t="shared" si="18"/>
        <v>0</v>
      </c>
      <c r="AD96" s="931">
        <f t="shared" si="12"/>
        <v>0</v>
      </c>
      <c r="AE96" s="931">
        <f t="shared" si="19"/>
        <v>1.793595199213922E-2</v>
      </c>
      <c r="AF96" s="931">
        <f t="shared" si="20"/>
        <v>-1.793595199213922E-2</v>
      </c>
      <c r="AG96" s="932" t="e">
        <f t="shared" si="21"/>
        <v>#REF!</v>
      </c>
      <c r="AH96" s="843"/>
      <c r="AI96" s="843"/>
      <c r="AJ96" s="843"/>
    </row>
    <row r="97" spans="2:42" x14ac:dyDescent="0.2">
      <c r="C97" s="933">
        <f t="shared" si="13"/>
        <v>43643</v>
      </c>
      <c r="D97" s="919">
        <f t="shared" si="14"/>
        <v>153350.92387096773</v>
      </c>
      <c r="E97" s="920">
        <f t="shared" si="15"/>
        <v>14421.080258064516</v>
      </c>
      <c r="F97" s="934">
        <f t="shared" si="6"/>
        <v>185617.35062500002</v>
      </c>
      <c r="G97" s="935">
        <f t="shared" si="16"/>
        <v>1.0163853</v>
      </c>
      <c r="H97" s="923">
        <f t="shared" si="7"/>
        <v>188.65870000000001</v>
      </c>
      <c r="I97" s="924">
        <f t="shared" si="8"/>
        <v>353579.02983933233</v>
      </c>
      <c r="J97" s="925"/>
      <c r="K97" s="926"/>
      <c r="L97" s="926"/>
      <c r="M97" s="984"/>
      <c r="N97" s="2040">
        <v>23732.096965437006</v>
      </c>
      <c r="O97" s="2041">
        <v>71955.890625</v>
      </c>
      <c r="P97" s="2041">
        <v>113661.46</v>
      </c>
      <c r="Q97" s="2094">
        <v>0</v>
      </c>
      <c r="R97" s="2040"/>
      <c r="S97" s="2045">
        <f t="shared" si="17"/>
        <v>23732.096965437006</v>
      </c>
      <c r="T97" s="2041">
        <v>71955.891000000003</v>
      </c>
      <c r="U97" s="2045">
        <f t="shared" si="9"/>
        <v>-3.7500000325962901E-4</v>
      </c>
      <c r="V97" s="2050">
        <v>75840.92</v>
      </c>
      <c r="W97" s="2050">
        <v>37820.542000000001</v>
      </c>
      <c r="X97" s="2042">
        <f t="shared" si="10"/>
        <v>-1.999999993131496E-3</v>
      </c>
      <c r="Y97" s="2049">
        <v>0</v>
      </c>
      <c r="Z97" s="2051">
        <f t="shared" si="11"/>
        <v>0</v>
      </c>
      <c r="AA97" s="929"/>
      <c r="AB97" s="930"/>
      <c r="AC97" s="931">
        <f t="shared" si="18"/>
        <v>0</v>
      </c>
      <c r="AD97" s="931">
        <f t="shared" si="12"/>
        <v>0</v>
      </c>
      <c r="AE97" s="931">
        <f t="shared" si="19"/>
        <v>-2.1101119927533435E-3</v>
      </c>
      <c r="AF97" s="931">
        <f t="shared" si="20"/>
        <v>2.1101119927533435E-3</v>
      </c>
      <c r="AG97" s="932" t="e">
        <f t="shared" si="21"/>
        <v>#REF!</v>
      </c>
      <c r="AH97" s="843"/>
      <c r="AI97" s="843"/>
      <c r="AJ97" s="843"/>
    </row>
    <row r="98" spans="2:42" x14ac:dyDescent="0.2">
      <c r="C98" s="933">
        <f t="shared" si="13"/>
        <v>43644</v>
      </c>
      <c r="D98" s="919">
        <f t="shared" si="14"/>
        <v>153350.92387096773</v>
      </c>
      <c r="E98" s="920">
        <f t="shared" si="15"/>
        <v>14421.080258064516</v>
      </c>
      <c r="F98" s="934">
        <f t="shared" si="6"/>
        <v>185217.5025</v>
      </c>
      <c r="G98" s="935">
        <f t="shared" si="16"/>
        <v>1.0163853</v>
      </c>
      <c r="H98" s="923">
        <f t="shared" si="7"/>
        <v>188.25229999999999</v>
      </c>
      <c r="I98" s="924">
        <f t="shared" si="8"/>
        <v>353178.77531433228</v>
      </c>
      <c r="J98" s="925"/>
      <c r="K98" s="926"/>
      <c r="L98" s="926"/>
      <c r="M98" s="984"/>
      <c r="N98" s="2040">
        <v>23735.509418334004</v>
      </c>
      <c r="O98" s="2047">
        <v>71411.8125</v>
      </c>
      <c r="P98" s="2047">
        <v>113805.69</v>
      </c>
      <c r="Q98" s="2094">
        <v>0</v>
      </c>
      <c r="R98" s="2046"/>
      <c r="S98" s="2045">
        <f t="shared" si="17"/>
        <v>23735.509418334004</v>
      </c>
      <c r="T98" s="2047">
        <v>71411.812000000005</v>
      </c>
      <c r="U98" s="2045">
        <f t="shared" si="9"/>
        <v>4.999999946448952E-4</v>
      </c>
      <c r="V98" s="2050">
        <v>75995.994999999995</v>
      </c>
      <c r="W98" s="2050">
        <v>37809.714999999997</v>
      </c>
      <c r="X98" s="2042">
        <f t="shared" si="10"/>
        <v>-1.9999999989522621E-2</v>
      </c>
      <c r="Y98" s="2049">
        <v>0</v>
      </c>
      <c r="Z98" s="2051">
        <f t="shared" si="11"/>
        <v>0</v>
      </c>
      <c r="AA98" s="929"/>
      <c r="AB98" s="930"/>
      <c r="AC98" s="931">
        <f t="shared" si="18"/>
        <v>0</v>
      </c>
      <c r="AD98" s="931">
        <f t="shared" si="12"/>
        <v>0</v>
      </c>
      <c r="AE98" s="931">
        <f t="shared" si="19"/>
        <v>-2.1101119988945777E-2</v>
      </c>
      <c r="AF98" s="931">
        <f t="shared" si="20"/>
        <v>2.1101119988945777E-2</v>
      </c>
      <c r="AG98" s="932" t="e">
        <f t="shared" si="21"/>
        <v>#REF!</v>
      </c>
      <c r="AH98" s="843"/>
      <c r="AI98" s="843"/>
      <c r="AJ98" s="843"/>
    </row>
    <row r="99" spans="2:42" x14ac:dyDescent="0.2">
      <c r="C99" s="933">
        <f t="shared" si="13"/>
        <v>43645</v>
      </c>
      <c r="D99" s="919">
        <f t="shared" si="14"/>
        <v>153350.92387096773</v>
      </c>
      <c r="E99" s="920">
        <f t="shared" si="15"/>
        <v>14421.080258064516</v>
      </c>
      <c r="F99" s="934">
        <f t="shared" si="6"/>
        <v>179627.073125</v>
      </c>
      <c r="G99" s="935">
        <f t="shared" si="16"/>
        <v>1.0163853</v>
      </c>
      <c r="H99" s="923">
        <f t="shared" si="7"/>
        <v>182.5703</v>
      </c>
      <c r="I99" s="924">
        <f t="shared" si="8"/>
        <v>347582.6639393323</v>
      </c>
      <c r="J99" s="925"/>
      <c r="K99" s="926"/>
      <c r="L99" s="926"/>
      <c r="M99" s="926"/>
      <c r="N99" s="2040">
        <v>22644.187516493996</v>
      </c>
      <c r="O99" s="2041">
        <v>71785.453125</v>
      </c>
      <c r="P99" s="2041">
        <v>107841.62</v>
      </c>
      <c r="Q99" s="2094">
        <v>0</v>
      </c>
      <c r="R99" s="2040"/>
      <c r="S99" s="2051">
        <f t="shared" si="17"/>
        <v>22644.187516493996</v>
      </c>
      <c r="T99" s="2041">
        <v>71785.452999999994</v>
      </c>
      <c r="U99" s="2051">
        <f t="shared" si="9"/>
        <v>1.2500000593718141E-4</v>
      </c>
      <c r="V99" s="2050">
        <v>70000.417000000001</v>
      </c>
      <c r="W99" s="2050">
        <v>37841.216999999997</v>
      </c>
      <c r="X99" s="2048">
        <f t="shared" si="10"/>
        <v>-1.3999999995576218E-2</v>
      </c>
      <c r="Y99" s="2049">
        <v>0</v>
      </c>
      <c r="Z99" s="2051">
        <f t="shared" si="11"/>
        <v>0</v>
      </c>
      <c r="AA99" s="929"/>
      <c r="AB99" s="930"/>
      <c r="AC99" s="931">
        <f t="shared" si="18"/>
        <v>0</v>
      </c>
      <c r="AD99" s="931">
        <f t="shared" si="12"/>
        <v>0</v>
      </c>
      <c r="AE99" s="931">
        <f t="shared" si="19"/>
        <v>-1.4770783995332663E-2</v>
      </c>
      <c r="AF99" s="931">
        <f t="shared" si="20"/>
        <v>1.4770783995332663E-2</v>
      </c>
      <c r="AG99" s="932" t="e">
        <f t="shared" si="21"/>
        <v>#REF!</v>
      </c>
      <c r="AH99" s="843"/>
      <c r="AI99" s="843"/>
      <c r="AJ99" s="843"/>
    </row>
    <row r="100" spans="2:42" x14ac:dyDescent="0.2">
      <c r="C100" s="933">
        <f t="shared" si="13"/>
        <v>43646</v>
      </c>
      <c r="D100" s="919">
        <f t="shared" si="14"/>
        <v>153350.92387096773</v>
      </c>
      <c r="E100" s="920">
        <f t="shared" si="15"/>
        <v>14421.080258064516</v>
      </c>
      <c r="F100" s="934">
        <f t="shared" si="6"/>
        <v>184719.344063</v>
      </c>
      <c r="G100" s="935">
        <f t="shared" si="16"/>
        <v>1.0163853</v>
      </c>
      <c r="H100" s="923">
        <f t="shared" si="7"/>
        <v>187.74600000000001</v>
      </c>
      <c r="I100" s="924">
        <f t="shared" si="8"/>
        <v>352680.11057733226</v>
      </c>
      <c r="J100" s="925"/>
      <c r="K100" s="926"/>
      <c r="L100" s="926"/>
      <c r="M100" s="926"/>
      <c r="N100" s="2040">
        <v>23202.809858206998</v>
      </c>
      <c r="O100" s="2041">
        <v>71595.914063000004</v>
      </c>
      <c r="P100" s="2041">
        <v>113123.43</v>
      </c>
      <c r="Q100" s="2094">
        <v>0</v>
      </c>
      <c r="R100" s="2040"/>
      <c r="S100" s="2051">
        <f t="shared" si="17"/>
        <v>23202.809858206998</v>
      </c>
      <c r="T100" s="2041">
        <v>71595.914000000004</v>
      </c>
      <c r="U100" s="2051">
        <f t="shared" si="9"/>
        <v>6.2999999499879777E-5</v>
      </c>
      <c r="V100" s="2050">
        <v>75382.153999999995</v>
      </c>
      <c r="W100" s="2050">
        <v>37741.279999999999</v>
      </c>
      <c r="X100" s="2048">
        <f t="shared" si="10"/>
        <v>-4.0000000008149073E-3</v>
      </c>
      <c r="Y100" s="2049">
        <v>0</v>
      </c>
      <c r="Z100" s="2051">
        <f t="shared" si="11"/>
        <v>0</v>
      </c>
      <c r="AA100" s="929"/>
      <c r="AB100" s="930"/>
      <c r="AC100" s="931">
        <f t="shared" si="18"/>
        <v>0</v>
      </c>
      <c r="AD100" s="931">
        <f t="shared" si="12"/>
        <v>0</v>
      </c>
      <c r="AE100" s="931">
        <f t="shared" si="19"/>
        <v>-4.220224000859773E-3</v>
      </c>
      <c r="AF100" s="931">
        <f t="shared" si="20"/>
        <v>4.220224000859773E-3</v>
      </c>
      <c r="AG100" s="932" t="e">
        <f t="shared" si="21"/>
        <v>#REF!</v>
      </c>
      <c r="AH100" s="843"/>
      <c r="AI100" s="843"/>
      <c r="AJ100" s="843"/>
    </row>
    <row r="101" spans="2:42" ht="13.5" thickBot="1" x14ac:dyDescent="0.25">
      <c r="C101" s="1783"/>
      <c r="D101" s="1784"/>
      <c r="E101" s="1785"/>
      <c r="F101" s="1786"/>
      <c r="G101" s="1787"/>
      <c r="H101" s="1788"/>
      <c r="I101" s="1789"/>
      <c r="J101" s="945"/>
      <c r="K101" s="946"/>
      <c r="L101" s="946"/>
      <c r="M101" s="946"/>
      <c r="N101" s="2052"/>
      <c r="O101" s="2053"/>
      <c r="P101" s="2053"/>
      <c r="Q101" s="2095"/>
      <c r="R101" s="2052"/>
      <c r="S101" s="2057"/>
      <c r="T101" s="2053"/>
      <c r="U101" s="2057"/>
      <c r="V101" s="2056"/>
      <c r="W101" s="2056"/>
      <c r="X101" s="2054"/>
      <c r="Y101" s="2055"/>
      <c r="Z101" s="2057"/>
      <c r="AA101" s="949"/>
      <c r="AB101" s="950"/>
      <c r="AC101" s="951"/>
      <c r="AD101" s="951"/>
      <c r="AE101" s="951"/>
      <c r="AF101" s="951"/>
      <c r="AG101" s="952"/>
      <c r="AH101" s="843"/>
      <c r="AI101" s="843"/>
      <c r="AJ101" s="843"/>
    </row>
    <row r="102" spans="2:42" ht="13.5" thickBot="1" x14ac:dyDescent="0.25">
      <c r="C102" s="953"/>
      <c r="D102" s="954">
        <f>SUM(D71:D101)</f>
        <v>4600527.716129032</v>
      </c>
      <c r="E102" s="954">
        <f>SUM(E71:E101)</f>
        <v>432632.40774193528</v>
      </c>
      <c r="F102" s="955">
        <f>SUM(F71:F101)</f>
        <v>5414039.0949450005</v>
      </c>
      <c r="G102" s="955"/>
      <c r="H102" s="956">
        <f t="shared" ref="H102:I102" si="22">SUM(H71:H101)</f>
        <v>5502.7497999999996</v>
      </c>
      <c r="I102" s="954">
        <f t="shared" si="22"/>
        <v>10452732.460174968</v>
      </c>
      <c r="J102" s="996">
        <f>SUM(J71:J101)</f>
        <v>0</v>
      </c>
      <c r="K102" s="996">
        <f>SUM(K71:K101)</f>
        <v>0</v>
      </c>
      <c r="L102" s="996">
        <f>SUM(L71:L101)</f>
        <v>0</v>
      </c>
      <c r="M102" s="996">
        <f>SUM(M71:M101)</f>
        <v>0</v>
      </c>
      <c r="N102" s="1024">
        <v>567693.27162977005</v>
      </c>
      <c r="O102" s="1024">
        <f>SUM(O71:O101)</f>
        <v>2155818.7649450004</v>
      </c>
      <c r="P102" s="1024">
        <f>SUM(P71:P101)</f>
        <v>3258220.33</v>
      </c>
      <c r="Q102" s="1024">
        <f>SUM(Q71:Q101)</f>
        <v>0</v>
      </c>
      <c r="R102" s="1024">
        <f>SUM(R71:R101)</f>
        <v>0</v>
      </c>
      <c r="S102" s="1024">
        <v>-8.0678999904193915E-2</v>
      </c>
      <c r="T102" s="1024">
        <f t="shared" ref="T102:AA102" si="23">SUM(T71:T101)</f>
        <v>2155818.3810000005</v>
      </c>
      <c r="U102" s="1024">
        <f t="shared" si="23"/>
        <v>0.38394500001595588</v>
      </c>
      <c r="V102" s="1024">
        <f t="shared" si="23"/>
        <v>2146034.2700000005</v>
      </c>
      <c r="W102" s="1024">
        <f t="shared" si="23"/>
        <v>1113731.1610000003</v>
      </c>
      <c r="X102" s="1024">
        <f t="shared" si="23"/>
        <v>-1545.1009999999806</v>
      </c>
      <c r="Y102" s="996">
        <f t="shared" si="23"/>
        <v>0</v>
      </c>
      <c r="Z102" s="996">
        <f t="shared" si="23"/>
        <v>0</v>
      </c>
      <c r="AA102" s="958">
        <f t="shared" si="23"/>
        <v>0</v>
      </c>
      <c r="AB102" s="829"/>
      <c r="AC102" s="959"/>
      <c r="AD102" s="960">
        <f>SUM(AD71:AD101)</f>
        <v>0</v>
      </c>
      <c r="AE102" s="960">
        <f>SUM(AE71:AE101)</f>
        <v>-1630.1680806559802</v>
      </c>
      <c r="AF102" s="960">
        <f>SUM(AF71:AF101)</f>
        <v>1630.1680806559802</v>
      </c>
      <c r="AG102" s="961" t="e">
        <f>#REF!</f>
        <v>#REF!</v>
      </c>
      <c r="AH102" s="843"/>
      <c r="AI102" s="843"/>
      <c r="AJ102" s="843"/>
      <c r="AP102" s="958" t="e">
        <f>#REF!</f>
        <v>#REF!</v>
      </c>
    </row>
    <row r="103" spans="2:42" ht="15" customHeight="1" thickBot="1" x14ac:dyDescent="0.25">
      <c r="B103" s="843"/>
      <c r="C103" s="843"/>
      <c r="D103" s="843"/>
      <c r="E103" s="843"/>
      <c r="F103" s="843"/>
      <c r="G103" s="843"/>
      <c r="H103" s="843"/>
      <c r="I103" s="843"/>
      <c r="J103" s="843"/>
      <c r="K103" s="843"/>
      <c r="L103" s="843"/>
      <c r="N103" s="829"/>
      <c r="O103" s="843"/>
      <c r="V103" s="997">
        <f>V102/(V102+W102)</f>
        <v>0.65834009085177025</v>
      </c>
      <c r="W103" s="998">
        <f>W102/(V102+W102)</f>
        <v>0.34165990914822975</v>
      </c>
      <c r="Z103" s="829"/>
      <c r="AA103" s="829"/>
      <c r="AB103" s="829"/>
      <c r="AC103" s="829"/>
      <c r="AD103" s="829"/>
      <c r="AE103" s="829"/>
      <c r="AF103" s="829"/>
      <c r="AH103" s="843"/>
      <c r="AI103" s="843"/>
      <c r="AJ103" s="843"/>
    </row>
    <row r="104" spans="2:42" ht="13.5" thickBot="1" x14ac:dyDescent="0.25">
      <c r="D104" s="1795" t="s">
        <v>155</v>
      </c>
      <c r="E104" s="1796" t="s">
        <v>156</v>
      </c>
      <c r="F104" s="1797" t="s">
        <v>112</v>
      </c>
      <c r="N104" s="829"/>
      <c r="P104" s="827"/>
      <c r="Z104" s="829"/>
      <c r="AA104" s="829"/>
      <c r="AB104" s="829"/>
      <c r="AG104" s="843"/>
    </row>
    <row r="105" spans="2:42" x14ac:dyDescent="0.2">
      <c r="D105" s="1793"/>
      <c r="E105" s="1779">
        <f>D102</f>
        <v>4600527.716129032</v>
      </c>
      <c r="F105" s="1780">
        <f>D105-E105</f>
        <v>-4600527.716129032</v>
      </c>
      <c r="G105" s="968"/>
      <c r="H105" s="968"/>
      <c r="I105" s="968"/>
      <c r="P105" s="827"/>
      <c r="W105" s="1008">
        <f>1-V103-W103</f>
        <v>0</v>
      </c>
      <c r="Z105" s="829"/>
      <c r="AA105" s="829"/>
      <c r="AB105" s="829"/>
      <c r="AC105" s="829"/>
      <c r="AG105" s="843"/>
    </row>
    <row r="106" spans="2:42" x14ac:dyDescent="0.2">
      <c r="D106" s="1793"/>
      <c r="E106" s="1779">
        <f>E102</f>
        <v>432632.40774193528</v>
      </c>
      <c r="F106" s="1780">
        <f>D106-E106</f>
        <v>-432632.40774193528</v>
      </c>
      <c r="G106" s="968"/>
      <c r="H106" s="968"/>
      <c r="I106" s="968"/>
    </row>
    <row r="107" spans="2:42" ht="13.5" thickBot="1" x14ac:dyDescent="0.25">
      <c r="D107" s="1794"/>
      <c r="E107" s="1781">
        <f>ROUND(H102,2)</f>
        <v>5502.75</v>
      </c>
      <c r="F107" s="1782">
        <f>D107-E107</f>
        <v>-5502.75</v>
      </c>
      <c r="G107" s="968"/>
    </row>
    <row r="108" spans="2:42" x14ac:dyDescent="0.2">
      <c r="D108" s="968"/>
    </row>
  </sheetData>
  <mergeCells count="11">
    <mergeCell ref="C16:E16"/>
    <mergeCell ref="C3:M4"/>
    <mergeCell ref="C5:M5"/>
    <mergeCell ref="C6:M6"/>
    <mergeCell ref="C14:E14"/>
    <mergeCell ref="C15:E15"/>
    <mergeCell ref="J69:M69"/>
    <mergeCell ref="N69:Q69"/>
    <mergeCell ref="R69:Z69"/>
    <mergeCell ref="AA69:AG69"/>
    <mergeCell ref="C17:E17"/>
  </mergeCells>
  <conditionalFormatting sqref="R100">
    <cfRule type="cellIs" dxfId="48" priority="3" stopIfTrue="1" operator="equal">
      <formula>0</formula>
    </cfRule>
  </conditionalFormatting>
  <conditionalFormatting sqref="N71:N101">
    <cfRule type="cellIs" dxfId="47" priority="2" stopIfTrue="1" operator="equal">
      <formula>0</formula>
    </cfRule>
  </conditionalFormatting>
  <conditionalFormatting sqref="R71:R98">
    <cfRule type="cellIs" dxfId="46" priority="1" stopIfTrue="1" operator="equal">
      <formula>0</formula>
    </cfRule>
  </conditionalFormatting>
  <conditionalFormatting sqref="O71:P101">
    <cfRule type="cellIs" dxfId="45" priority="7" stopIfTrue="1" operator="equal">
      <formula>0</formula>
    </cfRule>
  </conditionalFormatting>
  <conditionalFormatting sqref="T71:T99 T101">
    <cfRule type="cellIs" dxfId="44" priority="6" stopIfTrue="1" operator="equal">
      <formula>0</formula>
    </cfRule>
  </conditionalFormatting>
  <conditionalFormatting sqref="T100">
    <cfRule type="cellIs" dxfId="43" priority="5" stopIfTrue="1" operator="equal">
      <formula>0</formula>
    </cfRule>
  </conditionalFormatting>
  <conditionalFormatting sqref="R99 R101">
    <cfRule type="cellIs" dxfId="42" priority="4" stopIfTrue="1" operator="equal">
      <formula>0</formula>
    </cfRule>
  </conditionalFormatting>
  <printOptions horizontalCentered="1"/>
  <pageMargins left="0.59055118110236227" right="0.39370078740157483" top="0" bottom="0" header="0" footer="0.51181102362204722"/>
  <pageSetup scale="42" orientation="landscape" r:id="rId1"/>
  <drawing r:id="rId2"/>
  <legacyDrawing r:id="rId3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2:AP108"/>
  <sheetViews>
    <sheetView topLeftCell="H31" workbookViewId="0">
      <selection activeCell="I42" sqref="I42"/>
    </sheetView>
  </sheetViews>
  <sheetFormatPr baseColWidth="10" defaultColWidth="11" defaultRowHeight="12.75" x14ac:dyDescent="0.2"/>
  <cols>
    <col min="1" max="1" width="11" style="829"/>
    <col min="2" max="2" width="3.875" style="829" bestFit="1" customWidth="1"/>
    <col min="3" max="3" width="16.125" style="829" customWidth="1"/>
    <col min="4" max="4" width="14" style="829" bestFit="1" customWidth="1"/>
    <col min="5" max="5" width="18.375" style="829" bestFit="1" customWidth="1"/>
    <col min="6" max="6" width="17.375" style="829" bestFit="1" customWidth="1"/>
    <col min="7" max="8" width="13.375" style="829" bestFit="1" customWidth="1"/>
    <col min="9" max="9" width="15.125" style="829" customWidth="1"/>
    <col min="10" max="10" width="20.5" style="829" customWidth="1"/>
    <col min="11" max="11" width="12.625" style="829" bestFit="1" customWidth="1"/>
    <col min="12" max="12" width="16" style="829" customWidth="1"/>
    <col min="13" max="13" width="15.125" style="829" bestFit="1" customWidth="1"/>
    <col min="14" max="14" width="16.125" style="827" bestFit="1" customWidth="1"/>
    <col min="15" max="15" width="11.375" style="829" bestFit="1" customWidth="1"/>
    <col min="16" max="16" width="11.125" style="829" bestFit="1" customWidth="1"/>
    <col min="17" max="17" width="12.625" style="829" bestFit="1" customWidth="1"/>
    <col min="18" max="18" width="10.875" style="829" customWidth="1"/>
    <col min="19" max="19" width="11.875" style="829" bestFit="1" customWidth="1"/>
    <col min="20" max="20" width="11.125" style="829" bestFit="1" customWidth="1"/>
    <col min="21" max="21" width="11.625" style="829" bestFit="1" customWidth="1"/>
    <col min="22" max="23" width="11.125" style="829" bestFit="1" customWidth="1"/>
    <col min="24" max="24" width="13.625" style="829" bestFit="1" customWidth="1"/>
    <col min="25" max="25" width="16.125" style="829" bestFit="1" customWidth="1"/>
    <col min="26" max="26" width="11.125" style="843" bestFit="1" customWidth="1"/>
    <col min="27" max="27" width="13" style="843" bestFit="1" customWidth="1"/>
    <col min="28" max="32" width="11" style="843"/>
    <col min="33" max="38" width="11" style="829"/>
    <col min="39" max="39" width="11.125" style="829" bestFit="1" customWidth="1"/>
    <col min="40" max="16384" width="11" style="829"/>
  </cols>
  <sheetData>
    <row r="2" spans="2:35" x14ac:dyDescent="0.2">
      <c r="B2" s="827"/>
      <c r="C2" s="828"/>
      <c r="D2" s="828"/>
      <c r="E2" s="828"/>
      <c r="F2" s="828"/>
      <c r="G2" s="828"/>
      <c r="H2" s="828"/>
      <c r="I2" s="828"/>
      <c r="J2" s="828"/>
      <c r="K2" s="828"/>
      <c r="L2" s="828"/>
      <c r="M2" s="828"/>
      <c r="N2" s="828"/>
      <c r="Z2" s="829"/>
      <c r="AA2" s="829"/>
      <c r="AB2" s="829"/>
      <c r="AC2" s="829"/>
      <c r="AD2" s="829"/>
      <c r="AE2" s="829"/>
      <c r="AF2" s="829"/>
    </row>
    <row r="3" spans="2:35" ht="15" customHeight="1" x14ac:dyDescent="0.2">
      <c r="B3" s="827"/>
      <c r="C3" s="2295"/>
      <c r="D3" s="2295"/>
      <c r="E3" s="2295"/>
      <c r="F3" s="2295"/>
      <c r="G3" s="2295"/>
      <c r="H3" s="2295"/>
      <c r="I3" s="2295"/>
      <c r="J3" s="2295"/>
      <c r="K3" s="2295"/>
      <c r="L3" s="2295"/>
      <c r="M3" s="2295"/>
      <c r="N3" s="828"/>
      <c r="Z3" s="829"/>
      <c r="AA3" s="829"/>
      <c r="AB3" s="829"/>
      <c r="AC3" s="829"/>
      <c r="AD3" s="829"/>
      <c r="AE3" s="829"/>
      <c r="AF3" s="829"/>
    </row>
    <row r="4" spans="2:35" ht="15" customHeight="1" x14ac:dyDescent="0.2">
      <c r="B4" s="827"/>
      <c r="C4" s="2295"/>
      <c r="D4" s="2295"/>
      <c r="E4" s="2295"/>
      <c r="F4" s="2295"/>
      <c r="G4" s="2295"/>
      <c r="H4" s="2295"/>
      <c r="I4" s="2295"/>
      <c r="J4" s="2295"/>
      <c r="K4" s="2295"/>
      <c r="L4" s="2295"/>
      <c r="M4" s="2295"/>
      <c r="N4" s="828"/>
      <c r="Z4" s="829"/>
      <c r="AA4" s="829"/>
      <c r="AB4" s="829"/>
      <c r="AC4" s="829"/>
      <c r="AD4" s="829"/>
      <c r="AE4" s="829"/>
      <c r="AF4" s="829"/>
    </row>
    <row r="5" spans="2:35" x14ac:dyDescent="0.2">
      <c r="B5" s="827"/>
      <c r="C5" s="2296"/>
      <c r="D5" s="2296"/>
      <c r="E5" s="2296"/>
      <c r="F5" s="2296"/>
      <c r="G5" s="2296"/>
      <c r="H5" s="2296"/>
      <c r="I5" s="2296"/>
      <c r="J5" s="2296"/>
      <c r="K5" s="2296"/>
      <c r="L5" s="2296"/>
      <c r="M5" s="2296"/>
      <c r="N5" s="828"/>
      <c r="Z5" s="829"/>
      <c r="AA5" s="829"/>
      <c r="AB5" s="829"/>
      <c r="AC5" s="829"/>
      <c r="AD5" s="829"/>
      <c r="AE5" s="829"/>
      <c r="AF5" s="829"/>
    </row>
    <row r="6" spans="2:35" x14ac:dyDescent="0.2">
      <c r="B6" s="827"/>
      <c r="C6" s="2296"/>
      <c r="D6" s="2296"/>
      <c r="E6" s="2296"/>
      <c r="F6" s="2296"/>
      <c r="G6" s="2296"/>
      <c r="H6" s="2296"/>
      <c r="I6" s="2296"/>
      <c r="J6" s="2296"/>
      <c r="K6" s="2296"/>
      <c r="L6" s="2296"/>
      <c r="M6" s="2296"/>
      <c r="N6" s="828"/>
      <c r="Z6" s="829"/>
      <c r="AA6" s="829"/>
      <c r="AB6" s="829"/>
      <c r="AC6" s="829"/>
      <c r="AD6" s="829"/>
      <c r="AE6" s="829"/>
      <c r="AF6" s="829"/>
    </row>
    <row r="7" spans="2:35" x14ac:dyDescent="0.2">
      <c r="B7" s="827"/>
      <c r="C7" s="830">
        <v>43101</v>
      </c>
      <c r="D7" s="830"/>
      <c r="E7" s="830"/>
      <c r="F7" s="830"/>
      <c r="G7" s="830"/>
      <c r="H7" s="830"/>
      <c r="I7" s="830"/>
      <c r="J7" s="830"/>
      <c r="K7" s="830"/>
      <c r="L7" s="830"/>
      <c r="M7" s="830"/>
      <c r="N7" s="830"/>
      <c r="O7" s="830"/>
      <c r="P7" s="830"/>
      <c r="Q7" s="830"/>
      <c r="R7" s="827"/>
      <c r="S7" s="827"/>
      <c r="T7" s="827"/>
      <c r="U7" s="827"/>
      <c r="V7" s="827"/>
      <c r="W7" s="827"/>
      <c r="X7" s="827"/>
      <c r="Y7" s="827"/>
      <c r="Z7" s="829"/>
      <c r="AA7" s="829"/>
      <c r="AB7" s="829"/>
      <c r="AC7" s="829"/>
      <c r="AD7" s="829"/>
      <c r="AE7" s="829"/>
      <c r="AF7" s="829"/>
    </row>
    <row r="8" spans="2:35" ht="19.5" customHeight="1" x14ac:dyDescent="0.2">
      <c r="B8" s="827"/>
      <c r="C8" s="1740"/>
      <c r="D8" s="1740"/>
      <c r="E8" s="1740"/>
      <c r="F8" s="1740"/>
      <c r="G8" s="1740"/>
      <c r="H8" s="1740"/>
      <c r="I8" s="1740"/>
      <c r="J8" s="1740"/>
      <c r="K8" s="1740"/>
      <c r="L8" s="1740"/>
      <c r="M8" s="828"/>
      <c r="N8" s="828"/>
      <c r="O8" s="827"/>
      <c r="P8" s="827"/>
      <c r="Q8" s="827"/>
      <c r="R8" s="827"/>
      <c r="S8" s="827"/>
      <c r="T8" s="827"/>
      <c r="U8" s="827"/>
      <c r="V8" s="827"/>
      <c r="W8" s="827"/>
      <c r="X8" s="827"/>
      <c r="Y8" s="827"/>
      <c r="Z8" s="829"/>
      <c r="AA8" s="829"/>
      <c r="AB8" s="829"/>
      <c r="AC8" s="829"/>
      <c r="AD8" s="829"/>
      <c r="AE8" s="829"/>
      <c r="AF8" s="829"/>
    </row>
    <row r="9" spans="2:35" ht="19.5" customHeight="1" x14ac:dyDescent="0.2">
      <c r="B9" s="827"/>
      <c r="C9" s="1740"/>
      <c r="D9" s="1740"/>
      <c r="E9" s="1740"/>
      <c r="F9" s="1740"/>
      <c r="G9" s="1740"/>
      <c r="H9" s="1740"/>
      <c r="I9" s="1740"/>
      <c r="J9" s="1740"/>
      <c r="K9" s="1740"/>
      <c r="L9" s="1740"/>
      <c r="M9" s="828"/>
      <c r="N9" s="828"/>
      <c r="O9" s="827"/>
      <c r="P9" s="827"/>
      <c r="Q9" s="827"/>
      <c r="R9" s="827"/>
      <c r="S9" s="827"/>
      <c r="T9" s="827"/>
      <c r="U9" s="827"/>
      <c r="V9" s="827"/>
      <c r="W9" s="827"/>
      <c r="X9" s="827"/>
      <c r="Y9" s="827"/>
      <c r="Z9" s="829"/>
      <c r="AA9" s="829"/>
      <c r="AB9" s="829"/>
      <c r="AC9" s="829"/>
      <c r="AD9" s="829"/>
      <c r="AE9" s="829"/>
      <c r="AF9" s="829"/>
    </row>
    <row r="10" spans="2:35" ht="19.5" customHeight="1" x14ac:dyDescent="0.2">
      <c r="B10" s="827"/>
      <c r="C10" s="1740"/>
      <c r="D10" s="1740"/>
      <c r="E10" s="1740"/>
      <c r="F10" s="1740"/>
      <c r="G10" s="1740"/>
      <c r="H10" s="1740"/>
      <c r="I10" s="1740"/>
      <c r="J10" s="1740"/>
      <c r="K10" s="1740"/>
      <c r="L10" s="1740"/>
      <c r="M10" s="828"/>
      <c r="N10" s="828"/>
      <c r="O10" s="827"/>
      <c r="P10" s="827"/>
      <c r="Q10" s="827"/>
      <c r="R10" s="827"/>
      <c r="S10" s="827"/>
      <c r="T10" s="827"/>
      <c r="U10" s="827"/>
      <c r="V10" s="827"/>
      <c r="W10" s="827"/>
      <c r="X10" s="827"/>
      <c r="Y10" s="827"/>
      <c r="Z10" s="829"/>
      <c r="AA10" s="829"/>
      <c r="AB10" s="829"/>
      <c r="AC10" s="829"/>
      <c r="AD10" s="829"/>
      <c r="AE10" s="829"/>
      <c r="AF10" s="829"/>
    </row>
    <row r="11" spans="2:35" ht="19.5" customHeight="1" x14ac:dyDescent="0.2">
      <c r="B11" s="827"/>
      <c r="C11" s="1740"/>
      <c r="D11" s="1740"/>
      <c r="E11" s="1740"/>
      <c r="F11" s="1740"/>
      <c r="G11" s="1740"/>
      <c r="H11" s="1740"/>
      <c r="I11" s="1740"/>
      <c r="J11" s="1740"/>
      <c r="K11" s="1740"/>
      <c r="L11" s="1740"/>
      <c r="M11" s="828"/>
      <c r="N11" s="828"/>
      <c r="O11" s="827"/>
      <c r="P11" s="827"/>
      <c r="Q11" s="827"/>
      <c r="R11" s="827"/>
      <c r="S11" s="827"/>
      <c r="T11" s="827"/>
      <c r="U11" s="827"/>
      <c r="V11" s="827"/>
      <c r="W11" s="827"/>
      <c r="X11" s="827"/>
      <c r="Y11" s="827"/>
      <c r="Z11" s="829"/>
      <c r="AA11" s="829"/>
      <c r="AB11" s="829"/>
      <c r="AC11" s="829"/>
      <c r="AD11" s="829"/>
      <c r="AE11" s="829"/>
      <c r="AF11" s="829"/>
    </row>
    <row r="12" spans="2:35" ht="19.5" customHeight="1" x14ac:dyDescent="0.2">
      <c r="B12" s="827"/>
      <c r="C12" s="1740"/>
      <c r="D12" s="1740"/>
      <c r="E12" s="1740"/>
      <c r="F12" s="1740"/>
      <c r="G12" s="1740"/>
      <c r="H12" s="1740"/>
      <c r="I12" s="1740"/>
      <c r="J12" s="1740"/>
      <c r="K12" s="1740"/>
      <c r="L12" s="1740"/>
      <c r="M12" s="828"/>
      <c r="N12" s="828"/>
      <c r="O12" s="827"/>
      <c r="P12" s="827"/>
      <c r="Q12" s="827"/>
      <c r="R12" s="827"/>
      <c r="S12" s="827"/>
      <c r="T12" s="827"/>
      <c r="U12" s="827"/>
      <c r="V12" s="827"/>
      <c r="W12" s="827"/>
      <c r="X12" s="827"/>
      <c r="Y12" s="827"/>
      <c r="Z12" s="829"/>
      <c r="AA12" s="829"/>
      <c r="AB12" s="829"/>
      <c r="AC12" s="829"/>
      <c r="AD12" s="829"/>
      <c r="AE12" s="829"/>
      <c r="AF12" s="829"/>
    </row>
    <row r="13" spans="2:35" ht="19.5" customHeight="1" thickBot="1" x14ac:dyDescent="0.25">
      <c r="B13" s="827"/>
      <c r="C13" s="1740"/>
      <c r="D13" s="1740"/>
      <c r="E13" s="1740"/>
      <c r="F13" s="1740"/>
      <c r="G13" s="1740"/>
      <c r="H13" s="1740"/>
      <c r="I13" s="1740"/>
      <c r="J13" s="1740"/>
      <c r="K13" s="1740"/>
      <c r="L13" s="1740"/>
      <c r="M13" s="828"/>
      <c r="N13" s="828"/>
      <c r="O13" s="827"/>
      <c r="P13" s="827"/>
      <c r="Q13" s="827"/>
      <c r="R13" s="827"/>
      <c r="S13" s="827"/>
      <c r="T13" s="827"/>
      <c r="U13" s="827"/>
      <c r="V13" s="827"/>
      <c r="W13" s="827"/>
      <c r="X13" s="827"/>
      <c r="Y13" s="827"/>
      <c r="Z13" s="829"/>
      <c r="AA13" s="829"/>
      <c r="AB13" s="829"/>
      <c r="AC13" s="829"/>
      <c r="AD13" s="829"/>
      <c r="AE13" s="829"/>
      <c r="AF13" s="829"/>
    </row>
    <row r="14" spans="2:35" ht="26.25" thickBot="1" x14ac:dyDescent="0.25">
      <c r="B14" s="827"/>
      <c r="C14" s="2333" t="s">
        <v>6</v>
      </c>
      <c r="D14" s="2334"/>
      <c r="E14" s="2335"/>
      <c r="F14" s="832" t="s">
        <v>227</v>
      </c>
      <c r="G14" s="832" t="s">
        <v>230</v>
      </c>
      <c r="H14" s="832" t="s">
        <v>228</v>
      </c>
      <c r="I14" s="832" t="s">
        <v>229</v>
      </c>
      <c r="J14" s="833" t="s">
        <v>126</v>
      </c>
      <c r="K14" s="833" t="s">
        <v>133</v>
      </c>
      <c r="L14" s="832" t="s">
        <v>127</v>
      </c>
      <c r="M14" s="834" t="s">
        <v>128</v>
      </c>
      <c r="N14" s="828"/>
      <c r="O14" s="827"/>
      <c r="P14" s="827"/>
      <c r="Q14" s="827"/>
      <c r="R14" s="827"/>
      <c r="S14" s="827"/>
      <c r="T14" s="827"/>
      <c r="U14" s="827"/>
      <c r="V14" s="827"/>
      <c r="W14" s="827"/>
      <c r="X14" s="827"/>
      <c r="Y14" s="827"/>
      <c r="Z14" s="829"/>
      <c r="AA14" s="829"/>
      <c r="AB14" s="829"/>
      <c r="AC14" s="829"/>
      <c r="AD14" s="829"/>
      <c r="AE14" s="829"/>
      <c r="AF14" s="829"/>
    </row>
    <row r="15" spans="2:35" ht="13.5" thickBot="1" x14ac:dyDescent="0.25">
      <c r="B15" s="827"/>
      <c r="C15" s="2329" t="s">
        <v>131</v>
      </c>
      <c r="D15" s="2330"/>
      <c r="E15" s="2331"/>
      <c r="F15" s="835"/>
      <c r="G15" s="836" t="s">
        <v>165</v>
      </c>
      <c r="H15" s="835"/>
      <c r="I15" s="837">
        <f>IF(D105=0,E105,D105)</f>
        <v>4753878.6399999997</v>
      </c>
      <c r="J15" s="835">
        <f>I15*0.16</f>
        <v>760620.58239999996</v>
      </c>
      <c r="K15" s="835">
        <f>I15+J15</f>
        <v>5514499.2223999994</v>
      </c>
      <c r="L15" s="838"/>
      <c r="M15" s="1774">
        <v>22</v>
      </c>
      <c r="O15" s="827"/>
      <c r="P15" s="827"/>
      <c r="Q15" s="827"/>
      <c r="R15" s="827"/>
      <c r="S15" s="827"/>
      <c r="T15" s="827"/>
      <c r="U15" s="827"/>
      <c r="V15" s="827"/>
      <c r="W15" s="827"/>
      <c r="X15" s="827"/>
      <c r="Y15" s="827"/>
      <c r="Z15" s="829"/>
      <c r="AA15" s="829"/>
      <c r="AB15" s="829"/>
      <c r="AC15" s="829"/>
      <c r="AD15" s="829"/>
      <c r="AE15" s="829"/>
      <c r="AF15" s="829"/>
    </row>
    <row r="16" spans="2:35" ht="13.5" thickBot="1" x14ac:dyDescent="0.25">
      <c r="B16" s="827"/>
      <c r="C16" s="2329" t="s">
        <v>275</v>
      </c>
      <c r="D16" s="2330"/>
      <c r="E16" s="2331"/>
      <c r="F16" s="840"/>
      <c r="G16" s="840"/>
      <c r="H16" s="840"/>
      <c r="I16" s="837">
        <f>IF(D106=0,E106,D106)</f>
        <v>447053.48799999978</v>
      </c>
      <c r="J16" s="841">
        <f>I16*0.16</f>
        <v>71528.558079999973</v>
      </c>
      <c r="K16" s="841">
        <f>I16+J16</f>
        <v>518582.04607999977</v>
      </c>
      <c r="L16" s="838"/>
      <c r="M16" s="1775">
        <v>22</v>
      </c>
      <c r="O16" s="827"/>
      <c r="P16" s="827"/>
      <c r="Q16" s="827"/>
      <c r="R16" s="827"/>
      <c r="S16" s="827"/>
      <c r="T16" s="827"/>
      <c r="U16" s="827"/>
      <c r="V16" s="827"/>
      <c r="W16" s="827"/>
      <c r="X16" s="827"/>
      <c r="Y16" s="827"/>
      <c r="Z16" s="827"/>
      <c r="AA16" s="827"/>
      <c r="AB16" s="827"/>
      <c r="AG16" s="843"/>
      <c r="AH16" s="843"/>
      <c r="AI16" s="843"/>
    </row>
    <row r="17" spans="2:33" ht="13.5" thickBot="1" x14ac:dyDescent="0.25">
      <c r="B17" s="827"/>
      <c r="C17" s="2326" t="s">
        <v>132</v>
      </c>
      <c r="D17" s="2327"/>
      <c r="E17" s="2328"/>
      <c r="F17" s="844"/>
      <c r="G17" s="845" t="s">
        <v>165</v>
      </c>
      <c r="H17" s="844"/>
      <c r="I17" s="846">
        <f>IF(D107=0,E107,D107)</f>
        <v>5690.5</v>
      </c>
      <c r="J17" s="844">
        <f>I17*0.16</f>
        <v>910.48</v>
      </c>
      <c r="K17" s="844">
        <f>I17+J17</f>
        <v>6600.98</v>
      </c>
      <c r="L17" s="847"/>
      <c r="M17" s="1776">
        <v>22</v>
      </c>
      <c r="O17" s="827"/>
      <c r="P17" s="827"/>
      <c r="Q17" s="827"/>
      <c r="R17" s="827"/>
      <c r="S17" s="827"/>
      <c r="T17" s="827"/>
      <c r="U17" s="827"/>
      <c r="V17" s="827"/>
      <c r="W17" s="827"/>
      <c r="X17" s="827"/>
      <c r="Y17" s="827"/>
      <c r="Z17" s="829"/>
      <c r="AA17" s="829"/>
      <c r="AB17" s="829"/>
      <c r="AC17" s="829"/>
      <c r="AD17" s="829"/>
      <c r="AE17" s="829"/>
      <c r="AF17" s="829"/>
    </row>
    <row r="18" spans="2:33" x14ac:dyDescent="0.2">
      <c r="B18" s="827"/>
      <c r="C18" s="1740"/>
      <c r="D18" s="1740"/>
      <c r="E18" s="1740"/>
      <c r="F18" s="1740"/>
      <c r="G18" s="1740"/>
      <c r="H18" s="827"/>
      <c r="I18" s="827"/>
      <c r="J18" s="827"/>
      <c r="K18" s="827"/>
      <c r="L18" s="827"/>
      <c r="M18" s="827"/>
      <c r="O18" s="827"/>
      <c r="P18" s="827"/>
      <c r="Q18" s="827"/>
      <c r="R18" s="827"/>
      <c r="S18" s="827"/>
      <c r="T18" s="827"/>
      <c r="U18" s="827"/>
      <c r="V18" s="827"/>
      <c r="W18" s="827"/>
      <c r="X18" s="827"/>
      <c r="Y18" s="827"/>
    </row>
    <row r="19" spans="2:33" x14ac:dyDescent="0.2">
      <c r="B19" s="827"/>
      <c r="C19" s="1740"/>
      <c r="D19" s="1740"/>
      <c r="E19" s="1740"/>
      <c r="F19" s="1740"/>
      <c r="G19" s="1740"/>
      <c r="H19" s="827"/>
      <c r="I19" s="827"/>
      <c r="J19" s="827"/>
      <c r="K19" s="827"/>
      <c r="L19" s="827">
        <f>K17*M17</f>
        <v>145221.56</v>
      </c>
      <c r="O19" s="827"/>
      <c r="P19" s="827"/>
      <c r="Q19" s="827"/>
      <c r="R19" s="827"/>
      <c r="S19" s="827"/>
      <c r="T19" s="827"/>
      <c r="U19" s="827"/>
      <c r="V19" s="827"/>
      <c r="W19" s="827"/>
      <c r="X19" s="827"/>
      <c r="Y19" s="827"/>
    </row>
    <row r="20" spans="2:33" ht="13.5" thickBot="1" x14ac:dyDescent="0.25">
      <c r="B20" s="827"/>
      <c r="C20" s="849"/>
      <c r="D20" s="1740"/>
      <c r="E20" s="1740"/>
      <c r="F20" s="1740"/>
      <c r="G20" s="1740"/>
      <c r="H20" s="1740"/>
      <c r="I20" s="1740"/>
      <c r="J20" s="1740"/>
      <c r="K20" s="1740"/>
      <c r="L20" s="1740"/>
      <c r="M20" s="1740"/>
      <c r="N20" s="1740"/>
      <c r="O20" s="1740"/>
      <c r="P20" s="1740"/>
      <c r="Q20" s="1740"/>
      <c r="R20" s="827"/>
      <c r="S20" s="827"/>
      <c r="T20" s="827"/>
      <c r="U20" s="827"/>
      <c r="V20" s="827"/>
      <c r="W20" s="827"/>
      <c r="X20" s="827"/>
      <c r="Y20" s="827"/>
      <c r="Z20" s="827"/>
      <c r="AG20" s="843"/>
    </row>
    <row r="21" spans="2:33" ht="51.75" thickBot="1" x14ac:dyDescent="0.25">
      <c r="B21" s="827"/>
      <c r="C21" s="850" t="s">
        <v>134</v>
      </c>
      <c r="D21" s="832" t="s">
        <v>135</v>
      </c>
      <c r="E21" s="832" t="s">
        <v>285</v>
      </c>
      <c r="F21" s="832" t="s">
        <v>278</v>
      </c>
      <c r="G21" s="832" t="s">
        <v>153</v>
      </c>
      <c r="H21" s="832" t="s">
        <v>279</v>
      </c>
      <c r="I21" s="832" t="s">
        <v>281</v>
      </c>
      <c r="J21" s="832" t="s">
        <v>280</v>
      </c>
      <c r="K21" s="832" t="s">
        <v>245</v>
      </c>
      <c r="L21" s="832" t="s">
        <v>246</v>
      </c>
      <c r="M21" s="832"/>
      <c r="N21" s="834" t="s">
        <v>158</v>
      </c>
      <c r="O21" s="1740"/>
      <c r="P21" s="1740"/>
      <c r="Q21" s="1740"/>
      <c r="R21" s="1740"/>
      <c r="S21" s="1740"/>
      <c r="T21" s="1740"/>
      <c r="U21" s="1740"/>
      <c r="V21" s="827"/>
      <c r="W21" s="827"/>
      <c r="X21" s="827"/>
      <c r="Y21" s="827"/>
      <c r="Z21" s="827"/>
      <c r="AG21" s="843"/>
    </row>
    <row r="22" spans="2:33" ht="13.5" thickBot="1" x14ac:dyDescent="0.25">
      <c r="B22" s="827"/>
      <c r="C22" s="851">
        <v>850</v>
      </c>
      <c r="D22" s="1010">
        <v>850</v>
      </c>
      <c r="E22" s="852">
        <v>31482640</v>
      </c>
      <c r="F22" s="852">
        <v>31482640</v>
      </c>
      <c r="G22" s="852">
        <v>31</v>
      </c>
      <c r="H22" s="1777">
        <f>VLOOKUP(C69,Tarifas!D4:H303,3)</f>
        <v>0.151</v>
      </c>
      <c r="I22" s="2072">
        <v>1.4200000000000001E-2</v>
      </c>
      <c r="J22" s="2072">
        <f>VLOOKUP(C69,Tarifas!D4:H303,5)</f>
        <v>1E-3</v>
      </c>
      <c r="K22" s="2072">
        <v>204.7</v>
      </c>
      <c r="L22" s="2072">
        <v>201.4</v>
      </c>
      <c r="M22" s="1777"/>
      <c r="N22" s="1778">
        <f>F102</f>
        <v>5598758.4390080003</v>
      </c>
      <c r="O22" s="855"/>
      <c r="P22" s="855"/>
      <c r="Q22" s="1740"/>
      <c r="R22" s="1740"/>
      <c r="S22" s="1740"/>
      <c r="T22" s="1740"/>
      <c r="U22" s="1740"/>
      <c r="V22" s="827"/>
      <c r="W22" s="827"/>
      <c r="X22" s="827"/>
      <c r="Y22" s="827"/>
      <c r="Z22" s="827"/>
      <c r="AG22" s="843"/>
    </row>
    <row r="23" spans="2:33" x14ac:dyDescent="0.2">
      <c r="B23" s="827"/>
      <c r="C23" s="1740"/>
      <c r="D23" s="1740"/>
      <c r="E23" s="1740"/>
      <c r="F23" s="1740"/>
      <c r="G23" s="1740"/>
      <c r="H23" s="1740"/>
      <c r="I23" s="1740"/>
      <c r="J23" s="1740"/>
      <c r="K23" s="856"/>
      <c r="L23" s="1740"/>
      <c r="M23" s="1740"/>
      <c r="N23" s="1740"/>
      <c r="O23" s="1740"/>
      <c r="P23" s="1740"/>
      <c r="Q23" s="1740"/>
      <c r="R23" s="1740"/>
      <c r="S23" s="1740"/>
      <c r="T23" s="827"/>
      <c r="U23" s="827"/>
      <c r="V23" s="827"/>
      <c r="W23" s="827"/>
      <c r="X23" s="827"/>
      <c r="Y23" s="827"/>
      <c r="Z23" s="827"/>
      <c r="AG23" s="843"/>
    </row>
    <row r="24" spans="2:33" x14ac:dyDescent="0.2">
      <c r="B24" s="827"/>
      <c r="C24" s="1740"/>
      <c r="D24" s="1740"/>
      <c r="E24" s="1740"/>
      <c r="F24" s="1740"/>
      <c r="G24" s="1740"/>
      <c r="H24" s="1740"/>
      <c r="I24" s="1740"/>
      <c r="J24" s="1740"/>
      <c r="K24" s="1740"/>
      <c r="L24" s="1740"/>
      <c r="M24" s="1740"/>
      <c r="N24" s="1740"/>
      <c r="O24" s="1740"/>
      <c r="P24" s="1740"/>
      <c r="Q24" s="827" t="s">
        <v>405</v>
      </c>
      <c r="R24" s="827"/>
      <c r="S24" s="827"/>
      <c r="T24" s="827"/>
      <c r="U24" s="827"/>
      <c r="V24" s="827"/>
      <c r="W24" s="827"/>
      <c r="X24" s="827"/>
      <c r="Y24" s="827"/>
      <c r="Z24" s="827"/>
      <c r="AG24" s="843"/>
    </row>
    <row r="25" spans="2:33" x14ac:dyDescent="0.2">
      <c r="B25" s="827"/>
      <c r="C25" s="1740"/>
      <c r="D25" s="1740"/>
      <c r="E25" s="1740"/>
      <c r="F25" s="1740"/>
      <c r="G25" s="1740"/>
      <c r="H25" s="1740"/>
      <c r="I25" s="1740"/>
      <c r="J25" s="1740"/>
      <c r="K25" s="1740"/>
      <c r="L25" s="1740"/>
      <c r="M25" s="1740"/>
      <c r="N25" s="1740"/>
      <c r="O25" s="827"/>
      <c r="P25" s="827"/>
      <c r="Q25" s="857"/>
      <c r="R25" s="827"/>
      <c r="S25" s="827"/>
      <c r="T25" s="827"/>
      <c r="U25" s="827"/>
      <c r="V25" s="827"/>
      <c r="W25" s="827"/>
      <c r="X25" s="843"/>
      <c r="Y25" s="843"/>
      <c r="AE25" s="829"/>
      <c r="AF25" s="829"/>
    </row>
    <row r="26" spans="2:33" ht="13.5" thickBot="1" x14ac:dyDescent="0.25">
      <c r="B26" s="827"/>
      <c r="C26" s="858" t="s">
        <v>86</v>
      </c>
      <c r="D26" s="858"/>
      <c r="E26" s="858"/>
      <c r="F26" s="858"/>
      <c r="G26" s="858"/>
      <c r="H26" s="859"/>
      <c r="I26" s="858"/>
      <c r="J26" s="858"/>
      <c r="K26" s="858"/>
      <c r="L26" s="859"/>
      <c r="M26" s="860"/>
      <c r="N26" s="861"/>
      <c r="Q26" s="827"/>
      <c r="R26" s="827"/>
      <c r="S26" s="827"/>
      <c r="T26" s="827"/>
      <c r="U26" s="827"/>
      <c r="V26" s="827"/>
      <c r="W26" s="827"/>
      <c r="X26" s="843"/>
      <c r="Y26" s="843"/>
      <c r="Z26" s="862"/>
      <c r="AE26" s="829"/>
      <c r="AF26" s="829"/>
    </row>
    <row r="27" spans="2:33" ht="35.1" customHeight="1" thickBot="1" x14ac:dyDescent="0.25">
      <c r="B27" s="827"/>
      <c r="C27" s="850" t="s">
        <v>87</v>
      </c>
      <c r="D27" s="832" t="s">
        <v>88</v>
      </c>
      <c r="E27" s="832" t="s">
        <v>237</v>
      </c>
      <c r="F27" s="833" t="s">
        <v>160</v>
      </c>
      <c r="G27" s="832" t="s">
        <v>236</v>
      </c>
      <c r="H27" s="833" t="s">
        <v>232</v>
      </c>
      <c r="I27" s="833" t="s">
        <v>233</v>
      </c>
      <c r="J27" s="833" t="s">
        <v>20</v>
      </c>
      <c r="K27" s="832" t="s">
        <v>91</v>
      </c>
      <c r="L27" s="832" t="s">
        <v>93</v>
      </c>
      <c r="M27" s="832" t="s">
        <v>94</v>
      </c>
      <c r="N27" s="863" t="s">
        <v>95</v>
      </c>
      <c r="P27" s="850" t="s">
        <v>237</v>
      </c>
      <c r="Q27" s="833" t="s">
        <v>160</v>
      </c>
      <c r="R27" s="832" t="s">
        <v>236</v>
      </c>
      <c r="S27" s="833" t="s">
        <v>232</v>
      </c>
      <c r="T27" s="833" t="s">
        <v>233</v>
      </c>
      <c r="U27" s="833" t="s">
        <v>20</v>
      </c>
      <c r="V27" s="832" t="s">
        <v>91</v>
      </c>
      <c r="W27" s="832" t="s">
        <v>93</v>
      </c>
      <c r="X27" s="832" t="s">
        <v>94</v>
      </c>
      <c r="Y27" s="834" t="s">
        <v>95</v>
      </c>
      <c r="Z27" s="861"/>
      <c r="AE27" s="829"/>
      <c r="AF27" s="829"/>
    </row>
    <row r="28" spans="2:33" ht="35.1" customHeight="1" thickBot="1" x14ac:dyDescent="0.25">
      <c r="B28" s="827"/>
      <c r="C28" s="864"/>
      <c r="D28" s="836"/>
      <c r="E28" s="1000"/>
      <c r="F28" s="836"/>
      <c r="G28" s="836"/>
      <c r="H28" s="836"/>
      <c r="I28" s="836"/>
      <c r="J28" s="972"/>
      <c r="K28" s="841"/>
      <c r="L28" s="866"/>
      <c r="M28" s="835"/>
      <c r="N28" s="867"/>
      <c r="P28" s="864" t="s">
        <v>242</v>
      </c>
      <c r="Q28" s="836" t="s">
        <v>221</v>
      </c>
      <c r="R28" s="836" t="s">
        <v>222</v>
      </c>
      <c r="S28" s="836">
        <v>2280</v>
      </c>
      <c r="T28" s="836">
        <v>453658</v>
      </c>
      <c r="U28" s="865" t="s">
        <v>97</v>
      </c>
      <c r="V28" s="841">
        <v>80000</v>
      </c>
      <c r="W28" s="866">
        <f>IFERROR(V28/$V$34,0)</f>
        <v>9.4117647058823528E-2</v>
      </c>
      <c r="X28" s="837">
        <f t="shared" ref="X28:X33" si="0">ROUND(W28*I$15,2)</f>
        <v>447423.87</v>
      </c>
      <c r="Y28" s="868">
        <f t="shared" ref="Y28:Y33" si="1">X28*M$15</f>
        <v>9843325.1400000006</v>
      </c>
      <c r="Z28" s="860"/>
      <c r="AA28" s="1059">
        <f>Y28+Y29+Y31+Y43</f>
        <v>24600164.600000001</v>
      </c>
      <c r="AE28" s="829"/>
      <c r="AF28" s="829"/>
    </row>
    <row r="29" spans="2:33" ht="35.1" customHeight="1" thickBot="1" x14ac:dyDescent="0.25">
      <c r="B29" s="827"/>
      <c r="C29" s="864"/>
      <c r="D29" s="836"/>
      <c r="E29" s="1000"/>
      <c r="F29" s="836"/>
      <c r="G29" s="836"/>
      <c r="H29" s="836"/>
      <c r="I29" s="836"/>
      <c r="J29" s="972"/>
      <c r="K29" s="841"/>
      <c r="L29" s="866"/>
      <c r="M29" s="835"/>
      <c r="N29" s="867"/>
      <c r="P29" s="864" t="s">
        <v>242</v>
      </c>
      <c r="Q29" s="836" t="s">
        <v>221</v>
      </c>
      <c r="R29" s="836" t="s">
        <v>222</v>
      </c>
      <c r="S29" s="836">
        <v>2280</v>
      </c>
      <c r="T29" s="836">
        <v>453658</v>
      </c>
      <c r="U29" s="865" t="s">
        <v>100</v>
      </c>
      <c r="V29" s="841">
        <v>40000</v>
      </c>
      <c r="W29" s="866">
        <f>IFERROR(V29/$V$34,0)</f>
        <v>4.7058823529411764E-2</v>
      </c>
      <c r="X29" s="837">
        <f t="shared" si="0"/>
        <v>223711.94</v>
      </c>
      <c r="Y29" s="868">
        <f t="shared" si="1"/>
        <v>4921662.68</v>
      </c>
      <c r="Z29" s="860"/>
      <c r="AE29" s="829"/>
      <c r="AF29" s="829"/>
    </row>
    <row r="30" spans="2:33" ht="35.1" customHeight="1" thickBot="1" x14ac:dyDescent="0.25">
      <c r="B30" s="827"/>
      <c r="C30" s="864"/>
      <c r="D30" s="836"/>
      <c r="E30" s="1000"/>
      <c r="F30" s="836"/>
      <c r="G30" s="836"/>
      <c r="H30" s="836"/>
      <c r="I30" s="836"/>
      <c r="J30" s="972"/>
      <c r="K30" s="841"/>
      <c r="L30" s="866"/>
      <c r="M30" s="835"/>
      <c r="N30" s="867"/>
      <c r="P30" s="864" t="s">
        <v>242</v>
      </c>
      <c r="Q30" s="836" t="s">
        <v>221</v>
      </c>
      <c r="R30" s="836" t="s">
        <v>222</v>
      </c>
      <c r="S30" s="836">
        <v>2280</v>
      </c>
      <c r="T30" s="836">
        <v>453658</v>
      </c>
      <c r="U30" s="865" t="s">
        <v>393</v>
      </c>
      <c r="V30" s="841">
        <v>22000</v>
      </c>
      <c r="W30" s="866">
        <f>IFERROR(V30/$V$34,0)</f>
        <v>2.5882352941176471E-2</v>
      </c>
      <c r="X30" s="837">
        <f t="shared" si="0"/>
        <v>123041.56</v>
      </c>
      <c r="Y30" s="868">
        <f t="shared" si="1"/>
        <v>2706914.32</v>
      </c>
      <c r="Z30" s="860"/>
      <c r="AE30" s="829"/>
      <c r="AF30" s="829"/>
    </row>
    <row r="31" spans="2:33" ht="35.1" customHeight="1" thickBot="1" x14ac:dyDescent="0.25">
      <c r="B31" s="827"/>
      <c r="C31" s="864"/>
      <c r="D31" s="836"/>
      <c r="E31" s="1000"/>
      <c r="F31" s="836"/>
      <c r="G31" s="836"/>
      <c r="H31" s="836"/>
      <c r="I31" s="836"/>
      <c r="J31" s="972"/>
      <c r="K31" s="841"/>
      <c r="L31" s="866"/>
      <c r="M31" s="835"/>
      <c r="N31" s="867"/>
      <c r="P31" s="864" t="s">
        <v>242</v>
      </c>
      <c r="Q31" s="836" t="s">
        <v>221</v>
      </c>
      <c r="R31" s="836" t="s">
        <v>222</v>
      </c>
      <c r="S31" s="836">
        <v>2280</v>
      </c>
      <c r="T31" s="836">
        <v>453658</v>
      </c>
      <c r="U31" s="865" t="s">
        <v>288</v>
      </c>
      <c r="V31" s="841">
        <v>0</v>
      </c>
      <c r="W31" s="866">
        <f t="shared" ref="W31:W33" si="2">IFERROR(V31/$V$34,0)</f>
        <v>0</v>
      </c>
      <c r="X31" s="837">
        <f t="shared" si="0"/>
        <v>0</v>
      </c>
      <c r="Y31" s="868">
        <f t="shared" si="1"/>
        <v>0</v>
      </c>
      <c r="Z31" s="860"/>
      <c r="AE31" s="829"/>
      <c r="AF31" s="829"/>
    </row>
    <row r="32" spans="2:33" ht="35.1" customHeight="1" thickBot="1" x14ac:dyDescent="0.25">
      <c r="B32" s="827"/>
      <c r="C32" s="864"/>
      <c r="D32" s="1000"/>
      <c r="E32" s="2036"/>
      <c r="F32" s="836"/>
      <c r="G32" s="836"/>
      <c r="H32" s="836"/>
      <c r="I32" s="836"/>
      <c r="J32" s="972"/>
      <c r="K32" s="841"/>
      <c r="L32" s="866"/>
      <c r="M32" s="835"/>
      <c r="N32" s="867"/>
      <c r="P32" s="1076" t="s">
        <v>242</v>
      </c>
      <c r="Q32" s="1000" t="s">
        <v>221</v>
      </c>
      <c r="R32" s="1000" t="s">
        <v>222</v>
      </c>
      <c r="S32" s="1000" t="s">
        <v>344</v>
      </c>
      <c r="T32" s="1000">
        <v>468094</v>
      </c>
      <c r="U32" s="2058" t="s">
        <v>23</v>
      </c>
      <c r="V32" s="2059">
        <v>95000</v>
      </c>
      <c r="W32" s="2060">
        <f t="shared" si="2"/>
        <v>0.11176470588235295</v>
      </c>
      <c r="X32" s="2061">
        <f t="shared" si="0"/>
        <v>531315.85</v>
      </c>
      <c r="Y32" s="2062">
        <f t="shared" si="1"/>
        <v>11688948.699999999</v>
      </c>
      <c r="Z32" s="860"/>
      <c r="AE32" s="829"/>
      <c r="AF32" s="829"/>
    </row>
    <row r="33" spans="2:32" ht="35.1" customHeight="1" thickBot="1" x14ac:dyDescent="0.25">
      <c r="B33" s="827"/>
      <c r="C33" s="851">
        <v>800874933</v>
      </c>
      <c r="D33" s="853"/>
      <c r="E33" s="853" t="s">
        <v>242</v>
      </c>
      <c r="F33" s="845" t="s">
        <v>221</v>
      </c>
      <c r="G33" s="845" t="s">
        <v>222</v>
      </c>
      <c r="H33" s="845">
        <v>2280</v>
      </c>
      <c r="I33" s="845">
        <v>453851</v>
      </c>
      <c r="J33" s="973" t="s">
        <v>159</v>
      </c>
      <c r="K33" s="852">
        <f>850000-K28-K29-K31-K32</f>
        <v>850000</v>
      </c>
      <c r="L33" s="872">
        <v>1</v>
      </c>
      <c r="M33" s="844">
        <v>4753878.6400000006</v>
      </c>
      <c r="N33" s="873">
        <f>M33*M15</f>
        <v>104585330.08000001</v>
      </c>
      <c r="P33" s="1004" t="s">
        <v>242</v>
      </c>
      <c r="Q33" s="1003" t="s">
        <v>221</v>
      </c>
      <c r="R33" s="1003" t="s">
        <v>222</v>
      </c>
      <c r="S33" s="1003">
        <v>2280</v>
      </c>
      <c r="T33" s="1003">
        <v>453851</v>
      </c>
      <c r="U33" s="1851" t="s">
        <v>159</v>
      </c>
      <c r="V33" s="1852">
        <f>850000-V28-V29-V30-V31-V32</f>
        <v>613000</v>
      </c>
      <c r="W33" s="1853">
        <f t="shared" si="2"/>
        <v>0.72117647058823531</v>
      </c>
      <c r="X33" s="1854">
        <f t="shared" si="0"/>
        <v>3428385.42</v>
      </c>
      <c r="Y33" s="1855">
        <f t="shared" si="1"/>
        <v>75424479.239999995</v>
      </c>
      <c r="Z33" s="860"/>
      <c r="AE33" s="829"/>
      <c r="AF33" s="829"/>
    </row>
    <row r="34" spans="2:32" ht="35.1" customHeight="1" x14ac:dyDescent="0.2">
      <c r="B34" s="827"/>
      <c r="C34" s="881"/>
      <c r="D34" s="882" t="s">
        <v>102</v>
      </c>
      <c r="E34" s="882"/>
      <c r="F34" s="882"/>
      <c r="G34" s="882"/>
      <c r="H34" s="882"/>
      <c r="I34" s="883"/>
      <c r="J34" s="883"/>
      <c r="K34" s="884">
        <f>SUM(K28:K33)</f>
        <v>850000</v>
      </c>
      <c r="L34" s="885">
        <f>SUM(L28:L33)</f>
        <v>1</v>
      </c>
      <c r="M34" s="886">
        <f>SUM(M28:M33)</f>
        <v>4753878.6400000006</v>
      </c>
      <c r="N34" s="886">
        <f>SUM(N28:N33)</f>
        <v>104585330.08000001</v>
      </c>
      <c r="P34" s="882"/>
      <c r="Q34" s="882"/>
      <c r="R34" s="882"/>
      <c r="S34" s="882"/>
      <c r="T34" s="883"/>
      <c r="U34" s="883"/>
      <c r="V34" s="884">
        <f>SUM(V28:V33)</f>
        <v>850000</v>
      </c>
      <c r="W34" s="885">
        <f>SUM(W28:W33)</f>
        <v>1</v>
      </c>
      <c r="X34" s="887">
        <f>SUM(X28:X33)</f>
        <v>4753878.6400000006</v>
      </c>
      <c r="Y34" s="887">
        <f>SUM(Y28:Y33)</f>
        <v>104585330.08</v>
      </c>
      <c r="Z34" s="827"/>
      <c r="AE34" s="829"/>
      <c r="AF34" s="829"/>
    </row>
    <row r="35" spans="2:32" ht="20.100000000000001" customHeight="1" x14ac:dyDescent="0.2">
      <c r="B35" s="827"/>
      <c r="C35" s="860"/>
      <c r="D35" s="860"/>
      <c r="E35" s="860"/>
      <c r="F35" s="860"/>
      <c r="G35" s="888"/>
      <c r="H35" s="888"/>
      <c r="I35" s="860"/>
      <c r="J35" s="860"/>
      <c r="K35" s="860"/>
      <c r="L35" s="860"/>
      <c r="M35" s="889"/>
      <c r="P35" s="860"/>
      <c r="Q35" s="860"/>
      <c r="R35" s="888"/>
      <c r="S35" s="888"/>
      <c r="T35" s="860"/>
      <c r="U35" s="860"/>
      <c r="V35" s="860"/>
      <c r="W35" s="860"/>
      <c r="X35" s="890"/>
      <c r="Y35" s="891"/>
      <c r="Z35" s="827"/>
      <c r="AE35" s="829"/>
      <c r="AF35" s="829"/>
    </row>
    <row r="36" spans="2:32" ht="20.100000000000001" customHeight="1" x14ac:dyDescent="0.2">
      <c r="B36" s="827"/>
      <c r="C36" s="860"/>
      <c r="D36" s="860"/>
      <c r="E36" s="860"/>
      <c r="F36" s="860"/>
      <c r="G36" s="888"/>
      <c r="H36" s="888"/>
      <c r="I36" s="860"/>
      <c r="J36" s="860"/>
      <c r="K36" s="860"/>
      <c r="L36" s="860"/>
      <c r="M36" s="889"/>
      <c r="P36" s="860"/>
      <c r="Q36" s="860"/>
      <c r="R36" s="888"/>
      <c r="S36" s="888"/>
      <c r="T36" s="860"/>
      <c r="U36" s="860"/>
      <c r="V36" s="860"/>
      <c r="W36" s="892"/>
      <c r="X36" s="889"/>
      <c r="Y36" s="893"/>
      <c r="Z36" s="827"/>
      <c r="AE36" s="829"/>
      <c r="AF36" s="829"/>
    </row>
    <row r="38" spans="2:32" ht="20.100000000000001" customHeight="1" thickBot="1" x14ac:dyDescent="0.25">
      <c r="B38" s="827"/>
      <c r="C38" s="858" t="s">
        <v>274</v>
      </c>
      <c r="D38" s="858"/>
      <c r="E38" s="858"/>
      <c r="F38" s="858"/>
      <c r="G38" s="858"/>
      <c r="H38" s="859"/>
      <c r="I38" s="858"/>
      <c r="J38" s="858"/>
      <c r="K38" s="858"/>
      <c r="L38" s="859"/>
      <c r="M38" s="860"/>
      <c r="N38" s="861"/>
      <c r="P38" s="858"/>
      <c r="Q38" s="858"/>
      <c r="R38" s="858"/>
      <c r="S38" s="859"/>
      <c r="T38" s="858"/>
      <c r="U38" s="858"/>
      <c r="V38" s="858"/>
      <c r="W38" s="860"/>
      <c r="X38" s="860"/>
      <c r="Y38" s="894"/>
      <c r="Z38" s="862"/>
      <c r="AE38" s="829"/>
      <c r="AF38" s="829"/>
    </row>
    <row r="39" spans="2:32" ht="35.1" customHeight="1" thickBot="1" x14ac:dyDescent="0.25">
      <c r="B39" s="827"/>
      <c r="C39" s="850" t="s">
        <v>87</v>
      </c>
      <c r="D39" s="895" t="s">
        <v>88</v>
      </c>
      <c r="E39" s="895" t="s">
        <v>237</v>
      </c>
      <c r="F39" s="896" t="s">
        <v>160</v>
      </c>
      <c r="G39" s="895" t="s">
        <v>236</v>
      </c>
      <c r="H39" s="896" t="s">
        <v>232</v>
      </c>
      <c r="I39" s="896" t="s">
        <v>233</v>
      </c>
      <c r="J39" s="896" t="s">
        <v>20</v>
      </c>
      <c r="K39" s="832" t="s">
        <v>91</v>
      </c>
      <c r="L39" s="895" t="s">
        <v>93</v>
      </c>
      <c r="M39" s="895" t="s">
        <v>94</v>
      </c>
      <c r="N39" s="897" t="s">
        <v>95</v>
      </c>
      <c r="P39" s="895" t="s">
        <v>237</v>
      </c>
      <c r="Q39" s="896" t="s">
        <v>160</v>
      </c>
      <c r="R39" s="895" t="s">
        <v>236</v>
      </c>
      <c r="S39" s="896" t="s">
        <v>232</v>
      </c>
      <c r="T39" s="896" t="s">
        <v>233</v>
      </c>
      <c r="U39" s="896" t="s">
        <v>20</v>
      </c>
      <c r="V39" s="832" t="s">
        <v>91</v>
      </c>
      <c r="W39" s="895" t="s">
        <v>93</v>
      </c>
      <c r="X39" s="895" t="s">
        <v>94</v>
      </c>
      <c r="Y39" s="897" t="s">
        <v>95</v>
      </c>
      <c r="Z39" s="862"/>
      <c r="AE39" s="829"/>
      <c r="AF39" s="829"/>
    </row>
    <row r="40" spans="2:32" ht="35.1" customHeight="1" thickBot="1" x14ac:dyDescent="0.25">
      <c r="B40" s="827"/>
      <c r="C40" s="864"/>
      <c r="D40" s="1000"/>
      <c r="E40" s="2036"/>
      <c r="F40" s="836"/>
      <c r="G40" s="836"/>
      <c r="H40" s="836"/>
      <c r="I40" s="836"/>
      <c r="J40" s="865"/>
      <c r="K40" s="841"/>
      <c r="L40" s="866"/>
      <c r="M40" s="837"/>
      <c r="N40" s="868"/>
      <c r="P40" s="836" t="s">
        <v>242</v>
      </c>
      <c r="Q40" s="836" t="s">
        <v>221</v>
      </c>
      <c r="R40" s="836" t="s">
        <v>222</v>
      </c>
      <c r="S40" s="836">
        <v>2280</v>
      </c>
      <c r="T40" s="836">
        <v>453658</v>
      </c>
      <c r="U40" s="865" t="s">
        <v>97</v>
      </c>
      <c r="V40" s="841">
        <v>80000</v>
      </c>
      <c r="W40" s="866">
        <f>IFERROR(V40/$V$43,0)</f>
        <v>0.66666666666666663</v>
      </c>
      <c r="X40" s="837">
        <f>ROUND(W40*I$16,2)</f>
        <v>298035.65999999997</v>
      </c>
      <c r="Y40" s="868">
        <f>X40*$M$16</f>
        <v>6556784.5199999996</v>
      </c>
      <c r="Z40" s="862"/>
      <c r="AE40" s="829"/>
      <c r="AF40" s="829"/>
    </row>
    <row r="41" spans="2:32" ht="35.1" customHeight="1" thickBot="1" x14ac:dyDescent="0.25">
      <c r="B41" s="827"/>
      <c r="C41" s="864"/>
      <c r="D41" s="1000"/>
      <c r="E41" s="1000"/>
      <c r="F41" s="836"/>
      <c r="G41" s="836"/>
      <c r="H41" s="836"/>
      <c r="I41" s="836"/>
      <c r="J41" s="865"/>
      <c r="K41" s="841"/>
      <c r="L41" s="866"/>
      <c r="M41" s="837"/>
      <c r="N41" s="868"/>
      <c r="P41" s="1000" t="s">
        <v>242</v>
      </c>
      <c r="Q41" s="836" t="s">
        <v>221</v>
      </c>
      <c r="R41" s="836" t="s">
        <v>222</v>
      </c>
      <c r="S41" s="836">
        <v>2280</v>
      </c>
      <c r="T41" s="836">
        <v>453658</v>
      </c>
      <c r="U41" s="865" t="s">
        <v>100</v>
      </c>
      <c r="V41" s="841">
        <v>40000</v>
      </c>
      <c r="W41" s="866">
        <f>IFERROR(V41/$V$43,0)</f>
        <v>0.33333333333333331</v>
      </c>
      <c r="X41" s="837">
        <f>ROUND(W41*I$16,2)</f>
        <v>149017.82999999999</v>
      </c>
      <c r="Y41" s="868">
        <f>X41*$M$16</f>
        <v>3278392.26</v>
      </c>
      <c r="Z41" s="862"/>
      <c r="AE41" s="829"/>
      <c r="AF41" s="829"/>
    </row>
    <row r="42" spans="2:32" ht="35.1" customHeight="1" thickBot="1" x14ac:dyDescent="0.25">
      <c r="B42" s="827"/>
      <c r="C42" s="1004">
        <v>800874975</v>
      </c>
      <c r="D42" s="853"/>
      <c r="E42" s="853" t="s">
        <v>242</v>
      </c>
      <c r="F42" s="1003" t="s">
        <v>221</v>
      </c>
      <c r="G42" s="1003" t="s">
        <v>222</v>
      </c>
      <c r="H42" s="1003">
        <v>2280</v>
      </c>
      <c r="I42" s="1003">
        <v>453851</v>
      </c>
      <c r="J42" s="871" t="s">
        <v>159</v>
      </c>
      <c r="K42" s="852">
        <v>120000</v>
      </c>
      <c r="L42" s="872">
        <v>1</v>
      </c>
      <c r="M42" s="846">
        <f>ROUND(L42*I$16,2)</f>
        <v>447053.49</v>
      </c>
      <c r="N42" s="898">
        <f>M42*$M$16</f>
        <v>9835176.7799999993</v>
      </c>
      <c r="P42" s="1003" t="s">
        <v>401</v>
      </c>
      <c r="Q42" s="845" t="s">
        <v>221</v>
      </c>
      <c r="R42" s="845" t="s">
        <v>222</v>
      </c>
      <c r="S42" s="845">
        <v>2280</v>
      </c>
      <c r="T42" s="845">
        <v>453851</v>
      </c>
      <c r="U42" s="871" t="s">
        <v>159</v>
      </c>
      <c r="V42" s="852">
        <v>0</v>
      </c>
      <c r="W42" s="872">
        <f>IFERROR(V42/$V$43,0)</f>
        <v>0</v>
      </c>
      <c r="X42" s="846">
        <f>ROUND(W42*I$16,2)</f>
        <v>0</v>
      </c>
      <c r="Y42" s="898">
        <f>X42*$M$16</f>
        <v>0</v>
      </c>
      <c r="Z42" s="862"/>
      <c r="AE42" s="829"/>
      <c r="AF42" s="829"/>
    </row>
    <row r="43" spans="2:32" ht="20.100000000000001" customHeight="1" x14ac:dyDescent="0.2">
      <c r="B43" s="827"/>
      <c r="C43" s="881"/>
      <c r="D43" s="882" t="s">
        <v>102</v>
      </c>
      <c r="E43" s="882"/>
      <c r="F43" s="882"/>
      <c r="G43" s="882"/>
      <c r="H43" s="882"/>
      <c r="I43" s="883"/>
      <c r="J43" s="883"/>
      <c r="K43" s="884">
        <f>SUM(K40:K42)</f>
        <v>120000</v>
      </c>
      <c r="L43" s="885">
        <f>SUM(L40:L42)</f>
        <v>1</v>
      </c>
      <c r="M43" s="886">
        <f>SUM(M40:M42)</f>
        <v>447053.49</v>
      </c>
      <c r="N43" s="886">
        <f>SUM(N40:N42)</f>
        <v>9835176.7799999993</v>
      </c>
      <c r="P43" s="882"/>
      <c r="Q43" s="882"/>
      <c r="R43" s="882"/>
      <c r="S43" s="882"/>
      <c r="T43" s="883"/>
      <c r="U43" s="883"/>
      <c r="V43" s="884">
        <f>SUM(V40:V42)</f>
        <v>120000</v>
      </c>
      <c r="W43" s="885">
        <f>SUM(W40:W42)</f>
        <v>1</v>
      </c>
      <c r="X43" s="886">
        <f>SUM(X40:X42)</f>
        <v>447053.49</v>
      </c>
      <c r="Y43" s="886">
        <f>SUM(Y40:Y42)</f>
        <v>9835176.7799999993</v>
      </c>
      <c r="Z43" s="862"/>
      <c r="AE43" s="829"/>
      <c r="AF43" s="829"/>
    </row>
    <row r="44" spans="2:32" ht="20.100000000000001" customHeight="1" x14ac:dyDescent="0.2">
      <c r="B44" s="827"/>
      <c r="C44" s="899"/>
      <c r="D44" s="858"/>
      <c r="E44" s="858"/>
      <c r="F44" s="858"/>
      <c r="G44" s="858"/>
      <c r="H44" s="859"/>
      <c r="I44" s="858"/>
      <c r="J44" s="858"/>
      <c r="K44" s="858"/>
      <c r="L44" s="860"/>
      <c r="M44" s="860"/>
      <c r="N44" s="843"/>
      <c r="P44" s="858"/>
      <c r="Q44" s="858"/>
      <c r="R44" s="858"/>
      <c r="S44" s="859"/>
      <c r="T44" s="858"/>
      <c r="U44" s="858"/>
      <c r="V44" s="858"/>
      <c r="W44" s="860"/>
      <c r="X44" s="860"/>
      <c r="Y44" s="894"/>
      <c r="Z44" s="862"/>
      <c r="AE44" s="829"/>
      <c r="AF44" s="829"/>
    </row>
    <row r="45" spans="2:32" ht="20.100000000000001" customHeight="1" x14ac:dyDescent="0.2">
      <c r="B45" s="827"/>
      <c r="C45" s="899"/>
      <c r="D45" s="858"/>
      <c r="E45" s="858"/>
      <c r="F45" s="858"/>
      <c r="G45" s="858"/>
      <c r="H45" s="859"/>
      <c r="I45" s="858"/>
      <c r="J45" s="858"/>
      <c r="K45" s="858"/>
      <c r="L45" s="860"/>
      <c r="M45" s="860"/>
      <c r="N45" s="843"/>
      <c r="P45" s="858"/>
      <c r="Q45" s="858"/>
      <c r="R45" s="858"/>
      <c r="S45" s="859"/>
      <c r="T45" s="858"/>
      <c r="U45" s="858"/>
      <c r="V45" s="858"/>
      <c r="W45" s="860"/>
      <c r="X45" s="860"/>
      <c r="Y45" s="894"/>
      <c r="Z45" s="862"/>
      <c r="AE45" s="829"/>
      <c r="AF45" s="829"/>
    </row>
    <row r="46" spans="2:32" ht="20.100000000000001" customHeight="1" x14ac:dyDescent="0.2">
      <c r="B46" s="827"/>
      <c r="C46" s="899"/>
      <c r="D46" s="858"/>
      <c r="E46" s="858"/>
      <c r="F46" s="858"/>
      <c r="G46" s="858"/>
      <c r="H46" s="859"/>
      <c r="I46" s="858"/>
      <c r="J46" s="858"/>
      <c r="K46" s="858"/>
      <c r="L46" s="860"/>
      <c r="M46" s="860"/>
      <c r="N46" s="843"/>
      <c r="P46" s="858"/>
      <c r="Q46" s="858"/>
      <c r="R46" s="858"/>
      <c r="S46" s="859"/>
      <c r="T46" s="858"/>
      <c r="U46" s="858"/>
      <c r="V46" s="858"/>
      <c r="W46" s="860"/>
      <c r="X46" s="860"/>
      <c r="Y46" s="894"/>
      <c r="Z46" s="862"/>
      <c r="AE46" s="829"/>
      <c r="AF46" s="829"/>
    </row>
    <row r="47" spans="2:32" ht="35.1" customHeight="1" thickBot="1" x14ac:dyDescent="0.25">
      <c r="B47" s="827"/>
      <c r="C47" s="899" t="s">
        <v>103</v>
      </c>
      <c r="D47" s="858"/>
      <c r="E47" s="858"/>
      <c r="F47" s="858"/>
      <c r="G47" s="858"/>
      <c r="H47" s="859"/>
      <c r="I47" s="858"/>
      <c r="J47" s="858"/>
      <c r="K47" s="858"/>
      <c r="L47" s="860"/>
      <c r="M47" s="860"/>
      <c r="N47" s="843"/>
      <c r="P47" s="858"/>
      <c r="Q47" s="858"/>
      <c r="R47" s="858"/>
      <c r="S47" s="859"/>
      <c r="T47" s="858"/>
      <c r="U47" s="858"/>
      <c r="V47" s="858"/>
      <c r="W47" s="860"/>
      <c r="X47" s="860"/>
      <c r="Y47" s="894"/>
      <c r="Z47" s="862"/>
      <c r="AE47" s="829"/>
      <c r="AF47" s="829"/>
    </row>
    <row r="48" spans="2:32" ht="35.1" customHeight="1" thickBot="1" x14ac:dyDescent="0.25">
      <c r="B48" s="827"/>
      <c r="C48" s="850" t="s">
        <v>87</v>
      </c>
      <c r="D48" s="832" t="s">
        <v>88</v>
      </c>
      <c r="E48" s="832" t="s">
        <v>237</v>
      </c>
      <c r="F48" s="833" t="s">
        <v>160</v>
      </c>
      <c r="G48" s="832" t="s">
        <v>90</v>
      </c>
      <c r="H48" s="833" t="s">
        <v>232</v>
      </c>
      <c r="I48" s="833" t="s">
        <v>233</v>
      </c>
      <c r="J48" s="833" t="s">
        <v>20</v>
      </c>
      <c r="K48" s="832" t="s">
        <v>234</v>
      </c>
      <c r="L48" s="832" t="s">
        <v>93</v>
      </c>
      <c r="M48" s="832" t="s">
        <v>94</v>
      </c>
      <c r="N48" s="863" t="s">
        <v>95</v>
      </c>
      <c r="P48" s="850" t="s">
        <v>237</v>
      </c>
      <c r="Q48" s="833" t="s">
        <v>160</v>
      </c>
      <c r="R48" s="832" t="s">
        <v>90</v>
      </c>
      <c r="S48" s="833" t="s">
        <v>232</v>
      </c>
      <c r="T48" s="833" t="s">
        <v>233</v>
      </c>
      <c r="U48" s="833" t="s">
        <v>20</v>
      </c>
      <c r="V48" s="832" t="s">
        <v>234</v>
      </c>
      <c r="W48" s="832" t="s">
        <v>93</v>
      </c>
      <c r="X48" s="832" t="s">
        <v>94</v>
      </c>
      <c r="Y48" s="834" t="s">
        <v>95</v>
      </c>
      <c r="Z48" s="861"/>
      <c r="AE48" s="829"/>
      <c r="AF48" s="829"/>
    </row>
    <row r="49" spans="1:32" ht="35.1" customHeight="1" thickBot="1" x14ac:dyDescent="0.25">
      <c r="B49" s="827"/>
      <c r="C49" s="864">
        <v>800874989</v>
      </c>
      <c r="D49" s="869"/>
      <c r="E49" s="869" t="s">
        <v>242</v>
      </c>
      <c r="F49" s="836" t="s">
        <v>221</v>
      </c>
      <c r="G49" s="836" t="s">
        <v>222</v>
      </c>
      <c r="H49" s="836">
        <v>2281</v>
      </c>
      <c r="I49" s="836">
        <v>453659</v>
      </c>
      <c r="J49" s="972" t="s">
        <v>159</v>
      </c>
      <c r="K49" s="841">
        <f>P102</f>
        <v>3371343.7600000002</v>
      </c>
      <c r="L49" s="866">
        <f>IFERROR(K49/K$54,0)</f>
        <v>0.544642661096157</v>
      </c>
      <c r="M49" s="835">
        <f>L49*$I$17</f>
        <v>3099.2890629676813</v>
      </c>
      <c r="N49" s="867">
        <f>M49*$M$17</f>
        <v>68184.35938528899</v>
      </c>
      <c r="O49" s="2">
        <v>18.6234</v>
      </c>
      <c r="P49" s="864" t="s">
        <v>242</v>
      </c>
      <c r="Q49" s="836" t="s">
        <v>221</v>
      </c>
      <c r="R49" s="836" t="s">
        <v>222</v>
      </c>
      <c r="S49" s="836">
        <v>2281</v>
      </c>
      <c r="T49" s="836">
        <v>453658</v>
      </c>
      <c r="U49" s="865" t="s">
        <v>97</v>
      </c>
      <c r="V49" s="841">
        <f>K49</f>
        <v>3371343.7600000002</v>
      </c>
      <c r="W49" s="866">
        <f>IFERROR(V49/V$54,0)</f>
        <v>0.544642661096157</v>
      </c>
      <c r="X49" s="835">
        <f>W49*$I$17</f>
        <v>3099.2890629676813</v>
      </c>
      <c r="Y49" s="867">
        <f>X49*$M$17</f>
        <v>68184.35938528899</v>
      </c>
      <c r="AE49" s="829"/>
      <c r="AF49" s="829"/>
    </row>
    <row r="50" spans="1:32" ht="35.1" customHeight="1" thickBot="1" x14ac:dyDescent="0.25">
      <c r="B50" s="827"/>
      <c r="C50" s="864"/>
      <c r="D50" s="1000"/>
      <c r="E50" s="1000"/>
      <c r="F50" s="836"/>
      <c r="G50" s="836"/>
      <c r="H50" s="836"/>
      <c r="I50" s="836"/>
      <c r="J50" s="972"/>
      <c r="K50" s="841"/>
      <c r="L50" s="866"/>
      <c r="M50" s="835"/>
      <c r="N50" s="867"/>
      <c r="O50" s="2"/>
      <c r="P50" s="864" t="s">
        <v>242</v>
      </c>
      <c r="Q50" s="836" t="s">
        <v>221</v>
      </c>
      <c r="R50" s="836" t="s">
        <v>222</v>
      </c>
      <c r="S50" s="836">
        <v>2281</v>
      </c>
      <c r="T50" s="836">
        <v>453658</v>
      </c>
      <c r="U50" s="865" t="s">
        <v>100</v>
      </c>
      <c r="V50" s="841">
        <f t="shared" ref="V50:V53" si="3">K50</f>
        <v>0</v>
      </c>
      <c r="W50" s="866">
        <f>IFERROR(V50/V$54,0)</f>
        <v>0</v>
      </c>
      <c r="X50" s="835">
        <f>W50*$I$17</f>
        <v>0</v>
      </c>
      <c r="Y50" s="867">
        <f>X50*$M$17</f>
        <v>0</v>
      </c>
      <c r="AE50" s="829"/>
      <c r="AF50" s="829"/>
    </row>
    <row r="51" spans="1:32" ht="35.1" customHeight="1" thickBot="1" x14ac:dyDescent="0.25">
      <c r="A51" s="1791"/>
      <c r="B51" s="827"/>
      <c r="C51" s="864">
        <v>800874989</v>
      </c>
      <c r="D51" s="869"/>
      <c r="E51" s="869" t="s">
        <v>242</v>
      </c>
      <c r="F51" s="836" t="s">
        <v>221</v>
      </c>
      <c r="G51" s="836" t="s">
        <v>222</v>
      </c>
      <c r="H51" s="836">
        <v>2281</v>
      </c>
      <c r="I51" s="836">
        <v>453659</v>
      </c>
      <c r="J51" s="972" t="s">
        <v>159</v>
      </c>
      <c r="K51" s="841">
        <f>N102</f>
        <v>591252.00419668108</v>
      </c>
      <c r="L51" s="866">
        <f>IFERROR(K51/K$54,0)</f>
        <v>9.551712547524864E-2</v>
      </c>
      <c r="M51" s="835">
        <f>L51*$I$17</f>
        <v>543.54020251690235</v>
      </c>
      <c r="N51" s="867">
        <f>M51*$M$17</f>
        <v>11957.884455371852</v>
      </c>
      <c r="O51" s="2"/>
      <c r="P51" s="864" t="s">
        <v>242</v>
      </c>
      <c r="Q51" s="836" t="s">
        <v>221</v>
      </c>
      <c r="R51" s="836" t="s">
        <v>222</v>
      </c>
      <c r="S51" s="836">
        <v>2281</v>
      </c>
      <c r="T51" s="836">
        <v>453658</v>
      </c>
      <c r="U51" s="865" t="s">
        <v>393</v>
      </c>
      <c r="V51" s="841">
        <f t="shared" si="3"/>
        <v>591252.00419668108</v>
      </c>
      <c r="W51" s="866">
        <f>IFERROR(V51/V$54,0)</f>
        <v>9.551712547524864E-2</v>
      </c>
      <c r="X51" s="835">
        <f>W51*$I$17</f>
        <v>543.54020251690235</v>
      </c>
      <c r="Y51" s="867">
        <f>X51*$M$17</f>
        <v>11957.884455371852</v>
      </c>
      <c r="AE51" s="829"/>
      <c r="AF51" s="829"/>
    </row>
    <row r="52" spans="1:32" ht="35.1" customHeight="1" thickBot="1" x14ac:dyDescent="0.25">
      <c r="B52" s="827"/>
      <c r="C52" s="864"/>
      <c r="D52" s="836"/>
      <c r="E52" s="1000"/>
      <c r="F52" s="836"/>
      <c r="G52" s="836"/>
      <c r="H52" s="836"/>
      <c r="I52" s="836"/>
      <c r="J52" s="972"/>
      <c r="K52" s="841"/>
      <c r="L52" s="866"/>
      <c r="M52" s="835"/>
      <c r="N52" s="867"/>
      <c r="O52" s="2"/>
      <c r="P52" s="864" t="s">
        <v>242</v>
      </c>
      <c r="Q52" s="836" t="s">
        <v>221</v>
      </c>
      <c r="R52" s="836" t="s">
        <v>222</v>
      </c>
      <c r="S52" s="836">
        <v>2281</v>
      </c>
      <c r="T52" s="836">
        <v>453658</v>
      </c>
      <c r="U52" s="865" t="s">
        <v>288</v>
      </c>
      <c r="V52" s="841">
        <f t="shared" si="3"/>
        <v>0</v>
      </c>
      <c r="W52" s="866">
        <f>IFERROR(V52/V$54,0)</f>
        <v>0</v>
      </c>
      <c r="X52" s="835">
        <f>W52*$I$17</f>
        <v>0</v>
      </c>
      <c r="Y52" s="867">
        <f t="shared" ref="Y52:Y53" si="4">X52*$M$17</f>
        <v>0</v>
      </c>
      <c r="AE52" s="829"/>
      <c r="AF52" s="829"/>
    </row>
    <row r="53" spans="1:32" ht="35.1" customHeight="1" thickBot="1" x14ac:dyDescent="0.25">
      <c r="B53" s="827"/>
      <c r="C53" s="851">
        <v>800874989</v>
      </c>
      <c r="D53" s="853"/>
      <c r="E53" s="853" t="s">
        <v>242</v>
      </c>
      <c r="F53" s="845" t="s">
        <v>221</v>
      </c>
      <c r="G53" s="845" t="s">
        <v>222</v>
      </c>
      <c r="H53" s="845">
        <v>2281</v>
      </c>
      <c r="I53" s="845">
        <v>453659</v>
      </c>
      <c r="J53" s="973" t="s">
        <v>159</v>
      </c>
      <c r="K53" s="852">
        <f>O102</f>
        <v>2227414.6790080005</v>
      </c>
      <c r="L53" s="866">
        <f>IFERROR(K53/K$54,0)</f>
        <v>0.35984021342859429</v>
      </c>
      <c r="M53" s="844">
        <f>L53*$I$17</f>
        <v>2047.6707345154159</v>
      </c>
      <c r="N53" s="867">
        <f t="shared" ref="N53" si="5">M53*$M$17</f>
        <v>45048.756159339151</v>
      </c>
      <c r="O53" s="2">
        <v>18.8506</v>
      </c>
      <c r="P53" s="1004" t="s">
        <v>242</v>
      </c>
      <c r="Q53" s="845" t="s">
        <v>221</v>
      </c>
      <c r="R53" s="845" t="s">
        <v>222</v>
      </c>
      <c r="S53" s="845" t="s">
        <v>402</v>
      </c>
      <c r="T53" s="845">
        <v>468095</v>
      </c>
      <c r="U53" s="871" t="s">
        <v>23</v>
      </c>
      <c r="V53" s="852">
        <f t="shared" si="3"/>
        <v>2227414.6790080005</v>
      </c>
      <c r="W53" s="872">
        <f>IFERROR(V53/V$54,0)</f>
        <v>0.35984021342859429</v>
      </c>
      <c r="X53" s="844">
        <f>W53*$I$17</f>
        <v>2047.6707345154159</v>
      </c>
      <c r="Y53" s="873">
        <f t="shared" si="4"/>
        <v>45048.756159339151</v>
      </c>
      <c r="AE53" s="829"/>
      <c r="AF53" s="829"/>
    </row>
    <row r="54" spans="1:32" x14ac:dyDescent="0.2">
      <c r="B54" s="827"/>
      <c r="C54" s="901"/>
      <c r="D54" s="901"/>
      <c r="E54" s="901"/>
      <c r="F54" s="902"/>
      <c r="G54" s="902"/>
      <c r="H54" s="902"/>
      <c r="I54" s="902"/>
      <c r="J54" s="902"/>
      <c r="K54" s="1001">
        <f>SUM(K49:K53)</f>
        <v>6190010.4432046823</v>
      </c>
      <c r="L54" s="903">
        <f>SUM(L49:L53)</f>
        <v>0.99999999999999989</v>
      </c>
      <c r="M54" s="1002">
        <f>SUM(M49:M53)</f>
        <v>5690.5</v>
      </c>
      <c r="N54" s="1002">
        <f>SUM(N49:N53)</f>
        <v>125191</v>
      </c>
      <c r="O54" s="843"/>
      <c r="P54" s="843"/>
      <c r="Q54" s="827"/>
      <c r="R54" s="827"/>
      <c r="S54" s="827"/>
      <c r="T54" s="827"/>
      <c r="U54" s="827"/>
      <c r="V54" s="1001">
        <f>SUM(V49:V53)</f>
        <v>6190010.4432046823</v>
      </c>
      <c r="W54" s="903">
        <f>SUM(W49:W53)</f>
        <v>0.99999999999999989</v>
      </c>
      <c r="X54" s="1002">
        <f>SUM(X49:X53)</f>
        <v>5690.5</v>
      </c>
      <c r="Y54" s="1002">
        <f>SUM(Y49:Y53)</f>
        <v>125191</v>
      </c>
      <c r="AE54" s="829"/>
      <c r="AF54" s="829"/>
    </row>
    <row r="55" spans="1:32" s="906" customFormat="1" x14ac:dyDescent="0.2">
      <c r="B55" s="904"/>
      <c r="C55" s="902"/>
      <c r="D55" s="902"/>
      <c r="E55" s="902"/>
      <c r="F55" s="902"/>
      <c r="G55" s="902"/>
      <c r="H55" s="902"/>
      <c r="I55" s="902"/>
      <c r="J55" s="902"/>
      <c r="K55" s="902"/>
      <c r="L55" s="902"/>
      <c r="M55" s="905"/>
      <c r="N55" s="905"/>
      <c r="O55" s="843"/>
      <c r="P55" s="843"/>
      <c r="Q55" s="904"/>
      <c r="R55" s="904"/>
      <c r="S55" s="904"/>
      <c r="T55" s="904"/>
      <c r="U55" s="904"/>
      <c r="V55" s="904"/>
      <c r="W55" s="904"/>
      <c r="X55" s="843"/>
      <c r="Y55" s="843"/>
      <c r="Z55" s="843"/>
      <c r="AA55" s="843"/>
      <c r="AB55" s="843"/>
      <c r="AC55" s="843"/>
      <c r="AD55" s="843"/>
    </row>
    <row r="56" spans="1:32" s="906" customFormat="1" x14ac:dyDescent="0.2">
      <c r="B56" s="904"/>
      <c r="C56" s="902"/>
      <c r="D56" s="902"/>
      <c r="E56" s="902"/>
      <c r="F56" s="902"/>
      <c r="G56" s="902"/>
      <c r="H56" s="902"/>
      <c r="I56" s="902"/>
      <c r="J56" s="902"/>
      <c r="K56" s="902"/>
      <c r="L56" s="905"/>
      <c r="M56" s="905"/>
      <c r="N56" s="843"/>
      <c r="O56" s="904"/>
      <c r="P56" s="904"/>
      <c r="Q56" s="904"/>
      <c r="R56" s="904"/>
      <c r="S56" s="904"/>
      <c r="T56" s="904"/>
      <c r="U56" s="904"/>
      <c r="V56" s="843"/>
      <c r="W56" s="843"/>
      <c r="X56" s="843"/>
      <c r="Y56" s="843"/>
      <c r="Z56" s="843"/>
      <c r="AA56" s="843"/>
      <c r="AB56" s="843"/>
    </row>
    <row r="57" spans="1:32" s="906" customFormat="1" x14ac:dyDescent="0.2">
      <c r="B57" s="904"/>
      <c r="C57" s="902"/>
      <c r="D57" s="902"/>
      <c r="E57" s="902"/>
      <c r="F57" s="902"/>
      <c r="G57" s="902"/>
      <c r="H57" s="902"/>
      <c r="I57" s="902"/>
      <c r="J57" s="902"/>
      <c r="K57" s="902"/>
      <c r="L57" s="905"/>
      <c r="M57" s="905"/>
      <c r="N57" s="843"/>
      <c r="O57" s="843"/>
      <c r="P57" s="904"/>
      <c r="Q57" s="904"/>
      <c r="R57" s="904"/>
      <c r="S57" s="904"/>
      <c r="T57" s="904"/>
      <c r="U57" s="904"/>
      <c r="V57" s="904"/>
      <c r="W57" s="843"/>
      <c r="X57" s="843"/>
      <c r="Y57" s="843"/>
      <c r="Z57" s="843"/>
      <c r="AA57" s="843"/>
      <c r="AB57" s="843"/>
      <c r="AC57" s="843"/>
    </row>
    <row r="58" spans="1:32" s="906" customFormat="1" x14ac:dyDescent="0.2">
      <c r="B58" s="904"/>
      <c r="C58" s="902"/>
      <c r="D58" s="902"/>
      <c r="E58" s="902"/>
      <c r="F58" s="902"/>
      <c r="G58" s="902"/>
      <c r="H58" s="902"/>
      <c r="I58" s="902"/>
      <c r="J58" s="902"/>
      <c r="K58" s="902"/>
      <c r="L58" s="905"/>
      <c r="M58" s="905"/>
      <c r="N58" s="843"/>
      <c r="O58" s="905"/>
      <c r="P58" s="843"/>
      <c r="Q58" s="905"/>
      <c r="R58" s="904"/>
      <c r="S58" s="904"/>
      <c r="T58" s="904"/>
      <c r="U58" s="904"/>
      <c r="V58" s="904"/>
      <c r="W58" s="904"/>
      <c r="X58" s="904"/>
      <c r="Y58" s="904"/>
      <c r="Z58" s="843"/>
      <c r="AA58" s="843"/>
      <c r="AB58" s="843"/>
      <c r="AC58" s="843"/>
      <c r="AD58" s="843"/>
      <c r="AE58" s="843"/>
      <c r="AF58" s="843"/>
    </row>
    <row r="59" spans="1:32" s="906" customFormat="1" x14ac:dyDescent="0.2">
      <c r="B59" s="904"/>
      <c r="C59" s="902"/>
      <c r="D59" s="902"/>
      <c r="E59" s="902"/>
      <c r="F59" s="902"/>
      <c r="G59" s="902"/>
      <c r="H59" s="902"/>
      <c r="I59" s="902"/>
      <c r="J59" s="902"/>
      <c r="K59" s="902"/>
      <c r="L59" s="905"/>
      <c r="M59" s="905"/>
      <c r="N59" s="843"/>
      <c r="O59" s="905"/>
      <c r="P59" s="843"/>
      <c r="Q59" s="905"/>
      <c r="R59" s="904"/>
      <c r="S59" s="904"/>
      <c r="T59" s="904"/>
      <c r="U59" s="904"/>
      <c r="V59" s="904"/>
      <c r="W59" s="904"/>
      <c r="X59" s="904"/>
      <c r="Y59" s="904"/>
      <c r="Z59" s="843"/>
      <c r="AA59" s="843"/>
      <c r="AB59" s="843"/>
      <c r="AC59" s="843"/>
      <c r="AD59" s="843"/>
      <c r="AE59" s="843"/>
      <c r="AF59" s="843"/>
    </row>
    <row r="60" spans="1:32" s="906" customFormat="1" x14ac:dyDescent="0.2">
      <c r="B60" s="904"/>
      <c r="C60" s="902"/>
      <c r="D60" s="902"/>
      <c r="E60" s="902"/>
      <c r="F60" s="902"/>
      <c r="G60" s="902"/>
      <c r="H60" s="902"/>
      <c r="I60" s="902"/>
      <c r="J60" s="902"/>
      <c r="K60" s="902"/>
      <c r="L60" s="905"/>
      <c r="M60" s="905"/>
      <c r="N60" s="843"/>
      <c r="O60" s="905"/>
      <c r="P60" s="843"/>
      <c r="Q60" s="905"/>
      <c r="R60" s="904"/>
      <c r="S60" s="904"/>
      <c r="T60" s="904"/>
      <c r="U60" s="904"/>
      <c r="V60" s="904"/>
      <c r="W60" s="904"/>
      <c r="X60" s="904"/>
      <c r="Y60" s="904"/>
      <c r="Z60" s="843"/>
      <c r="AA60" s="843"/>
      <c r="AB60" s="843"/>
      <c r="AC60" s="843"/>
      <c r="AD60" s="843"/>
      <c r="AE60" s="843"/>
      <c r="AF60" s="843"/>
    </row>
    <row r="61" spans="1:32" s="906" customFormat="1" x14ac:dyDescent="0.2">
      <c r="B61" s="904"/>
      <c r="C61" s="902"/>
      <c r="D61" s="902"/>
      <c r="E61" s="902"/>
      <c r="F61" s="902"/>
      <c r="G61" s="902"/>
      <c r="H61" s="902"/>
      <c r="I61" s="902"/>
      <c r="J61" s="902"/>
      <c r="K61" s="902"/>
      <c r="L61" s="905"/>
      <c r="M61" s="905"/>
      <c r="N61" s="843"/>
      <c r="O61" s="905"/>
      <c r="P61" s="843"/>
      <c r="Q61" s="905"/>
      <c r="R61" s="904"/>
      <c r="S61" s="904"/>
      <c r="T61" s="904"/>
      <c r="U61" s="904"/>
      <c r="V61" s="904"/>
      <c r="W61" s="904"/>
      <c r="X61" s="904"/>
      <c r="Y61" s="904"/>
      <c r="Z61" s="843"/>
      <c r="AA61" s="843"/>
      <c r="AB61" s="843"/>
      <c r="AC61" s="843"/>
      <c r="AD61" s="843"/>
      <c r="AE61" s="843"/>
      <c r="AF61" s="843"/>
    </row>
    <row r="62" spans="1:32" s="906" customFormat="1" x14ac:dyDescent="0.2">
      <c r="B62" s="904"/>
      <c r="C62" s="902"/>
      <c r="D62" s="902"/>
      <c r="E62" s="902"/>
      <c r="F62" s="902"/>
      <c r="G62" s="902"/>
      <c r="H62" s="902"/>
      <c r="I62" s="902"/>
      <c r="J62" s="902"/>
      <c r="K62" s="902"/>
      <c r="L62" s="905"/>
      <c r="M62" s="905"/>
      <c r="N62" s="843"/>
      <c r="O62" s="905"/>
      <c r="P62" s="843"/>
      <c r="Q62" s="905"/>
      <c r="R62" s="904"/>
      <c r="S62" s="904"/>
      <c r="T62" s="904"/>
      <c r="U62" s="904"/>
      <c r="V62" s="904"/>
      <c r="W62" s="904"/>
      <c r="X62" s="904"/>
      <c r="Y62" s="904"/>
      <c r="Z62" s="843"/>
      <c r="AA62" s="843"/>
      <c r="AB62" s="843"/>
      <c r="AC62" s="843"/>
      <c r="AD62" s="843"/>
      <c r="AE62" s="843"/>
      <c r="AF62" s="843"/>
    </row>
    <row r="63" spans="1:32" s="906" customFormat="1" x14ac:dyDescent="0.2">
      <c r="B63" s="904"/>
      <c r="C63" s="902"/>
      <c r="D63" s="902"/>
      <c r="E63" s="902"/>
      <c r="F63" s="902"/>
      <c r="G63" s="902"/>
      <c r="H63" s="902"/>
      <c r="I63" s="902"/>
      <c r="J63" s="902"/>
      <c r="K63" s="902"/>
      <c r="L63" s="905"/>
      <c r="M63" s="905"/>
      <c r="N63" s="843"/>
      <c r="O63" s="905"/>
      <c r="P63" s="843"/>
      <c r="Q63" s="905"/>
      <c r="R63" s="904"/>
      <c r="S63" s="904"/>
      <c r="T63" s="904"/>
      <c r="U63" s="904"/>
      <c r="V63" s="904"/>
      <c r="W63" s="904"/>
      <c r="X63" s="904"/>
      <c r="Y63" s="904"/>
      <c r="Z63" s="843"/>
      <c r="AA63" s="843"/>
      <c r="AB63" s="843"/>
      <c r="AC63" s="843"/>
      <c r="AD63" s="843"/>
      <c r="AE63" s="843"/>
      <c r="AF63" s="843"/>
    </row>
    <row r="64" spans="1:32" s="906" customFormat="1" x14ac:dyDescent="0.2">
      <c r="B64" s="904"/>
      <c r="C64" s="902"/>
      <c r="D64" s="902"/>
      <c r="E64" s="902"/>
      <c r="F64" s="902"/>
      <c r="G64" s="902"/>
      <c r="H64" s="902"/>
      <c r="I64" s="902"/>
      <c r="J64" s="902"/>
      <c r="K64" s="902"/>
      <c r="L64" s="905"/>
      <c r="M64" s="905"/>
      <c r="N64" s="843"/>
      <c r="O64" s="905"/>
      <c r="P64" s="843"/>
      <c r="Q64" s="905"/>
      <c r="R64" s="904"/>
      <c r="S64" s="904"/>
      <c r="T64" s="904"/>
      <c r="U64" s="904"/>
      <c r="V64" s="904"/>
      <c r="W64" s="904"/>
      <c r="X64" s="904"/>
      <c r="Y64" s="904"/>
      <c r="Z64" s="843"/>
      <c r="AA64" s="843"/>
      <c r="AB64" s="843"/>
      <c r="AC64" s="843"/>
      <c r="AD64" s="843"/>
      <c r="AE64" s="843"/>
      <c r="AF64" s="843"/>
    </row>
    <row r="65" spans="2:36" s="906" customFormat="1" x14ac:dyDescent="0.2">
      <c r="B65" s="904"/>
      <c r="C65" s="902"/>
      <c r="D65" s="902"/>
      <c r="E65" s="902"/>
      <c r="F65" s="902"/>
      <c r="G65" s="902"/>
      <c r="H65" s="902"/>
      <c r="I65" s="902"/>
      <c r="J65" s="902"/>
      <c r="K65" s="902"/>
      <c r="L65" s="905"/>
      <c r="M65" s="905"/>
      <c r="N65" s="843"/>
      <c r="O65" s="905"/>
      <c r="P65" s="843"/>
      <c r="Q65" s="905"/>
      <c r="R65" s="904"/>
      <c r="S65" s="904"/>
      <c r="T65" s="904"/>
      <c r="U65" s="904"/>
      <c r="V65" s="904"/>
      <c r="W65" s="904"/>
      <c r="X65" s="904"/>
      <c r="Y65" s="904"/>
      <c r="Z65" s="843"/>
      <c r="AA65" s="843"/>
      <c r="AB65" s="843"/>
      <c r="AC65" s="843"/>
      <c r="AD65" s="843"/>
      <c r="AE65" s="843"/>
      <c r="AF65" s="843"/>
    </row>
    <row r="66" spans="2:36" s="906" customFormat="1" x14ac:dyDescent="0.2">
      <c r="B66" s="904"/>
      <c r="C66" s="902"/>
      <c r="D66" s="902"/>
      <c r="E66" s="902"/>
      <c r="F66" s="902"/>
      <c r="G66" s="902"/>
      <c r="H66" s="902"/>
      <c r="I66" s="902"/>
      <c r="J66" s="902"/>
      <c r="K66" s="902"/>
      <c r="L66" s="905"/>
      <c r="M66" s="905"/>
      <c r="N66" s="843"/>
      <c r="O66" s="905"/>
      <c r="P66" s="843"/>
      <c r="Q66" s="905"/>
      <c r="R66" s="904"/>
      <c r="S66" s="904"/>
      <c r="T66" s="904"/>
      <c r="U66" s="904"/>
      <c r="V66" s="904"/>
      <c r="W66" s="904"/>
      <c r="X66" s="904"/>
      <c r="Y66" s="904"/>
      <c r="Z66" s="843"/>
      <c r="AA66" s="843"/>
      <c r="AB66" s="843"/>
      <c r="AC66" s="843"/>
      <c r="AD66" s="843"/>
      <c r="AE66" s="843"/>
      <c r="AF66" s="843"/>
    </row>
    <row r="67" spans="2:36" s="906" customFormat="1" x14ac:dyDescent="0.2">
      <c r="B67" s="904"/>
      <c r="C67" s="902"/>
      <c r="D67" s="902"/>
      <c r="E67" s="902"/>
      <c r="F67" s="902"/>
      <c r="G67" s="902"/>
      <c r="H67" s="902"/>
      <c r="I67" s="902"/>
      <c r="J67" s="902"/>
      <c r="K67" s="902"/>
      <c r="L67" s="902"/>
      <c r="M67" s="905"/>
      <c r="N67" s="905"/>
      <c r="O67" s="843"/>
      <c r="P67" s="905"/>
      <c r="Q67" s="843"/>
      <c r="R67" s="905"/>
      <c r="S67" s="904"/>
      <c r="T67" s="904"/>
      <c r="U67" s="904"/>
      <c r="V67" s="904"/>
      <c r="W67" s="904"/>
      <c r="X67" s="904"/>
      <c r="Y67" s="904"/>
      <c r="Z67" s="904"/>
      <c r="AA67" s="843"/>
      <c r="AB67" s="843"/>
      <c r="AC67" s="843"/>
      <c r="AD67" s="843"/>
      <c r="AE67" s="843"/>
      <c r="AF67" s="843"/>
      <c r="AG67" s="843"/>
    </row>
    <row r="68" spans="2:36" s="843" customFormat="1" ht="13.5" thickBot="1" x14ac:dyDescent="0.25">
      <c r="P68" s="860"/>
      <c r="Q68" s="860"/>
      <c r="T68" s="860"/>
      <c r="U68" s="860"/>
      <c r="V68" s="860"/>
      <c r="W68" s="860"/>
      <c r="X68" s="860"/>
      <c r="Y68" s="860"/>
      <c r="Z68" s="860"/>
      <c r="AA68" s="860"/>
      <c r="AB68" s="860"/>
      <c r="AC68" s="860"/>
      <c r="AD68" s="860"/>
      <c r="AE68" s="860"/>
      <c r="AF68" s="860"/>
      <c r="AG68" s="999" t="e">
        <f>'Junio - 2018'!AC101</f>
        <v>#REF!</v>
      </c>
    </row>
    <row r="69" spans="2:36" ht="13.5" thickBot="1" x14ac:dyDescent="0.25">
      <c r="B69" s="907" t="s">
        <v>3</v>
      </c>
      <c r="C69" s="908">
        <f>SUMIF(Tarifas!E4:E303,'Julio - 2019 '!C71,Tarifas!D4:D303)</f>
        <v>72</v>
      </c>
      <c r="D69" s="909" t="s">
        <v>147</v>
      </c>
      <c r="E69" s="910"/>
      <c r="F69" s="910" t="s">
        <v>145</v>
      </c>
      <c r="G69" s="910" t="s">
        <v>287</v>
      </c>
      <c r="H69" s="910" t="s">
        <v>148</v>
      </c>
      <c r="I69" s="911"/>
      <c r="J69" s="2320" t="s">
        <v>120</v>
      </c>
      <c r="K69" s="2321"/>
      <c r="L69" s="2321"/>
      <c r="M69" s="2322"/>
      <c r="N69" s="2311" t="s">
        <v>270</v>
      </c>
      <c r="O69" s="2312"/>
      <c r="P69" s="2312"/>
      <c r="Q69" s="2313"/>
      <c r="R69" s="2309" t="s">
        <v>271</v>
      </c>
      <c r="S69" s="2310"/>
      <c r="T69" s="2310"/>
      <c r="U69" s="2310"/>
      <c r="V69" s="2310"/>
      <c r="W69" s="2310"/>
      <c r="X69" s="2310"/>
      <c r="Y69" s="2310"/>
      <c r="Z69" s="2332"/>
      <c r="AA69" s="2362" t="s">
        <v>121</v>
      </c>
      <c r="AB69" s="2363"/>
      <c r="AC69" s="2363"/>
      <c r="AD69" s="2363"/>
      <c r="AE69" s="2363"/>
      <c r="AF69" s="2363"/>
      <c r="AG69" s="2364"/>
      <c r="AH69" s="843"/>
      <c r="AI69" s="843"/>
      <c r="AJ69" s="843"/>
    </row>
    <row r="70" spans="2:36" ht="51.75" thickBot="1" x14ac:dyDescent="0.25">
      <c r="C70" s="914" t="s">
        <v>122</v>
      </c>
      <c r="D70" s="1016" t="s">
        <v>125</v>
      </c>
      <c r="E70" s="1017" t="s">
        <v>277</v>
      </c>
      <c r="F70" s="1017" t="s">
        <v>149</v>
      </c>
      <c r="G70" s="1017" t="s">
        <v>151</v>
      </c>
      <c r="H70" s="1017" t="s">
        <v>152</v>
      </c>
      <c r="I70" s="1018" t="s">
        <v>123</v>
      </c>
      <c r="J70" s="1027" t="s">
        <v>734</v>
      </c>
      <c r="K70" s="1028" t="s">
        <v>109</v>
      </c>
      <c r="L70" s="1028" t="s">
        <v>25</v>
      </c>
      <c r="M70" s="1028" t="s">
        <v>26</v>
      </c>
      <c r="N70" s="1665" t="s">
        <v>738</v>
      </c>
      <c r="O70" s="1666" t="s">
        <v>266</v>
      </c>
      <c r="P70" s="1666" t="s">
        <v>269</v>
      </c>
      <c r="Q70" s="1906" t="s">
        <v>267</v>
      </c>
      <c r="R70" s="1904" t="s">
        <v>395</v>
      </c>
      <c r="S70" s="2021" t="s">
        <v>272</v>
      </c>
      <c r="T70" s="1904" t="s">
        <v>22</v>
      </c>
      <c r="U70" s="1905" t="s">
        <v>272</v>
      </c>
      <c r="V70" s="978" t="s">
        <v>25</v>
      </c>
      <c r="W70" s="978" t="s">
        <v>26</v>
      </c>
      <c r="X70" s="979" t="s">
        <v>272</v>
      </c>
      <c r="Y70" s="980" t="s">
        <v>273</v>
      </c>
      <c r="Z70" s="977" t="s">
        <v>272</v>
      </c>
      <c r="AA70" s="1012" t="s">
        <v>207</v>
      </c>
      <c r="AB70" s="1013"/>
      <c r="AC70" s="1013" t="s">
        <v>112</v>
      </c>
      <c r="AD70" s="1014" t="s">
        <v>118</v>
      </c>
      <c r="AE70" s="1014" t="s">
        <v>119</v>
      </c>
      <c r="AF70" s="1014" t="s">
        <v>114</v>
      </c>
      <c r="AG70" s="1015" t="s">
        <v>113</v>
      </c>
      <c r="AH70" s="843"/>
      <c r="AI70" s="843"/>
      <c r="AJ70" s="843"/>
    </row>
    <row r="71" spans="2:36" x14ac:dyDescent="0.2">
      <c r="C71" s="918">
        <v>43647</v>
      </c>
      <c r="D71" s="919">
        <f>($E$22*$H$22)/$G$22</f>
        <v>153350.92387096773</v>
      </c>
      <c r="E71" s="920">
        <f>($F$22*$I$22)/$G$22</f>
        <v>14421.080258064516</v>
      </c>
      <c r="F71" s="921">
        <f t="shared" ref="F71:F101" si="6">O71+P71+Q71</f>
        <v>184709.239375</v>
      </c>
      <c r="G71" s="922">
        <f>TRUNC(IFERROR(K$22/L$22,0),8)</f>
        <v>1.0163853</v>
      </c>
      <c r="H71" s="923">
        <f t="shared" ref="H71:H101" si="7">ROUND(J$22*G71*F71,4)</f>
        <v>187.73580000000001</v>
      </c>
      <c r="I71" s="924">
        <f t="shared" ref="I71:I101" si="8">SUM(D71:H71)</f>
        <v>352669.99568933231</v>
      </c>
      <c r="J71" s="925"/>
      <c r="K71" s="926"/>
      <c r="L71" s="926"/>
      <c r="M71" s="984"/>
      <c r="N71" s="2090">
        <v>16834.151027608201</v>
      </c>
      <c r="O71" s="2091">
        <v>71570.859375</v>
      </c>
      <c r="P71" s="2091">
        <v>113138.38</v>
      </c>
      <c r="Q71" s="2093">
        <v>0</v>
      </c>
      <c r="R71" s="2090"/>
      <c r="S71" s="2092">
        <f t="shared" ref="S71:S101" si="9">N71-R71</f>
        <v>16834.151027608201</v>
      </c>
      <c r="T71" s="2091">
        <v>71570.86</v>
      </c>
      <c r="U71" s="2092">
        <f t="shared" ref="U71:U101" si="10">O71-T71</f>
        <v>-6.2500000058207661E-4</v>
      </c>
      <c r="V71" s="2044">
        <v>77156.52</v>
      </c>
      <c r="W71" s="2044">
        <v>35981.883000000002</v>
      </c>
      <c r="X71" s="2042">
        <f t="shared" ref="X71:X101" si="11">P71-(V71+W71)</f>
        <v>-2.3000000001047738E-2</v>
      </c>
      <c r="Y71" s="2043">
        <v>0</v>
      </c>
      <c r="Z71" s="2045">
        <f t="shared" ref="Z71:Z101" si="12">Q71-Y71</f>
        <v>0</v>
      </c>
      <c r="AA71" s="929"/>
      <c r="AB71" s="930"/>
      <c r="AC71" s="931">
        <f>AA71+AB71-AD71</f>
        <v>0</v>
      </c>
      <c r="AD71" s="931">
        <f t="shared" ref="AD71:AD101" si="13">K71+L71+M71</f>
        <v>0</v>
      </c>
      <c r="AE71" s="931">
        <f>(X71+Y71+Z71)*1.055056</f>
        <v>-2.4266288001105422E-2</v>
      </c>
      <c r="AF71" s="931">
        <f>AD71-AE71</f>
        <v>2.4266288001105422E-2</v>
      </c>
      <c r="AG71" s="932" t="e">
        <f>AG68+AF71</f>
        <v>#REF!</v>
      </c>
      <c r="AH71" s="843"/>
      <c r="AI71" s="843"/>
      <c r="AJ71" s="843"/>
    </row>
    <row r="72" spans="2:36" x14ac:dyDescent="0.2">
      <c r="C72" s="933">
        <f t="shared" ref="C72:C101" si="14">C71+1</f>
        <v>43648</v>
      </c>
      <c r="D72" s="919">
        <f t="shared" ref="D72:D101" si="15">($E$22*$H$22)/$G$22</f>
        <v>153350.92387096773</v>
      </c>
      <c r="E72" s="920">
        <f t="shared" ref="E72:E101" si="16">($F$22*$I$22)/$G$22</f>
        <v>14421.080258064516</v>
      </c>
      <c r="F72" s="934">
        <f t="shared" si="6"/>
        <v>180679.33156299999</v>
      </c>
      <c r="G72" s="935">
        <f t="shared" ref="G72:G101" si="17">TRUNC(IFERROR(K$22/L$22,0),8)</f>
        <v>1.0163853</v>
      </c>
      <c r="H72" s="923">
        <f t="shared" si="7"/>
        <v>183.63980000000001</v>
      </c>
      <c r="I72" s="924">
        <f t="shared" si="8"/>
        <v>348635.99187733227</v>
      </c>
      <c r="J72" s="925"/>
      <c r="K72" s="926"/>
      <c r="L72" s="926"/>
      <c r="M72" s="984"/>
      <c r="N72" s="2040">
        <v>13634.526026285201</v>
      </c>
      <c r="O72" s="2047">
        <v>71976.101563000004</v>
      </c>
      <c r="P72" s="2047">
        <v>108703.23</v>
      </c>
      <c r="Q72" s="2094">
        <v>0</v>
      </c>
      <c r="R72" s="2046"/>
      <c r="S72" s="2045">
        <f t="shared" si="9"/>
        <v>13634.526026285201</v>
      </c>
      <c r="T72" s="2047">
        <v>71976.100000000006</v>
      </c>
      <c r="U72" s="2045">
        <f t="shared" si="10"/>
        <v>1.5629999979864806E-3</v>
      </c>
      <c r="V72" s="2050">
        <v>71046.775999999998</v>
      </c>
      <c r="W72" s="2050">
        <v>37656.449999999997</v>
      </c>
      <c r="X72" s="2042">
        <f t="shared" si="11"/>
        <v>4.0000000008149073E-3</v>
      </c>
      <c r="Y72" s="2049">
        <v>0</v>
      </c>
      <c r="Z72" s="2051">
        <f t="shared" si="12"/>
        <v>0</v>
      </c>
      <c r="AA72" s="929"/>
      <c r="AB72" s="930"/>
      <c r="AC72" s="931">
        <f t="shared" ref="AC72:AC101" si="18">AA72+AB72-AD72</f>
        <v>0</v>
      </c>
      <c r="AD72" s="931">
        <f t="shared" si="13"/>
        <v>0</v>
      </c>
      <c r="AE72" s="931">
        <f t="shared" ref="AE72:AE101" si="19">(X72+Y72+Z72)*1.055056</f>
        <v>4.220224000859773E-3</v>
      </c>
      <c r="AF72" s="931">
        <f t="shared" ref="AF72:AF101" si="20">AD72-AE72</f>
        <v>-4.220224000859773E-3</v>
      </c>
      <c r="AG72" s="932" t="e">
        <f>AG71+AF72</f>
        <v>#REF!</v>
      </c>
      <c r="AH72" s="843"/>
      <c r="AI72" s="843"/>
      <c r="AJ72" s="843"/>
    </row>
    <row r="73" spans="2:36" x14ac:dyDescent="0.2">
      <c r="C73" s="933">
        <f t="shared" si="14"/>
        <v>43649</v>
      </c>
      <c r="D73" s="919">
        <f t="shared" si="15"/>
        <v>153350.92387096773</v>
      </c>
      <c r="E73" s="920">
        <f t="shared" si="16"/>
        <v>14421.080258064516</v>
      </c>
      <c r="F73" s="934">
        <f t="shared" si="6"/>
        <v>180403.064063</v>
      </c>
      <c r="G73" s="935">
        <f t="shared" si="17"/>
        <v>1.0163853</v>
      </c>
      <c r="H73" s="923">
        <f t="shared" si="7"/>
        <v>183.35900000000001</v>
      </c>
      <c r="I73" s="924">
        <f t="shared" si="8"/>
        <v>348359.44357733231</v>
      </c>
      <c r="J73" s="925"/>
      <c r="K73" s="926"/>
      <c r="L73" s="926"/>
      <c r="M73" s="984"/>
      <c r="N73" s="2040">
        <v>19846.869433677301</v>
      </c>
      <c r="O73" s="2041">
        <v>71824.914063000004</v>
      </c>
      <c r="P73" s="2041">
        <v>108578.15</v>
      </c>
      <c r="Q73" s="2094">
        <v>0</v>
      </c>
      <c r="R73" s="2040"/>
      <c r="S73" s="2045">
        <f t="shared" si="9"/>
        <v>19846.869433677301</v>
      </c>
      <c r="T73" s="2041">
        <v>71824.91</v>
      </c>
      <c r="U73" s="2045">
        <f t="shared" si="10"/>
        <v>4.063000000314787E-3</v>
      </c>
      <c r="V73" s="2050">
        <v>71055.213000000003</v>
      </c>
      <c r="W73" s="2050">
        <v>37522.955999999998</v>
      </c>
      <c r="X73" s="2042">
        <f t="shared" si="11"/>
        <v>-1.9000000000232831E-2</v>
      </c>
      <c r="Y73" s="2049">
        <v>0</v>
      </c>
      <c r="Z73" s="2051">
        <f t="shared" si="12"/>
        <v>0</v>
      </c>
      <c r="AA73" s="929"/>
      <c r="AB73" s="930"/>
      <c r="AC73" s="931">
        <f t="shared" si="18"/>
        <v>0</v>
      </c>
      <c r="AD73" s="931">
        <f t="shared" si="13"/>
        <v>0</v>
      </c>
      <c r="AE73" s="931">
        <f t="shared" si="19"/>
        <v>-2.004606400024565E-2</v>
      </c>
      <c r="AF73" s="931">
        <f t="shared" si="20"/>
        <v>2.004606400024565E-2</v>
      </c>
      <c r="AG73" s="932" t="e">
        <f t="shared" ref="AG73:AG101" si="21">AG72+AF73</f>
        <v>#REF!</v>
      </c>
      <c r="AH73" s="843"/>
      <c r="AI73" s="843"/>
      <c r="AJ73" s="843"/>
    </row>
    <row r="74" spans="2:36" x14ac:dyDescent="0.2">
      <c r="C74" s="933">
        <f t="shared" si="14"/>
        <v>43650</v>
      </c>
      <c r="D74" s="919">
        <f t="shared" si="15"/>
        <v>153350.92387096773</v>
      </c>
      <c r="E74" s="920">
        <f t="shared" si="16"/>
        <v>14421.080258064516</v>
      </c>
      <c r="F74" s="934">
        <f t="shared" si="6"/>
        <v>180203.68281299999</v>
      </c>
      <c r="G74" s="935">
        <f t="shared" si="17"/>
        <v>1.0163853</v>
      </c>
      <c r="H74" s="923">
        <f t="shared" si="7"/>
        <v>183.15639999999999</v>
      </c>
      <c r="I74" s="924">
        <f t="shared" si="8"/>
        <v>348159.85972733225</v>
      </c>
      <c r="J74" s="925"/>
      <c r="K74" s="926"/>
      <c r="L74" s="926"/>
      <c r="M74" s="984"/>
      <c r="N74" s="2040">
        <v>23285.6506328619</v>
      </c>
      <c r="O74" s="2047">
        <v>71598.382813000004</v>
      </c>
      <c r="P74" s="2047">
        <v>108605.3</v>
      </c>
      <c r="Q74" s="2094">
        <v>0</v>
      </c>
      <c r="R74" s="2046"/>
      <c r="S74" s="2045">
        <f t="shared" si="9"/>
        <v>23285.6506328619</v>
      </c>
      <c r="T74" s="2047">
        <v>71598.383000000002</v>
      </c>
      <c r="U74" s="2045">
        <f t="shared" si="10"/>
        <v>-1.8699999782256782E-4</v>
      </c>
      <c r="V74" s="2050">
        <v>71051.375</v>
      </c>
      <c r="W74" s="2050">
        <v>37553.93</v>
      </c>
      <c r="X74" s="2042">
        <f t="shared" si="11"/>
        <v>-4.9999999901046976E-3</v>
      </c>
      <c r="Y74" s="2049">
        <v>0</v>
      </c>
      <c r="Z74" s="2051">
        <f t="shared" si="12"/>
        <v>0</v>
      </c>
      <c r="AA74" s="929"/>
      <c r="AB74" s="930"/>
      <c r="AC74" s="931">
        <f t="shared" si="18"/>
        <v>0</v>
      </c>
      <c r="AD74" s="931">
        <f t="shared" si="13"/>
        <v>0</v>
      </c>
      <c r="AE74" s="931">
        <f t="shared" si="19"/>
        <v>-5.2752799895599018E-3</v>
      </c>
      <c r="AF74" s="931">
        <f t="shared" si="20"/>
        <v>5.2752799895599018E-3</v>
      </c>
      <c r="AG74" s="932" t="e">
        <f t="shared" si="21"/>
        <v>#REF!</v>
      </c>
      <c r="AH74" s="843"/>
      <c r="AI74" s="843"/>
      <c r="AJ74" s="843"/>
    </row>
    <row r="75" spans="2:36" x14ac:dyDescent="0.2">
      <c r="C75" s="933">
        <f t="shared" si="14"/>
        <v>43651</v>
      </c>
      <c r="D75" s="919">
        <f t="shared" si="15"/>
        <v>153350.92387096773</v>
      </c>
      <c r="E75" s="920">
        <f t="shared" si="16"/>
        <v>14421.080258064516</v>
      </c>
      <c r="F75" s="934">
        <f t="shared" si="6"/>
        <v>180126.47468799999</v>
      </c>
      <c r="G75" s="935">
        <f t="shared" si="17"/>
        <v>1.0163853</v>
      </c>
      <c r="H75" s="923">
        <f t="shared" si="7"/>
        <v>183.0779</v>
      </c>
      <c r="I75" s="924">
        <f t="shared" si="8"/>
        <v>348082.57310233224</v>
      </c>
      <c r="J75" s="925"/>
      <c r="K75" s="926"/>
      <c r="L75" s="926"/>
      <c r="M75" s="984"/>
      <c r="N75" s="2040">
        <v>23417.024618062402</v>
      </c>
      <c r="O75" s="2041">
        <v>71807.054688000004</v>
      </c>
      <c r="P75" s="2041">
        <v>108319.42</v>
      </c>
      <c r="Q75" s="2094">
        <v>0</v>
      </c>
      <c r="R75" s="2040"/>
      <c r="S75" s="2045">
        <f t="shared" si="9"/>
        <v>23417.024618062402</v>
      </c>
      <c r="T75" s="2041">
        <v>71807.054000000004</v>
      </c>
      <c r="U75" s="2045">
        <f t="shared" si="10"/>
        <v>6.8800000008195639E-4</v>
      </c>
      <c r="V75" s="2050">
        <v>70845.710999999996</v>
      </c>
      <c r="W75" s="2050">
        <v>37473.72</v>
      </c>
      <c r="X75" s="2042">
        <f t="shared" si="11"/>
        <v>-1.0999999998603016E-2</v>
      </c>
      <c r="Y75" s="2049">
        <v>0</v>
      </c>
      <c r="Z75" s="2051">
        <f t="shared" si="12"/>
        <v>0</v>
      </c>
      <c r="AA75" s="929"/>
      <c r="AB75" s="930"/>
      <c r="AC75" s="931">
        <f t="shared" si="18"/>
        <v>0</v>
      </c>
      <c r="AD75" s="931">
        <f t="shared" si="13"/>
        <v>0</v>
      </c>
      <c r="AE75" s="931">
        <f t="shared" si="19"/>
        <v>-1.1605615998526103E-2</v>
      </c>
      <c r="AF75" s="931">
        <f t="shared" si="20"/>
        <v>1.1605615998526103E-2</v>
      </c>
      <c r="AG75" s="932" t="e">
        <f t="shared" si="21"/>
        <v>#REF!</v>
      </c>
      <c r="AH75" s="843"/>
      <c r="AI75" s="843"/>
      <c r="AJ75" s="843"/>
    </row>
    <row r="76" spans="2:36" x14ac:dyDescent="0.2">
      <c r="C76" s="933">
        <f t="shared" si="14"/>
        <v>43652</v>
      </c>
      <c r="D76" s="919">
        <f t="shared" si="15"/>
        <v>153350.92387096773</v>
      </c>
      <c r="E76" s="920">
        <f t="shared" si="16"/>
        <v>14421.080258064516</v>
      </c>
      <c r="F76" s="934">
        <f t="shared" si="6"/>
        <v>179816.509063</v>
      </c>
      <c r="G76" s="935">
        <f t="shared" si="17"/>
        <v>1.0163853</v>
      </c>
      <c r="H76" s="923">
        <f t="shared" si="7"/>
        <v>182.7629</v>
      </c>
      <c r="I76" s="924">
        <f t="shared" si="8"/>
        <v>347772.29247733223</v>
      </c>
      <c r="J76" s="925"/>
      <c r="K76" s="926"/>
      <c r="L76" s="926"/>
      <c r="M76" s="984"/>
      <c r="N76" s="2040">
        <v>23442.815190428297</v>
      </c>
      <c r="O76" s="2047">
        <v>71494.789063000004</v>
      </c>
      <c r="P76" s="2047">
        <v>108321.72</v>
      </c>
      <c r="Q76" s="2094">
        <v>0</v>
      </c>
      <c r="R76" s="2046"/>
      <c r="S76" s="2045">
        <f t="shared" si="9"/>
        <v>23442.815190428297</v>
      </c>
      <c r="T76" s="2047">
        <v>71494.789000000004</v>
      </c>
      <c r="U76" s="2045">
        <f t="shared" si="10"/>
        <v>6.2999999499879777E-5</v>
      </c>
      <c r="V76" s="2050">
        <v>70834.313999999998</v>
      </c>
      <c r="W76" s="2050">
        <v>37487.398999999998</v>
      </c>
      <c r="X76" s="2042">
        <f t="shared" si="11"/>
        <v>7.0000000123400241E-3</v>
      </c>
      <c r="Y76" s="2049">
        <v>0</v>
      </c>
      <c r="Z76" s="2051">
        <f t="shared" si="12"/>
        <v>0</v>
      </c>
      <c r="AA76" s="929"/>
      <c r="AB76" s="930"/>
      <c r="AC76" s="931">
        <f t="shared" si="18"/>
        <v>0</v>
      </c>
      <c r="AD76" s="931">
        <f t="shared" si="13"/>
        <v>0</v>
      </c>
      <c r="AE76" s="931">
        <f t="shared" si="19"/>
        <v>7.3853920130194164E-3</v>
      </c>
      <c r="AF76" s="931">
        <f t="shared" si="20"/>
        <v>-7.3853920130194164E-3</v>
      </c>
      <c r="AG76" s="932" t="e">
        <f t="shared" si="21"/>
        <v>#REF!</v>
      </c>
      <c r="AH76" s="843"/>
      <c r="AI76" s="843"/>
      <c r="AJ76" s="843"/>
    </row>
    <row r="77" spans="2:36" x14ac:dyDescent="0.2">
      <c r="C77" s="933">
        <f t="shared" si="14"/>
        <v>43653</v>
      </c>
      <c r="D77" s="919">
        <f t="shared" si="15"/>
        <v>153350.92387096773</v>
      </c>
      <c r="E77" s="920">
        <f t="shared" si="16"/>
        <v>14421.080258064516</v>
      </c>
      <c r="F77" s="934">
        <f t="shared" si="6"/>
        <v>180994.55562499998</v>
      </c>
      <c r="G77" s="935">
        <f t="shared" si="17"/>
        <v>1.0163853</v>
      </c>
      <c r="H77" s="923">
        <f t="shared" si="7"/>
        <v>183.96019999999999</v>
      </c>
      <c r="I77" s="924">
        <f t="shared" si="8"/>
        <v>348951.53633933223</v>
      </c>
      <c r="J77" s="925"/>
      <c r="K77" s="926"/>
      <c r="L77" s="926"/>
      <c r="M77" s="984"/>
      <c r="N77" s="2040">
        <v>23423.460199968296</v>
      </c>
      <c r="O77" s="2041">
        <v>72488.015625</v>
      </c>
      <c r="P77" s="2041">
        <v>108506.54</v>
      </c>
      <c r="Q77" s="2094">
        <v>0</v>
      </c>
      <c r="R77" s="2040"/>
      <c r="S77" s="2045">
        <f t="shared" si="9"/>
        <v>23423.460199968296</v>
      </c>
      <c r="T77" s="2041">
        <v>72488.016000000003</v>
      </c>
      <c r="U77" s="2045">
        <f t="shared" si="10"/>
        <v>-3.7500000325962901E-4</v>
      </c>
      <c r="V77" s="2050">
        <v>71019.456999999995</v>
      </c>
      <c r="W77" s="2050">
        <v>37487.11</v>
      </c>
      <c r="X77" s="2042">
        <f t="shared" si="11"/>
        <v>-2.7000000001862645E-2</v>
      </c>
      <c r="Y77" s="2049">
        <v>0</v>
      </c>
      <c r="Z77" s="2051">
        <f t="shared" si="12"/>
        <v>0</v>
      </c>
      <c r="AA77" s="929"/>
      <c r="AB77" s="930"/>
      <c r="AC77" s="931">
        <f t="shared" si="18"/>
        <v>0</v>
      </c>
      <c r="AD77" s="931">
        <f t="shared" si="13"/>
        <v>0</v>
      </c>
      <c r="AE77" s="931">
        <f t="shared" si="19"/>
        <v>-2.8486512001965194E-2</v>
      </c>
      <c r="AF77" s="931">
        <f t="shared" si="20"/>
        <v>2.8486512001965194E-2</v>
      </c>
      <c r="AG77" s="932" t="e">
        <f t="shared" si="21"/>
        <v>#REF!</v>
      </c>
      <c r="AH77" s="843"/>
      <c r="AI77" s="843"/>
      <c r="AJ77" s="843"/>
    </row>
    <row r="78" spans="2:36" x14ac:dyDescent="0.2">
      <c r="C78" s="933">
        <f t="shared" si="14"/>
        <v>43654</v>
      </c>
      <c r="D78" s="919">
        <f t="shared" si="15"/>
        <v>153350.92387096773</v>
      </c>
      <c r="E78" s="920">
        <f t="shared" si="16"/>
        <v>14421.080258064516</v>
      </c>
      <c r="F78" s="934">
        <f t="shared" si="6"/>
        <v>180615.52781300002</v>
      </c>
      <c r="G78" s="935">
        <f t="shared" si="17"/>
        <v>1.0163853</v>
      </c>
      <c r="H78" s="923">
        <f t="shared" si="7"/>
        <v>183.57499999999999</v>
      </c>
      <c r="I78" s="924">
        <f t="shared" si="8"/>
        <v>348572.12332733232</v>
      </c>
      <c r="J78" s="925"/>
      <c r="K78" s="926"/>
      <c r="L78" s="926"/>
      <c r="M78" s="984"/>
      <c r="N78" s="2040">
        <v>22953.628428183998</v>
      </c>
      <c r="O78" s="2047">
        <v>72073.257813000004</v>
      </c>
      <c r="P78" s="2047">
        <v>108542.27</v>
      </c>
      <c r="Q78" s="2094">
        <v>0</v>
      </c>
      <c r="R78" s="2046"/>
      <c r="S78" s="2045">
        <f t="shared" si="9"/>
        <v>22953.628428183998</v>
      </c>
      <c r="T78" s="2047">
        <v>72073.258000000002</v>
      </c>
      <c r="U78" s="2045">
        <f t="shared" si="10"/>
        <v>-1.8699999782256782E-4</v>
      </c>
      <c r="V78" s="2050">
        <v>71028.865999999995</v>
      </c>
      <c r="W78" s="2050">
        <v>37513.4</v>
      </c>
      <c r="X78" s="2042">
        <f t="shared" si="11"/>
        <v>4.0000000008149073E-3</v>
      </c>
      <c r="Y78" s="2049">
        <v>0</v>
      </c>
      <c r="Z78" s="2051">
        <f t="shared" si="12"/>
        <v>0</v>
      </c>
      <c r="AA78" s="929"/>
      <c r="AB78" s="930"/>
      <c r="AC78" s="931">
        <f t="shared" si="18"/>
        <v>0</v>
      </c>
      <c r="AD78" s="931">
        <f t="shared" si="13"/>
        <v>0</v>
      </c>
      <c r="AE78" s="931">
        <f t="shared" si="19"/>
        <v>4.220224000859773E-3</v>
      </c>
      <c r="AF78" s="931">
        <f t="shared" si="20"/>
        <v>-4.220224000859773E-3</v>
      </c>
      <c r="AG78" s="932" t="e">
        <f t="shared" si="21"/>
        <v>#REF!</v>
      </c>
    </row>
    <row r="79" spans="2:36" x14ac:dyDescent="0.2">
      <c r="C79" s="933">
        <f t="shared" si="14"/>
        <v>43655</v>
      </c>
      <c r="D79" s="919">
        <f t="shared" si="15"/>
        <v>153350.92387096773</v>
      </c>
      <c r="E79" s="920">
        <f t="shared" si="16"/>
        <v>14421.080258064516</v>
      </c>
      <c r="F79" s="934">
        <f t="shared" si="6"/>
        <v>181424.99031299999</v>
      </c>
      <c r="G79" s="935">
        <f t="shared" si="17"/>
        <v>1.0163853</v>
      </c>
      <c r="H79" s="923">
        <f t="shared" si="7"/>
        <v>184.39769999999999</v>
      </c>
      <c r="I79" s="924">
        <f t="shared" si="8"/>
        <v>349382.40852733224</v>
      </c>
      <c r="J79" s="925"/>
      <c r="K79" s="926"/>
      <c r="L79" s="926"/>
      <c r="M79" s="984"/>
      <c r="N79" s="2040">
        <v>12658.4002211401</v>
      </c>
      <c r="O79" s="2041">
        <v>71918.320313000004</v>
      </c>
      <c r="P79" s="2041">
        <v>109506.67</v>
      </c>
      <c r="Q79" s="2094">
        <v>0</v>
      </c>
      <c r="R79" s="2040"/>
      <c r="S79" s="2045">
        <f t="shared" si="9"/>
        <v>12658.4002211401</v>
      </c>
      <c r="T79" s="2041">
        <v>71918.3</v>
      </c>
      <c r="U79" s="2045">
        <f t="shared" si="10"/>
        <v>2.0313000000896864E-2</v>
      </c>
      <c r="V79" s="2050">
        <v>72239.739000000001</v>
      </c>
      <c r="W79" s="2050">
        <v>37266.925000000003</v>
      </c>
      <c r="X79" s="2042">
        <f t="shared" si="11"/>
        <v>5.9999999939464033E-3</v>
      </c>
      <c r="Y79" s="2049">
        <v>0</v>
      </c>
      <c r="Z79" s="2051">
        <f t="shared" si="12"/>
        <v>0</v>
      </c>
      <c r="AA79" s="929"/>
      <c r="AB79" s="930"/>
      <c r="AC79" s="931">
        <f t="shared" si="18"/>
        <v>0</v>
      </c>
      <c r="AD79" s="931">
        <f t="shared" si="13"/>
        <v>0</v>
      </c>
      <c r="AE79" s="931">
        <f t="shared" si="19"/>
        <v>6.3303359936131166E-3</v>
      </c>
      <c r="AF79" s="931">
        <f t="shared" si="20"/>
        <v>-6.3303359936131166E-3</v>
      </c>
      <c r="AG79" s="932" t="e">
        <f t="shared" si="21"/>
        <v>#REF!</v>
      </c>
    </row>
    <row r="80" spans="2:36" x14ac:dyDescent="0.2">
      <c r="C80" s="933">
        <f t="shared" si="14"/>
        <v>43656</v>
      </c>
      <c r="D80" s="919">
        <f t="shared" si="15"/>
        <v>153350.92387096773</v>
      </c>
      <c r="E80" s="920">
        <f t="shared" si="16"/>
        <v>14421.080258064516</v>
      </c>
      <c r="F80" s="934">
        <f t="shared" si="6"/>
        <v>187126.17499999999</v>
      </c>
      <c r="G80" s="935">
        <f t="shared" si="17"/>
        <v>1.0163853</v>
      </c>
      <c r="H80" s="923">
        <f t="shared" si="7"/>
        <v>190.19229999999999</v>
      </c>
      <c r="I80" s="924">
        <f t="shared" si="8"/>
        <v>355089.38781433227</v>
      </c>
      <c r="J80" s="925"/>
      <c r="K80" s="926"/>
      <c r="L80" s="926"/>
      <c r="M80" s="984"/>
      <c r="N80" s="2040">
        <v>18174.629972937601</v>
      </c>
      <c r="O80" s="2047">
        <v>71859.875</v>
      </c>
      <c r="P80" s="2047">
        <v>115266.3</v>
      </c>
      <c r="Q80" s="2094">
        <v>0</v>
      </c>
      <c r="R80" s="2046"/>
      <c r="S80" s="2045">
        <f t="shared" si="9"/>
        <v>18174.629972937601</v>
      </c>
      <c r="T80" s="2047">
        <v>71859.899999999994</v>
      </c>
      <c r="U80" s="2045">
        <f t="shared" si="10"/>
        <v>-2.4999999994179234E-2</v>
      </c>
      <c r="V80" s="2050">
        <v>78013.578999999998</v>
      </c>
      <c r="W80" s="2050">
        <v>37252.741999999998</v>
      </c>
      <c r="X80" s="2042">
        <f t="shared" si="11"/>
        <v>-2.0999999993364327E-2</v>
      </c>
      <c r="Y80" s="2049">
        <v>0</v>
      </c>
      <c r="Z80" s="2051">
        <f t="shared" si="12"/>
        <v>0</v>
      </c>
      <c r="AA80" s="929"/>
      <c r="AB80" s="930"/>
      <c r="AC80" s="931">
        <f t="shared" si="18"/>
        <v>0</v>
      </c>
      <c r="AD80" s="931">
        <f t="shared" si="13"/>
        <v>0</v>
      </c>
      <c r="AE80" s="931">
        <f t="shared" si="19"/>
        <v>-2.2156175992998992E-2</v>
      </c>
      <c r="AF80" s="931">
        <f t="shared" si="20"/>
        <v>2.2156175992998992E-2</v>
      </c>
      <c r="AG80" s="932" t="e">
        <f t="shared" si="21"/>
        <v>#REF!</v>
      </c>
    </row>
    <row r="81" spans="3:36" x14ac:dyDescent="0.2">
      <c r="C81" s="933">
        <f t="shared" si="14"/>
        <v>43657</v>
      </c>
      <c r="D81" s="919">
        <f t="shared" si="15"/>
        <v>153350.92387096773</v>
      </c>
      <c r="E81" s="920">
        <f t="shared" si="16"/>
        <v>14421.080258064516</v>
      </c>
      <c r="F81" s="934">
        <f t="shared" si="6"/>
        <v>183997.328438</v>
      </c>
      <c r="G81" s="935">
        <f t="shared" si="17"/>
        <v>1.0163853</v>
      </c>
      <c r="H81" s="923">
        <f t="shared" si="7"/>
        <v>187.01220000000001</v>
      </c>
      <c r="I81" s="924">
        <f t="shared" si="8"/>
        <v>351957.36115233228</v>
      </c>
      <c r="J81" s="925"/>
      <c r="K81" s="926"/>
      <c r="L81" s="926"/>
      <c r="M81" s="984"/>
      <c r="N81" s="2040">
        <v>19704.972992584</v>
      </c>
      <c r="O81" s="2041">
        <v>71640.648438000004</v>
      </c>
      <c r="P81" s="2041">
        <v>112356.68</v>
      </c>
      <c r="Q81" s="2094">
        <v>0</v>
      </c>
      <c r="R81" s="2040"/>
      <c r="S81" s="2045">
        <f t="shared" si="9"/>
        <v>19704.972992584</v>
      </c>
      <c r="T81" s="2041">
        <v>71640.648000000001</v>
      </c>
      <c r="U81" s="2045">
        <f t="shared" si="10"/>
        <v>4.3800000275950879E-4</v>
      </c>
      <c r="V81" s="2050">
        <v>74861.983999999997</v>
      </c>
      <c r="W81" s="2050">
        <v>37494.686000000002</v>
      </c>
      <c r="X81" s="2042">
        <f t="shared" si="11"/>
        <v>9.9999999947613105E-3</v>
      </c>
      <c r="Y81" s="2049">
        <v>0</v>
      </c>
      <c r="Z81" s="2051">
        <f t="shared" si="12"/>
        <v>0</v>
      </c>
      <c r="AA81" s="929"/>
      <c r="AB81" s="930"/>
      <c r="AC81" s="931">
        <f t="shared" si="18"/>
        <v>0</v>
      </c>
      <c r="AD81" s="931">
        <f t="shared" si="13"/>
        <v>0</v>
      </c>
      <c r="AE81" s="931">
        <f t="shared" si="19"/>
        <v>1.0550559994472889E-2</v>
      </c>
      <c r="AF81" s="931">
        <f t="shared" si="20"/>
        <v>-1.0550559994472889E-2</v>
      </c>
      <c r="AG81" s="932" t="e">
        <f t="shared" si="21"/>
        <v>#REF!</v>
      </c>
    </row>
    <row r="82" spans="3:36" x14ac:dyDescent="0.2">
      <c r="C82" s="933">
        <f t="shared" si="14"/>
        <v>43658</v>
      </c>
      <c r="D82" s="919">
        <f t="shared" si="15"/>
        <v>153350.92387096773</v>
      </c>
      <c r="E82" s="920">
        <f t="shared" si="16"/>
        <v>14421.080258064516</v>
      </c>
      <c r="F82" s="934">
        <f t="shared" si="6"/>
        <v>185338.979375</v>
      </c>
      <c r="G82" s="935">
        <f t="shared" si="17"/>
        <v>1.0163853</v>
      </c>
      <c r="H82" s="923">
        <f t="shared" si="7"/>
        <v>188.3758</v>
      </c>
      <c r="I82" s="924">
        <f t="shared" si="8"/>
        <v>353300.37568933226</v>
      </c>
      <c r="J82" s="925"/>
      <c r="K82" s="926"/>
      <c r="L82" s="926"/>
      <c r="M82" s="984"/>
      <c r="N82" s="2040">
        <v>17747.521580062799</v>
      </c>
      <c r="O82" s="2047">
        <v>72011.359375</v>
      </c>
      <c r="P82" s="2047">
        <v>113327.62</v>
      </c>
      <c r="Q82" s="2094">
        <v>0</v>
      </c>
      <c r="R82" s="2046"/>
      <c r="S82" s="2045">
        <f t="shared" si="9"/>
        <v>17747.521580062799</v>
      </c>
      <c r="T82" s="2047">
        <v>72011.360000000001</v>
      </c>
      <c r="U82" s="2045">
        <f t="shared" si="10"/>
        <v>-6.2500000058207661E-4</v>
      </c>
      <c r="V82" s="2050">
        <v>75954.286999999997</v>
      </c>
      <c r="W82" s="2050">
        <v>38136.476000000002</v>
      </c>
      <c r="X82" s="2042">
        <f t="shared" si="11"/>
        <v>-763.14300000001094</v>
      </c>
      <c r="Y82" s="2049">
        <v>0</v>
      </c>
      <c r="Z82" s="2051">
        <f t="shared" si="12"/>
        <v>0</v>
      </c>
      <c r="AA82" s="929"/>
      <c r="AB82" s="930"/>
      <c r="AC82" s="931">
        <f t="shared" si="18"/>
        <v>0</v>
      </c>
      <c r="AD82" s="931">
        <f t="shared" si="13"/>
        <v>0</v>
      </c>
      <c r="AE82" s="931">
        <f t="shared" si="19"/>
        <v>-805.15860100801149</v>
      </c>
      <c r="AF82" s="931">
        <f t="shared" si="20"/>
        <v>805.15860100801149</v>
      </c>
      <c r="AG82" s="932" t="e">
        <f t="shared" si="21"/>
        <v>#REF!</v>
      </c>
    </row>
    <row r="83" spans="3:36" x14ac:dyDescent="0.2">
      <c r="C83" s="933">
        <f t="shared" si="14"/>
        <v>43659</v>
      </c>
      <c r="D83" s="919">
        <f t="shared" si="15"/>
        <v>153350.92387096773</v>
      </c>
      <c r="E83" s="920">
        <f t="shared" si="16"/>
        <v>14421.080258064516</v>
      </c>
      <c r="F83" s="934">
        <f t="shared" si="6"/>
        <v>184919.74</v>
      </c>
      <c r="G83" s="935">
        <f t="shared" si="17"/>
        <v>1.0163853</v>
      </c>
      <c r="H83" s="923">
        <f t="shared" si="7"/>
        <v>187.94970000000001</v>
      </c>
      <c r="I83" s="924">
        <f t="shared" si="8"/>
        <v>352880.71021433227</v>
      </c>
      <c r="J83" s="925"/>
      <c r="K83" s="926"/>
      <c r="L83" s="926"/>
      <c r="M83" s="984"/>
      <c r="N83" s="2040">
        <v>22258.020224000004</v>
      </c>
      <c r="O83" s="2041">
        <v>73087.75</v>
      </c>
      <c r="P83" s="2041">
        <v>111831.99</v>
      </c>
      <c r="Q83" s="2094">
        <v>0</v>
      </c>
      <c r="R83" s="2040"/>
      <c r="S83" s="2045">
        <f t="shared" si="9"/>
        <v>22258.020224000004</v>
      </c>
      <c r="T83" s="2041">
        <v>73087.75</v>
      </c>
      <c r="U83" s="2045">
        <f t="shared" si="10"/>
        <v>0</v>
      </c>
      <c r="V83" s="2050">
        <v>70861.504000000001</v>
      </c>
      <c r="W83" s="2050">
        <v>40970.497000000003</v>
      </c>
      <c r="X83" s="2042">
        <f t="shared" si="11"/>
        <v>-1.0999999998603016E-2</v>
      </c>
      <c r="Y83" s="2049">
        <v>0</v>
      </c>
      <c r="Z83" s="2051">
        <f t="shared" si="12"/>
        <v>0</v>
      </c>
      <c r="AA83" s="929"/>
      <c r="AB83" s="930"/>
      <c r="AC83" s="931">
        <f t="shared" si="18"/>
        <v>0</v>
      </c>
      <c r="AD83" s="931">
        <f t="shared" si="13"/>
        <v>0</v>
      </c>
      <c r="AE83" s="931">
        <f t="shared" si="19"/>
        <v>-1.1605615998526103E-2</v>
      </c>
      <c r="AF83" s="931">
        <f t="shared" si="20"/>
        <v>1.1605615998526103E-2</v>
      </c>
      <c r="AG83" s="932" t="e">
        <f t="shared" si="21"/>
        <v>#REF!</v>
      </c>
    </row>
    <row r="84" spans="3:36" x14ac:dyDescent="0.2">
      <c r="C84" s="933">
        <f t="shared" si="14"/>
        <v>43660</v>
      </c>
      <c r="D84" s="919">
        <f t="shared" si="15"/>
        <v>153350.92387096773</v>
      </c>
      <c r="E84" s="920">
        <f t="shared" si="16"/>
        <v>14421.080258064516</v>
      </c>
      <c r="F84" s="934">
        <f t="shared" si="6"/>
        <v>185394.0275</v>
      </c>
      <c r="G84" s="935">
        <f t="shared" si="17"/>
        <v>1.0163853</v>
      </c>
      <c r="H84" s="923">
        <f t="shared" si="7"/>
        <v>188.43180000000001</v>
      </c>
      <c r="I84" s="924">
        <f t="shared" si="8"/>
        <v>353355.47981433227</v>
      </c>
      <c r="J84" s="925"/>
      <c r="K84" s="926"/>
      <c r="L84" s="926"/>
      <c r="M84" s="984"/>
      <c r="N84" s="2040">
        <v>23389.32149712</v>
      </c>
      <c r="O84" s="2047">
        <v>73107.1875</v>
      </c>
      <c r="P84" s="2047">
        <v>112286.84</v>
      </c>
      <c r="Q84" s="2094">
        <v>0</v>
      </c>
      <c r="R84" s="2046"/>
      <c r="S84" s="2045">
        <f t="shared" si="9"/>
        <v>23389.32149712</v>
      </c>
      <c r="T84" s="2047">
        <v>73107.187999999995</v>
      </c>
      <c r="U84" s="2045">
        <f t="shared" si="10"/>
        <v>-4.999999946448952E-4</v>
      </c>
      <c r="V84" s="2050">
        <v>74488.214000000007</v>
      </c>
      <c r="W84" s="2050">
        <v>38580.525999999998</v>
      </c>
      <c r="X84" s="2042">
        <f t="shared" si="11"/>
        <v>-781.90000000000873</v>
      </c>
      <c r="Y84" s="2049">
        <v>0</v>
      </c>
      <c r="Z84" s="2051">
        <f t="shared" si="12"/>
        <v>0</v>
      </c>
      <c r="AA84" s="929"/>
      <c r="AB84" s="930"/>
      <c r="AC84" s="931">
        <f t="shared" si="18"/>
        <v>0</v>
      </c>
      <c r="AD84" s="931">
        <f t="shared" si="13"/>
        <v>0</v>
      </c>
      <c r="AE84" s="931">
        <f t="shared" si="19"/>
        <v>-824.94828640000924</v>
      </c>
      <c r="AF84" s="931">
        <f t="shared" si="20"/>
        <v>824.94828640000924</v>
      </c>
      <c r="AG84" s="932" t="e">
        <f t="shared" si="21"/>
        <v>#REF!</v>
      </c>
    </row>
    <row r="85" spans="3:36" x14ac:dyDescent="0.2">
      <c r="C85" s="933">
        <f t="shared" si="14"/>
        <v>43661</v>
      </c>
      <c r="D85" s="919">
        <f t="shared" si="15"/>
        <v>153350.92387096773</v>
      </c>
      <c r="E85" s="920">
        <f t="shared" si="16"/>
        <v>14421.080258064516</v>
      </c>
      <c r="F85" s="934">
        <f t="shared" si="6"/>
        <v>180681.601563</v>
      </c>
      <c r="G85" s="935">
        <f t="shared" si="17"/>
        <v>1.0163853</v>
      </c>
      <c r="H85" s="923">
        <f t="shared" si="7"/>
        <v>183.6421</v>
      </c>
      <c r="I85" s="924">
        <f t="shared" si="8"/>
        <v>348638.26417733228</v>
      </c>
      <c r="J85" s="925"/>
      <c r="K85" s="926"/>
      <c r="L85" s="926"/>
      <c r="M85" s="984"/>
      <c r="N85" s="2040">
        <v>20283.954416639997</v>
      </c>
      <c r="O85" s="2041">
        <v>72787.601563000004</v>
      </c>
      <c r="P85" s="2041">
        <v>107894</v>
      </c>
      <c r="Q85" s="2094">
        <v>0</v>
      </c>
      <c r="R85" s="2040"/>
      <c r="S85" s="2045">
        <f t="shared" si="9"/>
        <v>20283.954416639997</v>
      </c>
      <c r="T85" s="2041">
        <v>72787.600000000006</v>
      </c>
      <c r="U85" s="2045">
        <f t="shared" si="10"/>
        <v>1.5629999979864806E-3</v>
      </c>
      <c r="V85" s="2050">
        <v>70272.202999999994</v>
      </c>
      <c r="W85" s="2050">
        <v>37621.796999999999</v>
      </c>
      <c r="X85" s="2042">
        <f t="shared" si="11"/>
        <v>0</v>
      </c>
      <c r="Y85" s="2049">
        <v>0</v>
      </c>
      <c r="Z85" s="2051">
        <f t="shared" si="12"/>
        <v>0</v>
      </c>
      <c r="AA85" s="929"/>
      <c r="AB85" s="930"/>
      <c r="AC85" s="931">
        <f t="shared" si="18"/>
        <v>0</v>
      </c>
      <c r="AD85" s="931">
        <f t="shared" si="13"/>
        <v>0</v>
      </c>
      <c r="AE85" s="931">
        <f t="shared" si="19"/>
        <v>0</v>
      </c>
      <c r="AF85" s="931">
        <f t="shared" si="20"/>
        <v>0</v>
      </c>
      <c r="AG85" s="932" t="e">
        <f t="shared" si="21"/>
        <v>#REF!</v>
      </c>
    </row>
    <row r="86" spans="3:36" x14ac:dyDescent="0.2">
      <c r="C86" s="933">
        <f t="shared" si="14"/>
        <v>43662</v>
      </c>
      <c r="D86" s="919">
        <f t="shared" si="15"/>
        <v>153350.92387096773</v>
      </c>
      <c r="E86" s="920">
        <f t="shared" si="16"/>
        <v>14421.080258064516</v>
      </c>
      <c r="F86" s="934">
        <f t="shared" si="6"/>
        <v>179293.11281299999</v>
      </c>
      <c r="G86" s="935">
        <f t="shared" si="17"/>
        <v>1.0163853</v>
      </c>
      <c r="H86" s="923">
        <f t="shared" si="7"/>
        <v>182.23089999999999</v>
      </c>
      <c r="I86" s="924">
        <f t="shared" si="8"/>
        <v>347248.36422733229</v>
      </c>
      <c r="J86" s="925"/>
      <c r="K86" s="926"/>
      <c r="L86" s="926"/>
      <c r="M86" s="984"/>
      <c r="N86" s="2040">
        <v>19917.738643487999</v>
      </c>
      <c r="O86" s="2047">
        <v>73597.132813000004</v>
      </c>
      <c r="P86" s="2047">
        <v>105695.98</v>
      </c>
      <c r="Q86" s="2094">
        <v>0</v>
      </c>
      <c r="R86" s="2046"/>
      <c r="S86" s="2045">
        <f t="shared" si="9"/>
        <v>19917.738643487999</v>
      </c>
      <c r="T86" s="2047">
        <v>73597.13</v>
      </c>
      <c r="U86" s="2045">
        <f t="shared" si="10"/>
        <v>2.8129999991506338E-3</v>
      </c>
      <c r="V86" s="2050">
        <v>69111.035999999993</v>
      </c>
      <c r="W86" s="2050">
        <v>36584.923999999999</v>
      </c>
      <c r="X86" s="2042">
        <f t="shared" si="11"/>
        <v>2.0000000004074536E-2</v>
      </c>
      <c r="Y86" s="2049">
        <v>0</v>
      </c>
      <c r="Z86" s="2051">
        <f t="shared" si="12"/>
        <v>0</v>
      </c>
      <c r="AA86" s="929"/>
      <c r="AB86" s="930"/>
      <c r="AC86" s="931">
        <f t="shared" si="18"/>
        <v>0</v>
      </c>
      <c r="AD86" s="931">
        <f t="shared" si="13"/>
        <v>0</v>
      </c>
      <c r="AE86" s="931">
        <f t="shared" si="19"/>
        <v>2.1101120004298864E-2</v>
      </c>
      <c r="AF86" s="931">
        <f t="shared" si="20"/>
        <v>-2.1101120004298864E-2</v>
      </c>
      <c r="AG86" s="932" t="e">
        <f t="shared" si="21"/>
        <v>#REF!</v>
      </c>
    </row>
    <row r="87" spans="3:36" x14ac:dyDescent="0.2">
      <c r="C87" s="933">
        <f t="shared" si="14"/>
        <v>43663</v>
      </c>
      <c r="D87" s="919">
        <f t="shared" si="15"/>
        <v>153350.92387096773</v>
      </c>
      <c r="E87" s="920">
        <f t="shared" si="16"/>
        <v>14421.080258064516</v>
      </c>
      <c r="F87" s="934">
        <f t="shared" si="6"/>
        <v>180269.09687499999</v>
      </c>
      <c r="G87" s="935">
        <f t="shared" si="17"/>
        <v>1.0163853</v>
      </c>
      <c r="H87" s="923">
        <f t="shared" si="7"/>
        <v>183.22290000000001</v>
      </c>
      <c r="I87" s="924">
        <f t="shared" si="8"/>
        <v>348225.34028933226</v>
      </c>
      <c r="J87" s="925"/>
      <c r="K87" s="926"/>
      <c r="L87" s="926"/>
      <c r="M87" s="984"/>
      <c r="N87" s="2040">
        <v>11615.899145047</v>
      </c>
      <c r="O87" s="2041">
        <v>72140.796875</v>
      </c>
      <c r="P87" s="2041">
        <v>108128.3</v>
      </c>
      <c r="Q87" s="2094">
        <v>0</v>
      </c>
      <c r="R87" s="2040"/>
      <c r="S87" s="2045">
        <f t="shared" si="9"/>
        <v>11615.899145047</v>
      </c>
      <c r="T87" s="2041">
        <v>72140.800000000003</v>
      </c>
      <c r="U87" s="2045">
        <f t="shared" si="10"/>
        <v>-3.125000002910383E-3</v>
      </c>
      <c r="V87" s="2050">
        <v>71245.400999999998</v>
      </c>
      <c r="W87" s="2050">
        <v>36882.906999999999</v>
      </c>
      <c r="X87" s="2042">
        <f t="shared" si="11"/>
        <v>-7.9999999870778993E-3</v>
      </c>
      <c r="Y87" s="2049">
        <v>0</v>
      </c>
      <c r="Z87" s="2051">
        <f t="shared" si="12"/>
        <v>0</v>
      </c>
      <c r="AA87" s="929"/>
      <c r="AB87" s="930"/>
      <c r="AC87" s="931">
        <f t="shared" si="18"/>
        <v>0</v>
      </c>
      <c r="AD87" s="931">
        <f t="shared" si="13"/>
        <v>0</v>
      </c>
      <c r="AE87" s="931">
        <f t="shared" si="19"/>
        <v>-8.4404479863664592E-3</v>
      </c>
      <c r="AF87" s="931">
        <f t="shared" si="20"/>
        <v>8.4404479863664592E-3</v>
      </c>
      <c r="AG87" s="932" t="e">
        <f t="shared" si="21"/>
        <v>#REF!</v>
      </c>
    </row>
    <row r="88" spans="3:36" x14ac:dyDescent="0.2">
      <c r="C88" s="933">
        <f t="shared" si="14"/>
        <v>43664</v>
      </c>
      <c r="D88" s="919">
        <f t="shared" si="15"/>
        <v>153350.92387096773</v>
      </c>
      <c r="E88" s="920">
        <f t="shared" si="16"/>
        <v>14421.080258064516</v>
      </c>
      <c r="F88" s="934">
        <f t="shared" si="6"/>
        <v>145274.96843800001</v>
      </c>
      <c r="G88" s="935">
        <f t="shared" si="17"/>
        <v>1.0163853</v>
      </c>
      <c r="H88" s="923">
        <f t="shared" si="7"/>
        <v>147.65530000000001</v>
      </c>
      <c r="I88" s="924">
        <f t="shared" si="8"/>
        <v>313195.64425233228</v>
      </c>
      <c r="J88" s="925"/>
      <c r="K88" s="926"/>
      <c r="L88" s="926"/>
      <c r="M88" s="984"/>
      <c r="N88" s="2040">
        <v>11761.022781585001</v>
      </c>
      <c r="O88" s="2047">
        <v>63246.398437999997</v>
      </c>
      <c r="P88" s="2047">
        <v>82028.570000000007</v>
      </c>
      <c r="Q88" s="2094">
        <v>0</v>
      </c>
      <c r="R88" s="2046"/>
      <c r="S88" s="2045">
        <f t="shared" si="9"/>
        <v>11761.022781585001</v>
      </c>
      <c r="T88" s="2047">
        <v>63246</v>
      </c>
      <c r="U88" s="2045">
        <f t="shared" si="10"/>
        <v>0.39843799999653129</v>
      </c>
      <c r="V88" s="2050">
        <v>51120.627999999997</v>
      </c>
      <c r="W88" s="2050">
        <v>30907.932000000001</v>
      </c>
      <c r="X88" s="2042">
        <f t="shared" si="11"/>
        <v>1.0000000009313226E-2</v>
      </c>
      <c r="Y88" s="2049">
        <v>0</v>
      </c>
      <c r="Z88" s="2051">
        <f t="shared" si="12"/>
        <v>0</v>
      </c>
      <c r="AA88" s="929"/>
      <c r="AB88" s="930"/>
      <c r="AC88" s="931">
        <f t="shared" si="18"/>
        <v>0</v>
      </c>
      <c r="AD88" s="931">
        <f t="shared" si="13"/>
        <v>0</v>
      </c>
      <c r="AE88" s="931">
        <f t="shared" si="19"/>
        <v>1.0550560009825974E-2</v>
      </c>
      <c r="AF88" s="931">
        <f t="shared" si="20"/>
        <v>-1.0550560009825974E-2</v>
      </c>
      <c r="AG88" s="932" t="e">
        <f t="shared" si="21"/>
        <v>#REF!</v>
      </c>
    </row>
    <row r="89" spans="3:36" x14ac:dyDescent="0.2">
      <c r="C89" s="933">
        <f t="shared" si="14"/>
        <v>43665</v>
      </c>
      <c r="D89" s="919">
        <f t="shared" si="15"/>
        <v>153350.92387096773</v>
      </c>
      <c r="E89" s="920">
        <f t="shared" si="16"/>
        <v>14421.080258064516</v>
      </c>
      <c r="F89" s="934">
        <f t="shared" si="6"/>
        <v>162624.176875</v>
      </c>
      <c r="G89" s="935">
        <f t="shared" si="17"/>
        <v>1.0163853</v>
      </c>
      <c r="H89" s="923">
        <f t="shared" si="7"/>
        <v>165.28880000000001</v>
      </c>
      <c r="I89" s="924">
        <f t="shared" si="8"/>
        <v>330562.48618933227</v>
      </c>
      <c r="J89" s="925"/>
      <c r="K89" s="926"/>
      <c r="L89" s="926"/>
      <c r="M89" s="984"/>
      <c r="N89" s="2040">
        <v>11714.186699567999</v>
      </c>
      <c r="O89" s="2041">
        <v>73158.796875</v>
      </c>
      <c r="P89" s="2041">
        <v>89465.38</v>
      </c>
      <c r="Q89" s="2094">
        <v>0</v>
      </c>
      <c r="R89" s="2040"/>
      <c r="S89" s="2045">
        <f t="shared" si="9"/>
        <v>11714.186699567999</v>
      </c>
      <c r="T89" s="2041">
        <v>73158.8</v>
      </c>
      <c r="U89" s="2045">
        <f t="shared" si="10"/>
        <v>-3.125000002910383E-3</v>
      </c>
      <c r="V89" s="2050">
        <v>55884.571000000004</v>
      </c>
      <c r="W89" s="2050">
        <v>33580.813999999998</v>
      </c>
      <c r="X89" s="2042">
        <f t="shared" si="11"/>
        <v>-5.0000000046566129E-3</v>
      </c>
      <c r="Y89" s="2049">
        <v>0</v>
      </c>
      <c r="Z89" s="2051">
        <f t="shared" si="12"/>
        <v>0</v>
      </c>
      <c r="AA89" s="929"/>
      <c r="AB89" s="930"/>
      <c r="AC89" s="931">
        <f t="shared" si="18"/>
        <v>0</v>
      </c>
      <c r="AD89" s="931">
        <f t="shared" si="13"/>
        <v>0</v>
      </c>
      <c r="AE89" s="931">
        <f t="shared" si="19"/>
        <v>-5.2752800049129869E-3</v>
      </c>
      <c r="AF89" s="931">
        <f t="shared" si="20"/>
        <v>5.2752800049129869E-3</v>
      </c>
      <c r="AG89" s="932" t="e">
        <f t="shared" si="21"/>
        <v>#REF!</v>
      </c>
    </row>
    <row r="90" spans="3:36" x14ac:dyDescent="0.2">
      <c r="C90" s="933">
        <f t="shared" si="14"/>
        <v>43666</v>
      </c>
      <c r="D90" s="919">
        <f t="shared" si="15"/>
        <v>153350.92387096773</v>
      </c>
      <c r="E90" s="920">
        <f t="shared" si="16"/>
        <v>14421.080258064516</v>
      </c>
      <c r="F90" s="934">
        <f t="shared" si="6"/>
        <v>186684.98249999998</v>
      </c>
      <c r="G90" s="935">
        <f t="shared" si="17"/>
        <v>1.0163853</v>
      </c>
      <c r="H90" s="923">
        <f t="shared" si="7"/>
        <v>189.7439</v>
      </c>
      <c r="I90" s="924">
        <f t="shared" si="8"/>
        <v>354647.74691433227</v>
      </c>
      <c r="J90" s="925"/>
      <c r="K90" s="926"/>
      <c r="L90" s="926"/>
      <c r="M90" s="984"/>
      <c r="N90" s="2040">
        <v>11769.747005664</v>
      </c>
      <c r="O90" s="2047">
        <v>72844.8125</v>
      </c>
      <c r="P90" s="2047">
        <v>113840.17</v>
      </c>
      <c r="Q90" s="2094">
        <v>0</v>
      </c>
      <c r="R90" s="2046"/>
      <c r="S90" s="2045">
        <f t="shared" si="9"/>
        <v>11769.747005664</v>
      </c>
      <c r="T90" s="2047">
        <v>72844.800000000003</v>
      </c>
      <c r="U90" s="2045">
        <f t="shared" si="10"/>
        <v>1.2499999997089617E-2</v>
      </c>
      <c r="V90" s="2050">
        <v>76044.05</v>
      </c>
      <c r="W90" s="2050">
        <v>37796.103999999999</v>
      </c>
      <c r="X90" s="2042">
        <f t="shared" si="11"/>
        <v>1.5999999988707714E-2</v>
      </c>
      <c r="Y90" s="2049">
        <v>0</v>
      </c>
      <c r="Z90" s="2051">
        <f t="shared" si="12"/>
        <v>0</v>
      </c>
      <c r="AA90" s="929"/>
      <c r="AB90" s="930"/>
      <c r="AC90" s="931">
        <f t="shared" si="18"/>
        <v>0</v>
      </c>
      <c r="AD90" s="931">
        <f t="shared" si="13"/>
        <v>0</v>
      </c>
      <c r="AE90" s="931">
        <f t="shared" si="19"/>
        <v>1.6880895988086005E-2</v>
      </c>
      <c r="AF90" s="931">
        <f t="shared" si="20"/>
        <v>-1.6880895988086005E-2</v>
      </c>
      <c r="AG90" s="932" t="e">
        <f t="shared" si="21"/>
        <v>#REF!</v>
      </c>
    </row>
    <row r="91" spans="3:36" x14ac:dyDescent="0.2">
      <c r="C91" s="933">
        <f t="shared" si="14"/>
        <v>43667</v>
      </c>
      <c r="D91" s="919">
        <f t="shared" si="15"/>
        <v>153350.92387096773</v>
      </c>
      <c r="E91" s="920">
        <f t="shared" si="16"/>
        <v>14421.080258064516</v>
      </c>
      <c r="F91" s="934">
        <f t="shared" si="6"/>
        <v>185873.83812500001</v>
      </c>
      <c r="G91" s="935">
        <f t="shared" si="17"/>
        <v>1.0163853</v>
      </c>
      <c r="H91" s="923">
        <f t="shared" si="7"/>
        <v>188.9194</v>
      </c>
      <c r="I91" s="924">
        <f t="shared" si="8"/>
        <v>353835.7780393323</v>
      </c>
      <c r="J91" s="925"/>
      <c r="K91" s="926"/>
      <c r="L91" s="926"/>
      <c r="M91" s="984"/>
      <c r="N91" s="2040">
        <v>11766.871056437998</v>
      </c>
      <c r="O91" s="2041">
        <v>72693.078125</v>
      </c>
      <c r="P91" s="2041">
        <v>113180.76</v>
      </c>
      <c r="Q91" s="2094">
        <v>0</v>
      </c>
      <c r="R91" s="2040"/>
      <c r="S91" s="2045">
        <f t="shared" si="9"/>
        <v>11766.871056437998</v>
      </c>
      <c r="T91" s="2041">
        <v>72693.100000000006</v>
      </c>
      <c r="U91" s="2045">
        <f t="shared" si="10"/>
        <v>-2.1875000005820766E-2</v>
      </c>
      <c r="V91" s="2050">
        <v>75415.338000000003</v>
      </c>
      <c r="W91" s="2050">
        <v>37765.436999999998</v>
      </c>
      <c r="X91" s="2042">
        <f t="shared" si="11"/>
        <v>-1.4999999999417923E-2</v>
      </c>
      <c r="Y91" s="2049">
        <v>0</v>
      </c>
      <c r="Z91" s="2051">
        <f t="shared" si="12"/>
        <v>0</v>
      </c>
      <c r="AA91" s="929"/>
      <c r="AB91" s="930"/>
      <c r="AC91" s="931">
        <f t="shared" si="18"/>
        <v>0</v>
      </c>
      <c r="AD91" s="931">
        <f t="shared" si="13"/>
        <v>0</v>
      </c>
      <c r="AE91" s="931">
        <f t="shared" si="19"/>
        <v>-1.5825839999385877E-2</v>
      </c>
      <c r="AF91" s="931">
        <f t="shared" si="20"/>
        <v>1.5825839999385877E-2</v>
      </c>
      <c r="AG91" s="932" t="e">
        <f t="shared" si="21"/>
        <v>#REF!</v>
      </c>
    </row>
    <row r="92" spans="3:36" x14ac:dyDescent="0.2">
      <c r="C92" s="933">
        <f t="shared" si="14"/>
        <v>43668</v>
      </c>
      <c r="D92" s="919">
        <f t="shared" si="15"/>
        <v>153350.92387096773</v>
      </c>
      <c r="E92" s="920">
        <f t="shared" si="16"/>
        <v>14421.080258064516</v>
      </c>
      <c r="F92" s="934">
        <f t="shared" si="6"/>
        <v>186190.88400000002</v>
      </c>
      <c r="G92" s="935">
        <f t="shared" si="17"/>
        <v>1.0163853</v>
      </c>
      <c r="H92" s="923">
        <f t="shared" si="7"/>
        <v>189.24170000000001</v>
      </c>
      <c r="I92" s="924">
        <f t="shared" si="8"/>
        <v>354153.14621433232</v>
      </c>
      <c r="J92" s="925"/>
      <c r="K92" s="926"/>
      <c r="L92" s="926"/>
      <c r="M92" s="984"/>
      <c r="N92" s="2040">
        <v>11785.151535827999</v>
      </c>
      <c r="O92" s="2047">
        <v>72615.054000000004</v>
      </c>
      <c r="P92" s="2047">
        <v>113575.83</v>
      </c>
      <c r="Q92" s="2094">
        <v>0</v>
      </c>
      <c r="R92" s="2046"/>
      <c r="S92" s="2045">
        <f t="shared" si="9"/>
        <v>11785.151535827999</v>
      </c>
      <c r="T92" s="2047">
        <v>72615.05</v>
      </c>
      <c r="U92" s="2045">
        <f t="shared" si="10"/>
        <v>4.0000000008149073E-3</v>
      </c>
      <c r="V92" s="2050">
        <v>75626.697</v>
      </c>
      <c r="W92" s="2050">
        <v>37949.108999999997</v>
      </c>
      <c r="X92" s="2042">
        <f t="shared" si="11"/>
        <v>2.4000000004889444E-2</v>
      </c>
      <c r="Y92" s="2049">
        <v>0</v>
      </c>
      <c r="Z92" s="2051">
        <f t="shared" si="12"/>
        <v>0</v>
      </c>
      <c r="AA92" s="929"/>
      <c r="AB92" s="930"/>
      <c r="AC92" s="931">
        <f t="shared" si="18"/>
        <v>0</v>
      </c>
      <c r="AD92" s="931">
        <f t="shared" si="13"/>
        <v>0</v>
      </c>
      <c r="AE92" s="931">
        <f t="shared" si="19"/>
        <v>2.5321344005158637E-2</v>
      </c>
      <c r="AF92" s="931">
        <f t="shared" si="20"/>
        <v>-2.5321344005158637E-2</v>
      </c>
      <c r="AG92" s="932" t="e">
        <f t="shared" si="21"/>
        <v>#REF!</v>
      </c>
    </row>
    <row r="93" spans="3:36" x14ac:dyDescent="0.2">
      <c r="C93" s="933">
        <f t="shared" si="14"/>
        <v>43669</v>
      </c>
      <c r="D93" s="919">
        <f t="shared" si="15"/>
        <v>153350.92387096773</v>
      </c>
      <c r="E93" s="920">
        <f t="shared" si="16"/>
        <v>14421.080258064516</v>
      </c>
      <c r="F93" s="934">
        <f t="shared" si="6"/>
        <v>185362.66187499999</v>
      </c>
      <c r="G93" s="935">
        <f t="shared" si="17"/>
        <v>1.0163853</v>
      </c>
      <c r="H93" s="923">
        <f t="shared" si="7"/>
        <v>188.3999</v>
      </c>
      <c r="I93" s="924">
        <f t="shared" si="8"/>
        <v>353324.08228933229</v>
      </c>
      <c r="J93" s="925"/>
      <c r="K93" s="926"/>
      <c r="L93" s="926"/>
      <c r="M93" s="984"/>
      <c r="N93" s="2040">
        <v>17196.018096602002</v>
      </c>
      <c r="O93" s="2041">
        <v>71833.171875</v>
      </c>
      <c r="P93" s="2041">
        <v>113529.49</v>
      </c>
      <c r="Q93" s="2094">
        <v>0</v>
      </c>
      <c r="R93" s="2040"/>
      <c r="S93" s="2045">
        <f t="shared" si="9"/>
        <v>17196.018096602002</v>
      </c>
      <c r="T93" s="2041">
        <v>71833.17</v>
      </c>
      <c r="U93" s="2045">
        <f t="shared" si="10"/>
        <v>1.8750000017462298E-3</v>
      </c>
      <c r="V93" s="2050">
        <v>75645.418000000005</v>
      </c>
      <c r="W93" s="2050">
        <v>37884.076000000001</v>
      </c>
      <c r="X93" s="2042">
        <f t="shared" si="11"/>
        <v>-4.0000000008149073E-3</v>
      </c>
      <c r="Y93" s="2049">
        <v>0</v>
      </c>
      <c r="Z93" s="2051">
        <f t="shared" si="12"/>
        <v>0</v>
      </c>
      <c r="AA93" s="929"/>
      <c r="AB93" s="930"/>
      <c r="AC93" s="931">
        <f t="shared" si="18"/>
        <v>0</v>
      </c>
      <c r="AD93" s="931">
        <f t="shared" si="13"/>
        <v>0</v>
      </c>
      <c r="AE93" s="931">
        <f t="shared" si="19"/>
        <v>-4.220224000859773E-3</v>
      </c>
      <c r="AF93" s="931">
        <f t="shared" si="20"/>
        <v>4.220224000859773E-3</v>
      </c>
      <c r="AG93" s="932" t="e">
        <f t="shared" si="21"/>
        <v>#REF!</v>
      </c>
    </row>
    <row r="94" spans="3:36" x14ac:dyDescent="0.2">
      <c r="C94" s="933">
        <f t="shared" si="14"/>
        <v>43670</v>
      </c>
      <c r="D94" s="919">
        <f t="shared" si="15"/>
        <v>153350.92387096773</v>
      </c>
      <c r="E94" s="920">
        <f t="shared" si="16"/>
        <v>14421.080258064516</v>
      </c>
      <c r="F94" s="934">
        <f t="shared" si="6"/>
        <v>176589.03593800002</v>
      </c>
      <c r="G94" s="935">
        <f t="shared" si="17"/>
        <v>1.0163853</v>
      </c>
      <c r="H94" s="923">
        <f t="shared" si="7"/>
        <v>179.48249999999999</v>
      </c>
      <c r="I94" s="924">
        <f t="shared" si="8"/>
        <v>344541.53895233228</v>
      </c>
      <c r="J94" s="925"/>
      <c r="K94" s="926"/>
      <c r="L94" s="926"/>
      <c r="M94" s="984"/>
      <c r="N94" s="2040">
        <v>18661.210839785999</v>
      </c>
      <c r="O94" s="2047">
        <v>71752.835938000004</v>
      </c>
      <c r="P94" s="2047">
        <v>104836.2</v>
      </c>
      <c r="Q94" s="2094">
        <v>0</v>
      </c>
      <c r="R94" s="2046"/>
      <c r="S94" s="2045">
        <f t="shared" si="9"/>
        <v>18661.210839785999</v>
      </c>
      <c r="T94" s="2047">
        <v>71752.84</v>
      </c>
      <c r="U94" s="2045">
        <f t="shared" si="10"/>
        <v>-4.0619999927002937E-3</v>
      </c>
      <c r="V94" s="2050">
        <v>68749.019</v>
      </c>
      <c r="W94" s="2050">
        <v>36087.163</v>
      </c>
      <c r="X94" s="2042">
        <f t="shared" si="11"/>
        <v>1.7999999996391125E-2</v>
      </c>
      <c r="Y94" s="2049">
        <v>0</v>
      </c>
      <c r="Z94" s="2051">
        <f t="shared" si="12"/>
        <v>0</v>
      </c>
      <c r="AA94" s="929"/>
      <c r="AB94" s="930"/>
      <c r="AC94" s="931">
        <f t="shared" si="18"/>
        <v>0</v>
      </c>
      <c r="AD94" s="931">
        <f t="shared" si="13"/>
        <v>0</v>
      </c>
      <c r="AE94" s="931">
        <f t="shared" si="19"/>
        <v>1.8991007996192435E-2</v>
      </c>
      <c r="AF94" s="931">
        <f t="shared" si="20"/>
        <v>-1.8991007996192435E-2</v>
      </c>
      <c r="AG94" s="932" t="e">
        <f t="shared" si="21"/>
        <v>#REF!</v>
      </c>
      <c r="AH94" s="843"/>
      <c r="AI94" s="843"/>
      <c r="AJ94" s="843"/>
    </row>
    <row r="95" spans="3:36" x14ac:dyDescent="0.2">
      <c r="C95" s="933">
        <f t="shared" si="14"/>
        <v>43671</v>
      </c>
      <c r="D95" s="919">
        <f t="shared" si="15"/>
        <v>153350.92387096773</v>
      </c>
      <c r="E95" s="920">
        <f t="shared" si="16"/>
        <v>14421.080258064516</v>
      </c>
      <c r="F95" s="934">
        <f t="shared" si="6"/>
        <v>168621.945313</v>
      </c>
      <c r="G95" s="935">
        <f t="shared" si="17"/>
        <v>1.0163853</v>
      </c>
      <c r="H95" s="923">
        <f t="shared" si="7"/>
        <v>171.38489999999999</v>
      </c>
      <c r="I95" s="924">
        <f t="shared" si="8"/>
        <v>336566.35072733229</v>
      </c>
      <c r="J95" s="925"/>
      <c r="K95" s="926"/>
      <c r="L95" s="926"/>
      <c r="M95" s="984"/>
      <c r="N95" s="2040">
        <v>23600.283056405999</v>
      </c>
      <c r="O95" s="2041">
        <v>71889.195313000004</v>
      </c>
      <c r="P95" s="2041">
        <v>96732.75</v>
      </c>
      <c r="Q95" s="2094">
        <v>0</v>
      </c>
      <c r="R95" s="2040"/>
      <c r="S95" s="2045">
        <f t="shared" si="9"/>
        <v>23600.283056405999</v>
      </c>
      <c r="T95" s="2041">
        <v>71889.2</v>
      </c>
      <c r="U95" s="2045">
        <f t="shared" si="10"/>
        <v>-4.6869999932823703E-3</v>
      </c>
      <c r="V95" s="2050">
        <v>63252.756999999998</v>
      </c>
      <c r="W95" s="2050">
        <v>33479.998</v>
      </c>
      <c r="X95" s="2042">
        <f t="shared" si="11"/>
        <v>-5.0000000046566129E-3</v>
      </c>
      <c r="Y95" s="2049">
        <v>0</v>
      </c>
      <c r="Z95" s="2051">
        <f t="shared" si="12"/>
        <v>0</v>
      </c>
      <c r="AA95" s="929"/>
      <c r="AB95" s="930"/>
      <c r="AC95" s="931">
        <f t="shared" si="18"/>
        <v>0</v>
      </c>
      <c r="AD95" s="931">
        <f t="shared" si="13"/>
        <v>0</v>
      </c>
      <c r="AE95" s="931">
        <f t="shared" si="19"/>
        <v>-5.2752800049129869E-3</v>
      </c>
      <c r="AF95" s="931">
        <f t="shared" si="20"/>
        <v>5.2752800049129869E-3</v>
      </c>
      <c r="AG95" s="932" t="e">
        <f t="shared" si="21"/>
        <v>#REF!</v>
      </c>
      <c r="AH95" s="843"/>
      <c r="AI95" s="843"/>
      <c r="AJ95" s="843"/>
    </row>
    <row r="96" spans="3:36" x14ac:dyDescent="0.2">
      <c r="C96" s="933">
        <f t="shared" si="14"/>
        <v>43672</v>
      </c>
      <c r="D96" s="919">
        <f t="shared" si="15"/>
        <v>153350.92387096773</v>
      </c>
      <c r="E96" s="920">
        <f t="shared" si="16"/>
        <v>14421.080258064516</v>
      </c>
      <c r="F96" s="934">
        <f t="shared" si="6"/>
        <v>185641.894688</v>
      </c>
      <c r="G96" s="935">
        <f t="shared" si="17"/>
        <v>1.0163853</v>
      </c>
      <c r="H96" s="923">
        <f t="shared" si="7"/>
        <v>188.68369999999999</v>
      </c>
      <c r="I96" s="924">
        <f t="shared" si="8"/>
        <v>353603.59890233225</v>
      </c>
      <c r="J96" s="925"/>
      <c r="K96" s="926"/>
      <c r="L96" s="926"/>
      <c r="M96" s="984"/>
      <c r="N96" s="2040">
        <v>23535.592549326</v>
      </c>
      <c r="O96" s="2047">
        <v>72052.304688000004</v>
      </c>
      <c r="P96" s="2047">
        <v>113589.59</v>
      </c>
      <c r="Q96" s="2094">
        <v>0</v>
      </c>
      <c r="R96" s="2046"/>
      <c r="S96" s="2045">
        <f t="shared" si="9"/>
        <v>23535.592549326</v>
      </c>
      <c r="T96" s="2047">
        <v>72052.304999999993</v>
      </c>
      <c r="U96" s="2045">
        <f t="shared" si="10"/>
        <v>-3.1199998920783401E-4</v>
      </c>
      <c r="V96" s="2050">
        <v>75990.126999999993</v>
      </c>
      <c r="W96" s="2050">
        <v>37599.446000000004</v>
      </c>
      <c r="X96" s="2042">
        <f t="shared" si="11"/>
        <v>1.6999999992549419E-2</v>
      </c>
      <c r="Y96" s="2049">
        <v>0</v>
      </c>
      <c r="Z96" s="2051">
        <f t="shared" si="12"/>
        <v>0</v>
      </c>
      <c r="AA96" s="929"/>
      <c r="AB96" s="930"/>
      <c r="AC96" s="931">
        <f t="shared" si="18"/>
        <v>0</v>
      </c>
      <c r="AD96" s="931">
        <f t="shared" si="13"/>
        <v>0</v>
      </c>
      <c r="AE96" s="931">
        <f t="shared" si="19"/>
        <v>1.793595199213922E-2</v>
      </c>
      <c r="AF96" s="931">
        <f t="shared" si="20"/>
        <v>-1.793595199213922E-2</v>
      </c>
      <c r="AG96" s="932" t="e">
        <f t="shared" si="21"/>
        <v>#REF!</v>
      </c>
      <c r="AH96" s="843"/>
      <c r="AI96" s="843"/>
      <c r="AJ96" s="843"/>
    </row>
    <row r="97" spans="2:42" x14ac:dyDescent="0.2">
      <c r="C97" s="933">
        <f t="shared" si="14"/>
        <v>43673</v>
      </c>
      <c r="D97" s="919">
        <f t="shared" si="15"/>
        <v>153350.92387096773</v>
      </c>
      <c r="E97" s="920">
        <f t="shared" si="16"/>
        <v>14421.080258064516</v>
      </c>
      <c r="F97" s="934">
        <f t="shared" si="6"/>
        <v>185617.35062500002</v>
      </c>
      <c r="G97" s="935">
        <f t="shared" si="17"/>
        <v>1.0163853</v>
      </c>
      <c r="H97" s="923">
        <f t="shared" si="7"/>
        <v>188.65870000000001</v>
      </c>
      <c r="I97" s="924">
        <f t="shared" si="8"/>
        <v>353579.02983933233</v>
      </c>
      <c r="J97" s="925"/>
      <c r="K97" s="926"/>
      <c r="L97" s="926"/>
      <c r="M97" s="984"/>
      <c r="N97" s="2040">
        <v>23732.096965437006</v>
      </c>
      <c r="O97" s="2041">
        <v>71955.890625</v>
      </c>
      <c r="P97" s="2041">
        <v>113661.46</v>
      </c>
      <c r="Q97" s="2094">
        <v>0</v>
      </c>
      <c r="R97" s="2040"/>
      <c r="S97" s="2045">
        <f t="shared" si="9"/>
        <v>23732.096965437006</v>
      </c>
      <c r="T97" s="2041">
        <v>71955.891000000003</v>
      </c>
      <c r="U97" s="2045">
        <f t="shared" si="10"/>
        <v>-3.7500000325962901E-4</v>
      </c>
      <c r="V97" s="2050">
        <v>75840.92</v>
      </c>
      <c r="W97" s="2050">
        <v>37820.542000000001</v>
      </c>
      <c r="X97" s="2042">
        <f t="shared" si="11"/>
        <v>-1.999999993131496E-3</v>
      </c>
      <c r="Y97" s="2049">
        <v>0</v>
      </c>
      <c r="Z97" s="2051">
        <f t="shared" si="12"/>
        <v>0</v>
      </c>
      <c r="AA97" s="929"/>
      <c r="AB97" s="930"/>
      <c r="AC97" s="931">
        <f t="shared" si="18"/>
        <v>0</v>
      </c>
      <c r="AD97" s="931">
        <f t="shared" si="13"/>
        <v>0</v>
      </c>
      <c r="AE97" s="931">
        <f t="shared" si="19"/>
        <v>-2.1101119927533435E-3</v>
      </c>
      <c r="AF97" s="931">
        <f t="shared" si="20"/>
        <v>2.1101119927533435E-3</v>
      </c>
      <c r="AG97" s="932" t="e">
        <f t="shared" si="21"/>
        <v>#REF!</v>
      </c>
      <c r="AH97" s="843"/>
      <c r="AI97" s="843"/>
      <c r="AJ97" s="843"/>
    </row>
    <row r="98" spans="2:42" x14ac:dyDescent="0.2">
      <c r="C98" s="933">
        <f t="shared" si="14"/>
        <v>43674</v>
      </c>
      <c r="D98" s="919">
        <f t="shared" si="15"/>
        <v>153350.92387096773</v>
      </c>
      <c r="E98" s="920">
        <f t="shared" si="16"/>
        <v>14421.080258064516</v>
      </c>
      <c r="F98" s="934">
        <f t="shared" si="6"/>
        <v>185217.5025</v>
      </c>
      <c r="G98" s="935">
        <f t="shared" si="17"/>
        <v>1.0163853</v>
      </c>
      <c r="H98" s="923">
        <f t="shared" si="7"/>
        <v>188.25229999999999</v>
      </c>
      <c r="I98" s="924">
        <f t="shared" si="8"/>
        <v>353178.77531433228</v>
      </c>
      <c r="J98" s="925"/>
      <c r="K98" s="926"/>
      <c r="L98" s="926"/>
      <c r="M98" s="984"/>
      <c r="N98" s="2040">
        <v>23735.509418334004</v>
      </c>
      <c r="O98" s="2047">
        <v>71411.8125</v>
      </c>
      <c r="P98" s="2047">
        <v>113805.69</v>
      </c>
      <c r="Q98" s="2094">
        <v>0</v>
      </c>
      <c r="R98" s="2046"/>
      <c r="S98" s="2045">
        <f t="shared" si="9"/>
        <v>23735.509418334004</v>
      </c>
      <c r="T98" s="2047">
        <v>71411.812000000005</v>
      </c>
      <c r="U98" s="2045">
        <f t="shared" si="10"/>
        <v>4.999999946448952E-4</v>
      </c>
      <c r="V98" s="2050">
        <v>75995.994999999995</v>
      </c>
      <c r="W98" s="2050">
        <v>37809.714999999997</v>
      </c>
      <c r="X98" s="2042">
        <f t="shared" si="11"/>
        <v>-1.9999999989522621E-2</v>
      </c>
      <c r="Y98" s="2049">
        <v>0</v>
      </c>
      <c r="Z98" s="2051">
        <f t="shared" si="12"/>
        <v>0</v>
      </c>
      <c r="AA98" s="929"/>
      <c r="AB98" s="930"/>
      <c r="AC98" s="931">
        <f t="shared" si="18"/>
        <v>0</v>
      </c>
      <c r="AD98" s="931">
        <f t="shared" si="13"/>
        <v>0</v>
      </c>
      <c r="AE98" s="931">
        <f t="shared" si="19"/>
        <v>-2.1101119988945777E-2</v>
      </c>
      <c r="AF98" s="931">
        <f t="shared" si="20"/>
        <v>2.1101119988945777E-2</v>
      </c>
      <c r="AG98" s="932" t="e">
        <f t="shared" si="21"/>
        <v>#REF!</v>
      </c>
      <c r="AH98" s="843"/>
      <c r="AI98" s="843"/>
      <c r="AJ98" s="843"/>
    </row>
    <row r="99" spans="2:42" x14ac:dyDescent="0.2">
      <c r="C99" s="933">
        <f t="shared" si="14"/>
        <v>43675</v>
      </c>
      <c r="D99" s="919">
        <f t="shared" si="15"/>
        <v>153350.92387096773</v>
      </c>
      <c r="E99" s="920">
        <f t="shared" si="16"/>
        <v>14421.080258064516</v>
      </c>
      <c r="F99" s="934">
        <f t="shared" si="6"/>
        <v>179627.073125</v>
      </c>
      <c r="G99" s="935">
        <f t="shared" si="17"/>
        <v>1.0163853</v>
      </c>
      <c r="H99" s="923">
        <f t="shared" si="7"/>
        <v>182.5703</v>
      </c>
      <c r="I99" s="924">
        <f t="shared" si="8"/>
        <v>347582.6639393323</v>
      </c>
      <c r="J99" s="925"/>
      <c r="K99" s="926"/>
      <c r="L99" s="926"/>
      <c r="M99" s="926"/>
      <c r="N99" s="2040">
        <v>22644.187516493996</v>
      </c>
      <c r="O99" s="2041">
        <v>71785.453125</v>
      </c>
      <c r="P99" s="2041">
        <v>107841.62</v>
      </c>
      <c r="Q99" s="2094">
        <v>0</v>
      </c>
      <c r="R99" s="2040"/>
      <c r="S99" s="2051">
        <f t="shared" si="9"/>
        <v>22644.187516493996</v>
      </c>
      <c r="T99" s="2041">
        <v>71785.452999999994</v>
      </c>
      <c r="U99" s="2051">
        <f t="shared" si="10"/>
        <v>1.2500000593718141E-4</v>
      </c>
      <c r="V99" s="2050">
        <v>70000.417000000001</v>
      </c>
      <c r="W99" s="2050">
        <v>37841.216999999997</v>
      </c>
      <c r="X99" s="2048">
        <f t="shared" si="11"/>
        <v>-1.3999999995576218E-2</v>
      </c>
      <c r="Y99" s="2049">
        <v>0</v>
      </c>
      <c r="Z99" s="2051">
        <f t="shared" si="12"/>
        <v>0</v>
      </c>
      <c r="AA99" s="929"/>
      <c r="AB99" s="930"/>
      <c r="AC99" s="931">
        <f t="shared" si="18"/>
        <v>0</v>
      </c>
      <c r="AD99" s="931">
        <f t="shared" si="13"/>
        <v>0</v>
      </c>
      <c r="AE99" s="931">
        <f t="shared" si="19"/>
        <v>-1.4770783995332663E-2</v>
      </c>
      <c r="AF99" s="931">
        <f t="shared" si="20"/>
        <v>1.4770783995332663E-2</v>
      </c>
      <c r="AG99" s="932" t="e">
        <f t="shared" si="21"/>
        <v>#REF!</v>
      </c>
      <c r="AH99" s="843"/>
      <c r="AI99" s="843"/>
      <c r="AJ99" s="843"/>
    </row>
    <row r="100" spans="2:42" x14ac:dyDescent="0.2">
      <c r="C100" s="933">
        <f t="shared" si="14"/>
        <v>43676</v>
      </c>
      <c r="D100" s="919">
        <f t="shared" si="15"/>
        <v>153350.92387096773</v>
      </c>
      <c r="E100" s="920">
        <f t="shared" si="16"/>
        <v>14421.080258064516</v>
      </c>
      <c r="F100" s="934">
        <f t="shared" si="6"/>
        <v>184719.344063</v>
      </c>
      <c r="G100" s="935">
        <f t="shared" si="17"/>
        <v>1.0163853</v>
      </c>
      <c r="H100" s="923">
        <f t="shared" si="7"/>
        <v>187.74600000000001</v>
      </c>
      <c r="I100" s="924">
        <f t="shared" si="8"/>
        <v>352680.11057733226</v>
      </c>
      <c r="J100" s="925"/>
      <c r="K100" s="926"/>
      <c r="L100" s="926"/>
      <c r="M100" s="926"/>
      <c r="N100" s="2040">
        <v>23202.809858206998</v>
      </c>
      <c r="O100" s="2041">
        <v>71595.914063000004</v>
      </c>
      <c r="P100" s="2041">
        <v>113123.43</v>
      </c>
      <c r="Q100" s="2094">
        <v>0</v>
      </c>
      <c r="R100" s="2040"/>
      <c r="S100" s="2051">
        <f t="shared" si="9"/>
        <v>23202.809858206998</v>
      </c>
      <c r="T100" s="2041">
        <v>71595.914000000004</v>
      </c>
      <c r="U100" s="2051">
        <f t="shared" si="10"/>
        <v>6.2999999499879777E-5</v>
      </c>
      <c r="V100" s="2050">
        <v>75382.153999999995</v>
      </c>
      <c r="W100" s="2050">
        <v>37741.279999999999</v>
      </c>
      <c r="X100" s="2048">
        <f t="shared" si="11"/>
        <v>-4.0000000008149073E-3</v>
      </c>
      <c r="Y100" s="2049">
        <v>0</v>
      </c>
      <c r="Z100" s="2051">
        <f t="shared" si="12"/>
        <v>0</v>
      </c>
      <c r="AA100" s="929"/>
      <c r="AB100" s="930"/>
      <c r="AC100" s="931">
        <f t="shared" si="18"/>
        <v>0</v>
      </c>
      <c r="AD100" s="931">
        <f t="shared" si="13"/>
        <v>0</v>
      </c>
      <c r="AE100" s="931">
        <f t="shared" si="19"/>
        <v>-4.220224000859773E-3</v>
      </c>
      <c r="AF100" s="931">
        <f t="shared" si="20"/>
        <v>4.220224000859773E-3</v>
      </c>
      <c r="AG100" s="932" t="e">
        <f t="shared" si="21"/>
        <v>#REF!</v>
      </c>
      <c r="AH100" s="843"/>
      <c r="AI100" s="843"/>
      <c r="AJ100" s="843"/>
    </row>
    <row r="101" spans="2:42" ht="13.5" thickBot="1" x14ac:dyDescent="0.25">
      <c r="C101" s="938">
        <f t="shared" si="14"/>
        <v>43677</v>
      </c>
      <c r="D101" s="939">
        <f t="shared" si="15"/>
        <v>153350.92387096773</v>
      </c>
      <c r="E101" s="940">
        <f t="shared" si="16"/>
        <v>14421.080258064516</v>
      </c>
      <c r="F101" s="941">
        <f t="shared" si="6"/>
        <v>184719.344063</v>
      </c>
      <c r="G101" s="942">
        <f t="shared" si="17"/>
        <v>1.0163853</v>
      </c>
      <c r="H101" s="943">
        <f t="shared" si="7"/>
        <v>187.74600000000001</v>
      </c>
      <c r="I101" s="944">
        <f t="shared" si="8"/>
        <v>352680.11057733226</v>
      </c>
      <c r="J101" s="945"/>
      <c r="K101" s="946"/>
      <c r="L101" s="946"/>
      <c r="M101" s="946"/>
      <c r="N101" s="2052">
        <v>23558.732566911003</v>
      </c>
      <c r="O101" s="2053">
        <v>71595.914063000004</v>
      </c>
      <c r="P101" s="2053">
        <v>113123.43</v>
      </c>
      <c r="Q101" s="2095">
        <v>0</v>
      </c>
      <c r="R101" s="2052"/>
      <c r="S101" s="2057">
        <f t="shared" si="9"/>
        <v>23558.732566911003</v>
      </c>
      <c r="T101" s="2053">
        <v>71595.914000000004</v>
      </c>
      <c r="U101" s="2057">
        <f t="shared" si="10"/>
        <v>6.2999999499879777E-5</v>
      </c>
      <c r="V101" s="2056">
        <v>75382.153999999995</v>
      </c>
      <c r="W101" s="2056">
        <v>37741.279999999999</v>
      </c>
      <c r="X101" s="2054">
        <f t="shared" si="11"/>
        <v>-4.0000000008149073E-3</v>
      </c>
      <c r="Y101" s="2055">
        <v>0</v>
      </c>
      <c r="Z101" s="2057">
        <f t="shared" si="12"/>
        <v>0</v>
      </c>
      <c r="AA101" s="949"/>
      <c r="AB101" s="950"/>
      <c r="AC101" s="951">
        <f t="shared" si="18"/>
        <v>0</v>
      </c>
      <c r="AD101" s="951">
        <f t="shared" si="13"/>
        <v>0</v>
      </c>
      <c r="AE101" s="951">
        <f t="shared" si="19"/>
        <v>-4.220224000859773E-3</v>
      </c>
      <c r="AF101" s="951">
        <f t="shared" si="20"/>
        <v>4.220224000859773E-3</v>
      </c>
      <c r="AG101" s="952" t="e">
        <f t="shared" si="21"/>
        <v>#REF!</v>
      </c>
      <c r="AH101" s="843"/>
      <c r="AI101" s="843"/>
      <c r="AJ101" s="843"/>
    </row>
    <row r="102" spans="2:42" ht="13.5" thickBot="1" x14ac:dyDescent="0.25">
      <c r="C102" s="953"/>
      <c r="D102" s="954">
        <f>SUM(D71:D101)</f>
        <v>4753878.6399999997</v>
      </c>
      <c r="E102" s="954">
        <f>SUM(E71:E101)</f>
        <v>447053.48799999978</v>
      </c>
      <c r="F102" s="955">
        <f>SUM(F71:F101)</f>
        <v>5598758.4390080003</v>
      </c>
      <c r="G102" s="955"/>
      <c r="H102" s="956">
        <f t="shared" ref="H102:I102" si="22">SUM(H71:H101)</f>
        <v>5690.4957999999997</v>
      </c>
      <c r="I102" s="954">
        <f t="shared" si="22"/>
        <v>10805412.5707523</v>
      </c>
      <c r="J102" s="996">
        <f t="shared" ref="J102:Q102" si="23">SUM(J71:J101)</f>
        <v>0</v>
      </c>
      <c r="K102" s="996">
        <f t="shared" si="23"/>
        <v>0</v>
      </c>
      <c r="L102" s="996">
        <f t="shared" si="23"/>
        <v>0</v>
      </c>
      <c r="M102" s="996">
        <f t="shared" si="23"/>
        <v>0</v>
      </c>
      <c r="N102" s="996">
        <f t="shared" si="23"/>
        <v>591252.00419668108</v>
      </c>
      <c r="O102" s="1024">
        <f t="shared" si="23"/>
        <v>2227414.6790080005</v>
      </c>
      <c r="P102" s="1024">
        <f t="shared" si="23"/>
        <v>3371343.7600000002</v>
      </c>
      <c r="Q102" s="1024">
        <f t="shared" si="23"/>
        <v>0</v>
      </c>
      <c r="R102" s="1024"/>
      <c r="S102" s="1024"/>
      <c r="T102" s="1024">
        <f t="shared" ref="T102:AA102" si="24">SUM(T71:T101)</f>
        <v>2227414.2950000004</v>
      </c>
      <c r="U102" s="1024">
        <f t="shared" si="24"/>
        <v>0.38400800001545576</v>
      </c>
      <c r="V102" s="1024">
        <f t="shared" si="24"/>
        <v>2221416.4240000006</v>
      </c>
      <c r="W102" s="1024">
        <f t="shared" si="24"/>
        <v>1151472.4410000003</v>
      </c>
      <c r="X102" s="1024">
        <f t="shared" si="24"/>
        <v>-1545.1049999999814</v>
      </c>
      <c r="Y102" s="996">
        <f t="shared" si="24"/>
        <v>0</v>
      </c>
      <c r="Z102" s="996">
        <f t="shared" si="24"/>
        <v>0</v>
      </c>
      <c r="AA102" s="958">
        <f t="shared" si="24"/>
        <v>0</v>
      </c>
      <c r="AB102" s="829"/>
      <c r="AC102" s="959"/>
      <c r="AD102" s="960">
        <f>SUM(AD71:AD101)</f>
        <v>0</v>
      </c>
      <c r="AE102" s="960">
        <f>SUM(AE71:AE101)</f>
        <v>-1630.1723008799811</v>
      </c>
      <c r="AF102" s="960">
        <f>SUM(AF71:AF101)</f>
        <v>1630.1723008799811</v>
      </c>
      <c r="AG102" s="961" t="e">
        <f>#REF!</f>
        <v>#REF!</v>
      </c>
      <c r="AH102" s="843"/>
      <c r="AI102" s="843"/>
      <c r="AJ102" s="843"/>
      <c r="AP102" s="958" t="e">
        <f>#REF!</f>
        <v>#REF!</v>
      </c>
    </row>
    <row r="103" spans="2:42" ht="15" customHeight="1" thickBot="1" x14ac:dyDescent="0.25">
      <c r="B103" s="843"/>
      <c r="C103" s="843"/>
      <c r="D103" s="843"/>
      <c r="E103" s="843"/>
      <c r="F103" s="843"/>
      <c r="G103" s="843"/>
      <c r="H103" s="843"/>
      <c r="I103" s="843"/>
      <c r="J103" s="843"/>
      <c r="K103" s="843"/>
      <c r="L103" s="843"/>
      <c r="N103" s="829"/>
      <c r="O103" s="843"/>
      <c r="V103" s="997">
        <f>V102/(V102+W102)</f>
        <v>0.65860943331140553</v>
      </c>
      <c r="W103" s="998">
        <f>W102/(V102+W102)</f>
        <v>0.34139056668859441</v>
      </c>
      <c r="Z103" s="829"/>
      <c r="AA103" s="829"/>
      <c r="AB103" s="829"/>
      <c r="AC103" s="829"/>
      <c r="AD103" s="829"/>
      <c r="AE103" s="829"/>
      <c r="AF103" s="829"/>
      <c r="AH103" s="843"/>
      <c r="AI103" s="843"/>
      <c r="AJ103" s="843"/>
    </row>
    <row r="104" spans="2:42" ht="13.5" thickBot="1" x14ac:dyDescent="0.25">
      <c r="D104" s="1795" t="s">
        <v>155</v>
      </c>
      <c r="E104" s="1796" t="s">
        <v>156</v>
      </c>
      <c r="F104" s="1797" t="s">
        <v>112</v>
      </c>
      <c r="N104" s="829"/>
      <c r="P104" s="827"/>
      <c r="Z104" s="829"/>
      <c r="AA104" s="829"/>
      <c r="AB104" s="829"/>
      <c r="AG104" s="843"/>
    </row>
    <row r="105" spans="2:42" x14ac:dyDescent="0.2">
      <c r="D105" s="1793"/>
      <c r="E105" s="1779">
        <f>D102</f>
        <v>4753878.6399999997</v>
      </c>
      <c r="F105" s="1780">
        <f>D105-E105</f>
        <v>-4753878.6399999997</v>
      </c>
      <c r="G105" s="968"/>
      <c r="H105" s="968"/>
      <c r="I105" s="968"/>
      <c r="P105" s="827"/>
      <c r="W105" s="1008">
        <f>1-V103-W103</f>
        <v>0</v>
      </c>
      <c r="Z105" s="829"/>
      <c r="AA105" s="829"/>
      <c r="AB105" s="829"/>
      <c r="AC105" s="829"/>
      <c r="AG105" s="843"/>
    </row>
    <row r="106" spans="2:42" x14ac:dyDescent="0.2">
      <c r="D106" s="1793"/>
      <c r="E106" s="1779">
        <f>E102</f>
        <v>447053.48799999978</v>
      </c>
      <c r="F106" s="1780">
        <f>D106-E106</f>
        <v>-447053.48799999978</v>
      </c>
      <c r="G106" s="968"/>
      <c r="H106" s="968"/>
      <c r="I106" s="968"/>
      <c r="O106" s="827"/>
      <c r="Z106" s="829"/>
      <c r="AA106" s="829"/>
      <c r="AB106" s="829"/>
      <c r="AG106" s="843"/>
    </row>
    <row r="107" spans="2:42" ht="13.5" thickBot="1" x14ac:dyDescent="0.25">
      <c r="D107" s="1794"/>
      <c r="E107" s="1781">
        <f>ROUND(H102,2)</f>
        <v>5690.5</v>
      </c>
      <c r="F107" s="1782">
        <f>D107-E107</f>
        <v>-5690.5</v>
      </c>
      <c r="G107" s="968"/>
    </row>
    <row r="108" spans="2:42" x14ac:dyDescent="0.2">
      <c r="D108" s="968"/>
    </row>
  </sheetData>
  <mergeCells count="11">
    <mergeCell ref="C16:E16"/>
    <mergeCell ref="C3:M4"/>
    <mergeCell ref="C5:M5"/>
    <mergeCell ref="C6:M6"/>
    <mergeCell ref="C14:E14"/>
    <mergeCell ref="C15:E15"/>
    <mergeCell ref="J69:M69"/>
    <mergeCell ref="N69:Q69"/>
    <mergeCell ref="R69:Z69"/>
    <mergeCell ref="AA69:AG69"/>
    <mergeCell ref="C17:E17"/>
  </mergeCells>
  <conditionalFormatting sqref="R100">
    <cfRule type="cellIs" dxfId="41" priority="3" stopIfTrue="1" operator="equal">
      <formula>0</formula>
    </cfRule>
  </conditionalFormatting>
  <conditionalFormatting sqref="N71:N101">
    <cfRule type="cellIs" dxfId="40" priority="2" stopIfTrue="1" operator="equal">
      <formula>0</formula>
    </cfRule>
  </conditionalFormatting>
  <conditionalFormatting sqref="R71:R98">
    <cfRule type="cellIs" dxfId="39" priority="1" stopIfTrue="1" operator="equal">
      <formula>0</formula>
    </cfRule>
  </conditionalFormatting>
  <conditionalFormatting sqref="O71:P101">
    <cfRule type="cellIs" dxfId="38" priority="7" stopIfTrue="1" operator="equal">
      <formula>0</formula>
    </cfRule>
  </conditionalFormatting>
  <conditionalFormatting sqref="T71:T99 T101">
    <cfRule type="cellIs" dxfId="37" priority="6" stopIfTrue="1" operator="equal">
      <formula>0</formula>
    </cfRule>
  </conditionalFormatting>
  <conditionalFormatting sqref="T100">
    <cfRule type="cellIs" dxfId="36" priority="5" stopIfTrue="1" operator="equal">
      <formula>0</formula>
    </cfRule>
  </conditionalFormatting>
  <conditionalFormatting sqref="R99 R101">
    <cfRule type="cellIs" dxfId="35" priority="4" stopIfTrue="1" operator="equal">
      <formula>0</formula>
    </cfRule>
  </conditionalFormatting>
  <printOptions horizontalCentered="1"/>
  <pageMargins left="0.59055118110236227" right="0.39370078740157483" top="0" bottom="0" header="0" footer="0.51181102362204722"/>
  <pageSetup scale="42" orientation="landscape" r:id="rId1"/>
  <drawing r:id="rId2"/>
  <legacyDrawing r:id="rId3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2:AP108"/>
  <sheetViews>
    <sheetView topLeftCell="C36" workbookViewId="0">
      <selection activeCell="I42" sqref="I42"/>
    </sheetView>
  </sheetViews>
  <sheetFormatPr baseColWidth="10" defaultColWidth="11" defaultRowHeight="12.75" x14ac:dyDescent="0.2"/>
  <cols>
    <col min="1" max="1" width="11" style="829"/>
    <col min="2" max="2" width="3.875" style="829" bestFit="1" customWidth="1"/>
    <col min="3" max="3" width="16.125" style="829" customWidth="1"/>
    <col min="4" max="4" width="14" style="829" bestFit="1" customWidth="1"/>
    <col min="5" max="5" width="18.375" style="829" bestFit="1" customWidth="1"/>
    <col min="6" max="6" width="17.375" style="829" bestFit="1" customWidth="1"/>
    <col min="7" max="8" width="13.375" style="829" bestFit="1" customWidth="1"/>
    <col min="9" max="9" width="15.125" style="829" customWidth="1"/>
    <col min="10" max="10" width="20.5" style="829" customWidth="1"/>
    <col min="11" max="11" width="12.625" style="829" bestFit="1" customWidth="1"/>
    <col min="12" max="12" width="16" style="829" customWidth="1"/>
    <col min="13" max="13" width="15.125" style="829" bestFit="1" customWidth="1"/>
    <col min="14" max="14" width="16.125" style="827" bestFit="1" customWidth="1"/>
    <col min="15" max="15" width="11.375" style="829" bestFit="1" customWidth="1"/>
    <col min="16" max="16" width="11.125" style="829" bestFit="1" customWidth="1"/>
    <col min="17" max="17" width="12.625" style="829" bestFit="1" customWidth="1"/>
    <col min="18" max="18" width="10.875" style="829" customWidth="1"/>
    <col min="19" max="19" width="11.875" style="829" bestFit="1" customWidth="1"/>
    <col min="20" max="20" width="11.125" style="829" bestFit="1" customWidth="1"/>
    <col min="21" max="21" width="11.625" style="829" bestFit="1" customWidth="1"/>
    <col min="22" max="23" width="11.125" style="829" bestFit="1" customWidth="1"/>
    <col min="24" max="24" width="13.625" style="829" bestFit="1" customWidth="1"/>
    <col min="25" max="25" width="16.125" style="829" bestFit="1" customWidth="1"/>
    <col min="26" max="26" width="11.125" style="843" bestFit="1" customWidth="1"/>
    <col min="27" max="27" width="13" style="843" bestFit="1" customWidth="1"/>
    <col min="28" max="32" width="11" style="843"/>
    <col min="33" max="38" width="11" style="829"/>
    <col min="39" max="39" width="11.125" style="829" bestFit="1" customWidth="1"/>
    <col min="40" max="16384" width="11" style="829"/>
  </cols>
  <sheetData>
    <row r="2" spans="2:35" x14ac:dyDescent="0.2">
      <c r="B2" s="827"/>
      <c r="C2" s="828"/>
      <c r="D2" s="828"/>
      <c r="E2" s="828"/>
      <c r="F2" s="828"/>
      <c r="G2" s="828"/>
      <c r="H2" s="828"/>
      <c r="I2" s="828"/>
      <c r="J2" s="828"/>
      <c r="K2" s="828"/>
      <c r="L2" s="828"/>
      <c r="M2" s="828"/>
      <c r="N2" s="828"/>
      <c r="Z2" s="829"/>
      <c r="AA2" s="829"/>
      <c r="AB2" s="829"/>
      <c r="AC2" s="829"/>
      <c r="AD2" s="829"/>
      <c r="AE2" s="829"/>
      <c r="AF2" s="829"/>
    </row>
    <row r="3" spans="2:35" ht="15" customHeight="1" x14ac:dyDescent="0.2">
      <c r="B3" s="827"/>
      <c r="C3" s="2295"/>
      <c r="D3" s="2295"/>
      <c r="E3" s="2295"/>
      <c r="F3" s="2295"/>
      <c r="G3" s="2295"/>
      <c r="H3" s="2295"/>
      <c r="I3" s="2295"/>
      <c r="J3" s="2295"/>
      <c r="K3" s="2295"/>
      <c r="L3" s="2295"/>
      <c r="M3" s="2295"/>
      <c r="N3" s="828"/>
      <c r="Z3" s="829"/>
      <c r="AA3" s="829"/>
      <c r="AB3" s="829"/>
      <c r="AC3" s="829"/>
      <c r="AD3" s="829"/>
      <c r="AE3" s="829"/>
      <c r="AF3" s="829"/>
    </row>
    <row r="4" spans="2:35" ht="15" customHeight="1" x14ac:dyDescent="0.2">
      <c r="B4" s="827"/>
      <c r="C4" s="2295"/>
      <c r="D4" s="2295"/>
      <c r="E4" s="2295"/>
      <c r="F4" s="2295"/>
      <c r="G4" s="2295"/>
      <c r="H4" s="2295"/>
      <c r="I4" s="2295"/>
      <c r="J4" s="2295"/>
      <c r="K4" s="2295"/>
      <c r="L4" s="2295"/>
      <c r="M4" s="2295"/>
      <c r="N4" s="828"/>
      <c r="Z4" s="829"/>
      <c r="AA4" s="829"/>
      <c r="AB4" s="829"/>
      <c r="AC4" s="829"/>
      <c r="AD4" s="829"/>
      <c r="AE4" s="829"/>
      <c r="AF4" s="829"/>
    </row>
    <row r="5" spans="2:35" x14ac:dyDescent="0.2">
      <c r="B5" s="827"/>
      <c r="C5" s="2296"/>
      <c r="D5" s="2296"/>
      <c r="E5" s="2296"/>
      <c r="F5" s="2296"/>
      <c r="G5" s="2296"/>
      <c r="H5" s="2296"/>
      <c r="I5" s="2296"/>
      <c r="J5" s="2296"/>
      <c r="K5" s="2296"/>
      <c r="L5" s="2296"/>
      <c r="M5" s="2296"/>
      <c r="N5" s="828"/>
      <c r="Z5" s="829"/>
      <c r="AA5" s="829"/>
      <c r="AB5" s="829"/>
      <c r="AC5" s="829"/>
      <c r="AD5" s="829"/>
      <c r="AE5" s="829"/>
      <c r="AF5" s="829"/>
    </row>
    <row r="6" spans="2:35" x14ac:dyDescent="0.2">
      <c r="B6" s="827"/>
      <c r="C6" s="2296"/>
      <c r="D6" s="2296"/>
      <c r="E6" s="2296"/>
      <c r="F6" s="2296"/>
      <c r="G6" s="2296"/>
      <c r="H6" s="2296"/>
      <c r="I6" s="2296"/>
      <c r="J6" s="2296"/>
      <c r="K6" s="2296"/>
      <c r="L6" s="2296"/>
      <c r="M6" s="2296"/>
      <c r="N6" s="828"/>
      <c r="Z6" s="829"/>
      <c r="AA6" s="829"/>
      <c r="AB6" s="829"/>
      <c r="AC6" s="829"/>
      <c r="AD6" s="829"/>
      <c r="AE6" s="829"/>
      <c r="AF6" s="829"/>
    </row>
    <row r="7" spans="2:35" x14ac:dyDescent="0.2">
      <c r="B7" s="827"/>
      <c r="C7" s="830">
        <v>43101</v>
      </c>
      <c r="D7" s="830"/>
      <c r="E7" s="830"/>
      <c r="F7" s="830"/>
      <c r="G7" s="830"/>
      <c r="H7" s="830"/>
      <c r="I7" s="830"/>
      <c r="J7" s="830"/>
      <c r="K7" s="830"/>
      <c r="L7" s="830"/>
      <c r="M7" s="830"/>
      <c r="N7" s="830"/>
      <c r="O7" s="830"/>
      <c r="P7" s="830"/>
      <c r="Q7" s="830"/>
      <c r="R7" s="827"/>
      <c r="S7" s="827"/>
      <c r="T7" s="827"/>
      <c r="U7" s="827"/>
      <c r="V7" s="827"/>
      <c r="W7" s="827"/>
      <c r="X7" s="827"/>
      <c r="Y7" s="827"/>
      <c r="Z7" s="829"/>
      <c r="AA7" s="829"/>
      <c r="AB7" s="829"/>
      <c r="AC7" s="829"/>
      <c r="AD7" s="829"/>
      <c r="AE7" s="829"/>
      <c r="AF7" s="829"/>
    </row>
    <row r="8" spans="2:35" ht="19.5" customHeight="1" x14ac:dyDescent="0.2">
      <c r="B8" s="827"/>
      <c r="C8" s="1740"/>
      <c r="D8" s="1740"/>
      <c r="E8" s="1740"/>
      <c r="F8" s="1740"/>
      <c r="G8" s="1740"/>
      <c r="H8" s="1740"/>
      <c r="I8" s="1740"/>
      <c r="J8" s="1740"/>
      <c r="K8" s="1740"/>
      <c r="L8" s="1740"/>
      <c r="M8" s="828"/>
      <c r="N8" s="828"/>
      <c r="O8" s="827"/>
      <c r="P8" s="827"/>
      <c r="Q8" s="827"/>
      <c r="R8" s="827"/>
      <c r="S8" s="827"/>
      <c r="T8" s="827"/>
      <c r="U8" s="827"/>
      <c r="V8" s="827"/>
      <c r="W8" s="827"/>
      <c r="X8" s="827"/>
      <c r="Y8" s="827"/>
      <c r="Z8" s="829"/>
      <c r="AA8" s="829"/>
      <c r="AB8" s="829"/>
      <c r="AC8" s="829"/>
      <c r="AD8" s="829"/>
      <c r="AE8" s="829"/>
      <c r="AF8" s="829"/>
    </row>
    <row r="9" spans="2:35" ht="19.5" customHeight="1" x14ac:dyDescent="0.2">
      <c r="B9" s="827"/>
      <c r="C9" s="1740"/>
      <c r="D9" s="1740"/>
      <c r="E9" s="1740"/>
      <c r="F9" s="1740"/>
      <c r="G9" s="1740"/>
      <c r="H9" s="1740"/>
      <c r="I9" s="1740"/>
      <c r="J9" s="1740"/>
      <c r="K9" s="1740"/>
      <c r="L9" s="1740"/>
      <c r="M9" s="828"/>
      <c r="N9" s="828"/>
      <c r="O9" s="827"/>
      <c r="P9" s="827"/>
      <c r="Q9" s="827"/>
      <c r="R9" s="827"/>
      <c r="S9" s="827"/>
      <c r="T9" s="827"/>
      <c r="U9" s="827"/>
      <c r="V9" s="827"/>
      <c r="W9" s="827"/>
      <c r="X9" s="827"/>
      <c r="Y9" s="827"/>
      <c r="Z9" s="829"/>
      <c r="AA9" s="829"/>
      <c r="AB9" s="829"/>
      <c r="AC9" s="829"/>
      <c r="AD9" s="829"/>
      <c r="AE9" s="829"/>
      <c r="AF9" s="829"/>
    </row>
    <row r="10" spans="2:35" ht="19.5" customHeight="1" x14ac:dyDescent="0.2">
      <c r="B10" s="827"/>
      <c r="C10" s="1740"/>
      <c r="D10" s="1740"/>
      <c r="E10" s="1740"/>
      <c r="F10" s="1740"/>
      <c r="G10" s="1740"/>
      <c r="H10" s="1740"/>
      <c r="I10" s="1740"/>
      <c r="J10" s="1740"/>
      <c r="K10" s="1740"/>
      <c r="L10" s="1740"/>
      <c r="M10" s="828"/>
      <c r="N10" s="828"/>
      <c r="O10" s="827"/>
      <c r="P10" s="827"/>
      <c r="Q10" s="827"/>
      <c r="R10" s="827"/>
      <c r="S10" s="827"/>
      <c r="T10" s="827"/>
      <c r="U10" s="827"/>
      <c r="V10" s="827"/>
      <c r="W10" s="827"/>
      <c r="X10" s="827"/>
      <c r="Y10" s="827"/>
      <c r="Z10" s="829"/>
      <c r="AA10" s="829"/>
      <c r="AB10" s="829"/>
      <c r="AC10" s="829"/>
      <c r="AD10" s="829"/>
      <c r="AE10" s="829"/>
      <c r="AF10" s="829"/>
    </row>
    <row r="11" spans="2:35" ht="19.5" customHeight="1" x14ac:dyDescent="0.2">
      <c r="B11" s="827"/>
      <c r="C11" s="1740"/>
      <c r="D11" s="1740"/>
      <c r="E11" s="1740"/>
      <c r="F11" s="1740"/>
      <c r="G11" s="1740"/>
      <c r="H11" s="1740"/>
      <c r="I11" s="1740"/>
      <c r="J11" s="1740"/>
      <c r="K11" s="1740"/>
      <c r="L11" s="1740"/>
      <c r="M11" s="828"/>
      <c r="N11" s="828"/>
      <c r="O11" s="827"/>
      <c r="P11" s="827"/>
      <c r="Q11" s="827"/>
      <c r="R11" s="827"/>
      <c r="S11" s="827"/>
      <c r="T11" s="827"/>
      <c r="U11" s="827"/>
      <c r="V11" s="827"/>
      <c r="W11" s="827"/>
      <c r="X11" s="827"/>
      <c r="Y11" s="827"/>
      <c r="Z11" s="829"/>
      <c r="AA11" s="829"/>
      <c r="AB11" s="829"/>
      <c r="AC11" s="829"/>
      <c r="AD11" s="829"/>
      <c r="AE11" s="829"/>
      <c r="AF11" s="829"/>
    </row>
    <row r="12" spans="2:35" ht="19.5" customHeight="1" x14ac:dyDescent="0.2">
      <c r="B12" s="827"/>
      <c r="C12" s="1740"/>
      <c r="D12" s="1740"/>
      <c r="E12" s="1740"/>
      <c r="F12" s="1740"/>
      <c r="G12" s="1740"/>
      <c r="H12" s="1740"/>
      <c r="I12" s="1740"/>
      <c r="J12" s="1740"/>
      <c r="K12" s="1740"/>
      <c r="L12" s="1740"/>
      <c r="M12" s="828"/>
      <c r="N12" s="828"/>
      <c r="O12" s="827"/>
      <c r="P12" s="827"/>
      <c r="Q12" s="827"/>
      <c r="R12" s="827"/>
      <c r="S12" s="827"/>
      <c r="T12" s="827"/>
      <c r="U12" s="827"/>
      <c r="V12" s="827"/>
      <c r="W12" s="827"/>
      <c r="X12" s="827"/>
      <c r="Y12" s="827"/>
      <c r="Z12" s="829"/>
      <c r="AA12" s="829"/>
      <c r="AB12" s="829"/>
      <c r="AC12" s="829"/>
      <c r="AD12" s="829"/>
      <c r="AE12" s="829"/>
      <c r="AF12" s="829"/>
    </row>
    <row r="13" spans="2:35" ht="19.5" customHeight="1" thickBot="1" x14ac:dyDescent="0.25">
      <c r="B13" s="827"/>
      <c r="C13" s="1740"/>
      <c r="D13" s="1740"/>
      <c r="E13" s="1740"/>
      <c r="F13" s="1740"/>
      <c r="G13" s="1740"/>
      <c r="H13" s="1740"/>
      <c r="I13" s="1740"/>
      <c r="J13" s="1740"/>
      <c r="K13" s="1740"/>
      <c r="L13" s="1740"/>
      <c r="M13" s="828"/>
      <c r="N13" s="828"/>
      <c r="O13" s="827"/>
      <c r="P13" s="827"/>
      <c r="Q13" s="827"/>
      <c r="R13" s="827"/>
      <c r="S13" s="827"/>
      <c r="T13" s="827"/>
      <c r="U13" s="827"/>
      <c r="V13" s="827"/>
      <c r="W13" s="827"/>
      <c r="X13" s="827"/>
      <c r="Y13" s="827"/>
      <c r="Z13" s="829"/>
      <c r="AA13" s="829"/>
      <c r="AB13" s="829"/>
      <c r="AC13" s="829"/>
      <c r="AD13" s="829"/>
      <c r="AE13" s="829"/>
      <c r="AF13" s="829"/>
    </row>
    <row r="14" spans="2:35" ht="26.25" thickBot="1" x14ac:dyDescent="0.25">
      <c r="B14" s="827"/>
      <c r="C14" s="2333" t="s">
        <v>6</v>
      </c>
      <c r="D14" s="2334"/>
      <c r="E14" s="2335"/>
      <c r="F14" s="832" t="s">
        <v>227</v>
      </c>
      <c r="G14" s="832" t="s">
        <v>230</v>
      </c>
      <c r="H14" s="832" t="s">
        <v>228</v>
      </c>
      <c r="I14" s="832" t="s">
        <v>229</v>
      </c>
      <c r="J14" s="833" t="s">
        <v>126</v>
      </c>
      <c r="K14" s="833" t="s">
        <v>133</v>
      </c>
      <c r="L14" s="832" t="s">
        <v>127</v>
      </c>
      <c r="M14" s="834" t="s">
        <v>128</v>
      </c>
      <c r="N14" s="828"/>
      <c r="O14" s="827"/>
      <c r="P14" s="827"/>
      <c r="Q14" s="827"/>
      <c r="R14" s="827"/>
      <c r="S14" s="827"/>
      <c r="T14" s="827"/>
      <c r="U14" s="827"/>
      <c r="V14" s="827"/>
      <c r="W14" s="827"/>
      <c r="X14" s="827"/>
      <c r="Y14" s="827"/>
      <c r="Z14" s="829"/>
      <c r="AA14" s="829"/>
      <c r="AB14" s="829"/>
      <c r="AC14" s="829"/>
      <c r="AD14" s="829"/>
      <c r="AE14" s="829"/>
      <c r="AF14" s="829"/>
    </row>
    <row r="15" spans="2:35" ht="13.5" thickBot="1" x14ac:dyDescent="0.25">
      <c r="B15" s="827"/>
      <c r="C15" s="2329" t="s">
        <v>131</v>
      </c>
      <c r="D15" s="2330"/>
      <c r="E15" s="2331"/>
      <c r="F15" s="835"/>
      <c r="G15" s="836" t="s">
        <v>165</v>
      </c>
      <c r="H15" s="835"/>
      <c r="I15" s="837">
        <f>IF(D105=0,E105,D105)</f>
        <v>4753878.6399999997</v>
      </c>
      <c r="J15" s="835">
        <f>I15*0.16</f>
        <v>760620.58239999996</v>
      </c>
      <c r="K15" s="835">
        <f>I15+J15</f>
        <v>5514499.2223999994</v>
      </c>
      <c r="L15" s="838"/>
      <c r="M15" s="1774">
        <v>22</v>
      </c>
      <c r="O15" s="827"/>
      <c r="P15" s="827"/>
      <c r="Q15" s="827"/>
      <c r="R15" s="827"/>
      <c r="S15" s="827"/>
      <c r="T15" s="827"/>
      <c r="U15" s="827"/>
      <c r="V15" s="827"/>
      <c r="W15" s="827"/>
      <c r="X15" s="827"/>
      <c r="Y15" s="827"/>
      <c r="Z15" s="829"/>
      <c r="AA15" s="829"/>
      <c r="AB15" s="829"/>
      <c r="AC15" s="829"/>
      <c r="AD15" s="829"/>
      <c r="AE15" s="829"/>
      <c r="AF15" s="829"/>
    </row>
    <row r="16" spans="2:35" ht="13.5" thickBot="1" x14ac:dyDescent="0.25">
      <c r="B16" s="827"/>
      <c r="C16" s="2329" t="s">
        <v>275</v>
      </c>
      <c r="D16" s="2330"/>
      <c r="E16" s="2331"/>
      <c r="F16" s="840"/>
      <c r="G16" s="840"/>
      <c r="H16" s="840"/>
      <c r="I16" s="837">
        <f>IF(D106=0,E106,D106)</f>
        <v>447053.48799999978</v>
      </c>
      <c r="J16" s="841">
        <f>I16*0.16</f>
        <v>71528.558079999973</v>
      </c>
      <c r="K16" s="841">
        <f>I16+J16</f>
        <v>518582.04607999977</v>
      </c>
      <c r="L16" s="838"/>
      <c r="M16" s="1775">
        <v>22</v>
      </c>
      <c r="O16" s="827"/>
      <c r="P16" s="827"/>
      <c r="Q16" s="827"/>
      <c r="R16" s="827"/>
      <c r="S16" s="827"/>
      <c r="T16" s="827"/>
      <c r="U16" s="827"/>
      <c r="V16" s="827"/>
      <c r="W16" s="827"/>
      <c r="X16" s="827"/>
      <c r="Y16" s="827"/>
      <c r="Z16" s="827"/>
      <c r="AA16" s="827"/>
      <c r="AB16" s="827"/>
      <c r="AG16" s="843"/>
      <c r="AH16" s="843"/>
      <c r="AI16" s="843"/>
    </row>
    <row r="17" spans="2:33" ht="13.5" thickBot="1" x14ac:dyDescent="0.25">
      <c r="B17" s="827"/>
      <c r="C17" s="2326" t="s">
        <v>132</v>
      </c>
      <c r="D17" s="2327"/>
      <c r="E17" s="2328"/>
      <c r="F17" s="844"/>
      <c r="G17" s="845" t="s">
        <v>165</v>
      </c>
      <c r="H17" s="844"/>
      <c r="I17" s="846">
        <f>IF(D107=0,E107,D107)</f>
        <v>5690.5</v>
      </c>
      <c r="J17" s="844">
        <f>I17*0.16</f>
        <v>910.48</v>
      </c>
      <c r="K17" s="844">
        <f>I17+J17</f>
        <v>6600.98</v>
      </c>
      <c r="L17" s="847"/>
      <c r="M17" s="1776">
        <v>22</v>
      </c>
      <c r="O17" s="827"/>
      <c r="P17" s="827"/>
      <c r="Q17" s="827"/>
      <c r="R17" s="827"/>
      <c r="S17" s="827"/>
      <c r="T17" s="827"/>
      <c r="U17" s="827"/>
      <c r="V17" s="827"/>
      <c r="W17" s="827"/>
      <c r="X17" s="827"/>
      <c r="Y17" s="827"/>
      <c r="Z17" s="829"/>
      <c r="AA17" s="829"/>
      <c r="AB17" s="829"/>
      <c r="AC17" s="829"/>
      <c r="AD17" s="829"/>
      <c r="AE17" s="829"/>
      <c r="AF17" s="829"/>
    </row>
    <row r="18" spans="2:33" x14ac:dyDescent="0.2">
      <c r="B18" s="827"/>
      <c r="C18" s="1740"/>
      <c r="D18" s="1740"/>
      <c r="E18" s="1740"/>
      <c r="F18" s="1740"/>
      <c r="G18" s="1740"/>
      <c r="H18" s="827"/>
      <c r="I18" s="827"/>
      <c r="J18" s="827"/>
      <c r="K18" s="827"/>
      <c r="L18" s="827"/>
      <c r="M18" s="827"/>
      <c r="O18" s="827"/>
      <c r="P18" s="827"/>
      <c r="Q18" s="827"/>
      <c r="R18" s="827"/>
      <c r="S18" s="827"/>
      <c r="T18" s="827"/>
      <c r="U18" s="827"/>
      <c r="V18" s="827"/>
      <c r="W18" s="827"/>
      <c r="X18" s="827"/>
      <c r="Y18" s="827"/>
    </row>
    <row r="19" spans="2:33" x14ac:dyDescent="0.2">
      <c r="B19" s="827"/>
      <c r="C19" s="1740"/>
      <c r="D19" s="1740"/>
      <c r="E19" s="1740"/>
      <c r="F19" s="1740"/>
      <c r="G19" s="1740"/>
      <c r="H19" s="827"/>
      <c r="I19" s="827"/>
      <c r="J19" s="827"/>
      <c r="K19" s="827"/>
      <c r="L19" s="827">
        <f>K17*M17</f>
        <v>145221.56</v>
      </c>
      <c r="O19" s="827"/>
      <c r="P19" s="827"/>
      <c r="Q19" s="827"/>
      <c r="R19" s="827"/>
      <c r="S19" s="827"/>
      <c r="T19" s="827"/>
      <c r="U19" s="827"/>
      <c r="V19" s="827"/>
      <c r="W19" s="827"/>
      <c r="X19" s="827"/>
      <c r="Y19" s="827"/>
    </row>
    <row r="20" spans="2:33" ht="13.5" thickBot="1" x14ac:dyDescent="0.25">
      <c r="B20" s="827"/>
      <c r="C20" s="849"/>
      <c r="D20" s="1740"/>
      <c r="E20" s="1740"/>
      <c r="F20" s="1740"/>
      <c r="G20" s="1740"/>
      <c r="H20" s="1740"/>
      <c r="I20" s="1740"/>
      <c r="J20" s="1740"/>
      <c r="K20" s="1740"/>
      <c r="L20" s="1740"/>
      <c r="M20" s="1740"/>
      <c r="N20" s="1740"/>
      <c r="O20" s="1740"/>
      <c r="P20" s="1740"/>
      <c r="Q20" s="1740"/>
      <c r="R20" s="827"/>
      <c r="S20" s="827"/>
      <c r="T20" s="827"/>
      <c r="U20" s="827"/>
      <c r="V20" s="827"/>
      <c r="W20" s="827"/>
      <c r="X20" s="827"/>
      <c r="Y20" s="827"/>
      <c r="Z20" s="827"/>
      <c r="AG20" s="843"/>
    </row>
    <row r="21" spans="2:33" ht="51.75" thickBot="1" x14ac:dyDescent="0.25">
      <c r="B21" s="827"/>
      <c r="C21" s="850" t="s">
        <v>134</v>
      </c>
      <c r="D21" s="832" t="s">
        <v>135</v>
      </c>
      <c r="E21" s="832" t="s">
        <v>285</v>
      </c>
      <c r="F21" s="832" t="s">
        <v>278</v>
      </c>
      <c r="G21" s="832" t="s">
        <v>153</v>
      </c>
      <c r="H21" s="832" t="s">
        <v>279</v>
      </c>
      <c r="I21" s="832" t="s">
        <v>281</v>
      </c>
      <c r="J21" s="832" t="s">
        <v>280</v>
      </c>
      <c r="K21" s="832" t="s">
        <v>245</v>
      </c>
      <c r="L21" s="832" t="s">
        <v>246</v>
      </c>
      <c r="M21" s="832"/>
      <c r="N21" s="834" t="s">
        <v>158</v>
      </c>
      <c r="O21" s="1740"/>
      <c r="P21" s="1740"/>
      <c r="Q21" s="1740"/>
      <c r="R21" s="1740"/>
      <c r="S21" s="1740"/>
      <c r="T21" s="1740"/>
      <c r="U21" s="1740"/>
      <c r="V21" s="827"/>
      <c r="W21" s="827"/>
      <c r="X21" s="827"/>
      <c r="Y21" s="827"/>
      <c r="Z21" s="827"/>
      <c r="AG21" s="843"/>
    </row>
    <row r="22" spans="2:33" ht="13.5" thickBot="1" x14ac:dyDescent="0.25">
      <c r="B22" s="827"/>
      <c r="C22" s="851">
        <v>850</v>
      </c>
      <c r="D22" s="1010">
        <v>850</v>
      </c>
      <c r="E22" s="852">
        <v>31482640</v>
      </c>
      <c r="F22" s="852">
        <v>31482640</v>
      </c>
      <c r="G22" s="852">
        <v>31</v>
      </c>
      <c r="H22" s="1777">
        <f>VLOOKUP(C69,Tarifas!D4:H303,3)</f>
        <v>0.151</v>
      </c>
      <c r="I22" s="2072">
        <v>1.4200000000000001E-2</v>
      </c>
      <c r="J22" s="2072">
        <f>VLOOKUP(C69,Tarifas!D4:H303,5)</f>
        <v>1E-3</v>
      </c>
      <c r="K22" s="2072">
        <v>204.7</v>
      </c>
      <c r="L22" s="2072">
        <v>201.4</v>
      </c>
      <c r="M22" s="1777"/>
      <c r="N22" s="1778">
        <f>F102</f>
        <v>5598758.4390080003</v>
      </c>
      <c r="O22" s="855"/>
      <c r="P22" s="855"/>
      <c r="Q22" s="1740"/>
      <c r="R22" s="1740"/>
      <c r="S22" s="1740"/>
      <c r="T22" s="1740"/>
      <c r="U22" s="1740"/>
      <c r="V22" s="827"/>
      <c r="W22" s="827"/>
      <c r="X22" s="827"/>
      <c r="Y22" s="827"/>
      <c r="Z22" s="827"/>
      <c r="AG22" s="843"/>
    </row>
    <row r="23" spans="2:33" x14ac:dyDescent="0.2">
      <c r="B23" s="827"/>
      <c r="C23" s="1740"/>
      <c r="D23" s="1740"/>
      <c r="E23" s="1740"/>
      <c r="F23" s="1740"/>
      <c r="G23" s="1740"/>
      <c r="H23" s="1740"/>
      <c r="I23" s="1740"/>
      <c r="J23" s="1740"/>
      <c r="K23" s="856"/>
      <c r="L23" s="1740"/>
      <c r="M23" s="1740"/>
      <c r="N23" s="1740"/>
      <c r="O23" s="1740"/>
      <c r="P23" s="1740"/>
      <c r="Q23" s="1740"/>
      <c r="R23" s="1740"/>
      <c r="S23" s="1740"/>
      <c r="T23" s="827"/>
      <c r="U23" s="827"/>
      <c r="V23" s="827"/>
      <c r="W23" s="827"/>
      <c r="X23" s="827"/>
      <c r="Y23" s="827"/>
      <c r="Z23" s="827"/>
      <c r="AG23" s="843"/>
    </row>
    <row r="24" spans="2:33" x14ac:dyDescent="0.2">
      <c r="B24" s="827"/>
      <c r="C24" s="1740"/>
      <c r="D24" s="1740"/>
      <c r="E24" s="1740"/>
      <c r="F24" s="1740"/>
      <c r="G24" s="1740"/>
      <c r="H24" s="1740"/>
      <c r="I24" s="1740"/>
      <c r="J24" s="1740"/>
      <c r="K24" s="1740"/>
      <c r="L24" s="1740"/>
      <c r="M24" s="1740"/>
      <c r="N24" s="1740"/>
      <c r="O24" s="1740"/>
      <c r="P24" s="1740"/>
      <c r="Q24" s="827" t="s">
        <v>405</v>
      </c>
      <c r="R24" s="827"/>
      <c r="S24" s="827"/>
      <c r="T24" s="827"/>
      <c r="U24" s="827"/>
      <c r="V24" s="827"/>
      <c r="W24" s="827"/>
      <c r="X24" s="827"/>
      <c r="Y24" s="827"/>
      <c r="Z24" s="827"/>
      <c r="AG24" s="843"/>
    </row>
    <row r="25" spans="2:33" x14ac:dyDescent="0.2">
      <c r="B25" s="827"/>
      <c r="C25" s="1740"/>
      <c r="D25" s="1740"/>
      <c r="E25" s="1740"/>
      <c r="F25" s="1740"/>
      <c r="G25" s="1740"/>
      <c r="H25" s="1740"/>
      <c r="I25" s="1740"/>
      <c r="J25" s="1740"/>
      <c r="K25" s="1740"/>
      <c r="L25" s="1740"/>
      <c r="M25" s="1740"/>
      <c r="N25" s="1740"/>
      <c r="O25" s="827"/>
      <c r="P25" s="827"/>
      <c r="Q25" s="857"/>
      <c r="R25" s="827"/>
      <c r="S25" s="827"/>
      <c r="T25" s="827"/>
      <c r="U25" s="827"/>
      <c r="V25" s="827"/>
      <c r="W25" s="827"/>
      <c r="X25" s="843"/>
      <c r="Y25" s="843"/>
      <c r="AE25" s="829"/>
      <c r="AF25" s="829"/>
    </row>
    <row r="26" spans="2:33" ht="13.5" thickBot="1" x14ac:dyDescent="0.25">
      <c r="B26" s="827"/>
      <c r="C26" s="858" t="s">
        <v>86</v>
      </c>
      <c r="D26" s="858"/>
      <c r="E26" s="858"/>
      <c r="F26" s="858"/>
      <c r="G26" s="858"/>
      <c r="H26" s="859"/>
      <c r="I26" s="858"/>
      <c r="J26" s="858"/>
      <c r="K26" s="858"/>
      <c r="L26" s="859"/>
      <c r="M26" s="860"/>
      <c r="N26" s="861"/>
      <c r="Q26" s="827"/>
      <c r="R26" s="827"/>
      <c r="S26" s="827"/>
      <c r="T26" s="827"/>
      <c r="U26" s="827"/>
      <c r="V26" s="827"/>
      <c r="W26" s="827"/>
      <c r="X26" s="843"/>
      <c r="Y26" s="843"/>
      <c r="Z26" s="862"/>
      <c r="AE26" s="829"/>
      <c r="AF26" s="829"/>
    </row>
    <row r="27" spans="2:33" ht="35.1" customHeight="1" thickBot="1" x14ac:dyDescent="0.25">
      <c r="B27" s="827"/>
      <c r="C27" s="850" t="s">
        <v>87</v>
      </c>
      <c r="D27" s="832" t="s">
        <v>88</v>
      </c>
      <c r="E27" s="832" t="s">
        <v>237</v>
      </c>
      <c r="F27" s="833" t="s">
        <v>160</v>
      </c>
      <c r="G27" s="832" t="s">
        <v>236</v>
      </c>
      <c r="H27" s="833" t="s">
        <v>232</v>
      </c>
      <c r="I27" s="833" t="s">
        <v>233</v>
      </c>
      <c r="J27" s="833" t="s">
        <v>20</v>
      </c>
      <c r="K27" s="832" t="s">
        <v>91</v>
      </c>
      <c r="L27" s="832" t="s">
        <v>93</v>
      </c>
      <c r="M27" s="832" t="s">
        <v>94</v>
      </c>
      <c r="N27" s="863" t="s">
        <v>95</v>
      </c>
      <c r="P27" s="850" t="s">
        <v>237</v>
      </c>
      <c r="Q27" s="833" t="s">
        <v>160</v>
      </c>
      <c r="R27" s="832" t="s">
        <v>236</v>
      </c>
      <c r="S27" s="833" t="s">
        <v>232</v>
      </c>
      <c r="T27" s="833" t="s">
        <v>233</v>
      </c>
      <c r="U27" s="833" t="s">
        <v>20</v>
      </c>
      <c r="V27" s="832" t="s">
        <v>91</v>
      </c>
      <c r="W27" s="832" t="s">
        <v>93</v>
      </c>
      <c r="X27" s="832" t="s">
        <v>94</v>
      </c>
      <c r="Y27" s="834" t="s">
        <v>95</v>
      </c>
      <c r="Z27" s="861"/>
      <c r="AE27" s="829"/>
      <c r="AF27" s="829"/>
    </row>
    <row r="28" spans="2:33" ht="35.1" customHeight="1" thickBot="1" x14ac:dyDescent="0.25">
      <c r="B28" s="827"/>
      <c r="C28" s="864"/>
      <c r="D28" s="836"/>
      <c r="E28" s="1000"/>
      <c r="F28" s="836"/>
      <c r="G28" s="836"/>
      <c r="H28" s="836"/>
      <c r="I28" s="836"/>
      <c r="J28" s="972"/>
      <c r="K28" s="841"/>
      <c r="L28" s="866"/>
      <c r="M28" s="835"/>
      <c r="N28" s="867"/>
      <c r="P28" s="864" t="s">
        <v>242</v>
      </c>
      <c r="Q28" s="836" t="s">
        <v>221</v>
      </c>
      <c r="R28" s="836" t="s">
        <v>222</v>
      </c>
      <c r="S28" s="836">
        <v>2280</v>
      </c>
      <c r="T28" s="836">
        <v>453658</v>
      </c>
      <c r="U28" s="865" t="s">
        <v>97</v>
      </c>
      <c r="V28" s="841">
        <v>80000</v>
      </c>
      <c r="W28" s="866">
        <f>IFERROR(V28/$V$34,0)</f>
        <v>9.4117647058823528E-2</v>
      </c>
      <c r="X28" s="837">
        <f t="shared" ref="X28:X33" si="0">ROUND(W28*I$15,2)</f>
        <v>447423.87</v>
      </c>
      <c r="Y28" s="868">
        <f t="shared" ref="Y28:Y33" si="1">X28*M$15</f>
        <v>9843325.1400000006</v>
      </c>
      <c r="Z28" s="860"/>
      <c r="AA28" s="1059">
        <f>Y28+Y30+Y31+Y43</f>
        <v>22385416.240000002</v>
      </c>
      <c r="AE28" s="829"/>
      <c r="AF28" s="829"/>
    </row>
    <row r="29" spans="2:33" ht="35.1" customHeight="1" thickBot="1" x14ac:dyDescent="0.25">
      <c r="B29" s="827"/>
      <c r="C29" s="864"/>
      <c r="D29" s="836"/>
      <c r="E29" s="1000"/>
      <c r="F29" s="836"/>
      <c r="G29" s="836"/>
      <c r="H29" s="836"/>
      <c r="I29" s="836"/>
      <c r="J29" s="972"/>
      <c r="K29" s="841"/>
      <c r="L29" s="866"/>
      <c r="M29" s="835"/>
      <c r="N29" s="867"/>
      <c r="P29" s="864" t="s">
        <v>242</v>
      </c>
      <c r="Q29" s="836" t="s">
        <v>221</v>
      </c>
      <c r="R29" s="836" t="s">
        <v>222</v>
      </c>
      <c r="S29" s="836">
        <v>2280</v>
      </c>
      <c r="T29" s="836">
        <v>453658</v>
      </c>
      <c r="U29" s="865" t="s">
        <v>100</v>
      </c>
      <c r="V29" s="841">
        <v>40000</v>
      </c>
      <c r="W29" s="866">
        <f>IFERROR(V29/$V$34,0)</f>
        <v>4.7058823529411764E-2</v>
      </c>
      <c r="X29" s="837">
        <f t="shared" si="0"/>
        <v>223711.94</v>
      </c>
      <c r="Y29" s="868">
        <f t="shared" si="1"/>
        <v>4921662.68</v>
      </c>
      <c r="Z29" s="860"/>
      <c r="AA29" s="1059"/>
      <c r="AE29" s="829"/>
      <c r="AF29" s="829"/>
    </row>
    <row r="30" spans="2:33" ht="35.1" customHeight="1" thickBot="1" x14ac:dyDescent="0.25">
      <c r="B30" s="827"/>
      <c r="C30" s="864"/>
      <c r="D30" s="836"/>
      <c r="E30" s="1000"/>
      <c r="F30" s="836"/>
      <c r="G30" s="836"/>
      <c r="H30" s="836"/>
      <c r="I30" s="836"/>
      <c r="J30" s="972"/>
      <c r="K30" s="841"/>
      <c r="L30" s="866"/>
      <c r="M30" s="835"/>
      <c r="N30" s="867"/>
      <c r="P30" s="864" t="s">
        <v>242</v>
      </c>
      <c r="Q30" s="836" t="s">
        <v>221</v>
      </c>
      <c r="R30" s="836" t="s">
        <v>222</v>
      </c>
      <c r="S30" s="836">
        <v>2280</v>
      </c>
      <c r="T30" s="836">
        <v>453658</v>
      </c>
      <c r="U30" s="865" t="s">
        <v>393</v>
      </c>
      <c r="V30" s="841">
        <v>22000</v>
      </c>
      <c r="W30" s="866">
        <f>IFERROR(V30/$V$34,0)</f>
        <v>2.5882352941176471E-2</v>
      </c>
      <c r="X30" s="837">
        <f t="shared" si="0"/>
        <v>123041.56</v>
      </c>
      <c r="Y30" s="868">
        <f t="shared" si="1"/>
        <v>2706914.32</v>
      </c>
      <c r="Z30" s="860"/>
      <c r="AE30" s="829"/>
      <c r="AF30" s="829"/>
    </row>
    <row r="31" spans="2:33" ht="35.1" customHeight="1" thickBot="1" x14ac:dyDescent="0.25">
      <c r="B31" s="827"/>
      <c r="C31" s="864"/>
      <c r="D31" s="836"/>
      <c r="E31" s="1000"/>
      <c r="F31" s="836"/>
      <c r="G31" s="836"/>
      <c r="H31" s="836"/>
      <c r="I31" s="836"/>
      <c r="J31" s="972"/>
      <c r="K31" s="841"/>
      <c r="L31" s="866"/>
      <c r="M31" s="835"/>
      <c r="N31" s="867"/>
      <c r="P31" s="864" t="s">
        <v>242</v>
      </c>
      <c r="Q31" s="836" t="s">
        <v>221</v>
      </c>
      <c r="R31" s="836" t="s">
        <v>222</v>
      </c>
      <c r="S31" s="836">
        <v>2280</v>
      </c>
      <c r="T31" s="836">
        <v>453658</v>
      </c>
      <c r="U31" s="865" t="s">
        <v>288</v>
      </c>
      <c r="V31" s="841">
        <v>0</v>
      </c>
      <c r="W31" s="866">
        <f t="shared" ref="W31:W33" si="2">IFERROR(V31/$V$34,0)</f>
        <v>0</v>
      </c>
      <c r="X31" s="837">
        <f t="shared" si="0"/>
        <v>0</v>
      </c>
      <c r="Y31" s="868">
        <f t="shared" si="1"/>
        <v>0</v>
      </c>
      <c r="Z31" s="860"/>
      <c r="AE31" s="829"/>
      <c r="AF31" s="829"/>
    </row>
    <row r="32" spans="2:33" ht="35.1" customHeight="1" thickBot="1" x14ac:dyDescent="0.25">
      <c r="B32" s="827"/>
      <c r="C32" s="864"/>
      <c r="D32" s="1000"/>
      <c r="E32" s="2036"/>
      <c r="F32" s="836"/>
      <c r="G32" s="836"/>
      <c r="H32" s="836"/>
      <c r="I32" s="836"/>
      <c r="J32" s="972"/>
      <c r="K32" s="841"/>
      <c r="L32" s="866"/>
      <c r="M32" s="835"/>
      <c r="N32" s="867"/>
      <c r="P32" s="1076" t="s">
        <v>242</v>
      </c>
      <c r="Q32" s="1000" t="s">
        <v>221</v>
      </c>
      <c r="R32" s="1000" t="s">
        <v>222</v>
      </c>
      <c r="S32" s="1000" t="s">
        <v>344</v>
      </c>
      <c r="T32" s="1000">
        <v>468094</v>
      </c>
      <c r="U32" s="2058" t="s">
        <v>23</v>
      </c>
      <c r="V32" s="2059">
        <v>95000</v>
      </c>
      <c r="W32" s="2060">
        <f t="shared" si="2"/>
        <v>0.11176470588235295</v>
      </c>
      <c r="X32" s="2061">
        <f t="shared" si="0"/>
        <v>531315.85</v>
      </c>
      <c r="Y32" s="2062">
        <f t="shared" si="1"/>
        <v>11688948.699999999</v>
      </c>
      <c r="Z32" s="860"/>
      <c r="AE32" s="829"/>
      <c r="AF32" s="829"/>
    </row>
    <row r="33" spans="2:32" ht="35.1" customHeight="1" thickBot="1" x14ac:dyDescent="0.25">
      <c r="B33" s="827"/>
      <c r="C33" s="851">
        <v>800874933</v>
      </c>
      <c r="D33" s="853"/>
      <c r="E33" s="853" t="s">
        <v>242</v>
      </c>
      <c r="F33" s="845" t="s">
        <v>221</v>
      </c>
      <c r="G33" s="845" t="s">
        <v>222</v>
      </c>
      <c r="H33" s="845">
        <v>2280</v>
      </c>
      <c r="I33" s="845">
        <v>453851</v>
      </c>
      <c r="J33" s="973" t="s">
        <v>159</v>
      </c>
      <c r="K33" s="852">
        <f>850000-K28-K29-K31-K32</f>
        <v>850000</v>
      </c>
      <c r="L33" s="872">
        <v>1</v>
      </c>
      <c r="M33" s="844">
        <v>4753878.6400000006</v>
      </c>
      <c r="N33" s="873">
        <f>M33*M15</f>
        <v>104585330.08000001</v>
      </c>
      <c r="P33" s="1004" t="s">
        <v>242</v>
      </c>
      <c r="Q33" s="1003" t="s">
        <v>221</v>
      </c>
      <c r="R33" s="1003" t="s">
        <v>222</v>
      </c>
      <c r="S33" s="1003">
        <v>2280</v>
      </c>
      <c r="T33" s="1003">
        <v>453851</v>
      </c>
      <c r="U33" s="1851" t="s">
        <v>159</v>
      </c>
      <c r="V33" s="1852">
        <f>850000-V28-V29-V30-V31-V32</f>
        <v>613000</v>
      </c>
      <c r="W33" s="1853">
        <f t="shared" si="2"/>
        <v>0.72117647058823531</v>
      </c>
      <c r="X33" s="1854">
        <f t="shared" si="0"/>
        <v>3428385.42</v>
      </c>
      <c r="Y33" s="1855">
        <f t="shared" si="1"/>
        <v>75424479.239999995</v>
      </c>
      <c r="Z33" s="860"/>
      <c r="AE33" s="829"/>
      <c r="AF33" s="829"/>
    </row>
    <row r="34" spans="2:32" ht="35.1" customHeight="1" x14ac:dyDescent="0.2">
      <c r="B34" s="827"/>
      <c r="C34" s="881"/>
      <c r="D34" s="882" t="s">
        <v>102</v>
      </c>
      <c r="E34" s="882"/>
      <c r="F34" s="882"/>
      <c r="G34" s="882"/>
      <c r="H34" s="882"/>
      <c r="I34" s="883"/>
      <c r="J34" s="883"/>
      <c r="K34" s="884">
        <f>SUM(K28:K33)</f>
        <v>850000</v>
      </c>
      <c r="L34" s="885">
        <f>SUM(L28:L33)</f>
        <v>1</v>
      </c>
      <c r="M34" s="886">
        <f>SUM(M28:M33)</f>
        <v>4753878.6400000006</v>
      </c>
      <c r="N34" s="886">
        <f>SUM(N28:N33)</f>
        <v>104585330.08000001</v>
      </c>
      <c r="P34" s="882"/>
      <c r="Q34" s="882"/>
      <c r="R34" s="882"/>
      <c r="S34" s="882"/>
      <c r="T34" s="883"/>
      <c r="U34" s="883"/>
      <c r="V34" s="884">
        <f>SUM(V28:V33)</f>
        <v>850000</v>
      </c>
      <c r="W34" s="885">
        <f>SUM(W28:W33)</f>
        <v>1</v>
      </c>
      <c r="X34" s="887">
        <f>SUM(X28:X33)</f>
        <v>4753878.6400000006</v>
      </c>
      <c r="Y34" s="887">
        <f>SUM(Y28:Y33)</f>
        <v>104585330.08</v>
      </c>
      <c r="Z34" s="827"/>
      <c r="AE34" s="829"/>
      <c r="AF34" s="829"/>
    </row>
    <row r="35" spans="2:32" ht="20.100000000000001" customHeight="1" x14ac:dyDescent="0.2">
      <c r="B35" s="827"/>
      <c r="C35" s="860"/>
      <c r="D35" s="860"/>
      <c r="E35" s="860"/>
      <c r="F35" s="860"/>
      <c r="G35" s="888"/>
      <c r="H35" s="888"/>
      <c r="I35" s="860"/>
      <c r="J35" s="860"/>
      <c r="K35" s="860"/>
      <c r="L35" s="860"/>
      <c r="M35" s="889"/>
      <c r="P35" s="860"/>
      <c r="Q35" s="860"/>
      <c r="R35" s="888"/>
      <c r="S35" s="888"/>
      <c r="T35" s="860"/>
      <c r="U35" s="860"/>
      <c r="V35" s="860"/>
      <c r="W35" s="860"/>
      <c r="X35" s="890"/>
      <c r="Y35" s="891"/>
      <c r="Z35" s="827"/>
      <c r="AE35" s="829"/>
      <c r="AF35" s="829"/>
    </row>
    <row r="36" spans="2:32" ht="20.100000000000001" customHeight="1" x14ac:dyDescent="0.2">
      <c r="B36" s="827"/>
      <c r="C36" s="860"/>
      <c r="D36" s="860"/>
      <c r="E36" s="860"/>
      <c r="F36" s="860"/>
      <c r="G36" s="888"/>
      <c r="H36" s="888"/>
      <c r="I36" s="860"/>
      <c r="J36" s="860"/>
      <c r="K36" s="860"/>
      <c r="L36" s="860"/>
      <c r="M36" s="889"/>
      <c r="P36" s="860"/>
      <c r="Q36" s="860"/>
      <c r="R36" s="888"/>
      <c r="S36" s="888"/>
      <c r="T36" s="860"/>
      <c r="U36" s="860"/>
      <c r="V36" s="860"/>
      <c r="W36" s="892"/>
      <c r="X36" s="889"/>
      <c r="Y36" s="893"/>
      <c r="Z36" s="827"/>
      <c r="AE36" s="829"/>
      <c r="AF36" s="829"/>
    </row>
    <row r="38" spans="2:32" ht="20.100000000000001" customHeight="1" thickBot="1" x14ac:dyDescent="0.25">
      <c r="B38" s="827"/>
      <c r="C38" s="858" t="s">
        <v>274</v>
      </c>
      <c r="D38" s="858"/>
      <c r="E38" s="858"/>
      <c r="F38" s="858"/>
      <c r="G38" s="858"/>
      <c r="H38" s="859"/>
      <c r="I38" s="858"/>
      <c r="J38" s="858"/>
      <c r="K38" s="858"/>
      <c r="L38" s="859"/>
      <c r="M38" s="860"/>
      <c r="N38" s="861"/>
      <c r="P38" s="858"/>
      <c r="Q38" s="858"/>
      <c r="R38" s="858"/>
      <c r="S38" s="859"/>
      <c r="T38" s="858"/>
      <c r="U38" s="858"/>
      <c r="V38" s="858"/>
      <c r="W38" s="860"/>
      <c r="X38" s="860"/>
      <c r="Y38" s="894"/>
      <c r="Z38" s="862"/>
      <c r="AE38" s="829"/>
      <c r="AF38" s="829"/>
    </row>
    <row r="39" spans="2:32" ht="35.1" customHeight="1" thickBot="1" x14ac:dyDescent="0.25">
      <c r="B39" s="827"/>
      <c r="C39" s="850" t="s">
        <v>87</v>
      </c>
      <c r="D39" s="895" t="s">
        <v>88</v>
      </c>
      <c r="E39" s="895" t="s">
        <v>237</v>
      </c>
      <c r="F39" s="896" t="s">
        <v>160</v>
      </c>
      <c r="G39" s="895" t="s">
        <v>236</v>
      </c>
      <c r="H39" s="896" t="s">
        <v>232</v>
      </c>
      <c r="I39" s="896" t="s">
        <v>233</v>
      </c>
      <c r="J39" s="896" t="s">
        <v>20</v>
      </c>
      <c r="K39" s="832" t="s">
        <v>91</v>
      </c>
      <c r="L39" s="895" t="s">
        <v>93</v>
      </c>
      <c r="M39" s="895" t="s">
        <v>94</v>
      </c>
      <c r="N39" s="897" t="s">
        <v>95</v>
      </c>
      <c r="P39" s="895" t="s">
        <v>237</v>
      </c>
      <c r="Q39" s="896" t="s">
        <v>160</v>
      </c>
      <c r="R39" s="895" t="s">
        <v>236</v>
      </c>
      <c r="S39" s="896" t="s">
        <v>232</v>
      </c>
      <c r="T39" s="896" t="s">
        <v>233</v>
      </c>
      <c r="U39" s="896" t="s">
        <v>20</v>
      </c>
      <c r="V39" s="832" t="s">
        <v>91</v>
      </c>
      <c r="W39" s="895" t="s">
        <v>93</v>
      </c>
      <c r="X39" s="895" t="s">
        <v>94</v>
      </c>
      <c r="Y39" s="897" t="s">
        <v>95</v>
      </c>
      <c r="Z39" s="862"/>
      <c r="AE39" s="829"/>
      <c r="AF39" s="829"/>
    </row>
    <row r="40" spans="2:32" ht="35.1" customHeight="1" thickBot="1" x14ac:dyDescent="0.25">
      <c r="B40" s="827"/>
      <c r="C40" s="864"/>
      <c r="D40" s="1000"/>
      <c r="E40" s="2036"/>
      <c r="F40" s="836"/>
      <c r="G40" s="836"/>
      <c r="H40" s="836"/>
      <c r="I40" s="836"/>
      <c r="J40" s="865"/>
      <c r="K40" s="841"/>
      <c r="L40" s="866"/>
      <c r="M40" s="837"/>
      <c r="N40" s="868"/>
      <c r="P40" s="836" t="s">
        <v>242</v>
      </c>
      <c r="Q40" s="836" t="s">
        <v>221</v>
      </c>
      <c r="R40" s="836" t="s">
        <v>222</v>
      </c>
      <c r="S40" s="836">
        <v>2280</v>
      </c>
      <c r="T40" s="836">
        <v>453658</v>
      </c>
      <c r="U40" s="865" t="s">
        <v>97</v>
      </c>
      <c r="V40" s="841">
        <v>80000</v>
      </c>
      <c r="W40" s="866">
        <f>IFERROR(V40/$V$43,0)</f>
        <v>0.66666666666666663</v>
      </c>
      <c r="X40" s="837">
        <f>ROUND(W40*I$16,2)</f>
        <v>298035.65999999997</v>
      </c>
      <c r="Y40" s="868">
        <f>X40*$M$16</f>
        <v>6556784.5199999996</v>
      </c>
      <c r="Z40" s="862"/>
      <c r="AE40" s="829"/>
      <c r="AF40" s="829"/>
    </row>
    <row r="41" spans="2:32" ht="35.1" customHeight="1" thickBot="1" x14ac:dyDescent="0.25">
      <c r="B41" s="827"/>
      <c r="C41" s="864"/>
      <c r="D41" s="1000"/>
      <c r="E41" s="1000"/>
      <c r="F41" s="836"/>
      <c r="G41" s="836"/>
      <c r="H41" s="836"/>
      <c r="I41" s="836"/>
      <c r="J41" s="865"/>
      <c r="K41" s="841"/>
      <c r="L41" s="866"/>
      <c r="M41" s="837"/>
      <c r="N41" s="868"/>
      <c r="P41" s="1000" t="s">
        <v>242</v>
      </c>
      <c r="Q41" s="836" t="s">
        <v>221</v>
      </c>
      <c r="R41" s="836" t="s">
        <v>222</v>
      </c>
      <c r="S41" s="836">
        <v>2280</v>
      </c>
      <c r="T41" s="836">
        <v>453658</v>
      </c>
      <c r="U41" s="865" t="s">
        <v>100</v>
      </c>
      <c r="V41" s="841">
        <v>40000</v>
      </c>
      <c r="W41" s="866">
        <f>IFERROR(V41/$V$43,0)</f>
        <v>0.33333333333333331</v>
      </c>
      <c r="X41" s="837">
        <f>ROUND(W41*I$16,2)</f>
        <v>149017.82999999999</v>
      </c>
      <c r="Y41" s="868">
        <f>X41*$M$16</f>
        <v>3278392.26</v>
      </c>
      <c r="Z41" s="862"/>
      <c r="AE41" s="829"/>
      <c r="AF41" s="829"/>
    </row>
    <row r="42" spans="2:32" ht="35.1" customHeight="1" thickBot="1" x14ac:dyDescent="0.25">
      <c r="B42" s="827"/>
      <c r="C42" s="1004">
        <v>800874975</v>
      </c>
      <c r="D42" s="853"/>
      <c r="E42" s="853" t="s">
        <v>242</v>
      </c>
      <c r="F42" s="1003" t="s">
        <v>221</v>
      </c>
      <c r="G42" s="1003" t="s">
        <v>222</v>
      </c>
      <c r="H42" s="1003">
        <v>2280</v>
      </c>
      <c r="I42" s="1003">
        <v>453851</v>
      </c>
      <c r="J42" s="871" t="s">
        <v>159</v>
      </c>
      <c r="K42" s="852">
        <v>100000</v>
      </c>
      <c r="L42" s="872">
        <v>1</v>
      </c>
      <c r="M42" s="846">
        <f>ROUND(L42*I$16,2)</f>
        <v>447053.49</v>
      </c>
      <c r="N42" s="898">
        <f>M42*$M$16</f>
        <v>9835176.7799999993</v>
      </c>
      <c r="P42" s="1003" t="s">
        <v>401</v>
      </c>
      <c r="Q42" s="845" t="s">
        <v>221</v>
      </c>
      <c r="R42" s="845" t="s">
        <v>222</v>
      </c>
      <c r="S42" s="845">
        <v>2280</v>
      </c>
      <c r="T42" s="845">
        <v>453851</v>
      </c>
      <c r="U42" s="871" t="s">
        <v>159</v>
      </c>
      <c r="V42" s="852">
        <v>0</v>
      </c>
      <c r="W42" s="872">
        <f>IFERROR(V42/$V$43,0)</f>
        <v>0</v>
      </c>
      <c r="X42" s="846">
        <f>ROUND(W42*I$16,2)</f>
        <v>0</v>
      </c>
      <c r="Y42" s="898">
        <f>X42*$M$16</f>
        <v>0</v>
      </c>
      <c r="Z42" s="862"/>
      <c r="AE42" s="829"/>
      <c r="AF42" s="829"/>
    </row>
    <row r="43" spans="2:32" ht="20.100000000000001" customHeight="1" x14ac:dyDescent="0.2">
      <c r="B43" s="827"/>
      <c r="C43" s="881"/>
      <c r="D43" s="882" t="s">
        <v>102</v>
      </c>
      <c r="E43" s="882"/>
      <c r="F43" s="882"/>
      <c r="G43" s="882"/>
      <c r="H43" s="882"/>
      <c r="I43" s="883"/>
      <c r="J43" s="883"/>
      <c r="K43" s="884">
        <f>SUM(K40:K42)</f>
        <v>100000</v>
      </c>
      <c r="L43" s="885">
        <f>SUM(L40:L42)</f>
        <v>1</v>
      </c>
      <c r="M43" s="886">
        <f>SUM(M40:M42)</f>
        <v>447053.49</v>
      </c>
      <c r="N43" s="886">
        <f>SUM(N40:N42)</f>
        <v>9835176.7799999993</v>
      </c>
      <c r="P43" s="882"/>
      <c r="Q43" s="882"/>
      <c r="R43" s="882"/>
      <c r="S43" s="882"/>
      <c r="T43" s="883"/>
      <c r="U43" s="883"/>
      <c r="V43" s="884">
        <f>SUM(V40:V42)</f>
        <v>120000</v>
      </c>
      <c r="W43" s="885">
        <f>SUM(W40:W42)</f>
        <v>1</v>
      </c>
      <c r="X43" s="886">
        <f>SUM(X40:X42)</f>
        <v>447053.49</v>
      </c>
      <c r="Y43" s="886">
        <f>SUM(Y40:Y42)</f>
        <v>9835176.7799999993</v>
      </c>
      <c r="Z43" s="862"/>
      <c r="AE43" s="829"/>
      <c r="AF43" s="829"/>
    </row>
    <row r="44" spans="2:32" ht="20.100000000000001" customHeight="1" x14ac:dyDescent="0.2">
      <c r="B44" s="827"/>
      <c r="C44" s="899"/>
      <c r="D44" s="858"/>
      <c r="E44" s="858"/>
      <c r="F44" s="858"/>
      <c r="G44" s="858"/>
      <c r="H44" s="859"/>
      <c r="I44" s="858"/>
      <c r="J44" s="858"/>
      <c r="K44" s="858"/>
      <c r="L44" s="860"/>
      <c r="M44" s="860"/>
      <c r="N44" s="843"/>
      <c r="P44" s="858"/>
      <c r="Q44" s="858"/>
      <c r="R44" s="858"/>
      <c r="S44" s="859"/>
      <c r="T44" s="858"/>
      <c r="U44" s="858"/>
      <c r="V44" s="858"/>
      <c r="W44" s="860"/>
      <c r="X44" s="860"/>
      <c r="Y44" s="894"/>
      <c r="Z44" s="862"/>
      <c r="AE44" s="829"/>
      <c r="AF44" s="829"/>
    </row>
    <row r="45" spans="2:32" ht="20.100000000000001" customHeight="1" x14ac:dyDescent="0.2">
      <c r="B45" s="827"/>
      <c r="C45" s="899"/>
      <c r="D45" s="858"/>
      <c r="E45" s="858"/>
      <c r="F45" s="858"/>
      <c r="G45" s="858"/>
      <c r="H45" s="859"/>
      <c r="I45" s="858"/>
      <c r="J45" s="858"/>
      <c r="K45" s="858"/>
      <c r="L45" s="860"/>
      <c r="M45" s="860"/>
      <c r="N45" s="843"/>
      <c r="P45" s="858"/>
      <c r="Q45" s="858"/>
      <c r="R45" s="858"/>
      <c r="S45" s="859"/>
      <c r="T45" s="858"/>
      <c r="U45" s="858"/>
      <c r="V45" s="858"/>
      <c r="W45" s="860"/>
      <c r="X45" s="860"/>
      <c r="Y45" s="894"/>
      <c r="Z45" s="862"/>
      <c r="AE45" s="829"/>
      <c r="AF45" s="829"/>
    </row>
    <row r="46" spans="2:32" ht="20.100000000000001" customHeight="1" x14ac:dyDescent="0.2">
      <c r="B46" s="827"/>
      <c r="C46" s="899"/>
      <c r="D46" s="858"/>
      <c r="E46" s="858"/>
      <c r="F46" s="858"/>
      <c r="G46" s="858"/>
      <c r="H46" s="859"/>
      <c r="I46" s="858"/>
      <c r="J46" s="1792"/>
      <c r="K46" s="858"/>
      <c r="L46" s="860"/>
      <c r="M46" s="860"/>
      <c r="N46" s="843"/>
      <c r="P46" s="858"/>
      <c r="Q46" s="858"/>
      <c r="R46" s="858"/>
      <c r="S46" s="859"/>
      <c r="T46" s="858"/>
      <c r="U46" s="858"/>
      <c r="V46" s="858"/>
      <c r="W46" s="860"/>
      <c r="X46" s="860"/>
      <c r="Y46" s="894"/>
      <c r="Z46" s="862"/>
      <c r="AE46" s="829"/>
      <c r="AF46" s="829"/>
    </row>
    <row r="47" spans="2:32" ht="35.1" customHeight="1" thickBot="1" x14ac:dyDescent="0.25">
      <c r="B47" s="827"/>
      <c r="C47" s="899" t="s">
        <v>103</v>
      </c>
      <c r="D47" s="858"/>
      <c r="E47" s="858"/>
      <c r="F47" s="858"/>
      <c r="G47" s="858"/>
      <c r="H47" s="859"/>
      <c r="I47" s="858"/>
      <c r="J47" s="858"/>
      <c r="K47" s="858"/>
      <c r="L47" s="860"/>
      <c r="M47" s="860"/>
      <c r="N47" s="843"/>
      <c r="P47" s="858"/>
      <c r="Q47" s="858"/>
      <c r="R47" s="858"/>
      <c r="S47" s="859"/>
      <c r="T47" s="858"/>
      <c r="U47" s="858"/>
      <c r="V47" s="858"/>
      <c r="W47" s="860"/>
      <c r="X47" s="860"/>
      <c r="Y47" s="894"/>
      <c r="Z47" s="862"/>
      <c r="AE47" s="829"/>
      <c r="AF47" s="829"/>
    </row>
    <row r="48" spans="2:32" ht="35.1" customHeight="1" thickBot="1" x14ac:dyDescent="0.25">
      <c r="B48" s="827"/>
      <c r="C48" s="850" t="s">
        <v>87</v>
      </c>
      <c r="D48" s="832" t="s">
        <v>88</v>
      </c>
      <c r="E48" s="832" t="s">
        <v>237</v>
      </c>
      <c r="F48" s="833" t="s">
        <v>160</v>
      </c>
      <c r="G48" s="832" t="s">
        <v>90</v>
      </c>
      <c r="H48" s="833" t="s">
        <v>232</v>
      </c>
      <c r="I48" s="833" t="s">
        <v>233</v>
      </c>
      <c r="J48" s="833" t="s">
        <v>20</v>
      </c>
      <c r="K48" s="832" t="s">
        <v>234</v>
      </c>
      <c r="L48" s="832" t="s">
        <v>93</v>
      </c>
      <c r="M48" s="832" t="s">
        <v>94</v>
      </c>
      <c r="N48" s="863" t="s">
        <v>95</v>
      </c>
      <c r="P48" s="850" t="s">
        <v>237</v>
      </c>
      <c r="Q48" s="833" t="s">
        <v>160</v>
      </c>
      <c r="R48" s="832" t="s">
        <v>90</v>
      </c>
      <c r="S48" s="833" t="s">
        <v>232</v>
      </c>
      <c r="T48" s="833" t="s">
        <v>233</v>
      </c>
      <c r="U48" s="833" t="s">
        <v>20</v>
      </c>
      <c r="V48" s="832" t="s">
        <v>234</v>
      </c>
      <c r="W48" s="832" t="s">
        <v>93</v>
      </c>
      <c r="X48" s="832" t="s">
        <v>94</v>
      </c>
      <c r="Y48" s="834" t="s">
        <v>95</v>
      </c>
      <c r="Z48" s="861"/>
      <c r="AE48" s="829"/>
      <c r="AF48" s="829"/>
    </row>
    <row r="49" spans="2:32" ht="35.1" customHeight="1" thickBot="1" x14ac:dyDescent="0.25">
      <c r="B49" s="827"/>
      <c r="C49" s="864">
        <v>800874989</v>
      </c>
      <c r="D49" s="869"/>
      <c r="E49" s="869" t="s">
        <v>242</v>
      </c>
      <c r="F49" s="836" t="s">
        <v>221</v>
      </c>
      <c r="G49" s="836" t="s">
        <v>222</v>
      </c>
      <c r="H49" s="836">
        <v>2281</v>
      </c>
      <c r="I49" s="836">
        <v>453659</v>
      </c>
      <c r="J49" s="972" t="s">
        <v>159</v>
      </c>
      <c r="K49" s="2096">
        <f>P102</f>
        <v>3371343.7600000002</v>
      </c>
      <c r="L49" s="2097">
        <f>IFERROR(K49/K$54,0)</f>
        <v>0.544642661096157</v>
      </c>
      <c r="M49" s="2098">
        <f>L49*$I$17</f>
        <v>3099.2890629676813</v>
      </c>
      <c r="N49" s="2099">
        <f>M49*$M$17</f>
        <v>68184.35938528899</v>
      </c>
      <c r="O49" s="2">
        <v>18.6234</v>
      </c>
      <c r="P49" s="864" t="s">
        <v>242</v>
      </c>
      <c r="Q49" s="836" t="s">
        <v>221</v>
      </c>
      <c r="R49" s="836" t="s">
        <v>222</v>
      </c>
      <c r="S49" s="836">
        <v>2281</v>
      </c>
      <c r="T49" s="836">
        <v>453658</v>
      </c>
      <c r="U49" s="865" t="s">
        <v>97</v>
      </c>
      <c r="V49" s="841">
        <f>K49</f>
        <v>3371343.7600000002</v>
      </c>
      <c r="W49" s="866">
        <f>IFERROR(V49/V$54,0)</f>
        <v>0.544642661096157</v>
      </c>
      <c r="X49" s="835">
        <f>W49*$I$17</f>
        <v>3099.2890629676813</v>
      </c>
      <c r="Y49" s="867">
        <f>X49*$M$17</f>
        <v>68184.35938528899</v>
      </c>
      <c r="AE49" s="829"/>
      <c r="AF49" s="829"/>
    </row>
    <row r="50" spans="2:32" ht="35.1" customHeight="1" thickBot="1" x14ac:dyDescent="0.25">
      <c r="B50" s="827"/>
      <c r="C50" s="864"/>
      <c r="D50" s="1000"/>
      <c r="E50" s="1000"/>
      <c r="F50" s="836"/>
      <c r="G50" s="836"/>
      <c r="H50" s="836"/>
      <c r="I50" s="836"/>
      <c r="J50" s="972"/>
      <c r="K50" s="2096"/>
      <c r="L50" s="2097"/>
      <c r="M50" s="2098"/>
      <c r="N50" s="2099"/>
      <c r="O50" s="2"/>
      <c r="P50" s="864" t="s">
        <v>242</v>
      </c>
      <c r="Q50" s="836" t="s">
        <v>221</v>
      </c>
      <c r="R50" s="836" t="s">
        <v>222</v>
      </c>
      <c r="S50" s="836">
        <v>2281</v>
      </c>
      <c r="T50" s="836">
        <v>453658</v>
      </c>
      <c r="U50" s="865" t="s">
        <v>100</v>
      </c>
      <c r="V50" s="841">
        <f t="shared" ref="V50:V53" si="3">K50</f>
        <v>0</v>
      </c>
      <c r="W50" s="866">
        <f>IFERROR(V50/V$54,0)</f>
        <v>0</v>
      </c>
      <c r="X50" s="835">
        <f>W50*$I$17</f>
        <v>0</v>
      </c>
      <c r="Y50" s="867">
        <f>X50*$M$17</f>
        <v>0</v>
      </c>
      <c r="AE50" s="829"/>
      <c r="AF50" s="829"/>
    </row>
    <row r="51" spans="2:32" ht="35.1" customHeight="1" thickBot="1" x14ac:dyDescent="0.25">
      <c r="B51" s="827"/>
      <c r="C51" s="864">
        <v>800874989</v>
      </c>
      <c r="D51" s="869"/>
      <c r="E51" s="869" t="s">
        <v>242</v>
      </c>
      <c r="F51" s="836" t="s">
        <v>221</v>
      </c>
      <c r="G51" s="836" t="s">
        <v>222</v>
      </c>
      <c r="H51" s="836">
        <v>2281</v>
      </c>
      <c r="I51" s="836">
        <v>453659</v>
      </c>
      <c r="J51" s="972" t="s">
        <v>159</v>
      </c>
      <c r="K51" s="2096">
        <f>N102</f>
        <v>591252.00419668108</v>
      </c>
      <c r="L51" s="2097">
        <f>IFERROR(K51/K$54,0)</f>
        <v>9.551712547524864E-2</v>
      </c>
      <c r="M51" s="2098">
        <f>L51*$I$17</f>
        <v>543.54020251690235</v>
      </c>
      <c r="N51" s="2099">
        <f>M51*$M$17</f>
        <v>11957.884455371852</v>
      </c>
      <c r="O51" s="2"/>
      <c r="P51" s="864" t="s">
        <v>242</v>
      </c>
      <c r="Q51" s="836" t="s">
        <v>221</v>
      </c>
      <c r="R51" s="836" t="s">
        <v>222</v>
      </c>
      <c r="S51" s="836">
        <v>2281</v>
      </c>
      <c r="T51" s="836">
        <v>453658</v>
      </c>
      <c r="U51" s="865" t="s">
        <v>393</v>
      </c>
      <c r="V51" s="841">
        <f t="shared" si="3"/>
        <v>591252.00419668108</v>
      </c>
      <c r="W51" s="866">
        <f>IFERROR(V51/V$54,0)</f>
        <v>9.551712547524864E-2</v>
      </c>
      <c r="X51" s="835">
        <f>W51*$I$17</f>
        <v>543.54020251690235</v>
      </c>
      <c r="Y51" s="867">
        <f>X51*$M$17</f>
        <v>11957.884455371852</v>
      </c>
      <c r="AE51" s="829"/>
      <c r="AF51" s="829"/>
    </row>
    <row r="52" spans="2:32" ht="35.1" customHeight="1" thickBot="1" x14ac:dyDescent="0.25">
      <c r="B52" s="827"/>
      <c r="C52" s="864"/>
      <c r="D52" s="836"/>
      <c r="E52" s="1000"/>
      <c r="F52" s="836"/>
      <c r="G52" s="836"/>
      <c r="H52" s="836"/>
      <c r="I52" s="836"/>
      <c r="J52" s="972"/>
      <c r="K52" s="2096"/>
      <c r="L52" s="2097"/>
      <c r="M52" s="2098"/>
      <c r="N52" s="2099"/>
      <c r="O52" s="2"/>
      <c r="P52" s="864" t="s">
        <v>242</v>
      </c>
      <c r="Q52" s="836" t="s">
        <v>221</v>
      </c>
      <c r="R52" s="836" t="s">
        <v>222</v>
      </c>
      <c r="S52" s="836">
        <v>2281</v>
      </c>
      <c r="T52" s="836">
        <v>453658</v>
      </c>
      <c r="U52" s="865" t="s">
        <v>288</v>
      </c>
      <c r="V52" s="841">
        <f t="shared" si="3"/>
        <v>0</v>
      </c>
      <c r="W52" s="866">
        <f>IFERROR(V52/V$54,0)</f>
        <v>0</v>
      </c>
      <c r="X52" s="835">
        <f>W52*$I$17</f>
        <v>0</v>
      </c>
      <c r="Y52" s="867">
        <f t="shared" ref="Y52:Y53" si="4">X52*$M$17</f>
        <v>0</v>
      </c>
      <c r="AE52" s="829"/>
      <c r="AF52" s="829"/>
    </row>
    <row r="53" spans="2:32" ht="35.1" customHeight="1" thickBot="1" x14ac:dyDescent="0.25">
      <c r="B53" s="827"/>
      <c r="C53" s="851">
        <v>800874989</v>
      </c>
      <c r="D53" s="853"/>
      <c r="E53" s="853" t="s">
        <v>242</v>
      </c>
      <c r="F53" s="845" t="s">
        <v>221</v>
      </c>
      <c r="G53" s="845" t="s">
        <v>222</v>
      </c>
      <c r="H53" s="845">
        <v>2281</v>
      </c>
      <c r="I53" s="845">
        <v>453659</v>
      </c>
      <c r="J53" s="973" t="s">
        <v>159</v>
      </c>
      <c r="K53" s="2100">
        <f>O102</f>
        <v>2227414.6790080005</v>
      </c>
      <c r="L53" s="2097">
        <f>IFERROR(K53/K$54,0)</f>
        <v>0.35984021342859429</v>
      </c>
      <c r="M53" s="2101">
        <f>L53*$I$17</f>
        <v>2047.6707345154159</v>
      </c>
      <c r="N53" s="2099">
        <f t="shared" ref="N53" si="5">M53*$M$17</f>
        <v>45048.756159339151</v>
      </c>
      <c r="O53" s="2">
        <v>18.8506</v>
      </c>
      <c r="P53" s="1004" t="s">
        <v>242</v>
      </c>
      <c r="Q53" s="845" t="s">
        <v>221</v>
      </c>
      <c r="R53" s="845" t="s">
        <v>222</v>
      </c>
      <c r="S53" s="845" t="s">
        <v>402</v>
      </c>
      <c r="T53" s="845">
        <v>468095</v>
      </c>
      <c r="U53" s="871" t="s">
        <v>23</v>
      </c>
      <c r="V53" s="852">
        <f t="shared" si="3"/>
        <v>2227414.6790080005</v>
      </c>
      <c r="W53" s="872">
        <f>IFERROR(V53/V$54,0)</f>
        <v>0.35984021342859429</v>
      </c>
      <c r="X53" s="844">
        <f>W53*$I$17</f>
        <v>2047.6707345154159</v>
      </c>
      <c r="Y53" s="873">
        <f t="shared" si="4"/>
        <v>45048.756159339151</v>
      </c>
      <c r="AE53" s="829"/>
      <c r="AF53" s="829"/>
    </row>
    <row r="54" spans="2:32" x14ac:dyDescent="0.2">
      <c r="B54" s="827"/>
      <c r="C54" s="901"/>
      <c r="D54" s="901"/>
      <c r="E54" s="901"/>
      <c r="F54" s="902"/>
      <c r="G54" s="902"/>
      <c r="H54" s="902"/>
      <c r="I54" s="902"/>
      <c r="J54" s="902"/>
      <c r="K54" s="1001">
        <f>SUM(K49:K53)</f>
        <v>6190010.4432046823</v>
      </c>
      <c r="L54" s="903">
        <f>SUM(L49:L53)</f>
        <v>0.99999999999999989</v>
      </c>
      <c r="M54" s="1002">
        <f>SUM(M49:M53)</f>
        <v>5690.5</v>
      </c>
      <c r="N54" s="1002">
        <f>SUM(N49:N53)</f>
        <v>125191</v>
      </c>
      <c r="O54" s="843"/>
      <c r="P54" s="843"/>
      <c r="Q54" s="827"/>
      <c r="R54" s="827"/>
      <c r="S54" s="827"/>
      <c r="T54" s="827"/>
      <c r="U54" s="827"/>
      <c r="V54" s="1001">
        <f>SUM(V49:V53)</f>
        <v>6190010.4432046823</v>
      </c>
      <c r="W54" s="903">
        <f>SUM(W49:W53)</f>
        <v>0.99999999999999989</v>
      </c>
      <c r="X54" s="1002">
        <f>SUM(X49:X53)</f>
        <v>5690.5</v>
      </c>
      <c r="Y54" s="1002">
        <f>SUM(Y49:Y53)</f>
        <v>125191</v>
      </c>
      <c r="AE54" s="829"/>
      <c r="AF54" s="829"/>
    </row>
    <row r="55" spans="2:32" s="906" customFormat="1" x14ac:dyDescent="0.2">
      <c r="B55" s="904"/>
      <c r="C55" s="902"/>
      <c r="D55" s="902"/>
      <c r="E55" s="902"/>
      <c r="F55" s="902"/>
      <c r="G55" s="902"/>
      <c r="H55" s="902"/>
      <c r="I55" s="902"/>
      <c r="J55" s="902"/>
      <c r="K55" s="902"/>
      <c r="L55" s="902"/>
      <c r="M55" s="905"/>
      <c r="N55" s="905"/>
      <c r="O55" s="843"/>
      <c r="P55" s="843"/>
      <c r="Q55" s="904"/>
      <c r="R55" s="904"/>
      <c r="S55" s="904"/>
      <c r="T55" s="904"/>
      <c r="U55" s="904"/>
      <c r="V55" s="904"/>
      <c r="W55" s="904"/>
      <c r="X55" s="843"/>
      <c r="Y55" s="843"/>
      <c r="Z55" s="843"/>
      <c r="AA55" s="843"/>
      <c r="AB55" s="843"/>
      <c r="AC55" s="843"/>
      <c r="AD55" s="843"/>
    </row>
    <row r="56" spans="2:32" s="906" customFormat="1" x14ac:dyDescent="0.2">
      <c r="B56" s="904"/>
      <c r="C56" s="902"/>
      <c r="D56" s="902"/>
      <c r="E56" s="902"/>
      <c r="F56" s="902"/>
      <c r="G56" s="902"/>
      <c r="H56" s="902"/>
      <c r="I56" s="902"/>
      <c r="J56" s="902"/>
      <c r="K56" s="902"/>
      <c r="L56" s="905"/>
      <c r="M56" s="905"/>
      <c r="N56" s="843"/>
      <c r="O56" s="904"/>
      <c r="P56" s="904"/>
      <c r="Q56" s="904"/>
      <c r="R56" s="904"/>
      <c r="S56" s="904"/>
      <c r="T56" s="904"/>
      <c r="U56" s="904"/>
      <c r="V56" s="843"/>
      <c r="W56" s="843"/>
      <c r="X56" s="843"/>
      <c r="Y56" s="843"/>
      <c r="Z56" s="843"/>
      <c r="AA56" s="843"/>
      <c r="AB56" s="843"/>
    </row>
    <row r="57" spans="2:32" s="906" customFormat="1" x14ac:dyDescent="0.2">
      <c r="B57" s="904"/>
      <c r="C57" s="902"/>
      <c r="D57" s="902"/>
      <c r="E57" s="902"/>
      <c r="F57" s="902"/>
      <c r="G57" s="902"/>
      <c r="H57" s="902"/>
      <c r="I57" s="902"/>
      <c r="J57" s="902"/>
      <c r="K57" s="902"/>
      <c r="L57" s="905"/>
      <c r="M57" s="905"/>
      <c r="N57" s="843"/>
      <c r="O57" s="843"/>
      <c r="P57" s="904"/>
      <c r="Q57" s="904"/>
      <c r="R57" s="904"/>
      <c r="S57" s="904"/>
      <c r="T57" s="904"/>
      <c r="U57" s="904"/>
      <c r="V57" s="904"/>
      <c r="W57" s="843"/>
      <c r="X57" s="843"/>
      <c r="Y57" s="843"/>
      <c r="Z57" s="843"/>
      <c r="AA57" s="843"/>
      <c r="AB57" s="843"/>
      <c r="AC57" s="843"/>
    </row>
    <row r="58" spans="2:32" s="906" customFormat="1" x14ac:dyDescent="0.2">
      <c r="B58" s="904"/>
      <c r="C58" s="902"/>
      <c r="D58" s="902"/>
      <c r="E58" s="902"/>
      <c r="F58" s="902"/>
      <c r="G58" s="902"/>
      <c r="H58" s="902"/>
      <c r="I58" s="902"/>
      <c r="J58" s="902"/>
      <c r="K58" s="902"/>
      <c r="L58" s="905"/>
      <c r="M58" s="905"/>
      <c r="N58" s="843"/>
      <c r="O58" s="905"/>
      <c r="P58" s="843"/>
      <c r="Q58" s="905"/>
      <c r="R58" s="904"/>
      <c r="S58" s="904"/>
      <c r="T58" s="904"/>
      <c r="U58" s="904"/>
      <c r="V58" s="904"/>
      <c r="W58" s="904"/>
      <c r="X58" s="904"/>
      <c r="Y58" s="904"/>
      <c r="Z58" s="843"/>
      <c r="AA58" s="843"/>
      <c r="AB58" s="843"/>
      <c r="AC58" s="843"/>
      <c r="AD58" s="843"/>
      <c r="AE58" s="843"/>
      <c r="AF58" s="843"/>
    </row>
    <row r="59" spans="2:32" s="906" customFormat="1" x14ac:dyDescent="0.2">
      <c r="B59" s="904"/>
      <c r="C59" s="902"/>
      <c r="D59" s="902"/>
      <c r="E59" s="902"/>
      <c r="F59" s="902"/>
      <c r="G59" s="902"/>
      <c r="H59" s="902"/>
      <c r="I59" s="902"/>
      <c r="J59" s="902"/>
      <c r="K59" s="902"/>
      <c r="L59" s="905"/>
      <c r="M59" s="905"/>
      <c r="N59" s="843"/>
      <c r="O59" s="905"/>
      <c r="P59" s="843"/>
      <c r="Q59" s="905"/>
      <c r="R59" s="904"/>
      <c r="S59" s="904"/>
      <c r="T59" s="904"/>
      <c r="U59" s="904"/>
      <c r="V59" s="904"/>
      <c r="W59" s="904"/>
      <c r="X59" s="904"/>
      <c r="Y59" s="904"/>
      <c r="Z59" s="843"/>
      <c r="AA59" s="843"/>
      <c r="AB59" s="843"/>
      <c r="AC59" s="843"/>
      <c r="AD59" s="843"/>
      <c r="AE59" s="843"/>
      <c r="AF59" s="843"/>
    </row>
    <row r="60" spans="2:32" s="906" customFormat="1" x14ac:dyDescent="0.2">
      <c r="B60" s="904"/>
      <c r="C60" s="902"/>
      <c r="D60" s="902"/>
      <c r="E60" s="902"/>
      <c r="F60" s="902"/>
      <c r="G60" s="902"/>
      <c r="H60" s="902"/>
      <c r="I60" s="902"/>
      <c r="J60" s="902"/>
      <c r="K60" s="902"/>
      <c r="L60" s="905"/>
      <c r="M60" s="905"/>
      <c r="N60" s="843"/>
      <c r="O60" s="905"/>
      <c r="P60" s="843"/>
      <c r="Q60" s="905"/>
      <c r="R60" s="904"/>
      <c r="S60" s="904"/>
      <c r="T60" s="904"/>
      <c r="U60" s="904"/>
      <c r="V60" s="904"/>
      <c r="W60" s="904"/>
      <c r="X60" s="904"/>
      <c r="Y60" s="904"/>
      <c r="Z60" s="843"/>
      <c r="AA60" s="843"/>
      <c r="AB60" s="843"/>
      <c r="AC60" s="843"/>
      <c r="AD60" s="843"/>
      <c r="AE60" s="843"/>
      <c r="AF60" s="843"/>
    </row>
    <row r="61" spans="2:32" s="906" customFormat="1" x14ac:dyDescent="0.2">
      <c r="B61" s="904"/>
      <c r="C61" s="902"/>
      <c r="D61" s="902"/>
      <c r="E61" s="902"/>
      <c r="F61" s="902"/>
      <c r="G61" s="902"/>
      <c r="H61" s="902"/>
      <c r="I61" s="902"/>
      <c r="J61" s="902"/>
      <c r="K61" s="902"/>
      <c r="L61" s="905"/>
      <c r="M61" s="905"/>
      <c r="N61" s="843"/>
      <c r="O61" s="905"/>
      <c r="P61" s="843"/>
      <c r="Q61" s="905"/>
      <c r="R61" s="904"/>
      <c r="S61" s="904"/>
      <c r="T61" s="904"/>
      <c r="U61" s="904"/>
      <c r="V61" s="904"/>
      <c r="W61" s="904"/>
      <c r="X61" s="904"/>
      <c r="Y61" s="904"/>
      <c r="Z61" s="843"/>
      <c r="AA61" s="843"/>
      <c r="AB61" s="843"/>
      <c r="AC61" s="843"/>
      <c r="AD61" s="843"/>
      <c r="AE61" s="843"/>
      <c r="AF61" s="843"/>
    </row>
    <row r="62" spans="2:32" s="906" customFormat="1" x14ac:dyDescent="0.2">
      <c r="B62" s="904"/>
      <c r="C62" s="902"/>
      <c r="D62" s="902"/>
      <c r="E62" s="902"/>
      <c r="F62" s="902"/>
      <c r="G62" s="902"/>
      <c r="H62" s="902"/>
      <c r="I62" s="902"/>
      <c r="J62" s="902"/>
      <c r="K62" s="902"/>
      <c r="L62" s="905"/>
      <c r="M62" s="905"/>
      <c r="N62" s="843"/>
      <c r="O62" s="905"/>
      <c r="P62" s="843"/>
      <c r="Q62" s="905"/>
      <c r="R62" s="904"/>
      <c r="S62" s="904"/>
      <c r="T62" s="904"/>
      <c r="U62" s="904"/>
      <c r="V62" s="904"/>
      <c r="W62" s="904"/>
      <c r="X62" s="904"/>
      <c r="Y62" s="904"/>
      <c r="Z62" s="843"/>
      <c r="AA62" s="843"/>
      <c r="AB62" s="843"/>
      <c r="AC62" s="843"/>
      <c r="AD62" s="843"/>
      <c r="AE62" s="843"/>
      <c r="AF62" s="843"/>
    </row>
    <row r="63" spans="2:32" s="906" customFormat="1" x14ac:dyDescent="0.2">
      <c r="B63" s="904"/>
      <c r="C63" s="902"/>
      <c r="D63" s="902"/>
      <c r="E63" s="902"/>
      <c r="F63" s="902"/>
      <c r="G63" s="902"/>
      <c r="H63" s="902"/>
      <c r="I63" s="902"/>
      <c r="J63" s="902"/>
      <c r="K63" s="902"/>
      <c r="L63" s="905"/>
      <c r="M63" s="905"/>
      <c r="N63" s="843"/>
      <c r="O63" s="905"/>
      <c r="P63" s="843"/>
      <c r="Q63" s="905"/>
      <c r="R63" s="904"/>
      <c r="S63" s="904"/>
      <c r="T63" s="904"/>
      <c r="U63" s="904"/>
      <c r="V63" s="904"/>
      <c r="W63" s="904"/>
      <c r="X63" s="904"/>
      <c r="Y63" s="904"/>
      <c r="Z63" s="843"/>
      <c r="AA63" s="843"/>
      <c r="AB63" s="843"/>
      <c r="AC63" s="843"/>
      <c r="AD63" s="843"/>
      <c r="AE63" s="843"/>
      <c r="AF63" s="843"/>
    </row>
    <row r="64" spans="2:32" s="906" customFormat="1" x14ac:dyDescent="0.2">
      <c r="B64" s="904"/>
      <c r="C64" s="902"/>
      <c r="D64" s="902"/>
      <c r="E64" s="902"/>
      <c r="F64" s="902"/>
      <c r="G64" s="902"/>
      <c r="H64" s="902"/>
      <c r="I64" s="902"/>
      <c r="J64" s="902"/>
      <c r="K64" s="902"/>
      <c r="L64" s="905"/>
      <c r="M64" s="905"/>
      <c r="N64" s="843"/>
      <c r="O64" s="905"/>
      <c r="P64" s="843"/>
      <c r="Q64" s="905"/>
      <c r="R64" s="904"/>
      <c r="S64" s="904"/>
      <c r="T64" s="904"/>
      <c r="U64" s="904"/>
      <c r="V64" s="904"/>
      <c r="W64" s="904"/>
      <c r="X64" s="904"/>
      <c r="Y64" s="904"/>
      <c r="Z64" s="843"/>
      <c r="AA64" s="843"/>
      <c r="AB64" s="843"/>
      <c r="AC64" s="843"/>
      <c r="AD64" s="843"/>
      <c r="AE64" s="843"/>
      <c r="AF64" s="843"/>
    </row>
    <row r="65" spans="2:36" s="906" customFormat="1" x14ac:dyDescent="0.2">
      <c r="B65" s="904"/>
      <c r="C65" s="902"/>
      <c r="D65" s="902"/>
      <c r="E65" s="902"/>
      <c r="F65" s="902"/>
      <c r="G65" s="902"/>
      <c r="H65" s="902"/>
      <c r="I65" s="902"/>
      <c r="J65" s="902"/>
      <c r="K65" s="902"/>
      <c r="L65" s="905"/>
      <c r="M65" s="905"/>
      <c r="N65" s="843"/>
      <c r="O65" s="905"/>
      <c r="P65" s="843"/>
      <c r="Q65" s="905"/>
      <c r="R65" s="904"/>
      <c r="S65" s="904"/>
      <c r="T65" s="904"/>
      <c r="U65" s="904"/>
      <c r="V65" s="904"/>
      <c r="W65" s="904"/>
      <c r="X65" s="904"/>
      <c r="Y65" s="904"/>
      <c r="Z65" s="843"/>
      <c r="AA65" s="843"/>
      <c r="AB65" s="843"/>
      <c r="AC65" s="843"/>
      <c r="AD65" s="843"/>
      <c r="AE65" s="843"/>
      <c r="AF65" s="843"/>
    </row>
    <row r="66" spans="2:36" s="906" customFormat="1" x14ac:dyDescent="0.2">
      <c r="B66" s="904"/>
      <c r="C66" s="902"/>
      <c r="D66" s="902"/>
      <c r="E66" s="902"/>
      <c r="F66" s="902"/>
      <c r="G66" s="902"/>
      <c r="H66" s="902"/>
      <c r="I66" s="902"/>
      <c r="J66" s="902"/>
      <c r="K66" s="902"/>
      <c r="L66" s="905"/>
      <c r="M66" s="905"/>
      <c r="N66" s="843"/>
      <c r="O66" s="905"/>
      <c r="P66" s="843"/>
      <c r="Q66" s="905"/>
      <c r="R66" s="904"/>
      <c r="S66" s="904"/>
      <c r="T66" s="904"/>
      <c r="U66" s="904"/>
      <c r="V66" s="904"/>
      <c r="W66" s="904"/>
      <c r="X66" s="904"/>
      <c r="Y66" s="904"/>
      <c r="Z66" s="843"/>
      <c r="AA66" s="843"/>
      <c r="AB66" s="843"/>
      <c r="AC66" s="843"/>
      <c r="AD66" s="843"/>
      <c r="AE66" s="843"/>
      <c r="AF66" s="843"/>
    </row>
    <row r="67" spans="2:36" s="906" customFormat="1" x14ac:dyDescent="0.2">
      <c r="B67" s="904"/>
      <c r="C67" s="902"/>
      <c r="D67" s="902"/>
      <c r="E67" s="902"/>
      <c r="F67" s="902"/>
      <c r="G67" s="902"/>
      <c r="H67" s="902"/>
      <c r="I67" s="902"/>
      <c r="J67" s="902"/>
      <c r="K67" s="902"/>
      <c r="L67" s="902"/>
      <c r="M67" s="905"/>
      <c r="N67" s="905"/>
      <c r="O67" s="843"/>
      <c r="P67" s="905"/>
      <c r="Q67" s="843"/>
      <c r="R67" s="905"/>
      <c r="S67" s="904"/>
      <c r="T67" s="904"/>
      <c r="U67" s="904"/>
      <c r="V67" s="904"/>
      <c r="W67" s="904"/>
      <c r="X67" s="904"/>
      <c r="Y67" s="904"/>
      <c r="Z67" s="904"/>
      <c r="AA67" s="843"/>
      <c r="AB67" s="843"/>
      <c r="AC67" s="843"/>
      <c r="AD67" s="843"/>
      <c r="AE67" s="843"/>
      <c r="AF67" s="843"/>
      <c r="AG67" s="843"/>
    </row>
    <row r="68" spans="2:36" s="843" customFormat="1" ht="13.5" thickBot="1" x14ac:dyDescent="0.25">
      <c r="P68" s="860"/>
      <c r="Q68" s="860"/>
      <c r="T68" s="860"/>
      <c r="U68" s="860"/>
      <c r="V68" s="860"/>
      <c r="W68" s="860"/>
      <c r="X68" s="860"/>
      <c r="Y68" s="860"/>
      <c r="Z68" s="860"/>
      <c r="AA68" s="860"/>
      <c r="AB68" s="860"/>
      <c r="AC68" s="860"/>
      <c r="AD68" s="860"/>
      <c r="AE68" s="860"/>
      <c r="AF68" s="860"/>
      <c r="AG68" s="999" t="e">
        <f>'Junio - 2018'!AC101</f>
        <v>#REF!</v>
      </c>
    </row>
    <row r="69" spans="2:36" ht="13.5" thickBot="1" x14ac:dyDescent="0.25">
      <c r="B69" s="907" t="s">
        <v>3</v>
      </c>
      <c r="C69" s="908">
        <f>SUMIF(Tarifas!E4:E303,'Agosto - 2019'!C71,Tarifas!D4:D303)</f>
        <v>73</v>
      </c>
      <c r="D69" s="909" t="s">
        <v>147</v>
      </c>
      <c r="E69" s="910"/>
      <c r="F69" s="910" t="s">
        <v>145</v>
      </c>
      <c r="G69" s="910" t="s">
        <v>287</v>
      </c>
      <c r="H69" s="910" t="s">
        <v>148</v>
      </c>
      <c r="I69" s="911"/>
      <c r="J69" s="2320" t="s">
        <v>120</v>
      </c>
      <c r="K69" s="2321"/>
      <c r="L69" s="2321"/>
      <c r="M69" s="2322"/>
      <c r="N69" s="2311" t="s">
        <v>270</v>
      </c>
      <c r="O69" s="2312"/>
      <c r="P69" s="2312"/>
      <c r="Q69" s="2313"/>
      <c r="R69" s="2309" t="s">
        <v>271</v>
      </c>
      <c r="S69" s="2310"/>
      <c r="T69" s="2310"/>
      <c r="U69" s="2310"/>
      <c r="V69" s="2310"/>
      <c r="W69" s="2310"/>
      <c r="X69" s="2310"/>
      <c r="Y69" s="2310"/>
      <c r="Z69" s="2332"/>
      <c r="AA69" s="2362" t="s">
        <v>121</v>
      </c>
      <c r="AB69" s="2363"/>
      <c r="AC69" s="2363"/>
      <c r="AD69" s="2363"/>
      <c r="AE69" s="2363"/>
      <c r="AF69" s="2363"/>
      <c r="AG69" s="2364"/>
      <c r="AH69" s="843"/>
      <c r="AI69" s="843"/>
      <c r="AJ69" s="843"/>
    </row>
    <row r="70" spans="2:36" ht="51.75" thickBot="1" x14ac:dyDescent="0.25">
      <c r="C70" s="914" t="s">
        <v>122</v>
      </c>
      <c r="D70" s="1016" t="s">
        <v>125</v>
      </c>
      <c r="E70" s="1017" t="s">
        <v>277</v>
      </c>
      <c r="F70" s="1017" t="s">
        <v>149</v>
      </c>
      <c r="G70" s="1017" t="s">
        <v>151</v>
      </c>
      <c r="H70" s="1017" t="s">
        <v>152</v>
      </c>
      <c r="I70" s="1018" t="s">
        <v>123</v>
      </c>
      <c r="J70" s="1027" t="s">
        <v>734</v>
      </c>
      <c r="K70" s="1028" t="s">
        <v>109</v>
      </c>
      <c r="L70" s="1028" t="s">
        <v>25</v>
      </c>
      <c r="M70" s="1028" t="s">
        <v>26</v>
      </c>
      <c r="N70" s="1665" t="s">
        <v>738</v>
      </c>
      <c r="O70" s="1666" t="s">
        <v>266</v>
      </c>
      <c r="P70" s="1666" t="s">
        <v>269</v>
      </c>
      <c r="Q70" s="1906" t="s">
        <v>267</v>
      </c>
      <c r="R70" s="1904" t="s">
        <v>395</v>
      </c>
      <c r="S70" s="2021" t="s">
        <v>272</v>
      </c>
      <c r="T70" s="1904" t="s">
        <v>22</v>
      </c>
      <c r="U70" s="1905" t="s">
        <v>272</v>
      </c>
      <c r="V70" s="978" t="s">
        <v>25</v>
      </c>
      <c r="W70" s="978" t="s">
        <v>26</v>
      </c>
      <c r="X70" s="979" t="s">
        <v>272</v>
      </c>
      <c r="Y70" s="980" t="s">
        <v>273</v>
      </c>
      <c r="Z70" s="977" t="s">
        <v>272</v>
      </c>
      <c r="AA70" s="1012" t="s">
        <v>207</v>
      </c>
      <c r="AB70" s="1013"/>
      <c r="AC70" s="1013" t="s">
        <v>112</v>
      </c>
      <c r="AD70" s="1014" t="s">
        <v>118</v>
      </c>
      <c r="AE70" s="1014" t="s">
        <v>119</v>
      </c>
      <c r="AF70" s="1014" t="s">
        <v>114</v>
      </c>
      <c r="AG70" s="1015" t="s">
        <v>113</v>
      </c>
      <c r="AH70" s="843"/>
      <c r="AI70" s="843"/>
      <c r="AJ70" s="843"/>
    </row>
    <row r="71" spans="2:36" x14ac:dyDescent="0.2">
      <c r="C71" s="918">
        <v>43678</v>
      </c>
      <c r="D71" s="919">
        <f>($E$22*$H$22)/$G$22</f>
        <v>153350.92387096773</v>
      </c>
      <c r="E71" s="920">
        <f>($F$22*$I$22)/$G$22</f>
        <v>14421.080258064516</v>
      </c>
      <c r="F71" s="921">
        <f t="shared" ref="F71:F101" si="6">O71+P71+Q71</f>
        <v>184709.239375</v>
      </c>
      <c r="G71" s="922">
        <f>TRUNC(IFERROR(K$22/L$22,0),8)</f>
        <v>1.0163853</v>
      </c>
      <c r="H71" s="923">
        <f t="shared" ref="H71:H101" si="7">ROUND(J$22*G71*F71,4)</f>
        <v>187.73580000000001</v>
      </c>
      <c r="I71" s="924">
        <f t="shared" ref="I71:I101" si="8">SUM(D71:H71)</f>
        <v>352669.99568933231</v>
      </c>
      <c r="J71" s="925"/>
      <c r="K71" s="926"/>
      <c r="L71" s="926"/>
      <c r="M71" s="984"/>
      <c r="N71" s="2090">
        <v>16834.151027608201</v>
      </c>
      <c r="O71" s="2091">
        <v>71570.859375</v>
      </c>
      <c r="P71" s="2091">
        <v>113138.38</v>
      </c>
      <c r="Q71" s="2093">
        <v>0</v>
      </c>
      <c r="R71" s="2090"/>
      <c r="S71" s="2092">
        <f t="shared" ref="S71:S101" si="9">N71-R71</f>
        <v>16834.151027608201</v>
      </c>
      <c r="T71" s="2091">
        <v>71570.86</v>
      </c>
      <c r="U71" s="2092">
        <f t="shared" ref="U71:U101" si="10">O71-T71</f>
        <v>-6.2500000058207661E-4</v>
      </c>
      <c r="V71" s="2044">
        <v>77156.52</v>
      </c>
      <c r="W71" s="2044">
        <v>35981.883000000002</v>
      </c>
      <c r="X71" s="2042">
        <f t="shared" ref="X71:X101" si="11">P71-(V71+W71)</f>
        <v>-2.3000000001047738E-2</v>
      </c>
      <c r="Y71" s="2043">
        <v>0</v>
      </c>
      <c r="Z71" s="2045">
        <f t="shared" ref="Z71:Z101" si="12">Q71-Y71</f>
        <v>0</v>
      </c>
      <c r="AA71" s="929"/>
      <c r="AB71" s="930"/>
      <c r="AC71" s="931">
        <f>AA71+AB71-AD71</f>
        <v>0</v>
      </c>
      <c r="AD71" s="931">
        <f t="shared" ref="AD71:AD101" si="13">K71+L71+M71</f>
        <v>0</v>
      </c>
      <c r="AE71" s="931">
        <f>(X71+Y71+Z71)*1.055056</f>
        <v>-2.4266288001105422E-2</v>
      </c>
      <c r="AF71" s="931">
        <f>AD71-AE71</f>
        <v>2.4266288001105422E-2</v>
      </c>
      <c r="AG71" s="932" t="e">
        <f>AG68+AF71</f>
        <v>#REF!</v>
      </c>
      <c r="AH71" s="843"/>
      <c r="AI71" s="843"/>
      <c r="AJ71" s="843"/>
    </row>
    <row r="72" spans="2:36" x14ac:dyDescent="0.2">
      <c r="C72" s="933">
        <f t="shared" ref="C72:C101" si="14">C71+1</f>
        <v>43679</v>
      </c>
      <c r="D72" s="919">
        <f t="shared" ref="D72:D101" si="15">($E$22*$H$22)/$G$22</f>
        <v>153350.92387096773</v>
      </c>
      <c r="E72" s="920">
        <f t="shared" ref="E72:E101" si="16">($F$22*$I$22)/$G$22</f>
        <v>14421.080258064516</v>
      </c>
      <c r="F72" s="934">
        <f t="shared" si="6"/>
        <v>180679.33156299999</v>
      </c>
      <c r="G72" s="935">
        <f t="shared" ref="G72:G101" si="17">TRUNC(IFERROR(K$22/L$22,0),8)</f>
        <v>1.0163853</v>
      </c>
      <c r="H72" s="923">
        <f t="shared" si="7"/>
        <v>183.63980000000001</v>
      </c>
      <c r="I72" s="924">
        <f t="shared" si="8"/>
        <v>348635.99187733227</v>
      </c>
      <c r="J72" s="925"/>
      <c r="K72" s="926"/>
      <c r="L72" s="926"/>
      <c r="M72" s="984"/>
      <c r="N72" s="2040">
        <v>13634.526026285201</v>
      </c>
      <c r="O72" s="2047">
        <v>71976.101563000004</v>
      </c>
      <c r="P72" s="2047">
        <v>108703.23</v>
      </c>
      <c r="Q72" s="2094">
        <v>0</v>
      </c>
      <c r="R72" s="2046"/>
      <c r="S72" s="2045">
        <f t="shared" si="9"/>
        <v>13634.526026285201</v>
      </c>
      <c r="T72" s="2047">
        <v>71976.100000000006</v>
      </c>
      <c r="U72" s="2045">
        <f t="shared" si="10"/>
        <v>1.5629999979864806E-3</v>
      </c>
      <c r="V72" s="2050">
        <v>71046.775999999998</v>
      </c>
      <c r="W72" s="2050">
        <v>37656.449999999997</v>
      </c>
      <c r="X72" s="2042">
        <f t="shared" si="11"/>
        <v>4.0000000008149073E-3</v>
      </c>
      <c r="Y72" s="2049">
        <v>0</v>
      </c>
      <c r="Z72" s="2051">
        <f t="shared" si="12"/>
        <v>0</v>
      </c>
      <c r="AA72" s="929"/>
      <c r="AB72" s="930"/>
      <c r="AC72" s="931">
        <f t="shared" ref="AC72:AC101" si="18">AA72+AB72-AD72</f>
        <v>0</v>
      </c>
      <c r="AD72" s="931">
        <f t="shared" si="13"/>
        <v>0</v>
      </c>
      <c r="AE72" s="931">
        <f t="shared" ref="AE72:AE101" si="19">(X72+Y72+Z72)*1.055056</f>
        <v>4.220224000859773E-3</v>
      </c>
      <c r="AF72" s="931">
        <f t="shared" ref="AF72:AF101" si="20">AD72-AE72</f>
        <v>-4.220224000859773E-3</v>
      </c>
      <c r="AG72" s="932" t="e">
        <f>AG71+AF72</f>
        <v>#REF!</v>
      </c>
      <c r="AH72" s="843"/>
      <c r="AI72" s="843"/>
      <c r="AJ72" s="843"/>
    </row>
    <row r="73" spans="2:36" x14ac:dyDescent="0.2">
      <c r="C73" s="933">
        <f t="shared" si="14"/>
        <v>43680</v>
      </c>
      <c r="D73" s="919">
        <f t="shared" si="15"/>
        <v>153350.92387096773</v>
      </c>
      <c r="E73" s="920">
        <f t="shared" si="16"/>
        <v>14421.080258064516</v>
      </c>
      <c r="F73" s="934">
        <f t="shared" si="6"/>
        <v>180403.064063</v>
      </c>
      <c r="G73" s="935">
        <f t="shared" si="17"/>
        <v>1.0163853</v>
      </c>
      <c r="H73" s="923">
        <f t="shared" si="7"/>
        <v>183.35900000000001</v>
      </c>
      <c r="I73" s="924">
        <f t="shared" si="8"/>
        <v>348359.44357733231</v>
      </c>
      <c r="J73" s="925"/>
      <c r="K73" s="926"/>
      <c r="L73" s="926"/>
      <c r="M73" s="984"/>
      <c r="N73" s="2040">
        <v>19846.869433677301</v>
      </c>
      <c r="O73" s="2041">
        <v>71824.914063000004</v>
      </c>
      <c r="P73" s="2041">
        <v>108578.15</v>
      </c>
      <c r="Q73" s="2094">
        <v>0</v>
      </c>
      <c r="R73" s="2040"/>
      <c r="S73" s="2045">
        <f t="shared" si="9"/>
        <v>19846.869433677301</v>
      </c>
      <c r="T73" s="2041">
        <v>71824.91</v>
      </c>
      <c r="U73" s="2045">
        <f t="shared" si="10"/>
        <v>4.063000000314787E-3</v>
      </c>
      <c r="V73" s="2050">
        <v>71055.213000000003</v>
      </c>
      <c r="W73" s="2050">
        <v>37522.955999999998</v>
      </c>
      <c r="X73" s="2042">
        <f t="shared" si="11"/>
        <v>-1.9000000000232831E-2</v>
      </c>
      <c r="Y73" s="2049">
        <v>0</v>
      </c>
      <c r="Z73" s="2051">
        <f t="shared" si="12"/>
        <v>0</v>
      </c>
      <c r="AA73" s="929"/>
      <c r="AB73" s="930"/>
      <c r="AC73" s="931">
        <f t="shared" si="18"/>
        <v>0</v>
      </c>
      <c r="AD73" s="931">
        <f t="shared" si="13"/>
        <v>0</v>
      </c>
      <c r="AE73" s="931">
        <f t="shared" si="19"/>
        <v>-2.004606400024565E-2</v>
      </c>
      <c r="AF73" s="931">
        <f t="shared" si="20"/>
        <v>2.004606400024565E-2</v>
      </c>
      <c r="AG73" s="932" t="e">
        <f t="shared" ref="AG73:AG101" si="21">AG72+AF73</f>
        <v>#REF!</v>
      </c>
      <c r="AH73" s="843"/>
      <c r="AI73" s="843"/>
      <c r="AJ73" s="843"/>
    </row>
    <row r="74" spans="2:36" x14ac:dyDescent="0.2">
      <c r="C74" s="933">
        <f t="shared" si="14"/>
        <v>43681</v>
      </c>
      <c r="D74" s="919">
        <f t="shared" si="15"/>
        <v>153350.92387096773</v>
      </c>
      <c r="E74" s="920">
        <f t="shared" si="16"/>
        <v>14421.080258064516</v>
      </c>
      <c r="F74" s="934">
        <f t="shared" si="6"/>
        <v>180203.68281299999</v>
      </c>
      <c r="G74" s="935">
        <f t="shared" si="17"/>
        <v>1.0163853</v>
      </c>
      <c r="H74" s="923">
        <f t="shared" si="7"/>
        <v>183.15639999999999</v>
      </c>
      <c r="I74" s="924">
        <f t="shared" si="8"/>
        <v>348159.85972733225</v>
      </c>
      <c r="J74" s="925"/>
      <c r="K74" s="926"/>
      <c r="L74" s="926"/>
      <c r="M74" s="984"/>
      <c r="N74" s="2040">
        <v>23285.6506328619</v>
      </c>
      <c r="O74" s="2047">
        <v>71598.382813000004</v>
      </c>
      <c r="P74" s="2047">
        <v>108605.3</v>
      </c>
      <c r="Q74" s="2094">
        <v>0</v>
      </c>
      <c r="R74" s="2046"/>
      <c r="S74" s="2045">
        <f t="shared" si="9"/>
        <v>23285.6506328619</v>
      </c>
      <c r="T74" s="2047">
        <v>71598.383000000002</v>
      </c>
      <c r="U74" s="2045">
        <f t="shared" si="10"/>
        <v>-1.8699999782256782E-4</v>
      </c>
      <c r="V74" s="2050">
        <v>71051.375</v>
      </c>
      <c r="W74" s="2050">
        <v>37553.93</v>
      </c>
      <c r="X74" s="2042">
        <f t="shared" si="11"/>
        <v>-4.9999999901046976E-3</v>
      </c>
      <c r="Y74" s="2049">
        <v>0</v>
      </c>
      <c r="Z74" s="2051">
        <f t="shared" si="12"/>
        <v>0</v>
      </c>
      <c r="AA74" s="929"/>
      <c r="AB74" s="930"/>
      <c r="AC74" s="931">
        <f t="shared" si="18"/>
        <v>0</v>
      </c>
      <c r="AD74" s="931">
        <f t="shared" si="13"/>
        <v>0</v>
      </c>
      <c r="AE74" s="931">
        <f t="shared" si="19"/>
        <v>-5.2752799895599018E-3</v>
      </c>
      <c r="AF74" s="931">
        <f t="shared" si="20"/>
        <v>5.2752799895599018E-3</v>
      </c>
      <c r="AG74" s="932" t="e">
        <f t="shared" si="21"/>
        <v>#REF!</v>
      </c>
      <c r="AH74" s="843"/>
      <c r="AI74" s="843"/>
      <c r="AJ74" s="843"/>
    </row>
    <row r="75" spans="2:36" x14ac:dyDescent="0.2">
      <c r="C75" s="933">
        <f t="shared" si="14"/>
        <v>43682</v>
      </c>
      <c r="D75" s="919">
        <f t="shared" si="15"/>
        <v>153350.92387096773</v>
      </c>
      <c r="E75" s="920">
        <f t="shared" si="16"/>
        <v>14421.080258064516</v>
      </c>
      <c r="F75" s="934">
        <f t="shared" si="6"/>
        <v>180126.47468799999</v>
      </c>
      <c r="G75" s="935">
        <f t="shared" si="17"/>
        <v>1.0163853</v>
      </c>
      <c r="H75" s="923">
        <f t="shared" si="7"/>
        <v>183.0779</v>
      </c>
      <c r="I75" s="924">
        <f t="shared" si="8"/>
        <v>348082.57310233224</v>
      </c>
      <c r="J75" s="925"/>
      <c r="K75" s="926"/>
      <c r="L75" s="926"/>
      <c r="M75" s="984"/>
      <c r="N75" s="2040">
        <v>23417.024618062402</v>
      </c>
      <c r="O75" s="2041">
        <v>71807.054688000004</v>
      </c>
      <c r="P75" s="2041">
        <v>108319.42</v>
      </c>
      <c r="Q75" s="2094">
        <v>0</v>
      </c>
      <c r="R75" s="2040"/>
      <c r="S75" s="2045">
        <f t="shared" si="9"/>
        <v>23417.024618062402</v>
      </c>
      <c r="T75" s="2041">
        <v>71807.054000000004</v>
      </c>
      <c r="U75" s="2045">
        <f t="shared" si="10"/>
        <v>6.8800000008195639E-4</v>
      </c>
      <c r="V75" s="2050">
        <v>70845.710999999996</v>
      </c>
      <c r="W75" s="2050">
        <v>37473.72</v>
      </c>
      <c r="X75" s="2042">
        <f t="shared" si="11"/>
        <v>-1.0999999998603016E-2</v>
      </c>
      <c r="Y75" s="2049">
        <v>0</v>
      </c>
      <c r="Z75" s="2051">
        <f t="shared" si="12"/>
        <v>0</v>
      </c>
      <c r="AA75" s="929"/>
      <c r="AB75" s="930"/>
      <c r="AC75" s="931">
        <f t="shared" si="18"/>
        <v>0</v>
      </c>
      <c r="AD75" s="931">
        <f t="shared" si="13"/>
        <v>0</v>
      </c>
      <c r="AE75" s="931">
        <f t="shared" si="19"/>
        <v>-1.1605615998526103E-2</v>
      </c>
      <c r="AF75" s="931">
        <f t="shared" si="20"/>
        <v>1.1605615998526103E-2</v>
      </c>
      <c r="AG75" s="932" t="e">
        <f t="shared" si="21"/>
        <v>#REF!</v>
      </c>
      <c r="AH75" s="843"/>
      <c r="AI75" s="843"/>
      <c r="AJ75" s="843"/>
    </row>
    <row r="76" spans="2:36" x14ac:dyDescent="0.2">
      <c r="C76" s="933">
        <f t="shared" si="14"/>
        <v>43683</v>
      </c>
      <c r="D76" s="919">
        <f t="shared" si="15"/>
        <v>153350.92387096773</v>
      </c>
      <c r="E76" s="920">
        <f t="shared" si="16"/>
        <v>14421.080258064516</v>
      </c>
      <c r="F76" s="934">
        <f t="shared" si="6"/>
        <v>179816.509063</v>
      </c>
      <c r="G76" s="935">
        <f t="shared" si="17"/>
        <v>1.0163853</v>
      </c>
      <c r="H76" s="923">
        <f t="shared" si="7"/>
        <v>182.7629</v>
      </c>
      <c r="I76" s="924">
        <f t="shared" si="8"/>
        <v>347772.29247733223</v>
      </c>
      <c r="J76" s="925"/>
      <c r="K76" s="926"/>
      <c r="L76" s="926"/>
      <c r="M76" s="984"/>
      <c r="N76" s="2040">
        <v>23442.815190428297</v>
      </c>
      <c r="O76" s="2047">
        <v>71494.789063000004</v>
      </c>
      <c r="P76" s="2047">
        <v>108321.72</v>
      </c>
      <c r="Q76" s="2094">
        <v>0</v>
      </c>
      <c r="R76" s="2046"/>
      <c r="S76" s="2045">
        <f t="shared" si="9"/>
        <v>23442.815190428297</v>
      </c>
      <c r="T76" s="2047">
        <v>71494.789000000004</v>
      </c>
      <c r="U76" s="2045">
        <f t="shared" si="10"/>
        <v>6.2999999499879777E-5</v>
      </c>
      <c r="V76" s="2050">
        <v>70834.313999999998</v>
      </c>
      <c r="W76" s="2050">
        <v>37487.398999999998</v>
      </c>
      <c r="X76" s="2042">
        <f t="shared" si="11"/>
        <v>7.0000000123400241E-3</v>
      </c>
      <c r="Y76" s="2049">
        <v>0</v>
      </c>
      <c r="Z76" s="2051">
        <f t="shared" si="12"/>
        <v>0</v>
      </c>
      <c r="AA76" s="929"/>
      <c r="AB76" s="930"/>
      <c r="AC76" s="931">
        <f t="shared" si="18"/>
        <v>0</v>
      </c>
      <c r="AD76" s="931">
        <f t="shared" si="13"/>
        <v>0</v>
      </c>
      <c r="AE76" s="931">
        <f t="shared" si="19"/>
        <v>7.3853920130194164E-3</v>
      </c>
      <c r="AF76" s="931">
        <f t="shared" si="20"/>
        <v>-7.3853920130194164E-3</v>
      </c>
      <c r="AG76" s="932" t="e">
        <f t="shared" si="21"/>
        <v>#REF!</v>
      </c>
      <c r="AH76" s="843"/>
      <c r="AI76" s="843"/>
      <c r="AJ76" s="843"/>
    </row>
    <row r="77" spans="2:36" x14ac:dyDescent="0.2">
      <c r="C77" s="933">
        <f t="shared" si="14"/>
        <v>43684</v>
      </c>
      <c r="D77" s="919">
        <f t="shared" si="15"/>
        <v>153350.92387096773</v>
      </c>
      <c r="E77" s="920">
        <f t="shared" si="16"/>
        <v>14421.080258064516</v>
      </c>
      <c r="F77" s="934">
        <f t="shared" si="6"/>
        <v>180994.55562499998</v>
      </c>
      <c r="G77" s="935">
        <f t="shared" si="17"/>
        <v>1.0163853</v>
      </c>
      <c r="H77" s="923">
        <f t="shared" si="7"/>
        <v>183.96019999999999</v>
      </c>
      <c r="I77" s="924">
        <f t="shared" si="8"/>
        <v>348951.53633933223</v>
      </c>
      <c r="J77" s="925"/>
      <c r="K77" s="926"/>
      <c r="L77" s="926"/>
      <c r="M77" s="984"/>
      <c r="N77" s="2040">
        <v>23423.460199968296</v>
      </c>
      <c r="O77" s="2041">
        <v>72488.015625</v>
      </c>
      <c r="P77" s="2041">
        <v>108506.54</v>
      </c>
      <c r="Q77" s="2094">
        <v>0</v>
      </c>
      <c r="R77" s="2040"/>
      <c r="S77" s="2045">
        <f t="shared" si="9"/>
        <v>23423.460199968296</v>
      </c>
      <c r="T77" s="2041">
        <v>72488.016000000003</v>
      </c>
      <c r="U77" s="2045">
        <f t="shared" si="10"/>
        <v>-3.7500000325962901E-4</v>
      </c>
      <c r="V77" s="2050">
        <v>71019.456999999995</v>
      </c>
      <c r="W77" s="2050">
        <v>37487.11</v>
      </c>
      <c r="X77" s="2042">
        <f t="shared" si="11"/>
        <v>-2.7000000001862645E-2</v>
      </c>
      <c r="Y77" s="2049">
        <v>0</v>
      </c>
      <c r="Z77" s="2051">
        <f t="shared" si="12"/>
        <v>0</v>
      </c>
      <c r="AA77" s="929"/>
      <c r="AB77" s="930"/>
      <c r="AC77" s="931">
        <f t="shared" si="18"/>
        <v>0</v>
      </c>
      <c r="AD77" s="931">
        <f t="shared" si="13"/>
        <v>0</v>
      </c>
      <c r="AE77" s="931">
        <f t="shared" si="19"/>
        <v>-2.8486512001965194E-2</v>
      </c>
      <c r="AF77" s="931">
        <f t="shared" si="20"/>
        <v>2.8486512001965194E-2</v>
      </c>
      <c r="AG77" s="932" t="e">
        <f t="shared" si="21"/>
        <v>#REF!</v>
      </c>
      <c r="AH77" s="843"/>
      <c r="AI77" s="843"/>
      <c r="AJ77" s="843"/>
    </row>
    <row r="78" spans="2:36" x14ac:dyDescent="0.2">
      <c r="C78" s="933">
        <f t="shared" si="14"/>
        <v>43685</v>
      </c>
      <c r="D78" s="919">
        <f t="shared" si="15"/>
        <v>153350.92387096773</v>
      </c>
      <c r="E78" s="920">
        <f t="shared" si="16"/>
        <v>14421.080258064516</v>
      </c>
      <c r="F78" s="934">
        <f t="shared" si="6"/>
        <v>180615.52781300002</v>
      </c>
      <c r="G78" s="935">
        <f t="shared" si="17"/>
        <v>1.0163853</v>
      </c>
      <c r="H78" s="923">
        <f t="shared" si="7"/>
        <v>183.57499999999999</v>
      </c>
      <c r="I78" s="924">
        <f t="shared" si="8"/>
        <v>348572.12332733232</v>
      </c>
      <c r="J78" s="925"/>
      <c r="K78" s="926"/>
      <c r="L78" s="926"/>
      <c r="M78" s="984"/>
      <c r="N78" s="2040">
        <v>22953.628428183998</v>
      </c>
      <c r="O78" s="2047">
        <v>72073.257813000004</v>
      </c>
      <c r="P78" s="2047">
        <v>108542.27</v>
      </c>
      <c r="Q78" s="2094">
        <v>0</v>
      </c>
      <c r="R78" s="2046"/>
      <c r="S78" s="2045">
        <f t="shared" si="9"/>
        <v>22953.628428183998</v>
      </c>
      <c r="T78" s="2047">
        <v>72073.258000000002</v>
      </c>
      <c r="U78" s="2045">
        <f t="shared" si="10"/>
        <v>-1.8699999782256782E-4</v>
      </c>
      <c r="V78" s="2050">
        <v>71028.865999999995</v>
      </c>
      <c r="W78" s="2050">
        <v>37513.4</v>
      </c>
      <c r="X78" s="2042">
        <f t="shared" si="11"/>
        <v>4.0000000008149073E-3</v>
      </c>
      <c r="Y78" s="2049">
        <v>0</v>
      </c>
      <c r="Z78" s="2051">
        <f t="shared" si="12"/>
        <v>0</v>
      </c>
      <c r="AA78" s="929"/>
      <c r="AB78" s="930"/>
      <c r="AC78" s="931">
        <f t="shared" si="18"/>
        <v>0</v>
      </c>
      <c r="AD78" s="931">
        <f t="shared" si="13"/>
        <v>0</v>
      </c>
      <c r="AE78" s="931">
        <f t="shared" si="19"/>
        <v>4.220224000859773E-3</v>
      </c>
      <c r="AF78" s="931">
        <f t="shared" si="20"/>
        <v>-4.220224000859773E-3</v>
      </c>
      <c r="AG78" s="932" t="e">
        <f t="shared" si="21"/>
        <v>#REF!</v>
      </c>
    </row>
    <row r="79" spans="2:36" x14ac:dyDescent="0.2">
      <c r="C79" s="933">
        <f t="shared" si="14"/>
        <v>43686</v>
      </c>
      <c r="D79" s="919">
        <f t="shared" si="15"/>
        <v>153350.92387096773</v>
      </c>
      <c r="E79" s="920">
        <f t="shared" si="16"/>
        <v>14421.080258064516</v>
      </c>
      <c r="F79" s="934">
        <f t="shared" si="6"/>
        <v>181424.99031299999</v>
      </c>
      <c r="G79" s="935">
        <f t="shared" si="17"/>
        <v>1.0163853</v>
      </c>
      <c r="H79" s="923">
        <f t="shared" si="7"/>
        <v>184.39769999999999</v>
      </c>
      <c r="I79" s="924">
        <f t="shared" si="8"/>
        <v>349382.40852733224</v>
      </c>
      <c r="J79" s="925"/>
      <c r="K79" s="926"/>
      <c r="L79" s="926"/>
      <c r="M79" s="984"/>
      <c r="N79" s="2040">
        <v>12658.4002211401</v>
      </c>
      <c r="O79" s="2041">
        <v>71918.320313000004</v>
      </c>
      <c r="P79" s="2041">
        <v>109506.67</v>
      </c>
      <c r="Q79" s="2094">
        <v>0</v>
      </c>
      <c r="R79" s="2040"/>
      <c r="S79" s="2045">
        <f t="shared" si="9"/>
        <v>12658.4002211401</v>
      </c>
      <c r="T79" s="2041">
        <v>71918.3</v>
      </c>
      <c r="U79" s="2045">
        <f t="shared" si="10"/>
        <v>2.0313000000896864E-2</v>
      </c>
      <c r="V79" s="2050">
        <v>72239.739000000001</v>
      </c>
      <c r="W79" s="2050">
        <v>37266.925000000003</v>
      </c>
      <c r="X79" s="2042">
        <f t="shared" si="11"/>
        <v>5.9999999939464033E-3</v>
      </c>
      <c r="Y79" s="2049">
        <v>0</v>
      </c>
      <c r="Z79" s="2051">
        <f t="shared" si="12"/>
        <v>0</v>
      </c>
      <c r="AA79" s="929"/>
      <c r="AB79" s="930"/>
      <c r="AC79" s="931">
        <f t="shared" si="18"/>
        <v>0</v>
      </c>
      <c r="AD79" s="931">
        <f t="shared" si="13"/>
        <v>0</v>
      </c>
      <c r="AE79" s="931">
        <f t="shared" si="19"/>
        <v>6.3303359936131166E-3</v>
      </c>
      <c r="AF79" s="931">
        <f t="shared" si="20"/>
        <v>-6.3303359936131166E-3</v>
      </c>
      <c r="AG79" s="932" t="e">
        <f t="shared" si="21"/>
        <v>#REF!</v>
      </c>
    </row>
    <row r="80" spans="2:36" x14ac:dyDescent="0.2">
      <c r="C80" s="933">
        <f t="shared" si="14"/>
        <v>43687</v>
      </c>
      <c r="D80" s="919">
        <f t="shared" si="15"/>
        <v>153350.92387096773</v>
      </c>
      <c r="E80" s="920">
        <f t="shared" si="16"/>
        <v>14421.080258064516</v>
      </c>
      <c r="F80" s="934">
        <f t="shared" si="6"/>
        <v>187126.17499999999</v>
      </c>
      <c r="G80" s="935">
        <f t="shared" si="17"/>
        <v>1.0163853</v>
      </c>
      <c r="H80" s="923">
        <f t="shared" si="7"/>
        <v>190.19229999999999</v>
      </c>
      <c r="I80" s="924">
        <f t="shared" si="8"/>
        <v>355089.38781433227</v>
      </c>
      <c r="J80" s="925"/>
      <c r="K80" s="926"/>
      <c r="L80" s="926"/>
      <c r="M80" s="984"/>
      <c r="N80" s="2040">
        <v>18174.629972937601</v>
      </c>
      <c r="O80" s="2047">
        <v>71859.875</v>
      </c>
      <c r="P80" s="2047">
        <v>115266.3</v>
      </c>
      <c r="Q80" s="2094">
        <v>0</v>
      </c>
      <c r="R80" s="2046"/>
      <c r="S80" s="2045">
        <f t="shared" si="9"/>
        <v>18174.629972937601</v>
      </c>
      <c r="T80" s="2047">
        <v>71859.899999999994</v>
      </c>
      <c r="U80" s="2045">
        <f t="shared" si="10"/>
        <v>-2.4999999994179234E-2</v>
      </c>
      <c r="V80" s="2050">
        <v>78013.578999999998</v>
      </c>
      <c r="W80" s="2050">
        <v>37252.741999999998</v>
      </c>
      <c r="X80" s="2042">
        <f t="shared" si="11"/>
        <v>-2.0999999993364327E-2</v>
      </c>
      <c r="Y80" s="2049">
        <v>0</v>
      </c>
      <c r="Z80" s="2051">
        <f t="shared" si="12"/>
        <v>0</v>
      </c>
      <c r="AA80" s="929"/>
      <c r="AB80" s="930"/>
      <c r="AC80" s="931">
        <f t="shared" si="18"/>
        <v>0</v>
      </c>
      <c r="AD80" s="931">
        <f t="shared" si="13"/>
        <v>0</v>
      </c>
      <c r="AE80" s="931">
        <f t="shared" si="19"/>
        <v>-2.2156175992998992E-2</v>
      </c>
      <c r="AF80" s="931">
        <f t="shared" si="20"/>
        <v>2.2156175992998992E-2</v>
      </c>
      <c r="AG80" s="932" t="e">
        <f t="shared" si="21"/>
        <v>#REF!</v>
      </c>
    </row>
    <row r="81" spans="3:36" x14ac:dyDescent="0.2">
      <c r="C81" s="933">
        <f t="shared" si="14"/>
        <v>43688</v>
      </c>
      <c r="D81" s="919">
        <f t="shared" si="15"/>
        <v>153350.92387096773</v>
      </c>
      <c r="E81" s="920">
        <f t="shared" si="16"/>
        <v>14421.080258064516</v>
      </c>
      <c r="F81" s="934">
        <f t="shared" si="6"/>
        <v>183997.328438</v>
      </c>
      <c r="G81" s="935">
        <f t="shared" si="17"/>
        <v>1.0163853</v>
      </c>
      <c r="H81" s="923">
        <f t="shared" si="7"/>
        <v>187.01220000000001</v>
      </c>
      <c r="I81" s="924">
        <f t="shared" si="8"/>
        <v>351957.36115233228</v>
      </c>
      <c r="J81" s="925"/>
      <c r="K81" s="926"/>
      <c r="L81" s="926"/>
      <c r="M81" s="984"/>
      <c r="N81" s="2040">
        <v>19704.972992584</v>
      </c>
      <c r="O81" s="2041">
        <v>71640.648438000004</v>
      </c>
      <c r="P81" s="2041">
        <v>112356.68</v>
      </c>
      <c r="Q81" s="2094">
        <v>0</v>
      </c>
      <c r="R81" s="2040"/>
      <c r="S81" s="2045">
        <f t="shared" si="9"/>
        <v>19704.972992584</v>
      </c>
      <c r="T81" s="2041">
        <v>71640.648000000001</v>
      </c>
      <c r="U81" s="2045">
        <f t="shared" si="10"/>
        <v>4.3800000275950879E-4</v>
      </c>
      <c r="V81" s="2050">
        <v>74861.983999999997</v>
      </c>
      <c r="W81" s="2050">
        <v>37494.686000000002</v>
      </c>
      <c r="X81" s="2042">
        <f t="shared" si="11"/>
        <v>9.9999999947613105E-3</v>
      </c>
      <c r="Y81" s="2049">
        <v>0</v>
      </c>
      <c r="Z81" s="2051">
        <f t="shared" si="12"/>
        <v>0</v>
      </c>
      <c r="AA81" s="929"/>
      <c r="AB81" s="930"/>
      <c r="AC81" s="931">
        <f t="shared" si="18"/>
        <v>0</v>
      </c>
      <c r="AD81" s="931">
        <f t="shared" si="13"/>
        <v>0</v>
      </c>
      <c r="AE81" s="931">
        <f t="shared" si="19"/>
        <v>1.0550559994472889E-2</v>
      </c>
      <c r="AF81" s="931">
        <f t="shared" si="20"/>
        <v>-1.0550559994472889E-2</v>
      </c>
      <c r="AG81" s="932" t="e">
        <f t="shared" si="21"/>
        <v>#REF!</v>
      </c>
    </row>
    <row r="82" spans="3:36" x14ac:dyDescent="0.2">
      <c r="C82" s="933">
        <f t="shared" si="14"/>
        <v>43689</v>
      </c>
      <c r="D82" s="919">
        <f t="shared" si="15"/>
        <v>153350.92387096773</v>
      </c>
      <c r="E82" s="920">
        <f t="shared" si="16"/>
        <v>14421.080258064516</v>
      </c>
      <c r="F82" s="934">
        <f t="shared" si="6"/>
        <v>185338.979375</v>
      </c>
      <c r="G82" s="935">
        <f t="shared" si="17"/>
        <v>1.0163853</v>
      </c>
      <c r="H82" s="923">
        <f t="shared" si="7"/>
        <v>188.3758</v>
      </c>
      <c r="I82" s="924">
        <f t="shared" si="8"/>
        <v>353300.37568933226</v>
      </c>
      <c r="J82" s="925"/>
      <c r="K82" s="926"/>
      <c r="L82" s="926"/>
      <c r="M82" s="984"/>
      <c r="N82" s="2040">
        <v>17747.521580062799</v>
      </c>
      <c r="O82" s="2047">
        <v>72011.359375</v>
      </c>
      <c r="P82" s="2047">
        <v>113327.62</v>
      </c>
      <c r="Q82" s="2094">
        <v>0</v>
      </c>
      <c r="R82" s="2046"/>
      <c r="S82" s="2045">
        <f t="shared" si="9"/>
        <v>17747.521580062799</v>
      </c>
      <c r="T82" s="2047">
        <v>72011.360000000001</v>
      </c>
      <c r="U82" s="2045">
        <f t="shared" si="10"/>
        <v>-6.2500000058207661E-4</v>
      </c>
      <c r="V82" s="2050">
        <v>75954.286999999997</v>
      </c>
      <c r="W82" s="2050">
        <v>38136.476000000002</v>
      </c>
      <c r="X82" s="2042">
        <f t="shared" si="11"/>
        <v>-763.14300000001094</v>
      </c>
      <c r="Y82" s="2049">
        <v>0</v>
      </c>
      <c r="Z82" s="2051">
        <f t="shared" si="12"/>
        <v>0</v>
      </c>
      <c r="AA82" s="929"/>
      <c r="AB82" s="930"/>
      <c r="AC82" s="931">
        <f t="shared" si="18"/>
        <v>0</v>
      </c>
      <c r="AD82" s="931">
        <f t="shared" si="13"/>
        <v>0</v>
      </c>
      <c r="AE82" s="931">
        <f t="shared" si="19"/>
        <v>-805.15860100801149</v>
      </c>
      <c r="AF82" s="931">
        <f t="shared" si="20"/>
        <v>805.15860100801149</v>
      </c>
      <c r="AG82" s="932" t="e">
        <f t="shared" si="21"/>
        <v>#REF!</v>
      </c>
    </row>
    <row r="83" spans="3:36" x14ac:dyDescent="0.2">
      <c r="C83" s="933">
        <f t="shared" si="14"/>
        <v>43690</v>
      </c>
      <c r="D83" s="919">
        <f t="shared" si="15"/>
        <v>153350.92387096773</v>
      </c>
      <c r="E83" s="920">
        <f t="shared" si="16"/>
        <v>14421.080258064516</v>
      </c>
      <c r="F83" s="934">
        <f t="shared" si="6"/>
        <v>184919.74</v>
      </c>
      <c r="G83" s="935">
        <f t="shared" si="17"/>
        <v>1.0163853</v>
      </c>
      <c r="H83" s="923">
        <f t="shared" si="7"/>
        <v>187.94970000000001</v>
      </c>
      <c r="I83" s="924">
        <f t="shared" si="8"/>
        <v>352880.71021433227</v>
      </c>
      <c r="J83" s="925"/>
      <c r="K83" s="926"/>
      <c r="L83" s="926"/>
      <c r="M83" s="984"/>
      <c r="N83" s="2040">
        <v>22258.020224000004</v>
      </c>
      <c r="O83" s="2041">
        <v>73087.75</v>
      </c>
      <c r="P83" s="2041">
        <v>111831.99</v>
      </c>
      <c r="Q83" s="2094">
        <v>0</v>
      </c>
      <c r="R83" s="2040"/>
      <c r="S83" s="2045">
        <f t="shared" si="9"/>
        <v>22258.020224000004</v>
      </c>
      <c r="T83" s="2041">
        <v>73087.75</v>
      </c>
      <c r="U83" s="2045">
        <f t="shared" si="10"/>
        <v>0</v>
      </c>
      <c r="V83" s="2050">
        <v>70861.504000000001</v>
      </c>
      <c r="W83" s="2050">
        <v>40970.497000000003</v>
      </c>
      <c r="X83" s="2042">
        <f t="shared" si="11"/>
        <v>-1.0999999998603016E-2</v>
      </c>
      <c r="Y83" s="2049">
        <v>0</v>
      </c>
      <c r="Z83" s="2051">
        <f t="shared" si="12"/>
        <v>0</v>
      </c>
      <c r="AA83" s="929"/>
      <c r="AB83" s="930"/>
      <c r="AC83" s="931">
        <f t="shared" si="18"/>
        <v>0</v>
      </c>
      <c r="AD83" s="931">
        <f t="shared" si="13"/>
        <v>0</v>
      </c>
      <c r="AE83" s="931">
        <f t="shared" si="19"/>
        <v>-1.1605615998526103E-2</v>
      </c>
      <c r="AF83" s="931">
        <f t="shared" si="20"/>
        <v>1.1605615998526103E-2</v>
      </c>
      <c r="AG83" s="932" t="e">
        <f t="shared" si="21"/>
        <v>#REF!</v>
      </c>
    </row>
    <row r="84" spans="3:36" x14ac:dyDescent="0.2">
      <c r="C84" s="933">
        <f t="shared" si="14"/>
        <v>43691</v>
      </c>
      <c r="D84" s="919">
        <f t="shared" si="15"/>
        <v>153350.92387096773</v>
      </c>
      <c r="E84" s="920">
        <f t="shared" si="16"/>
        <v>14421.080258064516</v>
      </c>
      <c r="F84" s="934">
        <f t="shared" si="6"/>
        <v>185394.0275</v>
      </c>
      <c r="G84" s="935">
        <f t="shared" si="17"/>
        <v>1.0163853</v>
      </c>
      <c r="H84" s="923">
        <f t="shared" si="7"/>
        <v>188.43180000000001</v>
      </c>
      <c r="I84" s="924">
        <f t="shared" si="8"/>
        <v>353355.47981433227</v>
      </c>
      <c r="J84" s="925"/>
      <c r="K84" s="926"/>
      <c r="L84" s="926"/>
      <c r="M84" s="984"/>
      <c r="N84" s="2040">
        <v>23389.32149712</v>
      </c>
      <c r="O84" s="2047">
        <v>73107.1875</v>
      </c>
      <c r="P84" s="2047">
        <v>112286.84</v>
      </c>
      <c r="Q84" s="2094">
        <v>0</v>
      </c>
      <c r="R84" s="2046"/>
      <c r="S84" s="2045">
        <f t="shared" si="9"/>
        <v>23389.32149712</v>
      </c>
      <c r="T84" s="2047">
        <v>73107.187999999995</v>
      </c>
      <c r="U84" s="2045">
        <f t="shared" si="10"/>
        <v>-4.999999946448952E-4</v>
      </c>
      <c r="V84" s="2050">
        <v>74488.214000000007</v>
      </c>
      <c r="W84" s="2050">
        <v>38580.525999999998</v>
      </c>
      <c r="X84" s="2042">
        <f t="shared" si="11"/>
        <v>-781.90000000000873</v>
      </c>
      <c r="Y84" s="2049">
        <v>0</v>
      </c>
      <c r="Z84" s="2051">
        <f t="shared" si="12"/>
        <v>0</v>
      </c>
      <c r="AA84" s="929"/>
      <c r="AB84" s="930"/>
      <c r="AC84" s="931">
        <f t="shared" si="18"/>
        <v>0</v>
      </c>
      <c r="AD84" s="931">
        <f t="shared" si="13"/>
        <v>0</v>
      </c>
      <c r="AE84" s="931">
        <f t="shared" si="19"/>
        <v>-824.94828640000924</v>
      </c>
      <c r="AF84" s="931">
        <f t="shared" si="20"/>
        <v>824.94828640000924</v>
      </c>
      <c r="AG84" s="932" t="e">
        <f t="shared" si="21"/>
        <v>#REF!</v>
      </c>
    </row>
    <row r="85" spans="3:36" x14ac:dyDescent="0.2">
      <c r="C85" s="933">
        <f t="shared" si="14"/>
        <v>43692</v>
      </c>
      <c r="D85" s="919">
        <f t="shared" si="15"/>
        <v>153350.92387096773</v>
      </c>
      <c r="E85" s="920">
        <f t="shared" si="16"/>
        <v>14421.080258064516</v>
      </c>
      <c r="F85" s="934">
        <f t="shared" si="6"/>
        <v>180681.601563</v>
      </c>
      <c r="G85" s="935">
        <f t="shared" si="17"/>
        <v>1.0163853</v>
      </c>
      <c r="H85" s="923">
        <f t="shared" si="7"/>
        <v>183.6421</v>
      </c>
      <c r="I85" s="924">
        <f t="shared" si="8"/>
        <v>348638.26417733228</v>
      </c>
      <c r="J85" s="925"/>
      <c r="K85" s="926"/>
      <c r="L85" s="926"/>
      <c r="M85" s="984"/>
      <c r="N85" s="2040">
        <v>20283.954416639997</v>
      </c>
      <c r="O85" s="2041">
        <v>72787.601563000004</v>
      </c>
      <c r="P85" s="2041">
        <v>107894</v>
      </c>
      <c r="Q85" s="2094">
        <v>0</v>
      </c>
      <c r="R85" s="2040"/>
      <c r="S85" s="2045">
        <f t="shared" si="9"/>
        <v>20283.954416639997</v>
      </c>
      <c r="T85" s="2041">
        <v>72787.600000000006</v>
      </c>
      <c r="U85" s="2045">
        <f t="shared" si="10"/>
        <v>1.5629999979864806E-3</v>
      </c>
      <c r="V85" s="2050">
        <v>70272.202999999994</v>
      </c>
      <c r="W85" s="2050">
        <v>37621.796999999999</v>
      </c>
      <c r="X85" s="2042">
        <f t="shared" si="11"/>
        <v>0</v>
      </c>
      <c r="Y85" s="2049">
        <v>0</v>
      </c>
      <c r="Z85" s="2051">
        <f t="shared" si="12"/>
        <v>0</v>
      </c>
      <c r="AA85" s="929"/>
      <c r="AB85" s="930"/>
      <c r="AC85" s="931">
        <f t="shared" si="18"/>
        <v>0</v>
      </c>
      <c r="AD85" s="931">
        <f t="shared" si="13"/>
        <v>0</v>
      </c>
      <c r="AE85" s="931">
        <f t="shared" si="19"/>
        <v>0</v>
      </c>
      <c r="AF85" s="931">
        <f t="shared" si="20"/>
        <v>0</v>
      </c>
      <c r="AG85" s="932" t="e">
        <f t="shared" si="21"/>
        <v>#REF!</v>
      </c>
    </row>
    <row r="86" spans="3:36" x14ac:dyDescent="0.2">
      <c r="C86" s="933">
        <f t="shared" si="14"/>
        <v>43693</v>
      </c>
      <c r="D86" s="919">
        <f t="shared" si="15"/>
        <v>153350.92387096773</v>
      </c>
      <c r="E86" s="920">
        <f t="shared" si="16"/>
        <v>14421.080258064516</v>
      </c>
      <c r="F86" s="934">
        <f t="shared" si="6"/>
        <v>179293.11281299999</v>
      </c>
      <c r="G86" s="935">
        <f t="shared" si="17"/>
        <v>1.0163853</v>
      </c>
      <c r="H86" s="923">
        <f t="shared" si="7"/>
        <v>182.23089999999999</v>
      </c>
      <c r="I86" s="924">
        <f t="shared" si="8"/>
        <v>347248.36422733229</v>
      </c>
      <c r="J86" s="925"/>
      <c r="K86" s="926"/>
      <c r="L86" s="926"/>
      <c r="M86" s="984"/>
      <c r="N86" s="2040">
        <v>19917.738643487999</v>
      </c>
      <c r="O86" s="2047">
        <v>73597.132813000004</v>
      </c>
      <c r="P86" s="2047">
        <v>105695.98</v>
      </c>
      <c r="Q86" s="2094">
        <v>0</v>
      </c>
      <c r="R86" s="2046"/>
      <c r="S86" s="2045">
        <f t="shared" si="9"/>
        <v>19917.738643487999</v>
      </c>
      <c r="T86" s="2047">
        <v>73597.13</v>
      </c>
      <c r="U86" s="2045">
        <f t="shared" si="10"/>
        <v>2.8129999991506338E-3</v>
      </c>
      <c r="V86" s="2050">
        <v>69111.035999999993</v>
      </c>
      <c r="W86" s="2050">
        <v>36584.923999999999</v>
      </c>
      <c r="X86" s="2042">
        <f t="shared" si="11"/>
        <v>2.0000000004074536E-2</v>
      </c>
      <c r="Y86" s="2049">
        <v>0</v>
      </c>
      <c r="Z86" s="2051">
        <f t="shared" si="12"/>
        <v>0</v>
      </c>
      <c r="AA86" s="929"/>
      <c r="AB86" s="930"/>
      <c r="AC86" s="931">
        <f t="shared" si="18"/>
        <v>0</v>
      </c>
      <c r="AD86" s="931">
        <f t="shared" si="13"/>
        <v>0</v>
      </c>
      <c r="AE86" s="931">
        <f t="shared" si="19"/>
        <v>2.1101120004298864E-2</v>
      </c>
      <c r="AF86" s="931">
        <f t="shared" si="20"/>
        <v>-2.1101120004298864E-2</v>
      </c>
      <c r="AG86" s="932" t="e">
        <f t="shared" si="21"/>
        <v>#REF!</v>
      </c>
    </row>
    <row r="87" spans="3:36" x14ac:dyDescent="0.2">
      <c r="C87" s="933">
        <f t="shared" si="14"/>
        <v>43694</v>
      </c>
      <c r="D87" s="919">
        <f t="shared" si="15"/>
        <v>153350.92387096773</v>
      </c>
      <c r="E87" s="920">
        <f t="shared" si="16"/>
        <v>14421.080258064516</v>
      </c>
      <c r="F87" s="934">
        <f t="shared" si="6"/>
        <v>180269.09687499999</v>
      </c>
      <c r="G87" s="935">
        <f t="shared" si="17"/>
        <v>1.0163853</v>
      </c>
      <c r="H87" s="923">
        <f t="shared" si="7"/>
        <v>183.22290000000001</v>
      </c>
      <c r="I87" s="924">
        <f t="shared" si="8"/>
        <v>348225.34028933226</v>
      </c>
      <c r="J87" s="925"/>
      <c r="K87" s="926"/>
      <c r="L87" s="926"/>
      <c r="M87" s="984"/>
      <c r="N87" s="2040">
        <v>11615.899145047</v>
      </c>
      <c r="O87" s="2041">
        <v>72140.796875</v>
      </c>
      <c r="P87" s="2041">
        <v>108128.3</v>
      </c>
      <c r="Q87" s="2094">
        <v>0</v>
      </c>
      <c r="R87" s="2040"/>
      <c r="S87" s="2045">
        <f t="shared" si="9"/>
        <v>11615.899145047</v>
      </c>
      <c r="T87" s="2041">
        <v>72140.800000000003</v>
      </c>
      <c r="U87" s="2045">
        <f t="shared" si="10"/>
        <v>-3.125000002910383E-3</v>
      </c>
      <c r="V87" s="2050">
        <v>71245.400999999998</v>
      </c>
      <c r="W87" s="2050">
        <v>36882.906999999999</v>
      </c>
      <c r="X87" s="2042">
        <f t="shared" si="11"/>
        <v>-7.9999999870778993E-3</v>
      </c>
      <c r="Y87" s="2049">
        <v>0</v>
      </c>
      <c r="Z87" s="2051">
        <f t="shared" si="12"/>
        <v>0</v>
      </c>
      <c r="AA87" s="929"/>
      <c r="AB87" s="930"/>
      <c r="AC87" s="931">
        <f t="shared" si="18"/>
        <v>0</v>
      </c>
      <c r="AD87" s="931">
        <f t="shared" si="13"/>
        <v>0</v>
      </c>
      <c r="AE87" s="931">
        <f t="shared" si="19"/>
        <v>-8.4404479863664592E-3</v>
      </c>
      <c r="AF87" s="931">
        <f t="shared" si="20"/>
        <v>8.4404479863664592E-3</v>
      </c>
      <c r="AG87" s="932" t="e">
        <f t="shared" si="21"/>
        <v>#REF!</v>
      </c>
    </row>
    <row r="88" spans="3:36" x14ac:dyDescent="0.2">
      <c r="C88" s="933">
        <f t="shared" si="14"/>
        <v>43695</v>
      </c>
      <c r="D88" s="919">
        <f t="shared" si="15"/>
        <v>153350.92387096773</v>
      </c>
      <c r="E88" s="920">
        <f t="shared" si="16"/>
        <v>14421.080258064516</v>
      </c>
      <c r="F88" s="934">
        <f t="shared" si="6"/>
        <v>145274.96843800001</v>
      </c>
      <c r="G88" s="935">
        <f t="shared" si="17"/>
        <v>1.0163853</v>
      </c>
      <c r="H88" s="923">
        <f t="shared" si="7"/>
        <v>147.65530000000001</v>
      </c>
      <c r="I88" s="924">
        <f t="shared" si="8"/>
        <v>313195.64425233228</v>
      </c>
      <c r="J88" s="925"/>
      <c r="K88" s="926"/>
      <c r="L88" s="926"/>
      <c r="M88" s="984"/>
      <c r="N88" s="2040">
        <v>11761.022781585001</v>
      </c>
      <c r="O88" s="2047">
        <v>63246.398437999997</v>
      </c>
      <c r="P88" s="2047">
        <v>82028.570000000007</v>
      </c>
      <c r="Q88" s="2094">
        <v>0</v>
      </c>
      <c r="R88" s="2046"/>
      <c r="S88" s="2045">
        <f t="shared" si="9"/>
        <v>11761.022781585001</v>
      </c>
      <c r="T88" s="2047">
        <v>63246</v>
      </c>
      <c r="U88" s="2045">
        <f t="shared" si="10"/>
        <v>0.39843799999653129</v>
      </c>
      <c r="V88" s="2050">
        <v>51120.627999999997</v>
      </c>
      <c r="W88" s="2050">
        <v>30907.932000000001</v>
      </c>
      <c r="X88" s="2042">
        <f t="shared" si="11"/>
        <v>1.0000000009313226E-2</v>
      </c>
      <c r="Y88" s="2049">
        <v>0</v>
      </c>
      <c r="Z88" s="2051">
        <f t="shared" si="12"/>
        <v>0</v>
      </c>
      <c r="AA88" s="929"/>
      <c r="AB88" s="930"/>
      <c r="AC88" s="931">
        <f t="shared" si="18"/>
        <v>0</v>
      </c>
      <c r="AD88" s="931">
        <f t="shared" si="13"/>
        <v>0</v>
      </c>
      <c r="AE88" s="931">
        <f t="shared" si="19"/>
        <v>1.0550560009825974E-2</v>
      </c>
      <c r="AF88" s="931">
        <f t="shared" si="20"/>
        <v>-1.0550560009825974E-2</v>
      </c>
      <c r="AG88" s="932" t="e">
        <f t="shared" si="21"/>
        <v>#REF!</v>
      </c>
    </row>
    <row r="89" spans="3:36" x14ac:dyDescent="0.2">
      <c r="C89" s="933">
        <f t="shared" si="14"/>
        <v>43696</v>
      </c>
      <c r="D89" s="919">
        <f t="shared" si="15"/>
        <v>153350.92387096773</v>
      </c>
      <c r="E89" s="920">
        <f t="shared" si="16"/>
        <v>14421.080258064516</v>
      </c>
      <c r="F89" s="934">
        <f t="shared" si="6"/>
        <v>162624.176875</v>
      </c>
      <c r="G89" s="935">
        <f t="shared" si="17"/>
        <v>1.0163853</v>
      </c>
      <c r="H89" s="923">
        <f t="shared" si="7"/>
        <v>165.28880000000001</v>
      </c>
      <c r="I89" s="924">
        <f t="shared" si="8"/>
        <v>330562.48618933227</v>
      </c>
      <c r="J89" s="925"/>
      <c r="K89" s="926"/>
      <c r="L89" s="926"/>
      <c r="M89" s="984"/>
      <c r="N89" s="2040">
        <v>11714.186699567999</v>
      </c>
      <c r="O89" s="2041">
        <v>73158.796875</v>
      </c>
      <c r="P89" s="2041">
        <v>89465.38</v>
      </c>
      <c r="Q89" s="2094">
        <v>0</v>
      </c>
      <c r="R89" s="2040"/>
      <c r="S89" s="2045">
        <f t="shared" si="9"/>
        <v>11714.186699567999</v>
      </c>
      <c r="T89" s="2041">
        <v>73158.8</v>
      </c>
      <c r="U89" s="2045">
        <f t="shared" si="10"/>
        <v>-3.125000002910383E-3</v>
      </c>
      <c r="V89" s="2050">
        <v>55884.571000000004</v>
      </c>
      <c r="W89" s="2050">
        <v>33580.813999999998</v>
      </c>
      <c r="X89" s="2042">
        <f t="shared" si="11"/>
        <v>-5.0000000046566129E-3</v>
      </c>
      <c r="Y89" s="2049">
        <v>0</v>
      </c>
      <c r="Z89" s="2051">
        <f t="shared" si="12"/>
        <v>0</v>
      </c>
      <c r="AA89" s="929"/>
      <c r="AB89" s="930"/>
      <c r="AC89" s="931">
        <f t="shared" si="18"/>
        <v>0</v>
      </c>
      <c r="AD89" s="931">
        <f t="shared" si="13"/>
        <v>0</v>
      </c>
      <c r="AE89" s="931">
        <f t="shared" si="19"/>
        <v>-5.2752800049129869E-3</v>
      </c>
      <c r="AF89" s="931">
        <f t="shared" si="20"/>
        <v>5.2752800049129869E-3</v>
      </c>
      <c r="AG89" s="932" t="e">
        <f t="shared" si="21"/>
        <v>#REF!</v>
      </c>
    </row>
    <row r="90" spans="3:36" x14ac:dyDescent="0.2">
      <c r="C90" s="933">
        <f t="shared" si="14"/>
        <v>43697</v>
      </c>
      <c r="D90" s="919">
        <f t="shared" si="15"/>
        <v>153350.92387096773</v>
      </c>
      <c r="E90" s="920">
        <f t="shared" si="16"/>
        <v>14421.080258064516</v>
      </c>
      <c r="F90" s="934">
        <f t="shared" si="6"/>
        <v>186684.98249999998</v>
      </c>
      <c r="G90" s="935">
        <f t="shared" si="17"/>
        <v>1.0163853</v>
      </c>
      <c r="H90" s="923">
        <f t="shared" si="7"/>
        <v>189.7439</v>
      </c>
      <c r="I90" s="924">
        <f t="shared" si="8"/>
        <v>354647.74691433227</v>
      </c>
      <c r="J90" s="925"/>
      <c r="K90" s="926"/>
      <c r="L90" s="926"/>
      <c r="M90" s="984"/>
      <c r="N90" s="2040">
        <v>11769.747005664</v>
      </c>
      <c r="O90" s="2047">
        <v>72844.8125</v>
      </c>
      <c r="P90" s="2047">
        <v>113840.17</v>
      </c>
      <c r="Q90" s="2094">
        <v>0</v>
      </c>
      <c r="R90" s="2046"/>
      <c r="S90" s="2045">
        <f t="shared" si="9"/>
        <v>11769.747005664</v>
      </c>
      <c r="T90" s="2047">
        <v>72844.800000000003</v>
      </c>
      <c r="U90" s="2045">
        <f t="shared" si="10"/>
        <v>1.2499999997089617E-2</v>
      </c>
      <c r="V90" s="2050">
        <v>76044.05</v>
      </c>
      <c r="W90" s="2050">
        <v>37796.103999999999</v>
      </c>
      <c r="X90" s="2042">
        <f t="shared" si="11"/>
        <v>1.5999999988707714E-2</v>
      </c>
      <c r="Y90" s="2049">
        <v>0</v>
      </c>
      <c r="Z90" s="2051">
        <f t="shared" si="12"/>
        <v>0</v>
      </c>
      <c r="AA90" s="929"/>
      <c r="AB90" s="930"/>
      <c r="AC90" s="931">
        <f t="shared" si="18"/>
        <v>0</v>
      </c>
      <c r="AD90" s="931">
        <f t="shared" si="13"/>
        <v>0</v>
      </c>
      <c r="AE90" s="931">
        <f t="shared" si="19"/>
        <v>1.6880895988086005E-2</v>
      </c>
      <c r="AF90" s="931">
        <f t="shared" si="20"/>
        <v>-1.6880895988086005E-2</v>
      </c>
      <c r="AG90" s="932" t="e">
        <f t="shared" si="21"/>
        <v>#REF!</v>
      </c>
    </row>
    <row r="91" spans="3:36" x14ac:dyDescent="0.2">
      <c r="C91" s="933">
        <f t="shared" si="14"/>
        <v>43698</v>
      </c>
      <c r="D91" s="919">
        <f t="shared" si="15"/>
        <v>153350.92387096773</v>
      </c>
      <c r="E91" s="920">
        <f t="shared" si="16"/>
        <v>14421.080258064516</v>
      </c>
      <c r="F91" s="934">
        <f t="shared" si="6"/>
        <v>185873.83812500001</v>
      </c>
      <c r="G91" s="935">
        <f t="shared" si="17"/>
        <v>1.0163853</v>
      </c>
      <c r="H91" s="923">
        <f t="shared" si="7"/>
        <v>188.9194</v>
      </c>
      <c r="I91" s="924">
        <f t="shared" si="8"/>
        <v>353835.7780393323</v>
      </c>
      <c r="J91" s="925"/>
      <c r="K91" s="926"/>
      <c r="L91" s="926"/>
      <c r="M91" s="984"/>
      <c r="N91" s="2040">
        <v>11766.871056437998</v>
      </c>
      <c r="O91" s="2041">
        <v>72693.078125</v>
      </c>
      <c r="P91" s="2041">
        <v>113180.76</v>
      </c>
      <c r="Q91" s="2094">
        <v>0</v>
      </c>
      <c r="R91" s="2040"/>
      <c r="S91" s="2045">
        <f t="shared" si="9"/>
        <v>11766.871056437998</v>
      </c>
      <c r="T91" s="2041">
        <v>72693.100000000006</v>
      </c>
      <c r="U91" s="2045">
        <f t="shared" si="10"/>
        <v>-2.1875000005820766E-2</v>
      </c>
      <c r="V91" s="2050">
        <v>75415.338000000003</v>
      </c>
      <c r="W91" s="2050">
        <v>37765.436999999998</v>
      </c>
      <c r="X91" s="2042">
        <f t="shared" si="11"/>
        <v>-1.4999999999417923E-2</v>
      </c>
      <c r="Y91" s="2049">
        <v>0</v>
      </c>
      <c r="Z91" s="2051">
        <f t="shared" si="12"/>
        <v>0</v>
      </c>
      <c r="AA91" s="929"/>
      <c r="AB91" s="930"/>
      <c r="AC91" s="931">
        <f t="shared" si="18"/>
        <v>0</v>
      </c>
      <c r="AD91" s="931">
        <f t="shared" si="13"/>
        <v>0</v>
      </c>
      <c r="AE91" s="931">
        <f t="shared" si="19"/>
        <v>-1.5825839999385877E-2</v>
      </c>
      <c r="AF91" s="931">
        <f t="shared" si="20"/>
        <v>1.5825839999385877E-2</v>
      </c>
      <c r="AG91" s="932" t="e">
        <f t="shared" si="21"/>
        <v>#REF!</v>
      </c>
    </row>
    <row r="92" spans="3:36" x14ac:dyDescent="0.2">
      <c r="C92" s="933">
        <f t="shared" si="14"/>
        <v>43699</v>
      </c>
      <c r="D92" s="919">
        <f t="shared" si="15"/>
        <v>153350.92387096773</v>
      </c>
      <c r="E92" s="920">
        <f t="shared" si="16"/>
        <v>14421.080258064516</v>
      </c>
      <c r="F92" s="934">
        <f t="shared" si="6"/>
        <v>186190.88400000002</v>
      </c>
      <c r="G92" s="935">
        <f t="shared" si="17"/>
        <v>1.0163853</v>
      </c>
      <c r="H92" s="923">
        <f t="shared" si="7"/>
        <v>189.24170000000001</v>
      </c>
      <c r="I92" s="924">
        <f t="shared" si="8"/>
        <v>354153.14621433232</v>
      </c>
      <c r="J92" s="925"/>
      <c r="K92" s="926"/>
      <c r="L92" s="926"/>
      <c r="M92" s="984"/>
      <c r="N92" s="2040">
        <v>11785.151535827999</v>
      </c>
      <c r="O92" s="2047">
        <v>72615.054000000004</v>
      </c>
      <c r="P92" s="2047">
        <v>113575.83</v>
      </c>
      <c r="Q92" s="2094">
        <v>0</v>
      </c>
      <c r="R92" s="2046"/>
      <c r="S92" s="2045">
        <f t="shared" si="9"/>
        <v>11785.151535827999</v>
      </c>
      <c r="T92" s="2047">
        <v>72615.05</v>
      </c>
      <c r="U92" s="2045">
        <f t="shared" si="10"/>
        <v>4.0000000008149073E-3</v>
      </c>
      <c r="V92" s="2050">
        <v>75626.697</v>
      </c>
      <c r="W92" s="2050">
        <v>37949.108999999997</v>
      </c>
      <c r="X92" s="2042">
        <f t="shared" si="11"/>
        <v>2.4000000004889444E-2</v>
      </c>
      <c r="Y92" s="2049">
        <v>0</v>
      </c>
      <c r="Z92" s="2051">
        <f t="shared" si="12"/>
        <v>0</v>
      </c>
      <c r="AA92" s="929"/>
      <c r="AB92" s="930"/>
      <c r="AC92" s="931">
        <f t="shared" si="18"/>
        <v>0</v>
      </c>
      <c r="AD92" s="931">
        <f t="shared" si="13"/>
        <v>0</v>
      </c>
      <c r="AE92" s="931">
        <f t="shared" si="19"/>
        <v>2.5321344005158637E-2</v>
      </c>
      <c r="AF92" s="931">
        <f t="shared" si="20"/>
        <v>-2.5321344005158637E-2</v>
      </c>
      <c r="AG92" s="932" t="e">
        <f t="shared" si="21"/>
        <v>#REF!</v>
      </c>
    </row>
    <row r="93" spans="3:36" x14ac:dyDescent="0.2">
      <c r="C93" s="933">
        <f t="shared" si="14"/>
        <v>43700</v>
      </c>
      <c r="D93" s="919">
        <f t="shared" si="15"/>
        <v>153350.92387096773</v>
      </c>
      <c r="E93" s="920">
        <f t="shared" si="16"/>
        <v>14421.080258064516</v>
      </c>
      <c r="F93" s="934">
        <f t="shared" si="6"/>
        <v>185362.66187499999</v>
      </c>
      <c r="G93" s="935">
        <f t="shared" si="17"/>
        <v>1.0163853</v>
      </c>
      <c r="H93" s="923">
        <f t="shared" si="7"/>
        <v>188.3999</v>
      </c>
      <c r="I93" s="924">
        <f t="shared" si="8"/>
        <v>353324.08228933229</v>
      </c>
      <c r="J93" s="925"/>
      <c r="K93" s="926"/>
      <c r="L93" s="926"/>
      <c r="M93" s="984"/>
      <c r="N93" s="2040">
        <v>17196.018096602002</v>
      </c>
      <c r="O93" s="2041">
        <v>71833.171875</v>
      </c>
      <c r="P93" s="2041">
        <v>113529.49</v>
      </c>
      <c r="Q93" s="2094">
        <v>0</v>
      </c>
      <c r="R93" s="2040"/>
      <c r="S93" s="2045">
        <f t="shared" si="9"/>
        <v>17196.018096602002</v>
      </c>
      <c r="T93" s="2041">
        <v>71833.17</v>
      </c>
      <c r="U93" s="2045">
        <f t="shared" si="10"/>
        <v>1.8750000017462298E-3</v>
      </c>
      <c r="V93" s="2050">
        <v>75645.418000000005</v>
      </c>
      <c r="W93" s="2050">
        <v>37884.076000000001</v>
      </c>
      <c r="X93" s="2042">
        <f t="shared" si="11"/>
        <v>-4.0000000008149073E-3</v>
      </c>
      <c r="Y93" s="2049">
        <v>0</v>
      </c>
      <c r="Z93" s="2051">
        <f t="shared" si="12"/>
        <v>0</v>
      </c>
      <c r="AA93" s="929"/>
      <c r="AB93" s="930"/>
      <c r="AC93" s="931">
        <f t="shared" si="18"/>
        <v>0</v>
      </c>
      <c r="AD93" s="931">
        <f t="shared" si="13"/>
        <v>0</v>
      </c>
      <c r="AE93" s="931">
        <f t="shared" si="19"/>
        <v>-4.220224000859773E-3</v>
      </c>
      <c r="AF93" s="931">
        <f t="shared" si="20"/>
        <v>4.220224000859773E-3</v>
      </c>
      <c r="AG93" s="932" t="e">
        <f t="shared" si="21"/>
        <v>#REF!</v>
      </c>
    </row>
    <row r="94" spans="3:36" x14ac:dyDescent="0.2">
      <c r="C94" s="933">
        <f t="shared" si="14"/>
        <v>43701</v>
      </c>
      <c r="D94" s="919">
        <f t="shared" si="15"/>
        <v>153350.92387096773</v>
      </c>
      <c r="E94" s="920">
        <f t="shared" si="16"/>
        <v>14421.080258064516</v>
      </c>
      <c r="F94" s="934">
        <f t="shared" si="6"/>
        <v>176589.03593800002</v>
      </c>
      <c r="G94" s="935">
        <f t="shared" si="17"/>
        <v>1.0163853</v>
      </c>
      <c r="H94" s="923">
        <f t="shared" si="7"/>
        <v>179.48249999999999</v>
      </c>
      <c r="I94" s="924">
        <f t="shared" si="8"/>
        <v>344541.53895233228</v>
      </c>
      <c r="J94" s="925"/>
      <c r="K94" s="926"/>
      <c r="L94" s="926"/>
      <c r="M94" s="984"/>
      <c r="N94" s="2040">
        <v>18661.210839785999</v>
      </c>
      <c r="O94" s="2047">
        <v>71752.835938000004</v>
      </c>
      <c r="P94" s="2047">
        <v>104836.2</v>
      </c>
      <c r="Q94" s="2094">
        <v>0</v>
      </c>
      <c r="R94" s="2046"/>
      <c r="S94" s="2045">
        <f t="shared" si="9"/>
        <v>18661.210839785999</v>
      </c>
      <c r="T94" s="2047">
        <v>71752.84</v>
      </c>
      <c r="U94" s="2045">
        <f t="shared" si="10"/>
        <v>-4.0619999927002937E-3</v>
      </c>
      <c r="V94" s="2050">
        <v>68749.019</v>
      </c>
      <c r="W94" s="2050">
        <v>36087.163</v>
      </c>
      <c r="X94" s="2042">
        <f t="shared" si="11"/>
        <v>1.7999999996391125E-2</v>
      </c>
      <c r="Y94" s="2049">
        <v>0</v>
      </c>
      <c r="Z94" s="2051">
        <f t="shared" si="12"/>
        <v>0</v>
      </c>
      <c r="AA94" s="929"/>
      <c r="AB94" s="930"/>
      <c r="AC94" s="931">
        <f t="shared" si="18"/>
        <v>0</v>
      </c>
      <c r="AD94" s="931">
        <f t="shared" si="13"/>
        <v>0</v>
      </c>
      <c r="AE94" s="931">
        <f t="shared" si="19"/>
        <v>1.8991007996192435E-2</v>
      </c>
      <c r="AF94" s="931">
        <f t="shared" si="20"/>
        <v>-1.8991007996192435E-2</v>
      </c>
      <c r="AG94" s="932" t="e">
        <f t="shared" si="21"/>
        <v>#REF!</v>
      </c>
      <c r="AH94" s="843"/>
      <c r="AI94" s="843"/>
      <c r="AJ94" s="843"/>
    </row>
    <row r="95" spans="3:36" x14ac:dyDescent="0.2">
      <c r="C95" s="933">
        <f t="shared" si="14"/>
        <v>43702</v>
      </c>
      <c r="D95" s="919">
        <f t="shared" si="15"/>
        <v>153350.92387096773</v>
      </c>
      <c r="E95" s="920">
        <f t="shared" si="16"/>
        <v>14421.080258064516</v>
      </c>
      <c r="F95" s="934">
        <f t="shared" si="6"/>
        <v>168621.945313</v>
      </c>
      <c r="G95" s="935">
        <f t="shared" si="17"/>
        <v>1.0163853</v>
      </c>
      <c r="H95" s="923">
        <f t="shared" si="7"/>
        <v>171.38489999999999</v>
      </c>
      <c r="I95" s="924">
        <f t="shared" si="8"/>
        <v>336566.35072733229</v>
      </c>
      <c r="J95" s="925"/>
      <c r="K95" s="926"/>
      <c r="L95" s="926"/>
      <c r="M95" s="984"/>
      <c r="N95" s="2040">
        <v>23600.283056405999</v>
      </c>
      <c r="O95" s="2041">
        <v>71889.195313000004</v>
      </c>
      <c r="P95" s="2041">
        <v>96732.75</v>
      </c>
      <c r="Q95" s="2094">
        <v>0</v>
      </c>
      <c r="R95" s="2040"/>
      <c r="S95" s="2045">
        <f t="shared" si="9"/>
        <v>23600.283056405999</v>
      </c>
      <c r="T95" s="2041">
        <v>71889.2</v>
      </c>
      <c r="U95" s="2045">
        <f t="shared" si="10"/>
        <v>-4.6869999932823703E-3</v>
      </c>
      <c r="V95" s="2050">
        <v>63252.756999999998</v>
      </c>
      <c r="W95" s="2050">
        <v>33479.998</v>
      </c>
      <c r="X95" s="2042">
        <f t="shared" si="11"/>
        <v>-5.0000000046566129E-3</v>
      </c>
      <c r="Y95" s="2049">
        <v>0</v>
      </c>
      <c r="Z95" s="2051">
        <f t="shared" si="12"/>
        <v>0</v>
      </c>
      <c r="AA95" s="929"/>
      <c r="AB95" s="930"/>
      <c r="AC95" s="931">
        <f t="shared" si="18"/>
        <v>0</v>
      </c>
      <c r="AD95" s="931">
        <f t="shared" si="13"/>
        <v>0</v>
      </c>
      <c r="AE95" s="931">
        <f t="shared" si="19"/>
        <v>-5.2752800049129869E-3</v>
      </c>
      <c r="AF95" s="931">
        <f t="shared" si="20"/>
        <v>5.2752800049129869E-3</v>
      </c>
      <c r="AG95" s="932" t="e">
        <f t="shared" si="21"/>
        <v>#REF!</v>
      </c>
      <c r="AH95" s="843"/>
      <c r="AI95" s="843"/>
      <c r="AJ95" s="843"/>
    </row>
    <row r="96" spans="3:36" x14ac:dyDescent="0.2">
      <c r="C96" s="933">
        <f t="shared" si="14"/>
        <v>43703</v>
      </c>
      <c r="D96" s="919">
        <f t="shared" si="15"/>
        <v>153350.92387096773</v>
      </c>
      <c r="E96" s="920">
        <f t="shared" si="16"/>
        <v>14421.080258064516</v>
      </c>
      <c r="F96" s="934">
        <f t="shared" si="6"/>
        <v>185641.894688</v>
      </c>
      <c r="G96" s="935">
        <f t="shared" si="17"/>
        <v>1.0163853</v>
      </c>
      <c r="H96" s="923">
        <f t="shared" si="7"/>
        <v>188.68369999999999</v>
      </c>
      <c r="I96" s="924">
        <f t="shared" si="8"/>
        <v>353603.59890233225</v>
      </c>
      <c r="J96" s="925"/>
      <c r="K96" s="926"/>
      <c r="L96" s="926"/>
      <c r="M96" s="984"/>
      <c r="N96" s="2040">
        <v>23535.592549326</v>
      </c>
      <c r="O96" s="2047">
        <v>72052.304688000004</v>
      </c>
      <c r="P96" s="2047">
        <v>113589.59</v>
      </c>
      <c r="Q96" s="2094">
        <v>0</v>
      </c>
      <c r="R96" s="2046"/>
      <c r="S96" s="2045">
        <f t="shared" si="9"/>
        <v>23535.592549326</v>
      </c>
      <c r="T96" s="2047">
        <v>72052.304999999993</v>
      </c>
      <c r="U96" s="2045">
        <f t="shared" si="10"/>
        <v>-3.1199998920783401E-4</v>
      </c>
      <c r="V96" s="2050">
        <v>75990.126999999993</v>
      </c>
      <c r="W96" s="2050">
        <v>37599.446000000004</v>
      </c>
      <c r="X96" s="2042">
        <f t="shared" si="11"/>
        <v>1.6999999992549419E-2</v>
      </c>
      <c r="Y96" s="2049">
        <v>0</v>
      </c>
      <c r="Z96" s="2051">
        <f t="shared" si="12"/>
        <v>0</v>
      </c>
      <c r="AA96" s="929"/>
      <c r="AB96" s="930"/>
      <c r="AC96" s="931">
        <f t="shared" si="18"/>
        <v>0</v>
      </c>
      <c r="AD96" s="931">
        <f t="shared" si="13"/>
        <v>0</v>
      </c>
      <c r="AE96" s="931">
        <f t="shared" si="19"/>
        <v>1.793595199213922E-2</v>
      </c>
      <c r="AF96" s="931">
        <f t="shared" si="20"/>
        <v>-1.793595199213922E-2</v>
      </c>
      <c r="AG96" s="932" t="e">
        <f t="shared" si="21"/>
        <v>#REF!</v>
      </c>
      <c r="AH96" s="843"/>
      <c r="AI96" s="843"/>
      <c r="AJ96" s="843"/>
    </row>
    <row r="97" spans="2:42" x14ac:dyDescent="0.2">
      <c r="C97" s="933">
        <f t="shared" si="14"/>
        <v>43704</v>
      </c>
      <c r="D97" s="919">
        <f t="shared" si="15"/>
        <v>153350.92387096773</v>
      </c>
      <c r="E97" s="920">
        <f t="shared" si="16"/>
        <v>14421.080258064516</v>
      </c>
      <c r="F97" s="934">
        <f t="shared" si="6"/>
        <v>185617.35062500002</v>
      </c>
      <c r="G97" s="935">
        <f t="shared" si="17"/>
        <v>1.0163853</v>
      </c>
      <c r="H97" s="923">
        <f t="shared" si="7"/>
        <v>188.65870000000001</v>
      </c>
      <c r="I97" s="924">
        <f t="shared" si="8"/>
        <v>353579.02983933233</v>
      </c>
      <c r="J97" s="925"/>
      <c r="K97" s="926"/>
      <c r="L97" s="926"/>
      <c r="M97" s="984"/>
      <c r="N97" s="2040">
        <v>23732.096965437006</v>
      </c>
      <c r="O97" s="2041">
        <v>71955.890625</v>
      </c>
      <c r="P97" s="2041">
        <v>113661.46</v>
      </c>
      <c r="Q97" s="2094">
        <v>0</v>
      </c>
      <c r="R97" s="2040"/>
      <c r="S97" s="2045">
        <f t="shared" si="9"/>
        <v>23732.096965437006</v>
      </c>
      <c r="T97" s="2041">
        <v>71955.891000000003</v>
      </c>
      <c r="U97" s="2045">
        <f t="shared" si="10"/>
        <v>-3.7500000325962901E-4</v>
      </c>
      <c r="V97" s="2050">
        <v>75840.92</v>
      </c>
      <c r="W97" s="2050">
        <v>37820.542000000001</v>
      </c>
      <c r="X97" s="2042">
        <f t="shared" si="11"/>
        <v>-1.999999993131496E-3</v>
      </c>
      <c r="Y97" s="2049">
        <v>0</v>
      </c>
      <c r="Z97" s="2051">
        <f t="shared" si="12"/>
        <v>0</v>
      </c>
      <c r="AA97" s="929"/>
      <c r="AB97" s="930"/>
      <c r="AC97" s="931">
        <f t="shared" si="18"/>
        <v>0</v>
      </c>
      <c r="AD97" s="931">
        <f t="shared" si="13"/>
        <v>0</v>
      </c>
      <c r="AE97" s="931">
        <f t="shared" si="19"/>
        <v>-2.1101119927533435E-3</v>
      </c>
      <c r="AF97" s="931">
        <f t="shared" si="20"/>
        <v>2.1101119927533435E-3</v>
      </c>
      <c r="AG97" s="932" t="e">
        <f t="shared" si="21"/>
        <v>#REF!</v>
      </c>
      <c r="AH97" s="843"/>
      <c r="AI97" s="843"/>
      <c r="AJ97" s="843"/>
    </row>
    <row r="98" spans="2:42" x14ac:dyDescent="0.2">
      <c r="C98" s="933">
        <f t="shared" si="14"/>
        <v>43705</v>
      </c>
      <c r="D98" s="919">
        <f t="shared" si="15"/>
        <v>153350.92387096773</v>
      </c>
      <c r="E98" s="920">
        <f t="shared" si="16"/>
        <v>14421.080258064516</v>
      </c>
      <c r="F98" s="934">
        <f t="shared" si="6"/>
        <v>185217.5025</v>
      </c>
      <c r="G98" s="935">
        <f t="shared" si="17"/>
        <v>1.0163853</v>
      </c>
      <c r="H98" s="923">
        <f t="shared" si="7"/>
        <v>188.25229999999999</v>
      </c>
      <c r="I98" s="924">
        <f t="shared" si="8"/>
        <v>353178.77531433228</v>
      </c>
      <c r="J98" s="925"/>
      <c r="K98" s="926"/>
      <c r="L98" s="926"/>
      <c r="M98" s="984"/>
      <c r="N98" s="2040">
        <v>23735.509418334004</v>
      </c>
      <c r="O98" s="2047">
        <v>71411.8125</v>
      </c>
      <c r="P98" s="2047">
        <v>113805.69</v>
      </c>
      <c r="Q98" s="2094">
        <v>0</v>
      </c>
      <c r="R98" s="2046"/>
      <c r="S98" s="2045">
        <f t="shared" si="9"/>
        <v>23735.509418334004</v>
      </c>
      <c r="T98" s="2047">
        <v>71411.812000000005</v>
      </c>
      <c r="U98" s="2045">
        <f t="shared" si="10"/>
        <v>4.999999946448952E-4</v>
      </c>
      <c r="V98" s="2050">
        <v>75995.994999999995</v>
      </c>
      <c r="W98" s="2050">
        <v>37809.714999999997</v>
      </c>
      <c r="X98" s="2042">
        <f t="shared" si="11"/>
        <v>-1.9999999989522621E-2</v>
      </c>
      <c r="Y98" s="2049">
        <v>0</v>
      </c>
      <c r="Z98" s="2051">
        <f t="shared" si="12"/>
        <v>0</v>
      </c>
      <c r="AA98" s="929"/>
      <c r="AB98" s="930"/>
      <c r="AC98" s="931">
        <f t="shared" si="18"/>
        <v>0</v>
      </c>
      <c r="AD98" s="931">
        <f t="shared" si="13"/>
        <v>0</v>
      </c>
      <c r="AE98" s="931">
        <f t="shared" si="19"/>
        <v>-2.1101119988945777E-2</v>
      </c>
      <c r="AF98" s="931">
        <f t="shared" si="20"/>
        <v>2.1101119988945777E-2</v>
      </c>
      <c r="AG98" s="932" t="e">
        <f t="shared" si="21"/>
        <v>#REF!</v>
      </c>
      <c r="AH98" s="843"/>
      <c r="AI98" s="843"/>
      <c r="AJ98" s="843"/>
    </row>
    <row r="99" spans="2:42" x14ac:dyDescent="0.2">
      <c r="C99" s="933">
        <f t="shared" si="14"/>
        <v>43706</v>
      </c>
      <c r="D99" s="919">
        <f t="shared" si="15"/>
        <v>153350.92387096773</v>
      </c>
      <c r="E99" s="920">
        <f t="shared" si="16"/>
        <v>14421.080258064516</v>
      </c>
      <c r="F99" s="934">
        <f t="shared" si="6"/>
        <v>179627.073125</v>
      </c>
      <c r="G99" s="935">
        <f t="shared" si="17"/>
        <v>1.0163853</v>
      </c>
      <c r="H99" s="923">
        <f t="shared" si="7"/>
        <v>182.5703</v>
      </c>
      <c r="I99" s="924">
        <f t="shared" si="8"/>
        <v>347582.6639393323</v>
      </c>
      <c r="J99" s="925"/>
      <c r="K99" s="926"/>
      <c r="L99" s="926"/>
      <c r="M99" s="926"/>
      <c r="N99" s="2040">
        <v>22644.187516493996</v>
      </c>
      <c r="O99" s="2041">
        <v>71785.453125</v>
      </c>
      <c r="P99" s="2041">
        <v>107841.62</v>
      </c>
      <c r="Q99" s="2094">
        <v>0</v>
      </c>
      <c r="R99" s="2040"/>
      <c r="S99" s="2051">
        <f t="shared" si="9"/>
        <v>22644.187516493996</v>
      </c>
      <c r="T99" s="2041">
        <v>71785.452999999994</v>
      </c>
      <c r="U99" s="2051">
        <f t="shared" si="10"/>
        <v>1.2500000593718141E-4</v>
      </c>
      <c r="V99" s="2050">
        <v>70000.417000000001</v>
      </c>
      <c r="W99" s="2050">
        <v>37841.216999999997</v>
      </c>
      <c r="X99" s="2048">
        <f t="shared" si="11"/>
        <v>-1.3999999995576218E-2</v>
      </c>
      <c r="Y99" s="2049">
        <v>0</v>
      </c>
      <c r="Z99" s="2051">
        <f t="shared" si="12"/>
        <v>0</v>
      </c>
      <c r="AA99" s="929"/>
      <c r="AB99" s="930"/>
      <c r="AC99" s="931">
        <f t="shared" si="18"/>
        <v>0</v>
      </c>
      <c r="AD99" s="931">
        <f t="shared" si="13"/>
        <v>0</v>
      </c>
      <c r="AE99" s="931">
        <f t="shared" si="19"/>
        <v>-1.4770783995332663E-2</v>
      </c>
      <c r="AF99" s="931">
        <f t="shared" si="20"/>
        <v>1.4770783995332663E-2</v>
      </c>
      <c r="AG99" s="932" t="e">
        <f t="shared" si="21"/>
        <v>#REF!</v>
      </c>
      <c r="AH99" s="843"/>
      <c r="AI99" s="843"/>
      <c r="AJ99" s="843"/>
    </row>
    <row r="100" spans="2:42" x14ac:dyDescent="0.2">
      <c r="C100" s="933">
        <f t="shared" si="14"/>
        <v>43707</v>
      </c>
      <c r="D100" s="919">
        <f t="shared" si="15"/>
        <v>153350.92387096773</v>
      </c>
      <c r="E100" s="920">
        <f t="shared" si="16"/>
        <v>14421.080258064516</v>
      </c>
      <c r="F100" s="934">
        <f t="shared" si="6"/>
        <v>184719.344063</v>
      </c>
      <c r="G100" s="935">
        <f t="shared" si="17"/>
        <v>1.0163853</v>
      </c>
      <c r="H100" s="923">
        <f t="shared" si="7"/>
        <v>187.74600000000001</v>
      </c>
      <c r="I100" s="924">
        <f t="shared" si="8"/>
        <v>352680.11057733226</v>
      </c>
      <c r="J100" s="925"/>
      <c r="K100" s="926"/>
      <c r="L100" s="926"/>
      <c r="M100" s="926"/>
      <c r="N100" s="2040">
        <v>23202.809858206998</v>
      </c>
      <c r="O100" s="2041">
        <v>71595.914063000004</v>
      </c>
      <c r="P100" s="2041">
        <v>113123.43</v>
      </c>
      <c r="Q100" s="2094">
        <v>0</v>
      </c>
      <c r="R100" s="2040"/>
      <c r="S100" s="2051">
        <f t="shared" si="9"/>
        <v>23202.809858206998</v>
      </c>
      <c r="T100" s="2041">
        <v>71595.914000000004</v>
      </c>
      <c r="U100" s="2051">
        <f t="shared" si="10"/>
        <v>6.2999999499879777E-5</v>
      </c>
      <c r="V100" s="2050">
        <v>75382.153999999995</v>
      </c>
      <c r="W100" s="2050">
        <v>37741.279999999999</v>
      </c>
      <c r="X100" s="2048">
        <f t="shared" si="11"/>
        <v>-4.0000000008149073E-3</v>
      </c>
      <c r="Y100" s="2049">
        <v>0</v>
      </c>
      <c r="Z100" s="2051">
        <f t="shared" si="12"/>
        <v>0</v>
      </c>
      <c r="AA100" s="929"/>
      <c r="AB100" s="930"/>
      <c r="AC100" s="931">
        <f t="shared" si="18"/>
        <v>0</v>
      </c>
      <c r="AD100" s="931">
        <f t="shared" si="13"/>
        <v>0</v>
      </c>
      <c r="AE100" s="931">
        <f t="shared" si="19"/>
        <v>-4.220224000859773E-3</v>
      </c>
      <c r="AF100" s="931">
        <f t="shared" si="20"/>
        <v>4.220224000859773E-3</v>
      </c>
      <c r="AG100" s="932" t="e">
        <f t="shared" si="21"/>
        <v>#REF!</v>
      </c>
      <c r="AH100" s="843"/>
      <c r="AI100" s="843"/>
      <c r="AJ100" s="843"/>
    </row>
    <row r="101" spans="2:42" ht="13.5" thickBot="1" x14ac:dyDescent="0.25">
      <c r="C101" s="938">
        <f t="shared" si="14"/>
        <v>43708</v>
      </c>
      <c r="D101" s="939">
        <f t="shared" si="15"/>
        <v>153350.92387096773</v>
      </c>
      <c r="E101" s="940">
        <f t="shared" si="16"/>
        <v>14421.080258064516</v>
      </c>
      <c r="F101" s="941">
        <f t="shared" si="6"/>
        <v>184719.344063</v>
      </c>
      <c r="G101" s="942">
        <f t="shared" si="17"/>
        <v>1.0163853</v>
      </c>
      <c r="H101" s="943">
        <f t="shared" si="7"/>
        <v>187.74600000000001</v>
      </c>
      <c r="I101" s="944">
        <f t="shared" si="8"/>
        <v>352680.11057733226</v>
      </c>
      <c r="J101" s="945"/>
      <c r="K101" s="946"/>
      <c r="L101" s="946"/>
      <c r="M101" s="946"/>
      <c r="N101" s="2052">
        <v>23558.732566911003</v>
      </c>
      <c r="O101" s="2053">
        <v>71595.914063000004</v>
      </c>
      <c r="P101" s="2053">
        <v>113123.43</v>
      </c>
      <c r="Q101" s="2095">
        <v>0</v>
      </c>
      <c r="R101" s="2052"/>
      <c r="S101" s="2057">
        <f t="shared" si="9"/>
        <v>23558.732566911003</v>
      </c>
      <c r="T101" s="2053">
        <v>71595.914000000004</v>
      </c>
      <c r="U101" s="2057">
        <f t="shared" si="10"/>
        <v>6.2999999499879777E-5</v>
      </c>
      <c r="V101" s="2056">
        <v>75382.153999999995</v>
      </c>
      <c r="W101" s="2056">
        <v>37741.279999999999</v>
      </c>
      <c r="X101" s="2054">
        <f t="shared" si="11"/>
        <v>-4.0000000008149073E-3</v>
      </c>
      <c r="Y101" s="2055">
        <v>0</v>
      </c>
      <c r="Z101" s="2057">
        <f t="shared" si="12"/>
        <v>0</v>
      </c>
      <c r="AA101" s="949"/>
      <c r="AB101" s="950"/>
      <c r="AC101" s="951">
        <f t="shared" si="18"/>
        <v>0</v>
      </c>
      <c r="AD101" s="951">
        <f t="shared" si="13"/>
        <v>0</v>
      </c>
      <c r="AE101" s="951">
        <f t="shared" si="19"/>
        <v>-4.220224000859773E-3</v>
      </c>
      <c r="AF101" s="951">
        <f t="shared" si="20"/>
        <v>4.220224000859773E-3</v>
      </c>
      <c r="AG101" s="952" t="e">
        <f t="shared" si="21"/>
        <v>#REF!</v>
      </c>
      <c r="AH101" s="843"/>
      <c r="AI101" s="843"/>
      <c r="AJ101" s="843"/>
    </row>
    <row r="102" spans="2:42" ht="13.5" thickBot="1" x14ac:dyDescent="0.25">
      <c r="C102" s="953"/>
      <c r="D102" s="954">
        <f>SUM(D71:D101)</f>
        <v>4753878.6399999997</v>
      </c>
      <c r="E102" s="954">
        <f>SUM(E71:E101)</f>
        <v>447053.48799999978</v>
      </c>
      <c r="F102" s="955">
        <f>SUM(F71:F101)</f>
        <v>5598758.4390080003</v>
      </c>
      <c r="G102" s="955"/>
      <c r="H102" s="956">
        <f t="shared" ref="H102:I102" si="22">SUM(H71:H101)</f>
        <v>5690.4957999999997</v>
      </c>
      <c r="I102" s="954">
        <f t="shared" si="22"/>
        <v>10805412.5707523</v>
      </c>
      <c r="J102" s="996">
        <f t="shared" ref="J102:Q102" si="23">SUM(J71:J101)</f>
        <v>0</v>
      </c>
      <c r="K102" s="996">
        <f t="shared" si="23"/>
        <v>0</v>
      </c>
      <c r="L102" s="996">
        <f t="shared" si="23"/>
        <v>0</v>
      </c>
      <c r="M102" s="996">
        <f t="shared" si="23"/>
        <v>0</v>
      </c>
      <c r="N102" s="996">
        <f t="shared" si="23"/>
        <v>591252.00419668108</v>
      </c>
      <c r="O102" s="1024">
        <f t="shared" si="23"/>
        <v>2227414.6790080005</v>
      </c>
      <c r="P102" s="1024">
        <f t="shared" si="23"/>
        <v>3371343.7600000002</v>
      </c>
      <c r="Q102" s="1024">
        <f t="shared" si="23"/>
        <v>0</v>
      </c>
      <c r="R102" s="1024"/>
      <c r="S102" s="1024"/>
      <c r="T102" s="1024">
        <f t="shared" ref="T102:AA102" si="24">SUM(T71:T101)</f>
        <v>2227414.2950000004</v>
      </c>
      <c r="U102" s="1024">
        <f t="shared" si="24"/>
        <v>0.38400800001545576</v>
      </c>
      <c r="V102" s="1024">
        <f t="shared" si="24"/>
        <v>2221416.4240000006</v>
      </c>
      <c r="W102" s="1024">
        <f t="shared" si="24"/>
        <v>1151472.4410000003</v>
      </c>
      <c r="X102" s="1024">
        <f t="shared" si="24"/>
        <v>-1545.1049999999814</v>
      </c>
      <c r="Y102" s="996">
        <f t="shared" si="24"/>
        <v>0</v>
      </c>
      <c r="Z102" s="996">
        <f t="shared" si="24"/>
        <v>0</v>
      </c>
      <c r="AA102" s="958">
        <f t="shared" si="24"/>
        <v>0</v>
      </c>
      <c r="AB102" s="829"/>
      <c r="AC102" s="959"/>
      <c r="AD102" s="960">
        <f>SUM(AD71:AD101)</f>
        <v>0</v>
      </c>
      <c r="AE102" s="960">
        <f>SUM(AE71:AE101)</f>
        <v>-1630.1723008799811</v>
      </c>
      <c r="AF102" s="960">
        <f>SUM(AF71:AF101)</f>
        <v>1630.1723008799811</v>
      </c>
      <c r="AG102" s="961" t="e">
        <f>#REF!</f>
        <v>#REF!</v>
      </c>
      <c r="AH102" s="843"/>
      <c r="AI102" s="843"/>
      <c r="AJ102" s="843"/>
      <c r="AP102" s="958" t="e">
        <f>#REF!</f>
        <v>#REF!</v>
      </c>
    </row>
    <row r="103" spans="2:42" ht="15" customHeight="1" thickBot="1" x14ac:dyDescent="0.25">
      <c r="B103" s="843"/>
      <c r="C103" s="843"/>
      <c r="D103" s="843"/>
      <c r="E103" s="843"/>
      <c r="F103" s="843"/>
      <c r="G103" s="843"/>
      <c r="H103" s="843"/>
      <c r="I103" s="843"/>
      <c r="J103" s="843"/>
      <c r="K103" s="843"/>
      <c r="L103" s="843"/>
      <c r="N103" s="829"/>
      <c r="O103" s="843"/>
      <c r="V103" s="997">
        <f>V102/(V102+W102)</f>
        <v>0.65860943331140553</v>
      </c>
      <c r="W103" s="998">
        <f>W102/(V102+W102)</f>
        <v>0.34139056668859441</v>
      </c>
      <c r="Z103" s="829"/>
      <c r="AA103" s="829"/>
      <c r="AB103" s="829"/>
      <c r="AC103" s="829"/>
      <c r="AD103" s="829"/>
      <c r="AE103" s="829"/>
      <c r="AF103" s="829"/>
      <c r="AH103" s="843"/>
      <c r="AI103" s="843"/>
      <c r="AJ103" s="843"/>
    </row>
    <row r="104" spans="2:42" ht="13.5" thickBot="1" x14ac:dyDescent="0.25">
      <c r="D104" s="1795" t="s">
        <v>155</v>
      </c>
      <c r="E104" s="1796" t="s">
        <v>156</v>
      </c>
      <c r="F104" s="1797" t="s">
        <v>112</v>
      </c>
      <c r="N104" s="829"/>
      <c r="P104" s="827"/>
      <c r="Z104" s="829"/>
      <c r="AA104" s="829"/>
      <c r="AB104" s="829"/>
      <c r="AG104" s="843"/>
    </row>
    <row r="105" spans="2:42" x14ac:dyDescent="0.2">
      <c r="D105" s="1793"/>
      <c r="E105" s="1779">
        <f>D102</f>
        <v>4753878.6399999997</v>
      </c>
      <c r="F105" s="1780">
        <f>D105-E105</f>
        <v>-4753878.6399999997</v>
      </c>
      <c r="G105" s="968"/>
      <c r="H105" s="968"/>
      <c r="I105" s="968"/>
      <c r="P105" s="827"/>
      <c r="W105" s="1008">
        <f>1-V103-W103</f>
        <v>0</v>
      </c>
      <c r="Z105" s="829"/>
      <c r="AA105" s="829"/>
      <c r="AB105" s="829"/>
      <c r="AC105" s="829"/>
      <c r="AG105" s="843"/>
    </row>
    <row r="106" spans="2:42" x14ac:dyDescent="0.2">
      <c r="D106" s="1793"/>
      <c r="E106" s="1779">
        <f>E102</f>
        <v>447053.48799999978</v>
      </c>
      <c r="F106" s="1780">
        <f>D106-E106</f>
        <v>-447053.48799999978</v>
      </c>
      <c r="G106" s="968"/>
      <c r="H106" s="968"/>
      <c r="I106" s="968"/>
      <c r="O106" s="827"/>
      <c r="Z106" s="829"/>
      <c r="AA106" s="829"/>
      <c r="AB106" s="829"/>
      <c r="AG106" s="843"/>
    </row>
    <row r="107" spans="2:42" ht="13.5" thickBot="1" x14ac:dyDescent="0.25">
      <c r="D107" s="1794"/>
      <c r="E107" s="1781">
        <f>ROUND(H102,2)</f>
        <v>5690.5</v>
      </c>
      <c r="F107" s="1782">
        <f>D107-E107</f>
        <v>-5690.5</v>
      </c>
      <c r="G107" s="968"/>
    </row>
    <row r="108" spans="2:42" x14ac:dyDescent="0.2">
      <c r="D108" s="968"/>
    </row>
  </sheetData>
  <mergeCells count="11">
    <mergeCell ref="C16:E16"/>
    <mergeCell ref="C3:M4"/>
    <mergeCell ref="C5:M5"/>
    <mergeCell ref="C6:M6"/>
    <mergeCell ref="C14:E14"/>
    <mergeCell ref="C15:E15"/>
    <mergeCell ref="J69:M69"/>
    <mergeCell ref="N69:Q69"/>
    <mergeCell ref="R69:Z69"/>
    <mergeCell ref="AA69:AG69"/>
    <mergeCell ref="C17:E17"/>
  </mergeCells>
  <conditionalFormatting sqref="R100">
    <cfRule type="cellIs" dxfId="34" priority="3" stopIfTrue="1" operator="equal">
      <formula>0</formula>
    </cfRule>
  </conditionalFormatting>
  <conditionalFormatting sqref="N71:N101">
    <cfRule type="cellIs" dxfId="33" priority="2" stopIfTrue="1" operator="equal">
      <formula>0</formula>
    </cfRule>
  </conditionalFormatting>
  <conditionalFormatting sqref="R71:R98">
    <cfRule type="cellIs" dxfId="32" priority="1" stopIfTrue="1" operator="equal">
      <formula>0</formula>
    </cfRule>
  </conditionalFormatting>
  <conditionalFormatting sqref="O71:P101">
    <cfRule type="cellIs" dxfId="31" priority="7" stopIfTrue="1" operator="equal">
      <formula>0</formula>
    </cfRule>
  </conditionalFormatting>
  <conditionalFormatting sqref="T71:T99 T101">
    <cfRule type="cellIs" dxfId="30" priority="6" stopIfTrue="1" operator="equal">
      <formula>0</formula>
    </cfRule>
  </conditionalFormatting>
  <conditionalFormatting sqref="T100">
    <cfRule type="cellIs" dxfId="29" priority="5" stopIfTrue="1" operator="equal">
      <formula>0</formula>
    </cfRule>
  </conditionalFormatting>
  <conditionalFormatting sqref="R99 R101">
    <cfRule type="cellIs" dxfId="28" priority="4" stopIfTrue="1" operator="equal">
      <formula>0</formula>
    </cfRule>
  </conditionalFormatting>
  <printOptions horizontalCentered="1"/>
  <pageMargins left="0.59055118110236227" right="0.39370078740157483" top="0" bottom="0" header="0" footer="0.51181102362204722"/>
  <pageSetup scale="42" orientation="landscape" r:id="rId1"/>
  <drawing r:id="rId2"/>
  <legacyDrawing r:id="rId3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2:AP108"/>
  <sheetViews>
    <sheetView topLeftCell="E37" workbookViewId="0">
      <selection activeCell="I42" sqref="I42"/>
    </sheetView>
  </sheetViews>
  <sheetFormatPr baseColWidth="10" defaultColWidth="11" defaultRowHeight="12.75" x14ac:dyDescent="0.2"/>
  <cols>
    <col min="1" max="1" width="11" style="829"/>
    <col min="2" max="2" width="3.875" style="829" bestFit="1" customWidth="1"/>
    <col min="3" max="3" width="16.125" style="829" customWidth="1"/>
    <col min="4" max="4" width="14" style="829" bestFit="1" customWidth="1"/>
    <col min="5" max="5" width="18.375" style="829" bestFit="1" customWidth="1"/>
    <col min="6" max="6" width="17.375" style="829" bestFit="1" customWidth="1"/>
    <col min="7" max="8" width="13.375" style="829" bestFit="1" customWidth="1"/>
    <col min="9" max="9" width="15.125" style="829" customWidth="1"/>
    <col min="10" max="10" width="20.5" style="829" customWidth="1"/>
    <col min="11" max="11" width="12.625" style="829" bestFit="1" customWidth="1"/>
    <col min="12" max="12" width="16" style="829" customWidth="1"/>
    <col min="13" max="13" width="15.125" style="829" bestFit="1" customWidth="1"/>
    <col min="14" max="14" width="16.125" style="827" bestFit="1" customWidth="1"/>
    <col min="15" max="15" width="11.375" style="829" bestFit="1" customWidth="1"/>
    <col min="16" max="16" width="11.125" style="829" bestFit="1" customWidth="1"/>
    <col min="17" max="17" width="12.625" style="829" bestFit="1" customWidth="1"/>
    <col min="18" max="18" width="10.875" style="829" customWidth="1"/>
    <col min="19" max="19" width="11.875" style="829" bestFit="1" customWidth="1"/>
    <col min="20" max="20" width="11.125" style="829" bestFit="1" customWidth="1"/>
    <col min="21" max="21" width="11.625" style="829" bestFit="1" customWidth="1"/>
    <col min="22" max="23" width="11.125" style="829" bestFit="1" customWidth="1"/>
    <col min="24" max="24" width="13.625" style="829" bestFit="1" customWidth="1"/>
    <col min="25" max="25" width="16.125" style="829" bestFit="1" customWidth="1"/>
    <col min="26" max="26" width="11.125" style="843" bestFit="1" customWidth="1"/>
    <col min="27" max="27" width="13" style="843" bestFit="1" customWidth="1"/>
    <col min="28" max="32" width="11" style="843"/>
    <col min="33" max="38" width="11" style="829"/>
    <col min="39" max="39" width="11.125" style="829" bestFit="1" customWidth="1"/>
    <col min="40" max="16384" width="11" style="829"/>
  </cols>
  <sheetData>
    <row r="2" spans="2:35" x14ac:dyDescent="0.2">
      <c r="B2" s="827"/>
      <c r="C2" s="828"/>
      <c r="D2" s="828"/>
      <c r="E2" s="828"/>
      <c r="F2" s="828"/>
      <c r="G2" s="828"/>
      <c r="H2" s="828"/>
      <c r="I2" s="828"/>
      <c r="J2" s="828"/>
      <c r="K2" s="828"/>
      <c r="L2" s="828"/>
      <c r="M2" s="828"/>
      <c r="N2" s="828"/>
      <c r="Z2" s="829"/>
      <c r="AA2" s="829"/>
      <c r="AB2" s="829"/>
      <c r="AC2" s="829"/>
      <c r="AD2" s="829"/>
      <c r="AE2" s="829"/>
      <c r="AF2" s="829"/>
    </row>
    <row r="3" spans="2:35" ht="15" customHeight="1" x14ac:dyDescent="0.2">
      <c r="B3" s="827"/>
      <c r="C3" s="2295"/>
      <c r="D3" s="2295"/>
      <c r="E3" s="2295"/>
      <c r="F3" s="2295"/>
      <c r="G3" s="2295"/>
      <c r="H3" s="2295"/>
      <c r="I3" s="2295"/>
      <c r="J3" s="2295"/>
      <c r="K3" s="2295"/>
      <c r="L3" s="2295"/>
      <c r="M3" s="2295"/>
      <c r="N3" s="828"/>
      <c r="Z3" s="829"/>
      <c r="AA3" s="829"/>
      <c r="AB3" s="829"/>
      <c r="AC3" s="829"/>
      <c r="AD3" s="829"/>
      <c r="AE3" s="829"/>
      <c r="AF3" s="829"/>
    </row>
    <row r="4" spans="2:35" ht="15" customHeight="1" x14ac:dyDescent="0.2">
      <c r="B4" s="827"/>
      <c r="C4" s="2295"/>
      <c r="D4" s="2295"/>
      <c r="E4" s="2295"/>
      <c r="F4" s="2295"/>
      <c r="G4" s="2295"/>
      <c r="H4" s="2295"/>
      <c r="I4" s="2295"/>
      <c r="J4" s="2295"/>
      <c r="K4" s="2295"/>
      <c r="L4" s="2295"/>
      <c r="M4" s="2295"/>
      <c r="N4" s="828"/>
      <c r="Z4" s="829"/>
      <c r="AA4" s="829"/>
      <c r="AB4" s="829"/>
      <c r="AC4" s="829"/>
      <c r="AD4" s="829"/>
      <c r="AE4" s="829"/>
      <c r="AF4" s="829"/>
    </row>
    <row r="5" spans="2:35" x14ac:dyDescent="0.2">
      <c r="B5" s="827"/>
      <c r="C5" s="2296"/>
      <c r="D5" s="2296"/>
      <c r="E5" s="2296"/>
      <c r="F5" s="2296"/>
      <c r="G5" s="2296"/>
      <c r="H5" s="2296"/>
      <c r="I5" s="2296"/>
      <c r="J5" s="2296"/>
      <c r="K5" s="2296"/>
      <c r="L5" s="2296"/>
      <c r="M5" s="2296"/>
      <c r="N5" s="828"/>
      <c r="Z5" s="829"/>
      <c r="AA5" s="829"/>
      <c r="AB5" s="829"/>
      <c r="AC5" s="829"/>
      <c r="AD5" s="829"/>
      <c r="AE5" s="829"/>
      <c r="AF5" s="829"/>
    </row>
    <row r="6" spans="2:35" x14ac:dyDescent="0.2">
      <c r="B6" s="827"/>
      <c r="C6" s="2296"/>
      <c r="D6" s="2296"/>
      <c r="E6" s="2296"/>
      <c r="F6" s="2296"/>
      <c r="G6" s="2296"/>
      <c r="H6" s="2296"/>
      <c r="I6" s="2296"/>
      <c r="J6" s="2296"/>
      <c r="K6" s="2296"/>
      <c r="L6" s="2296"/>
      <c r="M6" s="2296"/>
      <c r="N6" s="828"/>
      <c r="Z6" s="829"/>
      <c r="AA6" s="829"/>
      <c r="AB6" s="829"/>
      <c r="AC6" s="829"/>
      <c r="AD6" s="829"/>
      <c r="AE6" s="829"/>
      <c r="AF6" s="829"/>
    </row>
    <row r="7" spans="2:35" x14ac:dyDescent="0.2">
      <c r="B7" s="827"/>
      <c r="C7" s="830">
        <v>43101</v>
      </c>
      <c r="D7" s="830"/>
      <c r="E7" s="830"/>
      <c r="F7" s="830"/>
      <c r="G7" s="830"/>
      <c r="H7" s="830"/>
      <c r="I7" s="830"/>
      <c r="J7" s="830"/>
      <c r="K7" s="830"/>
      <c r="L7" s="830"/>
      <c r="M7" s="830"/>
      <c r="N7" s="830"/>
      <c r="O7" s="830"/>
      <c r="P7" s="830"/>
      <c r="Q7" s="830"/>
      <c r="R7" s="827"/>
      <c r="S7" s="827"/>
      <c r="T7" s="827"/>
      <c r="U7" s="827"/>
      <c r="V7" s="827"/>
      <c r="W7" s="827"/>
      <c r="X7" s="827"/>
      <c r="Y7" s="827"/>
      <c r="Z7" s="829"/>
      <c r="AA7" s="829"/>
      <c r="AB7" s="829"/>
      <c r="AC7" s="829"/>
      <c r="AD7" s="829"/>
      <c r="AE7" s="829"/>
      <c r="AF7" s="829"/>
    </row>
    <row r="8" spans="2:35" ht="19.5" customHeight="1" x14ac:dyDescent="0.2">
      <c r="B8" s="827"/>
      <c r="C8" s="1740"/>
      <c r="D8" s="1740"/>
      <c r="E8" s="1740"/>
      <c r="F8" s="1740"/>
      <c r="G8" s="1740"/>
      <c r="H8" s="1740"/>
      <c r="I8" s="1740"/>
      <c r="J8" s="1740"/>
      <c r="K8" s="1740"/>
      <c r="L8" s="1740"/>
      <c r="M8" s="828"/>
      <c r="N8" s="828"/>
      <c r="O8" s="827"/>
      <c r="P8" s="827"/>
      <c r="Q8" s="827"/>
      <c r="R8" s="827"/>
      <c r="S8" s="827"/>
      <c r="T8" s="827"/>
      <c r="U8" s="827"/>
      <c r="V8" s="827"/>
      <c r="W8" s="827"/>
      <c r="X8" s="827"/>
      <c r="Y8" s="827"/>
      <c r="Z8" s="829"/>
      <c r="AA8" s="829"/>
      <c r="AB8" s="829"/>
      <c r="AC8" s="829"/>
      <c r="AD8" s="829"/>
      <c r="AE8" s="829"/>
      <c r="AF8" s="829"/>
    </row>
    <row r="9" spans="2:35" ht="19.5" customHeight="1" x14ac:dyDescent="0.2">
      <c r="B9" s="827"/>
      <c r="C9" s="1740"/>
      <c r="D9" s="1740"/>
      <c r="E9" s="1740"/>
      <c r="F9" s="1740"/>
      <c r="G9" s="1740"/>
      <c r="H9" s="1740"/>
      <c r="I9" s="1740"/>
      <c r="J9" s="1740"/>
      <c r="K9" s="1740"/>
      <c r="L9" s="1740"/>
      <c r="M9" s="828"/>
      <c r="N9" s="828"/>
      <c r="O9" s="827"/>
      <c r="P9" s="827"/>
      <c r="Q9" s="827"/>
      <c r="R9" s="827"/>
      <c r="S9" s="827"/>
      <c r="T9" s="827"/>
      <c r="U9" s="827"/>
      <c r="V9" s="827"/>
      <c r="W9" s="827"/>
      <c r="X9" s="827"/>
      <c r="Y9" s="827"/>
      <c r="Z9" s="829"/>
      <c r="AA9" s="829"/>
      <c r="AB9" s="829"/>
      <c r="AC9" s="829"/>
      <c r="AD9" s="829"/>
      <c r="AE9" s="829"/>
      <c r="AF9" s="829"/>
    </row>
    <row r="10" spans="2:35" ht="19.5" customHeight="1" x14ac:dyDescent="0.2">
      <c r="B10" s="827"/>
      <c r="C10" s="1740"/>
      <c r="D10" s="1740"/>
      <c r="E10" s="1740"/>
      <c r="F10" s="1740"/>
      <c r="G10" s="1740"/>
      <c r="H10" s="1740"/>
      <c r="I10" s="1740"/>
      <c r="J10" s="1740"/>
      <c r="K10" s="1740"/>
      <c r="L10" s="1740"/>
      <c r="M10" s="828"/>
      <c r="N10" s="828"/>
      <c r="O10" s="827"/>
      <c r="P10" s="827"/>
      <c r="Q10" s="827"/>
      <c r="R10" s="827"/>
      <c r="S10" s="827"/>
      <c r="T10" s="827"/>
      <c r="U10" s="827"/>
      <c r="V10" s="827"/>
      <c r="W10" s="827"/>
      <c r="X10" s="827"/>
      <c r="Y10" s="827"/>
      <c r="Z10" s="829"/>
      <c r="AA10" s="829"/>
      <c r="AB10" s="829"/>
      <c r="AC10" s="829"/>
      <c r="AD10" s="829"/>
      <c r="AE10" s="829"/>
      <c r="AF10" s="829"/>
    </row>
    <row r="11" spans="2:35" ht="19.5" customHeight="1" x14ac:dyDescent="0.2">
      <c r="B11" s="827"/>
      <c r="C11" s="1740"/>
      <c r="D11" s="1740"/>
      <c r="E11" s="1740"/>
      <c r="F11" s="1740"/>
      <c r="G11" s="1740"/>
      <c r="H11" s="1740"/>
      <c r="I11" s="1740"/>
      <c r="J11" s="1740"/>
      <c r="K11" s="1740"/>
      <c r="L11" s="1740"/>
      <c r="M11" s="828"/>
      <c r="N11" s="828"/>
      <c r="O11" s="827"/>
      <c r="P11" s="827"/>
      <c r="Q11" s="827"/>
      <c r="R11" s="827"/>
      <c r="S11" s="827"/>
      <c r="T11" s="827"/>
      <c r="U11" s="827"/>
      <c r="V11" s="827"/>
      <c r="W11" s="827"/>
      <c r="X11" s="827"/>
      <c r="Y11" s="827"/>
      <c r="Z11" s="829"/>
      <c r="AA11" s="829"/>
      <c r="AB11" s="829"/>
      <c r="AC11" s="829"/>
      <c r="AD11" s="829"/>
      <c r="AE11" s="829"/>
      <c r="AF11" s="829"/>
    </row>
    <row r="12" spans="2:35" ht="19.5" customHeight="1" x14ac:dyDescent="0.2">
      <c r="B12" s="827"/>
      <c r="C12" s="1740"/>
      <c r="D12" s="1740"/>
      <c r="E12" s="1740"/>
      <c r="F12" s="1740"/>
      <c r="G12" s="1740"/>
      <c r="H12" s="1740"/>
      <c r="I12" s="1740"/>
      <c r="J12" s="1740"/>
      <c r="K12" s="1740"/>
      <c r="L12" s="1740"/>
      <c r="M12" s="828"/>
      <c r="N12" s="828"/>
      <c r="O12" s="827"/>
      <c r="P12" s="827"/>
      <c r="Q12" s="827"/>
      <c r="R12" s="827"/>
      <c r="S12" s="827"/>
      <c r="T12" s="827"/>
      <c r="U12" s="827"/>
      <c r="V12" s="827"/>
      <c r="W12" s="827"/>
      <c r="X12" s="827"/>
      <c r="Y12" s="827"/>
      <c r="Z12" s="829"/>
      <c r="AA12" s="829"/>
      <c r="AB12" s="829"/>
      <c r="AC12" s="829"/>
      <c r="AD12" s="829"/>
      <c r="AE12" s="829"/>
      <c r="AF12" s="829"/>
    </row>
    <row r="13" spans="2:35" ht="19.5" customHeight="1" thickBot="1" x14ac:dyDescent="0.25">
      <c r="B13" s="827"/>
      <c r="C13" s="1740"/>
      <c r="D13" s="1740"/>
      <c r="E13" s="1740"/>
      <c r="F13" s="1740"/>
      <c r="G13" s="1740"/>
      <c r="H13" s="1740"/>
      <c r="I13" s="1740"/>
      <c r="J13" s="1740"/>
      <c r="K13" s="1740"/>
      <c r="L13" s="1740"/>
      <c r="M13" s="828"/>
      <c r="N13" s="828"/>
      <c r="O13" s="827"/>
      <c r="P13" s="827"/>
      <c r="Q13" s="827"/>
      <c r="R13" s="827"/>
      <c r="S13" s="827"/>
      <c r="T13" s="827"/>
      <c r="U13" s="827"/>
      <c r="V13" s="827"/>
      <c r="W13" s="827"/>
      <c r="X13" s="827"/>
      <c r="Y13" s="827"/>
      <c r="Z13" s="829"/>
      <c r="AA13" s="829"/>
      <c r="AB13" s="829"/>
      <c r="AC13" s="829"/>
      <c r="AD13" s="829"/>
      <c r="AE13" s="829"/>
      <c r="AF13" s="829"/>
    </row>
    <row r="14" spans="2:35" ht="26.25" thickBot="1" x14ac:dyDescent="0.25">
      <c r="B14" s="827"/>
      <c r="C14" s="2333" t="s">
        <v>6</v>
      </c>
      <c r="D14" s="2334"/>
      <c r="E14" s="2335"/>
      <c r="F14" s="832" t="s">
        <v>227</v>
      </c>
      <c r="G14" s="832" t="s">
        <v>230</v>
      </c>
      <c r="H14" s="832" t="s">
        <v>228</v>
      </c>
      <c r="I14" s="832" t="s">
        <v>229</v>
      </c>
      <c r="J14" s="833" t="s">
        <v>126</v>
      </c>
      <c r="K14" s="833" t="s">
        <v>133</v>
      </c>
      <c r="L14" s="832" t="s">
        <v>127</v>
      </c>
      <c r="M14" s="834" t="s">
        <v>128</v>
      </c>
      <c r="N14" s="828"/>
      <c r="O14" s="827"/>
      <c r="P14" s="827"/>
      <c r="Q14" s="827"/>
      <c r="R14" s="827"/>
      <c r="S14" s="827"/>
      <c r="T14" s="827"/>
      <c r="U14" s="827"/>
      <c r="V14" s="827"/>
      <c r="W14" s="827"/>
      <c r="X14" s="827"/>
      <c r="Y14" s="827"/>
      <c r="Z14" s="829"/>
      <c r="AA14" s="829"/>
      <c r="AB14" s="829"/>
      <c r="AC14" s="829"/>
      <c r="AD14" s="829"/>
      <c r="AE14" s="829"/>
      <c r="AF14" s="829"/>
    </row>
    <row r="15" spans="2:35" ht="13.5" thickBot="1" x14ac:dyDescent="0.25">
      <c r="B15" s="827"/>
      <c r="C15" s="2329" t="s">
        <v>131</v>
      </c>
      <c r="D15" s="2330"/>
      <c r="E15" s="2331"/>
      <c r="F15" s="835"/>
      <c r="G15" s="836" t="s">
        <v>165</v>
      </c>
      <c r="H15" s="835"/>
      <c r="I15" s="837">
        <f>IF(D105=0,E105,D105)</f>
        <v>4600527.716129032</v>
      </c>
      <c r="J15" s="835">
        <f>I15*0.16</f>
        <v>736084.43458064517</v>
      </c>
      <c r="K15" s="835">
        <f>I15+J15</f>
        <v>5336612.1507096775</v>
      </c>
      <c r="L15" s="838"/>
      <c r="M15" s="1774">
        <v>22</v>
      </c>
      <c r="O15" s="827"/>
      <c r="P15" s="827"/>
      <c r="Q15" s="827"/>
      <c r="R15" s="827"/>
      <c r="S15" s="827"/>
      <c r="T15" s="827"/>
      <c r="U15" s="827"/>
      <c r="V15" s="827"/>
      <c r="W15" s="827"/>
      <c r="X15" s="827"/>
      <c r="Y15" s="827"/>
      <c r="Z15" s="829"/>
      <c r="AA15" s="829"/>
      <c r="AB15" s="829"/>
      <c r="AC15" s="829"/>
      <c r="AD15" s="829"/>
      <c r="AE15" s="829"/>
      <c r="AF15" s="829"/>
    </row>
    <row r="16" spans="2:35" ht="13.5" thickBot="1" x14ac:dyDescent="0.25">
      <c r="B16" s="827"/>
      <c r="C16" s="2329" t="s">
        <v>275</v>
      </c>
      <c r="D16" s="2330"/>
      <c r="E16" s="2331"/>
      <c r="F16" s="840"/>
      <c r="G16" s="840"/>
      <c r="H16" s="840"/>
      <c r="I16" s="837">
        <f>IF(D106=0,E106,D106)</f>
        <v>432632.40774193528</v>
      </c>
      <c r="J16" s="841">
        <f>I16*0.16</f>
        <v>69221.185238709644</v>
      </c>
      <c r="K16" s="841">
        <f>I16+J16</f>
        <v>501853.5929806449</v>
      </c>
      <c r="L16" s="838"/>
      <c r="M16" s="1775">
        <v>22</v>
      </c>
      <c r="O16" s="827"/>
      <c r="P16" s="827"/>
      <c r="Q16" s="827"/>
      <c r="R16" s="827"/>
      <c r="S16" s="827"/>
      <c r="T16" s="827"/>
      <c r="U16" s="827"/>
      <c r="V16" s="827"/>
      <c r="W16" s="827"/>
      <c r="X16" s="827"/>
      <c r="Y16" s="827"/>
      <c r="Z16" s="827"/>
      <c r="AA16" s="827"/>
      <c r="AB16" s="827"/>
      <c r="AG16" s="843"/>
      <c r="AH16" s="843"/>
      <c r="AI16" s="843"/>
    </row>
    <row r="17" spans="2:33" ht="13.5" thickBot="1" x14ac:dyDescent="0.25">
      <c r="B17" s="827"/>
      <c r="C17" s="2326" t="s">
        <v>132</v>
      </c>
      <c r="D17" s="2327"/>
      <c r="E17" s="2328"/>
      <c r="F17" s="844"/>
      <c r="G17" s="845" t="s">
        <v>165</v>
      </c>
      <c r="H17" s="844"/>
      <c r="I17" s="846">
        <f>IF(D107=0,E107,D107)</f>
        <v>5502.75</v>
      </c>
      <c r="J17" s="844">
        <f>I17*0.16</f>
        <v>880.44</v>
      </c>
      <c r="K17" s="844">
        <f>I17+J17</f>
        <v>6383.1900000000005</v>
      </c>
      <c r="L17" s="847"/>
      <c r="M17" s="1776">
        <v>22</v>
      </c>
      <c r="O17" s="827"/>
      <c r="P17" s="827"/>
      <c r="Q17" s="827"/>
      <c r="R17" s="827"/>
      <c r="S17" s="827"/>
      <c r="T17" s="827"/>
      <c r="U17" s="827"/>
      <c r="V17" s="827"/>
      <c r="W17" s="827"/>
      <c r="X17" s="827"/>
      <c r="Y17" s="827"/>
      <c r="Z17" s="829"/>
      <c r="AA17" s="829"/>
      <c r="AB17" s="829"/>
      <c r="AC17" s="829"/>
      <c r="AD17" s="829"/>
      <c r="AE17" s="829"/>
      <c r="AF17" s="829"/>
    </row>
    <row r="18" spans="2:33" x14ac:dyDescent="0.2">
      <c r="B18" s="827"/>
      <c r="C18" s="1740"/>
      <c r="D18" s="1740"/>
      <c r="E18" s="1740"/>
      <c r="F18" s="1740"/>
      <c r="G18" s="1740"/>
      <c r="H18" s="827"/>
      <c r="I18" s="827"/>
      <c r="J18" s="827"/>
      <c r="K18" s="827"/>
      <c r="L18" s="827"/>
      <c r="M18" s="827"/>
      <c r="O18" s="827"/>
      <c r="P18" s="827"/>
      <c r="Q18" s="827"/>
      <c r="R18" s="827"/>
      <c r="S18" s="827"/>
      <c r="T18" s="827"/>
      <c r="U18" s="827"/>
      <c r="V18" s="827"/>
      <c r="W18" s="827"/>
      <c r="X18" s="827"/>
      <c r="Y18" s="827"/>
    </row>
    <row r="19" spans="2:33" x14ac:dyDescent="0.2">
      <c r="B19" s="827"/>
      <c r="C19" s="1740"/>
      <c r="D19" s="1740"/>
      <c r="E19" s="1740"/>
      <c r="F19" s="1740"/>
      <c r="G19" s="1740"/>
      <c r="H19" s="827"/>
      <c r="I19" s="827"/>
      <c r="J19" s="827"/>
      <c r="K19" s="827"/>
      <c r="L19" s="827">
        <f>K17*M17</f>
        <v>140430.18000000002</v>
      </c>
      <c r="O19" s="827"/>
      <c r="P19" s="827"/>
      <c r="Q19" s="827"/>
      <c r="R19" s="827"/>
      <c r="S19" s="827"/>
      <c r="T19" s="827"/>
      <c r="U19" s="827"/>
      <c r="V19" s="827"/>
      <c r="W19" s="827"/>
      <c r="X19" s="827"/>
      <c r="Y19" s="827"/>
    </row>
    <row r="20" spans="2:33" ht="13.5" thickBot="1" x14ac:dyDescent="0.25">
      <c r="B20" s="827"/>
      <c r="C20" s="849"/>
      <c r="D20" s="1740"/>
      <c r="E20" s="1740"/>
      <c r="F20" s="1740"/>
      <c r="G20" s="1740"/>
      <c r="H20" s="1740"/>
      <c r="I20" s="1740"/>
      <c r="J20" s="1740"/>
      <c r="K20" s="1740"/>
      <c r="L20" s="1740"/>
      <c r="M20" s="1740"/>
      <c r="N20" s="1740"/>
      <c r="O20" s="1740"/>
      <c r="P20" s="1740"/>
      <c r="Q20" s="1740"/>
      <c r="R20" s="827"/>
      <c r="S20" s="827"/>
      <c r="T20" s="827"/>
      <c r="U20" s="827"/>
      <c r="V20" s="827"/>
      <c r="W20" s="827"/>
      <c r="X20" s="827"/>
      <c r="Y20" s="827"/>
      <c r="Z20" s="827"/>
      <c r="AG20" s="843"/>
    </row>
    <row r="21" spans="2:33" ht="51.75" thickBot="1" x14ac:dyDescent="0.25">
      <c r="B21" s="827"/>
      <c r="C21" s="850" t="s">
        <v>134</v>
      </c>
      <c r="D21" s="832" t="s">
        <v>135</v>
      </c>
      <c r="E21" s="832" t="s">
        <v>285</v>
      </c>
      <c r="F21" s="832" t="s">
        <v>278</v>
      </c>
      <c r="G21" s="832" t="s">
        <v>153</v>
      </c>
      <c r="H21" s="832" t="s">
        <v>279</v>
      </c>
      <c r="I21" s="832" t="s">
        <v>281</v>
      </c>
      <c r="J21" s="832" t="s">
        <v>280</v>
      </c>
      <c r="K21" s="832" t="s">
        <v>245</v>
      </c>
      <c r="L21" s="832" t="s">
        <v>246</v>
      </c>
      <c r="M21" s="832"/>
      <c r="N21" s="834" t="s">
        <v>158</v>
      </c>
      <c r="O21" s="1740"/>
      <c r="P21" s="1740"/>
      <c r="Q21" s="1740"/>
      <c r="R21" s="1740"/>
      <c r="S21" s="1740"/>
      <c r="T21" s="1740"/>
      <c r="U21" s="1740"/>
      <c r="V21" s="827"/>
      <c r="W21" s="827"/>
      <c r="X21" s="827"/>
      <c r="Y21" s="827"/>
      <c r="Z21" s="827"/>
      <c r="AG21" s="843"/>
    </row>
    <row r="22" spans="2:33" ht="13.5" thickBot="1" x14ac:dyDescent="0.25">
      <c r="B22" s="827"/>
      <c r="C22" s="851">
        <v>850</v>
      </c>
      <c r="D22" s="1010">
        <v>850</v>
      </c>
      <c r="E22" s="852">
        <v>31482640</v>
      </c>
      <c r="F22" s="852">
        <v>31482640</v>
      </c>
      <c r="G22" s="852">
        <v>31</v>
      </c>
      <c r="H22" s="1777">
        <f>VLOOKUP(C69,Tarifas!D4:H303,3)</f>
        <v>0.151</v>
      </c>
      <c r="I22" s="2072">
        <v>1.4200000000000001E-2</v>
      </c>
      <c r="J22" s="2072">
        <f>VLOOKUP(C69,Tarifas!D4:H303,5)</f>
        <v>1E-3</v>
      </c>
      <c r="K22" s="2072">
        <v>204.7</v>
      </c>
      <c r="L22" s="2072">
        <v>201.4</v>
      </c>
      <c r="M22" s="1777"/>
      <c r="N22" s="1778">
        <f>F102</f>
        <v>5414039.0949450005</v>
      </c>
      <c r="O22" s="855"/>
      <c r="P22" s="855"/>
      <c r="Q22" s="1740"/>
      <c r="R22" s="1740"/>
      <c r="S22" s="1740"/>
      <c r="T22" s="1740"/>
      <c r="U22" s="1740"/>
      <c r="V22" s="827"/>
      <c r="W22" s="827"/>
      <c r="X22" s="827"/>
      <c r="Y22" s="827"/>
      <c r="Z22" s="827"/>
      <c r="AG22" s="843"/>
    </row>
    <row r="23" spans="2:33" x14ac:dyDescent="0.2">
      <c r="B23" s="827"/>
      <c r="C23" s="1740"/>
      <c r="D23" s="1740"/>
      <c r="E23" s="1740"/>
      <c r="F23" s="1740"/>
      <c r="G23" s="1740"/>
      <c r="H23" s="1740"/>
      <c r="I23" s="1740"/>
      <c r="J23" s="1740"/>
      <c r="K23" s="856"/>
      <c r="L23" s="1740"/>
      <c r="M23" s="1740"/>
      <c r="N23" s="1740"/>
      <c r="O23" s="1740"/>
      <c r="P23" s="1740"/>
      <c r="Q23" s="1740"/>
      <c r="R23" s="1740"/>
      <c r="S23" s="1740"/>
      <c r="T23" s="827"/>
      <c r="U23" s="827"/>
      <c r="V23" s="827"/>
      <c r="W23" s="827"/>
      <c r="X23" s="827"/>
      <c r="Y23" s="827"/>
      <c r="Z23" s="827"/>
      <c r="AG23" s="843"/>
    </row>
    <row r="24" spans="2:33" x14ac:dyDescent="0.2">
      <c r="B24" s="827"/>
      <c r="C24" s="2034"/>
      <c r="D24" s="2034"/>
      <c r="E24" s="2034"/>
      <c r="F24" s="2034"/>
      <c r="G24" s="2034"/>
      <c r="H24" s="2034"/>
      <c r="I24" s="2034"/>
      <c r="J24" s="2034"/>
      <c r="K24" s="2034"/>
      <c r="L24" s="2034"/>
      <c r="M24" s="2034"/>
      <c r="N24" s="2034"/>
      <c r="O24" s="2034"/>
      <c r="P24" s="2034"/>
      <c r="Q24" s="827" t="s">
        <v>405</v>
      </c>
      <c r="R24" s="827"/>
      <c r="S24" s="827"/>
      <c r="T24" s="827"/>
      <c r="U24" s="827"/>
      <c r="V24" s="827"/>
      <c r="W24" s="827"/>
      <c r="X24" s="827"/>
      <c r="Y24" s="827"/>
      <c r="Z24" s="827"/>
      <c r="AG24" s="843"/>
    </row>
    <row r="25" spans="2:33" x14ac:dyDescent="0.2">
      <c r="B25" s="827"/>
      <c r="C25" s="2034"/>
      <c r="D25" s="2034"/>
      <c r="E25" s="2034"/>
      <c r="F25" s="2034"/>
      <c r="G25" s="2034"/>
      <c r="H25" s="2034"/>
      <c r="I25" s="2034"/>
      <c r="J25" s="2034"/>
      <c r="K25" s="2034"/>
      <c r="L25" s="2034"/>
      <c r="M25" s="2034"/>
      <c r="N25" s="2034"/>
      <c r="O25" s="827"/>
      <c r="P25" s="827"/>
      <c r="Q25" s="857"/>
      <c r="R25" s="827"/>
      <c r="S25" s="827"/>
      <c r="T25" s="827"/>
      <c r="U25" s="827"/>
      <c r="V25" s="827"/>
      <c r="W25" s="827"/>
      <c r="X25" s="843"/>
      <c r="Y25" s="843"/>
      <c r="AE25" s="829"/>
      <c r="AF25" s="829"/>
    </row>
    <row r="26" spans="2:33" ht="13.5" thickBot="1" x14ac:dyDescent="0.25">
      <c r="B26" s="827"/>
      <c r="C26" s="858" t="s">
        <v>86</v>
      </c>
      <c r="D26" s="858"/>
      <c r="E26" s="858"/>
      <c r="F26" s="858"/>
      <c r="G26" s="858"/>
      <c r="H26" s="859"/>
      <c r="I26" s="858"/>
      <c r="J26" s="858"/>
      <c r="K26" s="858"/>
      <c r="L26" s="859"/>
      <c r="M26" s="860"/>
      <c r="N26" s="861"/>
      <c r="Q26" s="827"/>
      <c r="R26" s="827"/>
      <c r="S26" s="827"/>
      <c r="T26" s="827"/>
      <c r="U26" s="827"/>
      <c r="V26" s="827"/>
      <c r="W26" s="827"/>
      <c r="X26" s="843"/>
      <c r="Y26" s="843"/>
      <c r="Z26" s="862"/>
      <c r="AE26" s="829"/>
      <c r="AF26" s="829"/>
    </row>
    <row r="27" spans="2:33" ht="35.1" customHeight="1" thickBot="1" x14ac:dyDescent="0.25">
      <c r="B27" s="827"/>
      <c r="C27" s="850" t="s">
        <v>87</v>
      </c>
      <c r="D27" s="832" t="s">
        <v>88</v>
      </c>
      <c r="E27" s="832" t="s">
        <v>237</v>
      </c>
      <c r="F27" s="833" t="s">
        <v>160</v>
      </c>
      <c r="G27" s="832" t="s">
        <v>236</v>
      </c>
      <c r="H27" s="833" t="s">
        <v>232</v>
      </c>
      <c r="I27" s="833" t="s">
        <v>233</v>
      </c>
      <c r="J27" s="833" t="s">
        <v>20</v>
      </c>
      <c r="K27" s="832" t="s">
        <v>91</v>
      </c>
      <c r="L27" s="832" t="s">
        <v>93</v>
      </c>
      <c r="M27" s="832" t="s">
        <v>94</v>
      </c>
      <c r="N27" s="863" t="s">
        <v>95</v>
      </c>
      <c r="P27" s="850" t="s">
        <v>237</v>
      </c>
      <c r="Q27" s="833" t="s">
        <v>160</v>
      </c>
      <c r="R27" s="832" t="s">
        <v>236</v>
      </c>
      <c r="S27" s="833" t="s">
        <v>232</v>
      </c>
      <c r="T27" s="833" t="s">
        <v>233</v>
      </c>
      <c r="U27" s="833" t="s">
        <v>20</v>
      </c>
      <c r="V27" s="832" t="s">
        <v>91</v>
      </c>
      <c r="W27" s="832" t="s">
        <v>93</v>
      </c>
      <c r="X27" s="832" t="s">
        <v>94</v>
      </c>
      <c r="Y27" s="834" t="s">
        <v>95</v>
      </c>
      <c r="Z27" s="861"/>
      <c r="AE27" s="829"/>
      <c r="AF27" s="829"/>
    </row>
    <row r="28" spans="2:33" ht="35.1" customHeight="1" thickBot="1" x14ac:dyDescent="0.25">
      <c r="B28" s="827"/>
      <c r="C28" s="864"/>
      <c r="D28" s="836"/>
      <c r="E28" s="1000"/>
      <c r="F28" s="836"/>
      <c r="G28" s="836"/>
      <c r="H28" s="836"/>
      <c r="I28" s="836"/>
      <c r="J28" s="972"/>
      <c r="K28" s="841"/>
      <c r="L28" s="866"/>
      <c r="M28" s="835"/>
      <c r="N28" s="867"/>
      <c r="P28" s="864" t="s">
        <v>242</v>
      </c>
      <c r="Q28" s="836" t="s">
        <v>221</v>
      </c>
      <c r="R28" s="836" t="s">
        <v>222</v>
      </c>
      <c r="S28" s="836">
        <v>2280</v>
      </c>
      <c r="T28" s="836">
        <v>453658</v>
      </c>
      <c r="U28" s="865" t="s">
        <v>97</v>
      </c>
      <c r="V28" s="841">
        <v>80000</v>
      </c>
      <c r="W28" s="866">
        <f>IFERROR(V28/$V$34,0)</f>
        <v>9.4117647058823528E-2</v>
      </c>
      <c r="X28" s="837">
        <f t="shared" ref="X28:X33" si="0">ROUND(W28*I$15,2)</f>
        <v>432990.84</v>
      </c>
      <c r="Y28" s="868">
        <f t="shared" ref="Y28:Y33" si="1">X28*M$15</f>
        <v>9525798.4800000004</v>
      </c>
      <c r="Z28" s="860"/>
      <c r="AA28" s="1059">
        <f>Y28+Y29+Y31+Y43</f>
        <v>23806610.740000002</v>
      </c>
      <c r="AE28" s="829"/>
      <c r="AF28" s="829"/>
    </row>
    <row r="29" spans="2:33" ht="35.1" customHeight="1" thickBot="1" x14ac:dyDescent="0.25">
      <c r="B29" s="827"/>
      <c r="C29" s="864"/>
      <c r="D29" s="836"/>
      <c r="E29" s="1000"/>
      <c r="F29" s="836"/>
      <c r="G29" s="836"/>
      <c r="H29" s="836"/>
      <c r="I29" s="836"/>
      <c r="J29" s="972"/>
      <c r="K29" s="841"/>
      <c r="L29" s="866"/>
      <c r="M29" s="835"/>
      <c r="N29" s="867"/>
      <c r="P29" s="864" t="s">
        <v>242</v>
      </c>
      <c r="Q29" s="836" t="s">
        <v>221</v>
      </c>
      <c r="R29" s="836" t="s">
        <v>222</v>
      </c>
      <c r="S29" s="836">
        <v>2280</v>
      </c>
      <c r="T29" s="836">
        <v>453658</v>
      </c>
      <c r="U29" s="865" t="s">
        <v>100</v>
      </c>
      <c r="V29" s="841">
        <v>40000</v>
      </c>
      <c r="W29" s="866">
        <f>IFERROR(V29/$V$34,0)</f>
        <v>4.7058823529411764E-2</v>
      </c>
      <c r="X29" s="837">
        <f t="shared" si="0"/>
        <v>216495.42</v>
      </c>
      <c r="Y29" s="868">
        <f t="shared" si="1"/>
        <v>4762899.24</v>
      </c>
      <c r="Z29" s="860"/>
      <c r="AE29" s="829"/>
      <c r="AF29" s="829"/>
    </row>
    <row r="30" spans="2:33" ht="35.1" customHeight="1" thickBot="1" x14ac:dyDescent="0.25">
      <c r="B30" s="827"/>
      <c r="C30" s="864"/>
      <c r="D30" s="836"/>
      <c r="E30" s="1000"/>
      <c r="F30" s="836"/>
      <c r="G30" s="836"/>
      <c r="H30" s="836"/>
      <c r="I30" s="836"/>
      <c r="J30" s="972"/>
      <c r="K30" s="841"/>
      <c r="L30" s="866"/>
      <c r="M30" s="835"/>
      <c r="N30" s="867"/>
      <c r="P30" s="864" t="s">
        <v>242</v>
      </c>
      <c r="Q30" s="836" t="s">
        <v>221</v>
      </c>
      <c r="R30" s="836" t="s">
        <v>222</v>
      </c>
      <c r="S30" s="836">
        <v>2280</v>
      </c>
      <c r="T30" s="836">
        <v>453658</v>
      </c>
      <c r="U30" s="865" t="s">
        <v>393</v>
      </c>
      <c r="V30" s="841">
        <v>22000</v>
      </c>
      <c r="W30" s="866">
        <f>IFERROR(V30/$V$34,0)</f>
        <v>2.5882352941176471E-2</v>
      </c>
      <c r="X30" s="837">
        <f t="shared" si="0"/>
        <v>119072.48</v>
      </c>
      <c r="Y30" s="868">
        <f t="shared" si="1"/>
        <v>2619594.56</v>
      </c>
      <c r="Z30" s="860"/>
      <c r="AE30" s="829"/>
      <c r="AF30" s="829"/>
    </row>
    <row r="31" spans="2:33" ht="35.1" customHeight="1" thickBot="1" x14ac:dyDescent="0.25">
      <c r="B31" s="827"/>
      <c r="C31" s="864"/>
      <c r="D31" s="836"/>
      <c r="E31" s="1000"/>
      <c r="F31" s="836"/>
      <c r="G31" s="836"/>
      <c r="H31" s="836"/>
      <c r="I31" s="836"/>
      <c r="J31" s="972"/>
      <c r="K31" s="841"/>
      <c r="L31" s="866"/>
      <c r="M31" s="835"/>
      <c r="N31" s="867"/>
      <c r="P31" s="864" t="s">
        <v>242</v>
      </c>
      <c r="Q31" s="836" t="s">
        <v>221</v>
      </c>
      <c r="R31" s="836" t="s">
        <v>222</v>
      </c>
      <c r="S31" s="836">
        <v>2280</v>
      </c>
      <c r="T31" s="836">
        <v>453658</v>
      </c>
      <c r="U31" s="865" t="s">
        <v>288</v>
      </c>
      <c r="V31" s="841">
        <v>0</v>
      </c>
      <c r="W31" s="866">
        <f t="shared" ref="W31:W33" si="2">IFERROR(V31/$V$34,0)</f>
        <v>0</v>
      </c>
      <c r="X31" s="837">
        <f t="shared" si="0"/>
        <v>0</v>
      </c>
      <c r="Y31" s="868">
        <f t="shared" si="1"/>
        <v>0</v>
      </c>
      <c r="Z31" s="860"/>
      <c r="AE31" s="829"/>
      <c r="AF31" s="829"/>
    </row>
    <row r="32" spans="2:33" ht="35.1" customHeight="1" thickBot="1" x14ac:dyDescent="0.25">
      <c r="B32" s="827"/>
      <c r="C32" s="864"/>
      <c r="D32" s="1000"/>
      <c r="E32" s="2036"/>
      <c r="F32" s="836"/>
      <c r="G32" s="836"/>
      <c r="H32" s="836"/>
      <c r="I32" s="836"/>
      <c r="J32" s="972"/>
      <c r="K32" s="841"/>
      <c r="L32" s="866"/>
      <c r="M32" s="835"/>
      <c r="N32" s="867"/>
      <c r="P32" s="1076" t="s">
        <v>242</v>
      </c>
      <c r="Q32" s="1000" t="s">
        <v>221</v>
      </c>
      <c r="R32" s="1000" t="s">
        <v>222</v>
      </c>
      <c r="S32" s="1000" t="s">
        <v>344</v>
      </c>
      <c r="T32" s="1000">
        <v>468094</v>
      </c>
      <c r="U32" s="2058" t="s">
        <v>23</v>
      </c>
      <c r="V32" s="2059">
        <v>95000</v>
      </c>
      <c r="W32" s="2060">
        <f t="shared" si="2"/>
        <v>0.11176470588235295</v>
      </c>
      <c r="X32" s="2061">
        <f t="shared" si="0"/>
        <v>514176.63</v>
      </c>
      <c r="Y32" s="2062">
        <f t="shared" si="1"/>
        <v>11311885.859999999</v>
      </c>
      <c r="Z32" s="860"/>
      <c r="AE32" s="829"/>
      <c r="AF32" s="829"/>
    </row>
    <row r="33" spans="2:32" ht="35.1" customHeight="1" thickBot="1" x14ac:dyDescent="0.25">
      <c r="B33" s="827"/>
      <c r="C33" s="851">
        <v>800874933</v>
      </c>
      <c r="D33" s="853"/>
      <c r="E33" s="853" t="s">
        <v>242</v>
      </c>
      <c r="F33" s="845" t="s">
        <v>221</v>
      </c>
      <c r="G33" s="845" t="s">
        <v>222</v>
      </c>
      <c r="H33" s="845">
        <v>2280</v>
      </c>
      <c r="I33" s="845">
        <v>453851</v>
      </c>
      <c r="J33" s="973" t="s">
        <v>159</v>
      </c>
      <c r="K33" s="852">
        <f>850000-K28-K29-K31-K32</f>
        <v>850000</v>
      </c>
      <c r="L33" s="872">
        <v>1</v>
      </c>
      <c r="M33" s="844">
        <v>4753878.6400000006</v>
      </c>
      <c r="N33" s="873">
        <f>M33*M15</f>
        <v>104585330.08000001</v>
      </c>
      <c r="P33" s="1004" t="s">
        <v>242</v>
      </c>
      <c r="Q33" s="1003" t="s">
        <v>221</v>
      </c>
      <c r="R33" s="1003" t="s">
        <v>222</v>
      </c>
      <c r="S33" s="1003">
        <v>2280</v>
      </c>
      <c r="T33" s="1003">
        <v>453851</v>
      </c>
      <c r="U33" s="1851" t="s">
        <v>159</v>
      </c>
      <c r="V33" s="1852">
        <f>850000-V28-V29-V30-V31-V32</f>
        <v>613000</v>
      </c>
      <c r="W33" s="1853">
        <f t="shared" si="2"/>
        <v>0.72117647058823531</v>
      </c>
      <c r="X33" s="1854">
        <f t="shared" si="0"/>
        <v>3317792.34</v>
      </c>
      <c r="Y33" s="1855">
        <f t="shared" si="1"/>
        <v>72991431.479999989</v>
      </c>
      <c r="Z33" s="860"/>
      <c r="AE33" s="829"/>
      <c r="AF33" s="829"/>
    </row>
    <row r="34" spans="2:32" ht="35.1" customHeight="1" x14ac:dyDescent="0.2">
      <c r="B34" s="827"/>
      <c r="C34" s="881"/>
      <c r="D34" s="882" t="s">
        <v>102</v>
      </c>
      <c r="E34" s="882"/>
      <c r="F34" s="882"/>
      <c r="G34" s="882"/>
      <c r="H34" s="882"/>
      <c r="I34" s="883"/>
      <c r="J34" s="883"/>
      <c r="K34" s="884">
        <f>SUM(K28:K33)</f>
        <v>850000</v>
      </c>
      <c r="L34" s="885">
        <f>SUM(L28:L33)</f>
        <v>1</v>
      </c>
      <c r="M34" s="886">
        <f>SUM(M28:M33)</f>
        <v>4753878.6400000006</v>
      </c>
      <c r="N34" s="886">
        <f>SUM(N28:N33)</f>
        <v>104585330.08000001</v>
      </c>
      <c r="P34" s="882"/>
      <c r="Q34" s="882"/>
      <c r="R34" s="882"/>
      <c r="S34" s="882"/>
      <c r="T34" s="883"/>
      <c r="U34" s="883"/>
      <c r="V34" s="884">
        <f>SUM(V28:V33)</f>
        <v>850000</v>
      </c>
      <c r="W34" s="885">
        <f>SUM(W28:W33)</f>
        <v>1</v>
      </c>
      <c r="X34" s="887">
        <f>SUM(X28:X33)</f>
        <v>4600527.71</v>
      </c>
      <c r="Y34" s="887">
        <f>SUM(Y28:Y33)</f>
        <v>101211609.61999999</v>
      </c>
      <c r="Z34" s="827"/>
      <c r="AE34" s="829"/>
      <c r="AF34" s="829"/>
    </row>
    <row r="35" spans="2:32" ht="20.100000000000001" customHeight="1" x14ac:dyDescent="0.2">
      <c r="B35" s="827"/>
      <c r="C35" s="860"/>
      <c r="D35" s="860"/>
      <c r="E35" s="860"/>
      <c r="F35" s="860"/>
      <c r="G35" s="888"/>
      <c r="H35" s="888"/>
      <c r="I35" s="860"/>
      <c r="J35" s="860"/>
      <c r="K35" s="860"/>
      <c r="L35" s="860"/>
      <c r="M35" s="889"/>
      <c r="P35" s="860"/>
      <c r="Q35" s="860"/>
      <c r="R35" s="888"/>
      <c r="S35" s="888"/>
      <c r="T35" s="860"/>
      <c r="U35" s="860"/>
      <c r="V35" s="860"/>
      <c r="W35" s="860"/>
      <c r="X35" s="890"/>
      <c r="Y35" s="891"/>
      <c r="Z35" s="827"/>
      <c r="AE35" s="829"/>
      <c r="AF35" s="829"/>
    </row>
    <row r="36" spans="2:32" ht="20.100000000000001" customHeight="1" x14ac:dyDescent="0.2">
      <c r="B36" s="827"/>
      <c r="C36" s="860"/>
      <c r="D36" s="860"/>
      <c r="E36" s="860"/>
      <c r="F36" s="860"/>
      <c r="G36" s="888"/>
      <c r="H36" s="888"/>
      <c r="I36" s="860"/>
      <c r="J36" s="860"/>
      <c r="K36" s="860"/>
      <c r="L36" s="860"/>
      <c r="M36" s="889"/>
      <c r="P36" s="860"/>
      <c r="Q36" s="860"/>
      <c r="R36" s="888"/>
      <c r="S36" s="888"/>
      <c r="T36" s="860"/>
      <c r="U36" s="860"/>
      <c r="V36" s="860"/>
      <c r="W36" s="892"/>
      <c r="X36" s="889"/>
      <c r="Y36" s="893"/>
      <c r="Z36" s="827"/>
      <c r="AE36" s="829"/>
      <c r="AF36" s="829"/>
    </row>
    <row r="38" spans="2:32" ht="20.100000000000001" customHeight="1" thickBot="1" x14ac:dyDescent="0.25">
      <c r="B38" s="827"/>
      <c r="C38" s="858" t="s">
        <v>274</v>
      </c>
      <c r="D38" s="858"/>
      <c r="E38" s="858"/>
      <c r="F38" s="858"/>
      <c r="G38" s="858"/>
      <c r="H38" s="859"/>
      <c r="I38" s="858"/>
      <c r="J38" s="858"/>
      <c r="K38" s="858"/>
      <c r="L38" s="859"/>
      <c r="M38" s="860"/>
      <c r="N38" s="861"/>
      <c r="P38" s="858"/>
      <c r="Q38" s="858"/>
      <c r="R38" s="858"/>
      <c r="S38" s="859"/>
      <c r="T38" s="858"/>
      <c r="U38" s="858"/>
      <c r="V38" s="858"/>
      <c r="W38" s="860"/>
      <c r="X38" s="860"/>
      <c r="Y38" s="894"/>
      <c r="Z38" s="862"/>
      <c r="AE38" s="829"/>
      <c r="AF38" s="829"/>
    </row>
    <row r="39" spans="2:32" ht="35.1" customHeight="1" thickBot="1" x14ac:dyDescent="0.25">
      <c r="B39" s="827"/>
      <c r="C39" s="850" t="s">
        <v>87</v>
      </c>
      <c r="D39" s="895" t="s">
        <v>88</v>
      </c>
      <c r="E39" s="895" t="s">
        <v>237</v>
      </c>
      <c r="F39" s="896" t="s">
        <v>160</v>
      </c>
      <c r="G39" s="895" t="s">
        <v>236</v>
      </c>
      <c r="H39" s="896" t="s">
        <v>232</v>
      </c>
      <c r="I39" s="896" t="s">
        <v>233</v>
      </c>
      <c r="J39" s="896" t="s">
        <v>20</v>
      </c>
      <c r="K39" s="832" t="s">
        <v>91</v>
      </c>
      <c r="L39" s="895" t="s">
        <v>93</v>
      </c>
      <c r="M39" s="895" t="s">
        <v>94</v>
      </c>
      <c r="N39" s="897" t="s">
        <v>95</v>
      </c>
      <c r="P39" s="895" t="s">
        <v>237</v>
      </c>
      <c r="Q39" s="896" t="s">
        <v>160</v>
      </c>
      <c r="R39" s="895" t="s">
        <v>236</v>
      </c>
      <c r="S39" s="896" t="s">
        <v>232</v>
      </c>
      <c r="T39" s="896" t="s">
        <v>233</v>
      </c>
      <c r="U39" s="896" t="s">
        <v>20</v>
      </c>
      <c r="V39" s="832" t="s">
        <v>91</v>
      </c>
      <c r="W39" s="895" t="s">
        <v>93</v>
      </c>
      <c r="X39" s="895" t="s">
        <v>94</v>
      </c>
      <c r="Y39" s="897" t="s">
        <v>95</v>
      </c>
      <c r="Z39" s="862"/>
      <c r="AE39" s="829"/>
      <c r="AF39" s="829"/>
    </row>
    <row r="40" spans="2:32" ht="35.1" customHeight="1" thickBot="1" x14ac:dyDescent="0.25">
      <c r="B40" s="827"/>
      <c r="C40" s="864"/>
      <c r="D40" s="1000"/>
      <c r="E40" s="2036"/>
      <c r="F40" s="836"/>
      <c r="G40" s="836"/>
      <c r="H40" s="836"/>
      <c r="I40" s="836"/>
      <c r="J40" s="865"/>
      <c r="K40" s="841"/>
      <c r="L40" s="866"/>
      <c r="M40" s="837"/>
      <c r="N40" s="868"/>
      <c r="P40" s="836" t="s">
        <v>242</v>
      </c>
      <c r="Q40" s="836" t="s">
        <v>221</v>
      </c>
      <c r="R40" s="836" t="s">
        <v>222</v>
      </c>
      <c r="S40" s="836">
        <v>2280</v>
      </c>
      <c r="T40" s="836">
        <v>453658</v>
      </c>
      <c r="U40" s="865" t="s">
        <v>97</v>
      </c>
      <c r="V40" s="841">
        <v>80000</v>
      </c>
      <c r="W40" s="866">
        <f>IFERROR(V40/$V$43,0)</f>
        <v>0.66666666666666663</v>
      </c>
      <c r="X40" s="837">
        <f>ROUND(W40*I$16,2)</f>
        <v>288421.61</v>
      </c>
      <c r="Y40" s="868">
        <f>X40*$M$16</f>
        <v>6345275.4199999999</v>
      </c>
      <c r="Z40" s="862"/>
      <c r="AE40" s="829"/>
      <c r="AF40" s="829"/>
    </row>
    <row r="41" spans="2:32" ht="35.1" customHeight="1" thickBot="1" x14ac:dyDescent="0.25">
      <c r="B41" s="827"/>
      <c r="C41" s="864"/>
      <c r="D41" s="1000"/>
      <c r="E41" s="1000"/>
      <c r="F41" s="836"/>
      <c r="G41" s="836"/>
      <c r="H41" s="836"/>
      <c r="I41" s="836"/>
      <c r="J41" s="865"/>
      <c r="K41" s="841"/>
      <c r="L41" s="866"/>
      <c r="M41" s="837"/>
      <c r="N41" s="868"/>
      <c r="P41" s="1000" t="s">
        <v>242</v>
      </c>
      <c r="Q41" s="836" t="s">
        <v>221</v>
      </c>
      <c r="R41" s="836" t="s">
        <v>222</v>
      </c>
      <c r="S41" s="836">
        <v>2280</v>
      </c>
      <c r="T41" s="836">
        <v>453658</v>
      </c>
      <c r="U41" s="865" t="s">
        <v>100</v>
      </c>
      <c r="V41" s="841">
        <v>40000</v>
      </c>
      <c r="W41" s="866">
        <f>IFERROR(V41/$V$43,0)</f>
        <v>0.33333333333333331</v>
      </c>
      <c r="X41" s="837">
        <f>ROUND(W41*I$16,2)</f>
        <v>144210.79999999999</v>
      </c>
      <c r="Y41" s="868">
        <f>X41*$M$16</f>
        <v>3172637.5999999996</v>
      </c>
      <c r="Z41" s="862"/>
      <c r="AE41" s="829"/>
      <c r="AF41" s="829"/>
    </row>
    <row r="42" spans="2:32" ht="35.1" customHeight="1" thickBot="1" x14ac:dyDescent="0.25">
      <c r="B42" s="827"/>
      <c r="C42" s="1004">
        <v>800874975</v>
      </c>
      <c r="D42" s="853"/>
      <c r="E42" s="853" t="s">
        <v>242</v>
      </c>
      <c r="F42" s="1003" t="s">
        <v>221</v>
      </c>
      <c r="G42" s="1003" t="s">
        <v>222</v>
      </c>
      <c r="H42" s="1003">
        <v>2280</v>
      </c>
      <c r="I42" s="1003">
        <v>453851</v>
      </c>
      <c r="J42" s="871" t="s">
        <v>159</v>
      </c>
      <c r="K42" s="852">
        <v>100000</v>
      </c>
      <c r="L42" s="872">
        <v>1</v>
      </c>
      <c r="M42" s="846">
        <f>ROUND(L42*I$16,2)</f>
        <v>432632.41</v>
      </c>
      <c r="N42" s="898">
        <f>M42*$M$16</f>
        <v>9517913.0199999996</v>
      </c>
      <c r="P42" s="1003" t="s">
        <v>401</v>
      </c>
      <c r="Q42" s="845" t="s">
        <v>221</v>
      </c>
      <c r="R42" s="845" t="s">
        <v>222</v>
      </c>
      <c r="S42" s="845">
        <v>2280</v>
      </c>
      <c r="T42" s="845">
        <v>453851</v>
      </c>
      <c r="U42" s="871" t="s">
        <v>159</v>
      </c>
      <c r="V42" s="852">
        <v>0</v>
      </c>
      <c r="W42" s="872">
        <f>IFERROR(V42/$V$43,0)</f>
        <v>0</v>
      </c>
      <c r="X42" s="846">
        <f>ROUND(W42*I$16,2)</f>
        <v>0</v>
      </c>
      <c r="Y42" s="898">
        <f>X42*$M$16</f>
        <v>0</v>
      </c>
      <c r="Z42" s="862"/>
      <c r="AE42" s="829"/>
      <c r="AF42" s="829"/>
    </row>
    <row r="43" spans="2:32" ht="20.100000000000001" customHeight="1" x14ac:dyDescent="0.2">
      <c r="B43" s="827"/>
      <c r="C43" s="881"/>
      <c r="D43" s="882" t="s">
        <v>102</v>
      </c>
      <c r="E43" s="882"/>
      <c r="F43" s="882"/>
      <c r="G43" s="882"/>
      <c r="H43" s="882"/>
      <c r="I43" s="883"/>
      <c r="J43" s="883"/>
      <c r="K43" s="884">
        <f>SUM(K40:K42)</f>
        <v>100000</v>
      </c>
      <c r="L43" s="885">
        <f>SUM(L40:L42)</f>
        <v>1</v>
      </c>
      <c r="M43" s="886">
        <f>SUM(M40:M42)</f>
        <v>432632.41</v>
      </c>
      <c r="N43" s="886">
        <f>SUM(N40:N42)</f>
        <v>9517913.0199999996</v>
      </c>
      <c r="P43" s="882"/>
      <c r="Q43" s="882"/>
      <c r="R43" s="882"/>
      <c r="S43" s="882"/>
      <c r="T43" s="883"/>
      <c r="U43" s="883"/>
      <c r="V43" s="884">
        <f>SUM(V40:V42)</f>
        <v>120000</v>
      </c>
      <c r="W43" s="885">
        <f>SUM(W40:W42)</f>
        <v>1</v>
      </c>
      <c r="X43" s="886">
        <f>SUM(X40:X42)</f>
        <v>432632.41</v>
      </c>
      <c r="Y43" s="886">
        <f>SUM(Y40:Y42)</f>
        <v>9517913.0199999996</v>
      </c>
      <c r="Z43" s="862"/>
      <c r="AE43" s="829"/>
      <c r="AF43" s="829"/>
    </row>
    <row r="44" spans="2:32" ht="20.100000000000001" customHeight="1" x14ac:dyDescent="0.2">
      <c r="B44" s="827"/>
      <c r="C44" s="899"/>
      <c r="D44" s="858"/>
      <c r="E44" s="858"/>
      <c r="F44" s="858"/>
      <c r="G44" s="858"/>
      <c r="H44" s="859"/>
      <c r="I44" s="858"/>
      <c r="J44" s="858"/>
      <c r="K44" s="858"/>
      <c r="L44" s="860"/>
      <c r="M44" s="860"/>
      <c r="N44" s="843"/>
      <c r="P44" s="858"/>
      <c r="Q44" s="858"/>
      <c r="R44" s="858"/>
      <c r="S44" s="859"/>
      <c r="T44" s="858"/>
      <c r="U44" s="858"/>
      <c r="V44" s="858"/>
      <c r="W44" s="860"/>
      <c r="X44" s="860"/>
      <c r="Y44" s="894"/>
      <c r="Z44" s="862"/>
      <c r="AE44" s="829"/>
      <c r="AF44" s="829"/>
    </row>
    <row r="45" spans="2:32" ht="20.100000000000001" customHeight="1" x14ac:dyDescent="0.2">
      <c r="B45" s="827"/>
      <c r="C45" s="899"/>
      <c r="D45" s="858"/>
      <c r="E45" s="858"/>
      <c r="F45" s="858"/>
      <c r="G45" s="858"/>
      <c r="H45" s="859"/>
      <c r="I45" s="858"/>
      <c r="J45" s="858"/>
      <c r="K45" s="858"/>
      <c r="L45" s="860"/>
      <c r="M45" s="860"/>
      <c r="N45" s="843"/>
      <c r="P45" s="858"/>
      <c r="Q45" s="858"/>
      <c r="R45" s="858"/>
      <c r="S45" s="859"/>
      <c r="T45" s="858"/>
      <c r="U45" s="858"/>
      <c r="V45" s="858"/>
      <c r="W45" s="860"/>
      <c r="X45" s="860"/>
      <c r="Y45" s="894"/>
      <c r="Z45" s="862"/>
      <c r="AE45" s="829"/>
      <c r="AF45" s="829"/>
    </row>
    <row r="46" spans="2:32" ht="20.100000000000001" customHeight="1" x14ac:dyDescent="0.2">
      <c r="B46" s="827"/>
      <c r="C46" s="899"/>
      <c r="D46" s="858"/>
      <c r="E46" s="858"/>
      <c r="F46" s="858"/>
      <c r="G46" s="858"/>
      <c r="H46" s="859"/>
      <c r="I46" s="858"/>
      <c r="J46" s="1792"/>
      <c r="K46" s="858"/>
      <c r="L46" s="860"/>
      <c r="M46" s="860"/>
      <c r="N46" s="843"/>
      <c r="P46" s="858"/>
      <c r="Q46" s="858"/>
      <c r="R46" s="858"/>
      <c r="S46" s="859"/>
      <c r="T46" s="858"/>
      <c r="U46" s="858"/>
      <c r="V46" s="858"/>
      <c r="W46" s="860"/>
      <c r="X46" s="860"/>
      <c r="Y46" s="894"/>
      <c r="Z46" s="862"/>
      <c r="AE46" s="829"/>
      <c r="AF46" s="829"/>
    </row>
    <row r="47" spans="2:32" ht="35.1" customHeight="1" thickBot="1" x14ac:dyDescent="0.25">
      <c r="B47" s="827"/>
      <c r="C47" s="899" t="s">
        <v>103</v>
      </c>
      <c r="D47" s="858"/>
      <c r="E47" s="858"/>
      <c r="F47" s="858"/>
      <c r="G47" s="858"/>
      <c r="H47" s="859"/>
      <c r="I47" s="858"/>
      <c r="J47" s="858"/>
      <c r="K47" s="858"/>
      <c r="L47" s="860"/>
      <c r="M47" s="860"/>
      <c r="N47" s="843"/>
      <c r="P47" s="858"/>
      <c r="Q47" s="858"/>
      <c r="R47" s="858"/>
      <c r="S47" s="859"/>
      <c r="T47" s="858"/>
      <c r="U47" s="858"/>
      <c r="V47" s="858"/>
      <c r="W47" s="860"/>
      <c r="X47" s="860"/>
      <c r="Y47" s="894"/>
      <c r="Z47" s="862"/>
      <c r="AE47" s="829"/>
      <c r="AF47" s="829"/>
    </row>
    <row r="48" spans="2:32" ht="35.1" customHeight="1" thickBot="1" x14ac:dyDescent="0.25">
      <c r="B48" s="827"/>
      <c r="C48" s="850" t="s">
        <v>87</v>
      </c>
      <c r="D48" s="832" t="s">
        <v>88</v>
      </c>
      <c r="E48" s="832" t="s">
        <v>237</v>
      </c>
      <c r="F48" s="833" t="s">
        <v>160</v>
      </c>
      <c r="G48" s="832" t="s">
        <v>90</v>
      </c>
      <c r="H48" s="833" t="s">
        <v>232</v>
      </c>
      <c r="I48" s="833" t="s">
        <v>233</v>
      </c>
      <c r="J48" s="833" t="s">
        <v>20</v>
      </c>
      <c r="K48" s="832" t="s">
        <v>234</v>
      </c>
      <c r="L48" s="832" t="s">
        <v>93</v>
      </c>
      <c r="M48" s="832" t="s">
        <v>94</v>
      </c>
      <c r="N48" s="863" t="s">
        <v>95</v>
      </c>
      <c r="P48" s="850" t="s">
        <v>237</v>
      </c>
      <c r="Q48" s="833" t="s">
        <v>160</v>
      </c>
      <c r="R48" s="832" t="s">
        <v>90</v>
      </c>
      <c r="S48" s="833" t="s">
        <v>232</v>
      </c>
      <c r="T48" s="833" t="s">
        <v>233</v>
      </c>
      <c r="U48" s="833" t="s">
        <v>20</v>
      </c>
      <c r="V48" s="832" t="s">
        <v>234</v>
      </c>
      <c r="W48" s="832" t="s">
        <v>93</v>
      </c>
      <c r="X48" s="832" t="s">
        <v>94</v>
      </c>
      <c r="Y48" s="834" t="s">
        <v>95</v>
      </c>
      <c r="Z48" s="861"/>
      <c r="AE48" s="829"/>
      <c r="AF48" s="829"/>
    </row>
    <row r="49" spans="2:32" ht="35.1" customHeight="1" thickBot="1" x14ac:dyDescent="0.25">
      <c r="B49" s="827"/>
      <c r="C49" s="864">
        <v>800874989</v>
      </c>
      <c r="D49" s="869"/>
      <c r="E49" s="869" t="s">
        <v>242</v>
      </c>
      <c r="F49" s="836" t="s">
        <v>221</v>
      </c>
      <c r="G49" s="836" t="s">
        <v>222</v>
      </c>
      <c r="H49" s="836">
        <v>2281</v>
      </c>
      <c r="I49" s="836">
        <v>453659</v>
      </c>
      <c r="J49" s="972" t="s">
        <v>159</v>
      </c>
      <c r="K49" s="841">
        <f>P102</f>
        <v>3258220.33</v>
      </c>
      <c r="L49" s="866">
        <f>IFERROR(K49/K$54,0)</f>
        <v>0.54469510341294414</v>
      </c>
      <c r="M49" s="835">
        <f>L49*$I$17</f>
        <v>2997.3209803055784</v>
      </c>
      <c r="N49" s="867">
        <f>M49*$M$17</f>
        <v>65941.061566722725</v>
      </c>
      <c r="O49" s="2">
        <v>18.6234</v>
      </c>
      <c r="P49" s="864" t="s">
        <v>242</v>
      </c>
      <c r="Q49" s="836" t="s">
        <v>221</v>
      </c>
      <c r="R49" s="836" t="s">
        <v>222</v>
      </c>
      <c r="S49" s="836">
        <v>2281</v>
      </c>
      <c r="T49" s="836">
        <v>453658</v>
      </c>
      <c r="U49" s="865" t="s">
        <v>97</v>
      </c>
      <c r="V49" s="841">
        <f>K49</f>
        <v>3258220.33</v>
      </c>
      <c r="W49" s="866">
        <f>IFERROR(V49/V$54,0)</f>
        <v>0.54469510341294414</v>
      </c>
      <c r="X49" s="835">
        <f>W49*$I$17</f>
        <v>2997.3209803055784</v>
      </c>
      <c r="Y49" s="867">
        <f>X49*$M$17</f>
        <v>65941.061566722725</v>
      </c>
      <c r="AE49" s="829"/>
      <c r="AF49" s="829"/>
    </row>
    <row r="50" spans="2:32" ht="35.1" customHeight="1" thickBot="1" x14ac:dyDescent="0.25">
      <c r="B50" s="827"/>
      <c r="C50" s="864"/>
      <c r="D50" s="1000"/>
      <c r="E50" s="1000"/>
      <c r="F50" s="836"/>
      <c r="G50" s="836"/>
      <c r="H50" s="836"/>
      <c r="I50" s="836"/>
      <c r="J50" s="972"/>
      <c r="K50" s="841"/>
      <c r="L50" s="866"/>
      <c r="M50" s="835"/>
      <c r="N50" s="867"/>
      <c r="O50" s="2"/>
      <c r="P50" s="864" t="s">
        <v>242</v>
      </c>
      <c r="Q50" s="836" t="s">
        <v>221</v>
      </c>
      <c r="R50" s="836" t="s">
        <v>222</v>
      </c>
      <c r="S50" s="836">
        <v>2281</v>
      </c>
      <c r="T50" s="836">
        <v>453658</v>
      </c>
      <c r="U50" s="865" t="s">
        <v>100</v>
      </c>
      <c r="V50" s="841">
        <f t="shared" ref="V50:V53" si="3">K50</f>
        <v>0</v>
      </c>
      <c r="W50" s="866">
        <f>IFERROR(V50/V$54,0)</f>
        <v>0</v>
      </c>
      <c r="X50" s="835">
        <f>W50*$I$17</f>
        <v>0</v>
      </c>
      <c r="Y50" s="867">
        <f>X50*$M$17</f>
        <v>0</v>
      </c>
      <c r="AE50" s="829"/>
      <c r="AF50" s="829"/>
    </row>
    <row r="51" spans="2:32" ht="35.1" customHeight="1" thickBot="1" x14ac:dyDescent="0.25">
      <c r="B51" s="827"/>
      <c r="C51" s="864">
        <v>800874989</v>
      </c>
      <c r="D51" s="869"/>
      <c r="E51" s="869" t="s">
        <v>242</v>
      </c>
      <c r="F51" s="836" t="s">
        <v>221</v>
      </c>
      <c r="G51" s="836" t="s">
        <v>222</v>
      </c>
      <c r="H51" s="836">
        <v>2281</v>
      </c>
      <c r="I51" s="836">
        <v>453659</v>
      </c>
      <c r="J51" s="972" t="s">
        <v>159</v>
      </c>
      <c r="K51" s="841">
        <f>N102</f>
        <v>567693.27162977005</v>
      </c>
      <c r="L51" s="866">
        <f>IFERROR(K51/K$54,0)</f>
        <v>9.4904492016723185E-2</v>
      </c>
      <c r="M51" s="835">
        <f>L51*$I$17</f>
        <v>522.23569344502346</v>
      </c>
      <c r="N51" s="867">
        <f>M51*$M$17</f>
        <v>11489.185255790517</v>
      </c>
      <c r="O51" s="2"/>
      <c r="P51" s="864" t="s">
        <v>242</v>
      </c>
      <c r="Q51" s="836" t="s">
        <v>221</v>
      </c>
      <c r="R51" s="836" t="s">
        <v>222</v>
      </c>
      <c r="S51" s="836">
        <v>2281</v>
      </c>
      <c r="T51" s="836">
        <v>453658</v>
      </c>
      <c r="U51" s="865" t="s">
        <v>393</v>
      </c>
      <c r="V51" s="841">
        <f t="shared" si="3"/>
        <v>567693.27162977005</v>
      </c>
      <c r="W51" s="866">
        <f>IFERROR(V51/V$54,0)</f>
        <v>9.4904492016723185E-2</v>
      </c>
      <c r="X51" s="835">
        <f>W51*$I$17</f>
        <v>522.23569344502346</v>
      </c>
      <c r="Y51" s="867">
        <f>X51*$M$17</f>
        <v>11489.185255790517</v>
      </c>
      <c r="AE51" s="829"/>
      <c r="AF51" s="829"/>
    </row>
    <row r="52" spans="2:32" ht="35.1" customHeight="1" thickBot="1" x14ac:dyDescent="0.25">
      <c r="B52" s="827"/>
      <c r="C52" s="864"/>
      <c r="D52" s="836"/>
      <c r="E52" s="1000"/>
      <c r="F52" s="836"/>
      <c r="G52" s="836"/>
      <c r="H52" s="836"/>
      <c r="I52" s="836"/>
      <c r="J52" s="972"/>
      <c r="K52" s="841"/>
      <c r="L52" s="866"/>
      <c r="M52" s="835"/>
      <c r="N52" s="867"/>
      <c r="O52" s="2"/>
      <c r="P52" s="864" t="s">
        <v>242</v>
      </c>
      <c r="Q52" s="836" t="s">
        <v>221</v>
      </c>
      <c r="R52" s="836" t="s">
        <v>222</v>
      </c>
      <c r="S52" s="836">
        <v>2281</v>
      </c>
      <c r="T52" s="836">
        <v>453658</v>
      </c>
      <c r="U52" s="865" t="s">
        <v>288</v>
      </c>
      <c r="V52" s="841">
        <f t="shared" si="3"/>
        <v>0</v>
      </c>
      <c r="W52" s="866">
        <f>IFERROR(V52/V$54,0)</f>
        <v>0</v>
      </c>
      <c r="X52" s="835">
        <f>W52*$I$17</f>
        <v>0</v>
      </c>
      <c r="Y52" s="867">
        <f t="shared" ref="Y52:Y53" si="4">X52*$M$17</f>
        <v>0</v>
      </c>
      <c r="AE52" s="829"/>
      <c r="AF52" s="829"/>
    </row>
    <row r="53" spans="2:32" ht="35.1" customHeight="1" thickBot="1" x14ac:dyDescent="0.25">
      <c r="B53" s="827"/>
      <c r="C53" s="851">
        <v>800874989</v>
      </c>
      <c r="D53" s="853"/>
      <c r="E53" s="853" t="s">
        <v>242</v>
      </c>
      <c r="F53" s="845" t="s">
        <v>221</v>
      </c>
      <c r="G53" s="845" t="s">
        <v>222</v>
      </c>
      <c r="H53" s="845">
        <v>2281</v>
      </c>
      <c r="I53" s="845">
        <v>453659</v>
      </c>
      <c r="J53" s="973" t="s">
        <v>159</v>
      </c>
      <c r="K53" s="852">
        <f>O102</f>
        <v>2155818.7649450004</v>
      </c>
      <c r="L53" s="866">
        <f>IFERROR(K53/K$54,0)</f>
        <v>0.36040040457033257</v>
      </c>
      <c r="M53" s="844">
        <f>L53*$I$17</f>
        <v>1983.1933262493976</v>
      </c>
      <c r="N53" s="867">
        <f t="shared" ref="N53" si="5">M53*$M$17</f>
        <v>43630.253177486746</v>
      </c>
      <c r="O53" s="2">
        <v>18.8506</v>
      </c>
      <c r="P53" s="1004" t="s">
        <v>242</v>
      </c>
      <c r="Q53" s="845" t="s">
        <v>221</v>
      </c>
      <c r="R53" s="845" t="s">
        <v>222</v>
      </c>
      <c r="S53" s="845" t="s">
        <v>402</v>
      </c>
      <c r="T53" s="845">
        <v>468095</v>
      </c>
      <c r="U53" s="871" t="s">
        <v>23</v>
      </c>
      <c r="V53" s="852">
        <f t="shared" si="3"/>
        <v>2155818.7649450004</v>
      </c>
      <c r="W53" s="872">
        <f>IFERROR(V53/V$54,0)</f>
        <v>0.36040040457033257</v>
      </c>
      <c r="X53" s="844">
        <f>W53*$I$17</f>
        <v>1983.1933262493976</v>
      </c>
      <c r="Y53" s="873">
        <f t="shared" si="4"/>
        <v>43630.253177486746</v>
      </c>
      <c r="AE53" s="829"/>
      <c r="AF53" s="829"/>
    </row>
    <row r="54" spans="2:32" x14ac:dyDescent="0.2">
      <c r="B54" s="827"/>
      <c r="C54" s="901"/>
      <c r="D54" s="901"/>
      <c r="E54" s="901"/>
      <c r="F54" s="902"/>
      <c r="G54" s="902"/>
      <c r="H54" s="902"/>
      <c r="I54" s="902"/>
      <c r="J54" s="902"/>
      <c r="K54" s="1001">
        <f>SUM(K49:K53)</f>
        <v>5981732.3665747708</v>
      </c>
      <c r="L54" s="903">
        <f>SUM(L49:L53)</f>
        <v>1</v>
      </c>
      <c r="M54" s="1002">
        <f>SUM(M49:M53)</f>
        <v>5502.75</v>
      </c>
      <c r="N54" s="1002">
        <f>SUM(N49:N53)</f>
        <v>121060.5</v>
      </c>
      <c r="O54" s="843"/>
      <c r="P54" s="843"/>
      <c r="Q54" s="827"/>
      <c r="R54" s="827"/>
      <c r="S54" s="827"/>
      <c r="T54" s="827"/>
      <c r="U54" s="827"/>
      <c r="V54" s="1001">
        <f>SUM(V49:V53)</f>
        <v>5981732.3665747708</v>
      </c>
      <c r="W54" s="903">
        <f>SUM(W49:W53)</f>
        <v>1</v>
      </c>
      <c r="X54" s="1002">
        <f>SUM(X49:X53)</f>
        <v>5502.75</v>
      </c>
      <c r="Y54" s="1002">
        <f>SUM(Y49:Y53)</f>
        <v>121060.5</v>
      </c>
      <c r="AE54" s="829"/>
      <c r="AF54" s="829"/>
    </row>
    <row r="55" spans="2:32" s="906" customFormat="1" x14ac:dyDescent="0.2">
      <c r="B55" s="904"/>
      <c r="C55" s="902"/>
      <c r="D55" s="902"/>
      <c r="E55" s="902"/>
      <c r="F55" s="902"/>
      <c r="G55" s="902"/>
      <c r="H55" s="902"/>
      <c r="I55" s="902"/>
      <c r="J55" s="902"/>
      <c r="K55" s="902"/>
      <c r="L55" s="902"/>
      <c r="M55" s="905"/>
      <c r="N55" s="905"/>
      <c r="O55" s="843"/>
      <c r="P55" s="843"/>
      <c r="Q55" s="904"/>
      <c r="R55" s="904"/>
      <c r="S55" s="904"/>
      <c r="T55" s="904"/>
      <c r="U55" s="904"/>
      <c r="V55" s="904"/>
      <c r="W55" s="904"/>
      <c r="X55" s="843"/>
      <c r="Y55" s="843"/>
      <c r="Z55" s="843"/>
      <c r="AA55" s="843"/>
      <c r="AB55" s="843"/>
      <c r="AC55" s="843"/>
      <c r="AD55" s="843"/>
    </row>
    <row r="56" spans="2:32" s="906" customFormat="1" x14ac:dyDescent="0.2">
      <c r="B56" s="904"/>
      <c r="C56" s="902"/>
      <c r="D56" s="902"/>
      <c r="E56" s="902"/>
      <c r="F56" s="902"/>
      <c r="G56" s="902"/>
      <c r="H56" s="902"/>
      <c r="I56" s="902"/>
      <c r="J56" s="902"/>
      <c r="K56" s="902"/>
      <c r="L56" s="905"/>
      <c r="M56" s="905"/>
      <c r="N56" s="843"/>
      <c r="O56" s="904"/>
      <c r="P56" s="904"/>
      <c r="Q56" s="904"/>
      <c r="R56" s="904"/>
      <c r="S56" s="904"/>
      <c r="T56" s="904"/>
      <c r="U56" s="904"/>
      <c r="V56" s="843"/>
      <c r="W56" s="843"/>
      <c r="X56" s="843"/>
      <c r="Y56" s="843"/>
      <c r="Z56" s="843"/>
      <c r="AA56" s="843"/>
      <c r="AB56" s="843"/>
    </row>
    <row r="57" spans="2:32" s="906" customFormat="1" x14ac:dyDescent="0.2">
      <c r="B57" s="904"/>
      <c r="C57" s="902"/>
      <c r="D57" s="902"/>
      <c r="E57" s="902"/>
      <c r="F57" s="902"/>
      <c r="G57" s="902"/>
      <c r="H57" s="902"/>
      <c r="I57" s="902"/>
      <c r="J57" s="902"/>
      <c r="K57" s="902"/>
      <c r="L57" s="905"/>
      <c r="M57" s="905"/>
      <c r="N57" s="843"/>
      <c r="O57" s="843"/>
      <c r="P57" s="904"/>
      <c r="Q57" s="904"/>
      <c r="R57" s="904"/>
      <c r="S57" s="904"/>
      <c r="T57" s="904"/>
      <c r="U57" s="904"/>
      <c r="V57" s="904"/>
      <c r="W57" s="843"/>
      <c r="X57" s="843"/>
      <c r="Y57" s="843"/>
      <c r="Z57" s="843"/>
      <c r="AA57" s="843"/>
      <c r="AB57" s="843"/>
      <c r="AC57" s="843"/>
    </row>
    <row r="58" spans="2:32" s="906" customFormat="1" x14ac:dyDescent="0.2">
      <c r="B58" s="904"/>
      <c r="C58" s="902"/>
      <c r="D58" s="902"/>
      <c r="E58" s="902"/>
      <c r="F58" s="902"/>
      <c r="G58" s="902"/>
      <c r="H58" s="902"/>
      <c r="I58" s="902"/>
      <c r="J58" s="902"/>
      <c r="K58" s="902"/>
      <c r="L58" s="905"/>
      <c r="M58" s="905"/>
      <c r="N58" s="843"/>
      <c r="O58" s="905"/>
      <c r="P58" s="843"/>
      <c r="Q58" s="905"/>
      <c r="R58" s="904"/>
      <c r="S58" s="904"/>
      <c r="T58" s="904"/>
      <c r="U58" s="904"/>
      <c r="V58" s="904"/>
      <c r="W58" s="904"/>
      <c r="X58" s="904"/>
      <c r="Y58" s="904"/>
      <c r="Z58" s="843"/>
      <c r="AA58" s="843"/>
      <c r="AB58" s="843"/>
      <c r="AC58" s="843"/>
      <c r="AD58" s="843"/>
      <c r="AE58" s="843"/>
      <c r="AF58" s="843"/>
    </row>
    <row r="59" spans="2:32" s="906" customFormat="1" x14ac:dyDescent="0.2">
      <c r="B59" s="904"/>
      <c r="C59" s="902"/>
      <c r="D59" s="902"/>
      <c r="E59" s="902"/>
      <c r="F59" s="902"/>
      <c r="G59" s="902"/>
      <c r="H59" s="902"/>
      <c r="I59" s="902"/>
      <c r="J59" s="902"/>
      <c r="K59" s="902"/>
      <c r="L59" s="905"/>
      <c r="M59" s="905"/>
      <c r="N59" s="843"/>
      <c r="O59" s="905"/>
      <c r="P59" s="843"/>
      <c r="Q59" s="905"/>
      <c r="R59" s="904"/>
      <c r="S59" s="904"/>
      <c r="T59" s="904"/>
      <c r="U59" s="904"/>
      <c r="V59" s="904"/>
      <c r="W59" s="904"/>
      <c r="X59" s="904"/>
      <c r="Y59" s="904"/>
      <c r="Z59" s="843"/>
      <c r="AA59" s="843"/>
      <c r="AB59" s="843"/>
      <c r="AC59" s="843"/>
      <c r="AD59" s="843"/>
      <c r="AE59" s="843"/>
      <c r="AF59" s="843"/>
    </row>
    <row r="60" spans="2:32" s="906" customFormat="1" x14ac:dyDescent="0.2">
      <c r="B60" s="904"/>
      <c r="C60" s="902"/>
      <c r="D60" s="902"/>
      <c r="E60" s="902"/>
      <c r="F60" s="902"/>
      <c r="G60" s="902"/>
      <c r="H60" s="902"/>
      <c r="I60" s="902"/>
      <c r="J60" s="902"/>
      <c r="K60" s="902"/>
      <c r="L60" s="905"/>
      <c r="M60" s="905"/>
      <c r="N60" s="843"/>
      <c r="O60" s="905"/>
      <c r="P60" s="843"/>
      <c r="Q60" s="905"/>
      <c r="R60" s="904"/>
      <c r="S60" s="904"/>
      <c r="T60" s="904"/>
      <c r="U60" s="904"/>
      <c r="V60" s="904"/>
      <c r="W60" s="904"/>
      <c r="X60" s="904"/>
      <c r="Y60" s="904"/>
      <c r="Z60" s="843"/>
      <c r="AA60" s="843"/>
      <c r="AB60" s="843"/>
      <c r="AC60" s="843"/>
      <c r="AD60" s="843"/>
      <c r="AE60" s="843"/>
      <c r="AF60" s="843"/>
    </row>
    <row r="61" spans="2:32" s="906" customFormat="1" x14ac:dyDescent="0.2">
      <c r="B61" s="904"/>
      <c r="C61" s="902"/>
      <c r="D61" s="902"/>
      <c r="E61" s="902"/>
      <c r="F61" s="902"/>
      <c r="G61" s="902"/>
      <c r="H61" s="902"/>
      <c r="I61" s="902"/>
      <c r="J61" s="902"/>
      <c r="K61" s="902"/>
      <c r="L61" s="905"/>
      <c r="M61" s="905"/>
      <c r="N61" s="843"/>
      <c r="O61" s="905"/>
      <c r="P61" s="843"/>
      <c r="Q61" s="905"/>
      <c r="R61" s="904"/>
      <c r="S61" s="904"/>
      <c r="T61" s="904"/>
      <c r="U61" s="904"/>
      <c r="V61" s="904"/>
      <c r="W61" s="904"/>
      <c r="X61" s="904"/>
      <c r="Y61" s="904"/>
      <c r="Z61" s="843"/>
      <c r="AA61" s="843"/>
      <c r="AB61" s="843"/>
      <c r="AC61" s="843"/>
      <c r="AD61" s="843"/>
      <c r="AE61" s="843"/>
      <c r="AF61" s="843"/>
    </row>
    <row r="62" spans="2:32" s="906" customFormat="1" x14ac:dyDescent="0.2">
      <c r="B62" s="904"/>
      <c r="C62" s="902"/>
      <c r="D62" s="902"/>
      <c r="E62" s="902"/>
      <c r="F62" s="902"/>
      <c r="G62" s="902"/>
      <c r="H62" s="902"/>
      <c r="I62" s="902"/>
      <c r="J62" s="902"/>
      <c r="K62" s="902"/>
      <c r="L62" s="905"/>
      <c r="M62" s="905"/>
      <c r="N62" s="843"/>
      <c r="O62" s="905"/>
      <c r="P62" s="843"/>
      <c r="Q62" s="905"/>
      <c r="R62" s="904"/>
      <c r="S62" s="904"/>
      <c r="T62" s="904"/>
      <c r="U62" s="904"/>
      <c r="V62" s="904"/>
      <c r="W62" s="904"/>
      <c r="X62" s="904"/>
      <c r="Y62" s="904"/>
      <c r="Z62" s="843"/>
      <c r="AA62" s="843"/>
      <c r="AB62" s="843"/>
      <c r="AC62" s="843"/>
      <c r="AD62" s="843"/>
      <c r="AE62" s="843"/>
      <c r="AF62" s="843"/>
    </row>
    <row r="63" spans="2:32" s="906" customFormat="1" x14ac:dyDescent="0.2">
      <c r="B63" s="904"/>
      <c r="C63" s="902"/>
      <c r="D63" s="902"/>
      <c r="E63" s="902"/>
      <c r="F63" s="902"/>
      <c r="G63" s="902"/>
      <c r="H63" s="902"/>
      <c r="I63" s="902"/>
      <c r="J63" s="902"/>
      <c r="K63" s="902"/>
      <c r="L63" s="905"/>
      <c r="M63" s="905"/>
      <c r="N63" s="843"/>
      <c r="O63" s="905"/>
      <c r="P63" s="843"/>
      <c r="Q63" s="905"/>
      <c r="R63" s="904"/>
      <c r="S63" s="904"/>
      <c r="T63" s="904"/>
      <c r="U63" s="904"/>
      <c r="V63" s="904"/>
      <c r="W63" s="904"/>
      <c r="X63" s="904"/>
      <c r="Y63" s="904"/>
      <c r="Z63" s="843"/>
      <c r="AA63" s="843"/>
      <c r="AB63" s="843"/>
      <c r="AC63" s="843"/>
      <c r="AD63" s="843"/>
      <c r="AE63" s="843"/>
      <c r="AF63" s="843"/>
    </row>
    <row r="64" spans="2:32" s="906" customFormat="1" x14ac:dyDescent="0.2">
      <c r="B64" s="904"/>
      <c r="C64" s="902"/>
      <c r="D64" s="902"/>
      <c r="E64" s="902"/>
      <c r="F64" s="902"/>
      <c r="G64" s="902"/>
      <c r="H64" s="902"/>
      <c r="I64" s="902"/>
      <c r="J64" s="902"/>
      <c r="K64" s="902"/>
      <c r="L64" s="905"/>
      <c r="M64" s="905"/>
      <c r="N64" s="843"/>
      <c r="O64" s="905"/>
      <c r="P64" s="843"/>
      <c r="Q64" s="905"/>
      <c r="R64" s="904"/>
      <c r="S64" s="904"/>
      <c r="T64" s="904"/>
      <c r="U64" s="904"/>
      <c r="V64" s="904"/>
      <c r="W64" s="904"/>
      <c r="X64" s="904"/>
      <c r="Y64" s="904"/>
      <c r="Z64" s="843"/>
      <c r="AA64" s="843"/>
      <c r="AB64" s="843"/>
      <c r="AC64" s="843"/>
      <c r="AD64" s="843"/>
      <c r="AE64" s="843"/>
      <c r="AF64" s="843"/>
    </row>
    <row r="65" spans="2:36" s="906" customFormat="1" x14ac:dyDescent="0.2">
      <c r="B65" s="904"/>
      <c r="C65" s="902"/>
      <c r="D65" s="902"/>
      <c r="E65" s="902"/>
      <c r="F65" s="902"/>
      <c r="G65" s="902"/>
      <c r="H65" s="902"/>
      <c r="I65" s="902"/>
      <c r="J65" s="902"/>
      <c r="K65" s="902"/>
      <c r="L65" s="905"/>
      <c r="M65" s="905"/>
      <c r="N65" s="843"/>
      <c r="O65" s="905"/>
      <c r="P65" s="843"/>
      <c r="Q65" s="905"/>
      <c r="R65" s="904"/>
      <c r="S65" s="904"/>
      <c r="T65" s="904"/>
      <c r="U65" s="904"/>
      <c r="V65" s="904"/>
      <c r="W65" s="904"/>
      <c r="X65" s="904"/>
      <c r="Y65" s="904"/>
      <c r="Z65" s="843"/>
      <c r="AA65" s="843"/>
      <c r="AB65" s="843"/>
      <c r="AC65" s="843"/>
      <c r="AD65" s="843"/>
      <c r="AE65" s="843"/>
      <c r="AF65" s="843"/>
    </row>
    <row r="66" spans="2:36" s="906" customFormat="1" x14ac:dyDescent="0.2">
      <c r="B66" s="904"/>
      <c r="C66" s="902"/>
      <c r="D66" s="902"/>
      <c r="E66" s="902"/>
      <c r="F66" s="902"/>
      <c r="G66" s="902"/>
      <c r="H66" s="902"/>
      <c r="I66" s="902"/>
      <c r="J66" s="902"/>
      <c r="K66" s="902"/>
      <c r="L66" s="905"/>
      <c r="M66" s="905"/>
      <c r="N66" s="843"/>
      <c r="O66" s="905"/>
      <c r="P66" s="843"/>
      <c r="Q66" s="905"/>
      <c r="R66" s="904"/>
      <c r="S66" s="904"/>
      <c r="T66" s="904"/>
      <c r="U66" s="904"/>
      <c r="V66" s="904"/>
      <c r="W66" s="904"/>
      <c r="X66" s="904"/>
      <c r="Y66" s="904"/>
      <c r="Z66" s="843"/>
      <c r="AA66" s="843"/>
      <c r="AB66" s="843"/>
      <c r="AC66" s="843"/>
      <c r="AD66" s="843"/>
      <c r="AE66" s="843"/>
      <c r="AF66" s="843"/>
    </row>
    <row r="67" spans="2:36" s="906" customFormat="1" x14ac:dyDescent="0.2">
      <c r="B67" s="904"/>
      <c r="C67" s="902"/>
      <c r="D67" s="902"/>
      <c r="E67" s="902"/>
      <c r="F67" s="902"/>
      <c r="G67" s="902"/>
      <c r="H67" s="902"/>
      <c r="I67" s="902"/>
      <c r="J67" s="902"/>
      <c r="K67" s="902"/>
      <c r="L67" s="902"/>
      <c r="M67" s="905"/>
      <c r="N67" s="905"/>
      <c r="O67" s="843"/>
      <c r="P67" s="905"/>
      <c r="Q67" s="843"/>
      <c r="R67" s="905"/>
      <c r="S67" s="904"/>
      <c r="T67" s="904"/>
      <c r="U67" s="904"/>
      <c r="V67" s="904"/>
      <c r="W67" s="904"/>
      <c r="X67" s="904"/>
      <c r="Y67" s="904"/>
      <c r="Z67" s="904"/>
      <c r="AA67" s="843"/>
      <c r="AB67" s="843"/>
      <c r="AC67" s="843"/>
      <c r="AD67" s="843"/>
      <c r="AE67" s="843"/>
      <c r="AF67" s="843"/>
      <c r="AG67" s="843"/>
    </row>
    <row r="68" spans="2:36" s="843" customFormat="1" ht="13.5" thickBot="1" x14ac:dyDescent="0.25">
      <c r="P68" s="860"/>
      <c r="Q68" s="860"/>
      <c r="T68" s="860"/>
      <c r="U68" s="860"/>
      <c r="V68" s="860"/>
      <c r="W68" s="860"/>
      <c r="X68" s="860"/>
      <c r="Y68" s="860"/>
      <c r="Z68" s="860"/>
      <c r="AA68" s="860"/>
      <c r="AB68" s="860"/>
      <c r="AC68" s="860"/>
      <c r="AD68" s="860"/>
      <c r="AE68" s="860"/>
      <c r="AF68" s="860"/>
      <c r="AG68" s="999" t="e">
        <f>'Junio - 2018'!AC101</f>
        <v>#REF!</v>
      </c>
    </row>
    <row r="69" spans="2:36" ht="13.5" thickBot="1" x14ac:dyDescent="0.25">
      <c r="B69" s="907" t="s">
        <v>3</v>
      </c>
      <c r="C69" s="908">
        <f>SUMIF(Tarifas!E4:E303,'Septiembre - 2019 '!C71,Tarifas!D4:D303)</f>
        <v>74</v>
      </c>
      <c r="D69" s="909" t="s">
        <v>147</v>
      </c>
      <c r="E69" s="910"/>
      <c r="F69" s="910" t="s">
        <v>145</v>
      </c>
      <c r="G69" s="910" t="s">
        <v>287</v>
      </c>
      <c r="H69" s="910" t="s">
        <v>148</v>
      </c>
      <c r="I69" s="911"/>
      <c r="J69" s="2320" t="s">
        <v>120</v>
      </c>
      <c r="K69" s="2321"/>
      <c r="L69" s="2321"/>
      <c r="M69" s="2322"/>
      <c r="N69" s="2311" t="s">
        <v>270</v>
      </c>
      <c r="O69" s="2312"/>
      <c r="P69" s="2312"/>
      <c r="Q69" s="2313"/>
      <c r="R69" s="2309" t="s">
        <v>271</v>
      </c>
      <c r="S69" s="2310"/>
      <c r="T69" s="2310"/>
      <c r="U69" s="2310"/>
      <c r="V69" s="2310"/>
      <c r="W69" s="2310"/>
      <c r="X69" s="2310"/>
      <c r="Y69" s="2310"/>
      <c r="Z69" s="2332"/>
      <c r="AA69" s="2362" t="s">
        <v>121</v>
      </c>
      <c r="AB69" s="2363"/>
      <c r="AC69" s="2363"/>
      <c r="AD69" s="2363"/>
      <c r="AE69" s="2363"/>
      <c r="AF69" s="2363"/>
      <c r="AG69" s="2364"/>
      <c r="AH69" s="843"/>
      <c r="AI69" s="843"/>
      <c r="AJ69" s="843"/>
    </row>
    <row r="70" spans="2:36" ht="51.75" thickBot="1" x14ac:dyDescent="0.25">
      <c r="C70" s="914" t="s">
        <v>122</v>
      </c>
      <c r="D70" s="1016" t="s">
        <v>125</v>
      </c>
      <c r="E70" s="1017" t="s">
        <v>277</v>
      </c>
      <c r="F70" s="1017" t="s">
        <v>149</v>
      </c>
      <c r="G70" s="1017" t="s">
        <v>151</v>
      </c>
      <c r="H70" s="1017" t="s">
        <v>152</v>
      </c>
      <c r="I70" s="1018" t="s">
        <v>123</v>
      </c>
      <c r="J70" s="1027" t="s">
        <v>734</v>
      </c>
      <c r="K70" s="1028" t="s">
        <v>109</v>
      </c>
      <c r="L70" s="1028" t="s">
        <v>25</v>
      </c>
      <c r="M70" s="1028" t="s">
        <v>26</v>
      </c>
      <c r="N70" s="1665" t="s">
        <v>738</v>
      </c>
      <c r="O70" s="1666" t="s">
        <v>266</v>
      </c>
      <c r="P70" s="1666" t="s">
        <v>269</v>
      </c>
      <c r="Q70" s="1906" t="s">
        <v>267</v>
      </c>
      <c r="R70" s="1904" t="s">
        <v>395</v>
      </c>
      <c r="S70" s="2021" t="s">
        <v>272</v>
      </c>
      <c r="T70" s="1904" t="s">
        <v>22</v>
      </c>
      <c r="U70" s="1905" t="s">
        <v>272</v>
      </c>
      <c r="V70" s="978" t="s">
        <v>25</v>
      </c>
      <c r="W70" s="978" t="s">
        <v>26</v>
      </c>
      <c r="X70" s="979" t="s">
        <v>272</v>
      </c>
      <c r="Y70" s="980" t="s">
        <v>273</v>
      </c>
      <c r="Z70" s="977" t="s">
        <v>272</v>
      </c>
      <c r="AA70" s="1012" t="s">
        <v>207</v>
      </c>
      <c r="AB70" s="1013"/>
      <c r="AC70" s="1013" t="s">
        <v>112</v>
      </c>
      <c r="AD70" s="1014" t="s">
        <v>118</v>
      </c>
      <c r="AE70" s="1014" t="s">
        <v>119</v>
      </c>
      <c r="AF70" s="1014" t="s">
        <v>114</v>
      </c>
      <c r="AG70" s="1015" t="s">
        <v>113</v>
      </c>
      <c r="AH70" s="843"/>
      <c r="AI70" s="843"/>
      <c r="AJ70" s="843"/>
    </row>
    <row r="71" spans="2:36" x14ac:dyDescent="0.2">
      <c r="C71" s="918">
        <v>43709</v>
      </c>
      <c r="D71" s="919">
        <f>($E$22*$H$22)/$G$22</f>
        <v>153350.92387096773</v>
      </c>
      <c r="E71" s="920">
        <f>($F$22*$I$22)/$G$22</f>
        <v>14421.080258064516</v>
      </c>
      <c r="F71" s="921">
        <f t="shared" ref="F71:F100" si="6">O71+P71+Q71</f>
        <v>184709.239375</v>
      </c>
      <c r="G71" s="922">
        <f>TRUNC(IFERROR(K$22/L$22,0),8)</f>
        <v>1.0163853</v>
      </c>
      <c r="H71" s="923">
        <f t="shared" ref="H71:H100" si="7">ROUND(J$22*G71*F71,4)</f>
        <v>187.73580000000001</v>
      </c>
      <c r="I71" s="924">
        <f t="shared" ref="I71:I100" si="8">SUM(D71:H71)</f>
        <v>352669.99568933231</v>
      </c>
      <c r="J71" s="925"/>
      <c r="K71" s="926"/>
      <c r="L71" s="926"/>
      <c r="M71" s="984"/>
      <c r="N71" s="2090">
        <v>16834.151027608201</v>
      </c>
      <c r="O71" s="2091">
        <v>71570.859375</v>
      </c>
      <c r="P71" s="2091">
        <v>113138.38</v>
      </c>
      <c r="Q71" s="2093">
        <v>0</v>
      </c>
      <c r="R71" s="2090"/>
      <c r="S71" s="2092">
        <f>N71-R71</f>
        <v>16834.151027608201</v>
      </c>
      <c r="T71" s="2091">
        <v>71570.86</v>
      </c>
      <c r="U71" s="2092">
        <f t="shared" ref="U71:U100" si="9">O71-T71</f>
        <v>-6.2500000058207661E-4</v>
      </c>
      <c r="V71" s="2044">
        <v>77156.52</v>
      </c>
      <c r="W71" s="2044">
        <v>35981.883000000002</v>
      </c>
      <c r="X71" s="2042">
        <f t="shared" ref="X71:X100" si="10">P71-(V71+W71)</f>
        <v>-2.3000000001047738E-2</v>
      </c>
      <c r="Y71" s="2043">
        <v>0</v>
      </c>
      <c r="Z71" s="2045">
        <f t="shared" ref="Z71:Z100" si="11">Q71-Y71</f>
        <v>0</v>
      </c>
      <c r="AA71" s="929"/>
      <c r="AB71" s="930"/>
      <c r="AC71" s="931">
        <f>AA71+AB71-AD71</f>
        <v>0</v>
      </c>
      <c r="AD71" s="931">
        <f t="shared" ref="AD71:AD100" si="12">K71+L71+M71</f>
        <v>0</v>
      </c>
      <c r="AE71" s="931">
        <f>(X71+Y71+Z71)*1.055056</f>
        <v>-2.4266288001105422E-2</v>
      </c>
      <c r="AF71" s="931">
        <f>AD71-AE71</f>
        <v>2.4266288001105422E-2</v>
      </c>
      <c r="AG71" s="932" t="e">
        <f>AG68+AF71</f>
        <v>#REF!</v>
      </c>
      <c r="AH71" s="843"/>
      <c r="AI71" s="843"/>
      <c r="AJ71" s="843"/>
    </row>
    <row r="72" spans="2:36" x14ac:dyDescent="0.2">
      <c r="C72" s="933">
        <f t="shared" ref="C72:C100" si="13">C71+1</f>
        <v>43710</v>
      </c>
      <c r="D72" s="919">
        <f t="shared" ref="D72:D100" si="14">($E$22*$H$22)/$G$22</f>
        <v>153350.92387096773</v>
      </c>
      <c r="E72" s="920">
        <f t="shared" ref="E72:E100" si="15">($F$22*$I$22)/$G$22</f>
        <v>14421.080258064516</v>
      </c>
      <c r="F72" s="934">
        <f t="shared" si="6"/>
        <v>180679.33156299999</v>
      </c>
      <c r="G72" s="935">
        <f t="shared" ref="G72:G100" si="16">TRUNC(IFERROR(K$22/L$22,0),8)</f>
        <v>1.0163853</v>
      </c>
      <c r="H72" s="923">
        <f t="shared" si="7"/>
        <v>183.63980000000001</v>
      </c>
      <c r="I72" s="924">
        <f t="shared" si="8"/>
        <v>348635.99187733227</v>
      </c>
      <c r="J72" s="925"/>
      <c r="K72" s="926"/>
      <c r="L72" s="926"/>
      <c r="M72" s="984"/>
      <c r="N72" s="2040">
        <v>13634.526026285201</v>
      </c>
      <c r="O72" s="2047">
        <v>71976.101563000004</v>
      </c>
      <c r="P72" s="2047">
        <v>108703.23</v>
      </c>
      <c r="Q72" s="2094">
        <v>0</v>
      </c>
      <c r="R72" s="2046"/>
      <c r="S72" s="2045">
        <f t="shared" ref="S72:S100" si="17">N72-R72</f>
        <v>13634.526026285201</v>
      </c>
      <c r="T72" s="2047">
        <v>71976.100000000006</v>
      </c>
      <c r="U72" s="2045">
        <f t="shared" si="9"/>
        <v>1.5629999979864806E-3</v>
      </c>
      <c r="V72" s="2050">
        <v>71046.775999999998</v>
      </c>
      <c r="W72" s="2050">
        <v>37656.449999999997</v>
      </c>
      <c r="X72" s="2042">
        <f t="shared" si="10"/>
        <v>4.0000000008149073E-3</v>
      </c>
      <c r="Y72" s="2049">
        <v>0</v>
      </c>
      <c r="Z72" s="2051">
        <f t="shared" si="11"/>
        <v>0</v>
      </c>
      <c r="AA72" s="929"/>
      <c r="AB72" s="930"/>
      <c r="AC72" s="931">
        <f t="shared" ref="AC72:AC100" si="18">AA72+AB72-AD72</f>
        <v>0</v>
      </c>
      <c r="AD72" s="931">
        <f t="shared" si="12"/>
        <v>0</v>
      </c>
      <c r="AE72" s="931">
        <f t="shared" ref="AE72:AE100" si="19">(X72+Y72+Z72)*1.055056</f>
        <v>4.220224000859773E-3</v>
      </c>
      <c r="AF72" s="931">
        <f t="shared" ref="AF72:AF100" si="20">AD72-AE72</f>
        <v>-4.220224000859773E-3</v>
      </c>
      <c r="AG72" s="932" t="e">
        <f>AG71+AF72</f>
        <v>#REF!</v>
      </c>
      <c r="AH72" s="843"/>
      <c r="AI72" s="843"/>
      <c r="AJ72" s="843"/>
    </row>
    <row r="73" spans="2:36" x14ac:dyDescent="0.2">
      <c r="C73" s="933">
        <f t="shared" si="13"/>
        <v>43711</v>
      </c>
      <c r="D73" s="919">
        <f t="shared" si="14"/>
        <v>153350.92387096773</v>
      </c>
      <c r="E73" s="920">
        <f t="shared" si="15"/>
        <v>14421.080258064516</v>
      </c>
      <c r="F73" s="934">
        <f t="shared" si="6"/>
        <v>180403.064063</v>
      </c>
      <c r="G73" s="935">
        <f t="shared" si="16"/>
        <v>1.0163853</v>
      </c>
      <c r="H73" s="923">
        <f t="shared" si="7"/>
        <v>183.35900000000001</v>
      </c>
      <c r="I73" s="924">
        <f t="shared" si="8"/>
        <v>348359.44357733231</v>
      </c>
      <c r="J73" s="925"/>
      <c r="K73" s="926"/>
      <c r="L73" s="926"/>
      <c r="M73" s="984"/>
      <c r="N73" s="2040">
        <v>19846.869433677301</v>
      </c>
      <c r="O73" s="2041">
        <v>71824.914063000004</v>
      </c>
      <c r="P73" s="2041">
        <v>108578.15</v>
      </c>
      <c r="Q73" s="2094">
        <v>0</v>
      </c>
      <c r="R73" s="2040"/>
      <c r="S73" s="2045">
        <f t="shared" si="17"/>
        <v>19846.869433677301</v>
      </c>
      <c r="T73" s="2041">
        <v>71824.91</v>
      </c>
      <c r="U73" s="2045">
        <f t="shared" si="9"/>
        <v>4.063000000314787E-3</v>
      </c>
      <c r="V73" s="2050">
        <v>71055.213000000003</v>
      </c>
      <c r="W73" s="2050">
        <v>37522.955999999998</v>
      </c>
      <c r="X73" s="2042">
        <f t="shared" si="10"/>
        <v>-1.9000000000232831E-2</v>
      </c>
      <c r="Y73" s="2049">
        <v>0</v>
      </c>
      <c r="Z73" s="2051">
        <f t="shared" si="11"/>
        <v>0</v>
      </c>
      <c r="AA73" s="929"/>
      <c r="AB73" s="930"/>
      <c r="AC73" s="931">
        <f t="shared" si="18"/>
        <v>0</v>
      </c>
      <c r="AD73" s="931">
        <f t="shared" si="12"/>
        <v>0</v>
      </c>
      <c r="AE73" s="931">
        <f t="shared" si="19"/>
        <v>-2.004606400024565E-2</v>
      </c>
      <c r="AF73" s="931">
        <f t="shared" si="20"/>
        <v>2.004606400024565E-2</v>
      </c>
      <c r="AG73" s="932" t="e">
        <f t="shared" ref="AG73:AG100" si="21">AG72+AF73</f>
        <v>#REF!</v>
      </c>
      <c r="AH73" s="843"/>
      <c r="AI73" s="843"/>
      <c r="AJ73" s="843"/>
    </row>
    <row r="74" spans="2:36" x14ac:dyDescent="0.2">
      <c r="C74" s="933">
        <f t="shared" si="13"/>
        <v>43712</v>
      </c>
      <c r="D74" s="919">
        <f t="shared" si="14"/>
        <v>153350.92387096773</v>
      </c>
      <c r="E74" s="920">
        <f t="shared" si="15"/>
        <v>14421.080258064516</v>
      </c>
      <c r="F74" s="934">
        <f t="shared" si="6"/>
        <v>180203.68281299999</v>
      </c>
      <c r="G74" s="935">
        <f t="shared" si="16"/>
        <v>1.0163853</v>
      </c>
      <c r="H74" s="923">
        <f t="shared" si="7"/>
        <v>183.15639999999999</v>
      </c>
      <c r="I74" s="924">
        <f t="shared" si="8"/>
        <v>348159.85972733225</v>
      </c>
      <c r="J74" s="925"/>
      <c r="K74" s="926"/>
      <c r="L74" s="926"/>
      <c r="M74" s="984"/>
      <c r="N74" s="2040">
        <v>23285.6506328619</v>
      </c>
      <c r="O74" s="2047">
        <v>71598.382813000004</v>
      </c>
      <c r="P74" s="2047">
        <v>108605.3</v>
      </c>
      <c r="Q74" s="2094">
        <v>0</v>
      </c>
      <c r="R74" s="2046"/>
      <c r="S74" s="2045">
        <f t="shared" si="17"/>
        <v>23285.6506328619</v>
      </c>
      <c r="T74" s="2047">
        <v>71598.383000000002</v>
      </c>
      <c r="U74" s="2045">
        <f t="shared" si="9"/>
        <v>-1.8699999782256782E-4</v>
      </c>
      <c r="V74" s="2050">
        <v>71051.375</v>
      </c>
      <c r="W74" s="2050">
        <v>37553.93</v>
      </c>
      <c r="X74" s="2042">
        <f t="shared" si="10"/>
        <v>-4.9999999901046976E-3</v>
      </c>
      <c r="Y74" s="2049">
        <v>0</v>
      </c>
      <c r="Z74" s="2051">
        <f t="shared" si="11"/>
        <v>0</v>
      </c>
      <c r="AA74" s="929"/>
      <c r="AB74" s="930"/>
      <c r="AC74" s="931">
        <f t="shared" si="18"/>
        <v>0</v>
      </c>
      <c r="AD74" s="931">
        <f t="shared" si="12"/>
        <v>0</v>
      </c>
      <c r="AE74" s="931">
        <f t="shared" si="19"/>
        <v>-5.2752799895599018E-3</v>
      </c>
      <c r="AF74" s="931">
        <f t="shared" si="20"/>
        <v>5.2752799895599018E-3</v>
      </c>
      <c r="AG74" s="932" t="e">
        <f t="shared" si="21"/>
        <v>#REF!</v>
      </c>
      <c r="AH74" s="843"/>
      <c r="AI74" s="843"/>
      <c r="AJ74" s="843"/>
    </row>
    <row r="75" spans="2:36" x14ac:dyDescent="0.2">
      <c r="C75" s="933">
        <f t="shared" si="13"/>
        <v>43713</v>
      </c>
      <c r="D75" s="919">
        <f t="shared" si="14"/>
        <v>153350.92387096773</v>
      </c>
      <c r="E75" s="920">
        <f t="shared" si="15"/>
        <v>14421.080258064516</v>
      </c>
      <c r="F75" s="934">
        <f t="shared" si="6"/>
        <v>180126.47468799999</v>
      </c>
      <c r="G75" s="935">
        <f t="shared" si="16"/>
        <v>1.0163853</v>
      </c>
      <c r="H75" s="923">
        <f t="shared" si="7"/>
        <v>183.0779</v>
      </c>
      <c r="I75" s="924">
        <f t="shared" si="8"/>
        <v>348082.57310233224</v>
      </c>
      <c r="J75" s="925"/>
      <c r="K75" s="926"/>
      <c r="L75" s="926"/>
      <c r="M75" s="984"/>
      <c r="N75" s="2040">
        <v>23417.024618062402</v>
      </c>
      <c r="O75" s="2041">
        <v>71807.054688000004</v>
      </c>
      <c r="P75" s="2041">
        <v>108319.42</v>
      </c>
      <c r="Q75" s="2094">
        <v>0</v>
      </c>
      <c r="R75" s="2040"/>
      <c r="S75" s="2045">
        <f t="shared" si="17"/>
        <v>23417.024618062402</v>
      </c>
      <c r="T75" s="2041">
        <v>71807.054000000004</v>
      </c>
      <c r="U75" s="2045">
        <f t="shared" si="9"/>
        <v>6.8800000008195639E-4</v>
      </c>
      <c r="V75" s="2050">
        <v>70845.710999999996</v>
      </c>
      <c r="W75" s="2050">
        <v>37473.72</v>
      </c>
      <c r="X75" s="2042">
        <f t="shared" si="10"/>
        <v>-1.0999999998603016E-2</v>
      </c>
      <c r="Y75" s="2049">
        <v>0</v>
      </c>
      <c r="Z75" s="2051">
        <f t="shared" si="11"/>
        <v>0</v>
      </c>
      <c r="AA75" s="929"/>
      <c r="AB75" s="930"/>
      <c r="AC75" s="931">
        <f t="shared" si="18"/>
        <v>0</v>
      </c>
      <c r="AD75" s="931">
        <f t="shared" si="12"/>
        <v>0</v>
      </c>
      <c r="AE75" s="931">
        <f t="shared" si="19"/>
        <v>-1.1605615998526103E-2</v>
      </c>
      <c r="AF75" s="931">
        <f t="shared" si="20"/>
        <v>1.1605615998526103E-2</v>
      </c>
      <c r="AG75" s="932" t="e">
        <f t="shared" si="21"/>
        <v>#REF!</v>
      </c>
      <c r="AH75" s="843"/>
      <c r="AI75" s="843"/>
      <c r="AJ75" s="843"/>
    </row>
    <row r="76" spans="2:36" x14ac:dyDescent="0.2">
      <c r="C76" s="933">
        <f t="shared" si="13"/>
        <v>43714</v>
      </c>
      <c r="D76" s="919">
        <f t="shared" si="14"/>
        <v>153350.92387096773</v>
      </c>
      <c r="E76" s="920">
        <f t="shared" si="15"/>
        <v>14421.080258064516</v>
      </c>
      <c r="F76" s="934">
        <f t="shared" si="6"/>
        <v>179816.509063</v>
      </c>
      <c r="G76" s="935">
        <f t="shared" si="16"/>
        <v>1.0163853</v>
      </c>
      <c r="H76" s="923">
        <f t="shared" si="7"/>
        <v>182.7629</v>
      </c>
      <c r="I76" s="924">
        <f t="shared" si="8"/>
        <v>347772.29247733223</v>
      </c>
      <c r="J76" s="925"/>
      <c r="K76" s="926"/>
      <c r="L76" s="926"/>
      <c r="M76" s="984"/>
      <c r="N76" s="2040">
        <v>23442.815190428297</v>
      </c>
      <c r="O76" s="2047">
        <v>71494.789063000004</v>
      </c>
      <c r="P76" s="2047">
        <v>108321.72</v>
      </c>
      <c r="Q76" s="2094">
        <v>0</v>
      </c>
      <c r="R76" s="2046"/>
      <c r="S76" s="2045">
        <f t="shared" si="17"/>
        <v>23442.815190428297</v>
      </c>
      <c r="T76" s="2047">
        <v>71494.789000000004</v>
      </c>
      <c r="U76" s="2045">
        <f t="shared" si="9"/>
        <v>6.2999999499879777E-5</v>
      </c>
      <c r="V76" s="2050">
        <v>70834.313999999998</v>
      </c>
      <c r="W76" s="2050">
        <v>37487.398999999998</v>
      </c>
      <c r="X76" s="2042">
        <f t="shared" si="10"/>
        <v>7.0000000123400241E-3</v>
      </c>
      <c r="Y76" s="2049">
        <v>0</v>
      </c>
      <c r="Z76" s="2051">
        <f t="shared" si="11"/>
        <v>0</v>
      </c>
      <c r="AA76" s="929"/>
      <c r="AB76" s="930"/>
      <c r="AC76" s="931">
        <f t="shared" si="18"/>
        <v>0</v>
      </c>
      <c r="AD76" s="931">
        <f t="shared" si="12"/>
        <v>0</v>
      </c>
      <c r="AE76" s="931">
        <f t="shared" si="19"/>
        <v>7.3853920130194164E-3</v>
      </c>
      <c r="AF76" s="931">
        <f t="shared" si="20"/>
        <v>-7.3853920130194164E-3</v>
      </c>
      <c r="AG76" s="932" t="e">
        <f t="shared" si="21"/>
        <v>#REF!</v>
      </c>
      <c r="AH76" s="843"/>
      <c r="AI76" s="843"/>
      <c r="AJ76" s="843"/>
    </row>
    <row r="77" spans="2:36" x14ac:dyDescent="0.2">
      <c r="C77" s="933">
        <f t="shared" si="13"/>
        <v>43715</v>
      </c>
      <c r="D77" s="919">
        <f t="shared" si="14"/>
        <v>153350.92387096773</v>
      </c>
      <c r="E77" s="920">
        <f t="shared" si="15"/>
        <v>14421.080258064516</v>
      </c>
      <c r="F77" s="934">
        <f t="shared" si="6"/>
        <v>180994.55562499998</v>
      </c>
      <c r="G77" s="935">
        <f t="shared" si="16"/>
        <v>1.0163853</v>
      </c>
      <c r="H77" s="923">
        <f t="shared" si="7"/>
        <v>183.96019999999999</v>
      </c>
      <c r="I77" s="924">
        <f t="shared" si="8"/>
        <v>348951.53633933223</v>
      </c>
      <c r="J77" s="925"/>
      <c r="K77" s="926"/>
      <c r="L77" s="926"/>
      <c r="M77" s="984"/>
      <c r="N77" s="2040">
        <v>23423.460199968296</v>
      </c>
      <c r="O77" s="2041">
        <v>72488.015625</v>
      </c>
      <c r="P77" s="2041">
        <v>108506.54</v>
      </c>
      <c r="Q77" s="2094">
        <v>0</v>
      </c>
      <c r="R77" s="2040"/>
      <c r="S77" s="2045">
        <f t="shared" si="17"/>
        <v>23423.460199968296</v>
      </c>
      <c r="T77" s="2041">
        <v>72488.016000000003</v>
      </c>
      <c r="U77" s="2045">
        <f t="shared" si="9"/>
        <v>-3.7500000325962901E-4</v>
      </c>
      <c r="V77" s="2050">
        <v>71019.456999999995</v>
      </c>
      <c r="W77" s="2050">
        <v>37487.11</v>
      </c>
      <c r="X77" s="2042">
        <f t="shared" si="10"/>
        <v>-2.7000000001862645E-2</v>
      </c>
      <c r="Y77" s="2049">
        <v>0</v>
      </c>
      <c r="Z77" s="2051">
        <f t="shared" si="11"/>
        <v>0</v>
      </c>
      <c r="AA77" s="929"/>
      <c r="AB77" s="930"/>
      <c r="AC77" s="931">
        <f t="shared" si="18"/>
        <v>0</v>
      </c>
      <c r="AD77" s="931">
        <f t="shared" si="12"/>
        <v>0</v>
      </c>
      <c r="AE77" s="931">
        <f t="shared" si="19"/>
        <v>-2.8486512001965194E-2</v>
      </c>
      <c r="AF77" s="931">
        <f t="shared" si="20"/>
        <v>2.8486512001965194E-2</v>
      </c>
      <c r="AG77" s="932" t="e">
        <f t="shared" si="21"/>
        <v>#REF!</v>
      </c>
      <c r="AH77" s="843"/>
      <c r="AI77" s="843"/>
      <c r="AJ77" s="843"/>
    </row>
    <row r="78" spans="2:36" x14ac:dyDescent="0.2">
      <c r="C78" s="933">
        <f t="shared" si="13"/>
        <v>43716</v>
      </c>
      <c r="D78" s="919">
        <f t="shared" si="14"/>
        <v>153350.92387096773</v>
      </c>
      <c r="E78" s="920">
        <f t="shared" si="15"/>
        <v>14421.080258064516</v>
      </c>
      <c r="F78" s="934">
        <f t="shared" si="6"/>
        <v>180615.52781300002</v>
      </c>
      <c r="G78" s="935">
        <f t="shared" si="16"/>
        <v>1.0163853</v>
      </c>
      <c r="H78" s="923">
        <f t="shared" si="7"/>
        <v>183.57499999999999</v>
      </c>
      <c r="I78" s="924">
        <f t="shared" si="8"/>
        <v>348572.12332733232</v>
      </c>
      <c r="J78" s="925"/>
      <c r="K78" s="926"/>
      <c r="L78" s="926"/>
      <c r="M78" s="984"/>
      <c r="N78" s="2040">
        <v>22953.628428183998</v>
      </c>
      <c r="O78" s="2047">
        <v>72073.257813000004</v>
      </c>
      <c r="P78" s="2047">
        <v>108542.27</v>
      </c>
      <c r="Q78" s="2094">
        <v>0</v>
      </c>
      <c r="R78" s="2046"/>
      <c r="S78" s="2045">
        <f t="shared" si="17"/>
        <v>22953.628428183998</v>
      </c>
      <c r="T78" s="2047">
        <v>72073.258000000002</v>
      </c>
      <c r="U78" s="2045">
        <f t="shared" si="9"/>
        <v>-1.8699999782256782E-4</v>
      </c>
      <c r="V78" s="2050">
        <v>71028.865999999995</v>
      </c>
      <c r="W78" s="2050">
        <v>37513.4</v>
      </c>
      <c r="X78" s="2042">
        <f t="shared" si="10"/>
        <v>4.0000000008149073E-3</v>
      </c>
      <c r="Y78" s="2049">
        <v>0</v>
      </c>
      <c r="Z78" s="2051">
        <f t="shared" si="11"/>
        <v>0</v>
      </c>
      <c r="AA78" s="929"/>
      <c r="AB78" s="930"/>
      <c r="AC78" s="931">
        <f t="shared" si="18"/>
        <v>0</v>
      </c>
      <c r="AD78" s="931">
        <f t="shared" si="12"/>
        <v>0</v>
      </c>
      <c r="AE78" s="931">
        <f t="shared" si="19"/>
        <v>4.220224000859773E-3</v>
      </c>
      <c r="AF78" s="931">
        <f t="shared" si="20"/>
        <v>-4.220224000859773E-3</v>
      </c>
      <c r="AG78" s="932" t="e">
        <f t="shared" si="21"/>
        <v>#REF!</v>
      </c>
    </row>
    <row r="79" spans="2:36" x14ac:dyDescent="0.2">
      <c r="C79" s="933">
        <f t="shared" si="13"/>
        <v>43717</v>
      </c>
      <c r="D79" s="919">
        <f t="shared" si="14"/>
        <v>153350.92387096773</v>
      </c>
      <c r="E79" s="920">
        <f t="shared" si="15"/>
        <v>14421.080258064516</v>
      </c>
      <c r="F79" s="934">
        <f t="shared" si="6"/>
        <v>181424.99031299999</v>
      </c>
      <c r="G79" s="935">
        <f t="shared" si="16"/>
        <v>1.0163853</v>
      </c>
      <c r="H79" s="923">
        <f t="shared" si="7"/>
        <v>184.39769999999999</v>
      </c>
      <c r="I79" s="924">
        <f t="shared" si="8"/>
        <v>349382.40852733224</v>
      </c>
      <c r="J79" s="925"/>
      <c r="K79" s="926"/>
      <c r="L79" s="926"/>
      <c r="M79" s="984"/>
      <c r="N79" s="2040">
        <v>12658.4002211401</v>
      </c>
      <c r="O79" s="2041">
        <v>71918.320313000004</v>
      </c>
      <c r="P79" s="2041">
        <v>109506.67</v>
      </c>
      <c r="Q79" s="2094">
        <v>0</v>
      </c>
      <c r="R79" s="2040"/>
      <c r="S79" s="2045">
        <f t="shared" si="17"/>
        <v>12658.4002211401</v>
      </c>
      <c r="T79" s="2041">
        <v>71918.3</v>
      </c>
      <c r="U79" s="2045">
        <f t="shared" si="9"/>
        <v>2.0313000000896864E-2</v>
      </c>
      <c r="V79" s="2050">
        <v>72239.739000000001</v>
      </c>
      <c r="W79" s="2050">
        <v>37266.925000000003</v>
      </c>
      <c r="X79" s="2042">
        <f t="shared" si="10"/>
        <v>5.9999999939464033E-3</v>
      </c>
      <c r="Y79" s="2049">
        <v>0</v>
      </c>
      <c r="Z79" s="2051">
        <f t="shared" si="11"/>
        <v>0</v>
      </c>
      <c r="AA79" s="929"/>
      <c r="AB79" s="930"/>
      <c r="AC79" s="931">
        <f t="shared" si="18"/>
        <v>0</v>
      </c>
      <c r="AD79" s="931">
        <f t="shared" si="12"/>
        <v>0</v>
      </c>
      <c r="AE79" s="931">
        <f t="shared" si="19"/>
        <v>6.3303359936131166E-3</v>
      </c>
      <c r="AF79" s="931">
        <f t="shared" si="20"/>
        <v>-6.3303359936131166E-3</v>
      </c>
      <c r="AG79" s="932" t="e">
        <f t="shared" si="21"/>
        <v>#REF!</v>
      </c>
    </row>
    <row r="80" spans="2:36" x14ac:dyDescent="0.2">
      <c r="C80" s="933">
        <f t="shared" si="13"/>
        <v>43718</v>
      </c>
      <c r="D80" s="919">
        <f t="shared" si="14"/>
        <v>153350.92387096773</v>
      </c>
      <c r="E80" s="920">
        <f t="shared" si="15"/>
        <v>14421.080258064516</v>
      </c>
      <c r="F80" s="934">
        <f t="shared" si="6"/>
        <v>187126.17499999999</v>
      </c>
      <c r="G80" s="935">
        <f t="shared" si="16"/>
        <v>1.0163853</v>
      </c>
      <c r="H80" s="923">
        <f t="shared" si="7"/>
        <v>190.19229999999999</v>
      </c>
      <c r="I80" s="924">
        <f t="shared" si="8"/>
        <v>355089.38781433227</v>
      </c>
      <c r="J80" s="925"/>
      <c r="K80" s="926"/>
      <c r="L80" s="926"/>
      <c r="M80" s="984"/>
      <c r="N80" s="2040">
        <v>18174.629972937601</v>
      </c>
      <c r="O80" s="2047">
        <v>71859.875</v>
      </c>
      <c r="P80" s="2047">
        <v>115266.3</v>
      </c>
      <c r="Q80" s="2094">
        <v>0</v>
      </c>
      <c r="R80" s="2046"/>
      <c r="S80" s="2045">
        <f t="shared" si="17"/>
        <v>18174.629972937601</v>
      </c>
      <c r="T80" s="2047">
        <v>71859.899999999994</v>
      </c>
      <c r="U80" s="2045">
        <f t="shared" si="9"/>
        <v>-2.4999999994179234E-2</v>
      </c>
      <c r="V80" s="2050">
        <v>78013.578999999998</v>
      </c>
      <c r="W80" s="2050">
        <v>37252.741999999998</v>
      </c>
      <c r="X80" s="2042">
        <f t="shared" si="10"/>
        <v>-2.0999999993364327E-2</v>
      </c>
      <c r="Y80" s="2049">
        <v>0</v>
      </c>
      <c r="Z80" s="2051">
        <f t="shared" si="11"/>
        <v>0</v>
      </c>
      <c r="AA80" s="929"/>
      <c r="AB80" s="930"/>
      <c r="AC80" s="931">
        <f t="shared" si="18"/>
        <v>0</v>
      </c>
      <c r="AD80" s="931">
        <f t="shared" si="12"/>
        <v>0</v>
      </c>
      <c r="AE80" s="931">
        <f t="shared" si="19"/>
        <v>-2.2156175992998992E-2</v>
      </c>
      <c r="AF80" s="931">
        <f t="shared" si="20"/>
        <v>2.2156175992998992E-2</v>
      </c>
      <c r="AG80" s="932" t="e">
        <f t="shared" si="21"/>
        <v>#REF!</v>
      </c>
    </row>
    <row r="81" spans="3:36" x14ac:dyDescent="0.2">
      <c r="C81" s="933">
        <f t="shared" si="13"/>
        <v>43719</v>
      </c>
      <c r="D81" s="919">
        <f t="shared" si="14"/>
        <v>153350.92387096773</v>
      </c>
      <c r="E81" s="920">
        <f t="shared" si="15"/>
        <v>14421.080258064516</v>
      </c>
      <c r="F81" s="934">
        <f t="shared" si="6"/>
        <v>183997.328438</v>
      </c>
      <c r="G81" s="935">
        <f t="shared" si="16"/>
        <v>1.0163853</v>
      </c>
      <c r="H81" s="923">
        <f t="shared" si="7"/>
        <v>187.01220000000001</v>
      </c>
      <c r="I81" s="924">
        <f t="shared" si="8"/>
        <v>351957.36115233228</v>
      </c>
      <c r="J81" s="925"/>
      <c r="K81" s="926"/>
      <c r="L81" s="926"/>
      <c r="M81" s="984"/>
      <c r="N81" s="2040">
        <v>19704.972992584</v>
      </c>
      <c r="O81" s="2041">
        <v>71640.648438000004</v>
      </c>
      <c r="P81" s="2041">
        <v>112356.68</v>
      </c>
      <c r="Q81" s="2094">
        <v>0</v>
      </c>
      <c r="R81" s="2040"/>
      <c r="S81" s="2045">
        <f t="shared" si="17"/>
        <v>19704.972992584</v>
      </c>
      <c r="T81" s="2041">
        <v>71640.648000000001</v>
      </c>
      <c r="U81" s="2045">
        <f t="shared" si="9"/>
        <v>4.3800000275950879E-4</v>
      </c>
      <c r="V81" s="2050">
        <v>74861.983999999997</v>
      </c>
      <c r="W81" s="2050">
        <v>37494.686000000002</v>
      </c>
      <c r="X81" s="2042">
        <f t="shared" si="10"/>
        <v>9.9999999947613105E-3</v>
      </c>
      <c r="Y81" s="2049">
        <v>0</v>
      </c>
      <c r="Z81" s="2051">
        <f t="shared" si="11"/>
        <v>0</v>
      </c>
      <c r="AA81" s="929"/>
      <c r="AB81" s="930"/>
      <c r="AC81" s="931">
        <f t="shared" si="18"/>
        <v>0</v>
      </c>
      <c r="AD81" s="931">
        <f t="shared" si="12"/>
        <v>0</v>
      </c>
      <c r="AE81" s="931">
        <f t="shared" si="19"/>
        <v>1.0550559994472889E-2</v>
      </c>
      <c r="AF81" s="931">
        <f t="shared" si="20"/>
        <v>-1.0550559994472889E-2</v>
      </c>
      <c r="AG81" s="932" t="e">
        <f t="shared" si="21"/>
        <v>#REF!</v>
      </c>
    </row>
    <row r="82" spans="3:36" x14ac:dyDescent="0.2">
      <c r="C82" s="933">
        <f t="shared" si="13"/>
        <v>43720</v>
      </c>
      <c r="D82" s="919">
        <f t="shared" si="14"/>
        <v>153350.92387096773</v>
      </c>
      <c r="E82" s="920">
        <f t="shared" si="15"/>
        <v>14421.080258064516</v>
      </c>
      <c r="F82" s="934">
        <f t="shared" si="6"/>
        <v>185338.979375</v>
      </c>
      <c r="G82" s="935">
        <f t="shared" si="16"/>
        <v>1.0163853</v>
      </c>
      <c r="H82" s="923">
        <f t="shared" si="7"/>
        <v>188.3758</v>
      </c>
      <c r="I82" s="924">
        <f t="shared" si="8"/>
        <v>353300.37568933226</v>
      </c>
      <c r="J82" s="925"/>
      <c r="K82" s="926"/>
      <c r="L82" s="926"/>
      <c r="M82" s="984"/>
      <c r="N82" s="2040">
        <v>17747.521580062799</v>
      </c>
      <c r="O82" s="2047">
        <v>72011.359375</v>
      </c>
      <c r="P82" s="2047">
        <v>113327.62</v>
      </c>
      <c r="Q82" s="2094">
        <v>0</v>
      </c>
      <c r="R82" s="2046"/>
      <c r="S82" s="2045">
        <f t="shared" si="17"/>
        <v>17747.521580062799</v>
      </c>
      <c r="T82" s="2047">
        <v>72011.360000000001</v>
      </c>
      <c r="U82" s="2045">
        <f t="shared" si="9"/>
        <v>-6.2500000058207661E-4</v>
      </c>
      <c r="V82" s="2050">
        <v>75954.286999999997</v>
      </c>
      <c r="W82" s="2050">
        <v>38136.476000000002</v>
      </c>
      <c r="X82" s="2042">
        <f t="shared" si="10"/>
        <v>-763.14300000001094</v>
      </c>
      <c r="Y82" s="2049">
        <v>0</v>
      </c>
      <c r="Z82" s="2051">
        <f t="shared" si="11"/>
        <v>0</v>
      </c>
      <c r="AA82" s="929"/>
      <c r="AB82" s="930"/>
      <c r="AC82" s="931">
        <f t="shared" si="18"/>
        <v>0</v>
      </c>
      <c r="AD82" s="931">
        <f t="shared" si="12"/>
        <v>0</v>
      </c>
      <c r="AE82" s="931">
        <f t="shared" si="19"/>
        <v>-805.15860100801149</v>
      </c>
      <c r="AF82" s="931">
        <f t="shared" si="20"/>
        <v>805.15860100801149</v>
      </c>
      <c r="AG82" s="932" t="e">
        <f t="shared" si="21"/>
        <v>#REF!</v>
      </c>
    </row>
    <row r="83" spans="3:36" x14ac:dyDescent="0.2">
      <c r="C83" s="933">
        <f t="shared" si="13"/>
        <v>43721</v>
      </c>
      <c r="D83" s="919">
        <f t="shared" si="14"/>
        <v>153350.92387096773</v>
      </c>
      <c r="E83" s="920">
        <f t="shared" si="15"/>
        <v>14421.080258064516</v>
      </c>
      <c r="F83" s="934">
        <f t="shared" si="6"/>
        <v>184919.74</v>
      </c>
      <c r="G83" s="935">
        <f t="shared" si="16"/>
        <v>1.0163853</v>
      </c>
      <c r="H83" s="923">
        <f t="shared" si="7"/>
        <v>187.94970000000001</v>
      </c>
      <c r="I83" s="924">
        <f t="shared" si="8"/>
        <v>352880.71021433227</v>
      </c>
      <c r="J83" s="925"/>
      <c r="K83" s="926"/>
      <c r="L83" s="926"/>
      <c r="M83" s="984"/>
      <c r="N83" s="2040">
        <v>22258.020224000004</v>
      </c>
      <c r="O83" s="2041">
        <v>73087.75</v>
      </c>
      <c r="P83" s="2041">
        <v>111831.99</v>
      </c>
      <c r="Q83" s="2094">
        <v>0</v>
      </c>
      <c r="R83" s="2040"/>
      <c r="S83" s="2045">
        <f t="shared" si="17"/>
        <v>22258.020224000004</v>
      </c>
      <c r="T83" s="2041">
        <v>73087.75</v>
      </c>
      <c r="U83" s="2045">
        <f t="shared" si="9"/>
        <v>0</v>
      </c>
      <c r="V83" s="2050">
        <v>70861.504000000001</v>
      </c>
      <c r="W83" s="2050">
        <v>40970.497000000003</v>
      </c>
      <c r="X83" s="2042">
        <f t="shared" si="10"/>
        <v>-1.0999999998603016E-2</v>
      </c>
      <c r="Y83" s="2049">
        <v>0</v>
      </c>
      <c r="Z83" s="2051">
        <f t="shared" si="11"/>
        <v>0</v>
      </c>
      <c r="AA83" s="929"/>
      <c r="AB83" s="930"/>
      <c r="AC83" s="931">
        <f t="shared" si="18"/>
        <v>0</v>
      </c>
      <c r="AD83" s="931">
        <f t="shared" si="12"/>
        <v>0</v>
      </c>
      <c r="AE83" s="931">
        <f t="shared" si="19"/>
        <v>-1.1605615998526103E-2</v>
      </c>
      <c r="AF83" s="931">
        <f t="shared" si="20"/>
        <v>1.1605615998526103E-2</v>
      </c>
      <c r="AG83" s="932" t="e">
        <f t="shared" si="21"/>
        <v>#REF!</v>
      </c>
    </row>
    <row r="84" spans="3:36" x14ac:dyDescent="0.2">
      <c r="C84" s="933">
        <f t="shared" si="13"/>
        <v>43722</v>
      </c>
      <c r="D84" s="919">
        <f t="shared" si="14"/>
        <v>153350.92387096773</v>
      </c>
      <c r="E84" s="920">
        <f t="shared" si="15"/>
        <v>14421.080258064516</v>
      </c>
      <c r="F84" s="934">
        <f t="shared" si="6"/>
        <v>185394.0275</v>
      </c>
      <c r="G84" s="935">
        <f t="shared" si="16"/>
        <v>1.0163853</v>
      </c>
      <c r="H84" s="923">
        <f t="shared" si="7"/>
        <v>188.43180000000001</v>
      </c>
      <c r="I84" s="924">
        <f t="shared" si="8"/>
        <v>353355.47981433227</v>
      </c>
      <c r="J84" s="925"/>
      <c r="K84" s="926"/>
      <c r="L84" s="926"/>
      <c r="M84" s="984"/>
      <c r="N84" s="2040">
        <v>23389.32149712</v>
      </c>
      <c r="O84" s="2047">
        <v>73107.1875</v>
      </c>
      <c r="P84" s="2047">
        <v>112286.84</v>
      </c>
      <c r="Q84" s="2094">
        <v>0</v>
      </c>
      <c r="R84" s="2046"/>
      <c r="S84" s="2045">
        <f t="shared" si="17"/>
        <v>23389.32149712</v>
      </c>
      <c r="T84" s="2047">
        <v>73107.187999999995</v>
      </c>
      <c r="U84" s="2045">
        <f t="shared" si="9"/>
        <v>-4.999999946448952E-4</v>
      </c>
      <c r="V84" s="2050">
        <v>74488.214000000007</v>
      </c>
      <c r="W84" s="2050">
        <v>38580.525999999998</v>
      </c>
      <c r="X84" s="2042">
        <f t="shared" si="10"/>
        <v>-781.90000000000873</v>
      </c>
      <c r="Y84" s="2049">
        <v>0</v>
      </c>
      <c r="Z84" s="2051">
        <f t="shared" si="11"/>
        <v>0</v>
      </c>
      <c r="AA84" s="929"/>
      <c r="AB84" s="930"/>
      <c r="AC84" s="931">
        <f t="shared" si="18"/>
        <v>0</v>
      </c>
      <c r="AD84" s="931">
        <f t="shared" si="12"/>
        <v>0</v>
      </c>
      <c r="AE84" s="931">
        <f t="shared" si="19"/>
        <v>-824.94828640000924</v>
      </c>
      <c r="AF84" s="931">
        <f t="shared" si="20"/>
        <v>824.94828640000924</v>
      </c>
      <c r="AG84" s="932" t="e">
        <f t="shared" si="21"/>
        <v>#REF!</v>
      </c>
    </row>
    <row r="85" spans="3:36" x14ac:dyDescent="0.2">
      <c r="C85" s="933">
        <f t="shared" si="13"/>
        <v>43723</v>
      </c>
      <c r="D85" s="919">
        <f t="shared" si="14"/>
        <v>153350.92387096773</v>
      </c>
      <c r="E85" s="920">
        <f t="shared" si="15"/>
        <v>14421.080258064516</v>
      </c>
      <c r="F85" s="934">
        <f t="shared" si="6"/>
        <v>180681.601563</v>
      </c>
      <c r="G85" s="935">
        <f t="shared" si="16"/>
        <v>1.0163853</v>
      </c>
      <c r="H85" s="923">
        <f t="shared" si="7"/>
        <v>183.6421</v>
      </c>
      <c r="I85" s="924">
        <f t="shared" si="8"/>
        <v>348638.26417733228</v>
      </c>
      <c r="J85" s="925"/>
      <c r="K85" s="926"/>
      <c r="L85" s="926"/>
      <c r="M85" s="984"/>
      <c r="N85" s="2040">
        <v>20283.954416639997</v>
      </c>
      <c r="O85" s="2041">
        <v>72787.601563000004</v>
      </c>
      <c r="P85" s="2041">
        <v>107894</v>
      </c>
      <c r="Q85" s="2094">
        <v>0</v>
      </c>
      <c r="R85" s="2040"/>
      <c r="S85" s="2045">
        <f t="shared" si="17"/>
        <v>20283.954416639997</v>
      </c>
      <c r="T85" s="2041">
        <v>72787.600000000006</v>
      </c>
      <c r="U85" s="2045">
        <f t="shared" si="9"/>
        <v>1.5629999979864806E-3</v>
      </c>
      <c r="V85" s="2050">
        <v>70272.202999999994</v>
      </c>
      <c r="W85" s="2050">
        <v>37621.796999999999</v>
      </c>
      <c r="X85" s="2042">
        <f t="shared" si="10"/>
        <v>0</v>
      </c>
      <c r="Y85" s="2049">
        <v>0</v>
      </c>
      <c r="Z85" s="2051">
        <f t="shared" si="11"/>
        <v>0</v>
      </c>
      <c r="AA85" s="929"/>
      <c r="AB85" s="930"/>
      <c r="AC85" s="931">
        <f t="shared" si="18"/>
        <v>0</v>
      </c>
      <c r="AD85" s="931">
        <f t="shared" si="12"/>
        <v>0</v>
      </c>
      <c r="AE85" s="931">
        <f t="shared" si="19"/>
        <v>0</v>
      </c>
      <c r="AF85" s="931">
        <f t="shared" si="20"/>
        <v>0</v>
      </c>
      <c r="AG85" s="932" t="e">
        <f t="shared" si="21"/>
        <v>#REF!</v>
      </c>
    </row>
    <row r="86" spans="3:36" x14ac:dyDescent="0.2">
      <c r="C86" s="933">
        <f t="shared" si="13"/>
        <v>43724</v>
      </c>
      <c r="D86" s="919">
        <f t="shared" si="14"/>
        <v>153350.92387096773</v>
      </c>
      <c r="E86" s="920">
        <f t="shared" si="15"/>
        <v>14421.080258064516</v>
      </c>
      <c r="F86" s="934">
        <f t="shared" si="6"/>
        <v>179293.11281299999</v>
      </c>
      <c r="G86" s="935">
        <f t="shared" si="16"/>
        <v>1.0163853</v>
      </c>
      <c r="H86" s="923">
        <f t="shared" si="7"/>
        <v>182.23089999999999</v>
      </c>
      <c r="I86" s="924">
        <f t="shared" si="8"/>
        <v>347248.36422733229</v>
      </c>
      <c r="J86" s="925"/>
      <c r="K86" s="926"/>
      <c r="L86" s="926"/>
      <c r="M86" s="984"/>
      <c r="N86" s="2040">
        <v>19917.738643487999</v>
      </c>
      <c r="O86" s="2047">
        <v>73597.132813000004</v>
      </c>
      <c r="P86" s="2047">
        <v>105695.98</v>
      </c>
      <c r="Q86" s="2094">
        <v>0</v>
      </c>
      <c r="R86" s="2046"/>
      <c r="S86" s="2045">
        <f t="shared" si="17"/>
        <v>19917.738643487999</v>
      </c>
      <c r="T86" s="2047">
        <v>73597.13</v>
      </c>
      <c r="U86" s="2045">
        <f t="shared" si="9"/>
        <v>2.8129999991506338E-3</v>
      </c>
      <c r="V86" s="2050">
        <v>69111.035999999993</v>
      </c>
      <c r="W86" s="2050">
        <v>36584.923999999999</v>
      </c>
      <c r="X86" s="2042">
        <f t="shared" si="10"/>
        <v>2.0000000004074536E-2</v>
      </c>
      <c r="Y86" s="2049">
        <v>0</v>
      </c>
      <c r="Z86" s="2051">
        <f t="shared" si="11"/>
        <v>0</v>
      </c>
      <c r="AA86" s="929"/>
      <c r="AB86" s="930"/>
      <c r="AC86" s="931">
        <f t="shared" si="18"/>
        <v>0</v>
      </c>
      <c r="AD86" s="931">
        <f t="shared" si="12"/>
        <v>0</v>
      </c>
      <c r="AE86" s="931">
        <f t="shared" si="19"/>
        <v>2.1101120004298864E-2</v>
      </c>
      <c r="AF86" s="931">
        <f t="shared" si="20"/>
        <v>-2.1101120004298864E-2</v>
      </c>
      <c r="AG86" s="932" t="e">
        <f t="shared" si="21"/>
        <v>#REF!</v>
      </c>
    </row>
    <row r="87" spans="3:36" x14ac:dyDescent="0.2">
      <c r="C87" s="933">
        <f t="shared" si="13"/>
        <v>43725</v>
      </c>
      <c r="D87" s="919">
        <f t="shared" si="14"/>
        <v>153350.92387096773</v>
      </c>
      <c r="E87" s="920">
        <f t="shared" si="15"/>
        <v>14421.080258064516</v>
      </c>
      <c r="F87" s="934">
        <f t="shared" si="6"/>
        <v>180269.09687499999</v>
      </c>
      <c r="G87" s="935">
        <f t="shared" si="16"/>
        <v>1.0163853</v>
      </c>
      <c r="H87" s="923">
        <f t="shared" si="7"/>
        <v>183.22290000000001</v>
      </c>
      <c r="I87" s="924">
        <f t="shared" si="8"/>
        <v>348225.34028933226</v>
      </c>
      <c r="J87" s="925"/>
      <c r="K87" s="926"/>
      <c r="L87" s="926"/>
      <c r="M87" s="984"/>
      <c r="N87" s="2040">
        <v>11615.899145047</v>
      </c>
      <c r="O87" s="2041">
        <v>72140.796875</v>
      </c>
      <c r="P87" s="2041">
        <v>108128.3</v>
      </c>
      <c r="Q87" s="2094">
        <v>0</v>
      </c>
      <c r="R87" s="2040"/>
      <c r="S87" s="2045">
        <f t="shared" si="17"/>
        <v>11615.899145047</v>
      </c>
      <c r="T87" s="2041">
        <v>72140.800000000003</v>
      </c>
      <c r="U87" s="2045">
        <f t="shared" si="9"/>
        <v>-3.125000002910383E-3</v>
      </c>
      <c r="V87" s="2050">
        <v>71245.400999999998</v>
      </c>
      <c r="W87" s="2050">
        <v>36882.906999999999</v>
      </c>
      <c r="X87" s="2042">
        <f t="shared" si="10"/>
        <v>-7.9999999870778993E-3</v>
      </c>
      <c r="Y87" s="2049">
        <v>0</v>
      </c>
      <c r="Z87" s="2051">
        <f t="shared" si="11"/>
        <v>0</v>
      </c>
      <c r="AA87" s="929"/>
      <c r="AB87" s="930"/>
      <c r="AC87" s="931">
        <f t="shared" si="18"/>
        <v>0</v>
      </c>
      <c r="AD87" s="931">
        <f t="shared" si="12"/>
        <v>0</v>
      </c>
      <c r="AE87" s="931">
        <f t="shared" si="19"/>
        <v>-8.4404479863664592E-3</v>
      </c>
      <c r="AF87" s="931">
        <f t="shared" si="20"/>
        <v>8.4404479863664592E-3</v>
      </c>
      <c r="AG87" s="932" t="e">
        <f t="shared" si="21"/>
        <v>#REF!</v>
      </c>
    </row>
    <row r="88" spans="3:36" x14ac:dyDescent="0.2">
      <c r="C88" s="933">
        <f t="shared" si="13"/>
        <v>43726</v>
      </c>
      <c r="D88" s="919">
        <f t="shared" si="14"/>
        <v>153350.92387096773</v>
      </c>
      <c r="E88" s="920">
        <f t="shared" si="15"/>
        <v>14421.080258064516</v>
      </c>
      <c r="F88" s="934">
        <f t="shared" si="6"/>
        <v>145274.96843800001</v>
      </c>
      <c r="G88" s="935">
        <f t="shared" si="16"/>
        <v>1.0163853</v>
      </c>
      <c r="H88" s="923">
        <f t="shared" si="7"/>
        <v>147.65530000000001</v>
      </c>
      <c r="I88" s="924">
        <f t="shared" si="8"/>
        <v>313195.64425233228</v>
      </c>
      <c r="J88" s="925"/>
      <c r="K88" s="926"/>
      <c r="L88" s="926"/>
      <c r="M88" s="984"/>
      <c r="N88" s="2040">
        <v>11761.022781585001</v>
      </c>
      <c r="O88" s="2047">
        <v>63246.398437999997</v>
      </c>
      <c r="P88" s="2047">
        <v>82028.570000000007</v>
      </c>
      <c r="Q88" s="2094">
        <v>0</v>
      </c>
      <c r="R88" s="2046"/>
      <c r="S88" s="2045">
        <f t="shared" si="17"/>
        <v>11761.022781585001</v>
      </c>
      <c r="T88" s="2047">
        <v>63246</v>
      </c>
      <c r="U88" s="2045">
        <f t="shared" si="9"/>
        <v>0.39843799999653129</v>
      </c>
      <c r="V88" s="2050">
        <v>51120.627999999997</v>
      </c>
      <c r="W88" s="2050">
        <v>30907.932000000001</v>
      </c>
      <c r="X88" s="2042">
        <f t="shared" si="10"/>
        <v>1.0000000009313226E-2</v>
      </c>
      <c r="Y88" s="2049">
        <v>0</v>
      </c>
      <c r="Z88" s="2051">
        <f t="shared" si="11"/>
        <v>0</v>
      </c>
      <c r="AA88" s="929"/>
      <c r="AB88" s="930"/>
      <c r="AC88" s="931">
        <f t="shared" si="18"/>
        <v>0</v>
      </c>
      <c r="AD88" s="931">
        <f t="shared" si="12"/>
        <v>0</v>
      </c>
      <c r="AE88" s="931">
        <f t="shared" si="19"/>
        <v>1.0550560009825974E-2</v>
      </c>
      <c r="AF88" s="931">
        <f t="shared" si="20"/>
        <v>-1.0550560009825974E-2</v>
      </c>
      <c r="AG88" s="932" t="e">
        <f t="shared" si="21"/>
        <v>#REF!</v>
      </c>
    </row>
    <row r="89" spans="3:36" x14ac:dyDescent="0.2">
      <c r="C89" s="933">
        <f t="shared" si="13"/>
        <v>43727</v>
      </c>
      <c r="D89" s="919">
        <f t="shared" si="14"/>
        <v>153350.92387096773</v>
      </c>
      <c r="E89" s="920">
        <f t="shared" si="15"/>
        <v>14421.080258064516</v>
      </c>
      <c r="F89" s="934">
        <f t="shared" si="6"/>
        <v>162624.176875</v>
      </c>
      <c r="G89" s="935">
        <f t="shared" si="16"/>
        <v>1.0163853</v>
      </c>
      <c r="H89" s="923">
        <f t="shared" si="7"/>
        <v>165.28880000000001</v>
      </c>
      <c r="I89" s="924">
        <f t="shared" si="8"/>
        <v>330562.48618933227</v>
      </c>
      <c r="J89" s="925"/>
      <c r="K89" s="926"/>
      <c r="L89" s="926"/>
      <c r="M89" s="984"/>
      <c r="N89" s="2040">
        <v>11714.186699567999</v>
      </c>
      <c r="O89" s="2041">
        <v>73158.796875</v>
      </c>
      <c r="P89" s="2041">
        <v>89465.38</v>
      </c>
      <c r="Q89" s="2094">
        <v>0</v>
      </c>
      <c r="R89" s="2040"/>
      <c r="S89" s="2045">
        <f t="shared" si="17"/>
        <v>11714.186699567999</v>
      </c>
      <c r="T89" s="2041">
        <v>73158.8</v>
      </c>
      <c r="U89" s="2045">
        <f t="shared" si="9"/>
        <v>-3.125000002910383E-3</v>
      </c>
      <c r="V89" s="2050">
        <v>55884.571000000004</v>
      </c>
      <c r="W89" s="2050">
        <v>33580.813999999998</v>
      </c>
      <c r="X89" s="2042">
        <f t="shared" si="10"/>
        <v>-5.0000000046566129E-3</v>
      </c>
      <c r="Y89" s="2049">
        <v>0</v>
      </c>
      <c r="Z89" s="2051">
        <f t="shared" si="11"/>
        <v>0</v>
      </c>
      <c r="AA89" s="929"/>
      <c r="AB89" s="930"/>
      <c r="AC89" s="931">
        <f t="shared" si="18"/>
        <v>0</v>
      </c>
      <c r="AD89" s="931">
        <f t="shared" si="12"/>
        <v>0</v>
      </c>
      <c r="AE89" s="931">
        <f t="shared" si="19"/>
        <v>-5.2752800049129869E-3</v>
      </c>
      <c r="AF89" s="931">
        <f t="shared" si="20"/>
        <v>5.2752800049129869E-3</v>
      </c>
      <c r="AG89" s="932" t="e">
        <f t="shared" si="21"/>
        <v>#REF!</v>
      </c>
    </row>
    <row r="90" spans="3:36" x14ac:dyDescent="0.2">
      <c r="C90" s="933">
        <f t="shared" si="13"/>
        <v>43728</v>
      </c>
      <c r="D90" s="919">
        <f t="shared" si="14"/>
        <v>153350.92387096773</v>
      </c>
      <c r="E90" s="920">
        <f t="shared" si="15"/>
        <v>14421.080258064516</v>
      </c>
      <c r="F90" s="934">
        <f t="shared" si="6"/>
        <v>186684.98249999998</v>
      </c>
      <c r="G90" s="935">
        <f t="shared" si="16"/>
        <v>1.0163853</v>
      </c>
      <c r="H90" s="923">
        <f t="shared" si="7"/>
        <v>189.7439</v>
      </c>
      <c r="I90" s="924">
        <f t="shared" si="8"/>
        <v>354647.74691433227</v>
      </c>
      <c r="J90" s="925"/>
      <c r="K90" s="926"/>
      <c r="L90" s="926"/>
      <c r="M90" s="984"/>
      <c r="N90" s="2040">
        <v>11769.747005664</v>
      </c>
      <c r="O90" s="2047">
        <v>72844.8125</v>
      </c>
      <c r="P90" s="2047">
        <v>113840.17</v>
      </c>
      <c r="Q90" s="2094">
        <v>0</v>
      </c>
      <c r="R90" s="2046"/>
      <c r="S90" s="2045">
        <f t="shared" si="17"/>
        <v>11769.747005664</v>
      </c>
      <c r="T90" s="2047">
        <v>72844.800000000003</v>
      </c>
      <c r="U90" s="2045">
        <f t="shared" si="9"/>
        <v>1.2499999997089617E-2</v>
      </c>
      <c r="V90" s="2050">
        <v>76044.05</v>
      </c>
      <c r="W90" s="2050">
        <v>37796.103999999999</v>
      </c>
      <c r="X90" s="2042">
        <f t="shared" si="10"/>
        <v>1.5999999988707714E-2</v>
      </c>
      <c r="Y90" s="2049">
        <v>0</v>
      </c>
      <c r="Z90" s="2051">
        <f t="shared" si="11"/>
        <v>0</v>
      </c>
      <c r="AA90" s="929"/>
      <c r="AB90" s="930"/>
      <c r="AC90" s="931">
        <f t="shared" si="18"/>
        <v>0</v>
      </c>
      <c r="AD90" s="931">
        <f t="shared" si="12"/>
        <v>0</v>
      </c>
      <c r="AE90" s="931">
        <f t="shared" si="19"/>
        <v>1.6880895988086005E-2</v>
      </c>
      <c r="AF90" s="931">
        <f t="shared" si="20"/>
        <v>-1.6880895988086005E-2</v>
      </c>
      <c r="AG90" s="932" t="e">
        <f t="shared" si="21"/>
        <v>#REF!</v>
      </c>
    </row>
    <row r="91" spans="3:36" x14ac:dyDescent="0.2">
      <c r="C91" s="933">
        <f t="shared" si="13"/>
        <v>43729</v>
      </c>
      <c r="D91" s="919">
        <f t="shared" si="14"/>
        <v>153350.92387096773</v>
      </c>
      <c r="E91" s="920">
        <f t="shared" si="15"/>
        <v>14421.080258064516</v>
      </c>
      <c r="F91" s="934">
        <f t="shared" si="6"/>
        <v>185873.83812500001</v>
      </c>
      <c r="G91" s="935">
        <f t="shared" si="16"/>
        <v>1.0163853</v>
      </c>
      <c r="H91" s="923">
        <f t="shared" si="7"/>
        <v>188.9194</v>
      </c>
      <c r="I91" s="924">
        <f t="shared" si="8"/>
        <v>353835.7780393323</v>
      </c>
      <c r="J91" s="925"/>
      <c r="K91" s="926"/>
      <c r="L91" s="926"/>
      <c r="M91" s="984"/>
      <c r="N91" s="2040">
        <v>11766.871056437998</v>
      </c>
      <c r="O91" s="2041">
        <v>72693.078125</v>
      </c>
      <c r="P91" s="2041">
        <v>113180.76</v>
      </c>
      <c r="Q91" s="2094">
        <v>0</v>
      </c>
      <c r="R91" s="2040"/>
      <c r="S91" s="2045">
        <f t="shared" si="17"/>
        <v>11766.871056437998</v>
      </c>
      <c r="T91" s="2041">
        <v>72693.100000000006</v>
      </c>
      <c r="U91" s="2045">
        <f t="shared" si="9"/>
        <v>-2.1875000005820766E-2</v>
      </c>
      <c r="V91" s="2050">
        <v>75415.338000000003</v>
      </c>
      <c r="W91" s="2050">
        <v>37765.436999999998</v>
      </c>
      <c r="X91" s="2042">
        <f t="shared" si="10"/>
        <v>-1.4999999999417923E-2</v>
      </c>
      <c r="Y91" s="2049">
        <v>0</v>
      </c>
      <c r="Z91" s="2051">
        <f t="shared" si="11"/>
        <v>0</v>
      </c>
      <c r="AA91" s="929"/>
      <c r="AB91" s="930"/>
      <c r="AC91" s="931">
        <f t="shared" si="18"/>
        <v>0</v>
      </c>
      <c r="AD91" s="931">
        <f t="shared" si="12"/>
        <v>0</v>
      </c>
      <c r="AE91" s="931">
        <f t="shared" si="19"/>
        <v>-1.5825839999385877E-2</v>
      </c>
      <c r="AF91" s="931">
        <f t="shared" si="20"/>
        <v>1.5825839999385877E-2</v>
      </c>
      <c r="AG91" s="932" t="e">
        <f t="shared" si="21"/>
        <v>#REF!</v>
      </c>
    </row>
    <row r="92" spans="3:36" x14ac:dyDescent="0.2">
      <c r="C92" s="933">
        <f t="shared" si="13"/>
        <v>43730</v>
      </c>
      <c r="D92" s="919">
        <f t="shared" si="14"/>
        <v>153350.92387096773</v>
      </c>
      <c r="E92" s="920">
        <f t="shared" si="15"/>
        <v>14421.080258064516</v>
      </c>
      <c r="F92" s="934">
        <f t="shared" si="6"/>
        <v>186190.88400000002</v>
      </c>
      <c r="G92" s="935">
        <f t="shared" si="16"/>
        <v>1.0163853</v>
      </c>
      <c r="H92" s="923">
        <f t="shared" si="7"/>
        <v>189.24170000000001</v>
      </c>
      <c r="I92" s="924">
        <f t="shared" si="8"/>
        <v>354153.14621433232</v>
      </c>
      <c r="J92" s="925"/>
      <c r="K92" s="926"/>
      <c r="L92" s="926"/>
      <c r="M92" s="984"/>
      <c r="N92" s="2040">
        <v>11785.151535827999</v>
      </c>
      <c r="O92" s="2047">
        <v>72615.054000000004</v>
      </c>
      <c r="P92" s="2047">
        <v>113575.83</v>
      </c>
      <c r="Q92" s="2094">
        <v>0</v>
      </c>
      <c r="R92" s="2046"/>
      <c r="S92" s="2045">
        <f t="shared" si="17"/>
        <v>11785.151535827999</v>
      </c>
      <c r="T92" s="2047">
        <v>72615.05</v>
      </c>
      <c r="U92" s="2045">
        <f t="shared" si="9"/>
        <v>4.0000000008149073E-3</v>
      </c>
      <c r="V92" s="2050">
        <v>75626.697</v>
      </c>
      <c r="W92" s="2050">
        <v>37949.108999999997</v>
      </c>
      <c r="X92" s="2042">
        <f t="shared" si="10"/>
        <v>2.4000000004889444E-2</v>
      </c>
      <c r="Y92" s="2049">
        <v>0</v>
      </c>
      <c r="Z92" s="2051">
        <f t="shared" si="11"/>
        <v>0</v>
      </c>
      <c r="AA92" s="929"/>
      <c r="AB92" s="930"/>
      <c r="AC92" s="931">
        <f t="shared" si="18"/>
        <v>0</v>
      </c>
      <c r="AD92" s="931">
        <f t="shared" si="12"/>
        <v>0</v>
      </c>
      <c r="AE92" s="931">
        <f t="shared" si="19"/>
        <v>2.5321344005158637E-2</v>
      </c>
      <c r="AF92" s="931">
        <f t="shared" si="20"/>
        <v>-2.5321344005158637E-2</v>
      </c>
      <c r="AG92" s="932" t="e">
        <f t="shared" si="21"/>
        <v>#REF!</v>
      </c>
    </row>
    <row r="93" spans="3:36" x14ac:dyDescent="0.2">
      <c r="C93" s="933">
        <f t="shared" si="13"/>
        <v>43731</v>
      </c>
      <c r="D93" s="919">
        <f t="shared" si="14"/>
        <v>153350.92387096773</v>
      </c>
      <c r="E93" s="920">
        <f t="shared" si="15"/>
        <v>14421.080258064516</v>
      </c>
      <c r="F93" s="934">
        <f t="shared" si="6"/>
        <v>185362.66187499999</v>
      </c>
      <c r="G93" s="935">
        <f t="shared" si="16"/>
        <v>1.0163853</v>
      </c>
      <c r="H93" s="923">
        <f t="shared" si="7"/>
        <v>188.3999</v>
      </c>
      <c r="I93" s="924">
        <f t="shared" si="8"/>
        <v>353324.08228933229</v>
      </c>
      <c r="J93" s="925"/>
      <c r="K93" s="926"/>
      <c r="L93" s="926"/>
      <c r="M93" s="984"/>
      <c r="N93" s="2040">
        <v>17196.018096602002</v>
      </c>
      <c r="O93" s="2041">
        <v>71833.171875</v>
      </c>
      <c r="P93" s="2041">
        <v>113529.49</v>
      </c>
      <c r="Q93" s="2094">
        <v>0</v>
      </c>
      <c r="R93" s="2040"/>
      <c r="S93" s="2045">
        <f t="shared" si="17"/>
        <v>17196.018096602002</v>
      </c>
      <c r="T93" s="2041">
        <v>71833.17</v>
      </c>
      <c r="U93" s="2045">
        <f t="shared" si="9"/>
        <v>1.8750000017462298E-3</v>
      </c>
      <c r="V93" s="2050">
        <v>75645.418000000005</v>
      </c>
      <c r="W93" s="2050">
        <v>37884.076000000001</v>
      </c>
      <c r="X93" s="2042">
        <f t="shared" si="10"/>
        <v>-4.0000000008149073E-3</v>
      </c>
      <c r="Y93" s="2049">
        <v>0</v>
      </c>
      <c r="Z93" s="2051">
        <f t="shared" si="11"/>
        <v>0</v>
      </c>
      <c r="AA93" s="929"/>
      <c r="AB93" s="930"/>
      <c r="AC93" s="931">
        <f t="shared" si="18"/>
        <v>0</v>
      </c>
      <c r="AD93" s="931">
        <f t="shared" si="12"/>
        <v>0</v>
      </c>
      <c r="AE93" s="931">
        <f t="shared" si="19"/>
        <v>-4.220224000859773E-3</v>
      </c>
      <c r="AF93" s="931">
        <f t="shared" si="20"/>
        <v>4.220224000859773E-3</v>
      </c>
      <c r="AG93" s="932" t="e">
        <f t="shared" si="21"/>
        <v>#REF!</v>
      </c>
    </row>
    <row r="94" spans="3:36" x14ac:dyDescent="0.2">
      <c r="C94" s="933">
        <f t="shared" si="13"/>
        <v>43732</v>
      </c>
      <c r="D94" s="919">
        <f t="shared" si="14"/>
        <v>153350.92387096773</v>
      </c>
      <c r="E94" s="920">
        <f t="shared" si="15"/>
        <v>14421.080258064516</v>
      </c>
      <c r="F94" s="934">
        <f t="shared" si="6"/>
        <v>176589.03593800002</v>
      </c>
      <c r="G94" s="935">
        <f t="shared" si="16"/>
        <v>1.0163853</v>
      </c>
      <c r="H94" s="923">
        <f t="shared" si="7"/>
        <v>179.48249999999999</v>
      </c>
      <c r="I94" s="924">
        <f t="shared" si="8"/>
        <v>344541.53895233228</v>
      </c>
      <c r="J94" s="925"/>
      <c r="K94" s="926"/>
      <c r="L94" s="926"/>
      <c r="M94" s="984"/>
      <c r="N94" s="2040">
        <v>18661.210839785999</v>
      </c>
      <c r="O94" s="2047">
        <v>71752.835938000004</v>
      </c>
      <c r="P94" s="2047">
        <v>104836.2</v>
      </c>
      <c r="Q94" s="2094">
        <v>0</v>
      </c>
      <c r="R94" s="2046"/>
      <c r="S94" s="2045">
        <f t="shared" si="17"/>
        <v>18661.210839785999</v>
      </c>
      <c r="T94" s="2047">
        <v>71752.84</v>
      </c>
      <c r="U94" s="2045">
        <f t="shared" si="9"/>
        <v>-4.0619999927002937E-3</v>
      </c>
      <c r="V94" s="2050">
        <v>68749.019</v>
      </c>
      <c r="W94" s="2050">
        <v>36087.163</v>
      </c>
      <c r="X94" s="2042">
        <f t="shared" si="10"/>
        <v>1.7999999996391125E-2</v>
      </c>
      <c r="Y94" s="2049">
        <v>0</v>
      </c>
      <c r="Z94" s="2051">
        <f t="shared" si="11"/>
        <v>0</v>
      </c>
      <c r="AA94" s="929"/>
      <c r="AB94" s="930"/>
      <c r="AC94" s="931">
        <f t="shared" si="18"/>
        <v>0</v>
      </c>
      <c r="AD94" s="931">
        <f t="shared" si="12"/>
        <v>0</v>
      </c>
      <c r="AE94" s="931">
        <f t="shared" si="19"/>
        <v>1.8991007996192435E-2</v>
      </c>
      <c r="AF94" s="931">
        <f t="shared" si="20"/>
        <v>-1.8991007996192435E-2</v>
      </c>
      <c r="AG94" s="932" t="e">
        <f t="shared" si="21"/>
        <v>#REF!</v>
      </c>
      <c r="AH94" s="843"/>
      <c r="AI94" s="843"/>
      <c r="AJ94" s="843"/>
    </row>
    <row r="95" spans="3:36" x14ac:dyDescent="0.2">
      <c r="C95" s="933">
        <f t="shared" si="13"/>
        <v>43733</v>
      </c>
      <c r="D95" s="919">
        <f t="shared" si="14"/>
        <v>153350.92387096773</v>
      </c>
      <c r="E95" s="920">
        <f t="shared" si="15"/>
        <v>14421.080258064516</v>
      </c>
      <c r="F95" s="934">
        <f t="shared" si="6"/>
        <v>168621.945313</v>
      </c>
      <c r="G95" s="935">
        <f t="shared" si="16"/>
        <v>1.0163853</v>
      </c>
      <c r="H95" s="923">
        <f t="shared" si="7"/>
        <v>171.38489999999999</v>
      </c>
      <c r="I95" s="924">
        <f t="shared" si="8"/>
        <v>336566.35072733229</v>
      </c>
      <c r="J95" s="925"/>
      <c r="K95" s="926"/>
      <c r="L95" s="926"/>
      <c r="M95" s="984"/>
      <c r="N95" s="2040">
        <v>23600.283056405999</v>
      </c>
      <c r="O95" s="2041">
        <v>71889.195313000004</v>
      </c>
      <c r="P95" s="2041">
        <v>96732.75</v>
      </c>
      <c r="Q95" s="2094">
        <v>0</v>
      </c>
      <c r="R95" s="2040"/>
      <c r="S95" s="2045">
        <f t="shared" si="17"/>
        <v>23600.283056405999</v>
      </c>
      <c r="T95" s="2041">
        <v>71889.2</v>
      </c>
      <c r="U95" s="2045">
        <f t="shared" si="9"/>
        <v>-4.6869999932823703E-3</v>
      </c>
      <c r="V95" s="2050">
        <v>63252.756999999998</v>
      </c>
      <c r="W95" s="2050">
        <v>33479.998</v>
      </c>
      <c r="X95" s="2042">
        <f t="shared" si="10"/>
        <v>-5.0000000046566129E-3</v>
      </c>
      <c r="Y95" s="2049">
        <v>0</v>
      </c>
      <c r="Z95" s="2051">
        <f t="shared" si="11"/>
        <v>0</v>
      </c>
      <c r="AA95" s="929"/>
      <c r="AB95" s="930"/>
      <c r="AC95" s="931">
        <f t="shared" si="18"/>
        <v>0</v>
      </c>
      <c r="AD95" s="931">
        <f t="shared" si="12"/>
        <v>0</v>
      </c>
      <c r="AE95" s="931">
        <f t="shared" si="19"/>
        <v>-5.2752800049129869E-3</v>
      </c>
      <c r="AF95" s="931">
        <f t="shared" si="20"/>
        <v>5.2752800049129869E-3</v>
      </c>
      <c r="AG95" s="932" t="e">
        <f t="shared" si="21"/>
        <v>#REF!</v>
      </c>
      <c r="AH95" s="843"/>
      <c r="AI95" s="843"/>
      <c r="AJ95" s="843"/>
    </row>
    <row r="96" spans="3:36" x14ac:dyDescent="0.2">
      <c r="C96" s="933">
        <f t="shared" si="13"/>
        <v>43734</v>
      </c>
      <c r="D96" s="919">
        <f t="shared" si="14"/>
        <v>153350.92387096773</v>
      </c>
      <c r="E96" s="920">
        <f t="shared" si="15"/>
        <v>14421.080258064516</v>
      </c>
      <c r="F96" s="934">
        <f t="shared" si="6"/>
        <v>185641.894688</v>
      </c>
      <c r="G96" s="935">
        <f t="shared" si="16"/>
        <v>1.0163853</v>
      </c>
      <c r="H96" s="923">
        <f t="shared" si="7"/>
        <v>188.68369999999999</v>
      </c>
      <c r="I96" s="924">
        <f t="shared" si="8"/>
        <v>353603.59890233225</v>
      </c>
      <c r="J96" s="925"/>
      <c r="K96" s="926"/>
      <c r="L96" s="926"/>
      <c r="M96" s="984"/>
      <c r="N96" s="2040">
        <v>23535.592549326</v>
      </c>
      <c r="O96" s="2047">
        <v>72052.304688000004</v>
      </c>
      <c r="P96" s="2047">
        <v>113589.59</v>
      </c>
      <c r="Q96" s="2094">
        <v>0</v>
      </c>
      <c r="R96" s="2046"/>
      <c r="S96" s="2045">
        <f t="shared" si="17"/>
        <v>23535.592549326</v>
      </c>
      <c r="T96" s="2047">
        <v>72052.304999999993</v>
      </c>
      <c r="U96" s="2045">
        <f t="shared" si="9"/>
        <v>-3.1199998920783401E-4</v>
      </c>
      <c r="V96" s="2050">
        <v>75990.126999999993</v>
      </c>
      <c r="W96" s="2050">
        <v>37599.446000000004</v>
      </c>
      <c r="X96" s="2042">
        <f t="shared" si="10"/>
        <v>1.6999999992549419E-2</v>
      </c>
      <c r="Y96" s="2049">
        <v>0</v>
      </c>
      <c r="Z96" s="2051">
        <f t="shared" si="11"/>
        <v>0</v>
      </c>
      <c r="AA96" s="929"/>
      <c r="AB96" s="930"/>
      <c r="AC96" s="931">
        <f t="shared" si="18"/>
        <v>0</v>
      </c>
      <c r="AD96" s="931">
        <f t="shared" si="12"/>
        <v>0</v>
      </c>
      <c r="AE96" s="931">
        <f t="shared" si="19"/>
        <v>1.793595199213922E-2</v>
      </c>
      <c r="AF96" s="931">
        <f t="shared" si="20"/>
        <v>-1.793595199213922E-2</v>
      </c>
      <c r="AG96" s="932" t="e">
        <f t="shared" si="21"/>
        <v>#REF!</v>
      </c>
      <c r="AH96" s="843"/>
      <c r="AI96" s="843"/>
      <c r="AJ96" s="843"/>
    </row>
    <row r="97" spans="2:42" x14ac:dyDescent="0.2">
      <c r="C97" s="933">
        <f t="shared" si="13"/>
        <v>43735</v>
      </c>
      <c r="D97" s="919">
        <f t="shared" si="14"/>
        <v>153350.92387096773</v>
      </c>
      <c r="E97" s="920">
        <f t="shared" si="15"/>
        <v>14421.080258064516</v>
      </c>
      <c r="F97" s="934">
        <f t="shared" si="6"/>
        <v>185617.35062500002</v>
      </c>
      <c r="G97" s="935">
        <f t="shared" si="16"/>
        <v>1.0163853</v>
      </c>
      <c r="H97" s="923">
        <f t="shared" si="7"/>
        <v>188.65870000000001</v>
      </c>
      <c r="I97" s="924">
        <f t="shared" si="8"/>
        <v>353579.02983933233</v>
      </c>
      <c r="J97" s="925"/>
      <c r="K97" s="926"/>
      <c r="L97" s="926"/>
      <c r="M97" s="984"/>
      <c r="N97" s="2040">
        <v>23732.096965437006</v>
      </c>
      <c r="O97" s="2041">
        <v>71955.890625</v>
      </c>
      <c r="P97" s="2041">
        <v>113661.46</v>
      </c>
      <c r="Q97" s="2094">
        <v>0</v>
      </c>
      <c r="R97" s="2040"/>
      <c r="S97" s="2045">
        <f t="shared" si="17"/>
        <v>23732.096965437006</v>
      </c>
      <c r="T97" s="2041">
        <v>71955.891000000003</v>
      </c>
      <c r="U97" s="2045">
        <f t="shared" si="9"/>
        <v>-3.7500000325962901E-4</v>
      </c>
      <c r="V97" s="2050">
        <v>75840.92</v>
      </c>
      <c r="W97" s="2050">
        <v>37820.542000000001</v>
      </c>
      <c r="X97" s="2042">
        <f t="shared" si="10"/>
        <v>-1.999999993131496E-3</v>
      </c>
      <c r="Y97" s="2049">
        <v>0</v>
      </c>
      <c r="Z97" s="2051">
        <f t="shared" si="11"/>
        <v>0</v>
      </c>
      <c r="AA97" s="929"/>
      <c r="AB97" s="930"/>
      <c r="AC97" s="931">
        <f t="shared" si="18"/>
        <v>0</v>
      </c>
      <c r="AD97" s="931">
        <f t="shared" si="12"/>
        <v>0</v>
      </c>
      <c r="AE97" s="931">
        <f t="shared" si="19"/>
        <v>-2.1101119927533435E-3</v>
      </c>
      <c r="AF97" s="931">
        <f t="shared" si="20"/>
        <v>2.1101119927533435E-3</v>
      </c>
      <c r="AG97" s="932" t="e">
        <f t="shared" si="21"/>
        <v>#REF!</v>
      </c>
      <c r="AH97" s="843"/>
      <c r="AI97" s="843"/>
      <c r="AJ97" s="843"/>
    </row>
    <row r="98" spans="2:42" x14ac:dyDescent="0.2">
      <c r="C98" s="933">
        <f t="shared" si="13"/>
        <v>43736</v>
      </c>
      <c r="D98" s="919">
        <f t="shared" si="14"/>
        <v>153350.92387096773</v>
      </c>
      <c r="E98" s="920">
        <f t="shared" si="15"/>
        <v>14421.080258064516</v>
      </c>
      <c r="F98" s="934">
        <f t="shared" si="6"/>
        <v>185217.5025</v>
      </c>
      <c r="G98" s="935">
        <f t="shared" si="16"/>
        <v>1.0163853</v>
      </c>
      <c r="H98" s="923">
        <f t="shared" si="7"/>
        <v>188.25229999999999</v>
      </c>
      <c r="I98" s="924">
        <f t="shared" si="8"/>
        <v>353178.77531433228</v>
      </c>
      <c r="J98" s="925"/>
      <c r="K98" s="926"/>
      <c r="L98" s="926"/>
      <c r="M98" s="984"/>
      <c r="N98" s="2040">
        <v>23735.509418334004</v>
      </c>
      <c r="O98" s="2047">
        <v>71411.8125</v>
      </c>
      <c r="P98" s="2047">
        <v>113805.69</v>
      </c>
      <c r="Q98" s="2094">
        <v>0</v>
      </c>
      <c r="R98" s="2046"/>
      <c r="S98" s="2045">
        <f t="shared" si="17"/>
        <v>23735.509418334004</v>
      </c>
      <c r="T98" s="2047">
        <v>71411.812000000005</v>
      </c>
      <c r="U98" s="2045">
        <f t="shared" si="9"/>
        <v>4.999999946448952E-4</v>
      </c>
      <c r="V98" s="2050">
        <v>75995.994999999995</v>
      </c>
      <c r="W98" s="2050">
        <v>37809.714999999997</v>
      </c>
      <c r="X98" s="2042">
        <f t="shared" si="10"/>
        <v>-1.9999999989522621E-2</v>
      </c>
      <c r="Y98" s="2049">
        <v>0</v>
      </c>
      <c r="Z98" s="2051">
        <f t="shared" si="11"/>
        <v>0</v>
      </c>
      <c r="AA98" s="929"/>
      <c r="AB98" s="930"/>
      <c r="AC98" s="931">
        <f t="shared" si="18"/>
        <v>0</v>
      </c>
      <c r="AD98" s="931">
        <f t="shared" si="12"/>
        <v>0</v>
      </c>
      <c r="AE98" s="931">
        <f t="shared" si="19"/>
        <v>-2.1101119988945777E-2</v>
      </c>
      <c r="AF98" s="931">
        <f t="shared" si="20"/>
        <v>2.1101119988945777E-2</v>
      </c>
      <c r="AG98" s="932" t="e">
        <f t="shared" si="21"/>
        <v>#REF!</v>
      </c>
      <c r="AH98" s="843"/>
      <c r="AI98" s="843"/>
      <c r="AJ98" s="843"/>
    </row>
    <row r="99" spans="2:42" x14ac:dyDescent="0.2">
      <c r="C99" s="933">
        <f t="shared" si="13"/>
        <v>43737</v>
      </c>
      <c r="D99" s="919">
        <f t="shared" si="14"/>
        <v>153350.92387096773</v>
      </c>
      <c r="E99" s="920">
        <f t="shared" si="15"/>
        <v>14421.080258064516</v>
      </c>
      <c r="F99" s="934">
        <f t="shared" si="6"/>
        <v>179627.073125</v>
      </c>
      <c r="G99" s="935">
        <f t="shared" si="16"/>
        <v>1.0163853</v>
      </c>
      <c r="H99" s="923">
        <f t="shared" si="7"/>
        <v>182.5703</v>
      </c>
      <c r="I99" s="924">
        <f t="shared" si="8"/>
        <v>347582.6639393323</v>
      </c>
      <c r="J99" s="925"/>
      <c r="K99" s="926"/>
      <c r="L99" s="926"/>
      <c r="M99" s="926"/>
      <c r="N99" s="2040">
        <v>22644.187516493996</v>
      </c>
      <c r="O99" s="2041">
        <v>71785.453125</v>
      </c>
      <c r="P99" s="2041">
        <v>107841.62</v>
      </c>
      <c r="Q99" s="2094">
        <v>0</v>
      </c>
      <c r="R99" s="2040"/>
      <c r="S99" s="2051">
        <f t="shared" si="17"/>
        <v>22644.187516493996</v>
      </c>
      <c r="T99" s="2041">
        <v>71785.452999999994</v>
      </c>
      <c r="U99" s="2051">
        <f t="shared" si="9"/>
        <v>1.2500000593718141E-4</v>
      </c>
      <c r="V99" s="2050">
        <v>70000.417000000001</v>
      </c>
      <c r="W99" s="2050">
        <v>37841.216999999997</v>
      </c>
      <c r="X99" s="2048">
        <f t="shared" si="10"/>
        <v>-1.3999999995576218E-2</v>
      </c>
      <c r="Y99" s="2049">
        <v>0</v>
      </c>
      <c r="Z99" s="2051">
        <f t="shared" si="11"/>
        <v>0</v>
      </c>
      <c r="AA99" s="929"/>
      <c r="AB99" s="930"/>
      <c r="AC99" s="931">
        <f t="shared" si="18"/>
        <v>0</v>
      </c>
      <c r="AD99" s="931">
        <f t="shared" si="12"/>
        <v>0</v>
      </c>
      <c r="AE99" s="931">
        <f t="shared" si="19"/>
        <v>-1.4770783995332663E-2</v>
      </c>
      <c r="AF99" s="931">
        <f t="shared" si="20"/>
        <v>1.4770783995332663E-2</v>
      </c>
      <c r="AG99" s="932" t="e">
        <f t="shared" si="21"/>
        <v>#REF!</v>
      </c>
      <c r="AH99" s="843"/>
      <c r="AI99" s="843"/>
      <c r="AJ99" s="843"/>
    </row>
    <row r="100" spans="2:42" x14ac:dyDescent="0.2">
      <c r="C100" s="933">
        <f t="shared" si="13"/>
        <v>43738</v>
      </c>
      <c r="D100" s="919">
        <f t="shared" si="14"/>
        <v>153350.92387096773</v>
      </c>
      <c r="E100" s="920">
        <f t="shared" si="15"/>
        <v>14421.080258064516</v>
      </c>
      <c r="F100" s="934">
        <f t="shared" si="6"/>
        <v>184719.344063</v>
      </c>
      <c r="G100" s="935">
        <f t="shared" si="16"/>
        <v>1.0163853</v>
      </c>
      <c r="H100" s="923">
        <f t="shared" si="7"/>
        <v>187.74600000000001</v>
      </c>
      <c r="I100" s="924">
        <f t="shared" si="8"/>
        <v>352680.11057733226</v>
      </c>
      <c r="J100" s="925"/>
      <c r="K100" s="926"/>
      <c r="L100" s="926"/>
      <c r="M100" s="926"/>
      <c r="N100" s="2040">
        <v>23202.809858206998</v>
      </c>
      <c r="O100" s="2041">
        <v>71595.914063000004</v>
      </c>
      <c r="P100" s="2041">
        <v>113123.43</v>
      </c>
      <c r="Q100" s="2094">
        <v>0</v>
      </c>
      <c r="R100" s="2040"/>
      <c r="S100" s="2051">
        <f t="shared" si="17"/>
        <v>23202.809858206998</v>
      </c>
      <c r="T100" s="2041">
        <v>71595.914000000004</v>
      </c>
      <c r="U100" s="2051">
        <f t="shared" si="9"/>
        <v>6.2999999499879777E-5</v>
      </c>
      <c r="V100" s="2050">
        <v>75382.153999999995</v>
      </c>
      <c r="W100" s="2050">
        <v>37741.279999999999</v>
      </c>
      <c r="X100" s="2048">
        <f t="shared" si="10"/>
        <v>-4.0000000008149073E-3</v>
      </c>
      <c r="Y100" s="2049">
        <v>0</v>
      </c>
      <c r="Z100" s="2051">
        <f t="shared" si="11"/>
        <v>0</v>
      </c>
      <c r="AA100" s="929"/>
      <c r="AB100" s="930"/>
      <c r="AC100" s="931">
        <f t="shared" si="18"/>
        <v>0</v>
      </c>
      <c r="AD100" s="931">
        <f t="shared" si="12"/>
        <v>0</v>
      </c>
      <c r="AE100" s="931">
        <f t="shared" si="19"/>
        <v>-4.220224000859773E-3</v>
      </c>
      <c r="AF100" s="931">
        <f t="shared" si="20"/>
        <v>4.220224000859773E-3</v>
      </c>
      <c r="AG100" s="932" t="e">
        <f t="shared" si="21"/>
        <v>#REF!</v>
      </c>
      <c r="AH100" s="843"/>
      <c r="AI100" s="843"/>
      <c r="AJ100" s="843"/>
    </row>
    <row r="101" spans="2:42" ht="13.5" thickBot="1" x14ac:dyDescent="0.25">
      <c r="C101" s="1783"/>
      <c r="D101" s="1784"/>
      <c r="E101" s="1785"/>
      <c r="F101" s="1786"/>
      <c r="G101" s="1787"/>
      <c r="H101" s="1788"/>
      <c r="I101" s="1789"/>
      <c r="J101" s="945"/>
      <c r="K101" s="946"/>
      <c r="L101" s="946"/>
      <c r="M101" s="946"/>
      <c r="N101" s="2052"/>
      <c r="O101" s="2053"/>
      <c r="P101" s="2053"/>
      <c r="Q101" s="2095"/>
      <c r="R101" s="2052"/>
      <c r="S101" s="2057"/>
      <c r="T101" s="2053"/>
      <c r="U101" s="2057"/>
      <c r="V101" s="2056"/>
      <c r="W101" s="2056"/>
      <c r="X101" s="2054"/>
      <c r="Y101" s="2055"/>
      <c r="Z101" s="2057"/>
      <c r="AA101" s="949"/>
      <c r="AB101" s="950"/>
      <c r="AC101" s="951"/>
      <c r="AD101" s="951"/>
      <c r="AE101" s="951"/>
      <c r="AF101" s="951"/>
      <c r="AG101" s="952"/>
      <c r="AH101" s="843"/>
      <c r="AI101" s="843"/>
      <c r="AJ101" s="843"/>
    </row>
    <row r="102" spans="2:42" ht="13.5" thickBot="1" x14ac:dyDescent="0.25">
      <c r="C102" s="953"/>
      <c r="D102" s="954">
        <f>SUM(D71:D101)</f>
        <v>4600527.716129032</v>
      </c>
      <c r="E102" s="954">
        <f>SUM(E71:E101)</f>
        <v>432632.40774193528</v>
      </c>
      <c r="F102" s="955">
        <f>SUM(F71:F101)</f>
        <v>5414039.0949450005</v>
      </c>
      <c r="G102" s="955"/>
      <c r="H102" s="956">
        <f t="shared" ref="H102:I102" si="22">SUM(H71:H101)</f>
        <v>5502.7497999999996</v>
      </c>
      <c r="I102" s="954">
        <f t="shared" si="22"/>
        <v>10452732.460174968</v>
      </c>
      <c r="J102" s="996">
        <f t="shared" ref="J102:Q102" si="23">SUM(J71:J101)</f>
        <v>0</v>
      </c>
      <c r="K102" s="996">
        <f t="shared" si="23"/>
        <v>0</v>
      </c>
      <c r="L102" s="996">
        <f t="shared" si="23"/>
        <v>0</v>
      </c>
      <c r="M102" s="996">
        <f t="shared" si="23"/>
        <v>0</v>
      </c>
      <c r="N102" s="1024">
        <f t="shared" si="23"/>
        <v>567693.27162977005</v>
      </c>
      <c r="O102" s="1024">
        <f t="shared" si="23"/>
        <v>2155818.7649450004</v>
      </c>
      <c r="P102" s="1024">
        <f t="shared" si="23"/>
        <v>3258220.33</v>
      </c>
      <c r="Q102" s="1024">
        <f t="shared" si="23"/>
        <v>0</v>
      </c>
      <c r="R102" s="1024"/>
      <c r="S102" s="1024"/>
      <c r="T102" s="1024">
        <f t="shared" ref="T102:AA102" si="24">SUM(T71:T101)</f>
        <v>2155818.3810000005</v>
      </c>
      <c r="U102" s="1024">
        <f t="shared" si="24"/>
        <v>0.38394500001595588</v>
      </c>
      <c r="V102" s="1024">
        <f t="shared" si="24"/>
        <v>2146034.2700000005</v>
      </c>
      <c r="W102" s="1024">
        <f t="shared" si="24"/>
        <v>1113731.1610000003</v>
      </c>
      <c r="X102" s="1024">
        <f t="shared" si="24"/>
        <v>-1545.1009999999806</v>
      </c>
      <c r="Y102" s="996">
        <f t="shared" si="24"/>
        <v>0</v>
      </c>
      <c r="Z102" s="996">
        <f t="shared" si="24"/>
        <v>0</v>
      </c>
      <c r="AA102" s="958">
        <f t="shared" si="24"/>
        <v>0</v>
      </c>
      <c r="AB102" s="829"/>
      <c r="AC102" s="959"/>
      <c r="AD102" s="960">
        <f>SUM(AD71:AD101)</f>
        <v>0</v>
      </c>
      <c r="AE102" s="960">
        <f>SUM(AE71:AE101)</f>
        <v>-1630.1680806559802</v>
      </c>
      <c r="AF102" s="960">
        <f>SUM(AF71:AF101)</f>
        <v>1630.1680806559802</v>
      </c>
      <c r="AG102" s="961" t="e">
        <f>#REF!</f>
        <v>#REF!</v>
      </c>
      <c r="AH102" s="843"/>
      <c r="AI102" s="843"/>
      <c r="AJ102" s="843"/>
      <c r="AP102" s="958" t="e">
        <f>#REF!</f>
        <v>#REF!</v>
      </c>
    </row>
    <row r="103" spans="2:42" ht="15" customHeight="1" thickBot="1" x14ac:dyDescent="0.25">
      <c r="B103" s="843"/>
      <c r="C103" s="843"/>
      <c r="D103" s="843"/>
      <c r="E103" s="843"/>
      <c r="F103" s="843"/>
      <c r="G103" s="843"/>
      <c r="H103" s="843"/>
      <c r="I103" s="843"/>
      <c r="J103" s="843"/>
      <c r="K103" s="843"/>
      <c r="L103" s="843"/>
      <c r="N103" s="829"/>
      <c r="O103" s="843"/>
      <c r="V103" s="997">
        <f>V102/(V102+W102)</f>
        <v>0.65834009085177025</v>
      </c>
      <c r="W103" s="998">
        <f>W102/(V102+W102)</f>
        <v>0.34165990914822975</v>
      </c>
      <c r="Z103" s="829"/>
      <c r="AA103" s="829"/>
      <c r="AB103" s="829"/>
      <c r="AC103" s="829"/>
      <c r="AD103" s="829"/>
      <c r="AE103" s="829"/>
      <c r="AF103" s="829"/>
      <c r="AH103" s="843"/>
      <c r="AI103" s="843"/>
      <c r="AJ103" s="843"/>
    </row>
    <row r="104" spans="2:42" ht="13.5" thickBot="1" x14ac:dyDescent="0.25">
      <c r="D104" s="1795" t="s">
        <v>155</v>
      </c>
      <c r="E104" s="1796" t="s">
        <v>156</v>
      </c>
      <c r="F104" s="1797" t="s">
        <v>112</v>
      </c>
      <c r="N104" s="829"/>
      <c r="P104" s="827"/>
      <c r="Z104" s="829"/>
      <c r="AA104" s="829"/>
      <c r="AB104" s="829"/>
      <c r="AG104" s="843"/>
    </row>
    <row r="105" spans="2:42" x14ac:dyDescent="0.2">
      <c r="D105" s="965"/>
      <c r="E105" s="1779">
        <f>D102</f>
        <v>4600527.716129032</v>
      </c>
      <c r="F105" s="1780">
        <f>D105-E105</f>
        <v>-4600527.716129032</v>
      </c>
      <c r="G105" s="968"/>
      <c r="H105" s="968"/>
      <c r="I105" s="968"/>
      <c r="P105" s="827"/>
      <c r="W105" s="1008">
        <f>1-V103-W103</f>
        <v>0</v>
      </c>
      <c r="Z105" s="829"/>
      <c r="AA105" s="829"/>
      <c r="AB105" s="829"/>
      <c r="AC105" s="829"/>
      <c r="AG105" s="843"/>
    </row>
    <row r="106" spans="2:42" x14ac:dyDescent="0.2">
      <c r="D106" s="965"/>
      <c r="E106" s="1779">
        <f>E102</f>
        <v>432632.40774193528</v>
      </c>
      <c r="F106" s="1780">
        <f>D106-E106</f>
        <v>-432632.40774193528</v>
      </c>
      <c r="G106" s="968"/>
      <c r="H106" s="968"/>
      <c r="I106" s="968"/>
      <c r="N106" s="829"/>
      <c r="O106" s="827"/>
      <c r="Z106" s="829"/>
    </row>
    <row r="107" spans="2:42" ht="13.5" thickBot="1" x14ac:dyDescent="0.25">
      <c r="D107" s="969"/>
      <c r="E107" s="1781">
        <f>ROUND(H102,2)</f>
        <v>5502.75</v>
      </c>
      <c r="F107" s="1782">
        <f>D107-E107</f>
        <v>-5502.75</v>
      </c>
      <c r="G107" s="968"/>
    </row>
    <row r="108" spans="2:42" x14ac:dyDescent="0.2">
      <c r="D108" s="968"/>
    </row>
  </sheetData>
  <mergeCells count="11">
    <mergeCell ref="C16:E16"/>
    <mergeCell ref="C3:M4"/>
    <mergeCell ref="C5:M5"/>
    <mergeCell ref="C6:M6"/>
    <mergeCell ref="C14:E14"/>
    <mergeCell ref="C15:E15"/>
    <mergeCell ref="N69:Q69"/>
    <mergeCell ref="R69:Z69"/>
    <mergeCell ref="AA69:AG69"/>
    <mergeCell ref="J69:M69"/>
    <mergeCell ref="C17:E17"/>
  </mergeCells>
  <conditionalFormatting sqref="R100">
    <cfRule type="cellIs" dxfId="27" priority="3" stopIfTrue="1" operator="equal">
      <formula>0</formula>
    </cfRule>
  </conditionalFormatting>
  <conditionalFormatting sqref="N71:N101">
    <cfRule type="cellIs" dxfId="26" priority="2" stopIfTrue="1" operator="equal">
      <formula>0</formula>
    </cfRule>
  </conditionalFormatting>
  <conditionalFormatting sqref="R71:R98">
    <cfRule type="cellIs" dxfId="25" priority="1" stopIfTrue="1" operator="equal">
      <formula>0</formula>
    </cfRule>
  </conditionalFormatting>
  <conditionalFormatting sqref="O71:P101">
    <cfRule type="cellIs" dxfId="24" priority="7" stopIfTrue="1" operator="equal">
      <formula>0</formula>
    </cfRule>
  </conditionalFormatting>
  <conditionalFormatting sqref="T71:T99 T101">
    <cfRule type="cellIs" dxfId="23" priority="6" stopIfTrue="1" operator="equal">
      <formula>0</formula>
    </cfRule>
  </conditionalFormatting>
  <conditionalFormatting sqref="T100">
    <cfRule type="cellIs" dxfId="22" priority="5" stopIfTrue="1" operator="equal">
      <formula>0</formula>
    </cfRule>
  </conditionalFormatting>
  <conditionalFormatting sqref="R99 R101">
    <cfRule type="cellIs" dxfId="21" priority="4" stopIfTrue="1" operator="equal">
      <formula>0</formula>
    </cfRule>
  </conditionalFormatting>
  <printOptions horizontalCentered="1"/>
  <pageMargins left="0.59055118110236227" right="0.39370078740157483" top="0" bottom="0" header="0" footer="0.51181102362204722"/>
  <pageSetup scale="42" orientation="landscape" r:id="rId1"/>
  <drawing r:id="rId2"/>
  <legacyDrawing r:id="rId3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2:AP108"/>
  <sheetViews>
    <sheetView topLeftCell="F35" workbookViewId="0">
      <selection activeCell="I42" sqref="I42"/>
    </sheetView>
  </sheetViews>
  <sheetFormatPr baseColWidth="10" defaultColWidth="11" defaultRowHeight="12.75" x14ac:dyDescent="0.2"/>
  <cols>
    <col min="1" max="1" width="11" style="829"/>
    <col min="2" max="2" width="3.875" style="829" bestFit="1" customWidth="1"/>
    <col min="3" max="3" width="16.125" style="829" customWidth="1"/>
    <col min="4" max="4" width="14" style="829" bestFit="1" customWidth="1"/>
    <col min="5" max="5" width="18.375" style="829" bestFit="1" customWidth="1"/>
    <col min="6" max="6" width="17.375" style="829" bestFit="1" customWidth="1"/>
    <col min="7" max="8" width="13.375" style="829" bestFit="1" customWidth="1"/>
    <col min="9" max="9" width="15.125" style="829" customWidth="1"/>
    <col min="10" max="10" width="20.5" style="829" customWidth="1"/>
    <col min="11" max="11" width="12.625" style="829" bestFit="1" customWidth="1"/>
    <col min="12" max="12" width="16" style="829" customWidth="1"/>
    <col min="13" max="13" width="15.125" style="829" bestFit="1" customWidth="1"/>
    <col min="14" max="14" width="16.125" style="827" bestFit="1" customWidth="1"/>
    <col min="15" max="15" width="11.375" style="829" bestFit="1" customWidth="1"/>
    <col min="16" max="16" width="11.125" style="829" bestFit="1" customWidth="1"/>
    <col min="17" max="17" width="12.625" style="829" bestFit="1" customWidth="1"/>
    <col min="18" max="18" width="10.875" style="829" customWidth="1"/>
    <col min="19" max="19" width="11.875" style="829" bestFit="1" customWidth="1"/>
    <col min="20" max="20" width="11.125" style="829" bestFit="1" customWidth="1"/>
    <col min="21" max="21" width="11.625" style="829" bestFit="1" customWidth="1"/>
    <col min="22" max="23" width="11.125" style="829" bestFit="1" customWidth="1"/>
    <col min="24" max="24" width="13.625" style="829" bestFit="1" customWidth="1"/>
    <col min="25" max="25" width="16.125" style="829" bestFit="1" customWidth="1"/>
    <col min="26" max="26" width="11.125" style="843" bestFit="1" customWidth="1"/>
    <col min="27" max="27" width="13" style="843" bestFit="1" customWidth="1"/>
    <col min="28" max="32" width="11" style="843"/>
    <col min="33" max="38" width="11" style="829"/>
    <col min="39" max="39" width="11.125" style="829" bestFit="1" customWidth="1"/>
    <col min="40" max="16384" width="11" style="829"/>
  </cols>
  <sheetData>
    <row r="2" spans="2:35" x14ac:dyDescent="0.2">
      <c r="B2" s="827"/>
      <c r="C2" s="828"/>
      <c r="D2" s="828"/>
      <c r="E2" s="828"/>
      <c r="F2" s="828"/>
      <c r="G2" s="828"/>
      <c r="H2" s="828"/>
      <c r="I2" s="828"/>
      <c r="J2" s="828"/>
      <c r="K2" s="828"/>
      <c r="L2" s="828"/>
      <c r="M2" s="828"/>
      <c r="N2" s="828"/>
      <c r="Z2" s="829"/>
      <c r="AA2" s="829"/>
      <c r="AB2" s="829"/>
      <c r="AC2" s="829"/>
      <c r="AD2" s="829"/>
      <c r="AE2" s="829"/>
      <c r="AF2" s="829"/>
    </row>
    <row r="3" spans="2:35" ht="15" customHeight="1" x14ac:dyDescent="0.2">
      <c r="B3" s="827"/>
      <c r="C3" s="2295"/>
      <c r="D3" s="2295"/>
      <c r="E3" s="2295"/>
      <c r="F3" s="2295"/>
      <c r="G3" s="2295"/>
      <c r="H3" s="2295"/>
      <c r="I3" s="2295"/>
      <c r="J3" s="2295"/>
      <c r="K3" s="2295"/>
      <c r="L3" s="2295"/>
      <c r="M3" s="2295"/>
      <c r="N3" s="828"/>
      <c r="Z3" s="829"/>
      <c r="AA3" s="829"/>
      <c r="AB3" s="829"/>
      <c r="AC3" s="829"/>
      <c r="AD3" s="829"/>
      <c r="AE3" s="829"/>
      <c r="AF3" s="829"/>
    </row>
    <row r="4" spans="2:35" ht="15" customHeight="1" x14ac:dyDescent="0.2">
      <c r="B4" s="827"/>
      <c r="C4" s="2295"/>
      <c r="D4" s="2295"/>
      <c r="E4" s="2295"/>
      <c r="F4" s="2295"/>
      <c r="G4" s="2295"/>
      <c r="H4" s="2295"/>
      <c r="I4" s="2295"/>
      <c r="J4" s="2295"/>
      <c r="K4" s="2295"/>
      <c r="L4" s="2295"/>
      <c r="M4" s="2295"/>
      <c r="N4" s="828"/>
      <c r="Z4" s="829"/>
      <c r="AA4" s="829"/>
      <c r="AB4" s="829"/>
      <c r="AC4" s="829"/>
      <c r="AD4" s="829"/>
      <c r="AE4" s="829"/>
      <c r="AF4" s="829"/>
    </row>
    <row r="5" spans="2:35" x14ac:dyDescent="0.2">
      <c r="B5" s="827"/>
      <c r="C5" s="2296"/>
      <c r="D5" s="2296"/>
      <c r="E5" s="2296"/>
      <c r="F5" s="2296"/>
      <c r="G5" s="2296"/>
      <c r="H5" s="2296"/>
      <c r="I5" s="2296"/>
      <c r="J5" s="2296"/>
      <c r="K5" s="2296"/>
      <c r="L5" s="2296"/>
      <c r="M5" s="2296"/>
      <c r="N5" s="828"/>
      <c r="Z5" s="829"/>
      <c r="AA5" s="829"/>
      <c r="AB5" s="829"/>
      <c r="AC5" s="829"/>
      <c r="AD5" s="829"/>
      <c r="AE5" s="829"/>
      <c r="AF5" s="829"/>
    </row>
    <row r="6" spans="2:35" x14ac:dyDescent="0.2">
      <c r="B6" s="827"/>
      <c r="C6" s="2296"/>
      <c r="D6" s="2296"/>
      <c r="E6" s="2296"/>
      <c r="F6" s="2296"/>
      <c r="G6" s="2296"/>
      <c r="H6" s="2296"/>
      <c r="I6" s="2296"/>
      <c r="J6" s="2296"/>
      <c r="K6" s="2296"/>
      <c r="L6" s="2296"/>
      <c r="M6" s="2296"/>
      <c r="N6" s="828"/>
      <c r="Z6" s="829"/>
      <c r="AA6" s="829"/>
      <c r="AB6" s="829"/>
      <c r="AC6" s="829"/>
      <c r="AD6" s="829"/>
      <c r="AE6" s="829"/>
      <c r="AF6" s="829"/>
    </row>
    <row r="7" spans="2:35" x14ac:dyDescent="0.2">
      <c r="B7" s="827"/>
      <c r="C7" s="830">
        <v>43101</v>
      </c>
      <c r="D7" s="830"/>
      <c r="E7" s="830"/>
      <c r="F7" s="830"/>
      <c r="G7" s="830"/>
      <c r="H7" s="830"/>
      <c r="I7" s="830"/>
      <c r="J7" s="830"/>
      <c r="K7" s="830"/>
      <c r="L7" s="830"/>
      <c r="M7" s="830"/>
      <c r="N7" s="830"/>
      <c r="O7" s="830"/>
      <c r="P7" s="830"/>
      <c r="Q7" s="830"/>
      <c r="R7" s="827"/>
      <c r="S7" s="827"/>
      <c r="T7" s="827"/>
      <c r="U7" s="827"/>
      <c r="V7" s="827"/>
      <c r="W7" s="827"/>
      <c r="X7" s="827"/>
      <c r="Y7" s="827"/>
      <c r="Z7" s="829"/>
      <c r="AA7" s="829"/>
      <c r="AB7" s="829"/>
      <c r="AC7" s="829"/>
      <c r="AD7" s="829"/>
      <c r="AE7" s="829"/>
      <c r="AF7" s="829"/>
    </row>
    <row r="8" spans="2:35" ht="19.5" customHeight="1" x14ac:dyDescent="0.2">
      <c r="B8" s="827"/>
      <c r="C8" s="1740"/>
      <c r="D8" s="1740"/>
      <c r="E8" s="1740"/>
      <c r="F8" s="1740"/>
      <c r="G8" s="1740"/>
      <c r="H8" s="1740"/>
      <c r="I8" s="1740"/>
      <c r="J8" s="1740"/>
      <c r="K8" s="1740"/>
      <c r="L8" s="1740"/>
      <c r="M8" s="828"/>
      <c r="N8" s="828"/>
      <c r="O8" s="827"/>
      <c r="P8" s="827"/>
      <c r="Q8" s="827"/>
      <c r="R8" s="827"/>
      <c r="S8" s="827"/>
      <c r="T8" s="827"/>
      <c r="U8" s="827"/>
      <c r="V8" s="827"/>
      <c r="W8" s="827"/>
      <c r="X8" s="827"/>
      <c r="Y8" s="827"/>
      <c r="Z8" s="829"/>
      <c r="AA8" s="829"/>
      <c r="AB8" s="829"/>
      <c r="AC8" s="829"/>
      <c r="AD8" s="829"/>
      <c r="AE8" s="829"/>
      <c r="AF8" s="829"/>
    </row>
    <row r="9" spans="2:35" ht="19.5" customHeight="1" x14ac:dyDescent="0.2">
      <c r="B9" s="827"/>
      <c r="C9" s="1740"/>
      <c r="D9" s="1740"/>
      <c r="E9" s="1740"/>
      <c r="F9" s="1740"/>
      <c r="G9" s="1740"/>
      <c r="H9" s="1740"/>
      <c r="I9" s="1740"/>
      <c r="J9" s="1740"/>
      <c r="K9" s="1740"/>
      <c r="L9" s="1740"/>
      <c r="M9" s="828"/>
      <c r="N9" s="828"/>
      <c r="O9" s="827"/>
      <c r="P9" s="827"/>
      <c r="Q9" s="827"/>
      <c r="R9" s="827"/>
      <c r="S9" s="827"/>
      <c r="T9" s="827"/>
      <c r="U9" s="827"/>
      <c r="V9" s="827"/>
      <c r="W9" s="827"/>
      <c r="X9" s="827"/>
      <c r="Y9" s="827"/>
      <c r="Z9" s="829"/>
      <c r="AA9" s="829"/>
      <c r="AB9" s="829"/>
      <c r="AC9" s="829"/>
      <c r="AD9" s="829"/>
      <c r="AE9" s="829"/>
      <c r="AF9" s="829"/>
    </row>
    <row r="10" spans="2:35" ht="19.5" customHeight="1" x14ac:dyDescent="0.2">
      <c r="B10" s="827"/>
      <c r="C10" s="1740"/>
      <c r="D10" s="1740"/>
      <c r="E10" s="1740"/>
      <c r="F10" s="1740"/>
      <c r="G10" s="1740"/>
      <c r="H10" s="1740"/>
      <c r="I10" s="1740"/>
      <c r="J10" s="1740"/>
      <c r="K10" s="1740"/>
      <c r="L10" s="1740"/>
      <c r="M10" s="828"/>
      <c r="N10" s="828"/>
      <c r="O10" s="827"/>
      <c r="P10" s="827"/>
      <c r="Q10" s="827"/>
      <c r="R10" s="827"/>
      <c r="S10" s="827"/>
      <c r="T10" s="827"/>
      <c r="U10" s="827"/>
      <c r="V10" s="827"/>
      <c r="W10" s="827"/>
      <c r="X10" s="827"/>
      <c r="Y10" s="827"/>
      <c r="Z10" s="829"/>
      <c r="AA10" s="829"/>
      <c r="AB10" s="829"/>
      <c r="AC10" s="829"/>
      <c r="AD10" s="829"/>
      <c r="AE10" s="829"/>
      <c r="AF10" s="829"/>
    </row>
    <row r="11" spans="2:35" ht="19.5" customHeight="1" x14ac:dyDescent="0.2">
      <c r="B11" s="827"/>
      <c r="C11" s="1740"/>
      <c r="D11" s="1740"/>
      <c r="E11" s="1740"/>
      <c r="F11" s="1740"/>
      <c r="G11" s="1740"/>
      <c r="H11" s="1740"/>
      <c r="I11" s="1740"/>
      <c r="J11" s="1740"/>
      <c r="K11" s="1740"/>
      <c r="L11" s="1740"/>
      <c r="M11" s="828"/>
      <c r="N11" s="828"/>
      <c r="O11" s="827"/>
      <c r="P11" s="827"/>
      <c r="Q11" s="827"/>
      <c r="R11" s="827"/>
      <c r="S11" s="827"/>
      <c r="T11" s="827"/>
      <c r="U11" s="827"/>
      <c r="V11" s="827"/>
      <c r="W11" s="827"/>
      <c r="X11" s="827"/>
      <c r="Y11" s="827"/>
      <c r="Z11" s="829"/>
      <c r="AA11" s="829"/>
      <c r="AB11" s="829"/>
      <c r="AC11" s="829"/>
      <c r="AD11" s="829"/>
      <c r="AE11" s="829"/>
      <c r="AF11" s="829"/>
    </row>
    <row r="12" spans="2:35" ht="19.5" customHeight="1" x14ac:dyDescent="0.2">
      <c r="B12" s="827"/>
      <c r="C12" s="1740"/>
      <c r="D12" s="1740"/>
      <c r="E12" s="1740"/>
      <c r="F12" s="1740"/>
      <c r="G12" s="1740"/>
      <c r="H12" s="1740"/>
      <c r="I12" s="1740"/>
      <c r="J12" s="1740"/>
      <c r="K12" s="1740"/>
      <c r="L12" s="1740"/>
      <c r="M12" s="828"/>
      <c r="N12" s="828"/>
      <c r="O12" s="827"/>
      <c r="P12" s="827"/>
      <c r="Q12" s="827"/>
      <c r="R12" s="827"/>
      <c r="S12" s="827"/>
      <c r="T12" s="827"/>
      <c r="U12" s="827"/>
      <c r="V12" s="827"/>
      <c r="W12" s="827"/>
      <c r="X12" s="827"/>
      <c r="Y12" s="827"/>
      <c r="Z12" s="829"/>
      <c r="AA12" s="829"/>
      <c r="AB12" s="829"/>
      <c r="AC12" s="829"/>
      <c r="AD12" s="829"/>
      <c r="AE12" s="829"/>
      <c r="AF12" s="829"/>
    </row>
    <row r="13" spans="2:35" ht="19.5" customHeight="1" thickBot="1" x14ac:dyDescent="0.25">
      <c r="B13" s="827"/>
      <c r="C13" s="1740"/>
      <c r="D13" s="1740"/>
      <c r="E13" s="1740"/>
      <c r="F13" s="1740"/>
      <c r="G13" s="1740"/>
      <c r="H13" s="1740"/>
      <c r="I13" s="1740"/>
      <c r="J13" s="1740"/>
      <c r="K13" s="1740"/>
      <c r="L13" s="1740"/>
      <c r="M13" s="828"/>
      <c r="N13" s="828"/>
      <c r="O13" s="827"/>
      <c r="P13" s="827"/>
      <c r="Q13" s="827"/>
      <c r="R13" s="827"/>
      <c r="S13" s="827"/>
      <c r="T13" s="827"/>
      <c r="U13" s="827"/>
      <c r="V13" s="827"/>
      <c r="W13" s="827"/>
      <c r="X13" s="827"/>
      <c r="Y13" s="827"/>
      <c r="Z13" s="829"/>
      <c r="AA13" s="829"/>
      <c r="AB13" s="829"/>
      <c r="AC13" s="829"/>
      <c r="AD13" s="829"/>
      <c r="AE13" s="829"/>
      <c r="AF13" s="829"/>
    </row>
    <row r="14" spans="2:35" ht="26.25" thickBot="1" x14ac:dyDescent="0.25">
      <c r="B14" s="827"/>
      <c r="C14" s="2333" t="s">
        <v>6</v>
      </c>
      <c r="D14" s="2334"/>
      <c r="E14" s="2335"/>
      <c r="F14" s="832" t="s">
        <v>227</v>
      </c>
      <c r="G14" s="832" t="s">
        <v>230</v>
      </c>
      <c r="H14" s="832" t="s">
        <v>228</v>
      </c>
      <c r="I14" s="832" t="s">
        <v>229</v>
      </c>
      <c r="J14" s="833" t="s">
        <v>126</v>
      </c>
      <c r="K14" s="833" t="s">
        <v>133</v>
      </c>
      <c r="L14" s="832" t="s">
        <v>127</v>
      </c>
      <c r="M14" s="834" t="s">
        <v>128</v>
      </c>
      <c r="N14" s="828"/>
      <c r="O14" s="827"/>
      <c r="P14" s="827"/>
      <c r="Q14" s="827"/>
      <c r="R14" s="827"/>
      <c r="S14" s="827"/>
      <c r="T14" s="827"/>
      <c r="U14" s="827"/>
      <c r="V14" s="827"/>
      <c r="W14" s="827"/>
      <c r="X14" s="827"/>
      <c r="Y14" s="827"/>
      <c r="Z14" s="829"/>
      <c r="AA14" s="829"/>
      <c r="AB14" s="829"/>
      <c r="AC14" s="829"/>
      <c r="AD14" s="829"/>
      <c r="AE14" s="829"/>
      <c r="AF14" s="829"/>
    </row>
    <row r="15" spans="2:35" ht="13.5" thickBot="1" x14ac:dyDescent="0.25">
      <c r="B15" s="827"/>
      <c r="C15" s="2329" t="s">
        <v>131</v>
      </c>
      <c r="D15" s="2330"/>
      <c r="E15" s="2331"/>
      <c r="F15" s="835"/>
      <c r="G15" s="836" t="s">
        <v>165</v>
      </c>
      <c r="H15" s="835"/>
      <c r="I15" s="837">
        <f>IF(D105=0,E105,D105)</f>
        <v>4753878.6399999997</v>
      </c>
      <c r="J15" s="835">
        <f>I15*0.16</f>
        <v>760620.58239999996</v>
      </c>
      <c r="K15" s="835">
        <f>I15+J15</f>
        <v>5514499.2223999994</v>
      </c>
      <c r="L15" s="838"/>
      <c r="M15" s="1774">
        <v>22</v>
      </c>
      <c r="O15" s="827"/>
      <c r="P15" s="827"/>
      <c r="Q15" s="827"/>
      <c r="R15" s="827"/>
      <c r="S15" s="827"/>
      <c r="T15" s="827"/>
      <c r="U15" s="827"/>
      <c r="V15" s="827"/>
      <c r="W15" s="827"/>
      <c r="X15" s="827"/>
      <c r="Y15" s="827"/>
      <c r="Z15" s="829"/>
      <c r="AA15" s="829"/>
      <c r="AB15" s="829"/>
      <c r="AC15" s="829"/>
      <c r="AD15" s="829"/>
      <c r="AE15" s="829"/>
      <c r="AF15" s="829"/>
    </row>
    <row r="16" spans="2:35" ht="13.5" thickBot="1" x14ac:dyDescent="0.25">
      <c r="B16" s="827"/>
      <c r="C16" s="2329" t="s">
        <v>275</v>
      </c>
      <c r="D16" s="2330"/>
      <c r="E16" s="2331"/>
      <c r="F16" s="840"/>
      <c r="G16" s="840"/>
      <c r="H16" s="840"/>
      <c r="I16" s="837">
        <f>IF(D106=0,E106,D106)</f>
        <v>447053.48799999978</v>
      </c>
      <c r="J16" s="841">
        <f>I16*0.16</f>
        <v>71528.558079999973</v>
      </c>
      <c r="K16" s="841">
        <f>I16+J16</f>
        <v>518582.04607999977</v>
      </c>
      <c r="L16" s="838"/>
      <c r="M16" s="1775">
        <v>22</v>
      </c>
      <c r="O16" s="827"/>
      <c r="P16" s="827"/>
      <c r="Q16" s="827"/>
      <c r="R16" s="827"/>
      <c r="S16" s="827"/>
      <c r="T16" s="827"/>
      <c r="U16" s="827"/>
      <c r="V16" s="827"/>
      <c r="W16" s="827"/>
      <c r="X16" s="827"/>
      <c r="Y16" s="827"/>
      <c r="Z16" s="827"/>
      <c r="AA16" s="827"/>
      <c r="AB16" s="827"/>
      <c r="AG16" s="843"/>
      <c r="AH16" s="843"/>
      <c r="AI16" s="843"/>
    </row>
    <row r="17" spans="2:33" ht="13.5" thickBot="1" x14ac:dyDescent="0.25">
      <c r="B17" s="827"/>
      <c r="C17" s="2326" t="s">
        <v>132</v>
      </c>
      <c r="D17" s="2327"/>
      <c r="E17" s="2328"/>
      <c r="F17" s="844"/>
      <c r="G17" s="845" t="s">
        <v>165</v>
      </c>
      <c r="H17" s="844"/>
      <c r="I17" s="846">
        <f>IF(D107=0,E107,D107)</f>
        <v>600.94000000000005</v>
      </c>
      <c r="J17" s="844">
        <f>I17*0.16</f>
        <v>96.150400000000005</v>
      </c>
      <c r="K17" s="844">
        <f>I17+J17</f>
        <v>697.09040000000005</v>
      </c>
      <c r="L17" s="847"/>
      <c r="M17" s="1776">
        <v>22</v>
      </c>
      <c r="O17" s="827"/>
      <c r="P17" s="827"/>
      <c r="Q17" s="827"/>
      <c r="R17" s="827"/>
      <c r="S17" s="827"/>
      <c r="T17" s="827"/>
      <c r="U17" s="827"/>
      <c r="V17" s="827"/>
      <c r="W17" s="827"/>
      <c r="X17" s="827"/>
      <c r="Y17" s="827"/>
      <c r="Z17" s="829"/>
      <c r="AA17" s="829"/>
      <c r="AB17" s="829"/>
      <c r="AC17" s="829"/>
      <c r="AD17" s="829"/>
      <c r="AE17" s="829"/>
      <c r="AF17" s="829"/>
    </row>
    <row r="18" spans="2:33" x14ac:dyDescent="0.2">
      <c r="B18" s="827"/>
      <c r="C18" s="1740"/>
      <c r="D18" s="1740"/>
      <c r="E18" s="1740"/>
      <c r="F18" s="1740"/>
      <c r="G18" s="1740"/>
      <c r="H18" s="827"/>
      <c r="I18" s="827"/>
      <c r="J18" s="827"/>
      <c r="K18" s="827"/>
      <c r="L18" s="827"/>
      <c r="M18" s="827"/>
      <c r="O18" s="827"/>
      <c r="P18" s="827"/>
      <c r="Q18" s="827"/>
      <c r="R18" s="827"/>
      <c r="S18" s="827"/>
      <c r="T18" s="827"/>
      <c r="U18" s="827"/>
      <c r="V18" s="827"/>
      <c r="W18" s="827"/>
      <c r="X18" s="827"/>
      <c r="Y18" s="827"/>
    </row>
    <row r="19" spans="2:33" x14ac:dyDescent="0.2">
      <c r="B19" s="827"/>
      <c r="C19" s="1740"/>
      <c r="D19" s="1740"/>
      <c r="E19" s="1740"/>
      <c r="F19" s="1740"/>
      <c r="G19" s="1740"/>
      <c r="H19" s="827"/>
      <c r="I19" s="827"/>
      <c r="J19" s="827"/>
      <c r="K19" s="827"/>
      <c r="L19" s="827">
        <f>K17*M17</f>
        <v>15335.988800000001</v>
      </c>
      <c r="O19" s="827"/>
      <c r="P19" s="827"/>
      <c r="Q19" s="827"/>
      <c r="R19" s="827"/>
      <c r="S19" s="827"/>
      <c r="T19" s="827"/>
      <c r="U19" s="827"/>
      <c r="V19" s="827"/>
      <c r="W19" s="827"/>
      <c r="X19" s="827"/>
      <c r="Y19" s="827"/>
    </row>
    <row r="20" spans="2:33" ht="13.5" thickBot="1" x14ac:dyDescent="0.25">
      <c r="B20" s="827"/>
      <c r="C20" s="849"/>
      <c r="D20" s="1740"/>
      <c r="E20" s="1740"/>
      <c r="F20" s="1740"/>
      <c r="G20" s="1740"/>
      <c r="H20" s="1740"/>
      <c r="I20" s="1740"/>
      <c r="J20" s="1740"/>
      <c r="K20" s="1740"/>
      <c r="L20" s="1740"/>
      <c r="M20" s="1740"/>
      <c r="N20" s="1740"/>
      <c r="O20" s="1740"/>
      <c r="P20" s="1740"/>
      <c r="Q20" s="1740"/>
      <c r="R20" s="827"/>
      <c r="S20" s="827"/>
      <c r="T20" s="827"/>
      <c r="U20" s="827"/>
      <c r="V20" s="827"/>
      <c r="W20" s="827"/>
      <c r="X20" s="827"/>
      <c r="Y20" s="827"/>
      <c r="Z20" s="827"/>
      <c r="AG20" s="843"/>
    </row>
    <row r="21" spans="2:33" ht="51.75" thickBot="1" x14ac:dyDescent="0.25">
      <c r="B21" s="827"/>
      <c r="C21" s="850" t="s">
        <v>134</v>
      </c>
      <c r="D21" s="832" t="s">
        <v>135</v>
      </c>
      <c r="E21" s="832" t="s">
        <v>285</v>
      </c>
      <c r="F21" s="832" t="s">
        <v>278</v>
      </c>
      <c r="G21" s="832" t="s">
        <v>153</v>
      </c>
      <c r="H21" s="832" t="s">
        <v>279</v>
      </c>
      <c r="I21" s="832" t="s">
        <v>281</v>
      </c>
      <c r="J21" s="832" t="s">
        <v>280</v>
      </c>
      <c r="K21" s="832" t="s">
        <v>245</v>
      </c>
      <c r="L21" s="832" t="s">
        <v>246</v>
      </c>
      <c r="M21" s="832"/>
      <c r="N21" s="834" t="s">
        <v>158</v>
      </c>
      <c r="O21" s="1740"/>
      <c r="P21" s="1740"/>
      <c r="Q21" s="1740"/>
      <c r="R21" s="1740"/>
      <c r="S21" s="1740"/>
      <c r="T21" s="1740"/>
      <c r="U21" s="1740"/>
      <c r="V21" s="827"/>
      <c r="W21" s="827"/>
      <c r="X21" s="827"/>
      <c r="Y21" s="827"/>
      <c r="Z21" s="827"/>
      <c r="AG21" s="843"/>
    </row>
    <row r="22" spans="2:33" ht="13.5" thickBot="1" x14ac:dyDescent="0.25">
      <c r="B22" s="827"/>
      <c r="C22" s="851">
        <v>850</v>
      </c>
      <c r="D22" s="1010">
        <v>850</v>
      </c>
      <c r="E22" s="852">
        <v>31482640</v>
      </c>
      <c r="F22" s="852">
        <v>31482640</v>
      </c>
      <c r="G22" s="852">
        <v>31</v>
      </c>
      <c r="H22" s="2074">
        <f>VLOOKUP(C69,Tarifas!D4:H303,3)</f>
        <v>0.151</v>
      </c>
      <c r="I22" s="2072">
        <v>1.4200000000000001E-2</v>
      </c>
      <c r="J22" s="2072">
        <f>VLOOKUP(C69,Tarifas!D4:H303,5)</f>
        <v>1E-3</v>
      </c>
      <c r="K22" s="2072">
        <v>204.7</v>
      </c>
      <c r="L22" s="2072">
        <v>201.4</v>
      </c>
      <c r="M22" s="1777"/>
      <c r="N22" s="1778">
        <f>F102</f>
        <v>591252.00419668108</v>
      </c>
      <c r="O22" s="855"/>
      <c r="P22" s="855"/>
      <c r="Q22" s="1740"/>
      <c r="R22" s="1740"/>
      <c r="S22" s="1740"/>
      <c r="T22" s="1740"/>
      <c r="U22" s="1740"/>
      <c r="V22" s="827"/>
      <c r="W22" s="827"/>
      <c r="X22" s="827"/>
      <c r="Y22" s="827"/>
      <c r="Z22" s="827"/>
      <c r="AG22" s="843"/>
    </row>
    <row r="23" spans="2:33" x14ac:dyDescent="0.2">
      <c r="B23" s="827"/>
      <c r="C23" s="1740"/>
      <c r="D23" s="1740"/>
      <c r="E23" s="1740"/>
      <c r="F23" s="1740"/>
      <c r="G23" s="1740"/>
      <c r="H23" s="1740"/>
      <c r="I23" s="1740"/>
      <c r="J23" s="1740"/>
      <c r="K23" s="856"/>
      <c r="L23" s="1740"/>
      <c r="M23" s="1740"/>
      <c r="N23" s="1740"/>
      <c r="O23" s="1740"/>
      <c r="P23" s="1740"/>
      <c r="Q23" s="1740"/>
      <c r="R23" s="1740"/>
      <c r="S23" s="1740"/>
      <c r="T23" s="827"/>
      <c r="U23" s="827"/>
      <c r="V23" s="827"/>
      <c r="W23" s="827"/>
      <c r="X23" s="827"/>
      <c r="Y23" s="827"/>
      <c r="Z23" s="827"/>
      <c r="AG23" s="843"/>
    </row>
    <row r="24" spans="2:33" x14ac:dyDescent="0.2">
      <c r="B24" s="827"/>
      <c r="C24" s="2034"/>
      <c r="D24" s="2034"/>
      <c r="E24" s="2034"/>
      <c r="F24" s="2034"/>
      <c r="G24" s="2034"/>
      <c r="H24" s="2034"/>
      <c r="I24" s="2034"/>
      <c r="J24" s="2034"/>
      <c r="K24" s="2034"/>
      <c r="L24" s="2034"/>
      <c r="M24" s="2034"/>
      <c r="N24" s="2034"/>
      <c r="O24" s="2034"/>
      <c r="P24" s="2034"/>
      <c r="Q24" s="827" t="s">
        <v>405</v>
      </c>
      <c r="R24" s="827"/>
      <c r="S24" s="827"/>
      <c r="T24" s="827"/>
      <c r="U24" s="827"/>
      <c r="V24" s="827"/>
      <c r="W24" s="827"/>
      <c r="X24" s="827"/>
      <c r="Y24" s="827"/>
      <c r="Z24" s="827"/>
      <c r="AG24" s="843"/>
    </row>
    <row r="25" spans="2:33" x14ac:dyDescent="0.2">
      <c r="B25" s="827"/>
      <c r="C25" s="2034"/>
      <c r="D25" s="2034"/>
      <c r="E25" s="2034"/>
      <c r="F25" s="2034"/>
      <c r="G25" s="2034"/>
      <c r="H25" s="2034"/>
      <c r="I25" s="2034"/>
      <c r="J25" s="2034"/>
      <c r="K25" s="2034"/>
      <c r="L25" s="2034"/>
      <c r="M25" s="2034"/>
      <c r="N25" s="2034"/>
      <c r="O25" s="827"/>
      <c r="P25" s="827"/>
      <c r="Q25" s="857"/>
      <c r="R25" s="827"/>
      <c r="S25" s="827"/>
      <c r="T25" s="827"/>
      <c r="U25" s="827"/>
      <c r="V25" s="827"/>
      <c r="W25" s="827"/>
      <c r="X25" s="843"/>
      <c r="Y25" s="843"/>
      <c r="AE25" s="829"/>
      <c r="AF25" s="829"/>
    </row>
    <row r="26" spans="2:33" ht="13.5" thickBot="1" x14ac:dyDescent="0.25">
      <c r="B26" s="827"/>
      <c r="C26" s="858" t="s">
        <v>86</v>
      </c>
      <c r="D26" s="858"/>
      <c r="E26" s="858"/>
      <c r="F26" s="858"/>
      <c r="G26" s="858"/>
      <c r="H26" s="859"/>
      <c r="I26" s="858"/>
      <c r="J26" s="858"/>
      <c r="K26" s="858"/>
      <c r="L26" s="859"/>
      <c r="M26" s="860"/>
      <c r="N26" s="861"/>
      <c r="Q26" s="827"/>
      <c r="R26" s="827"/>
      <c r="S26" s="827"/>
      <c r="T26" s="827"/>
      <c r="U26" s="827"/>
      <c r="V26" s="827"/>
      <c r="W26" s="827"/>
      <c r="X26" s="843"/>
      <c r="Y26" s="843"/>
      <c r="Z26" s="862"/>
      <c r="AE26" s="829"/>
      <c r="AF26" s="829"/>
    </row>
    <row r="27" spans="2:33" ht="35.1" customHeight="1" thickBot="1" x14ac:dyDescent="0.25">
      <c r="B27" s="827"/>
      <c r="C27" s="850" t="s">
        <v>87</v>
      </c>
      <c r="D27" s="832" t="s">
        <v>88</v>
      </c>
      <c r="E27" s="832" t="s">
        <v>237</v>
      </c>
      <c r="F27" s="833" t="s">
        <v>160</v>
      </c>
      <c r="G27" s="832" t="s">
        <v>236</v>
      </c>
      <c r="H27" s="833" t="s">
        <v>232</v>
      </c>
      <c r="I27" s="833" t="s">
        <v>233</v>
      </c>
      <c r="J27" s="833" t="s">
        <v>20</v>
      </c>
      <c r="K27" s="832" t="s">
        <v>91</v>
      </c>
      <c r="L27" s="832" t="s">
        <v>93</v>
      </c>
      <c r="M27" s="832" t="s">
        <v>94</v>
      </c>
      <c r="N27" s="863" t="s">
        <v>95</v>
      </c>
      <c r="P27" s="850" t="s">
        <v>237</v>
      </c>
      <c r="Q27" s="833" t="s">
        <v>160</v>
      </c>
      <c r="R27" s="832" t="s">
        <v>236</v>
      </c>
      <c r="S27" s="833" t="s">
        <v>232</v>
      </c>
      <c r="T27" s="833" t="s">
        <v>233</v>
      </c>
      <c r="U27" s="833" t="s">
        <v>20</v>
      </c>
      <c r="V27" s="832" t="s">
        <v>91</v>
      </c>
      <c r="W27" s="832" t="s">
        <v>93</v>
      </c>
      <c r="X27" s="832" t="s">
        <v>94</v>
      </c>
      <c r="Y27" s="834" t="s">
        <v>95</v>
      </c>
      <c r="Z27" s="861"/>
      <c r="AE27" s="829"/>
      <c r="AF27" s="829"/>
    </row>
    <row r="28" spans="2:33" ht="35.1" customHeight="1" thickBot="1" x14ac:dyDescent="0.25">
      <c r="B28" s="827"/>
      <c r="C28" s="864"/>
      <c r="D28" s="836"/>
      <c r="E28" s="1000"/>
      <c r="F28" s="836"/>
      <c r="G28" s="836"/>
      <c r="H28" s="836"/>
      <c r="I28" s="836"/>
      <c r="J28" s="972"/>
      <c r="K28" s="841"/>
      <c r="L28" s="866"/>
      <c r="M28" s="835"/>
      <c r="N28" s="867"/>
      <c r="P28" s="864" t="s">
        <v>242</v>
      </c>
      <c r="Q28" s="836" t="s">
        <v>221</v>
      </c>
      <c r="R28" s="836" t="s">
        <v>222</v>
      </c>
      <c r="S28" s="836">
        <v>2280</v>
      </c>
      <c r="T28" s="836">
        <v>453658</v>
      </c>
      <c r="U28" s="865" t="s">
        <v>97</v>
      </c>
      <c r="V28" s="841">
        <v>80000</v>
      </c>
      <c r="W28" s="866">
        <f>IFERROR(V28/$V$34,0)</f>
        <v>9.4117647058823528E-2</v>
      </c>
      <c r="X28" s="837">
        <f t="shared" ref="X28:X33" si="0">ROUND(W28*I$15,2)</f>
        <v>447423.87</v>
      </c>
      <c r="Y28" s="868">
        <f t="shared" ref="Y28:Y33" si="1">X28*M$15</f>
        <v>9843325.1400000006</v>
      </c>
      <c r="Z28" s="860"/>
      <c r="AA28" s="1059">
        <f>Y28+Y30+Y31+Y43</f>
        <v>22385416.240000002</v>
      </c>
      <c r="AE28" s="829"/>
      <c r="AF28" s="829"/>
    </row>
    <row r="29" spans="2:33" ht="35.1" customHeight="1" thickBot="1" x14ac:dyDescent="0.25">
      <c r="B29" s="827"/>
      <c r="C29" s="864"/>
      <c r="D29" s="836"/>
      <c r="E29" s="1000"/>
      <c r="F29" s="836"/>
      <c r="G29" s="836"/>
      <c r="H29" s="836"/>
      <c r="I29" s="836"/>
      <c r="J29" s="972"/>
      <c r="K29" s="841"/>
      <c r="L29" s="866"/>
      <c r="M29" s="835"/>
      <c r="N29" s="867"/>
      <c r="P29" s="864" t="s">
        <v>242</v>
      </c>
      <c r="Q29" s="836" t="s">
        <v>221</v>
      </c>
      <c r="R29" s="836" t="s">
        <v>222</v>
      </c>
      <c r="S29" s="836">
        <v>2280</v>
      </c>
      <c r="T29" s="836">
        <v>453658</v>
      </c>
      <c r="U29" s="865" t="s">
        <v>100</v>
      </c>
      <c r="V29" s="841">
        <v>40000</v>
      </c>
      <c r="W29" s="866">
        <f>IFERROR(V29/$V$34,0)</f>
        <v>4.7058823529411764E-2</v>
      </c>
      <c r="X29" s="837">
        <f t="shared" si="0"/>
        <v>223711.94</v>
      </c>
      <c r="Y29" s="868">
        <f t="shared" si="1"/>
        <v>4921662.68</v>
      </c>
      <c r="Z29" s="860"/>
      <c r="AA29" s="1059"/>
      <c r="AE29" s="829"/>
      <c r="AF29" s="829"/>
    </row>
    <row r="30" spans="2:33" ht="35.1" customHeight="1" thickBot="1" x14ac:dyDescent="0.25">
      <c r="B30" s="827"/>
      <c r="C30" s="864"/>
      <c r="D30" s="836"/>
      <c r="E30" s="1000"/>
      <c r="F30" s="836"/>
      <c r="G30" s="836"/>
      <c r="H30" s="836"/>
      <c r="I30" s="836"/>
      <c r="J30" s="972"/>
      <c r="K30" s="841"/>
      <c r="L30" s="866"/>
      <c r="M30" s="835"/>
      <c r="N30" s="867"/>
      <c r="P30" s="864" t="s">
        <v>242</v>
      </c>
      <c r="Q30" s="836" t="s">
        <v>221</v>
      </c>
      <c r="R30" s="836" t="s">
        <v>222</v>
      </c>
      <c r="S30" s="836">
        <v>2280</v>
      </c>
      <c r="T30" s="836">
        <v>453658</v>
      </c>
      <c r="U30" s="865" t="s">
        <v>393</v>
      </c>
      <c r="V30" s="841">
        <v>22000</v>
      </c>
      <c r="W30" s="866">
        <f>IFERROR(V30/$V$34,0)</f>
        <v>2.5882352941176471E-2</v>
      </c>
      <c r="X30" s="837">
        <f t="shared" si="0"/>
        <v>123041.56</v>
      </c>
      <c r="Y30" s="868">
        <f t="shared" si="1"/>
        <v>2706914.32</v>
      </c>
      <c r="Z30" s="860"/>
      <c r="AE30" s="829"/>
      <c r="AF30" s="829"/>
    </row>
    <row r="31" spans="2:33" ht="35.1" customHeight="1" thickBot="1" x14ac:dyDescent="0.25">
      <c r="B31" s="827"/>
      <c r="C31" s="864"/>
      <c r="D31" s="836"/>
      <c r="E31" s="1000"/>
      <c r="F31" s="836"/>
      <c r="G31" s="836"/>
      <c r="H31" s="836"/>
      <c r="I31" s="836"/>
      <c r="J31" s="972"/>
      <c r="K31" s="841"/>
      <c r="L31" s="866"/>
      <c r="M31" s="835"/>
      <c r="N31" s="867"/>
      <c r="P31" s="864" t="s">
        <v>242</v>
      </c>
      <c r="Q31" s="836" t="s">
        <v>221</v>
      </c>
      <c r="R31" s="836" t="s">
        <v>222</v>
      </c>
      <c r="S31" s="836">
        <v>2280</v>
      </c>
      <c r="T31" s="836">
        <v>453658</v>
      </c>
      <c r="U31" s="865" t="s">
        <v>288</v>
      </c>
      <c r="V31" s="841">
        <v>0</v>
      </c>
      <c r="W31" s="866">
        <f t="shared" ref="W31:W33" si="2">IFERROR(V31/$V$34,0)</f>
        <v>0</v>
      </c>
      <c r="X31" s="837">
        <f t="shared" si="0"/>
        <v>0</v>
      </c>
      <c r="Y31" s="868">
        <f t="shared" si="1"/>
        <v>0</v>
      </c>
      <c r="Z31" s="860"/>
      <c r="AE31" s="829"/>
      <c r="AF31" s="829"/>
    </row>
    <row r="32" spans="2:33" ht="35.1" customHeight="1" thickBot="1" x14ac:dyDescent="0.25">
      <c r="B32" s="827"/>
      <c r="C32" s="864"/>
      <c r="D32" s="1000"/>
      <c r="E32" s="2036"/>
      <c r="F32" s="836"/>
      <c r="G32" s="836"/>
      <c r="H32" s="836"/>
      <c r="I32" s="836"/>
      <c r="J32" s="972"/>
      <c r="K32" s="841"/>
      <c r="L32" s="866"/>
      <c r="M32" s="835"/>
      <c r="N32" s="867"/>
      <c r="P32" s="1076" t="s">
        <v>242</v>
      </c>
      <c r="Q32" s="1000" t="s">
        <v>221</v>
      </c>
      <c r="R32" s="1000" t="s">
        <v>222</v>
      </c>
      <c r="S32" s="1000" t="s">
        <v>344</v>
      </c>
      <c r="T32" s="1000">
        <v>468094</v>
      </c>
      <c r="U32" s="2058" t="s">
        <v>23</v>
      </c>
      <c r="V32" s="2059">
        <v>95000</v>
      </c>
      <c r="W32" s="2060">
        <f t="shared" si="2"/>
        <v>0.11176470588235295</v>
      </c>
      <c r="X32" s="2061">
        <f t="shared" si="0"/>
        <v>531315.85</v>
      </c>
      <c r="Y32" s="2062">
        <f t="shared" si="1"/>
        <v>11688948.699999999</v>
      </c>
      <c r="Z32" s="860"/>
      <c r="AE32" s="829"/>
      <c r="AF32" s="829"/>
    </row>
    <row r="33" spans="2:32" ht="35.1" customHeight="1" thickBot="1" x14ac:dyDescent="0.25">
      <c r="B33" s="827"/>
      <c r="C33" s="851">
        <v>800874933</v>
      </c>
      <c r="D33" s="853"/>
      <c r="E33" s="853" t="s">
        <v>242</v>
      </c>
      <c r="F33" s="845" t="s">
        <v>221</v>
      </c>
      <c r="G33" s="845" t="s">
        <v>222</v>
      </c>
      <c r="H33" s="845">
        <v>2280</v>
      </c>
      <c r="I33" s="845">
        <v>453851</v>
      </c>
      <c r="J33" s="973" t="s">
        <v>159</v>
      </c>
      <c r="K33" s="852">
        <f>850000-K28-K29-K31-K32</f>
        <v>850000</v>
      </c>
      <c r="L33" s="872">
        <v>1</v>
      </c>
      <c r="M33" s="844">
        <v>4753878.6400000006</v>
      </c>
      <c r="N33" s="873">
        <f>M33*M15</f>
        <v>104585330.08000001</v>
      </c>
      <c r="P33" s="1004" t="s">
        <v>242</v>
      </c>
      <c r="Q33" s="1003" t="s">
        <v>221</v>
      </c>
      <c r="R33" s="1003" t="s">
        <v>222</v>
      </c>
      <c r="S33" s="1003">
        <v>2280</v>
      </c>
      <c r="T33" s="1003">
        <v>453851</v>
      </c>
      <c r="U33" s="1851" t="s">
        <v>159</v>
      </c>
      <c r="V33" s="1852">
        <f>850000-V28-V29-V30-V31-V32</f>
        <v>613000</v>
      </c>
      <c r="W33" s="1853">
        <f t="shared" si="2"/>
        <v>0.72117647058823531</v>
      </c>
      <c r="X33" s="1854">
        <f t="shared" si="0"/>
        <v>3428385.42</v>
      </c>
      <c r="Y33" s="1855">
        <f t="shared" si="1"/>
        <v>75424479.239999995</v>
      </c>
      <c r="Z33" s="860"/>
      <c r="AE33" s="829"/>
      <c r="AF33" s="829"/>
    </row>
    <row r="34" spans="2:32" ht="35.1" customHeight="1" x14ac:dyDescent="0.2">
      <c r="B34" s="827"/>
      <c r="C34" s="881"/>
      <c r="D34" s="882" t="s">
        <v>102</v>
      </c>
      <c r="E34" s="882"/>
      <c r="F34" s="882"/>
      <c r="G34" s="882"/>
      <c r="H34" s="882"/>
      <c r="I34" s="883"/>
      <c r="J34" s="883"/>
      <c r="K34" s="884">
        <f>SUM(K28:K33)</f>
        <v>850000</v>
      </c>
      <c r="L34" s="885">
        <f>SUM(L28:L33)</f>
        <v>1</v>
      </c>
      <c r="M34" s="886">
        <f>SUM(M28:M33)</f>
        <v>4753878.6400000006</v>
      </c>
      <c r="N34" s="886">
        <f>SUM(N28:N33)</f>
        <v>104585330.08000001</v>
      </c>
      <c r="P34" s="882"/>
      <c r="Q34" s="882"/>
      <c r="R34" s="882"/>
      <c r="S34" s="882"/>
      <c r="T34" s="883"/>
      <c r="U34" s="883"/>
      <c r="V34" s="884">
        <f>SUM(V28:V33)</f>
        <v>850000</v>
      </c>
      <c r="W34" s="885">
        <f>SUM(W28:W33)</f>
        <v>1</v>
      </c>
      <c r="X34" s="887">
        <f>SUM(X28:X33)</f>
        <v>4753878.6400000006</v>
      </c>
      <c r="Y34" s="887">
        <f>SUM(Y28:Y33)</f>
        <v>104585330.08</v>
      </c>
      <c r="Z34" s="827"/>
      <c r="AE34" s="829"/>
      <c r="AF34" s="829"/>
    </row>
    <row r="35" spans="2:32" ht="20.100000000000001" customHeight="1" x14ac:dyDescent="0.2">
      <c r="B35" s="827"/>
      <c r="C35" s="860"/>
      <c r="D35" s="860"/>
      <c r="E35" s="860"/>
      <c r="F35" s="860"/>
      <c r="G35" s="888"/>
      <c r="H35" s="888"/>
      <c r="I35" s="860"/>
      <c r="J35" s="860"/>
      <c r="K35" s="860"/>
      <c r="L35" s="860"/>
      <c r="M35" s="889"/>
      <c r="P35" s="860"/>
      <c r="Q35" s="860"/>
      <c r="R35" s="888"/>
      <c r="S35" s="888"/>
      <c r="T35" s="860"/>
      <c r="U35" s="860"/>
      <c r="V35" s="860"/>
      <c r="W35" s="860"/>
      <c r="X35" s="890"/>
      <c r="Y35" s="891"/>
      <c r="Z35" s="827"/>
      <c r="AE35" s="829"/>
      <c r="AF35" s="829"/>
    </row>
    <row r="36" spans="2:32" ht="20.100000000000001" customHeight="1" x14ac:dyDescent="0.2">
      <c r="B36" s="827"/>
      <c r="C36" s="860"/>
      <c r="D36" s="860"/>
      <c r="E36" s="860"/>
      <c r="F36" s="860"/>
      <c r="G36" s="888"/>
      <c r="H36" s="888"/>
      <c r="I36" s="860"/>
      <c r="J36" s="860"/>
      <c r="K36" s="860"/>
      <c r="L36" s="860"/>
      <c r="M36" s="889"/>
      <c r="P36" s="860"/>
      <c r="Q36" s="860"/>
      <c r="R36" s="888"/>
      <c r="S36" s="888"/>
      <c r="T36" s="860"/>
      <c r="U36" s="860"/>
      <c r="V36" s="860"/>
      <c r="W36" s="892"/>
      <c r="X36" s="889"/>
      <c r="Y36" s="893"/>
      <c r="Z36" s="827"/>
      <c r="AE36" s="829"/>
      <c r="AF36" s="829"/>
    </row>
    <row r="38" spans="2:32" ht="20.100000000000001" customHeight="1" thickBot="1" x14ac:dyDescent="0.25">
      <c r="B38" s="827"/>
      <c r="C38" s="858" t="s">
        <v>274</v>
      </c>
      <c r="D38" s="858"/>
      <c r="E38" s="858"/>
      <c r="F38" s="858"/>
      <c r="G38" s="858"/>
      <c r="H38" s="859"/>
      <c r="I38" s="858"/>
      <c r="J38" s="858"/>
      <c r="K38" s="858"/>
      <c r="L38" s="859"/>
      <c r="M38" s="860"/>
      <c r="N38" s="861"/>
      <c r="P38" s="858"/>
      <c r="Q38" s="858"/>
      <c r="R38" s="858"/>
      <c r="S38" s="859"/>
      <c r="T38" s="858"/>
      <c r="U38" s="858"/>
      <c r="V38" s="858"/>
      <c r="W38" s="860"/>
      <c r="X38" s="860"/>
      <c r="Y38" s="894"/>
      <c r="Z38" s="862"/>
      <c r="AE38" s="829"/>
      <c r="AF38" s="829"/>
    </row>
    <row r="39" spans="2:32" ht="35.1" customHeight="1" thickBot="1" x14ac:dyDescent="0.25">
      <c r="B39" s="827"/>
      <c r="C39" s="850" t="s">
        <v>87</v>
      </c>
      <c r="D39" s="895" t="s">
        <v>88</v>
      </c>
      <c r="E39" s="895" t="s">
        <v>237</v>
      </c>
      <c r="F39" s="896" t="s">
        <v>160</v>
      </c>
      <c r="G39" s="895" t="s">
        <v>236</v>
      </c>
      <c r="H39" s="896" t="s">
        <v>232</v>
      </c>
      <c r="I39" s="896" t="s">
        <v>233</v>
      </c>
      <c r="J39" s="896" t="s">
        <v>20</v>
      </c>
      <c r="K39" s="832" t="s">
        <v>91</v>
      </c>
      <c r="L39" s="895" t="s">
        <v>93</v>
      </c>
      <c r="M39" s="895" t="s">
        <v>94</v>
      </c>
      <c r="N39" s="897" t="s">
        <v>95</v>
      </c>
      <c r="P39" s="895" t="s">
        <v>237</v>
      </c>
      <c r="Q39" s="896" t="s">
        <v>160</v>
      </c>
      <c r="R39" s="895" t="s">
        <v>236</v>
      </c>
      <c r="S39" s="896" t="s">
        <v>232</v>
      </c>
      <c r="T39" s="896" t="s">
        <v>233</v>
      </c>
      <c r="U39" s="896" t="s">
        <v>20</v>
      </c>
      <c r="V39" s="832" t="s">
        <v>91</v>
      </c>
      <c r="W39" s="895" t="s">
        <v>93</v>
      </c>
      <c r="X39" s="895" t="s">
        <v>94</v>
      </c>
      <c r="Y39" s="897" t="s">
        <v>95</v>
      </c>
      <c r="Z39" s="862"/>
      <c r="AE39" s="829"/>
      <c r="AF39" s="829"/>
    </row>
    <row r="40" spans="2:32" ht="35.1" customHeight="1" thickBot="1" x14ac:dyDescent="0.25">
      <c r="B40" s="827"/>
      <c r="C40" s="864"/>
      <c r="D40" s="1000"/>
      <c r="E40" s="2036"/>
      <c r="F40" s="836"/>
      <c r="G40" s="836"/>
      <c r="H40" s="836"/>
      <c r="I40" s="836"/>
      <c r="J40" s="865"/>
      <c r="K40" s="841"/>
      <c r="L40" s="866"/>
      <c r="M40" s="837"/>
      <c r="N40" s="868"/>
      <c r="P40" s="836" t="s">
        <v>242</v>
      </c>
      <c r="Q40" s="836" t="s">
        <v>221</v>
      </c>
      <c r="R40" s="836" t="s">
        <v>222</v>
      </c>
      <c r="S40" s="836">
        <v>2280</v>
      </c>
      <c r="T40" s="836">
        <v>453658</v>
      </c>
      <c r="U40" s="865" t="s">
        <v>97</v>
      </c>
      <c r="V40" s="841">
        <v>80000</v>
      </c>
      <c r="W40" s="866">
        <f>IFERROR(V40/$V$43,0)</f>
        <v>0.66666666666666663</v>
      </c>
      <c r="X40" s="837">
        <f>ROUND(W40*I$16,2)</f>
        <v>298035.65999999997</v>
      </c>
      <c r="Y40" s="868">
        <f>X40*$M$16</f>
        <v>6556784.5199999996</v>
      </c>
      <c r="Z40" s="862"/>
      <c r="AE40" s="829"/>
      <c r="AF40" s="829"/>
    </row>
    <row r="41" spans="2:32" ht="35.1" customHeight="1" thickBot="1" x14ac:dyDescent="0.25">
      <c r="B41" s="827"/>
      <c r="C41" s="864"/>
      <c r="D41" s="1000"/>
      <c r="E41" s="1000"/>
      <c r="F41" s="836"/>
      <c r="G41" s="836"/>
      <c r="H41" s="836"/>
      <c r="I41" s="836"/>
      <c r="J41" s="865"/>
      <c r="K41" s="841"/>
      <c r="L41" s="866"/>
      <c r="M41" s="837"/>
      <c r="N41" s="868"/>
      <c r="P41" s="1000" t="s">
        <v>242</v>
      </c>
      <c r="Q41" s="836" t="s">
        <v>221</v>
      </c>
      <c r="R41" s="836" t="s">
        <v>222</v>
      </c>
      <c r="S41" s="836">
        <v>2280</v>
      </c>
      <c r="T41" s="836">
        <v>453658</v>
      </c>
      <c r="U41" s="865" t="s">
        <v>100</v>
      </c>
      <c r="V41" s="841">
        <v>40000</v>
      </c>
      <c r="W41" s="866">
        <f>IFERROR(V41/$V$43,0)</f>
        <v>0.33333333333333331</v>
      </c>
      <c r="X41" s="837">
        <f>ROUND(W41*I$16,2)</f>
        <v>149017.82999999999</v>
      </c>
      <c r="Y41" s="868">
        <f>X41*$M$16</f>
        <v>3278392.26</v>
      </c>
      <c r="Z41" s="862"/>
      <c r="AE41" s="829"/>
      <c r="AF41" s="829"/>
    </row>
    <row r="42" spans="2:32" ht="35.1" customHeight="1" thickBot="1" x14ac:dyDescent="0.25">
      <c r="B42" s="827"/>
      <c r="C42" s="1004">
        <v>800874975</v>
      </c>
      <c r="D42" s="853"/>
      <c r="E42" s="853" t="s">
        <v>242</v>
      </c>
      <c r="F42" s="1003" t="s">
        <v>221</v>
      </c>
      <c r="G42" s="1003" t="s">
        <v>222</v>
      </c>
      <c r="H42" s="1003">
        <v>2280</v>
      </c>
      <c r="I42" s="1003">
        <v>453851</v>
      </c>
      <c r="J42" s="871" t="s">
        <v>159</v>
      </c>
      <c r="K42" s="852">
        <v>100000</v>
      </c>
      <c r="L42" s="872">
        <v>1</v>
      </c>
      <c r="M42" s="846">
        <f>ROUND(L42*I$16,2)</f>
        <v>447053.49</v>
      </c>
      <c r="N42" s="898">
        <f>M42*$M$16</f>
        <v>9835176.7799999993</v>
      </c>
      <c r="P42" s="1003" t="s">
        <v>401</v>
      </c>
      <c r="Q42" s="845" t="s">
        <v>221</v>
      </c>
      <c r="R42" s="845" t="s">
        <v>222</v>
      </c>
      <c r="S42" s="845">
        <v>2280</v>
      </c>
      <c r="T42" s="845">
        <v>453851</v>
      </c>
      <c r="U42" s="871" t="s">
        <v>159</v>
      </c>
      <c r="V42" s="852">
        <v>0</v>
      </c>
      <c r="W42" s="872">
        <f>IFERROR(V42/$V$43,0)</f>
        <v>0</v>
      </c>
      <c r="X42" s="846">
        <f>ROUND(W42*I$16,2)</f>
        <v>0</v>
      </c>
      <c r="Y42" s="898">
        <f>X42*$M$16</f>
        <v>0</v>
      </c>
      <c r="Z42" s="862"/>
      <c r="AE42" s="829"/>
      <c r="AF42" s="829"/>
    </row>
    <row r="43" spans="2:32" ht="20.100000000000001" customHeight="1" x14ac:dyDescent="0.2">
      <c r="B43" s="827"/>
      <c r="C43" s="881"/>
      <c r="D43" s="882" t="s">
        <v>102</v>
      </c>
      <c r="E43" s="882"/>
      <c r="F43" s="882"/>
      <c r="G43" s="882"/>
      <c r="H43" s="882"/>
      <c r="I43" s="883"/>
      <c r="J43" s="883"/>
      <c r="K43" s="884">
        <f>SUM(K40:K42)</f>
        <v>100000</v>
      </c>
      <c r="L43" s="885">
        <f>SUM(L40:L42)</f>
        <v>1</v>
      </c>
      <c r="M43" s="886">
        <f>SUM(M40:M42)</f>
        <v>447053.49</v>
      </c>
      <c r="N43" s="886">
        <f>SUM(N40:N42)</f>
        <v>9835176.7799999993</v>
      </c>
      <c r="P43" s="882"/>
      <c r="Q43" s="882"/>
      <c r="R43" s="882"/>
      <c r="S43" s="882"/>
      <c r="T43" s="883"/>
      <c r="U43" s="883"/>
      <c r="V43" s="884">
        <f>SUM(V40:V42)</f>
        <v>120000</v>
      </c>
      <c r="W43" s="885">
        <f>SUM(W40:W42)</f>
        <v>1</v>
      </c>
      <c r="X43" s="886">
        <f>SUM(X40:X42)</f>
        <v>447053.49</v>
      </c>
      <c r="Y43" s="886">
        <f>SUM(Y40:Y42)</f>
        <v>9835176.7799999993</v>
      </c>
      <c r="Z43" s="862"/>
      <c r="AE43" s="829"/>
      <c r="AF43" s="829"/>
    </row>
    <row r="44" spans="2:32" ht="20.100000000000001" customHeight="1" x14ac:dyDescent="0.2">
      <c r="B44" s="827"/>
      <c r="C44" s="899"/>
      <c r="D44" s="858"/>
      <c r="E44" s="858"/>
      <c r="F44" s="858"/>
      <c r="G44" s="858"/>
      <c r="H44" s="859"/>
      <c r="I44" s="858"/>
      <c r="J44" s="858"/>
      <c r="K44" s="858"/>
      <c r="L44" s="860"/>
      <c r="M44" s="860"/>
      <c r="N44" s="843"/>
      <c r="P44" s="858"/>
      <c r="Q44" s="858"/>
      <c r="R44" s="858"/>
      <c r="S44" s="859"/>
      <c r="T44" s="858"/>
      <c r="U44" s="858"/>
      <c r="V44" s="858"/>
      <c r="W44" s="860"/>
      <c r="X44" s="860"/>
      <c r="Y44" s="894"/>
      <c r="Z44" s="862"/>
      <c r="AE44" s="829"/>
      <c r="AF44" s="829"/>
    </row>
    <row r="45" spans="2:32" ht="20.100000000000001" customHeight="1" x14ac:dyDescent="0.2">
      <c r="B45" s="827"/>
      <c r="C45" s="899"/>
      <c r="D45" s="858"/>
      <c r="E45" s="858"/>
      <c r="F45" s="858"/>
      <c r="G45" s="858"/>
      <c r="H45" s="859"/>
      <c r="I45" s="858"/>
      <c r="J45" s="858"/>
      <c r="K45" s="858"/>
      <c r="L45" s="860"/>
      <c r="M45" s="860"/>
      <c r="N45" s="843"/>
      <c r="P45" s="858"/>
      <c r="Q45" s="858"/>
      <c r="R45" s="858"/>
      <c r="S45" s="859"/>
      <c r="T45" s="858"/>
      <c r="U45" s="858"/>
      <c r="V45" s="858"/>
      <c r="W45" s="860"/>
      <c r="X45" s="860"/>
      <c r="Y45" s="894"/>
      <c r="Z45" s="862"/>
      <c r="AE45" s="829"/>
      <c r="AF45" s="829"/>
    </row>
    <row r="46" spans="2:32" ht="20.100000000000001" customHeight="1" x14ac:dyDescent="0.2">
      <c r="B46" s="827"/>
      <c r="C46" s="899"/>
      <c r="D46" s="858"/>
      <c r="E46" s="858"/>
      <c r="F46" s="858"/>
      <c r="G46" s="858"/>
      <c r="H46" s="859"/>
      <c r="I46" s="858"/>
      <c r="J46" s="1792"/>
      <c r="K46" s="858"/>
      <c r="L46" s="860"/>
      <c r="M46" s="860"/>
      <c r="N46" s="843"/>
      <c r="P46" s="858"/>
      <c r="Q46" s="858"/>
      <c r="R46" s="858"/>
      <c r="S46" s="859"/>
      <c r="T46" s="858"/>
      <c r="U46" s="858"/>
      <c r="V46" s="858"/>
      <c r="W46" s="860"/>
      <c r="X46" s="860"/>
      <c r="Y46" s="894"/>
      <c r="Z46" s="862"/>
      <c r="AE46" s="829"/>
      <c r="AF46" s="829"/>
    </row>
    <row r="47" spans="2:32" ht="35.1" customHeight="1" thickBot="1" x14ac:dyDescent="0.25">
      <c r="B47" s="827"/>
      <c r="C47" s="899" t="s">
        <v>103</v>
      </c>
      <c r="D47" s="858"/>
      <c r="E47" s="858"/>
      <c r="F47" s="858"/>
      <c r="G47" s="858"/>
      <c r="H47" s="859"/>
      <c r="I47" s="858"/>
      <c r="J47" s="858"/>
      <c r="K47" s="858"/>
      <c r="L47" s="860"/>
      <c r="M47" s="860"/>
      <c r="N47" s="843"/>
      <c r="P47" s="858"/>
      <c r="Q47" s="858"/>
      <c r="R47" s="858"/>
      <c r="S47" s="859"/>
      <c r="T47" s="858"/>
      <c r="U47" s="858"/>
      <c r="V47" s="858"/>
      <c r="W47" s="860"/>
      <c r="X47" s="860"/>
      <c r="Y47" s="894"/>
      <c r="Z47" s="862"/>
      <c r="AE47" s="829"/>
      <c r="AF47" s="829"/>
    </row>
    <row r="48" spans="2:32" ht="35.1" customHeight="1" thickBot="1" x14ac:dyDescent="0.25">
      <c r="B48" s="827"/>
      <c r="C48" s="850" t="s">
        <v>87</v>
      </c>
      <c r="D48" s="832" t="s">
        <v>88</v>
      </c>
      <c r="E48" s="832" t="s">
        <v>237</v>
      </c>
      <c r="F48" s="833" t="s">
        <v>160</v>
      </c>
      <c r="G48" s="832" t="s">
        <v>90</v>
      </c>
      <c r="H48" s="833" t="s">
        <v>232</v>
      </c>
      <c r="I48" s="833" t="s">
        <v>233</v>
      </c>
      <c r="J48" s="833" t="s">
        <v>20</v>
      </c>
      <c r="K48" s="832" t="s">
        <v>234</v>
      </c>
      <c r="L48" s="832" t="s">
        <v>93</v>
      </c>
      <c r="M48" s="832" t="s">
        <v>94</v>
      </c>
      <c r="N48" s="863" t="s">
        <v>95</v>
      </c>
      <c r="P48" s="850" t="s">
        <v>237</v>
      </c>
      <c r="Q48" s="833" t="s">
        <v>160</v>
      </c>
      <c r="R48" s="832" t="s">
        <v>90</v>
      </c>
      <c r="S48" s="833" t="s">
        <v>232</v>
      </c>
      <c r="T48" s="833" t="s">
        <v>233</v>
      </c>
      <c r="U48" s="833" t="s">
        <v>20</v>
      </c>
      <c r="V48" s="832" t="s">
        <v>234</v>
      </c>
      <c r="W48" s="832" t="s">
        <v>93</v>
      </c>
      <c r="X48" s="832" t="s">
        <v>94</v>
      </c>
      <c r="Y48" s="834" t="s">
        <v>95</v>
      </c>
      <c r="Z48" s="861"/>
      <c r="AE48" s="829"/>
      <c r="AF48" s="829"/>
    </row>
    <row r="49" spans="2:32" ht="35.1" customHeight="1" thickBot="1" x14ac:dyDescent="0.25">
      <c r="B49" s="827"/>
      <c r="C49" s="864">
        <v>800874989</v>
      </c>
      <c r="D49" s="869"/>
      <c r="E49" s="869" t="s">
        <v>242</v>
      </c>
      <c r="F49" s="836" t="s">
        <v>221</v>
      </c>
      <c r="G49" s="836" t="s">
        <v>222</v>
      </c>
      <c r="H49" s="836">
        <v>2281</v>
      </c>
      <c r="I49" s="836">
        <v>453659</v>
      </c>
      <c r="J49" s="972" t="s">
        <v>159</v>
      </c>
      <c r="K49" s="841">
        <f>P102</f>
        <v>3341076.3900000006</v>
      </c>
      <c r="L49" s="866">
        <f>IFERROR(K49/K$54,0)</f>
        <v>0.5430134528844115</v>
      </c>
      <c r="M49" s="835">
        <f>L49*$I$17</f>
        <v>326.31850437635825</v>
      </c>
      <c r="N49" s="867">
        <f>M49*$M$17</f>
        <v>7179.0070962798818</v>
      </c>
      <c r="O49" s="2">
        <v>18.6234</v>
      </c>
      <c r="P49" s="864" t="s">
        <v>242</v>
      </c>
      <c r="Q49" s="836" t="s">
        <v>221</v>
      </c>
      <c r="R49" s="836" t="s">
        <v>222</v>
      </c>
      <c r="S49" s="836">
        <v>2281</v>
      </c>
      <c r="T49" s="836">
        <v>453658</v>
      </c>
      <c r="U49" s="865" t="s">
        <v>97</v>
      </c>
      <c r="V49" s="841">
        <f>K49</f>
        <v>3341076.3900000006</v>
      </c>
      <c r="W49" s="866">
        <f>IFERROR(V49/V$54,0)</f>
        <v>0.5430134528844115</v>
      </c>
      <c r="X49" s="835">
        <f>W49*$I$17</f>
        <v>326.31850437635825</v>
      </c>
      <c r="Y49" s="867">
        <f>X49*$M$17</f>
        <v>7179.0070962798818</v>
      </c>
      <c r="AE49" s="829"/>
      <c r="AF49" s="829"/>
    </row>
    <row r="50" spans="2:32" ht="35.1" customHeight="1" thickBot="1" x14ac:dyDescent="0.25">
      <c r="B50" s="827"/>
      <c r="C50" s="864"/>
      <c r="D50" s="1000"/>
      <c r="E50" s="1000"/>
      <c r="F50" s="836"/>
      <c r="G50" s="836"/>
      <c r="H50" s="836"/>
      <c r="I50" s="836"/>
      <c r="J50" s="972"/>
      <c r="K50" s="841"/>
      <c r="L50" s="866"/>
      <c r="M50" s="835"/>
      <c r="N50" s="867"/>
      <c r="O50" s="2"/>
      <c r="P50" s="864" t="s">
        <v>242</v>
      </c>
      <c r="Q50" s="836" t="s">
        <v>221</v>
      </c>
      <c r="R50" s="836" t="s">
        <v>222</v>
      </c>
      <c r="S50" s="836">
        <v>2281</v>
      </c>
      <c r="T50" s="836">
        <v>453658</v>
      </c>
      <c r="U50" s="865" t="s">
        <v>100</v>
      </c>
      <c r="V50" s="841">
        <f t="shared" ref="V50:V53" si="3">K50</f>
        <v>0</v>
      </c>
      <c r="W50" s="866">
        <f>IFERROR(V50/V$54,0)</f>
        <v>0</v>
      </c>
      <c r="X50" s="835">
        <f>W50*$I$17</f>
        <v>0</v>
      </c>
      <c r="Y50" s="867">
        <f>X50*$M$17</f>
        <v>0</v>
      </c>
      <c r="AE50" s="829"/>
      <c r="AF50" s="829"/>
    </row>
    <row r="51" spans="2:32" ht="35.1" customHeight="1" thickBot="1" x14ac:dyDescent="0.25">
      <c r="B51" s="827"/>
      <c r="C51" s="864">
        <v>800874989</v>
      </c>
      <c r="D51" s="869"/>
      <c r="E51" s="869" t="s">
        <v>242</v>
      </c>
      <c r="F51" s="836" t="s">
        <v>221</v>
      </c>
      <c r="G51" s="836" t="s">
        <v>222</v>
      </c>
      <c r="H51" s="836">
        <v>2281</v>
      </c>
      <c r="I51" s="836">
        <v>453659</v>
      </c>
      <c r="J51" s="972" t="s">
        <v>159</v>
      </c>
      <c r="K51" s="841">
        <f>N102</f>
        <v>591252.00419668108</v>
      </c>
      <c r="L51" s="866">
        <f>IFERROR(K51/K$54,0)</f>
        <v>9.6094119034395464E-2</v>
      </c>
      <c r="M51" s="835">
        <f>L51*$I$17</f>
        <v>57.746799892529616</v>
      </c>
      <c r="N51" s="867">
        <f>M51*$M$17</f>
        <v>1270.4295976356516</v>
      </c>
      <c r="O51" s="2"/>
      <c r="P51" s="864" t="s">
        <v>242</v>
      </c>
      <c r="Q51" s="836" t="s">
        <v>221</v>
      </c>
      <c r="R51" s="836" t="s">
        <v>222</v>
      </c>
      <c r="S51" s="836">
        <v>2281</v>
      </c>
      <c r="T51" s="836">
        <v>453658</v>
      </c>
      <c r="U51" s="865" t="s">
        <v>393</v>
      </c>
      <c r="V51" s="841">
        <f t="shared" si="3"/>
        <v>591252.00419668108</v>
      </c>
      <c r="W51" s="866">
        <f>IFERROR(V51/V$54,0)</f>
        <v>9.6094119034395464E-2</v>
      </c>
      <c r="X51" s="835">
        <f>W51*$I$17</f>
        <v>57.746799892529616</v>
      </c>
      <c r="Y51" s="867">
        <f>X51*$M$17</f>
        <v>1270.4295976356516</v>
      </c>
      <c r="AE51" s="829"/>
      <c r="AF51" s="829"/>
    </row>
    <row r="52" spans="2:32" ht="35.1" customHeight="1" thickBot="1" x14ac:dyDescent="0.25">
      <c r="B52" s="827"/>
      <c r="C52" s="864"/>
      <c r="D52" s="836"/>
      <c r="E52" s="1000"/>
      <c r="F52" s="836"/>
      <c r="G52" s="836"/>
      <c r="H52" s="836"/>
      <c r="I52" s="836"/>
      <c r="J52" s="972"/>
      <c r="K52" s="841"/>
      <c r="L52" s="866"/>
      <c r="M52" s="835"/>
      <c r="N52" s="867"/>
      <c r="O52" s="2"/>
      <c r="P52" s="864" t="s">
        <v>242</v>
      </c>
      <c r="Q52" s="836" t="s">
        <v>221</v>
      </c>
      <c r="R52" s="836" t="s">
        <v>222</v>
      </c>
      <c r="S52" s="836">
        <v>2281</v>
      </c>
      <c r="T52" s="836">
        <v>453658</v>
      </c>
      <c r="U52" s="865" t="s">
        <v>288</v>
      </c>
      <c r="V52" s="841">
        <f t="shared" si="3"/>
        <v>0</v>
      </c>
      <c r="W52" s="866">
        <f>IFERROR(V52/V$54,0)</f>
        <v>0</v>
      </c>
      <c r="X52" s="835">
        <f>W52*$I$17</f>
        <v>0</v>
      </c>
      <c r="Y52" s="867">
        <f t="shared" ref="Y52:Y53" si="4">X52*$M$17</f>
        <v>0</v>
      </c>
      <c r="AE52" s="829"/>
      <c r="AF52" s="829"/>
    </row>
    <row r="53" spans="2:32" ht="35.1" customHeight="1" thickBot="1" x14ac:dyDescent="0.25">
      <c r="B53" s="827"/>
      <c r="C53" s="851">
        <v>800874989</v>
      </c>
      <c r="D53" s="853"/>
      <c r="E53" s="853" t="s">
        <v>242</v>
      </c>
      <c r="F53" s="845" t="s">
        <v>221</v>
      </c>
      <c r="G53" s="845" t="s">
        <v>222</v>
      </c>
      <c r="H53" s="845">
        <v>2281</v>
      </c>
      <c r="I53" s="845">
        <v>453659</v>
      </c>
      <c r="J53" s="973" t="s">
        <v>159</v>
      </c>
      <c r="K53" s="852">
        <f>O102</f>
        <v>2220514.3618210014</v>
      </c>
      <c r="L53" s="866">
        <f>IFERROR(K53/K$54,0)</f>
        <v>0.36089242808119304</v>
      </c>
      <c r="M53" s="844">
        <f>L53*$I$17</f>
        <v>216.87469573111215</v>
      </c>
      <c r="N53" s="867">
        <f t="shared" ref="N53" si="5">M53*$M$17</f>
        <v>4771.2433060844678</v>
      </c>
      <c r="O53" s="2">
        <v>18.8506</v>
      </c>
      <c r="P53" s="1004" t="s">
        <v>242</v>
      </c>
      <c r="Q53" s="845" t="s">
        <v>221</v>
      </c>
      <c r="R53" s="845" t="s">
        <v>222</v>
      </c>
      <c r="S53" s="845" t="s">
        <v>402</v>
      </c>
      <c r="T53" s="845">
        <v>468095</v>
      </c>
      <c r="U53" s="871" t="s">
        <v>23</v>
      </c>
      <c r="V53" s="852">
        <f t="shared" si="3"/>
        <v>2220514.3618210014</v>
      </c>
      <c r="W53" s="872">
        <f>IFERROR(V53/V$54,0)</f>
        <v>0.36089242808119304</v>
      </c>
      <c r="X53" s="844">
        <f>W53*$I$17</f>
        <v>216.87469573111215</v>
      </c>
      <c r="Y53" s="873">
        <f t="shared" si="4"/>
        <v>4771.2433060844678</v>
      </c>
      <c r="AE53" s="829"/>
      <c r="AF53" s="829"/>
    </row>
    <row r="54" spans="2:32" x14ac:dyDescent="0.2">
      <c r="B54" s="827"/>
      <c r="C54" s="901"/>
      <c r="D54" s="901"/>
      <c r="E54" s="901"/>
      <c r="F54" s="902"/>
      <c r="G54" s="902"/>
      <c r="H54" s="902"/>
      <c r="I54" s="902"/>
      <c r="J54" s="902"/>
      <c r="K54" s="1001">
        <f>SUM(K49:K53)</f>
        <v>6152842.7560176831</v>
      </c>
      <c r="L54" s="903">
        <f>SUM(L49:L53)</f>
        <v>1</v>
      </c>
      <c r="M54" s="1002">
        <f>SUM(M49:M53)</f>
        <v>600.94000000000005</v>
      </c>
      <c r="N54" s="1002">
        <f>SUM(N49:N53)</f>
        <v>13220.68</v>
      </c>
      <c r="O54" s="843"/>
      <c r="P54" s="843"/>
      <c r="Q54" s="827"/>
      <c r="R54" s="827"/>
      <c r="S54" s="827"/>
      <c r="T54" s="827"/>
      <c r="U54" s="827"/>
      <c r="V54" s="1001">
        <f>SUM(V49:V53)</f>
        <v>6152842.7560176831</v>
      </c>
      <c r="W54" s="903">
        <f>SUM(W49:W53)</f>
        <v>1</v>
      </c>
      <c r="X54" s="1002">
        <f>SUM(X49:X53)</f>
        <v>600.94000000000005</v>
      </c>
      <c r="Y54" s="1002">
        <f>SUM(Y49:Y53)</f>
        <v>13220.68</v>
      </c>
      <c r="AE54" s="829"/>
      <c r="AF54" s="829"/>
    </row>
    <row r="55" spans="2:32" s="906" customFormat="1" x14ac:dyDescent="0.2">
      <c r="B55" s="904"/>
      <c r="C55" s="902"/>
      <c r="D55" s="902"/>
      <c r="E55" s="902"/>
      <c r="F55" s="902"/>
      <c r="G55" s="902"/>
      <c r="H55" s="902"/>
      <c r="I55" s="902"/>
      <c r="J55" s="902"/>
      <c r="K55" s="902"/>
      <c r="L55" s="902"/>
      <c r="M55" s="905"/>
      <c r="N55" s="905"/>
      <c r="O55" s="843"/>
      <c r="P55" s="843"/>
      <c r="Q55" s="904"/>
      <c r="R55" s="904"/>
      <c r="S55" s="904"/>
      <c r="T55" s="904"/>
      <c r="U55" s="904"/>
      <c r="V55" s="904"/>
      <c r="W55" s="904"/>
      <c r="X55" s="843"/>
      <c r="Y55" s="843"/>
      <c r="Z55" s="843"/>
      <c r="AA55" s="843"/>
      <c r="AB55" s="843"/>
      <c r="AC55" s="843"/>
      <c r="AD55" s="843"/>
    </row>
    <row r="56" spans="2:32" s="906" customFormat="1" x14ac:dyDescent="0.2">
      <c r="B56" s="904"/>
      <c r="C56" s="902"/>
      <c r="D56" s="902"/>
      <c r="E56" s="902"/>
      <c r="F56" s="902"/>
      <c r="G56" s="902"/>
      <c r="H56" s="902"/>
      <c r="I56" s="902"/>
      <c r="J56" s="902"/>
      <c r="K56" s="902"/>
      <c r="L56" s="905"/>
      <c r="M56" s="905"/>
      <c r="N56" s="843"/>
      <c r="O56" s="904"/>
      <c r="P56" s="904"/>
      <c r="Q56" s="904"/>
      <c r="R56" s="904"/>
      <c r="S56" s="904"/>
      <c r="T56" s="904"/>
      <c r="U56" s="904"/>
      <c r="V56" s="843"/>
      <c r="W56" s="843"/>
      <c r="X56" s="843"/>
      <c r="Y56" s="843"/>
      <c r="Z56" s="843"/>
      <c r="AA56" s="843"/>
      <c r="AB56" s="843"/>
    </row>
    <row r="57" spans="2:32" s="906" customFormat="1" x14ac:dyDescent="0.2">
      <c r="B57" s="904"/>
      <c r="C57" s="902"/>
      <c r="D57" s="902"/>
      <c r="E57" s="902"/>
      <c r="F57" s="902"/>
      <c r="G57" s="902"/>
      <c r="H57" s="902"/>
      <c r="I57" s="902"/>
      <c r="J57" s="902"/>
      <c r="K57" s="902"/>
      <c r="L57" s="905"/>
      <c r="M57" s="905"/>
      <c r="N57" s="843"/>
      <c r="O57" s="843"/>
      <c r="P57" s="904"/>
      <c r="Q57" s="904"/>
      <c r="R57" s="904"/>
      <c r="S57" s="904"/>
      <c r="T57" s="904"/>
      <c r="U57" s="904"/>
      <c r="V57" s="904"/>
      <c r="W57" s="843"/>
      <c r="X57" s="843"/>
      <c r="Y57" s="843"/>
      <c r="Z57" s="843"/>
      <c r="AA57" s="843"/>
      <c r="AB57" s="843"/>
      <c r="AC57" s="843"/>
    </row>
    <row r="58" spans="2:32" s="906" customFormat="1" x14ac:dyDescent="0.2">
      <c r="B58" s="904"/>
      <c r="C58" s="902"/>
      <c r="D58" s="902"/>
      <c r="E58" s="902"/>
      <c r="F58" s="902"/>
      <c r="G58" s="902"/>
      <c r="H58" s="902"/>
      <c r="I58" s="902"/>
      <c r="J58" s="902"/>
      <c r="K58" s="902"/>
      <c r="L58" s="905"/>
      <c r="M58" s="905"/>
      <c r="N58" s="843"/>
      <c r="O58" s="905"/>
      <c r="P58" s="843"/>
      <c r="Q58" s="905"/>
      <c r="R58" s="904"/>
      <c r="S58" s="904"/>
      <c r="T58" s="904"/>
      <c r="U58" s="904"/>
      <c r="V58" s="904"/>
      <c r="W58" s="904"/>
      <c r="X58" s="904"/>
      <c r="Y58" s="904"/>
      <c r="Z58" s="843"/>
      <c r="AA58" s="843"/>
      <c r="AB58" s="843"/>
      <c r="AC58" s="843"/>
      <c r="AD58" s="843"/>
      <c r="AE58" s="843"/>
      <c r="AF58" s="843"/>
    </row>
    <row r="59" spans="2:32" s="906" customFormat="1" x14ac:dyDescent="0.2">
      <c r="B59" s="904"/>
      <c r="C59" s="902"/>
      <c r="D59" s="902"/>
      <c r="E59" s="902"/>
      <c r="F59" s="902"/>
      <c r="G59" s="902"/>
      <c r="H59" s="902"/>
      <c r="I59" s="902"/>
      <c r="J59" s="902"/>
      <c r="K59" s="902"/>
      <c r="L59" s="905"/>
      <c r="M59" s="905"/>
      <c r="N59" s="843"/>
      <c r="O59" s="905"/>
      <c r="P59" s="843"/>
      <c r="Q59" s="905"/>
      <c r="R59" s="904"/>
      <c r="S59" s="904"/>
      <c r="T59" s="904"/>
      <c r="U59" s="904"/>
      <c r="V59" s="904"/>
      <c r="W59" s="904"/>
      <c r="X59" s="904"/>
      <c r="Y59" s="904"/>
      <c r="Z59" s="843"/>
      <c r="AA59" s="843"/>
      <c r="AB59" s="843"/>
      <c r="AC59" s="843"/>
      <c r="AD59" s="843"/>
      <c r="AE59" s="843"/>
      <c r="AF59" s="843"/>
    </row>
    <row r="60" spans="2:32" s="906" customFormat="1" x14ac:dyDescent="0.2">
      <c r="B60" s="904"/>
      <c r="C60" s="902"/>
      <c r="D60" s="902"/>
      <c r="E60" s="902"/>
      <c r="F60" s="902"/>
      <c r="G60" s="902"/>
      <c r="H60" s="902"/>
      <c r="I60" s="902"/>
      <c r="J60" s="902"/>
      <c r="K60" s="902"/>
      <c r="L60" s="905"/>
      <c r="M60" s="905"/>
      <c r="N60" s="843"/>
      <c r="O60" s="905"/>
      <c r="P60" s="843"/>
      <c r="Q60" s="905"/>
      <c r="R60" s="904"/>
      <c r="S60" s="904"/>
      <c r="T60" s="904"/>
      <c r="U60" s="904"/>
      <c r="V60" s="904"/>
      <c r="W60" s="904"/>
      <c r="X60" s="904"/>
      <c r="Y60" s="904"/>
      <c r="Z60" s="843"/>
      <c r="AA60" s="843"/>
      <c r="AB60" s="843"/>
      <c r="AC60" s="843"/>
      <c r="AD60" s="843"/>
      <c r="AE60" s="843"/>
      <c r="AF60" s="843"/>
    </row>
    <row r="61" spans="2:32" s="906" customFormat="1" x14ac:dyDescent="0.2">
      <c r="B61" s="904"/>
      <c r="C61" s="902"/>
      <c r="D61" s="902"/>
      <c r="E61" s="902"/>
      <c r="F61" s="902"/>
      <c r="G61" s="902"/>
      <c r="H61" s="902"/>
      <c r="I61" s="902"/>
      <c r="J61" s="902"/>
      <c r="K61" s="902"/>
      <c r="L61" s="905"/>
      <c r="M61" s="905"/>
      <c r="N61" s="843"/>
      <c r="O61" s="905"/>
      <c r="P61" s="843"/>
      <c r="Q61" s="905"/>
      <c r="R61" s="904"/>
      <c r="S61" s="904"/>
      <c r="T61" s="904"/>
      <c r="U61" s="904"/>
      <c r="V61" s="904"/>
      <c r="W61" s="904"/>
      <c r="X61" s="904"/>
      <c r="Y61" s="904"/>
      <c r="Z61" s="843"/>
      <c r="AA61" s="843"/>
      <c r="AB61" s="843"/>
      <c r="AC61" s="843"/>
      <c r="AD61" s="843"/>
      <c r="AE61" s="843"/>
      <c r="AF61" s="843"/>
    </row>
    <row r="62" spans="2:32" s="906" customFormat="1" x14ac:dyDescent="0.2">
      <c r="B62" s="904"/>
      <c r="C62" s="902"/>
      <c r="D62" s="902"/>
      <c r="E62" s="902"/>
      <c r="F62" s="902"/>
      <c r="G62" s="902"/>
      <c r="H62" s="902"/>
      <c r="I62" s="902"/>
      <c r="J62" s="902"/>
      <c r="K62" s="902"/>
      <c r="L62" s="905"/>
      <c r="M62" s="905"/>
      <c r="N62" s="843"/>
      <c r="O62" s="905"/>
      <c r="P62" s="843"/>
      <c r="Q62" s="905"/>
      <c r="R62" s="904"/>
      <c r="S62" s="904"/>
      <c r="T62" s="904"/>
      <c r="U62" s="904"/>
      <c r="V62" s="904"/>
      <c r="W62" s="904"/>
      <c r="X62" s="904"/>
      <c r="Y62" s="904"/>
      <c r="Z62" s="843"/>
      <c r="AA62" s="843"/>
      <c r="AB62" s="843"/>
      <c r="AC62" s="843"/>
      <c r="AD62" s="843"/>
      <c r="AE62" s="843"/>
      <c r="AF62" s="843"/>
    </row>
    <row r="63" spans="2:32" s="906" customFormat="1" x14ac:dyDescent="0.2">
      <c r="B63" s="904"/>
      <c r="C63" s="902"/>
      <c r="D63" s="902"/>
      <c r="E63" s="902"/>
      <c r="F63" s="902"/>
      <c r="G63" s="902"/>
      <c r="H63" s="902"/>
      <c r="I63" s="902"/>
      <c r="J63" s="902"/>
      <c r="K63" s="902"/>
      <c r="L63" s="905"/>
      <c r="M63" s="905"/>
      <c r="N63" s="843"/>
      <c r="O63" s="905"/>
      <c r="P63" s="843"/>
      <c r="Q63" s="905"/>
      <c r="R63" s="904"/>
      <c r="S63" s="904"/>
      <c r="T63" s="904"/>
      <c r="U63" s="904"/>
      <c r="V63" s="904"/>
      <c r="W63" s="904"/>
      <c r="X63" s="904"/>
      <c r="Y63" s="904"/>
      <c r="Z63" s="843"/>
      <c r="AA63" s="843"/>
      <c r="AB63" s="843"/>
      <c r="AC63" s="843"/>
      <c r="AD63" s="843"/>
      <c r="AE63" s="843"/>
      <c r="AF63" s="843"/>
    </row>
    <row r="64" spans="2:32" s="906" customFormat="1" x14ac:dyDescent="0.2">
      <c r="B64" s="904"/>
      <c r="C64" s="902"/>
      <c r="D64" s="902"/>
      <c r="E64" s="902"/>
      <c r="F64" s="902"/>
      <c r="G64" s="902"/>
      <c r="H64" s="902"/>
      <c r="I64" s="902"/>
      <c r="J64" s="902"/>
      <c r="K64" s="902"/>
      <c r="L64" s="905"/>
      <c r="M64" s="905"/>
      <c r="N64" s="843"/>
      <c r="O64" s="905"/>
      <c r="P64" s="843"/>
      <c r="Q64" s="905"/>
      <c r="R64" s="904"/>
      <c r="S64" s="904"/>
      <c r="T64" s="904"/>
      <c r="U64" s="904"/>
      <c r="V64" s="904"/>
      <c r="W64" s="904"/>
      <c r="X64" s="904"/>
      <c r="Y64" s="904"/>
      <c r="Z64" s="843"/>
      <c r="AA64" s="843"/>
      <c r="AB64" s="843"/>
      <c r="AC64" s="843"/>
      <c r="AD64" s="843"/>
      <c r="AE64" s="843"/>
      <c r="AF64" s="843"/>
    </row>
    <row r="65" spans="2:37" s="906" customFormat="1" x14ac:dyDescent="0.2">
      <c r="B65" s="904"/>
      <c r="C65" s="902"/>
      <c r="D65" s="902"/>
      <c r="E65" s="902"/>
      <c r="F65" s="902"/>
      <c r="G65" s="902"/>
      <c r="H65" s="902"/>
      <c r="I65" s="902"/>
      <c r="J65" s="902"/>
      <c r="K65" s="902"/>
      <c r="L65" s="905"/>
      <c r="M65" s="905"/>
      <c r="N65" s="843"/>
      <c r="O65" s="905"/>
      <c r="P65" s="843"/>
      <c r="Q65" s="905"/>
      <c r="R65" s="904"/>
      <c r="S65" s="904"/>
      <c r="T65" s="904"/>
      <c r="U65" s="904"/>
      <c r="V65" s="904"/>
      <c r="W65" s="904"/>
      <c r="X65" s="904"/>
      <c r="Y65" s="904"/>
      <c r="Z65" s="843"/>
      <c r="AA65" s="843"/>
      <c r="AB65" s="843"/>
      <c r="AC65" s="843"/>
      <c r="AD65" s="843"/>
      <c r="AE65" s="843"/>
      <c r="AF65" s="843"/>
    </row>
    <row r="66" spans="2:37" s="906" customFormat="1" x14ac:dyDescent="0.2">
      <c r="B66" s="904"/>
      <c r="C66" s="902"/>
      <c r="D66" s="902"/>
      <c r="E66" s="902"/>
      <c r="F66" s="902"/>
      <c r="G66" s="902"/>
      <c r="H66" s="902"/>
      <c r="I66" s="902"/>
      <c r="J66" s="902"/>
      <c r="K66" s="902"/>
      <c r="L66" s="905"/>
      <c r="M66" s="905"/>
      <c r="N66" s="843"/>
      <c r="O66" s="905"/>
      <c r="P66" s="843"/>
      <c r="Q66" s="905"/>
      <c r="R66" s="904"/>
      <c r="S66" s="904"/>
      <c r="T66" s="904"/>
      <c r="U66" s="904"/>
      <c r="V66" s="904"/>
      <c r="W66" s="904"/>
      <c r="X66" s="904"/>
      <c r="Y66" s="904"/>
      <c r="Z66" s="843"/>
      <c r="AA66" s="843"/>
      <c r="AB66" s="843"/>
      <c r="AC66" s="843"/>
      <c r="AD66" s="843"/>
      <c r="AE66" s="843"/>
      <c r="AF66" s="843"/>
    </row>
    <row r="67" spans="2:37" s="906" customFormat="1" x14ac:dyDescent="0.2">
      <c r="B67" s="904"/>
      <c r="C67" s="902"/>
      <c r="D67" s="902"/>
      <c r="E67" s="902"/>
      <c r="F67" s="902"/>
      <c r="G67" s="902"/>
      <c r="H67" s="902"/>
      <c r="I67" s="902"/>
      <c r="J67" s="902"/>
      <c r="K67" s="902"/>
      <c r="L67" s="902"/>
      <c r="M67" s="905"/>
      <c r="N67" s="905"/>
      <c r="O67" s="843"/>
      <c r="P67" s="905"/>
      <c r="Q67" s="843"/>
      <c r="R67" s="905"/>
      <c r="S67" s="904"/>
      <c r="T67" s="904"/>
      <c r="U67" s="904"/>
      <c r="V67" s="904"/>
      <c r="W67" s="904"/>
      <c r="X67" s="904"/>
      <c r="Y67" s="904"/>
      <c r="Z67" s="904"/>
      <c r="AA67" s="843"/>
      <c r="AB67" s="843"/>
      <c r="AC67" s="843"/>
      <c r="AD67" s="843"/>
      <c r="AE67" s="843"/>
      <c r="AF67" s="843"/>
      <c r="AG67" s="843"/>
    </row>
    <row r="68" spans="2:37" s="843" customFormat="1" ht="13.5" thickBot="1" x14ac:dyDescent="0.25">
      <c r="P68" s="860"/>
      <c r="Q68" s="860"/>
      <c r="T68" s="860"/>
      <c r="U68" s="860"/>
      <c r="V68" s="860"/>
      <c r="W68" s="860"/>
      <c r="X68" s="860"/>
      <c r="Y68" s="860"/>
      <c r="Z68" s="860"/>
      <c r="AA68" s="860"/>
      <c r="AB68" s="860"/>
      <c r="AC68" s="860"/>
      <c r="AD68" s="860"/>
      <c r="AE68" s="860"/>
      <c r="AF68" s="860"/>
      <c r="AG68" s="999"/>
      <c r="AH68" s="860"/>
      <c r="AI68" s="860"/>
      <c r="AJ68" s="860"/>
      <c r="AK68" s="999" t="e">
        <f>'Junio - 2018'!AC101</f>
        <v>#REF!</v>
      </c>
    </row>
    <row r="69" spans="2:37" ht="13.5" thickBot="1" x14ac:dyDescent="0.25">
      <c r="B69" s="907" t="s">
        <v>3</v>
      </c>
      <c r="C69" s="908">
        <f>SUMIF(Tarifas!E4:E303,'Octubre - 2019'!C71,Tarifas!D4:D303)</f>
        <v>75</v>
      </c>
      <c r="D69" s="909" t="s">
        <v>147</v>
      </c>
      <c r="E69" s="910"/>
      <c r="F69" s="910" t="s">
        <v>145</v>
      </c>
      <c r="G69" s="910" t="s">
        <v>287</v>
      </c>
      <c r="H69" s="910" t="s">
        <v>148</v>
      </c>
      <c r="I69" s="911"/>
      <c r="J69" s="2320" t="s">
        <v>120</v>
      </c>
      <c r="K69" s="2321"/>
      <c r="L69" s="2321"/>
      <c r="M69" s="2322"/>
      <c r="N69" s="2311" t="s">
        <v>270</v>
      </c>
      <c r="O69" s="2312"/>
      <c r="P69" s="2312"/>
      <c r="Q69" s="2313"/>
      <c r="R69" s="2309" t="s">
        <v>271</v>
      </c>
      <c r="S69" s="2310"/>
      <c r="T69" s="2310"/>
      <c r="U69" s="2310"/>
      <c r="V69" s="2310"/>
      <c r="W69" s="2310"/>
      <c r="X69" s="2310"/>
      <c r="Y69" s="2310"/>
      <c r="Z69" s="2332"/>
      <c r="AA69" s="2362" t="s">
        <v>121</v>
      </c>
      <c r="AB69" s="2363"/>
      <c r="AC69" s="2363"/>
      <c r="AD69" s="2363"/>
      <c r="AE69" s="2363"/>
      <c r="AF69" s="2363"/>
      <c r="AG69" s="2364"/>
      <c r="AH69" s="2080"/>
      <c r="AI69" s="2080"/>
      <c r="AJ69" s="2080"/>
      <c r="AK69" s="2081"/>
    </row>
    <row r="70" spans="2:37" ht="51.75" thickBot="1" x14ac:dyDescent="0.25">
      <c r="C70" s="914" t="s">
        <v>122</v>
      </c>
      <c r="D70" s="1016" t="s">
        <v>125</v>
      </c>
      <c r="E70" s="1017" t="s">
        <v>277</v>
      </c>
      <c r="F70" s="1017" t="s">
        <v>149</v>
      </c>
      <c r="G70" s="1017" t="s">
        <v>151</v>
      </c>
      <c r="H70" s="1017" t="s">
        <v>152</v>
      </c>
      <c r="I70" s="1018" t="s">
        <v>123</v>
      </c>
      <c r="J70" s="1027" t="s">
        <v>734</v>
      </c>
      <c r="K70" s="1028" t="s">
        <v>109</v>
      </c>
      <c r="L70" s="1028" t="s">
        <v>25</v>
      </c>
      <c r="M70" s="1028" t="s">
        <v>26</v>
      </c>
      <c r="N70" s="1665" t="s">
        <v>738</v>
      </c>
      <c r="O70" s="1666" t="s">
        <v>266</v>
      </c>
      <c r="P70" s="1666" t="s">
        <v>269</v>
      </c>
      <c r="Q70" s="1906" t="s">
        <v>267</v>
      </c>
      <c r="R70" s="1904" t="s">
        <v>395</v>
      </c>
      <c r="S70" s="2021" t="s">
        <v>272</v>
      </c>
      <c r="T70" s="1904" t="s">
        <v>22</v>
      </c>
      <c r="U70" s="1905" t="s">
        <v>272</v>
      </c>
      <c r="V70" s="978" t="s">
        <v>25</v>
      </c>
      <c r="W70" s="978" t="s">
        <v>26</v>
      </c>
      <c r="X70" s="979" t="s">
        <v>272</v>
      </c>
      <c r="Y70" s="980" t="s">
        <v>273</v>
      </c>
      <c r="Z70" s="977" t="s">
        <v>272</v>
      </c>
      <c r="AA70" s="1012" t="s">
        <v>207</v>
      </c>
      <c r="AB70" s="1013"/>
      <c r="AC70" s="1013" t="s">
        <v>112</v>
      </c>
      <c r="AD70" s="1014" t="s">
        <v>118</v>
      </c>
      <c r="AE70" s="1014" t="s">
        <v>119</v>
      </c>
      <c r="AF70" s="1014" t="s">
        <v>114</v>
      </c>
      <c r="AG70" s="1015" t="s">
        <v>113</v>
      </c>
      <c r="AH70" s="1014" t="s">
        <v>118</v>
      </c>
      <c r="AI70" s="1014" t="s">
        <v>119</v>
      </c>
      <c r="AJ70" s="1014" t="s">
        <v>114</v>
      </c>
      <c r="AK70" s="1015" t="s">
        <v>113</v>
      </c>
    </row>
    <row r="71" spans="2:37" x14ac:dyDescent="0.2">
      <c r="C71" s="918">
        <v>43739</v>
      </c>
      <c r="D71" s="919">
        <f>($E$22*$H$22)/$G$22</f>
        <v>153350.92387096773</v>
      </c>
      <c r="E71" s="920">
        <f>($F$22*$I$22)/$G$22</f>
        <v>14421.080258064516</v>
      </c>
      <c r="F71" s="921">
        <f t="shared" ref="F71:F101" si="6">Q71+R71+S71</f>
        <v>16834.151027608201</v>
      </c>
      <c r="G71" s="922">
        <f>TRUNC(IFERROR(K$22/L$22,0),8)</f>
        <v>1.0163853</v>
      </c>
      <c r="H71" s="923">
        <f t="shared" ref="H71:H101" si="7">ROUND(J$22*G71*F71,4)</f>
        <v>17.11</v>
      </c>
      <c r="I71" s="924">
        <f t="shared" ref="I71:I101" si="8">SUM(D71:H71)</f>
        <v>184624.28154194044</v>
      </c>
      <c r="J71" s="925"/>
      <c r="K71" s="926"/>
      <c r="L71" s="926"/>
      <c r="M71" s="984"/>
      <c r="N71" s="2090">
        <v>16834.151027608201</v>
      </c>
      <c r="O71" s="2091">
        <v>71607.96875</v>
      </c>
      <c r="P71" s="2091">
        <v>107860.16</v>
      </c>
      <c r="Q71" s="2093">
        <v>0</v>
      </c>
      <c r="R71" s="2090"/>
      <c r="S71" s="2092">
        <f t="shared" ref="S71:S101" si="9">N71-R71</f>
        <v>16834.151027608201</v>
      </c>
      <c r="T71" s="2091">
        <v>71608</v>
      </c>
      <c r="U71" s="2092">
        <f t="shared" ref="U71:U101" si="10">O71-T71</f>
        <v>-3.125E-2</v>
      </c>
      <c r="V71" s="2044">
        <v>71039.195000000007</v>
      </c>
      <c r="W71" s="2044">
        <v>36820.972000000002</v>
      </c>
      <c r="X71" s="2042">
        <f t="shared" ref="X71:X101" si="11">P71-(V71+W71)</f>
        <v>-7.0000000123400241E-3</v>
      </c>
      <c r="Y71" s="2043">
        <v>0</v>
      </c>
      <c r="Z71" s="2045">
        <f t="shared" ref="Z71:Z101" si="12">Q71-Y71</f>
        <v>0</v>
      </c>
      <c r="AA71" s="929">
        <v>35981.883000000002</v>
      </c>
      <c r="AB71" s="930">
        <v>-7.0000000123400241E-3</v>
      </c>
      <c r="AC71" s="931">
        <v>0</v>
      </c>
      <c r="AD71" s="931">
        <v>0</v>
      </c>
      <c r="AE71" s="931"/>
      <c r="AF71" s="931"/>
      <c r="AG71" s="932">
        <f>AE71+AF71-AH71</f>
        <v>-16834.151027608201</v>
      </c>
      <c r="AH71" s="931">
        <f t="shared" ref="AH71:AH101" si="13">L71+M71+N71</f>
        <v>16834.151027608201</v>
      </c>
      <c r="AI71" s="931">
        <f>(AB71+AC71+AD71)*1.055056</f>
        <v>-7.3853920130194164E-3</v>
      </c>
      <c r="AJ71" s="931">
        <f>AH71-AI71</f>
        <v>16834.158413000212</v>
      </c>
      <c r="AK71" s="932" t="e">
        <f>AK68+AJ71</f>
        <v>#REF!</v>
      </c>
    </row>
    <row r="72" spans="2:37" x14ac:dyDescent="0.2">
      <c r="C72" s="933">
        <f t="shared" ref="C72:C101" si="14">C71+1</f>
        <v>43740</v>
      </c>
      <c r="D72" s="919">
        <f t="shared" ref="D72:D101" si="15">($E$22*$H$22)/$G$22</f>
        <v>153350.92387096773</v>
      </c>
      <c r="E72" s="920">
        <f t="shared" ref="E72:E101" si="16">($F$22*$I$22)/$G$22</f>
        <v>14421.080258064516</v>
      </c>
      <c r="F72" s="934">
        <f t="shared" si="6"/>
        <v>13634.526026285201</v>
      </c>
      <c r="G72" s="935">
        <f t="shared" ref="G72:G101" si="17">TRUNC(IFERROR(K$22/L$22,0),8)</f>
        <v>1.0163853</v>
      </c>
      <c r="H72" s="923">
        <f t="shared" si="7"/>
        <v>13.857900000000001</v>
      </c>
      <c r="I72" s="924">
        <f t="shared" si="8"/>
        <v>181421.40444061745</v>
      </c>
      <c r="J72" s="925"/>
      <c r="K72" s="926"/>
      <c r="L72" s="926"/>
      <c r="M72" s="984"/>
      <c r="N72" s="2040">
        <v>13634.526026285201</v>
      </c>
      <c r="O72" s="2047">
        <v>71945.242188000004</v>
      </c>
      <c r="P72" s="2047">
        <v>107776.25</v>
      </c>
      <c r="Q72" s="2094">
        <v>0</v>
      </c>
      <c r="R72" s="2046"/>
      <c r="S72" s="2045">
        <f t="shared" si="9"/>
        <v>13634.526026285201</v>
      </c>
      <c r="T72" s="2047">
        <v>71945.240000000005</v>
      </c>
      <c r="U72" s="2045">
        <f t="shared" si="10"/>
        <v>2.1879999985685572E-3</v>
      </c>
      <c r="V72" s="2050">
        <v>71127.513000000006</v>
      </c>
      <c r="W72" s="2050">
        <v>36648.726000000002</v>
      </c>
      <c r="X72" s="2042">
        <f t="shared" si="11"/>
        <v>1.0999999998603016E-2</v>
      </c>
      <c r="Y72" s="2049">
        <v>0</v>
      </c>
      <c r="Z72" s="2051">
        <f t="shared" si="12"/>
        <v>0</v>
      </c>
      <c r="AA72" s="929">
        <v>37656.449999999997</v>
      </c>
      <c r="AB72" s="930">
        <v>1.0999999998603016E-2</v>
      </c>
      <c r="AC72" s="931">
        <v>0</v>
      </c>
      <c r="AD72" s="931">
        <v>0</v>
      </c>
      <c r="AE72" s="931"/>
      <c r="AF72" s="931"/>
      <c r="AG72" s="932">
        <f t="shared" ref="AG72:AG101" si="18">AE72+AF72-AH72</f>
        <v>-13634.526026285201</v>
      </c>
      <c r="AH72" s="931">
        <f t="shared" si="13"/>
        <v>13634.526026285201</v>
      </c>
      <c r="AI72" s="931">
        <f t="shared" ref="AI72:AI101" si="19">(AB72+AC72+AD72)*1.055056</f>
        <v>1.1605615998526103E-2</v>
      </c>
      <c r="AJ72" s="931">
        <f t="shared" ref="AJ72:AJ101" si="20">AH72-AI72</f>
        <v>13634.514420669202</v>
      </c>
      <c r="AK72" s="932" t="e">
        <f>AK71+AJ72</f>
        <v>#REF!</v>
      </c>
    </row>
    <row r="73" spans="2:37" x14ac:dyDescent="0.2">
      <c r="C73" s="933">
        <f t="shared" si="14"/>
        <v>43741</v>
      </c>
      <c r="D73" s="919">
        <f t="shared" si="15"/>
        <v>153350.92387096773</v>
      </c>
      <c r="E73" s="920">
        <f t="shared" si="16"/>
        <v>14421.080258064516</v>
      </c>
      <c r="F73" s="934">
        <f t="shared" si="6"/>
        <v>19846.869433677301</v>
      </c>
      <c r="G73" s="935">
        <f t="shared" si="17"/>
        <v>1.0163853</v>
      </c>
      <c r="H73" s="923">
        <f t="shared" si="7"/>
        <v>20.1721</v>
      </c>
      <c r="I73" s="924">
        <f t="shared" si="8"/>
        <v>187640.06204800954</v>
      </c>
      <c r="J73" s="925"/>
      <c r="K73" s="926"/>
      <c r="L73" s="926"/>
      <c r="M73" s="984"/>
      <c r="N73" s="2040">
        <v>19846.869433677301</v>
      </c>
      <c r="O73" s="2041">
        <v>72694.15625</v>
      </c>
      <c r="P73" s="2041">
        <v>108251.11</v>
      </c>
      <c r="Q73" s="2094">
        <v>0</v>
      </c>
      <c r="R73" s="2040"/>
      <c r="S73" s="2045">
        <f t="shared" si="9"/>
        <v>19846.869433677301</v>
      </c>
      <c r="T73" s="2041">
        <v>72694.16</v>
      </c>
      <c r="U73" s="2045">
        <f t="shared" si="10"/>
        <v>-3.7500000034924597E-3</v>
      </c>
      <c r="V73" s="2050">
        <v>71704.812000000005</v>
      </c>
      <c r="W73" s="2050">
        <v>36546.328999999998</v>
      </c>
      <c r="X73" s="2042">
        <f t="shared" si="11"/>
        <v>-3.1000000002677552E-2</v>
      </c>
      <c r="Y73" s="2049">
        <v>0</v>
      </c>
      <c r="Z73" s="2051">
        <f t="shared" si="12"/>
        <v>0</v>
      </c>
      <c r="AA73" s="929">
        <v>37522.955999999998</v>
      </c>
      <c r="AB73" s="930">
        <v>-3.1000000002677552E-2</v>
      </c>
      <c r="AC73" s="931">
        <v>0</v>
      </c>
      <c r="AD73" s="931">
        <v>0</v>
      </c>
      <c r="AE73" s="931"/>
      <c r="AF73" s="931"/>
      <c r="AG73" s="932">
        <f t="shared" si="18"/>
        <v>-19846.869433677301</v>
      </c>
      <c r="AH73" s="931">
        <f t="shared" si="13"/>
        <v>19846.869433677301</v>
      </c>
      <c r="AI73" s="931">
        <f t="shared" si="19"/>
        <v>-3.270673600282497E-2</v>
      </c>
      <c r="AJ73" s="931">
        <f t="shared" si="20"/>
        <v>19846.902140413302</v>
      </c>
      <c r="AK73" s="932" t="e">
        <f t="shared" ref="AK73:AK101" si="21">AK72+AJ73</f>
        <v>#REF!</v>
      </c>
    </row>
    <row r="74" spans="2:37" x14ac:dyDescent="0.2">
      <c r="C74" s="933">
        <f t="shared" si="14"/>
        <v>43742</v>
      </c>
      <c r="D74" s="919">
        <f t="shared" si="15"/>
        <v>153350.92387096773</v>
      </c>
      <c r="E74" s="920">
        <f t="shared" si="16"/>
        <v>14421.080258064516</v>
      </c>
      <c r="F74" s="934">
        <f t="shared" si="6"/>
        <v>23285.6506328619</v>
      </c>
      <c r="G74" s="935">
        <f t="shared" si="17"/>
        <v>1.0163853</v>
      </c>
      <c r="H74" s="923">
        <f t="shared" si="7"/>
        <v>23.667200000000001</v>
      </c>
      <c r="I74" s="924">
        <f t="shared" si="8"/>
        <v>191082.33834719413</v>
      </c>
      <c r="J74" s="925"/>
      <c r="K74" s="926"/>
      <c r="L74" s="926"/>
      <c r="M74" s="984"/>
      <c r="N74" s="2040">
        <v>23285.6506328619</v>
      </c>
      <c r="O74" s="2047">
        <v>72964.0625</v>
      </c>
      <c r="P74" s="2047">
        <v>108242.12</v>
      </c>
      <c r="Q74" s="2094">
        <v>0</v>
      </c>
      <c r="R74" s="2046"/>
      <c r="S74" s="2045">
        <f t="shared" si="9"/>
        <v>23285.6506328619</v>
      </c>
      <c r="T74" s="2047">
        <v>72964.100000000006</v>
      </c>
      <c r="U74" s="2045">
        <f t="shared" si="10"/>
        <v>-3.7500000005820766E-2</v>
      </c>
      <c r="V74" s="2050">
        <v>71653.133000000002</v>
      </c>
      <c r="W74" s="2050">
        <v>36589.014999999999</v>
      </c>
      <c r="X74" s="2042">
        <f t="shared" si="11"/>
        <v>-2.8000000005704351E-2</v>
      </c>
      <c r="Y74" s="2049">
        <v>0</v>
      </c>
      <c r="Z74" s="2051">
        <f t="shared" si="12"/>
        <v>0</v>
      </c>
      <c r="AA74" s="929">
        <v>37553.93</v>
      </c>
      <c r="AB74" s="930">
        <v>-2.8000000005704351E-2</v>
      </c>
      <c r="AC74" s="931">
        <v>0</v>
      </c>
      <c r="AD74" s="931">
        <v>0</v>
      </c>
      <c r="AE74" s="931"/>
      <c r="AF74" s="931"/>
      <c r="AG74" s="932">
        <f t="shared" si="18"/>
        <v>-23285.6506328619</v>
      </c>
      <c r="AH74" s="931">
        <f t="shared" si="13"/>
        <v>23285.6506328619</v>
      </c>
      <c r="AI74" s="931">
        <f t="shared" si="19"/>
        <v>-2.9541568006018409E-2</v>
      </c>
      <c r="AJ74" s="931">
        <f t="shared" si="20"/>
        <v>23285.680174429905</v>
      </c>
      <c r="AK74" s="932" t="e">
        <f t="shared" si="21"/>
        <v>#REF!</v>
      </c>
    </row>
    <row r="75" spans="2:37" x14ac:dyDescent="0.2">
      <c r="C75" s="933">
        <f t="shared" si="14"/>
        <v>43743</v>
      </c>
      <c r="D75" s="919">
        <f t="shared" si="15"/>
        <v>153350.92387096773</v>
      </c>
      <c r="E75" s="920">
        <f t="shared" si="16"/>
        <v>14421.080258064516</v>
      </c>
      <c r="F75" s="934">
        <f t="shared" si="6"/>
        <v>23417.024618062402</v>
      </c>
      <c r="G75" s="935">
        <f t="shared" si="17"/>
        <v>1.0163853</v>
      </c>
      <c r="H75" s="923">
        <f t="shared" si="7"/>
        <v>23.800699999999999</v>
      </c>
      <c r="I75" s="924">
        <f t="shared" si="8"/>
        <v>191213.84583239464</v>
      </c>
      <c r="J75" s="925"/>
      <c r="K75" s="926"/>
      <c r="L75" s="926"/>
      <c r="M75" s="984"/>
      <c r="N75" s="2040">
        <v>23417.024618062402</v>
      </c>
      <c r="O75" s="2041">
        <v>72297.671875</v>
      </c>
      <c r="P75" s="2041">
        <v>108808.92</v>
      </c>
      <c r="Q75" s="2094">
        <v>0</v>
      </c>
      <c r="R75" s="2040"/>
      <c r="S75" s="2045">
        <f t="shared" si="9"/>
        <v>23417.024618062402</v>
      </c>
      <c r="T75" s="2041">
        <v>72297.7</v>
      </c>
      <c r="U75" s="2045">
        <f t="shared" si="10"/>
        <v>-2.8124999997089617E-2</v>
      </c>
      <c r="V75" s="2050">
        <v>71804.717000000004</v>
      </c>
      <c r="W75" s="2050">
        <v>37004.222999999998</v>
      </c>
      <c r="X75" s="2042">
        <f t="shared" si="11"/>
        <v>-2.0000000004074536E-2</v>
      </c>
      <c r="Y75" s="2049">
        <v>0</v>
      </c>
      <c r="Z75" s="2051">
        <f t="shared" si="12"/>
        <v>0</v>
      </c>
      <c r="AA75" s="929">
        <v>37473.72</v>
      </c>
      <c r="AB75" s="930">
        <v>-2.0000000004074536E-2</v>
      </c>
      <c r="AC75" s="931">
        <v>0</v>
      </c>
      <c r="AD75" s="931">
        <v>0</v>
      </c>
      <c r="AE75" s="931"/>
      <c r="AF75" s="931"/>
      <c r="AG75" s="932">
        <f t="shared" si="18"/>
        <v>-23417.024618062402</v>
      </c>
      <c r="AH75" s="931">
        <f t="shared" si="13"/>
        <v>23417.024618062402</v>
      </c>
      <c r="AI75" s="931">
        <f t="shared" si="19"/>
        <v>-2.1101120004298864E-2</v>
      </c>
      <c r="AJ75" s="931">
        <f t="shared" si="20"/>
        <v>23417.045719182406</v>
      </c>
      <c r="AK75" s="932" t="e">
        <f t="shared" si="21"/>
        <v>#REF!</v>
      </c>
    </row>
    <row r="76" spans="2:37" x14ac:dyDescent="0.2">
      <c r="C76" s="933">
        <f t="shared" si="14"/>
        <v>43744</v>
      </c>
      <c r="D76" s="919">
        <f t="shared" si="15"/>
        <v>153350.92387096773</v>
      </c>
      <c r="E76" s="920">
        <f t="shared" si="16"/>
        <v>14421.080258064516</v>
      </c>
      <c r="F76" s="934">
        <f t="shared" si="6"/>
        <v>23442.815190428297</v>
      </c>
      <c r="G76" s="935">
        <f t="shared" si="17"/>
        <v>1.0163853</v>
      </c>
      <c r="H76" s="923">
        <f t="shared" si="7"/>
        <v>23.826899999999998</v>
      </c>
      <c r="I76" s="924">
        <f t="shared" si="8"/>
        <v>191239.66260476052</v>
      </c>
      <c r="J76" s="925"/>
      <c r="K76" s="926"/>
      <c r="L76" s="926"/>
      <c r="M76" s="984"/>
      <c r="N76" s="2040">
        <v>23442.815190428297</v>
      </c>
      <c r="O76" s="2047">
        <v>71559.40625</v>
      </c>
      <c r="P76" s="2047">
        <v>107774.76</v>
      </c>
      <c r="Q76" s="2094">
        <v>0</v>
      </c>
      <c r="R76" s="2046"/>
      <c r="S76" s="2045">
        <f t="shared" si="9"/>
        <v>23442.815190428297</v>
      </c>
      <c r="T76" s="2047">
        <v>71559.399999999994</v>
      </c>
      <c r="U76" s="2045">
        <f t="shared" si="10"/>
        <v>6.2500000058207661E-3</v>
      </c>
      <c r="V76" s="2050">
        <v>70972.812999999995</v>
      </c>
      <c r="W76" s="2050">
        <v>36801.921000000002</v>
      </c>
      <c r="X76" s="2042">
        <f t="shared" si="11"/>
        <v>2.599999999802094E-2</v>
      </c>
      <c r="Y76" s="2049">
        <v>0</v>
      </c>
      <c r="Z76" s="2051">
        <f t="shared" si="12"/>
        <v>0</v>
      </c>
      <c r="AA76" s="929">
        <v>37487.398999999998</v>
      </c>
      <c r="AB76" s="930">
        <v>2.599999999802094E-2</v>
      </c>
      <c r="AC76" s="931">
        <v>0</v>
      </c>
      <c r="AD76" s="931">
        <v>0</v>
      </c>
      <c r="AE76" s="931"/>
      <c r="AF76" s="931"/>
      <c r="AG76" s="932">
        <f t="shared" si="18"/>
        <v>-23442.815190428297</v>
      </c>
      <c r="AH76" s="931">
        <f t="shared" si="13"/>
        <v>23442.815190428297</v>
      </c>
      <c r="AI76" s="931">
        <f t="shared" si="19"/>
        <v>2.7431455997911979E-2</v>
      </c>
      <c r="AJ76" s="931">
        <f t="shared" si="20"/>
        <v>23442.787758972299</v>
      </c>
      <c r="AK76" s="932" t="e">
        <f t="shared" si="21"/>
        <v>#REF!</v>
      </c>
    </row>
    <row r="77" spans="2:37" x14ac:dyDescent="0.2">
      <c r="C77" s="933">
        <f t="shared" si="14"/>
        <v>43745</v>
      </c>
      <c r="D77" s="919">
        <f t="shared" si="15"/>
        <v>153350.92387096773</v>
      </c>
      <c r="E77" s="920">
        <f t="shared" si="16"/>
        <v>14421.080258064516</v>
      </c>
      <c r="F77" s="934">
        <f t="shared" si="6"/>
        <v>23423.460199968296</v>
      </c>
      <c r="G77" s="935">
        <f t="shared" si="17"/>
        <v>1.0163853</v>
      </c>
      <c r="H77" s="923">
        <f t="shared" si="7"/>
        <v>23.807300000000001</v>
      </c>
      <c r="I77" s="924">
        <f t="shared" si="8"/>
        <v>191220.28801430055</v>
      </c>
      <c r="J77" s="925"/>
      <c r="K77" s="926"/>
      <c r="L77" s="926"/>
      <c r="M77" s="984"/>
      <c r="N77" s="2040">
        <v>23423.460199968296</v>
      </c>
      <c r="O77" s="2041">
        <v>70896.476563000004</v>
      </c>
      <c r="P77" s="2041">
        <v>107434.01</v>
      </c>
      <c r="Q77" s="2094">
        <v>0</v>
      </c>
      <c r="R77" s="2040"/>
      <c r="S77" s="2045">
        <f t="shared" si="9"/>
        <v>23423.460199968296</v>
      </c>
      <c r="T77" s="2041">
        <v>70896.479999999996</v>
      </c>
      <c r="U77" s="2045">
        <f t="shared" si="10"/>
        <v>-3.4369999921182171E-3</v>
      </c>
      <c r="V77" s="2050">
        <v>70434.630999999994</v>
      </c>
      <c r="W77" s="2050">
        <v>36999.362999999998</v>
      </c>
      <c r="X77" s="2042">
        <f t="shared" si="11"/>
        <v>1.6000000003259629E-2</v>
      </c>
      <c r="Y77" s="2049">
        <v>0</v>
      </c>
      <c r="Z77" s="2051">
        <f t="shared" si="12"/>
        <v>0</v>
      </c>
      <c r="AA77" s="929">
        <v>37487.11</v>
      </c>
      <c r="AB77" s="930">
        <v>1.6000000003259629E-2</v>
      </c>
      <c r="AC77" s="931">
        <v>0</v>
      </c>
      <c r="AD77" s="931">
        <v>0</v>
      </c>
      <c r="AE77" s="931"/>
      <c r="AF77" s="931"/>
      <c r="AG77" s="932">
        <f t="shared" si="18"/>
        <v>-23423.460199968296</v>
      </c>
      <c r="AH77" s="931">
        <f t="shared" si="13"/>
        <v>23423.460199968296</v>
      </c>
      <c r="AI77" s="931">
        <f t="shared" si="19"/>
        <v>1.6880896003439092E-2</v>
      </c>
      <c r="AJ77" s="931">
        <f t="shared" si="20"/>
        <v>23423.443319072292</v>
      </c>
      <c r="AK77" s="932" t="e">
        <f t="shared" si="21"/>
        <v>#REF!</v>
      </c>
    </row>
    <row r="78" spans="2:37" x14ac:dyDescent="0.2">
      <c r="C78" s="933">
        <f t="shared" si="14"/>
        <v>43746</v>
      </c>
      <c r="D78" s="919">
        <f t="shared" si="15"/>
        <v>153350.92387096773</v>
      </c>
      <c r="E78" s="920">
        <f t="shared" si="16"/>
        <v>14421.080258064516</v>
      </c>
      <c r="F78" s="934">
        <f t="shared" si="6"/>
        <v>22953.628428183998</v>
      </c>
      <c r="G78" s="935">
        <f t="shared" si="17"/>
        <v>1.0163853</v>
      </c>
      <c r="H78" s="923">
        <f t="shared" si="7"/>
        <v>23.329699999999999</v>
      </c>
      <c r="I78" s="924">
        <f t="shared" si="8"/>
        <v>190749.97864251625</v>
      </c>
      <c r="J78" s="925"/>
      <c r="K78" s="926"/>
      <c r="L78" s="926"/>
      <c r="M78" s="984"/>
      <c r="N78" s="2040">
        <v>22953.628428183998</v>
      </c>
      <c r="O78" s="2047">
        <v>70723.671875</v>
      </c>
      <c r="P78" s="2047">
        <v>107132.57</v>
      </c>
      <c r="Q78" s="2094">
        <v>0</v>
      </c>
      <c r="R78" s="2046"/>
      <c r="S78" s="2045">
        <f t="shared" si="9"/>
        <v>22953.628428183998</v>
      </c>
      <c r="T78" s="2047">
        <v>70723.67</v>
      </c>
      <c r="U78" s="2045">
        <f t="shared" si="10"/>
        <v>1.8750000017462298E-3</v>
      </c>
      <c r="V78" s="2050">
        <v>70507.554000000004</v>
      </c>
      <c r="W78" s="2050">
        <v>36625.012999999999</v>
      </c>
      <c r="X78" s="2042">
        <f t="shared" si="11"/>
        <v>2.9999999969732016E-3</v>
      </c>
      <c r="Y78" s="2049">
        <v>0</v>
      </c>
      <c r="Z78" s="2051">
        <f t="shared" si="12"/>
        <v>0</v>
      </c>
      <c r="AA78" s="929">
        <v>37513.4</v>
      </c>
      <c r="AB78" s="930">
        <v>2.9999999969732016E-3</v>
      </c>
      <c r="AC78" s="931">
        <v>0</v>
      </c>
      <c r="AD78" s="931">
        <v>0</v>
      </c>
      <c r="AE78" s="931"/>
      <c r="AF78" s="931"/>
      <c r="AG78" s="932">
        <f t="shared" si="18"/>
        <v>-22953.628428183998</v>
      </c>
      <c r="AH78" s="931">
        <f t="shared" si="13"/>
        <v>22953.628428183998</v>
      </c>
      <c r="AI78" s="931">
        <f t="shared" si="19"/>
        <v>3.1651679968065583E-3</v>
      </c>
      <c r="AJ78" s="931">
        <f t="shared" si="20"/>
        <v>22953.625263016002</v>
      </c>
      <c r="AK78" s="932" t="e">
        <f t="shared" si="21"/>
        <v>#REF!</v>
      </c>
    </row>
    <row r="79" spans="2:37" x14ac:dyDescent="0.2">
      <c r="C79" s="933">
        <f t="shared" si="14"/>
        <v>43747</v>
      </c>
      <c r="D79" s="919">
        <f t="shared" si="15"/>
        <v>153350.92387096773</v>
      </c>
      <c r="E79" s="920">
        <f t="shared" si="16"/>
        <v>14421.080258064516</v>
      </c>
      <c r="F79" s="934">
        <f t="shared" si="6"/>
        <v>12658.4002211401</v>
      </c>
      <c r="G79" s="935">
        <f t="shared" si="17"/>
        <v>1.0163853</v>
      </c>
      <c r="H79" s="923">
        <f t="shared" si="7"/>
        <v>12.8658</v>
      </c>
      <c r="I79" s="924">
        <f t="shared" si="8"/>
        <v>180444.28653547235</v>
      </c>
      <c r="J79" s="925"/>
      <c r="K79" s="926"/>
      <c r="L79" s="926"/>
      <c r="M79" s="984"/>
      <c r="N79" s="2040">
        <v>12658.4002211401</v>
      </c>
      <c r="O79" s="2041">
        <v>70983.42</v>
      </c>
      <c r="P79" s="2041">
        <v>107592.53</v>
      </c>
      <c r="Q79" s="2094">
        <v>0</v>
      </c>
      <c r="R79" s="2040"/>
      <c r="S79" s="2045">
        <f t="shared" si="9"/>
        <v>12658.4002211401</v>
      </c>
      <c r="T79" s="2041">
        <v>70983.42</v>
      </c>
      <c r="U79" s="2045">
        <f t="shared" si="10"/>
        <v>0</v>
      </c>
      <c r="V79" s="2050">
        <v>70755.490000000005</v>
      </c>
      <c r="W79" s="2050">
        <v>36837.038999999997</v>
      </c>
      <c r="X79" s="2042">
        <f t="shared" si="11"/>
        <v>9.9999998928979039E-4</v>
      </c>
      <c r="Y79" s="2049">
        <v>0</v>
      </c>
      <c r="Z79" s="2051">
        <f t="shared" si="12"/>
        <v>0</v>
      </c>
      <c r="AA79" s="929">
        <v>37266.925000000003</v>
      </c>
      <c r="AB79" s="930">
        <v>9.9999998928979039E-4</v>
      </c>
      <c r="AC79" s="931">
        <v>0</v>
      </c>
      <c r="AD79" s="931">
        <v>0</v>
      </c>
      <c r="AE79" s="931"/>
      <c r="AF79" s="931"/>
      <c r="AG79" s="932">
        <f t="shared" si="18"/>
        <v>-12658.4002211401</v>
      </c>
      <c r="AH79" s="931">
        <f t="shared" si="13"/>
        <v>12658.4002211401</v>
      </c>
      <c r="AI79" s="931">
        <f t="shared" si="19"/>
        <v>1.055055988700129E-3</v>
      </c>
      <c r="AJ79" s="931">
        <f t="shared" si="20"/>
        <v>12658.399166084111</v>
      </c>
      <c r="AK79" s="932" t="e">
        <f t="shared" si="21"/>
        <v>#REF!</v>
      </c>
    </row>
    <row r="80" spans="2:37" x14ac:dyDescent="0.2">
      <c r="C80" s="933">
        <f t="shared" si="14"/>
        <v>43748</v>
      </c>
      <c r="D80" s="919">
        <f t="shared" si="15"/>
        <v>153350.92387096773</v>
      </c>
      <c r="E80" s="920">
        <f t="shared" si="16"/>
        <v>14421.080258064516</v>
      </c>
      <c r="F80" s="934">
        <f t="shared" si="6"/>
        <v>18174.629972937601</v>
      </c>
      <c r="G80" s="935">
        <f t="shared" si="17"/>
        <v>1.0163853</v>
      </c>
      <c r="H80" s="923">
        <f t="shared" si="7"/>
        <v>18.4724</v>
      </c>
      <c r="I80" s="924">
        <f t="shared" si="8"/>
        <v>185966.12288726986</v>
      </c>
      <c r="J80" s="925"/>
      <c r="K80" s="926"/>
      <c r="L80" s="926"/>
      <c r="M80" s="984"/>
      <c r="N80" s="2040">
        <v>18174.629972937601</v>
      </c>
      <c r="O80" s="2047">
        <v>70605.6875</v>
      </c>
      <c r="P80" s="2047">
        <v>107288.31</v>
      </c>
      <c r="Q80" s="2094">
        <v>0</v>
      </c>
      <c r="R80" s="2046"/>
      <c r="S80" s="2045">
        <f t="shared" si="9"/>
        <v>18174.629972937601</v>
      </c>
      <c r="T80" s="2047">
        <v>70605.7</v>
      </c>
      <c r="U80" s="2045">
        <f t="shared" si="10"/>
        <v>-1.2499999997089617E-2</v>
      </c>
      <c r="V80" s="2050">
        <v>70520.452000000005</v>
      </c>
      <c r="W80" s="2050">
        <v>36767.866999999998</v>
      </c>
      <c r="X80" s="2042">
        <f t="shared" si="11"/>
        <v>-9.0000000054715201E-3</v>
      </c>
      <c r="Y80" s="2049">
        <v>0</v>
      </c>
      <c r="Z80" s="2051">
        <f t="shared" si="12"/>
        <v>0</v>
      </c>
      <c r="AA80" s="929">
        <v>37252.741999999998</v>
      </c>
      <c r="AB80" s="930">
        <v>-9.0000000054715201E-3</v>
      </c>
      <c r="AC80" s="931">
        <v>0</v>
      </c>
      <c r="AD80" s="931">
        <v>0</v>
      </c>
      <c r="AE80" s="931"/>
      <c r="AF80" s="931"/>
      <c r="AG80" s="932">
        <f t="shared" si="18"/>
        <v>-18174.629972937601</v>
      </c>
      <c r="AH80" s="931">
        <f t="shared" si="13"/>
        <v>18174.629972937601</v>
      </c>
      <c r="AI80" s="931">
        <f t="shared" si="19"/>
        <v>-9.4955040057727608E-3</v>
      </c>
      <c r="AJ80" s="931">
        <f t="shared" si="20"/>
        <v>18174.639468441605</v>
      </c>
      <c r="AK80" s="932" t="e">
        <f t="shared" si="21"/>
        <v>#REF!</v>
      </c>
    </row>
    <row r="81" spans="3:37" x14ac:dyDescent="0.2">
      <c r="C81" s="933">
        <f t="shared" si="14"/>
        <v>43749</v>
      </c>
      <c r="D81" s="919">
        <f t="shared" si="15"/>
        <v>153350.92387096773</v>
      </c>
      <c r="E81" s="920">
        <f t="shared" si="16"/>
        <v>14421.080258064516</v>
      </c>
      <c r="F81" s="934">
        <f t="shared" si="6"/>
        <v>19704.972992584</v>
      </c>
      <c r="G81" s="935">
        <f t="shared" si="17"/>
        <v>1.0163853</v>
      </c>
      <c r="H81" s="923">
        <f t="shared" si="7"/>
        <v>20.027799999999999</v>
      </c>
      <c r="I81" s="924">
        <f t="shared" si="8"/>
        <v>187498.02130691626</v>
      </c>
      <c r="J81" s="925"/>
      <c r="K81" s="926"/>
      <c r="L81" s="926"/>
      <c r="M81" s="984"/>
      <c r="N81" s="2040">
        <v>19704.972992584</v>
      </c>
      <c r="O81" s="2041">
        <v>70690.273438000004</v>
      </c>
      <c r="P81" s="2041">
        <v>107420.36</v>
      </c>
      <c r="Q81" s="2094">
        <v>0</v>
      </c>
      <c r="R81" s="2040"/>
      <c r="S81" s="2045">
        <f t="shared" si="9"/>
        <v>19704.972992584</v>
      </c>
      <c r="T81" s="2041">
        <v>70690.273000000001</v>
      </c>
      <c r="U81" s="2045">
        <f t="shared" si="10"/>
        <v>4.3800000275950879E-4</v>
      </c>
      <c r="V81" s="2050">
        <v>70585.404999999999</v>
      </c>
      <c r="W81" s="2050">
        <v>36834.968000000001</v>
      </c>
      <c r="X81" s="2042">
        <f t="shared" si="11"/>
        <v>-1.2999999991734512E-2</v>
      </c>
      <c r="Y81" s="2049">
        <v>0</v>
      </c>
      <c r="Z81" s="2051">
        <f t="shared" si="12"/>
        <v>0</v>
      </c>
      <c r="AA81" s="929">
        <v>37494.686000000002</v>
      </c>
      <c r="AB81" s="930">
        <v>-1.2999999991734512E-2</v>
      </c>
      <c r="AC81" s="931">
        <v>0</v>
      </c>
      <c r="AD81" s="931">
        <v>0</v>
      </c>
      <c r="AE81" s="931"/>
      <c r="AF81" s="931"/>
      <c r="AG81" s="932">
        <f t="shared" si="18"/>
        <v>-19704.972992584</v>
      </c>
      <c r="AH81" s="931">
        <f t="shared" si="13"/>
        <v>19704.972992584</v>
      </c>
      <c r="AI81" s="931">
        <f t="shared" si="19"/>
        <v>-1.3715727991279448E-2</v>
      </c>
      <c r="AJ81" s="931">
        <f t="shared" si="20"/>
        <v>19704.98670831199</v>
      </c>
      <c r="AK81" s="932" t="e">
        <f t="shared" si="21"/>
        <v>#REF!</v>
      </c>
    </row>
    <row r="82" spans="3:37" x14ac:dyDescent="0.2">
      <c r="C82" s="933">
        <f t="shared" si="14"/>
        <v>43750</v>
      </c>
      <c r="D82" s="919">
        <f t="shared" si="15"/>
        <v>153350.92387096773</v>
      </c>
      <c r="E82" s="920">
        <f t="shared" si="16"/>
        <v>14421.080258064516</v>
      </c>
      <c r="F82" s="934">
        <f t="shared" si="6"/>
        <v>17747.521580062799</v>
      </c>
      <c r="G82" s="935">
        <f t="shared" si="17"/>
        <v>1.0163853</v>
      </c>
      <c r="H82" s="923">
        <f t="shared" si="7"/>
        <v>18.0383</v>
      </c>
      <c r="I82" s="924">
        <f t="shared" si="8"/>
        <v>185538.58039439505</v>
      </c>
      <c r="J82" s="925"/>
      <c r="K82" s="926"/>
      <c r="L82" s="926"/>
      <c r="M82" s="984"/>
      <c r="N82" s="2040">
        <v>17747.521580062799</v>
      </c>
      <c r="O82" s="2047">
        <v>70855.84375</v>
      </c>
      <c r="P82" s="2047">
        <v>107442.82</v>
      </c>
      <c r="Q82" s="2094">
        <v>0</v>
      </c>
      <c r="R82" s="2046"/>
      <c r="S82" s="2045">
        <f t="shared" si="9"/>
        <v>17747.521580062799</v>
      </c>
      <c r="T82" s="2047">
        <v>70855.842999999993</v>
      </c>
      <c r="U82" s="2045">
        <f t="shared" si="10"/>
        <v>7.5000000651925802E-4</v>
      </c>
      <c r="V82" s="2050">
        <v>70692.516000000003</v>
      </c>
      <c r="W82" s="2050">
        <v>36750.283000000003</v>
      </c>
      <c r="X82" s="2042">
        <f t="shared" si="11"/>
        <v>2.1000000007916242E-2</v>
      </c>
      <c r="Y82" s="2049">
        <v>0</v>
      </c>
      <c r="Z82" s="2051">
        <f t="shared" si="12"/>
        <v>0</v>
      </c>
      <c r="AA82" s="929">
        <v>38136.476000000002</v>
      </c>
      <c r="AB82" s="930">
        <v>2.1000000007916242E-2</v>
      </c>
      <c r="AC82" s="931">
        <v>0</v>
      </c>
      <c r="AD82" s="931">
        <v>0</v>
      </c>
      <c r="AE82" s="931"/>
      <c r="AF82" s="931"/>
      <c r="AG82" s="932">
        <f t="shared" si="18"/>
        <v>-17747.521580062799</v>
      </c>
      <c r="AH82" s="931">
        <f t="shared" si="13"/>
        <v>17747.521580062799</v>
      </c>
      <c r="AI82" s="931">
        <f t="shared" si="19"/>
        <v>2.2156176008352079E-2</v>
      </c>
      <c r="AJ82" s="931">
        <f t="shared" si="20"/>
        <v>17747.499423886791</v>
      </c>
      <c r="AK82" s="932" t="e">
        <f t="shared" si="21"/>
        <v>#REF!</v>
      </c>
    </row>
    <row r="83" spans="3:37" x14ac:dyDescent="0.2">
      <c r="C83" s="933">
        <f t="shared" si="14"/>
        <v>43751</v>
      </c>
      <c r="D83" s="919">
        <f t="shared" si="15"/>
        <v>153350.92387096773</v>
      </c>
      <c r="E83" s="920">
        <f t="shared" si="16"/>
        <v>14421.080258064516</v>
      </c>
      <c r="F83" s="934">
        <f t="shared" si="6"/>
        <v>22258.020224000004</v>
      </c>
      <c r="G83" s="935">
        <f t="shared" si="17"/>
        <v>1.0163853</v>
      </c>
      <c r="H83" s="923">
        <f t="shared" si="7"/>
        <v>22.622699999999998</v>
      </c>
      <c r="I83" s="924">
        <f t="shared" si="8"/>
        <v>190053.66343833227</v>
      </c>
      <c r="J83" s="925"/>
      <c r="K83" s="926"/>
      <c r="L83" s="926"/>
      <c r="M83" s="984"/>
      <c r="N83" s="2040">
        <v>22258.020224000004</v>
      </c>
      <c r="O83" s="2041">
        <v>70835.914063000004</v>
      </c>
      <c r="P83" s="2041">
        <v>107607.18</v>
      </c>
      <c r="Q83" s="2094">
        <v>0</v>
      </c>
      <c r="R83" s="2040"/>
      <c r="S83" s="2045">
        <f t="shared" si="9"/>
        <v>22258.020224000004</v>
      </c>
      <c r="T83" s="2041">
        <v>70835.914000000004</v>
      </c>
      <c r="U83" s="2045">
        <f t="shared" si="10"/>
        <v>6.2999999499879777E-5</v>
      </c>
      <c r="V83" s="2050">
        <v>70671.380999999994</v>
      </c>
      <c r="W83" s="2050">
        <v>36935.800000000003</v>
      </c>
      <c r="X83" s="2042">
        <f t="shared" si="11"/>
        <v>-1.0000000038417056E-3</v>
      </c>
      <c r="Y83" s="2049">
        <v>0</v>
      </c>
      <c r="Z83" s="2051">
        <f t="shared" si="12"/>
        <v>0</v>
      </c>
      <c r="AA83" s="929">
        <v>40970.497000000003</v>
      </c>
      <c r="AB83" s="930">
        <v>-1.0000000038417056E-3</v>
      </c>
      <c r="AC83" s="931">
        <v>0</v>
      </c>
      <c r="AD83" s="931">
        <v>0</v>
      </c>
      <c r="AE83" s="931"/>
      <c r="AF83" s="931"/>
      <c r="AG83" s="932">
        <f t="shared" si="18"/>
        <v>-22258.020224000004</v>
      </c>
      <c r="AH83" s="931">
        <f t="shared" si="13"/>
        <v>22258.020224000004</v>
      </c>
      <c r="AI83" s="931">
        <f t="shared" si="19"/>
        <v>-1.0550560040532145E-3</v>
      </c>
      <c r="AJ83" s="931">
        <f t="shared" si="20"/>
        <v>22258.021279056007</v>
      </c>
      <c r="AK83" s="932" t="e">
        <f t="shared" si="21"/>
        <v>#REF!</v>
      </c>
    </row>
    <row r="84" spans="3:37" x14ac:dyDescent="0.2">
      <c r="C84" s="933">
        <f t="shared" si="14"/>
        <v>43752</v>
      </c>
      <c r="D84" s="919">
        <f t="shared" si="15"/>
        <v>153350.92387096773</v>
      </c>
      <c r="E84" s="920">
        <f t="shared" si="16"/>
        <v>14421.080258064516</v>
      </c>
      <c r="F84" s="934">
        <f t="shared" si="6"/>
        <v>23389.32149712</v>
      </c>
      <c r="G84" s="935">
        <f t="shared" si="17"/>
        <v>1.0163853</v>
      </c>
      <c r="H84" s="923">
        <f t="shared" si="7"/>
        <v>23.772600000000001</v>
      </c>
      <c r="I84" s="924">
        <f t="shared" si="8"/>
        <v>191186.11461145224</v>
      </c>
      <c r="J84" s="925"/>
      <c r="K84" s="926"/>
      <c r="L84" s="926"/>
      <c r="M84" s="984"/>
      <c r="N84" s="2040">
        <v>23389.32149712</v>
      </c>
      <c r="O84" s="2047">
        <v>70918.492188000004</v>
      </c>
      <c r="P84" s="2047">
        <v>107669.95</v>
      </c>
      <c r="Q84" s="2094">
        <v>0</v>
      </c>
      <c r="R84" s="2046"/>
      <c r="S84" s="2045">
        <f t="shared" si="9"/>
        <v>23389.32149712</v>
      </c>
      <c r="T84" s="2047">
        <v>70918.491999999998</v>
      </c>
      <c r="U84" s="2045">
        <f t="shared" si="10"/>
        <v>1.8800000543706119E-4</v>
      </c>
      <c r="V84" s="2050">
        <v>70894.819000000003</v>
      </c>
      <c r="W84" s="2050">
        <v>36775.125</v>
      </c>
      <c r="X84" s="2042">
        <f t="shared" si="11"/>
        <v>5.9999999939464033E-3</v>
      </c>
      <c r="Y84" s="2049">
        <v>0</v>
      </c>
      <c r="Z84" s="2051">
        <f t="shared" si="12"/>
        <v>0</v>
      </c>
      <c r="AA84" s="929">
        <v>38580.525999999998</v>
      </c>
      <c r="AB84" s="930">
        <v>5.9999999939464033E-3</v>
      </c>
      <c r="AC84" s="931">
        <v>0</v>
      </c>
      <c r="AD84" s="931">
        <v>0</v>
      </c>
      <c r="AE84" s="931"/>
      <c r="AF84" s="931"/>
      <c r="AG84" s="932">
        <f t="shared" si="18"/>
        <v>-23389.32149712</v>
      </c>
      <c r="AH84" s="931">
        <f t="shared" si="13"/>
        <v>23389.32149712</v>
      </c>
      <c r="AI84" s="931">
        <f t="shared" si="19"/>
        <v>6.3303359936131166E-3</v>
      </c>
      <c r="AJ84" s="931">
        <f t="shared" si="20"/>
        <v>23389.315166784007</v>
      </c>
      <c r="AK84" s="932" t="e">
        <f t="shared" si="21"/>
        <v>#REF!</v>
      </c>
    </row>
    <row r="85" spans="3:37" x14ac:dyDescent="0.2">
      <c r="C85" s="933">
        <f t="shared" si="14"/>
        <v>43753</v>
      </c>
      <c r="D85" s="919">
        <f t="shared" si="15"/>
        <v>153350.92387096773</v>
      </c>
      <c r="E85" s="920">
        <f t="shared" si="16"/>
        <v>14421.080258064516</v>
      </c>
      <c r="F85" s="934">
        <f t="shared" si="6"/>
        <v>20283.954416639997</v>
      </c>
      <c r="G85" s="935">
        <f t="shared" si="17"/>
        <v>1.0163853</v>
      </c>
      <c r="H85" s="923">
        <f t="shared" si="7"/>
        <v>20.616299999999999</v>
      </c>
      <c r="I85" s="924">
        <f t="shared" si="8"/>
        <v>188077.59123097223</v>
      </c>
      <c r="J85" s="925"/>
      <c r="K85" s="926"/>
      <c r="L85" s="926"/>
      <c r="M85" s="984"/>
      <c r="N85" s="2040">
        <v>20283.954416639997</v>
      </c>
      <c r="O85" s="2041">
        <v>70835.8125</v>
      </c>
      <c r="P85" s="2041">
        <v>111680.97</v>
      </c>
      <c r="Q85" s="2094">
        <v>0</v>
      </c>
      <c r="R85" s="2040"/>
      <c r="S85" s="2045">
        <f t="shared" si="9"/>
        <v>20283.954416639997</v>
      </c>
      <c r="T85" s="2041">
        <v>70835.8</v>
      </c>
      <c r="U85" s="2045">
        <f t="shared" si="10"/>
        <v>1.2499999997089617E-2</v>
      </c>
      <c r="V85" s="2050">
        <v>74975.744999999995</v>
      </c>
      <c r="W85" s="2050">
        <v>36705.237000000001</v>
      </c>
      <c r="X85" s="2042">
        <f t="shared" si="11"/>
        <v>-1.1999999987892807E-2</v>
      </c>
      <c r="Y85" s="2049">
        <v>0</v>
      </c>
      <c r="Z85" s="2051">
        <f t="shared" si="12"/>
        <v>0</v>
      </c>
      <c r="AA85" s="929">
        <v>37621.796999999999</v>
      </c>
      <c r="AB85" s="930">
        <v>-1.1999999987892807E-2</v>
      </c>
      <c r="AC85" s="931">
        <v>0</v>
      </c>
      <c r="AD85" s="931">
        <v>0</v>
      </c>
      <c r="AE85" s="931"/>
      <c r="AF85" s="931"/>
      <c r="AG85" s="932">
        <f t="shared" si="18"/>
        <v>-20283.954416639997</v>
      </c>
      <c r="AH85" s="931">
        <f t="shared" si="13"/>
        <v>20283.954416639997</v>
      </c>
      <c r="AI85" s="931">
        <f t="shared" si="19"/>
        <v>-1.2660671987226233E-2</v>
      </c>
      <c r="AJ85" s="931">
        <f t="shared" si="20"/>
        <v>20283.967077311983</v>
      </c>
      <c r="AK85" s="932" t="e">
        <f t="shared" si="21"/>
        <v>#REF!</v>
      </c>
    </row>
    <row r="86" spans="3:37" x14ac:dyDescent="0.2">
      <c r="C86" s="933">
        <f t="shared" si="14"/>
        <v>43754</v>
      </c>
      <c r="D86" s="919">
        <f t="shared" si="15"/>
        <v>153350.92387096773</v>
      </c>
      <c r="E86" s="920">
        <f t="shared" si="16"/>
        <v>14421.080258064516</v>
      </c>
      <c r="F86" s="934">
        <f t="shared" si="6"/>
        <v>19917.738643487999</v>
      </c>
      <c r="G86" s="935">
        <f t="shared" si="17"/>
        <v>1.0163853</v>
      </c>
      <c r="H86" s="923">
        <f t="shared" si="7"/>
        <v>20.2441</v>
      </c>
      <c r="I86" s="924">
        <f t="shared" si="8"/>
        <v>187711.00325782027</v>
      </c>
      <c r="J86" s="925"/>
      <c r="K86" s="926"/>
      <c r="L86" s="926"/>
      <c r="M86" s="984"/>
      <c r="N86" s="2040">
        <v>19917.738643487999</v>
      </c>
      <c r="O86" s="2047">
        <v>72727.117188000004</v>
      </c>
      <c r="P86" s="2047">
        <v>114258.51</v>
      </c>
      <c r="Q86" s="2094">
        <v>0</v>
      </c>
      <c r="R86" s="2046"/>
      <c r="S86" s="2045">
        <f t="shared" si="9"/>
        <v>19917.738643487999</v>
      </c>
      <c r="T86" s="2047">
        <v>72727.100000000006</v>
      </c>
      <c r="U86" s="2045">
        <f t="shared" si="10"/>
        <v>1.7187999997986481E-2</v>
      </c>
      <c r="V86" s="2050">
        <v>77406.342000000004</v>
      </c>
      <c r="W86" s="2050">
        <v>36852.182999999997</v>
      </c>
      <c r="X86" s="2042">
        <f t="shared" si="11"/>
        <v>-1.4999999999417923E-2</v>
      </c>
      <c r="Y86" s="2049">
        <v>0</v>
      </c>
      <c r="Z86" s="2051">
        <f t="shared" si="12"/>
        <v>0</v>
      </c>
      <c r="AA86" s="929">
        <v>36584.923999999999</v>
      </c>
      <c r="AB86" s="930">
        <v>-1.4999999999417923E-2</v>
      </c>
      <c r="AC86" s="931">
        <v>0</v>
      </c>
      <c r="AD86" s="931">
        <v>0</v>
      </c>
      <c r="AE86" s="931"/>
      <c r="AF86" s="931"/>
      <c r="AG86" s="932">
        <f t="shared" si="18"/>
        <v>-19917.738643487999</v>
      </c>
      <c r="AH86" s="931">
        <f t="shared" si="13"/>
        <v>19917.738643487999</v>
      </c>
      <c r="AI86" s="931">
        <f t="shared" si="19"/>
        <v>-1.5825839999385877E-2</v>
      </c>
      <c r="AJ86" s="931">
        <f t="shared" si="20"/>
        <v>19917.754469328</v>
      </c>
      <c r="AK86" s="932" t="e">
        <f t="shared" si="21"/>
        <v>#REF!</v>
      </c>
    </row>
    <row r="87" spans="3:37" x14ac:dyDescent="0.2">
      <c r="C87" s="933">
        <f t="shared" si="14"/>
        <v>43755</v>
      </c>
      <c r="D87" s="919">
        <f t="shared" si="15"/>
        <v>153350.92387096773</v>
      </c>
      <c r="E87" s="920">
        <f t="shared" si="16"/>
        <v>14421.080258064516</v>
      </c>
      <c r="F87" s="934">
        <f t="shared" si="6"/>
        <v>11615.899145047</v>
      </c>
      <c r="G87" s="935">
        <f t="shared" si="17"/>
        <v>1.0163853</v>
      </c>
      <c r="H87" s="923">
        <f t="shared" si="7"/>
        <v>11.8062</v>
      </c>
      <c r="I87" s="924">
        <f t="shared" si="8"/>
        <v>179400.72585937925</v>
      </c>
      <c r="J87" s="925"/>
      <c r="K87" s="926"/>
      <c r="L87" s="926"/>
      <c r="M87" s="984"/>
      <c r="N87" s="2040">
        <v>11615.899145047</v>
      </c>
      <c r="O87" s="2041">
        <v>71571.882813000004</v>
      </c>
      <c r="P87" s="2041">
        <v>110263.13</v>
      </c>
      <c r="Q87" s="2094">
        <v>0</v>
      </c>
      <c r="R87" s="2040"/>
      <c r="S87" s="2045">
        <f t="shared" si="9"/>
        <v>11615.899145047</v>
      </c>
      <c r="T87" s="2041">
        <v>71571.899999999994</v>
      </c>
      <c r="U87" s="2045">
        <f t="shared" si="10"/>
        <v>-1.7186999990371987E-2</v>
      </c>
      <c r="V87" s="2050">
        <v>72761.706000000006</v>
      </c>
      <c r="W87" s="2050">
        <v>37501.432000000001</v>
      </c>
      <c r="X87" s="2042">
        <f t="shared" si="11"/>
        <v>-8.0000000016298145E-3</v>
      </c>
      <c r="Y87" s="2049">
        <v>0</v>
      </c>
      <c r="Z87" s="2051">
        <f t="shared" si="12"/>
        <v>0</v>
      </c>
      <c r="AA87" s="929">
        <v>36882.906999999999</v>
      </c>
      <c r="AB87" s="930">
        <v>-8.0000000016298145E-3</v>
      </c>
      <c r="AC87" s="931">
        <v>0</v>
      </c>
      <c r="AD87" s="931">
        <v>0</v>
      </c>
      <c r="AE87" s="931"/>
      <c r="AF87" s="931"/>
      <c r="AG87" s="932">
        <f t="shared" si="18"/>
        <v>-11615.899145047</v>
      </c>
      <c r="AH87" s="931">
        <f t="shared" si="13"/>
        <v>11615.899145047</v>
      </c>
      <c r="AI87" s="931">
        <f t="shared" si="19"/>
        <v>-8.4404480017195461E-3</v>
      </c>
      <c r="AJ87" s="931">
        <f t="shared" si="20"/>
        <v>11615.907585495002</v>
      </c>
      <c r="AK87" s="932" t="e">
        <f t="shared" si="21"/>
        <v>#REF!</v>
      </c>
    </row>
    <row r="88" spans="3:37" x14ac:dyDescent="0.2">
      <c r="C88" s="933">
        <f t="shared" si="14"/>
        <v>43756</v>
      </c>
      <c r="D88" s="919">
        <f t="shared" si="15"/>
        <v>153350.92387096773</v>
      </c>
      <c r="E88" s="920">
        <f t="shared" si="16"/>
        <v>14421.080258064516</v>
      </c>
      <c r="F88" s="934">
        <f t="shared" si="6"/>
        <v>11761.022781585001</v>
      </c>
      <c r="G88" s="935">
        <f t="shared" si="17"/>
        <v>1.0163853</v>
      </c>
      <c r="H88" s="923">
        <f t="shared" si="7"/>
        <v>11.9537</v>
      </c>
      <c r="I88" s="924">
        <f t="shared" si="8"/>
        <v>179545.99699591726</v>
      </c>
      <c r="J88" s="925"/>
      <c r="K88" s="926"/>
      <c r="L88" s="926"/>
      <c r="M88" s="984"/>
      <c r="N88" s="2040">
        <v>11761.022781585001</v>
      </c>
      <c r="O88" s="2047">
        <v>71702.414063000004</v>
      </c>
      <c r="P88" s="2047">
        <v>108326.19</v>
      </c>
      <c r="Q88" s="2094">
        <v>0</v>
      </c>
      <c r="R88" s="2046"/>
      <c r="S88" s="2045">
        <f t="shared" si="9"/>
        <v>11761.022781585001</v>
      </c>
      <c r="T88" s="2047">
        <v>71702.399999999994</v>
      </c>
      <c r="U88" s="2045">
        <f t="shared" si="10"/>
        <v>1.4063000009628013E-2</v>
      </c>
      <c r="V88" s="2050">
        <v>70613.471000000005</v>
      </c>
      <c r="W88" s="2050">
        <v>37712.709000000003</v>
      </c>
      <c r="X88" s="2042">
        <f t="shared" si="11"/>
        <v>9.9999999947613105E-3</v>
      </c>
      <c r="Y88" s="2049">
        <v>0</v>
      </c>
      <c r="Z88" s="2051">
        <f t="shared" si="12"/>
        <v>0</v>
      </c>
      <c r="AA88" s="929">
        <v>30907.932000000001</v>
      </c>
      <c r="AB88" s="930">
        <v>9.9999999947613105E-3</v>
      </c>
      <c r="AC88" s="931">
        <v>0</v>
      </c>
      <c r="AD88" s="931">
        <v>0</v>
      </c>
      <c r="AE88" s="931"/>
      <c r="AF88" s="931"/>
      <c r="AG88" s="932">
        <f t="shared" si="18"/>
        <v>-11761.022781585001</v>
      </c>
      <c r="AH88" s="931">
        <f t="shared" si="13"/>
        <v>11761.022781585001</v>
      </c>
      <c r="AI88" s="931">
        <f t="shared" si="19"/>
        <v>1.0550559994472889E-2</v>
      </c>
      <c r="AJ88" s="931">
        <f t="shared" si="20"/>
        <v>11761.012231025006</v>
      </c>
      <c r="AK88" s="932" t="e">
        <f t="shared" si="21"/>
        <v>#REF!</v>
      </c>
    </row>
    <row r="89" spans="3:37" x14ac:dyDescent="0.2">
      <c r="C89" s="933">
        <f t="shared" si="14"/>
        <v>43757</v>
      </c>
      <c r="D89" s="919">
        <f t="shared" si="15"/>
        <v>153350.92387096773</v>
      </c>
      <c r="E89" s="920">
        <f t="shared" si="16"/>
        <v>14421.080258064516</v>
      </c>
      <c r="F89" s="934">
        <f t="shared" si="6"/>
        <v>11714.186699567999</v>
      </c>
      <c r="G89" s="935">
        <f t="shared" si="17"/>
        <v>1.0163853</v>
      </c>
      <c r="H89" s="923">
        <f t="shared" si="7"/>
        <v>11.9061</v>
      </c>
      <c r="I89" s="924">
        <f t="shared" si="8"/>
        <v>179499.11331390025</v>
      </c>
      <c r="J89" s="925"/>
      <c r="K89" s="926"/>
      <c r="L89" s="926"/>
      <c r="M89" s="984"/>
      <c r="N89" s="2040">
        <v>11714.186699567999</v>
      </c>
      <c r="O89" s="2041">
        <v>71193.273438000004</v>
      </c>
      <c r="P89" s="2041">
        <v>107603.38</v>
      </c>
      <c r="Q89" s="2094">
        <v>0</v>
      </c>
      <c r="R89" s="2040"/>
      <c r="S89" s="2045">
        <f t="shared" si="9"/>
        <v>11714.186699567999</v>
      </c>
      <c r="T89" s="2041">
        <v>71193.27</v>
      </c>
      <c r="U89" s="2045">
        <f t="shared" si="10"/>
        <v>3.4379999997327104E-3</v>
      </c>
      <c r="V89" s="2050">
        <v>72510.648000000001</v>
      </c>
      <c r="W89" s="2050">
        <v>35092.711000000003</v>
      </c>
      <c r="X89" s="2042">
        <f t="shared" si="11"/>
        <v>2.1000000007916242E-2</v>
      </c>
      <c r="Y89" s="2049">
        <v>0</v>
      </c>
      <c r="Z89" s="2051">
        <f t="shared" si="12"/>
        <v>0</v>
      </c>
      <c r="AA89" s="929">
        <v>33580.813999999998</v>
      </c>
      <c r="AB89" s="930">
        <v>2.1000000007916242E-2</v>
      </c>
      <c r="AC89" s="931">
        <v>0</v>
      </c>
      <c r="AD89" s="931">
        <v>0</v>
      </c>
      <c r="AE89" s="931"/>
      <c r="AF89" s="931"/>
      <c r="AG89" s="932">
        <f t="shared" si="18"/>
        <v>-11714.186699567999</v>
      </c>
      <c r="AH89" s="931">
        <f t="shared" si="13"/>
        <v>11714.186699567999</v>
      </c>
      <c r="AI89" s="931">
        <f t="shared" si="19"/>
        <v>2.2156176008352079E-2</v>
      </c>
      <c r="AJ89" s="931">
        <f t="shared" si="20"/>
        <v>11714.164543391991</v>
      </c>
      <c r="AK89" s="932" t="e">
        <f t="shared" si="21"/>
        <v>#REF!</v>
      </c>
    </row>
    <row r="90" spans="3:37" x14ac:dyDescent="0.2">
      <c r="C90" s="933">
        <f t="shared" si="14"/>
        <v>43758</v>
      </c>
      <c r="D90" s="919">
        <f t="shared" si="15"/>
        <v>153350.92387096773</v>
      </c>
      <c r="E90" s="920">
        <f t="shared" si="16"/>
        <v>14421.080258064516</v>
      </c>
      <c r="F90" s="934">
        <f t="shared" si="6"/>
        <v>11769.747005664</v>
      </c>
      <c r="G90" s="935">
        <f t="shared" si="17"/>
        <v>1.0163853</v>
      </c>
      <c r="H90" s="923">
        <f t="shared" si="7"/>
        <v>11.9626</v>
      </c>
      <c r="I90" s="924">
        <f t="shared" si="8"/>
        <v>179554.73011999624</v>
      </c>
      <c r="J90" s="925"/>
      <c r="K90" s="926"/>
      <c r="L90" s="926"/>
      <c r="M90" s="984"/>
      <c r="N90" s="2040">
        <v>11769.747005664</v>
      </c>
      <c r="O90" s="2047">
        <v>70881.367188000004</v>
      </c>
      <c r="P90" s="2047">
        <v>107350.78</v>
      </c>
      <c r="Q90" s="2094">
        <v>0</v>
      </c>
      <c r="R90" s="2046"/>
      <c r="S90" s="2045">
        <f t="shared" si="9"/>
        <v>11769.747005664</v>
      </c>
      <c r="T90" s="2047">
        <v>70881.37</v>
      </c>
      <c r="U90" s="2045">
        <f t="shared" si="10"/>
        <v>-2.8119999915361404E-3</v>
      </c>
      <c r="V90" s="2050">
        <v>69946.998000000007</v>
      </c>
      <c r="W90" s="2050">
        <v>37403.790999999997</v>
      </c>
      <c r="X90" s="2042">
        <f t="shared" si="11"/>
        <v>-9.0000000054715201E-3</v>
      </c>
      <c r="Y90" s="2049">
        <v>0</v>
      </c>
      <c r="Z90" s="2051">
        <f t="shared" si="12"/>
        <v>0</v>
      </c>
      <c r="AA90" s="929">
        <v>37796.103999999999</v>
      </c>
      <c r="AB90" s="930">
        <v>-9.0000000054715201E-3</v>
      </c>
      <c r="AC90" s="931">
        <v>0</v>
      </c>
      <c r="AD90" s="931">
        <v>0</v>
      </c>
      <c r="AE90" s="931"/>
      <c r="AF90" s="931"/>
      <c r="AG90" s="932">
        <f t="shared" si="18"/>
        <v>-11769.747005664</v>
      </c>
      <c r="AH90" s="931">
        <f t="shared" si="13"/>
        <v>11769.747005664</v>
      </c>
      <c r="AI90" s="931">
        <f t="shared" si="19"/>
        <v>-9.4955040057727608E-3</v>
      </c>
      <c r="AJ90" s="931">
        <f t="shared" si="20"/>
        <v>11769.756501168005</v>
      </c>
      <c r="AK90" s="932" t="e">
        <f t="shared" si="21"/>
        <v>#REF!</v>
      </c>
    </row>
    <row r="91" spans="3:37" x14ac:dyDescent="0.2">
      <c r="C91" s="933">
        <f t="shared" si="14"/>
        <v>43759</v>
      </c>
      <c r="D91" s="919">
        <f t="shared" si="15"/>
        <v>153350.92387096773</v>
      </c>
      <c r="E91" s="920">
        <f t="shared" si="16"/>
        <v>14421.080258064516</v>
      </c>
      <c r="F91" s="934">
        <f t="shared" si="6"/>
        <v>11766.871056437998</v>
      </c>
      <c r="G91" s="935">
        <f t="shared" si="17"/>
        <v>1.0163853</v>
      </c>
      <c r="H91" s="923">
        <f t="shared" si="7"/>
        <v>11.9597</v>
      </c>
      <c r="I91" s="924">
        <f t="shared" si="8"/>
        <v>179551.85127077025</v>
      </c>
      <c r="J91" s="925"/>
      <c r="K91" s="926"/>
      <c r="L91" s="926"/>
      <c r="M91" s="984"/>
      <c r="N91" s="2040">
        <v>11766.871056437998</v>
      </c>
      <c r="O91" s="2041">
        <v>70997.898438000004</v>
      </c>
      <c r="P91" s="2041">
        <v>104290.43</v>
      </c>
      <c r="Q91" s="2094">
        <v>0</v>
      </c>
      <c r="R91" s="2040"/>
      <c r="S91" s="2045">
        <f t="shared" si="9"/>
        <v>11766.871056437998</v>
      </c>
      <c r="T91" s="2041">
        <v>70997.899999999994</v>
      </c>
      <c r="U91" s="2045">
        <f t="shared" si="10"/>
        <v>-1.5619999903719872E-3</v>
      </c>
      <c r="V91" s="2050">
        <v>66952.364000000001</v>
      </c>
      <c r="W91" s="2050">
        <v>37338.065000000002</v>
      </c>
      <c r="X91" s="2042">
        <f t="shared" si="11"/>
        <v>9.9999998928979039E-4</v>
      </c>
      <c r="Y91" s="2049">
        <v>0</v>
      </c>
      <c r="Z91" s="2051">
        <f t="shared" si="12"/>
        <v>0</v>
      </c>
      <c r="AA91" s="929">
        <v>37765.436999999998</v>
      </c>
      <c r="AB91" s="930">
        <v>9.9999998928979039E-4</v>
      </c>
      <c r="AC91" s="931">
        <v>0</v>
      </c>
      <c r="AD91" s="931">
        <v>0</v>
      </c>
      <c r="AE91" s="931"/>
      <c r="AF91" s="931"/>
      <c r="AG91" s="932">
        <f t="shared" si="18"/>
        <v>-11766.871056437998</v>
      </c>
      <c r="AH91" s="931">
        <f t="shared" si="13"/>
        <v>11766.871056437998</v>
      </c>
      <c r="AI91" s="931">
        <f t="shared" si="19"/>
        <v>1.055055988700129E-3</v>
      </c>
      <c r="AJ91" s="931">
        <f t="shared" si="20"/>
        <v>11766.870001382009</v>
      </c>
      <c r="AK91" s="932" t="e">
        <f t="shared" si="21"/>
        <v>#REF!</v>
      </c>
    </row>
    <row r="92" spans="3:37" x14ac:dyDescent="0.2">
      <c r="C92" s="933">
        <f t="shared" si="14"/>
        <v>43760</v>
      </c>
      <c r="D92" s="919">
        <f t="shared" si="15"/>
        <v>153350.92387096773</v>
      </c>
      <c r="E92" s="920">
        <f t="shared" si="16"/>
        <v>14421.080258064516</v>
      </c>
      <c r="F92" s="934">
        <f t="shared" si="6"/>
        <v>11785.151535827999</v>
      </c>
      <c r="G92" s="935">
        <f t="shared" si="17"/>
        <v>1.0163853</v>
      </c>
      <c r="H92" s="923">
        <f t="shared" si="7"/>
        <v>11.978300000000001</v>
      </c>
      <c r="I92" s="924">
        <f t="shared" si="8"/>
        <v>179570.15035016023</v>
      </c>
      <c r="J92" s="925"/>
      <c r="K92" s="926"/>
      <c r="L92" s="926"/>
      <c r="M92" s="984"/>
      <c r="N92" s="2040">
        <v>11785.151535827999</v>
      </c>
      <c r="O92" s="2047">
        <v>71653.703125</v>
      </c>
      <c r="P92" s="2047">
        <v>108367.01</v>
      </c>
      <c r="Q92" s="2094">
        <v>0</v>
      </c>
      <c r="R92" s="2046"/>
      <c r="S92" s="2045">
        <f t="shared" si="9"/>
        <v>11785.151535827999</v>
      </c>
      <c r="T92" s="2047">
        <v>71653.702999999994</v>
      </c>
      <c r="U92" s="2045">
        <f t="shared" si="10"/>
        <v>1.2500000593718141E-4</v>
      </c>
      <c r="V92" s="2050">
        <v>70938.929000000004</v>
      </c>
      <c r="W92" s="2050">
        <v>37428.093000000001</v>
      </c>
      <c r="X92" s="2042">
        <f t="shared" si="11"/>
        <v>-1.2000000002444722E-2</v>
      </c>
      <c r="Y92" s="2049">
        <v>0</v>
      </c>
      <c r="Z92" s="2051">
        <f t="shared" si="12"/>
        <v>0</v>
      </c>
      <c r="AA92" s="929">
        <v>37949.108999999997</v>
      </c>
      <c r="AB92" s="930">
        <v>-1.2000000002444722E-2</v>
      </c>
      <c r="AC92" s="931">
        <v>0</v>
      </c>
      <c r="AD92" s="931">
        <v>0</v>
      </c>
      <c r="AE92" s="931"/>
      <c r="AF92" s="931"/>
      <c r="AG92" s="932">
        <f t="shared" si="18"/>
        <v>-11785.151535827999</v>
      </c>
      <c r="AH92" s="931">
        <f t="shared" si="13"/>
        <v>11785.151535827999</v>
      </c>
      <c r="AI92" s="931">
        <f t="shared" si="19"/>
        <v>-1.2660672002579318E-2</v>
      </c>
      <c r="AJ92" s="931">
        <f t="shared" si="20"/>
        <v>11785.164196500002</v>
      </c>
      <c r="AK92" s="932" t="e">
        <f t="shared" si="21"/>
        <v>#REF!</v>
      </c>
    </row>
    <row r="93" spans="3:37" x14ac:dyDescent="0.2">
      <c r="C93" s="933">
        <f t="shared" si="14"/>
        <v>43761</v>
      </c>
      <c r="D93" s="919">
        <f t="shared" si="15"/>
        <v>153350.92387096773</v>
      </c>
      <c r="E93" s="920">
        <f t="shared" si="16"/>
        <v>14421.080258064516</v>
      </c>
      <c r="F93" s="934">
        <f t="shared" si="6"/>
        <v>17196.018096602002</v>
      </c>
      <c r="G93" s="935">
        <f t="shared" si="17"/>
        <v>1.0163853</v>
      </c>
      <c r="H93" s="923">
        <f t="shared" si="7"/>
        <v>17.477799999999998</v>
      </c>
      <c r="I93" s="924">
        <f t="shared" si="8"/>
        <v>184986.51641093424</v>
      </c>
      <c r="J93" s="925"/>
      <c r="K93" s="926"/>
      <c r="L93" s="926"/>
      <c r="M93" s="984"/>
      <c r="N93" s="2040">
        <v>17196.018096602002</v>
      </c>
      <c r="O93" s="2041">
        <v>73298.132813000004</v>
      </c>
      <c r="P93" s="2041">
        <v>93739.68</v>
      </c>
      <c r="Q93" s="2094">
        <v>0</v>
      </c>
      <c r="R93" s="2040"/>
      <c r="S93" s="2045">
        <f t="shared" si="9"/>
        <v>17196.018096602002</v>
      </c>
      <c r="T93" s="2041">
        <v>73298.133000000002</v>
      </c>
      <c r="U93" s="2045">
        <f t="shared" si="10"/>
        <v>-1.8699999782256782E-4</v>
      </c>
      <c r="V93" s="2050">
        <v>75013.606</v>
      </c>
      <c r="W93" s="2050">
        <v>18726.078000000001</v>
      </c>
      <c r="X93" s="2042">
        <f t="shared" si="11"/>
        <v>-4.0000000153668225E-3</v>
      </c>
      <c r="Y93" s="2049">
        <v>0</v>
      </c>
      <c r="Z93" s="2051">
        <f t="shared" si="12"/>
        <v>0</v>
      </c>
      <c r="AA93" s="929">
        <v>37884.076000000001</v>
      </c>
      <c r="AB93" s="930">
        <v>-4.0000000153668225E-3</v>
      </c>
      <c r="AC93" s="931">
        <v>0</v>
      </c>
      <c r="AD93" s="931">
        <v>0</v>
      </c>
      <c r="AE93" s="931"/>
      <c r="AF93" s="931"/>
      <c r="AG93" s="932">
        <f t="shared" si="18"/>
        <v>-17196.018096602002</v>
      </c>
      <c r="AH93" s="931">
        <f t="shared" si="13"/>
        <v>17196.018096602002</v>
      </c>
      <c r="AI93" s="931">
        <f t="shared" si="19"/>
        <v>-4.2202240162128582E-3</v>
      </c>
      <c r="AJ93" s="931">
        <f t="shared" si="20"/>
        <v>17196.022316826016</v>
      </c>
      <c r="AK93" s="932" t="e">
        <f t="shared" si="21"/>
        <v>#REF!</v>
      </c>
    </row>
    <row r="94" spans="3:37" x14ac:dyDescent="0.2">
      <c r="C94" s="933">
        <f t="shared" si="14"/>
        <v>43762</v>
      </c>
      <c r="D94" s="919">
        <f t="shared" si="15"/>
        <v>153350.92387096773</v>
      </c>
      <c r="E94" s="920">
        <f t="shared" si="16"/>
        <v>14421.080258064516</v>
      </c>
      <c r="F94" s="934">
        <f t="shared" si="6"/>
        <v>18661.210839785999</v>
      </c>
      <c r="G94" s="935">
        <f t="shared" si="17"/>
        <v>1.0163853</v>
      </c>
      <c r="H94" s="923">
        <f t="shared" si="7"/>
        <v>18.966999999999999</v>
      </c>
      <c r="I94" s="924">
        <f t="shared" si="8"/>
        <v>186453.19835411824</v>
      </c>
      <c r="J94" s="925"/>
      <c r="K94" s="926"/>
      <c r="L94" s="926"/>
      <c r="M94" s="984"/>
      <c r="N94" s="2040">
        <v>18661.210839785999</v>
      </c>
      <c r="O94" s="2047">
        <v>71798.507813000004</v>
      </c>
      <c r="P94" s="2047">
        <v>108303.39</v>
      </c>
      <c r="Q94" s="2094">
        <v>0</v>
      </c>
      <c r="R94" s="2046"/>
      <c r="S94" s="2045">
        <f t="shared" si="9"/>
        <v>18661.210839785999</v>
      </c>
      <c r="T94" s="2047">
        <v>71798.508000000002</v>
      </c>
      <c r="U94" s="2045">
        <f t="shared" si="10"/>
        <v>-1.8699999782256782E-4</v>
      </c>
      <c r="V94" s="2050">
        <v>70754.134000000005</v>
      </c>
      <c r="W94" s="2050">
        <v>37549.250999999997</v>
      </c>
      <c r="X94" s="2042">
        <f t="shared" si="11"/>
        <v>4.9999999901046976E-3</v>
      </c>
      <c r="Y94" s="2049">
        <v>0</v>
      </c>
      <c r="Z94" s="2051">
        <f t="shared" si="12"/>
        <v>0</v>
      </c>
      <c r="AA94" s="929">
        <v>36087.163</v>
      </c>
      <c r="AB94" s="930">
        <v>4.9999999901046976E-3</v>
      </c>
      <c r="AC94" s="931">
        <v>0</v>
      </c>
      <c r="AD94" s="931">
        <v>0</v>
      </c>
      <c r="AE94" s="931"/>
      <c r="AF94" s="931"/>
      <c r="AG94" s="932">
        <f t="shared" si="18"/>
        <v>-18661.210839785999</v>
      </c>
      <c r="AH94" s="931">
        <f t="shared" si="13"/>
        <v>18661.210839785999</v>
      </c>
      <c r="AI94" s="931">
        <f t="shared" si="19"/>
        <v>5.2752799895599018E-3</v>
      </c>
      <c r="AJ94" s="931">
        <f t="shared" si="20"/>
        <v>18661.20556450601</v>
      </c>
      <c r="AK94" s="932" t="e">
        <f t="shared" si="21"/>
        <v>#REF!</v>
      </c>
    </row>
    <row r="95" spans="3:37" x14ac:dyDescent="0.2">
      <c r="C95" s="933">
        <f t="shared" si="14"/>
        <v>43763</v>
      </c>
      <c r="D95" s="919">
        <f t="shared" si="15"/>
        <v>153350.92387096773</v>
      </c>
      <c r="E95" s="920">
        <f t="shared" si="16"/>
        <v>14421.080258064516</v>
      </c>
      <c r="F95" s="934">
        <f t="shared" si="6"/>
        <v>23600.283056405999</v>
      </c>
      <c r="G95" s="935">
        <f t="shared" si="17"/>
        <v>1.0163853</v>
      </c>
      <c r="H95" s="923">
        <f t="shared" si="7"/>
        <v>23.986999999999998</v>
      </c>
      <c r="I95" s="924">
        <f t="shared" si="8"/>
        <v>191397.29057073826</v>
      </c>
      <c r="J95" s="925"/>
      <c r="K95" s="926"/>
      <c r="L95" s="926"/>
      <c r="M95" s="984"/>
      <c r="N95" s="2040">
        <v>23600.283056405999</v>
      </c>
      <c r="O95" s="2041">
        <v>72020.558999999994</v>
      </c>
      <c r="P95" s="2041">
        <v>108794.85</v>
      </c>
      <c r="Q95" s="2094">
        <v>0</v>
      </c>
      <c r="R95" s="2040"/>
      <c r="S95" s="2045">
        <f t="shared" si="9"/>
        <v>23600.283056405999</v>
      </c>
      <c r="T95" s="2041">
        <v>72020.558999999994</v>
      </c>
      <c r="U95" s="2045">
        <f t="shared" si="10"/>
        <v>0</v>
      </c>
      <c r="V95" s="2050">
        <v>71168.683999999994</v>
      </c>
      <c r="W95" s="2050">
        <v>37626.177000000003</v>
      </c>
      <c r="X95" s="2042">
        <f t="shared" si="11"/>
        <v>-1.0999999998603016E-2</v>
      </c>
      <c r="Y95" s="2049">
        <v>0</v>
      </c>
      <c r="Z95" s="2051">
        <f t="shared" si="12"/>
        <v>0</v>
      </c>
      <c r="AA95" s="929">
        <v>33479.998</v>
      </c>
      <c r="AB95" s="930">
        <v>-1.0999999998603016E-2</v>
      </c>
      <c r="AC95" s="931">
        <v>0</v>
      </c>
      <c r="AD95" s="931">
        <v>0</v>
      </c>
      <c r="AE95" s="931"/>
      <c r="AF95" s="931"/>
      <c r="AG95" s="932">
        <f t="shared" si="18"/>
        <v>-23600.283056405999</v>
      </c>
      <c r="AH95" s="931">
        <f t="shared" si="13"/>
        <v>23600.283056405999</v>
      </c>
      <c r="AI95" s="931">
        <f t="shared" si="19"/>
        <v>-1.1605615998526103E-2</v>
      </c>
      <c r="AJ95" s="931">
        <f t="shared" si="20"/>
        <v>23600.294662021995</v>
      </c>
      <c r="AK95" s="932" t="e">
        <f t="shared" si="21"/>
        <v>#REF!</v>
      </c>
    </row>
    <row r="96" spans="3:37" x14ac:dyDescent="0.2">
      <c r="C96" s="933">
        <f t="shared" si="14"/>
        <v>43764</v>
      </c>
      <c r="D96" s="919">
        <f t="shared" si="15"/>
        <v>153350.92387096773</v>
      </c>
      <c r="E96" s="920">
        <f t="shared" si="16"/>
        <v>14421.080258064516</v>
      </c>
      <c r="F96" s="934">
        <f t="shared" si="6"/>
        <v>23535.592549326</v>
      </c>
      <c r="G96" s="935">
        <f t="shared" si="17"/>
        <v>1.0163853</v>
      </c>
      <c r="H96" s="923">
        <f t="shared" si="7"/>
        <v>23.921199999999999</v>
      </c>
      <c r="I96" s="924">
        <f t="shared" si="8"/>
        <v>191332.53426365828</v>
      </c>
      <c r="J96" s="925"/>
      <c r="K96" s="926"/>
      <c r="L96" s="926"/>
      <c r="M96" s="984"/>
      <c r="N96" s="2040">
        <v>23535.592549326</v>
      </c>
      <c r="O96" s="2047">
        <v>71362.414063000004</v>
      </c>
      <c r="P96" s="2047">
        <v>108506.47</v>
      </c>
      <c r="Q96" s="2094">
        <v>0</v>
      </c>
      <c r="R96" s="2046"/>
      <c r="S96" s="2045">
        <f t="shared" si="9"/>
        <v>23535.592549326</v>
      </c>
      <c r="T96" s="2047">
        <v>71362.414999999994</v>
      </c>
      <c r="U96" s="2045">
        <f t="shared" si="10"/>
        <v>-9.3699998978991061E-4</v>
      </c>
      <c r="V96" s="2050">
        <v>70992.592000000004</v>
      </c>
      <c r="W96" s="2050">
        <v>37513.898999999998</v>
      </c>
      <c r="X96" s="2042">
        <f t="shared" si="11"/>
        <v>-2.1000000007916242E-2</v>
      </c>
      <c r="Y96" s="2049">
        <v>0</v>
      </c>
      <c r="Z96" s="2051">
        <f t="shared" si="12"/>
        <v>0</v>
      </c>
      <c r="AA96" s="929">
        <v>37599.446000000004</v>
      </c>
      <c r="AB96" s="930">
        <v>-2.1000000007916242E-2</v>
      </c>
      <c r="AC96" s="931">
        <v>0</v>
      </c>
      <c r="AD96" s="931">
        <v>0</v>
      </c>
      <c r="AE96" s="931"/>
      <c r="AF96" s="931"/>
      <c r="AG96" s="932">
        <f t="shared" si="18"/>
        <v>-23535.592549326</v>
      </c>
      <c r="AH96" s="931">
        <f t="shared" si="13"/>
        <v>23535.592549326</v>
      </c>
      <c r="AI96" s="931">
        <f t="shared" si="19"/>
        <v>-2.2156176008352079E-2</v>
      </c>
      <c r="AJ96" s="931">
        <f t="shared" si="20"/>
        <v>23535.614705502008</v>
      </c>
      <c r="AK96" s="932" t="e">
        <f t="shared" si="21"/>
        <v>#REF!</v>
      </c>
    </row>
    <row r="97" spans="2:42" x14ac:dyDescent="0.2">
      <c r="C97" s="933">
        <f t="shared" si="14"/>
        <v>43765</v>
      </c>
      <c r="D97" s="919">
        <f t="shared" si="15"/>
        <v>153350.92387096773</v>
      </c>
      <c r="E97" s="920">
        <f t="shared" si="16"/>
        <v>14421.080258064516</v>
      </c>
      <c r="F97" s="934">
        <f t="shared" si="6"/>
        <v>23732.096965437006</v>
      </c>
      <c r="G97" s="935">
        <f t="shared" si="17"/>
        <v>1.0163853</v>
      </c>
      <c r="H97" s="923">
        <f t="shared" si="7"/>
        <v>24.120999999999999</v>
      </c>
      <c r="I97" s="924">
        <f t="shared" si="8"/>
        <v>191529.23847976926</v>
      </c>
      <c r="J97" s="925"/>
      <c r="K97" s="926"/>
      <c r="L97" s="926"/>
      <c r="M97" s="984"/>
      <c r="N97" s="2040">
        <v>23732.096965437006</v>
      </c>
      <c r="O97" s="2041">
        <v>74027.710938000004</v>
      </c>
      <c r="P97" s="2041">
        <v>113169.39</v>
      </c>
      <c r="Q97" s="2094">
        <v>0</v>
      </c>
      <c r="R97" s="2040"/>
      <c r="S97" s="2045">
        <f t="shared" si="9"/>
        <v>23732.096965437006</v>
      </c>
      <c r="T97" s="2041">
        <v>74027.710999999996</v>
      </c>
      <c r="U97" s="2045">
        <f t="shared" si="10"/>
        <v>-6.1999991885386407E-5</v>
      </c>
      <c r="V97" s="2050">
        <v>74065.048999999999</v>
      </c>
      <c r="W97" s="2050">
        <v>39104.341</v>
      </c>
      <c r="X97" s="2042">
        <f t="shared" si="11"/>
        <v>0</v>
      </c>
      <c r="Y97" s="2049">
        <v>0</v>
      </c>
      <c r="Z97" s="2051">
        <f t="shared" si="12"/>
        <v>0</v>
      </c>
      <c r="AA97" s="929">
        <v>37820.542000000001</v>
      </c>
      <c r="AB97" s="930">
        <v>0</v>
      </c>
      <c r="AC97" s="931">
        <v>0</v>
      </c>
      <c r="AD97" s="931">
        <v>0</v>
      </c>
      <c r="AE97" s="931"/>
      <c r="AF97" s="931"/>
      <c r="AG97" s="932">
        <f t="shared" si="18"/>
        <v>-23732.096965437006</v>
      </c>
      <c r="AH97" s="931">
        <f t="shared" si="13"/>
        <v>23732.096965437006</v>
      </c>
      <c r="AI97" s="931">
        <f t="shared" si="19"/>
        <v>0</v>
      </c>
      <c r="AJ97" s="931">
        <f t="shared" si="20"/>
        <v>23732.096965437006</v>
      </c>
      <c r="AK97" s="932" t="e">
        <f t="shared" si="21"/>
        <v>#REF!</v>
      </c>
    </row>
    <row r="98" spans="2:42" x14ac:dyDescent="0.2">
      <c r="C98" s="933">
        <f t="shared" si="14"/>
        <v>43766</v>
      </c>
      <c r="D98" s="919">
        <f t="shared" si="15"/>
        <v>153350.92387096773</v>
      </c>
      <c r="E98" s="920">
        <f t="shared" si="16"/>
        <v>14421.080258064516</v>
      </c>
      <c r="F98" s="934">
        <f t="shared" si="6"/>
        <v>23735.509418334004</v>
      </c>
      <c r="G98" s="935">
        <f t="shared" si="17"/>
        <v>1.0163853</v>
      </c>
      <c r="H98" s="923">
        <f t="shared" si="7"/>
        <v>24.124400000000001</v>
      </c>
      <c r="I98" s="924">
        <f t="shared" si="8"/>
        <v>191532.65433266625</v>
      </c>
      <c r="J98" s="925"/>
      <c r="K98" s="926"/>
      <c r="L98" s="926"/>
      <c r="M98" s="984"/>
      <c r="N98" s="2040">
        <v>23735.509418334004</v>
      </c>
      <c r="O98" s="2047">
        <v>71519.078125</v>
      </c>
      <c r="P98" s="2047">
        <v>108690.78</v>
      </c>
      <c r="Q98" s="2094">
        <v>0</v>
      </c>
      <c r="R98" s="2046"/>
      <c r="S98" s="2045">
        <f t="shared" si="9"/>
        <v>23735.509418334004</v>
      </c>
      <c r="T98" s="2047">
        <v>71519.077999999994</v>
      </c>
      <c r="U98" s="2045">
        <f t="shared" si="10"/>
        <v>1.2500000593718141E-4</v>
      </c>
      <c r="V98" s="2050">
        <v>70595.066999999995</v>
      </c>
      <c r="W98" s="2050">
        <v>38095.741000000002</v>
      </c>
      <c r="X98" s="2042">
        <f t="shared" si="11"/>
        <v>-2.7999999991152436E-2</v>
      </c>
      <c r="Y98" s="2049">
        <v>0</v>
      </c>
      <c r="Z98" s="2051">
        <f t="shared" si="12"/>
        <v>0</v>
      </c>
      <c r="AA98" s="929">
        <v>37809.714999999997</v>
      </c>
      <c r="AB98" s="930">
        <v>-2.7999999991152436E-2</v>
      </c>
      <c r="AC98" s="931">
        <v>0</v>
      </c>
      <c r="AD98" s="931">
        <v>0</v>
      </c>
      <c r="AE98" s="931"/>
      <c r="AF98" s="931"/>
      <c r="AG98" s="932">
        <f t="shared" si="18"/>
        <v>-23735.509418334004</v>
      </c>
      <c r="AH98" s="931">
        <f t="shared" si="13"/>
        <v>23735.509418334004</v>
      </c>
      <c r="AI98" s="931">
        <f t="shared" si="19"/>
        <v>-2.9541567990665325E-2</v>
      </c>
      <c r="AJ98" s="931">
        <f t="shared" si="20"/>
        <v>23735.538959901995</v>
      </c>
      <c r="AK98" s="932" t="e">
        <f t="shared" si="21"/>
        <v>#REF!</v>
      </c>
    </row>
    <row r="99" spans="2:42" x14ac:dyDescent="0.2">
      <c r="C99" s="933">
        <f t="shared" si="14"/>
        <v>43767</v>
      </c>
      <c r="D99" s="919">
        <f t="shared" si="15"/>
        <v>153350.92387096773</v>
      </c>
      <c r="E99" s="920">
        <f t="shared" si="16"/>
        <v>14421.080258064516</v>
      </c>
      <c r="F99" s="934">
        <f t="shared" si="6"/>
        <v>22644.187516493996</v>
      </c>
      <c r="G99" s="935">
        <f t="shared" si="17"/>
        <v>1.0163853</v>
      </c>
      <c r="H99" s="923">
        <f t="shared" si="7"/>
        <v>23.0152</v>
      </c>
      <c r="I99" s="924">
        <f t="shared" si="8"/>
        <v>190440.22323082623</v>
      </c>
      <c r="J99" s="925"/>
      <c r="K99" s="926"/>
      <c r="L99" s="926"/>
      <c r="M99" s="926"/>
      <c r="N99" s="2040">
        <v>22644.187516493996</v>
      </c>
      <c r="O99" s="2041">
        <v>71435.601563000004</v>
      </c>
      <c r="P99" s="2041">
        <v>108475.46</v>
      </c>
      <c r="Q99" s="2094">
        <v>0</v>
      </c>
      <c r="R99" s="2040"/>
      <c r="S99" s="2051">
        <f t="shared" si="9"/>
        <v>22644.187516493996</v>
      </c>
      <c r="T99" s="2041">
        <v>71435.601999999999</v>
      </c>
      <c r="U99" s="2051">
        <f t="shared" si="10"/>
        <v>-4.3699999514501542E-4</v>
      </c>
      <c r="V99" s="2050">
        <v>70777.535000000003</v>
      </c>
      <c r="W99" s="2050">
        <v>37697.902999999998</v>
      </c>
      <c r="X99" s="2048">
        <f t="shared" si="11"/>
        <v>2.2000000011757948E-2</v>
      </c>
      <c r="Y99" s="2049">
        <v>0</v>
      </c>
      <c r="Z99" s="2051">
        <f t="shared" si="12"/>
        <v>0</v>
      </c>
      <c r="AA99" s="929">
        <v>37841.216999999997</v>
      </c>
      <c r="AB99" s="930">
        <v>2.2000000011757948E-2</v>
      </c>
      <c r="AC99" s="931">
        <v>0</v>
      </c>
      <c r="AD99" s="931">
        <v>0</v>
      </c>
      <c r="AE99" s="931"/>
      <c r="AF99" s="931"/>
      <c r="AG99" s="932">
        <f t="shared" si="18"/>
        <v>-22644.187516493996</v>
      </c>
      <c r="AH99" s="931">
        <f t="shared" si="13"/>
        <v>22644.187516493996</v>
      </c>
      <c r="AI99" s="931">
        <f t="shared" si="19"/>
        <v>2.3211232012405294E-2</v>
      </c>
      <c r="AJ99" s="931">
        <f t="shared" si="20"/>
        <v>22644.164305261984</v>
      </c>
      <c r="AK99" s="932" t="e">
        <f t="shared" si="21"/>
        <v>#REF!</v>
      </c>
    </row>
    <row r="100" spans="2:42" x14ac:dyDescent="0.2">
      <c r="C100" s="933">
        <f t="shared" si="14"/>
        <v>43768</v>
      </c>
      <c r="D100" s="919">
        <f t="shared" si="15"/>
        <v>153350.92387096773</v>
      </c>
      <c r="E100" s="920">
        <f t="shared" si="16"/>
        <v>14421.080258064516</v>
      </c>
      <c r="F100" s="934">
        <f t="shared" si="6"/>
        <v>23202.809858206998</v>
      </c>
      <c r="G100" s="935">
        <f t="shared" si="17"/>
        <v>1.0163853</v>
      </c>
      <c r="H100" s="923">
        <f t="shared" si="7"/>
        <v>23.582999999999998</v>
      </c>
      <c r="I100" s="924">
        <f t="shared" si="8"/>
        <v>190999.41337253927</v>
      </c>
      <c r="J100" s="925"/>
      <c r="K100" s="926"/>
      <c r="L100" s="926"/>
      <c r="M100" s="926"/>
      <c r="N100" s="2040">
        <v>23202.809858206998</v>
      </c>
      <c r="O100" s="2041">
        <v>71902.289063000004</v>
      </c>
      <c r="P100" s="2041">
        <v>104568.95</v>
      </c>
      <c r="Q100" s="2094">
        <v>0</v>
      </c>
      <c r="R100" s="2040"/>
      <c r="S100" s="2051">
        <f t="shared" si="9"/>
        <v>23202.809858206998</v>
      </c>
      <c r="T100" s="2041">
        <v>71902.289000000004</v>
      </c>
      <c r="U100" s="2051">
        <f t="shared" si="10"/>
        <v>6.2999999499879777E-5</v>
      </c>
      <c r="V100" s="2050">
        <v>68271.862999999998</v>
      </c>
      <c r="W100" s="2050">
        <v>36297.110999999997</v>
      </c>
      <c r="X100" s="2048">
        <f t="shared" si="11"/>
        <v>-2.3999999990337528E-2</v>
      </c>
      <c r="Y100" s="2049">
        <v>0</v>
      </c>
      <c r="Z100" s="2051">
        <f t="shared" si="12"/>
        <v>0</v>
      </c>
      <c r="AA100" s="929">
        <v>37741.279999999999</v>
      </c>
      <c r="AB100" s="930">
        <v>-2.3999999990337528E-2</v>
      </c>
      <c r="AC100" s="931">
        <v>0</v>
      </c>
      <c r="AD100" s="931">
        <v>0</v>
      </c>
      <c r="AE100" s="931"/>
      <c r="AF100" s="931"/>
      <c r="AG100" s="932">
        <f t="shared" si="18"/>
        <v>-23202.809858206998</v>
      </c>
      <c r="AH100" s="931">
        <f t="shared" si="13"/>
        <v>23202.809858206998</v>
      </c>
      <c r="AI100" s="931">
        <f t="shared" si="19"/>
        <v>-2.532134398980555E-2</v>
      </c>
      <c r="AJ100" s="931">
        <f t="shared" si="20"/>
        <v>23202.835179550988</v>
      </c>
      <c r="AK100" s="932" t="e">
        <f t="shared" si="21"/>
        <v>#REF!</v>
      </c>
    </row>
    <row r="101" spans="2:42" ht="13.5" thickBot="1" x14ac:dyDescent="0.25">
      <c r="C101" s="938">
        <f t="shared" si="14"/>
        <v>43769</v>
      </c>
      <c r="D101" s="939">
        <f t="shared" si="15"/>
        <v>153350.92387096773</v>
      </c>
      <c r="E101" s="940">
        <f t="shared" si="16"/>
        <v>14421.080258064516</v>
      </c>
      <c r="F101" s="941">
        <f t="shared" si="6"/>
        <v>23558.732566911003</v>
      </c>
      <c r="G101" s="942">
        <f t="shared" si="17"/>
        <v>1.0163853</v>
      </c>
      <c r="H101" s="943">
        <f t="shared" si="7"/>
        <v>23.944700000000001</v>
      </c>
      <c r="I101" s="944">
        <f t="shared" si="8"/>
        <v>191355.69778124325</v>
      </c>
      <c r="J101" s="945"/>
      <c r="K101" s="946"/>
      <c r="L101" s="946"/>
      <c r="M101" s="946"/>
      <c r="N101" s="2052">
        <v>23558.732566911003</v>
      </c>
      <c r="O101" s="2053">
        <v>72008.3125</v>
      </c>
      <c r="P101" s="2053">
        <v>106385.97</v>
      </c>
      <c r="Q101" s="2095">
        <v>0</v>
      </c>
      <c r="R101" s="2052"/>
      <c r="S101" s="2057">
        <f t="shared" si="9"/>
        <v>23558.732566911003</v>
      </c>
      <c r="T101" s="2053">
        <v>72008.312999999995</v>
      </c>
      <c r="U101" s="2057">
        <f t="shared" si="10"/>
        <v>-4.999999946448952E-4</v>
      </c>
      <c r="V101" s="2056">
        <v>68932.198000000004</v>
      </c>
      <c r="W101" s="2056">
        <v>37453.792999999998</v>
      </c>
      <c r="X101" s="2054">
        <f t="shared" si="11"/>
        <v>-2.1000000007916242E-2</v>
      </c>
      <c r="Y101" s="2049">
        <v>0</v>
      </c>
      <c r="Z101" s="2057">
        <f t="shared" si="12"/>
        <v>0</v>
      </c>
      <c r="AA101" s="949">
        <v>37741.279999999999</v>
      </c>
      <c r="AB101" s="950">
        <v>-2.3999999990337528E-2</v>
      </c>
      <c r="AC101" s="951">
        <v>0</v>
      </c>
      <c r="AD101" s="951">
        <v>0</v>
      </c>
      <c r="AE101" s="951"/>
      <c r="AF101" s="951"/>
      <c r="AG101" s="952">
        <f t="shared" si="18"/>
        <v>-23558.732566911003</v>
      </c>
      <c r="AH101" s="951">
        <f t="shared" si="13"/>
        <v>23558.732566911003</v>
      </c>
      <c r="AI101" s="951">
        <f t="shared" si="19"/>
        <v>-2.532134398980555E-2</v>
      </c>
      <c r="AJ101" s="951">
        <f t="shared" si="20"/>
        <v>23558.757888254993</v>
      </c>
      <c r="AK101" s="952" t="e">
        <f t="shared" si="21"/>
        <v>#REF!</v>
      </c>
    </row>
    <row r="102" spans="2:42" ht="13.5" thickBot="1" x14ac:dyDescent="0.25">
      <c r="C102" s="953"/>
      <c r="D102" s="954">
        <f>SUM(D71:D101)</f>
        <v>4753878.6399999997</v>
      </c>
      <c r="E102" s="954">
        <f>SUM(E71:E101)</f>
        <v>447053.48799999978</v>
      </c>
      <c r="F102" s="955">
        <f>SUM(F71:F101)</f>
        <v>591252.00419668108</v>
      </c>
      <c r="G102" s="955"/>
      <c r="H102" s="956">
        <f t="shared" ref="H102:I102" si="22">SUM(H71:H101)</f>
        <v>600.93970000000002</v>
      </c>
      <c r="I102" s="954">
        <f t="shared" si="22"/>
        <v>5792816.5798409823</v>
      </c>
      <c r="J102" s="1024">
        <f t="shared" ref="J102" si="23">SUM(J71:J101)</f>
        <v>0</v>
      </c>
      <c r="K102" s="1024">
        <f t="shared" ref="K102" si="24">SUM(K71:K101)</f>
        <v>0</v>
      </c>
      <c r="L102" s="1024">
        <f t="shared" ref="L102" si="25">SUM(L71:L101)</f>
        <v>0</v>
      </c>
      <c r="M102" s="1024">
        <f t="shared" ref="M102" si="26">SUM(M71:M101)</f>
        <v>0</v>
      </c>
      <c r="N102" s="1024">
        <f t="shared" ref="N102" si="27">SUM(N71:N101)</f>
        <v>591252.00419668108</v>
      </c>
      <c r="O102" s="1024">
        <f t="shared" ref="O102:P102" si="28">SUM(O71:O101)</f>
        <v>2220514.3618210014</v>
      </c>
      <c r="P102" s="1024">
        <f t="shared" si="28"/>
        <v>3341076.3900000006</v>
      </c>
      <c r="Q102" s="1024">
        <f>SUM(Q71:Q101)</f>
        <v>0</v>
      </c>
      <c r="R102" s="1024">
        <f>SUM(R71:R101)</f>
        <v>0</v>
      </c>
      <c r="S102" s="1024">
        <f>SUM(S71:S101)</f>
        <v>591252.00419668108</v>
      </c>
      <c r="T102" s="1024">
        <f t="shared" ref="T102:X102" si="29">SUM(T71:T101)</f>
        <v>2220514.4429999995</v>
      </c>
      <c r="U102" s="1024">
        <f t="shared" si="29"/>
        <v>-8.1178999898838811E-2</v>
      </c>
      <c r="V102" s="1024">
        <f t="shared" si="29"/>
        <v>2210041.3619999997</v>
      </c>
      <c r="W102" s="1024">
        <f t="shared" si="29"/>
        <v>1131035.159</v>
      </c>
      <c r="X102" s="1024">
        <f t="shared" si="29"/>
        <v>-0.13100000005215406</v>
      </c>
      <c r="Y102" s="996">
        <f t="shared" ref="Y102:AE102" si="30">SUM(Y71:Y101)</f>
        <v>0</v>
      </c>
      <c r="Z102" s="996">
        <f t="shared" si="30"/>
        <v>0</v>
      </c>
      <c r="AA102" s="958">
        <f t="shared" si="30"/>
        <v>1151472.4410000003</v>
      </c>
      <c r="AB102" s="829">
        <f t="shared" si="30"/>
        <v>-0.13400000003457535</v>
      </c>
      <c r="AC102" s="959">
        <f t="shared" si="30"/>
        <v>0</v>
      </c>
      <c r="AD102" s="960">
        <f t="shared" si="30"/>
        <v>0</v>
      </c>
      <c r="AE102" s="960">
        <f t="shared" si="30"/>
        <v>0</v>
      </c>
      <c r="AF102" s="960"/>
      <c r="AG102" s="961"/>
      <c r="AH102" s="960">
        <f>SUM(AH71:AH101)</f>
        <v>591252.00419668108</v>
      </c>
      <c r="AI102" s="960">
        <f>SUM(AI71:AI101)</f>
        <v>-0.14137750403647892</v>
      </c>
      <c r="AJ102" s="960">
        <f>SUM(AJ71:AJ101)</f>
        <v>591252.14557418518</v>
      </c>
      <c r="AK102" s="961" t="e">
        <f>#REF!</f>
        <v>#REF!</v>
      </c>
      <c r="AP102" s="958" t="e">
        <f>#REF!</f>
        <v>#REF!</v>
      </c>
    </row>
    <row r="103" spans="2:42" ht="15" customHeight="1" thickBot="1" x14ac:dyDescent="0.25">
      <c r="B103" s="843"/>
      <c r="C103" s="843"/>
      <c r="D103" s="843"/>
      <c r="E103" s="843"/>
      <c r="F103" s="843"/>
      <c r="G103" s="843"/>
      <c r="H103" s="843"/>
      <c r="I103" s="843"/>
      <c r="J103" s="843"/>
      <c r="K103" s="843"/>
      <c r="L103" s="843"/>
      <c r="N103" s="829"/>
      <c r="O103" s="843"/>
      <c r="V103" s="997"/>
      <c r="W103" s="998"/>
      <c r="Z103" s="829">
        <f>Z102/(Z102+AA102)</f>
        <v>0</v>
      </c>
      <c r="AA103" s="829">
        <f>AA102/(Z102+AA102)</f>
        <v>1</v>
      </c>
      <c r="AB103" s="829"/>
      <c r="AC103" s="829"/>
      <c r="AD103" s="829"/>
      <c r="AE103" s="829"/>
      <c r="AF103" s="829"/>
    </row>
    <row r="104" spans="2:42" ht="13.5" thickBot="1" x14ac:dyDescent="0.25">
      <c r="D104" s="1795" t="s">
        <v>155</v>
      </c>
      <c r="E104" s="1796" t="s">
        <v>156</v>
      </c>
      <c r="F104" s="1797" t="s">
        <v>112</v>
      </c>
      <c r="N104" s="829"/>
      <c r="P104" s="827"/>
      <c r="Z104" s="829"/>
      <c r="AA104" s="829"/>
      <c r="AB104" s="829"/>
      <c r="AG104" s="843"/>
      <c r="AH104" s="843"/>
      <c r="AI104" s="843"/>
      <c r="AJ104" s="843"/>
      <c r="AK104" s="843"/>
    </row>
    <row r="105" spans="2:42" x14ac:dyDescent="0.2">
      <c r="D105" s="1793"/>
      <c r="E105" s="1779">
        <f>D102</f>
        <v>4753878.6399999997</v>
      </c>
      <c r="F105" s="1780">
        <f>D105-E105</f>
        <v>-4753878.6399999997</v>
      </c>
      <c r="G105" s="968"/>
      <c r="H105" s="968"/>
      <c r="I105" s="968"/>
      <c r="P105" s="827"/>
      <c r="W105" s="1008"/>
      <c r="Z105" s="829"/>
      <c r="AA105" s="829">
        <f>1-Z103-AA103</f>
        <v>0</v>
      </c>
      <c r="AB105" s="829"/>
      <c r="AC105" s="829"/>
      <c r="AG105" s="843"/>
      <c r="AH105" s="843"/>
      <c r="AI105" s="843"/>
      <c r="AJ105" s="843"/>
      <c r="AK105" s="843"/>
    </row>
    <row r="106" spans="2:42" x14ac:dyDescent="0.2">
      <c r="C106" s="1791"/>
      <c r="D106" s="1793"/>
      <c r="E106" s="1779">
        <f>E102</f>
        <v>447053.48799999978</v>
      </c>
      <c r="F106" s="1780">
        <f>D106-E106</f>
        <v>-447053.48799999978</v>
      </c>
      <c r="G106" s="968"/>
      <c r="H106" s="968"/>
      <c r="I106" s="968"/>
      <c r="Z106" s="829"/>
      <c r="AG106" s="843"/>
    </row>
    <row r="107" spans="2:42" ht="13.5" thickBot="1" x14ac:dyDescent="0.25">
      <c r="D107" s="1794"/>
      <c r="E107" s="1781">
        <f>ROUND(H102,2)</f>
        <v>600.94000000000005</v>
      </c>
      <c r="F107" s="1782">
        <f>D107-E107</f>
        <v>-600.94000000000005</v>
      </c>
      <c r="G107" s="968"/>
    </row>
    <row r="108" spans="2:42" x14ac:dyDescent="0.2">
      <c r="D108" s="968"/>
    </row>
  </sheetData>
  <mergeCells count="11">
    <mergeCell ref="C16:E16"/>
    <mergeCell ref="C3:M4"/>
    <mergeCell ref="C5:M5"/>
    <mergeCell ref="C6:M6"/>
    <mergeCell ref="C14:E14"/>
    <mergeCell ref="C15:E15"/>
    <mergeCell ref="J69:M69"/>
    <mergeCell ref="N69:Q69"/>
    <mergeCell ref="R69:Z69"/>
    <mergeCell ref="AA69:AG69"/>
    <mergeCell ref="C17:E17"/>
  </mergeCells>
  <conditionalFormatting sqref="R100">
    <cfRule type="cellIs" dxfId="20" priority="3" stopIfTrue="1" operator="equal">
      <formula>0</formula>
    </cfRule>
  </conditionalFormatting>
  <conditionalFormatting sqref="N71:N101">
    <cfRule type="cellIs" dxfId="19" priority="2" stopIfTrue="1" operator="equal">
      <formula>0</formula>
    </cfRule>
  </conditionalFormatting>
  <conditionalFormatting sqref="R71:R98">
    <cfRule type="cellIs" dxfId="18" priority="1" stopIfTrue="1" operator="equal">
      <formula>0</formula>
    </cfRule>
  </conditionalFormatting>
  <conditionalFormatting sqref="O71:P101">
    <cfRule type="cellIs" dxfId="17" priority="7" stopIfTrue="1" operator="equal">
      <formula>0</formula>
    </cfRule>
  </conditionalFormatting>
  <conditionalFormatting sqref="T71:T99 T101">
    <cfRule type="cellIs" dxfId="16" priority="6" stopIfTrue="1" operator="equal">
      <formula>0</formula>
    </cfRule>
  </conditionalFormatting>
  <conditionalFormatting sqref="T100">
    <cfRule type="cellIs" dxfId="15" priority="5" stopIfTrue="1" operator="equal">
      <formula>0</formula>
    </cfRule>
  </conditionalFormatting>
  <conditionalFormatting sqref="R99 R101">
    <cfRule type="cellIs" dxfId="14" priority="4" stopIfTrue="1" operator="equal">
      <formula>0</formula>
    </cfRule>
  </conditionalFormatting>
  <printOptions horizontalCentered="1"/>
  <pageMargins left="0.59055118110236227" right="0.39370078740157483" top="0" bottom="0" header="0" footer="0.51181102362204722"/>
  <pageSetup scale="42" orientation="landscape" r:id="rId1"/>
  <drawing r:id="rId2"/>
  <legacyDrawing r:id="rId3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2:AP108"/>
  <sheetViews>
    <sheetView topLeftCell="E30" workbookViewId="0">
      <selection activeCell="I42" sqref="I42"/>
    </sheetView>
  </sheetViews>
  <sheetFormatPr baseColWidth="10" defaultColWidth="11" defaultRowHeight="12.75" x14ac:dyDescent="0.2"/>
  <cols>
    <col min="1" max="1" width="11" style="829"/>
    <col min="2" max="2" width="3.875" style="829" bestFit="1" customWidth="1"/>
    <col min="3" max="3" width="16.125" style="829" customWidth="1"/>
    <col min="4" max="4" width="14" style="829" bestFit="1" customWidth="1"/>
    <col min="5" max="5" width="18.375" style="829" bestFit="1" customWidth="1"/>
    <col min="6" max="6" width="17.375" style="829" bestFit="1" customWidth="1"/>
    <col min="7" max="8" width="13.375" style="829" bestFit="1" customWidth="1"/>
    <col min="9" max="9" width="15.125" style="829" customWidth="1"/>
    <col min="10" max="10" width="20.5" style="829" customWidth="1"/>
    <col min="11" max="11" width="12.625" style="829" bestFit="1" customWidth="1"/>
    <col min="12" max="12" width="16" style="829" customWidth="1"/>
    <col min="13" max="13" width="15.125" style="829" bestFit="1" customWidth="1"/>
    <col min="14" max="14" width="16.125" style="827" bestFit="1" customWidth="1"/>
    <col min="15" max="15" width="11.375" style="829" bestFit="1" customWidth="1"/>
    <col min="16" max="16" width="11.125" style="829" bestFit="1" customWidth="1"/>
    <col min="17" max="17" width="12.625" style="829" bestFit="1" customWidth="1"/>
    <col min="18" max="18" width="10.875" style="829" customWidth="1"/>
    <col min="19" max="19" width="11.875" style="829" bestFit="1" customWidth="1"/>
    <col min="20" max="20" width="11.125" style="829" bestFit="1" customWidth="1"/>
    <col min="21" max="21" width="11.625" style="829" bestFit="1" customWidth="1"/>
    <col min="22" max="23" width="11.125" style="829" bestFit="1" customWidth="1"/>
    <col min="24" max="24" width="13.625" style="829" bestFit="1" customWidth="1"/>
    <col min="25" max="25" width="16.125" style="829" bestFit="1" customWidth="1"/>
    <col min="26" max="26" width="11.125" style="843" bestFit="1" customWidth="1"/>
    <col min="27" max="27" width="13" style="843" bestFit="1" customWidth="1"/>
    <col min="28" max="32" width="11" style="843"/>
    <col min="33" max="38" width="11" style="829"/>
    <col min="39" max="39" width="11.125" style="829" bestFit="1" customWidth="1"/>
    <col min="40" max="16384" width="11" style="829"/>
  </cols>
  <sheetData>
    <row r="2" spans="2:35" x14ac:dyDescent="0.2">
      <c r="B2" s="827"/>
      <c r="C2" s="828"/>
      <c r="D2" s="828"/>
      <c r="E2" s="828"/>
      <c r="F2" s="828"/>
      <c r="G2" s="828"/>
      <c r="H2" s="828"/>
      <c r="I2" s="828"/>
      <c r="J2" s="828"/>
      <c r="K2" s="828"/>
      <c r="L2" s="828"/>
      <c r="M2" s="828"/>
      <c r="N2" s="828"/>
      <c r="Z2" s="829"/>
      <c r="AA2" s="829"/>
      <c r="AB2" s="829"/>
      <c r="AC2" s="829"/>
      <c r="AD2" s="829"/>
      <c r="AE2" s="829"/>
      <c r="AF2" s="829"/>
    </row>
    <row r="3" spans="2:35" ht="15" customHeight="1" x14ac:dyDescent="0.2">
      <c r="B3" s="827"/>
      <c r="C3" s="2295"/>
      <c r="D3" s="2295"/>
      <c r="E3" s="2295"/>
      <c r="F3" s="2295"/>
      <c r="G3" s="2295"/>
      <c r="H3" s="2295"/>
      <c r="I3" s="2295"/>
      <c r="J3" s="2295"/>
      <c r="K3" s="2295"/>
      <c r="L3" s="2295"/>
      <c r="M3" s="2295"/>
      <c r="N3" s="828"/>
      <c r="Z3" s="829"/>
      <c r="AA3" s="829"/>
      <c r="AB3" s="829"/>
      <c r="AC3" s="829"/>
      <c r="AD3" s="829"/>
      <c r="AE3" s="829"/>
      <c r="AF3" s="829"/>
    </row>
    <row r="4" spans="2:35" ht="15" customHeight="1" x14ac:dyDescent="0.2">
      <c r="B4" s="827"/>
      <c r="C4" s="2295"/>
      <c r="D4" s="2295"/>
      <c r="E4" s="2295"/>
      <c r="F4" s="2295"/>
      <c r="G4" s="2295"/>
      <c r="H4" s="2295"/>
      <c r="I4" s="2295"/>
      <c r="J4" s="2295"/>
      <c r="K4" s="2295"/>
      <c r="L4" s="2295"/>
      <c r="M4" s="2295"/>
      <c r="N4" s="828"/>
      <c r="Z4" s="829"/>
      <c r="AA4" s="829"/>
      <c r="AB4" s="829"/>
      <c r="AC4" s="829"/>
      <c r="AD4" s="829"/>
      <c r="AE4" s="829"/>
      <c r="AF4" s="829"/>
    </row>
    <row r="5" spans="2:35" x14ac:dyDescent="0.2">
      <c r="B5" s="827"/>
      <c r="C5" s="2296"/>
      <c r="D5" s="2296"/>
      <c r="E5" s="2296"/>
      <c r="F5" s="2296"/>
      <c r="G5" s="2296"/>
      <c r="H5" s="2296"/>
      <c r="I5" s="2296"/>
      <c r="J5" s="2296"/>
      <c r="K5" s="2296"/>
      <c r="L5" s="2296"/>
      <c r="M5" s="2296"/>
      <c r="N5" s="828"/>
      <c r="Z5" s="829"/>
      <c r="AA5" s="829"/>
      <c r="AB5" s="829"/>
      <c r="AC5" s="829"/>
      <c r="AD5" s="829"/>
      <c r="AE5" s="829"/>
      <c r="AF5" s="829"/>
    </row>
    <row r="6" spans="2:35" x14ac:dyDescent="0.2">
      <c r="B6" s="827"/>
      <c r="C6" s="2296"/>
      <c r="D6" s="2296"/>
      <c r="E6" s="2296"/>
      <c r="F6" s="2296"/>
      <c r="G6" s="2296"/>
      <c r="H6" s="2296"/>
      <c r="I6" s="2296"/>
      <c r="J6" s="2296"/>
      <c r="K6" s="2296"/>
      <c r="L6" s="2296"/>
      <c r="M6" s="2296"/>
      <c r="N6" s="828"/>
      <c r="Z6" s="829"/>
      <c r="AA6" s="829"/>
      <c r="AB6" s="829"/>
      <c r="AC6" s="829"/>
      <c r="AD6" s="829"/>
      <c r="AE6" s="829"/>
      <c r="AF6" s="829"/>
    </row>
    <row r="7" spans="2:35" x14ac:dyDescent="0.2">
      <c r="B7" s="827"/>
      <c r="C7" s="830">
        <v>43101</v>
      </c>
      <c r="D7" s="830"/>
      <c r="E7" s="830"/>
      <c r="F7" s="830"/>
      <c r="G7" s="830"/>
      <c r="H7" s="830"/>
      <c r="I7" s="830"/>
      <c r="J7" s="830"/>
      <c r="K7" s="830"/>
      <c r="L7" s="830"/>
      <c r="M7" s="830"/>
      <c r="N7" s="830"/>
      <c r="O7" s="830"/>
      <c r="P7" s="830"/>
      <c r="Q7" s="830"/>
      <c r="R7" s="827"/>
      <c r="S7" s="827"/>
      <c r="T7" s="827"/>
      <c r="U7" s="827"/>
      <c r="V7" s="827"/>
      <c r="W7" s="827"/>
      <c r="X7" s="827"/>
      <c r="Y7" s="827"/>
      <c r="Z7" s="829"/>
      <c r="AA7" s="829"/>
      <c r="AB7" s="829"/>
      <c r="AC7" s="829"/>
      <c r="AD7" s="829"/>
      <c r="AE7" s="829"/>
      <c r="AF7" s="829"/>
    </row>
    <row r="8" spans="2:35" ht="19.5" customHeight="1" x14ac:dyDescent="0.2">
      <c r="B8" s="827"/>
      <c r="C8" s="1740"/>
      <c r="D8" s="1740"/>
      <c r="E8" s="1740"/>
      <c r="F8" s="1740"/>
      <c r="G8" s="1740"/>
      <c r="H8" s="1740"/>
      <c r="I8" s="1740"/>
      <c r="J8" s="1740"/>
      <c r="K8" s="1740"/>
      <c r="L8" s="1740"/>
      <c r="M8" s="828"/>
      <c r="N8" s="828"/>
      <c r="O8" s="827"/>
      <c r="P8" s="827"/>
      <c r="Q8" s="827"/>
      <c r="R8" s="827"/>
      <c r="S8" s="827"/>
      <c r="T8" s="827"/>
      <c r="U8" s="827"/>
      <c r="V8" s="827"/>
      <c r="W8" s="827"/>
      <c r="X8" s="827"/>
      <c r="Y8" s="827"/>
      <c r="Z8" s="829"/>
      <c r="AA8" s="829"/>
      <c r="AB8" s="829"/>
      <c r="AC8" s="829"/>
      <c r="AD8" s="829"/>
      <c r="AE8" s="829"/>
      <c r="AF8" s="829"/>
    </row>
    <row r="9" spans="2:35" ht="19.5" customHeight="1" x14ac:dyDescent="0.2">
      <c r="B9" s="827"/>
      <c r="C9" s="1740"/>
      <c r="D9" s="1740"/>
      <c r="E9" s="1740"/>
      <c r="F9" s="1740"/>
      <c r="G9" s="1740"/>
      <c r="H9" s="1740"/>
      <c r="I9" s="1740"/>
      <c r="J9" s="1740"/>
      <c r="K9" s="1740"/>
      <c r="L9" s="1740"/>
      <c r="M9" s="828"/>
      <c r="N9" s="828"/>
      <c r="O9" s="827"/>
      <c r="P9" s="827"/>
      <c r="Q9" s="827"/>
      <c r="R9" s="827"/>
      <c r="S9" s="827"/>
      <c r="T9" s="827"/>
      <c r="U9" s="827"/>
      <c r="V9" s="827"/>
      <c r="W9" s="827"/>
      <c r="X9" s="827"/>
      <c r="Y9" s="827"/>
      <c r="Z9" s="829"/>
      <c r="AA9" s="829"/>
      <c r="AB9" s="829"/>
      <c r="AC9" s="829"/>
      <c r="AD9" s="829"/>
      <c r="AE9" s="829"/>
      <c r="AF9" s="829"/>
    </row>
    <row r="10" spans="2:35" ht="19.5" customHeight="1" x14ac:dyDescent="0.2">
      <c r="B10" s="827"/>
      <c r="C10" s="1740"/>
      <c r="D10" s="1740"/>
      <c r="E10" s="1740"/>
      <c r="F10" s="1740"/>
      <c r="G10" s="1740"/>
      <c r="H10" s="1740"/>
      <c r="I10" s="1740"/>
      <c r="J10" s="1740"/>
      <c r="K10" s="1740"/>
      <c r="L10" s="1740"/>
      <c r="M10" s="828"/>
      <c r="N10" s="828"/>
      <c r="O10" s="827"/>
      <c r="P10" s="827"/>
      <c r="Q10" s="827"/>
      <c r="R10" s="827"/>
      <c r="S10" s="827"/>
      <c r="T10" s="827"/>
      <c r="U10" s="827"/>
      <c r="V10" s="827"/>
      <c r="W10" s="827"/>
      <c r="X10" s="827"/>
      <c r="Y10" s="827"/>
      <c r="Z10" s="829"/>
      <c r="AA10" s="829"/>
      <c r="AB10" s="829"/>
      <c r="AC10" s="829"/>
      <c r="AD10" s="829"/>
      <c r="AE10" s="829"/>
      <c r="AF10" s="829"/>
    </row>
    <row r="11" spans="2:35" ht="19.5" customHeight="1" x14ac:dyDescent="0.2">
      <c r="B11" s="827"/>
      <c r="C11" s="1740"/>
      <c r="D11" s="1740"/>
      <c r="E11" s="1740"/>
      <c r="F11" s="1740"/>
      <c r="G11" s="1740"/>
      <c r="H11" s="1740"/>
      <c r="I11" s="1740"/>
      <c r="J11" s="1740"/>
      <c r="K11" s="1740"/>
      <c r="L11" s="1740"/>
      <c r="M11" s="828"/>
      <c r="N11" s="828"/>
      <c r="O11" s="827"/>
      <c r="P11" s="827"/>
      <c r="Q11" s="827"/>
      <c r="R11" s="827"/>
      <c r="S11" s="827"/>
      <c r="T11" s="827"/>
      <c r="U11" s="827"/>
      <c r="V11" s="827"/>
      <c r="W11" s="827"/>
      <c r="X11" s="827"/>
      <c r="Y11" s="827"/>
      <c r="Z11" s="829"/>
      <c r="AA11" s="829"/>
      <c r="AB11" s="829"/>
      <c r="AC11" s="829"/>
      <c r="AD11" s="829"/>
      <c r="AE11" s="829"/>
      <c r="AF11" s="829"/>
    </row>
    <row r="12" spans="2:35" ht="19.5" customHeight="1" x14ac:dyDescent="0.2">
      <c r="B12" s="827"/>
      <c r="C12" s="1740"/>
      <c r="D12" s="1740"/>
      <c r="E12" s="1740"/>
      <c r="F12" s="1740"/>
      <c r="G12" s="1740"/>
      <c r="H12" s="1740"/>
      <c r="I12" s="1740"/>
      <c r="J12" s="1740"/>
      <c r="K12" s="1740"/>
      <c r="L12" s="1740"/>
      <c r="M12" s="828"/>
      <c r="N12" s="828"/>
      <c r="O12" s="827"/>
      <c r="P12" s="827"/>
      <c r="Q12" s="827"/>
      <c r="R12" s="827"/>
      <c r="S12" s="827"/>
      <c r="T12" s="827"/>
      <c r="U12" s="827"/>
      <c r="V12" s="827"/>
      <c r="W12" s="827"/>
      <c r="X12" s="827"/>
      <c r="Y12" s="827"/>
      <c r="Z12" s="829"/>
      <c r="AA12" s="829"/>
      <c r="AB12" s="829"/>
      <c r="AC12" s="829"/>
      <c r="AD12" s="829"/>
      <c r="AE12" s="829"/>
      <c r="AF12" s="829"/>
    </row>
    <row r="13" spans="2:35" ht="19.5" customHeight="1" thickBot="1" x14ac:dyDescent="0.25">
      <c r="B13" s="827"/>
      <c r="C13" s="1740"/>
      <c r="D13" s="1740"/>
      <c r="E13" s="1740"/>
      <c r="F13" s="1740"/>
      <c r="G13" s="1740"/>
      <c r="H13" s="1740"/>
      <c r="I13" s="1740"/>
      <c r="J13" s="1740"/>
      <c r="K13" s="1740"/>
      <c r="L13" s="1740"/>
      <c r="M13" s="828"/>
      <c r="N13" s="828"/>
      <c r="O13" s="827"/>
      <c r="P13" s="827"/>
      <c r="Q13" s="827"/>
      <c r="R13" s="827"/>
      <c r="S13" s="827"/>
      <c r="T13" s="827"/>
      <c r="U13" s="827"/>
      <c r="V13" s="827"/>
      <c r="W13" s="827"/>
      <c r="X13" s="827"/>
      <c r="Y13" s="827"/>
      <c r="Z13" s="829"/>
      <c r="AA13" s="829"/>
      <c r="AB13" s="829"/>
      <c r="AC13" s="829"/>
      <c r="AD13" s="829"/>
      <c r="AE13" s="829"/>
      <c r="AF13" s="829"/>
    </row>
    <row r="14" spans="2:35" ht="26.25" thickBot="1" x14ac:dyDescent="0.25">
      <c r="B14" s="827"/>
      <c r="C14" s="2333" t="s">
        <v>6</v>
      </c>
      <c r="D14" s="2334"/>
      <c r="E14" s="2335"/>
      <c r="F14" s="832" t="s">
        <v>227</v>
      </c>
      <c r="G14" s="832" t="s">
        <v>230</v>
      </c>
      <c r="H14" s="832" t="s">
        <v>228</v>
      </c>
      <c r="I14" s="832" t="s">
        <v>229</v>
      </c>
      <c r="J14" s="833" t="s">
        <v>126</v>
      </c>
      <c r="K14" s="833" t="s">
        <v>133</v>
      </c>
      <c r="L14" s="832" t="s">
        <v>127</v>
      </c>
      <c r="M14" s="834" t="s">
        <v>128</v>
      </c>
      <c r="N14" s="828"/>
      <c r="O14" s="827"/>
      <c r="P14" s="827"/>
      <c r="Q14" s="827"/>
      <c r="R14" s="827"/>
      <c r="S14" s="827"/>
      <c r="T14" s="827"/>
      <c r="U14" s="827"/>
      <c r="V14" s="827"/>
      <c r="W14" s="827"/>
      <c r="X14" s="827"/>
      <c r="Y14" s="827"/>
      <c r="Z14" s="829"/>
      <c r="AA14" s="829"/>
      <c r="AB14" s="829"/>
      <c r="AC14" s="829"/>
      <c r="AD14" s="829"/>
      <c r="AE14" s="829"/>
      <c r="AF14" s="829"/>
    </row>
    <row r="15" spans="2:35" ht="13.5" thickBot="1" x14ac:dyDescent="0.25">
      <c r="B15" s="827"/>
      <c r="C15" s="2329" t="s">
        <v>131</v>
      </c>
      <c r="D15" s="2330"/>
      <c r="E15" s="2331"/>
      <c r="F15" s="835"/>
      <c r="G15" s="836" t="s">
        <v>165</v>
      </c>
      <c r="H15" s="835"/>
      <c r="I15" s="837">
        <f>IF(D105=0,E105,D105)</f>
        <v>4600527.716129032</v>
      </c>
      <c r="J15" s="835">
        <f>I15*0.16</f>
        <v>736084.43458064517</v>
      </c>
      <c r="K15" s="835">
        <f>I15+J15</f>
        <v>5336612.1507096775</v>
      </c>
      <c r="L15" s="838"/>
      <c r="M15" s="839">
        <v>22</v>
      </c>
      <c r="O15" s="827"/>
      <c r="P15" s="827"/>
      <c r="Q15" s="827"/>
      <c r="R15" s="827"/>
      <c r="S15" s="827"/>
      <c r="T15" s="827"/>
      <c r="U15" s="827"/>
      <c r="V15" s="827"/>
      <c r="W15" s="827"/>
      <c r="X15" s="827"/>
      <c r="Y15" s="827"/>
      <c r="Z15" s="829"/>
      <c r="AA15" s="829"/>
      <c r="AB15" s="829"/>
      <c r="AC15" s="829"/>
      <c r="AD15" s="829"/>
      <c r="AE15" s="829"/>
      <c r="AF15" s="829"/>
    </row>
    <row r="16" spans="2:35" ht="13.5" thickBot="1" x14ac:dyDescent="0.25">
      <c r="B16" s="827"/>
      <c r="C16" s="2329" t="s">
        <v>275</v>
      </c>
      <c r="D16" s="2330"/>
      <c r="E16" s="2331"/>
      <c r="F16" s="840"/>
      <c r="G16" s="840"/>
      <c r="H16" s="840"/>
      <c r="I16" s="837">
        <f>IF(D106=0,E106,D106)</f>
        <v>432632.40774193528</v>
      </c>
      <c r="J16" s="841">
        <f>I16*0.16</f>
        <v>69221.185238709644</v>
      </c>
      <c r="K16" s="841">
        <f>I16+J16</f>
        <v>501853.5929806449</v>
      </c>
      <c r="L16" s="838"/>
      <c r="M16" s="842">
        <v>22</v>
      </c>
      <c r="O16" s="827"/>
      <c r="P16" s="827"/>
      <c r="Q16" s="827"/>
      <c r="R16" s="827"/>
      <c r="S16" s="827"/>
      <c r="T16" s="827"/>
      <c r="U16" s="827"/>
      <c r="V16" s="827"/>
      <c r="W16" s="827"/>
      <c r="X16" s="827"/>
      <c r="Y16" s="827"/>
      <c r="Z16" s="827"/>
      <c r="AA16" s="827"/>
      <c r="AB16" s="827"/>
      <c r="AG16" s="843"/>
      <c r="AH16" s="843"/>
      <c r="AI16" s="843"/>
    </row>
    <row r="17" spans="2:33" ht="13.5" thickBot="1" x14ac:dyDescent="0.25">
      <c r="B17" s="827"/>
      <c r="C17" s="2326" t="s">
        <v>132</v>
      </c>
      <c r="D17" s="2327"/>
      <c r="E17" s="2328"/>
      <c r="F17" s="844"/>
      <c r="G17" s="845" t="s">
        <v>165</v>
      </c>
      <c r="H17" s="844"/>
      <c r="I17" s="846">
        <f>IF(D107=0,E107,D107)</f>
        <v>5502.75</v>
      </c>
      <c r="J17" s="844">
        <f>I17*0.16</f>
        <v>880.44</v>
      </c>
      <c r="K17" s="844">
        <f>I17+J17</f>
        <v>6383.1900000000005</v>
      </c>
      <c r="L17" s="847"/>
      <c r="M17" s="848">
        <v>22</v>
      </c>
      <c r="O17" s="827"/>
      <c r="P17" s="827"/>
      <c r="Q17" s="827"/>
      <c r="R17" s="827"/>
      <c r="S17" s="827"/>
      <c r="T17" s="827"/>
      <c r="U17" s="827"/>
      <c r="V17" s="827"/>
      <c r="W17" s="827"/>
      <c r="X17" s="827"/>
      <c r="Y17" s="827"/>
      <c r="Z17" s="829"/>
      <c r="AA17" s="829"/>
      <c r="AB17" s="829"/>
      <c r="AC17" s="829"/>
      <c r="AD17" s="829"/>
      <c r="AE17" s="829"/>
      <c r="AF17" s="829"/>
    </row>
    <row r="18" spans="2:33" x14ac:dyDescent="0.2">
      <c r="B18" s="827"/>
      <c r="C18" s="1740"/>
      <c r="D18" s="1740"/>
      <c r="E18" s="1740"/>
      <c r="F18" s="1740"/>
      <c r="G18" s="1740"/>
      <c r="H18" s="827"/>
      <c r="I18" s="827"/>
      <c r="J18" s="827"/>
      <c r="K18" s="827"/>
      <c r="L18" s="827"/>
      <c r="M18" s="827"/>
      <c r="O18" s="827"/>
      <c r="P18" s="827"/>
      <c r="Q18" s="827"/>
      <c r="R18" s="827"/>
      <c r="S18" s="827"/>
      <c r="T18" s="827"/>
      <c r="U18" s="827"/>
      <c r="V18" s="827"/>
      <c r="W18" s="827"/>
      <c r="X18" s="827"/>
      <c r="Y18" s="827"/>
    </row>
    <row r="19" spans="2:33" x14ac:dyDescent="0.2">
      <c r="B19" s="827"/>
      <c r="C19" s="1740"/>
      <c r="D19" s="1740"/>
      <c r="E19" s="1740"/>
      <c r="F19" s="1740"/>
      <c r="G19" s="1740"/>
      <c r="H19" s="827"/>
      <c r="I19" s="827"/>
      <c r="J19" s="827"/>
      <c r="K19" s="827"/>
      <c r="L19" s="827">
        <f>K17*M17</f>
        <v>140430.18000000002</v>
      </c>
      <c r="O19" s="827"/>
      <c r="P19" s="827"/>
      <c r="Q19" s="827"/>
      <c r="R19" s="827"/>
      <c r="S19" s="827"/>
      <c r="T19" s="827"/>
      <c r="U19" s="827"/>
      <c r="V19" s="827"/>
      <c r="W19" s="827"/>
      <c r="X19" s="827"/>
      <c r="Y19" s="827"/>
    </row>
    <row r="20" spans="2:33" ht="13.5" thickBot="1" x14ac:dyDescent="0.25">
      <c r="B20" s="827"/>
      <c r="C20" s="849"/>
      <c r="D20" s="1740"/>
      <c r="E20" s="1740"/>
      <c r="F20" s="1740"/>
      <c r="G20" s="1740"/>
      <c r="H20" s="1740"/>
      <c r="I20" s="1740"/>
      <c r="J20" s="1740"/>
      <c r="K20" s="1740"/>
      <c r="L20" s="1740"/>
      <c r="M20" s="1740"/>
      <c r="N20" s="1740"/>
      <c r="O20" s="1740"/>
      <c r="P20" s="1740"/>
      <c r="Q20" s="1740"/>
      <c r="R20" s="827"/>
      <c r="S20" s="827"/>
      <c r="T20" s="827"/>
      <c r="U20" s="827"/>
      <c r="V20" s="827"/>
      <c r="W20" s="827"/>
      <c r="X20" s="827"/>
      <c r="Y20" s="827"/>
      <c r="Z20" s="827"/>
      <c r="AG20" s="843"/>
    </row>
    <row r="21" spans="2:33" ht="51.75" thickBot="1" x14ac:dyDescent="0.25">
      <c r="B21" s="827"/>
      <c r="C21" s="850" t="s">
        <v>134</v>
      </c>
      <c r="D21" s="832" t="s">
        <v>135</v>
      </c>
      <c r="E21" s="832" t="s">
        <v>285</v>
      </c>
      <c r="F21" s="832" t="s">
        <v>278</v>
      </c>
      <c r="G21" s="832" t="s">
        <v>153</v>
      </c>
      <c r="H21" s="832" t="s">
        <v>279</v>
      </c>
      <c r="I21" s="832" t="s">
        <v>281</v>
      </c>
      <c r="J21" s="832" t="s">
        <v>280</v>
      </c>
      <c r="K21" s="832" t="s">
        <v>245</v>
      </c>
      <c r="L21" s="832" t="s">
        <v>246</v>
      </c>
      <c r="M21" s="832"/>
      <c r="N21" s="834" t="s">
        <v>158</v>
      </c>
      <c r="O21" s="1740"/>
      <c r="P21" s="1740"/>
      <c r="Q21" s="1740"/>
      <c r="R21" s="1740"/>
      <c r="S21" s="1740"/>
      <c r="T21" s="1740"/>
      <c r="U21" s="1740"/>
      <c r="V21" s="827"/>
      <c r="W21" s="827"/>
      <c r="X21" s="827"/>
      <c r="Y21" s="827"/>
      <c r="Z21" s="827"/>
      <c r="AG21" s="843"/>
    </row>
    <row r="22" spans="2:33" ht="13.5" thickBot="1" x14ac:dyDescent="0.25">
      <c r="B22" s="827"/>
      <c r="C22" s="851">
        <v>850</v>
      </c>
      <c r="D22" s="1010">
        <v>850</v>
      </c>
      <c r="E22" s="852">
        <v>31482640</v>
      </c>
      <c r="F22" s="852">
        <v>31482640</v>
      </c>
      <c r="G22" s="852">
        <v>31</v>
      </c>
      <c r="H22" s="853">
        <f>VLOOKUP(C69,Tarifas!D4:H303,3)</f>
        <v>0.151</v>
      </c>
      <c r="I22" s="2073">
        <v>1.4200000000000001E-2</v>
      </c>
      <c r="J22" s="2073">
        <f>VLOOKUP(C69,Tarifas!D4:H303,5)</f>
        <v>1E-3</v>
      </c>
      <c r="K22" s="2073">
        <v>204.7</v>
      </c>
      <c r="L22" s="2073">
        <v>201.4</v>
      </c>
      <c r="M22" s="853"/>
      <c r="N22" s="854">
        <f>F102</f>
        <v>5414039.0949450005</v>
      </c>
      <c r="O22" s="855"/>
      <c r="P22" s="855"/>
      <c r="Q22" s="1740"/>
      <c r="R22" s="1740"/>
      <c r="S22" s="1740"/>
      <c r="T22" s="1740"/>
      <c r="U22" s="1740"/>
      <c r="V22" s="827"/>
      <c r="W22" s="827"/>
      <c r="X22" s="827"/>
      <c r="Y22" s="827"/>
      <c r="Z22" s="827"/>
      <c r="AG22" s="843"/>
    </row>
    <row r="23" spans="2:33" x14ac:dyDescent="0.2">
      <c r="B23" s="827"/>
      <c r="C23" s="1740"/>
      <c r="D23" s="1740"/>
      <c r="E23" s="1740"/>
      <c r="F23" s="1740"/>
      <c r="G23" s="1740"/>
      <c r="H23" s="1740"/>
      <c r="I23" s="1740"/>
      <c r="J23" s="1740"/>
      <c r="K23" s="856"/>
      <c r="L23" s="1740"/>
      <c r="M23" s="1740"/>
      <c r="N23" s="1740"/>
      <c r="O23" s="1740"/>
      <c r="P23" s="1740"/>
      <c r="Q23" s="1740"/>
      <c r="R23" s="1740"/>
      <c r="S23" s="1740"/>
      <c r="T23" s="827"/>
      <c r="U23" s="827"/>
      <c r="V23" s="827"/>
      <c r="W23" s="827"/>
      <c r="X23" s="827"/>
      <c r="Y23" s="827"/>
      <c r="Z23" s="827"/>
      <c r="AG23" s="843"/>
    </row>
    <row r="24" spans="2:33" x14ac:dyDescent="0.2">
      <c r="B24" s="827"/>
      <c r="C24" s="2034"/>
      <c r="D24" s="2034"/>
      <c r="E24" s="2034"/>
      <c r="F24" s="2034"/>
      <c r="G24" s="2034"/>
      <c r="H24" s="2034"/>
      <c r="I24" s="2034"/>
      <c r="J24" s="2034"/>
      <c r="K24" s="2034"/>
      <c r="L24" s="2034"/>
      <c r="M24" s="2034"/>
      <c r="N24" s="2034"/>
      <c r="O24" s="2034"/>
      <c r="P24" s="2034"/>
      <c r="Q24" s="827" t="s">
        <v>405</v>
      </c>
      <c r="R24" s="827"/>
      <c r="S24" s="827"/>
      <c r="T24" s="827"/>
      <c r="U24" s="827"/>
      <c r="V24" s="827"/>
      <c r="W24" s="827"/>
      <c r="X24" s="827"/>
      <c r="Y24" s="827"/>
      <c r="Z24" s="827"/>
      <c r="AG24" s="843"/>
    </row>
    <row r="25" spans="2:33" x14ac:dyDescent="0.2">
      <c r="B25" s="827"/>
      <c r="C25" s="2034"/>
      <c r="D25" s="2034"/>
      <c r="E25" s="2034"/>
      <c r="F25" s="2034"/>
      <c r="G25" s="2034"/>
      <c r="H25" s="2034"/>
      <c r="I25" s="2034"/>
      <c r="J25" s="2034"/>
      <c r="K25" s="2034"/>
      <c r="L25" s="2034"/>
      <c r="M25" s="2034"/>
      <c r="N25" s="2034"/>
      <c r="O25" s="827"/>
      <c r="P25" s="827"/>
      <c r="Q25" s="857"/>
      <c r="R25" s="827"/>
      <c r="S25" s="827"/>
      <c r="T25" s="827"/>
      <c r="U25" s="827"/>
      <c r="V25" s="827"/>
      <c r="W25" s="827"/>
      <c r="X25" s="843"/>
      <c r="Y25" s="843"/>
      <c r="AE25" s="829"/>
      <c r="AF25" s="829"/>
    </row>
    <row r="26" spans="2:33" ht="13.5" thickBot="1" x14ac:dyDescent="0.25">
      <c r="B26" s="827"/>
      <c r="C26" s="858" t="s">
        <v>86</v>
      </c>
      <c r="D26" s="858"/>
      <c r="E26" s="858"/>
      <c r="F26" s="858"/>
      <c r="G26" s="858"/>
      <c r="H26" s="859"/>
      <c r="I26" s="858"/>
      <c r="J26" s="858"/>
      <c r="K26" s="858"/>
      <c r="L26" s="859"/>
      <c r="M26" s="860"/>
      <c r="N26" s="861"/>
      <c r="Q26" s="827"/>
      <c r="R26" s="827"/>
      <c r="S26" s="827"/>
      <c r="T26" s="827"/>
      <c r="U26" s="827"/>
      <c r="V26" s="827"/>
      <c r="W26" s="827"/>
      <c r="X26" s="843"/>
      <c r="Y26" s="843"/>
      <c r="Z26" s="862"/>
      <c r="AE26" s="829"/>
      <c r="AF26" s="829"/>
    </row>
    <row r="27" spans="2:33" ht="35.1" customHeight="1" thickBot="1" x14ac:dyDescent="0.25">
      <c r="B27" s="827"/>
      <c r="C27" s="850" t="s">
        <v>87</v>
      </c>
      <c r="D27" s="832" t="s">
        <v>88</v>
      </c>
      <c r="E27" s="832" t="s">
        <v>237</v>
      </c>
      <c r="F27" s="833" t="s">
        <v>160</v>
      </c>
      <c r="G27" s="832" t="s">
        <v>236</v>
      </c>
      <c r="H27" s="833" t="s">
        <v>232</v>
      </c>
      <c r="I27" s="833" t="s">
        <v>233</v>
      </c>
      <c r="J27" s="833" t="s">
        <v>20</v>
      </c>
      <c r="K27" s="832" t="s">
        <v>91</v>
      </c>
      <c r="L27" s="832" t="s">
        <v>93</v>
      </c>
      <c r="M27" s="832" t="s">
        <v>94</v>
      </c>
      <c r="N27" s="863" t="s">
        <v>95</v>
      </c>
      <c r="P27" s="850" t="s">
        <v>237</v>
      </c>
      <c r="Q27" s="833" t="s">
        <v>160</v>
      </c>
      <c r="R27" s="832" t="s">
        <v>236</v>
      </c>
      <c r="S27" s="833" t="s">
        <v>232</v>
      </c>
      <c r="T27" s="833" t="s">
        <v>233</v>
      </c>
      <c r="U27" s="833" t="s">
        <v>20</v>
      </c>
      <c r="V27" s="832" t="s">
        <v>91</v>
      </c>
      <c r="W27" s="832" t="s">
        <v>93</v>
      </c>
      <c r="X27" s="832" t="s">
        <v>94</v>
      </c>
      <c r="Y27" s="834" t="s">
        <v>95</v>
      </c>
      <c r="Z27" s="861"/>
      <c r="AE27" s="829"/>
      <c r="AF27" s="829"/>
    </row>
    <row r="28" spans="2:33" ht="35.1" customHeight="1" thickBot="1" x14ac:dyDescent="0.25">
      <c r="B28" s="827"/>
      <c r="C28" s="864"/>
      <c r="D28" s="836"/>
      <c r="E28" s="1000"/>
      <c r="F28" s="836"/>
      <c r="G28" s="836"/>
      <c r="H28" s="836"/>
      <c r="I28" s="836"/>
      <c r="J28" s="972"/>
      <c r="K28" s="841"/>
      <c r="L28" s="866"/>
      <c r="M28" s="835"/>
      <c r="N28" s="867"/>
      <c r="P28" s="864" t="s">
        <v>242</v>
      </c>
      <c r="Q28" s="836" t="s">
        <v>221</v>
      </c>
      <c r="R28" s="836" t="s">
        <v>222</v>
      </c>
      <c r="S28" s="836">
        <v>2280</v>
      </c>
      <c r="T28" s="836">
        <v>453658</v>
      </c>
      <c r="U28" s="865" t="s">
        <v>97</v>
      </c>
      <c r="V28" s="841">
        <v>80000</v>
      </c>
      <c r="W28" s="866">
        <f>IFERROR(V28/$V$34,0)</f>
        <v>9.4117647058823528E-2</v>
      </c>
      <c r="X28" s="837">
        <f t="shared" ref="X28:X33" si="0">ROUND(W28*I$15,2)</f>
        <v>432990.84</v>
      </c>
      <c r="Y28" s="868">
        <f t="shared" ref="Y28:Y33" si="1">X28*M$15</f>
        <v>9525798.4800000004</v>
      </c>
      <c r="Z28" s="860"/>
      <c r="AA28" s="1059">
        <f>Y28+Y29+Y31+Y43</f>
        <v>23806610.740000002</v>
      </c>
      <c r="AE28" s="829"/>
      <c r="AF28" s="829"/>
    </row>
    <row r="29" spans="2:33" ht="35.1" customHeight="1" thickBot="1" x14ac:dyDescent="0.25">
      <c r="B29" s="827"/>
      <c r="C29" s="864"/>
      <c r="D29" s="836"/>
      <c r="E29" s="1000"/>
      <c r="F29" s="836"/>
      <c r="G29" s="836"/>
      <c r="H29" s="836"/>
      <c r="I29" s="836"/>
      <c r="J29" s="972"/>
      <c r="K29" s="841"/>
      <c r="L29" s="866"/>
      <c r="M29" s="835"/>
      <c r="N29" s="867"/>
      <c r="P29" s="864" t="s">
        <v>242</v>
      </c>
      <c r="Q29" s="836" t="s">
        <v>221</v>
      </c>
      <c r="R29" s="836" t="s">
        <v>222</v>
      </c>
      <c r="S29" s="836">
        <v>2280</v>
      </c>
      <c r="T29" s="836">
        <v>453658</v>
      </c>
      <c r="U29" s="865" t="s">
        <v>100</v>
      </c>
      <c r="V29" s="841">
        <v>40000</v>
      </c>
      <c r="W29" s="866">
        <f>IFERROR(V29/$V$34,0)</f>
        <v>4.7058823529411764E-2</v>
      </c>
      <c r="X29" s="837">
        <f t="shared" si="0"/>
        <v>216495.42</v>
      </c>
      <c r="Y29" s="868">
        <f t="shared" si="1"/>
        <v>4762899.24</v>
      </c>
      <c r="Z29" s="860"/>
      <c r="AE29" s="829"/>
      <c r="AF29" s="829"/>
    </row>
    <row r="30" spans="2:33" ht="35.1" customHeight="1" thickBot="1" x14ac:dyDescent="0.25">
      <c r="B30" s="827"/>
      <c r="C30" s="864"/>
      <c r="D30" s="836"/>
      <c r="E30" s="1000"/>
      <c r="F30" s="836"/>
      <c r="G30" s="836"/>
      <c r="H30" s="836"/>
      <c r="I30" s="836"/>
      <c r="J30" s="972"/>
      <c r="K30" s="841"/>
      <c r="L30" s="866"/>
      <c r="M30" s="835"/>
      <c r="N30" s="867"/>
      <c r="P30" s="864" t="s">
        <v>242</v>
      </c>
      <c r="Q30" s="836" t="s">
        <v>221</v>
      </c>
      <c r="R30" s="836" t="s">
        <v>222</v>
      </c>
      <c r="S30" s="836">
        <v>2280</v>
      </c>
      <c r="T30" s="836">
        <v>453658</v>
      </c>
      <c r="U30" s="865" t="s">
        <v>393</v>
      </c>
      <c r="V30" s="841">
        <v>22000</v>
      </c>
      <c r="W30" s="866">
        <f>IFERROR(V30/$V$34,0)</f>
        <v>2.5882352941176471E-2</v>
      </c>
      <c r="X30" s="837">
        <f t="shared" si="0"/>
        <v>119072.48</v>
      </c>
      <c r="Y30" s="868">
        <f t="shared" si="1"/>
        <v>2619594.56</v>
      </c>
      <c r="Z30" s="860"/>
      <c r="AE30" s="829"/>
      <c r="AF30" s="829"/>
    </row>
    <row r="31" spans="2:33" ht="35.1" customHeight="1" thickBot="1" x14ac:dyDescent="0.25">
      <c r="B31" s="827"/>
      <c r="C31" s="864"/>
      <c r="D31" s="836"/>
      <c r="E31" s="1000"/>
      <c r="F31" s="836"/>
      <c r="G31" s="836"/>
      <c r="H31" s="836"/>
      <c r="I31" s="836"/>
      <c r="J31" s="972"/>
      <c r="K31" s="841"/>
      <c r="L31" s="866"/>
      <c r="M31" s="835"/>
      <c r="N31" s="867"/>
      <c r="P31" s="864" t="s">
        <v>242</v>
      </c>
      <c r="Q31" s="836" t="s">
        <v>221</v>
      </c>
      <c r="R31" s="836" t="s">
        <v>222</v>
      </c>
      <c r="S31" s="836">
        <v>2280</v>
      </c>
      <c r="T31" s="836">
        <v>453658</v>
      </c>
      <c r="U31" s="865" t="s">
        <v>288</v>
      </c>
      <c r="V31" s="841">
        <v>0</v>
      </c>
      <c r="W31" s="866">
        <f t="shared" ref="W31:W33" si="2">IFERROR(V31/$V$34,0)</f>
        <v>0</v>
      </c>
      <c r="X31" s="837">
        <f t="shared" si="0"/>
        <v>0</v>
      </c>
      <c r="Y31" s="868">
        <f t="shared" si="1"/>
        <v>0</v>
      </c>
      <c r="Z31" s="860"/>
      <c r="AE31" s="829"/>
      <c r="AF31" s="829"/>
    </row>
    <row r="32" spans="2:33" ht="35.1" customHeight="1" thickBot="1" x14ac:dyDescent="0.25">
      <c r="B32" s="827"/>
      <c r="C32" s="864"/>
      <c r="D32" s="1000"/>
      <c r="E32" s="2036"/>
      <c r="F32" s="836"/>
      <c r="G32" s="836"/>
      <c r="H32" s="836"/>
      <c r="I32" s="836"/>
      <c r="J32" s="972"/>
      <c r="K32" s="841"/>
      <c r="L32" s="866"/>
      <c r="M32" s="835"/>
      <c r="N32" s="867"/>
      <c r="P32" s="1076" t="s">
        <v>242</v>
      </c>
      <c r="Q32" s="1000" t="s">
        <v>221</v>
      </c>
      <c r="R32" s="1000" t="s">
        <v>222</v>
      </c>
      <c r="S32" s="1000" t="s">
        <v>344</v>
      </c>
      <c r="T32" s="1000">
        <v>468094</v>
      </c>
      <c r="U32" s="2058" t="s">
        <v>23</v>
      </c>
      <c r="V32" s="2059">
        <v>95000</v>
      </c>
      <c r="W32" s="2060">
        <f t="shared" si="2"/>
        <v>0.11176470588235295</v>
      </c>
      <c r="X32" s="2061">
        <f t="shared" si="0"/>
        <v>514176.63</v>
      </c>
      <c r="Y32" s="2062">
        <f t="shared" si="1"/>
        <v>11311885.859999999</v>
      </c>
      <c r="Z32" s="860"/>
      <c r="AE32" s="829"/>
      <c r="AF32" s="829"/>
    </row>
    <row r="33" spans="2:32" ht="35.1" customHeight="1" thickBot="1" x14ac:dyDescent="0.25">
      <c r="B33" s="827"/>
      <c r="C33" s="851">
        <v>800874933</v>
      </c>
      <c r="D33" s="853"/>
      <c r="E33" s="853" t="s">
        <v>242</v>
      </c>
      <c r="F33" s="845" t="s">
        <v>221</v>
      </c>
      <c r="G33" s="845" t="s">
        <v>222</v>
      </c>
      <c r="H33" s="845">
        <v>2280</v>
      </c>
      <c r="I33" s="845">
        <v>453851</v>
      </c>
      <c r="J33" s="973" t="s">
        <v>159</v>
      </c>
      <c r="K33" s="852">
        <f>850000-K28-K29-K31-K32</f>
        <v>850000</v>
      </c>
      <c r="L33" s="872">
        <v>1</v>
      </c>
      <c r="M33" s="844">
        <v>4753878.6400000006</v>
      </c>
      <c r="N33" s="873">
        <f>M33*M15</f>
        <v>104585330.08000001</v>
      </c>
      <c r="P33" s="1004" t="s">
        <v>242</v>
      </c>
      <c r="Q33" s="1003" t="s">
        <v>221</v>
      </c>
      <c r="R33" s="1003" t="s">
        <v>222</v>
      </c>
      <c r="S33" s="1003">
        <v>2280</v>
      </c>
      <c r="T33" s="1003">
        <v>453851</v>
      </c>
      <c r="U33" s="1851" t="s">
        <v>159</v>
      </c>
      <c r="V33" s="1852">
        <f>850000-V28-V29-V30-V31-V32</f>
        <v>613000</v>
      </c>
      <c r="W33" s="1853">
        <f t="shared" si="2"/>
        <v>0.72117647058823531</v>
      </c>
      <c r="X33" s="1854">
        <f t="shared" si="0"/>
        <v>3317792.34</v>
      </c>
      <c r="Y33" s="1855">
        <f t="shared" si="1"/>
        <v>72991431.479999989</v>
      </c>
      <c r="Z33" s="860"/>
      <c r="AE33" s="829"/>
      <c r="AF33" s="829"/>
    </row>
    <row r="34" spans="2:32" ht="35.1" customHeight="1" x14ac:dyDescent="0.2">
      <c r="B34" s="827"/>
      <c r="C34" s="881"/>
      <c r="D34" s="882" t="s">
        <v>102</v>
      </c>
      <c r="E34" s="882"/>
      <c r="F34" s="882"/>
      <c r="G34" s="882"/>
      <c r="H34" s="882"/>
      <c r="I34" s="883"/>
      <c r="J34" s="883"/>
      <c r="K34" s="884">
        <f>SUM(K28:K33)</f>
        <v>850000</v>
      </c>
      <c r="L34" s="885">
        <f>SUM(L28:L33)</f>
        <v>1</v>
      </c>
      <c r="M34" s="886">
        <f>SUM(M28:M33)</f>
        <v>4753878.6400000006</v>
      </c>
      <c r="N34" s="886">
        <f>SUM(N28:N33)</f>
        <v>104585330.08000001</v>
      </c>
      <c r="P34" s="882"/>
      <c r="Q34" s="882"/>
      <c r="R34" s="882"/>
      <c r="S34" s="882"/>
      <c r="T34" s="883"/>
      <c r="U34" s="883"/>
      <c r="V34" s="884">
        <f>SUM(V28:V33)</f>
        <v>850000</v>
      </c>
      <c r="W34" s="885">
        <f>SUM(W28:W33)</f>
        <v>1</v>
      </c>
      <c r="X34" s="887">
        <f>SUM(X28:X33)</f>
        <v>4600527.71</v>
      </c>
      <c r="Y34" s="887">
        <f>SUM(Y28:Y33)</f>
        <v>101211609.61999999</v>
      </c>
      <c r="Z34" s="827"/>
      <c r="AE34" s="829"/>
      <c r="AF34" s="829"/>
    </row>
    <row r="35" spans="2:32" ht="20.100000000000001" customHeight="1" x14ac:dyDescent="0.2">
      <c r="B35" s="827"/>
      <c r="C35" s="860"/>
      <c r="D35" s="860"/>
      <c r="E35" s="860"/>
      <c r="F35" s="860"/>
      <c r="G35" s="888"/>
      <c r="H35" s="888"/>
      <c r="I35" s="860"/>
      <c r="J35" s="860"/>
      <c r="K35" s="860"/>
      <c r="L35" s="860"/>
      <c r="M35" s="889"/>
      <c r="P35" s="860"/>
      <c r="Q35" s="860"/>
      <c r="R35" s="888"/>
      <c r="S35" s="888"/>
      <c r="T35" s="860"/>
      <c r="U35" s="860"/>
      <c r="V35" s="860"/>
      <c r="W35" s="860"/>
      <c r="X35" s="890"/>
      <c r="Y35" s="891"/>
      <c r="Z35" s="827"/>
      <c r="AE35" s="829"/>
      <c r="AF35" s="829"/>
    </row>
    <row r="36" spans="2:32" ht="20.100000000000001" customHeight="1" x14ac:dyDescent="0.2">
      <c r="B36" s="827"/>
      <c r="C36" s="860"/>
      <c r="D36" s="860"/>
      <c r="E36" s="860"/>
      <c r="F36" s="860"/>
      <c r="G36" s="888"/>
      <c r="H36" s="888"/>
      <c r="I36" s="860"/>
      <c r="J36" s="860"/>
      <c r="K36" s="860"/>
      <c r="L36" s="860"/>
      <c r="M36" s="889"/>
      <c r="P36" s="860"/>
      <c r="Q36" s="860"/>
      <c r="R36" s="888"/>
      <c r="S36" s="888"/>
      <c r="T36" s="860"/>
      <c r="U36" s="860"/>
      <c r="V36" s="860"/>
      <c r="W36" s="892"/>
      <c r="X36" s="889"/>
      <c r="Y36" s="893"/>
      <c r="Z36" s="827"/>
      <c r="AE36" s="829"/>
      <c r="AF36" s="829"/>
    </row>
    <row r="38" spans="2:32" ht="20.100000000000001" customHeight="1" thickBot="1" x14ac:dyDescent="0.25">
      <c r="B38" s="827"/>
      <c r="C38" s="858" t="s">
        <v>274</v>
      </c>
      <c r="D38" s="858"/>
      <c r="E38" s="858"/>
      <c r="F38" s="858"/>
      <c r="G38" s="858"/>
      <c r="H38" s="859"/>
      <c r="I38" s="858"/>
      <c r="J38" s="858"/>
      <c r="K38" s="858"/>
      <c r="L38" s="859"/>
      <c r="M38" s="860"/>
      <c r="N38" s="861"/>
      <c r="P38" s="858"/>
      <c r="Q38" s="858"/>
      <c r="R38" s="858"/>
      <c r="S38" s="859"/>
      <c r="T38" s="858"/>
      <c r="U38" s="858"/>
      <c r="V38" s="858"/>
      <c r="W38" s="860"/>
      <c r="X38" s="860"/>
      <c r="Y38" s="894"/>
      <c r="Z38" s="862"/>
      <c r="AE38" s="829"/>
      <c r="AF38" s="829"/>
    </row>
    <row r="39" spans="2:32" ht="35.1" customHeight="1" thickBot="1" x14ac:dyDescent="0.25">
      <c r="B39" s="827"/>
      <c r="C39" s="850" t="s">
        <v>87</v>
      </c>
      <c r="D39" s="895" t="s">
        <v>88</v>
      </c>
      <c r="E39" s="895" t="s">
        <v>237</v>
      </c>
      <c r="F39" s="896" t="s">
        <v>160</v>
      </c>
      <c r="G39" s="895" t="s">
        <v>236</v>
      </c>
      <c r="H39" s="896" t="s">
        <v>232</v>
      </c>
      <c r="I39" s="896" t="s">
        <v>233</v>
      </c>
      <c r="J39" s="896" t="s">
        <v>20</v>
      </c>
      <c r="K39" s="832" t="s">
        <v>91</v>
      </c>
      <c r="L39" s="895" t="s">
        <v>93</v>
      </c>
      <c r="M39" s="895" t="s">
        <v>94</v>
      </c>
      <c r="N39" s="897" t="s">
        <v>95</v>
      </c>
      <c r="P39" s="895" t="s">
        <v>237</v>
      </c>
      <c r="Q39" s="896" t="s">
        <v>160</v>
      </c>
      <c r="R39" s="895" t="s">
        <v>236</v>
      </c>
      <c r="S39" s="896" t="s">
        <v>232</v>
      </c>
      <c r="T39" s="896" t="s">
        <v>233</v>
      </c>
      <c r="U39" s="896" t="s">
        <v>20</v>
      </c>
      <c r="V39" s="832" t="s">
        <v>91</v>
      </c>
      <c r="W39" s="895" t="s">
        <v>93</v>
      </c>
      <c r="X39" s="895" t="s">
        <v>94</v>
      </c>
      <c r="Y39" s="897" t="s">
        <v>95</v>
      </c>
      <c r="Z39" s="862"/>
      <c r="AE39" s="829"/>
      <c r="AF39" s="829"/>
    </row>
    <row r="40" spans="2:32" ht="35.1" customHeight="1" thickBot="1" x14ac:dyDescent="0.25">
      <c r="B40" s="827"/>
      <c r="C40" s="864"/>
      <c r="D40" s="1000"/>
      <c r="E40" s="2036"/>
      <c r="F40" s="836"/>
      <c r="G40" s="836"/>
      <c r="H40" s="836"/>
      <c r="I40" s="836"/>
      <c r="J40" s="865"/>
      <c r="K40" s="841"/>
      <c r="L40" s="866"/>
      <c r="M40" s="837"/>
      <c r="N40" s="868"/>
      <c r="P40" s="836" t="s">
        <v>242</v>
      </c>
      <c r="Q40" s="836" t="s">
        <v>221</v>
      </c>
      <c r="R40" s="836" t="s">
        <v>222</v>
      </c>
      <c r="S40" s="836">
        <v>2280</v>
      </c>
      <c r="T40" s="836">
        <v>453658</v>
      </c>
      <c r="U40" s="865" t="s">
        <v>97</v>
      </c>
      <c r="V40" s="841">
        <v>80000</v>
      </c>
      <c r="W40" s="866">
        <f>IFERROR(V40/$V$43,0)</f>
        <v>0.66666666666666663</v>
      </c>
      <c r="X40" s="837">
        <f>ROUND(W40*I$16,2)</f>
        <v>288421.61</v>
      </c>
      <c r="Y40" s="868">
        <f>X40*$M$16</f>
        <v>6345275.4199999999</v>
      </c>
      <c r="Z40" s="862"/>
      <c r="AE40" s="829"/>
      <c r="AF40" s="829"/>
    </row>
    <row r="41" spans="2:32" ht="35.1" customHeight="1" thickBot="1" x14ac:dyDescent="0.25">
      <c r="B41" s="827"/>
      <c r="C41" s="864"/>
      <c r="D41" s="1000"/>
      <c r="E41" s="1000"/>
      <c r="F41" s="836"/>
      <c r="G41" s="836"/>
      <c r="H41" s="836"/>
      <c r="I41" s="836"/>
      <c r="J41" s="865"/>
      <c r="K41" s="841"/>
      <c r="L41" s="866"/>
      <c r="M41" s="837"/>
      <c r="N41" s="868"/>
      <c r="P41" s="1000" t="s">
        <v>242</v>
      </c>
      <c r="Q41" s="836" t="s">
        <v>221</v>
      </c>
      <c r="R41" s="836" t="s">
        <v>222</v>
      </c>
      <c r="S41" s="836">
        <v>2280</v>
      </c>
      <c r="T41" s="836">
        <v>453658</v>
      </c>
      <c r="U41" s="865" t="s">
        <v>100</v>
      </c>
      <c r="V41" s="841">
        <v>40000</v>
      </c>
      <c r="W41" s="866">
        <f>IFERROR(V41/$V$43,0)</f>
        <v>0.33333333333333331</v>
      </c>
      <c r="X41" s="837">
        <f>ROUND(W41*I$16,2)</f>
        <v>144210.79999999999</v>
      </c>
      <c r="Y41" s="868">
        <f>X41*$M$16</f>
        <v>3172637.5999999996</v>
      </c>
      <c r="Z41" s="862"/>
      <c r="AE41" s="829"/>
      <c r="AF41" s="829"/>
    </row>
    <row r="42" spans="2:32" ht="35.1" customHeight="1" thickBot="1" x14ac:dyDescent="0.25">
      <c r="B42" s="827"/>
      <c r="C42" s="1004">
        <v>800874975</v>
      </c>
      <c r="D42" s="853"/>
      <c r="E42" s="853" t="s">
        <v>242</v>
      </c>
      <c r="F42" s="1003" t="s">
        <v>221</v>
      </c>
      <c r="G42" s="1003" t="s">
        <v>222</v>
      </c>
      <c r="H42" s="1003">
        <v>2280</v>
      </c>
      <c r="I42" s="1003">
        <v>453851</v>
      </c>
      <c r="J42" s="871" t="s">
        <v>159</v>
      </c>
      <c r="K42" s="852">
        <v>100000</v>
      </c>
      <c r="L42" s="872">
        <v>1</v>
      </c>
      <c r="M42" s="846">
        <f>ROUND(L42*I$16,2)</f>
        <v>432632.41</v>
      </c>
      <c r="N42" s="898">
        <f>M42*$M$16</f>
        <v>9517913.0199999996</v>
      </c>
      <c r="P42" s="1003" t="s">
        <v>401</v>
      </c>
      <c r="Q42" s="845" t="s">
        <v>221</v>
      </c>
      <c r="R42" s="845" t="s">
        <v>222</v>
      </c>
      <c r="S42" s="845">
        <v>2280</v>
      </c>
      <c r="T42" s="845">
        <v>453851</v>
      </c>
      <c r="U42" s="871" t="s">
        <v>159</v>
      </c>
      <c r="V42" s="852">
        <v>0</v>
      </c>
      <c r="W42" s="872">
        <f>IFERROR(V42/$V$43,0)</f>
        <v>0</v>
      </c>
      <c r="X42" s="846">
        <f>ROUND(W42*I$16,2)</f>
        <v>0</v>
      </c>
      <c r="Y42" s="898">
        <f>X42*$M$16</f>
        <v>0</v>
      </c>
      <c r="Z42" s="862"/>
      <c r="AE42" s="829"/>
      <c r="AF42" s="829"/>
    </row>
    <row r="43" spans="2:32" ht="20.100000000000001" customHeight="1" x14ac:dyDescent="0.2">
      <c r="B43" s="827"/>
      <c r="C43" s="881"/>
      <c r="D43" s="882" t="s">
        <v>102</v>
      </c>
      <c r="E43" s="882"/>
      <c r="F43" s="882"/>
      <c r="G43" s="882"/>
      <c r="H43" s="882"/>
      <c r="I43" s="883"/>
      <c r="J43" s="883"/>
      <c r="K43" s="884">
        <f>SUM(K40:K42)</f>
        <v>100000</v>
      </c>
      <c r="L43" s="885">
        <f>SUM(L40:L42)</f>
        <v>1</v>
      </c>
      <c r="M43" s="886">
        <f>SUM(M40:M42)</f>
        <v>432632.41</v>
      </c>
      <c r="N43" s="886">
        <f>SUM(N40:N42)</f>
        <v>9517913.0199999996</v>
      </c>
      <c r="P43" s="882"/>
      <c r="Q43" s="882"/>
      <c r="R43" s="882"/>
      <c r="S43" s="882"/>
      <c r="T43" s="883"/>
      <c r="U43" s="883"/>
      <c r="V43" s="884">
        <f>SUM(V40:V42)</f>
        <v>120000</v>
      </c>
      <c r="W43" s="885">
        <f>SUM(W40:W42)</f>
        <v>1</v>
      </c>
      <c r="X43" s="886">
        <f>SUM(X40:X42)</f>
        <v>432632.41</v>
      </c>
      <c r="Y43" s="886">
        <f>SUM(Y40:Y42)</f>
        <v>9517913.0199999996</v>
      </c>
      <c r="Z43" s="862"/>
      <c r="AE43" s="829"/>
      <c r="AF43" s="829"/>
    </row>
    <row r="44" spans="2:32" ht="20.100000000000001" customHeight="1" x14ac:dyDescent="0.2">
      <c r="B44" s="827"/>
      <c r="C44" s="899"/>
      <c r="D44" s="858"/>
      <c r="E44" s="858"/>
      <c r="F44" s="858"/>
      <c r="G44" s="858"/>
      <c r="H44" s="859"/>
      <c r="I44" s="858"/>
      <c r="J44" s="858"/>
      <c r="K44" s="858"/>
      <c r="L44" s="860"/>
      <c r="M44" s="860"/>
      <c r="N44" s="843"/>
      <c r="P44" s="858"/>
      <c r="Q44" s="858"/>
      <c r="R44" s="858"/>
      <c r="S44" s="859"/>
      <c r="T44" s="858"/>
      <c r="U44" s="858"/>
      <c r="V44" s="858"/>
      <c r="W44" s="860"/>
      <c r="X44" s="860"/>
      <c r="Y44" s="894"/>
      <c r="Z44" s="862"/>
      <c r="AE44" s="829"/>
      <c r="AF44" s="829"/>
    </row>
    <row r="45" spans="2:32" ht="20.100000000000001" customHeight="1" x14ac:dyDescent="0.2">
      <c r="B45" s="827"/>
      <c r="C45" s="899"/>
      <c r="D45" s="858"/>
      <c r="E45" s="858"/>
      <c r="F45" s="858"/>
      <c r="G45" s="858"/>
      <c r="H45" s="859"/>
      <c r="I45" s="858"/>
      <c r="J45" s="858"/>
      <c r="K45" s="858"/>
      <c r="L45" s="860"/>
      <c r="M45" s="860"/>
      <c r="N45" s="843"/>
      <c r="P45" s="858"/>
      <c r="Q45" s="858"/>
      <c r="R45" s="858"/>
      <c r="S45" s="859"/>
      <c r="T45" s="858"/>
      <c r="U45" s="858"/>
      <c r="V45" s="858"/>
      <c r="W45" s="860"/>
      <c r="X45" s="860"/>
      <c r="Y45" s="894"/>
      <c r="Z45" s="862"/>
      <c r="AE45" s="829"/>
      <c r="AF45" s="829"/>
    </row>
    <row r="46" spans="2:32" ht="20.100000000000001" customHeight="1" x14ac:dyDescent="0.2">
      <c r="B46" s="827"/>
      <c r="C46" s="899"/>
      <c r="D46" s="858"/>
      <c r="E46" s="858"/>
      <c r="F46" s="858"/>
      <c r="G46" s="858"/>
      <c r="H46" s="859"/>
      <c r="I46" s="858"/>
      <c r="J46" s="1792"/>
      <c r="K46" s="858"/>
      <c r="L46" s="860"/>
      <c r="M46" s="860"/>
      <c r="N46" s="843"/>
      <c r="P46" s="858"/>
      <c r="Q46" s="858"/>
      <c r="R46" s="858"/>
      <c r="S46" s="859"/>
      <c r="T46" s="858"/>
      <c r="U46" s="858"/>
      <c r="V46" s="858"/>
      <c r="W46" s="860"/>
      <c r="X46" s="860"/>
      <c r="Y46" s="894"/>
      <c r="Z46" s="862"/>
      <c r="AE46" s="829"/>
      <c r="AF46" s="829"/>
    </row>
    <row r="47" spans="2:32" ht="35.1" customHeight="1" thickBot="1" x14ac:dyDescent="0.25">
      <c r="B47" s="827"/>
      <c r="C47" s="899" t="s">
        <v>103</v>
      </c>
      <c r="D47" s="858"/>
      <c r="E47" s="858"/>
      <c r="F47" s="858"/>
      <c r="G47" s="858"/>
      <c r="H47" s="859"/>
      <c r="I47" s="858"/>
      <c r="J47" s="858"/>
      <c r="K47" s="858"/>
      <c r="L47" s="860"/>
      <c r="M47" s="860"/>
      <c r="N47" s="843"/>
      <c r="P47" s="858"/>
      <c r="Q47" s="858"/>
      <c r="R47" s="858"/>
      <c r="S47" s="859"/>
      <c r="T47" s="858"/>
      <c r="U47" s="858"/>
      <c r="V47" s="858"/>
      <c r="W47" s="860"/>
      <c r="X47" s="860"/>
      <c r="Y47" s="894"/>
      <c r="Z47" s="862"/>
      <c r="AE47" s="829"/>
      <c r="AF47" s="829"/>
    </row>
    <row r="48" spans="2:32" ht="35.1" customHeight="1" thickBot="1" x14ac:dyDescent="0.25">
      <c r="B48" s="827"/>
      <c r="C48" s="850" t="s">
        <v>87</v>
      </c>
      <c r="D48" s="832" t="s">
        <v>88</v>
      </c>
      <c r="E48" s="832" t="s">
        <v>237</v>
      </c>
      <c r="F48" s="833" t="s">
        <v>160</v>
      </c>
      <c r="G48" s="832" t="s">
        <v>90</v>
      </c>
      <c r="H48" s="833" t="s">
        <v>232</v>
      </c>
      <c r="I48" s="833" t="s">
        <v>233</v>
      </c>
      <c r="J48" s="833" t="s">
        <v>20</v>
      </c>
      <c r="K48" s="832" t="s">
        <v>234</v>
      </c>
      <c r="L48" s="832" t="s">
        <v>93</v>
      </c>
      <c r="M48" s="832" t="s">
        <v>94</v>
      </c>
      <c r="N48" s="863" t="s">
        <v>95</v>
      </c>
      <c r="P48" s="850" t="s">
        <v>237</v>
      </c>
      <c r="Q48" s="833" t="s">
        <v>160</v>
      </c>
      <c r="R48" s="832" t="s">
        <v>90</v>
      </c>
      <c r="S48" s="833" t="s">
        <v>232</v>
      </c>
      <c r="T48" s="833" t="s">
        <v>233</v>
      </c>
      <c r="U48" s="833" t="s">
        <v>20</v>
      </c>
      <c r="V48" s="832" t="s">
        <v>234</v>
      </c>
      <c r="W48" s="832" t="s">
        <v>93</v>
      </c>
      <c r="X48" s="832" t="s">
        <v>94</v>
      </c>
      <c r="Y48" s="834" t="s">
        <v>95</v>
      </c>
      <c r="Z48" s="861"/>
      <c r="AE48" s="829"/>
      <c r="AF48" s="829"/>
    </row>
    <row r="49" spans="2:32" ht="35.1" customHeight="1" thickBot="1" x14ac:dyDescent="0.25">
      <c r="B49" s="827"/>
      <c r="C49" s="864">
        <v>800874989</v>
      </c>
      <c r="D49" s="869"/>
      <c r="E49" s="869" t="s">
        <v>242</v>
      </c>
      <c r="F49" s="836" t="s">
        <v>221</v>
      </c>
      <c r="G49" s="836" t="s">
        <v>222</v>
      </c>
      <c r="H49" s="836">
        <v>2281</v>
      </c>
      <c r="I49" s="836">
        <v>453659</v>
      </c>
      <c r="J49" s="972" t="s">
        <v>159</v>
      </c>
      <c r="K49" s="841">
        <f>P102</f>
        <v>3258220.33</v>
      </c>
      <c r="L49" s="866">
        <f>IFERROR(K49/K$54,0)</f>
        <v>0.54469510341294414</v>
      </c>
      <c r="M49" s="835">
        <f>L49*$I$17</f>
        <v>2997.3209803055784</v>
      </c>
      <c r="N49" s="867">
        <f>M49*$M$17</f>
        <v>65941.061566722725</v>
      </c>
      <c r="O49" s="2">
        <v>18.6234</v>
      </c>
      <c r="P49" s="864" t="s">
        <v>242</v>
      </c>
      <c r="Q49" s="836" t="s">
        <v>221</v>
      </c>
      <c r="R49" s="836" t="s">
        <v>222</v>
      </c>
      <c r="S49" s="836">
        <v>2281</v>
      </c>
      <c r="T49" s="836">
        <v>453658</v>
      </c>
      <c r="U49" s="865" t="s">
        <v>97</v>
      </c>
      <c r="V49" s="841">
        <f>K49</f>
        <v>3258220.33</v>
      </c>
      <c r="W49" s="866">
        <f>IFERROR(V49/V$54,0)</f>
        <v>0.54469510341294414</v>
      </c>
      <c r="X49" s="835">
        <f>W49*$I$17</f>
        <v>2997.3209803055784</v>
      </c>
      <c r="Y49" s="867">
        <f>X49*$M$17</f>
        <v>65941.061566722725</v>
      </c>
      <c r="AE49" s="829"/>
      <c r="AF49" s="829"/>
    </row>
    <row r="50" spans="2:32" ht="35.1" customHeight="1" thickBot="1" x14ac:dyDescent="0.25">
      <c r="B50" s="827"/>
      <c r="C50" s="864"/>
      <c r="D50" s="1000"/>
      <c r="E50" s="1000"/>
      <c r="F50" s="836"/>
      <c r="G50" s="836"/>
      <c r="H50" s="836"/>
      <c r="I50" s="836"/>
      <c r="J50" s="972"/>
      <c r="K50" s="841"/>
      <c r="L50" s="866"/>
      <c r="M50" s="835"/>
      <c r="N50" s="867"/>
      <c r="O50" s="2"/>
      <c r="P50" s="864" t="s">
        <v>242</v>
      </c>
      <c r="Q50" s="836" t="s">
        <v>221</v>
      </c>
      <c r="R50" s="836" t="s">
        <v>222</v>
      </c>
      <c r="S50" s="836">
        <v>2281</v>
      </c>
      <c r="T50" s="836">
        <v>453658</v>
      </c>
      <c r="U50" s="865" t="s">
        <v>100</v>
      </c>
      <c r="V50" s="841">
        <f t="shared" ref="V50:V53" si="3">K50</f>
        <v>0</v>
      </c>
      <c r="W50" s="866">
        <f>IFERROR(V50/V$54,0)</f>
        <v>0</v>
      </c>
      <c r="X50" s="835">
        <f>W50*$I$17</f>
        <v>0</v>
      </c>
      <c r="Y50" s="867">
        <f>X50*$M$17</f>
        <v>0</v>
      </c>
      <c r="AE50" s="829"/>
      <c r="AF50" s="829"/>
    </row>
    <row r="51" spans="2:32" ht="35.1" customHeight="1" thickBot="1" x14ac:dyDescent="0.25">
      <c r="B51" s="827"/>
      <c r="C51" s="864">
        <v>800874989</v>
      </c>
      <c r="D51" s="869"/>
      <c r="E51" s="869" t="s">
        <v>242</v>
      </c>
      <c r="F51" s="836" t="s">
        <v>221</v>
      </c>
      <c r="G51" s="836" t="s">
        <v>222</v>
      </c>
      <c r="H51" s="836">
        <v>2281</v>
      </c>
      <c r="I51" s="836">
        <v>453659</v>
      </c>
      <c r="J51" s="972" t="s">
        <v>159</v>
      </c>
      <c r="K51" s="841">
        <f>N102</f>
        <v>567693.27162977005</v>
      </c>
      <c r="L51" s="866">
        <f>IFERROR(K51/K$54,0)</f>
        <v>9.4904492016723185E-2</v>
      </c>
      <c r="M51" s="835">
        <f>L51*$I$17</f>
        <v>522.23569344502346</v>
      </c>
      <c r="N51" s="867">
        <f>M51*$M$17</f>
        <v>11489.185255790517</v>
      </c>
      <c r="O51" s="2"/>
      <c r="P51" s="864" t="s">
        <v>242</v>
      </c>
      <c r="Q51" s="836" t="s">
        <v>221</v>
      </c>
      <c r="R51" s="836" t="s">
        <v>222</v>
      </c>
      <c r="S51" s="836">
        <v>2281</v>
      </c>
      <c r="T51" s="836">
        <v>453658</v>
      </c>
      <c r="U51" s="865" t="s">
        <v>393</v>
      </c>
      <c r="V51" s="841">
        <f t="shared" si="3"/>
        <v>567693.27162977005</v>
      </c>
      <c r="W51" s="866">
        <f>IFERROR(V51/V$54,0)</f>
        <v>9.4904492016723185E-2</v>
      </c>
      <c r="X51" s="835">
        <f>W51*$I$17</f>
        <v>522.23569344502346</v>
      </c>
      <c r="Y51" s="867">
        <f>X51*$M$17</f>
        <v>11489.185255790517</v>
      </c>
      <c r="AE51" s="829"/>
      <c r="AF51" s="829"/>
    </row>
    <row r="52" spans="2:32" ht="35.1" customHeight="1" thickBot="1" x14ac:dyDescent="0.25">
      <c r="B52" s="827"/>
      <c r="C52" s="864"/>
      <c r="D52" s="836"/>
      <c r="E52" s="1000"/>
      <c r="F52" s="836"/>
      <c r="G52" s="836"/>
      <c r="H52" s="836"/>
      <c r="I52" s="836"/>
      <c r="J52" s="972"/>
      <c r="K52" s="841"/>
      <c r="L52" s="866"/>
      <c r="M52" s="835"/>
      <c r="N52" s="867"/>
      <c r="O52" s="2"/>
      <c r="P52" s="864" t="s">
        <v>242</v>
      </c>
      <c r="Q52" s="836" t="s">
        <v>221</v>
      </c>
      <c r="R52" s="836" t="s">
        <v>222</v>
      </c>
      <c r="S52" s="836">
        <v>2281</v>
      </c>
      <c r="T52" s="836">
        <v>453658</v>
      </c>
      <c r="U52" s="865" t="s">
        <v>288</v>
      </c>
      <c r="V52" s="841">
        <f t="shared" si="3"/>
        <v>0</v>
      </c>
      <c r="W52" s="866">
        <f>IFERROR(V52/V$54,0)</f>
        <v>0</v>
      </c>
      <c r="X52" s="835">
        <f>W52*$I$17</f>
        <v>0</v>
      </c>
      <c r="Y52" s="867">
        <f t="shared" ref="Y52:Y53" si="4">X52*$M$17</f>
        <v>0</v>
      </c>
      <c r="AE52" s="829"/>
      <c r="AF52" s="829"/>
    </row>
    <row r="53" spans="2:32" ht="35.1" customHeight="1" thickBot="1" x14ac:dyDescent="0.25">
      <c r="B53" s="827"/>
      <c r="C53" s="851">
        <v>800874989</v>
      </c>
      <c r="D53" s="853"/>
      <c r="E53" s="853" t="s">
        <v>242</v>
      </c>
      <c r="F53" s="845" t="s">
        <v>221</v>
      </c>
      <c r="G53" s="845" t="s">
        <v>222</v>
      </c>
      <c r="H53" s="845">
        <v>2281</v>
      </c>
      <c r="I53" s="845">
        <v>453659</v>
      </c>
      <c r="J53" s="973" t="s">
        <v>159</v>
      </c>
      <c r="K53" s="852">
        <f>O102</f>
        <v>2155818.7649450004</v>
      </c>
      <c r="L53" s="866">
        <f>IFERROR(K53/K$54,0)</f>
        <v>0.36040040457033257</v>
      </c>
      <c r="M53" s="844">
        <f>L53*$I$17</f>
        <v>1983.1933262493976</v>
      </c>
      <c r="N53" s="867">
        <f t="shared" ref="N53" si="5">M53*$M$17</f>
        <v>43630.253177486746</v>
      </c>
      <c r="O53" s="2">
        <v>18.8506</v>
      </c>
      <c r="P53" s="1004" t="s">
        <v>242</v>
      </c>
      <c r="Q53" s="845" t="s">
        <v>221</v>
      </c>
      <c r="R53" s="845" t="s">
        <v>222</v>
      </c>
      <c r="S53" s="845" t="s">
        <v>402</v>
      </c>
      <c r="T53" s="845">
        <v>468095</v>
      </c>
      <c r="U53" s="871" t="s">
        <v>23</v>
      </c>
      <c r="V53" s="852">
        <f t="shared" si="3"/>
        <v>2155818.7649450004</v>
      </c>
      <c r="W53" s="872">
        <f>IFERROR(V53/V$54,0)</f>
        <v>0.36040040457033257</v>
      </c>
      <c r="X53" s="844">
        <f>W53*$I$17</f>
        <v>1983.1933262493976</v>
      </c>
      <c r="Y53" s="873">
        <f t="shared" si="4"/>
        <v>43630.253177486746</v>
      </c>
      <c r="AE53" s="829"/>
      <c r="AF53" s="829"/>
    </row>
    <row r="54" spans="2:32" x14ac:dyDescent="0.2">
      <c r="B54" s="827"/>
      <c r="C54" s="901"/>
      <c r="D54" s="901"/>
      <c r="E54" s="901"/>
      <c r="F54" s="902"/>
      <c r="G54" s="902"/>
      <c r="H54" s="902"/>
      <c r="I54" s="902"/>
      <c r="J54" s="902"/>
      <c r="K54" s="1001">
        <f>SUM(K49:K53)</f>
        <v>5981732.3665747708</v>
      </c>
      <c r="L54" s="903">
        <f>SUM(L49:L53)</f>
        <v>1</v>
      </c>
      <c r="M54" s="1002">
        <f>SUM(M49:M53)</f>
        <v>5502.75</v>
      </c>
      <c r="N54" s="1002">
        <f>SUM(N49:N53)</f>
        <v>121060.5</v>
      </c>
      <c r="O54" s="843"/>
      <c r="P54" s="843"/>
      <c r="Q54" s="827"/>
      <c r="R54" s="827"/>
      <c r="S54" s="827"/>
      <c r="T54" s="827"/>
      <c r="U54" s="827"/>
      <c r="V54" s="1001">
        <f>SUM(V49:V53)</f>
        <v>5981732.3665747708</v>
      </c>
      <c r="W54" s="903">
        <f>SUM(W49:W53)</f>
        <v>1</v>
      </c>
      <c r="X54" s="1002">
        <f>SUM(X49:X53)</f>
        <v>5502.75</v>
      </c>
      <c r="Y54" s="1002">
        <f>SUM(Y49:Y53)</f>
        <v>121060.5</v>
      </c>
      <c r="AE54" s="829"/>
      <c r="AF54" s="829"/>
    </row>
    <row r="55" spans="2:32" s="906" customFormat="1" x14ac:dyDescent="0.2">
      <c r="B55" s="904"/>
      <c r="C55" s="902"/>
      <c r="D55" s="902"/>
      <c r="E55" s="902"/>
      <c r="F55" s="902"/>
      <c r="G55" s="902"/>
      <c r="H55" s="902"/>
      <c r="I55" s="902"/>
      <c r="J55" s="902"/>
      <c r="K55" s="902"/>
      <c r="L55" s="902"/>
      <c r="M55" s="905"/>
      <c r="N55" s="905"/>
      <c r="O55" s="843"/>
      <c r="P55" s="843"/>
      <c r="Q55" s="904"/>
      <c r="R55" s="904"/>
      <c r="S55" s="904"/>
      <c r="T55" s="904"/>
      <c r="U55" s="904"/>
      <c r="V55" s="904"/>
      <c r="W55" s="904"/>
      <c r="X55" s="843"/>
      <c r="Y55" s="843"/>
      <c r="Z55" s="843"/>
      <c r="AA55" s="843"/>
      <c r="AB55" s="843"/>
      <c r="AC55" s="843"/>
      <c r="AD55" s="843"/>
    </row>
    <row r="56" spans="2:32" s="906" customFormat="1" x14ac:dyDescent="0.2">
      <c r="B56" s="904"/>
      <c r="C56" s="902"/>
      <c r="D56" s="902"/>
      <c r="E56" s="902"/>
      <c r="F56" s="902"/>
      <c r="G56" s="902"/>
      <c r="H56" s="902"/>
      <c r="I56" s="902"/>
      <c r="J56" s="902"/>
      <c r="K56" s="902"/>
      <c r="L56" s="905"/>
      <c r="M56" s="905"/>
      <c r="N56" s="843"/>
      <c r="O56" s="904"/>
      <c r="P56" s="904"/>
      <c r="Q56" s="904"/>
      <c r="R56" s="904"/>
      <c r="S56" s="904"/>
      <c r="T56" s="904"/>
      <c r="U56" s="904"/>
      <c r="V56" s="843"/>
      <c r="W56" s="843"/>
      <c r="X56" s="843"/>
      <c r="Y56" s="843"/>
      <c r="Z56" s="843"/>
      <c r="AA56" s="843"/>
      <c r="AB56" s="843"/>
    </row>
    <row r="57" spans="2:32" s="906" customFormat="1" x14ac:dyDescent="0.2">
      <c r="B57" s="904"/>
      <c r="C57" s="902"/>
      <c r="D57" s="902"/>
      <c r="E57" s="902"/>
      <c r="F57" s="902"/>
      <c r="G57" s="902"/>
      <c r="H57" s="902"/>
      <c r="I57" s="902"/>
      <c r="J57" s="902"/>
      <c r="K57" s="902"/>
      <c r="L57" s="905"/>
      <c r="M57" s="905"/>
      <c r="N57" s="843"/>
      <c r="O57" s="843"/>
      <c r="P57" s="904"/>
      <c r="Q57" s="904"/>
      <c r="R57" s="904"/>
      <c r="S57" s="904"/>
      <c r="T57" s="904"/>
      <c r="U57" s="904"/>
      <c r="V57" s="904"/>
      <c r="W57" s="843"/>
      <c r="X57" s="843"/>
      <c r="Y57" s="843"/>
      <c r="Z57" s="843"/>
      <c r="AA57" s="843"/>
      <c r="AB57" s="843"/>
      <c r="AC57" s="843"/>
    </row>
    <row r="58" spans="2:32" s="906" customFormat="1" x14ac:dyDescent="0.2">
      <c r="B58" s="904"/>
      <c r="C58" s="902"/>
      <c r="D58" s="902"/>
      <c r="E58" s="902"/>
      <c r="F58" s="902"/>
      <c r="G58" s="902"/>
      <c r="H58" s="902"/>
      <c r="I58" s="902"/>
      <c r="J58" s="902"/>
      <c r="K58" s="902"/>
      <c r="L58" s="905"/>
      <c r="M58" s="905"/>
      <c r="N58" s="843"/>
      <c r="O58" s="905"/>
      <c r="P58" s="843"/>
      <c r="Q58" s="905"/>
      <c r="R58" s="904"/>
      <c r="S58" s="904"/>
      <c r="T58" s="904"/>
      <c r="U58" s="904"/>
      <c r="V58" s="904"/>
      <c r="W58" s="904"/>
      <c r="X58" s="904"/>
      <c r="Y58" s="904"/>
      <c r="Z58" s="843"/>
      <c r="AA58" s="843"/>
      <c r="AB58" s="843"/>
      <c r="AC58" s="843"/>
      <c r="AD58" s="843"/>
      <c r="AE58" s="843"/>
      <c r="AF58" s="843"/>
    </row>
    <row r="59" spans="2:32" s="906" customFormat="1" x14ac:dyDescent="0.2">
      <c r="B59" s="904"/>
      <c r="C59" s="902"/>
      <c r="D59" s="902"/>
      <c r="E59" s="902"/>
      <c r="F59" s="902"/>
      <c r="G59" s="902"/>
      <c r="H59" s="902"/>
      <c r="I59" s="902"/>
      <c r="J59" s="902"/>
      <c r="K59" s="902"/>
      <c r="L59" s="905"/>
      <c r="M59" s="905"/>
      <c r="N59" s="843"/>
      <c r="O59" s="905"/>
      <c r="P59" s="843"/>
      <c r="Q59" s="905"/>
      <c r="R59" s="904"/>
      <c r="S59" s="904"/>
      <c r="T59" s="904"/>
      <c r="U59" s="904"/>
      <c r="V59" s="904"/>
      <c r="W59" s="904"/>
      <c r="X59" s="904"/>
      <c r="Y59" s="904"/>
      <c r="Z59" s="843"/>
      <c r="AA59" s="843"/>
      <c r="AB59" s="843"/>
      <c r="AC59" s="843"/>
      <c r="AD59" s="843"/>
      <c r="AE59" s="843"/>
      <c r="AF59" s="843"/>
    </row>
    <row r="60" spans="2:32" s="906" customFormat="1" x14ac:dyDescent="0.2">
      <c r="B60" s="904"/>
      <c r="C60" s="902"/>
      <c r="D60" s="902"/>
      <c r="E60" s="902"/>
      <c r="F60" s="902"/>
      <c r="G60" s="902"/>
      <c r="H60" s="902"/>
      <c r="I60" s="902"/>
      <c r="J60" s="902"/>
      <c r="K60" s="902"/>
      <c r="L60" s="905"/>
      <c r="M60" s="905"/>
      <c r="N60" s="843"/>
      <c r="O60" s="905"/>
      <c r="P60" s="843"/>
      <c r="Q60" s="905"/>
      <c r="R60" s="904"/>
      <c r="S60" s="904"/>
      <c r="T60" s="904"/>
      <c r="U60" s="904"/>
      <c r="V60" s="904"/>
      <c r="W60" s="904"/>
      <c r="X60" s="904"/>
      <c r="Y60" s="904"/>
      <c r="Z60" s="843"/>
      <c r="AA60" s="843"/>
      <c r="AB60" s="843"/>
      <c r="AC60" s="843"/>
      <c r="AD60" s="843"/>
      <c r="AE60" s="843"/>
      <c r="AF60" s="843"/>
    </row>
    <row r="61" spans="2:32" s="906" customFormat="1" x14ac:dyDescent="0.2">
      <c r="B61" s="904"/>
      <c r="C61" s="902"/>
      <c r="D61" s="902"/>
      <c r="E61" s="902"/>
      <c r="F61" s="902"/>
      <c r="G61" s="902"/>
      <c r="H61" s="902"/>
      <c r="I61" s="902"/>
      <c r="J61" s="902"/>
      <c r="K61" s="902"/>
      <c r="L61" s="905"/>
      <c r="M61" s="905"/>
      <c r="N61" s="843"/>
      <c r="O61" s="905"/>
      <c r="P61" s="843"/>
      <c r="Q61" s="905"/>
      <c r="R61" s="904"/>
      <c r="S61" s="904"/>
      <c r="T61" s="904"/>
      <c r="U61" s="904"/>
      <c r="V61" s="904"/>
      <c r="W61" s="904"/>
      <c r="X61" s="904"/>
      <c r="Y61" s="904"/>
      <c r="Z61" s="843"/>
      <c r="AA61" s="843"/>
      <c r="AB61" s="843"/>
      <c r="AC61" s="843"/>
      <c r="AD61" s="843"/>
      <c r="AE61" s="843"/>
      <c r="AF61" s="843"/>
    </row>
    <row r="62" spans="2:32" s="906" customFormat="1" x14ac:dyDescent="0.2">
      <c r="B62" s="904"/>
      <c r="C62" s="902"/>
      <c r="D62" s="902"/>
      <c r="E62" s="902"/>
      <c r="F62" s="902"/>
      <c r="G62" s="902"/>
      <c r="H62" s="902"/>
      <c r="I62" s="902"/>
      <c r="J62" s="902"/>
      <c r="K62" s="902"/>
      <c r="L62" s="905"/>
      <c r="M62" s="905"/>
      <c r="N62" s="843"/>
      <c r="O62" s="905"/>
      <c r="P62" s="843"/>
      <c r="Q62" s="905"/>
      <c r="R62" s="904"/>
      <c r="S62" s="904"/>
      <c r="T62" s="904"/>
      <c r="U62" s="904"/>
      <c r="V62" s="904"/>
      <c r="W62" s="904"/>
      <c r="X62" s="904"/>
      <c r="Y62" s="904"/>
      <c r="Z62" s="843"/>
      <c r="AA62" s="843"/>
      <c r="AB62" s="843"/>
      <c r="AC62" s="843"/>
      <c r="AD62" s="843"/>
      <c r="AE62" s="843"/>
      <c r="AF62" s="843"/>
    </row>
    <row r="63" spans="2:32" s="906" customFormat="1" x14ac:dyDescent="0.2">
      <c r="B63" s="904"/>
      <c r="C63" s="902"/>
      <c r="D63" s="902"/>
      <c r="E63" s="902"/>
      <c r="F63" s="902"/>
      <c r="G63" s="902"/>
      <c r="H63" s="902"/>
      <c r="I63" s="902"/>
      <c r="J63" s="902"/>
      <c r="K63" s="902"/>
      <c r="L63" s="905"/>
      <c r="M63" s="905"/>
      <c r="N63" s="843"/>
      <c r="O63" s="905"/>
      <c r="P63" s="843"/>
      <c r="Q63" s="905"/>
      <c r="R63" s="904"/>
      <c r="S63" s="904"/>
      <c r="T63" s="904"/>
      <c r="U63" s="904"/>
      <c r="V63" s="904"/>
      <c r="W63" s="904"/>
      <c r="X63" s="904"/>
      <c r="Y63" s="904"/>
      <c r="Z63" s="843"/>
      <c r="AA63" s="843"/>
      <c r="AB63" s="843"/>
      <c r="AC63" s="843"/>
      <c r="AD63" s="843"/>
      <c r="AE63" s="843"/>
      <c r="AF63" s="843"/>
    </row>
    <row r="64" spans="2:32" s="906" customFormat="1" x14ac:dyDescent="0.2">
      <c r="B64" s="904"/>
      <c r="C64" s="902"/>
      <c r="D64" s="902"/>
      <c r="E64" s="902"/>
      <c r="F64" s="902"/>
      <c r="G64" s="902"/>
      <c r="H64" s="902"/>
      <c r="I64" s="902"/>
      <c r="J64" s="902"/>
      <c r="K64" s="902"/>
      <c r="L64" s="905"/>
      <c r="M64" s="905"/>
      <c r="N64" s="843"/>
      <c r="O64" s="905"/>
      <c r="P64" s="843"/>
      <c r="Q64" s="905"/>
      <c r="R64" s="904"/>
      <c r="S64" s="904"/>
      <c r="T64" s="904"/>
      <c r="U64" s="904"/>
      <c r="V64" s="904"/>
      <c r="W64" s="904"/>
      <c r="X64" s="904"/>
      <c r="Y64" s="904"/>
      <c r="Z64" s="843"/>
      <c r="AA64" s="843"/>
      <c r="AB64" s="843"/>
      <c r="AC64" s="843"/>
      <c r="AD64" s="843"/>
      <c r="AE64" s="843"/>
      <c r="AF64" s="843"/>
    </row>
    <row r="65" spans="2:37" s="906" customFormat="1" x14ac:dyDescent="0.2">
      <c r="B65" s="904"/>
      <c r="C65" s="902"/>
      <c r="D65" s="902"/>
      <c r="E65" s="902"/>
      <c r="F65" s="902"/>
      <c r="G65" s="902"/>
      <c r="H65" s="902"/>
      <c r="I65" s="902"/>
      <c r="J65" s="902"/>
      <c r="K65" s="902"/>
      <c r="L65" s="905"/>
      <c r="M65" s="905"/>
      <c r="N65" s="843"/>
      <c r="O65" s="905"/>
      <c r="P65" s="843"/>
      <c r="Q65" s="905"/>
      <c r="R65" s="904"/>
      <c r="S65" s="904"/>
      <c r="T65" s="904"/>
      <c r="U65" s="904"/>
      <c r="V65" s="904"/>
      <c r="W65" s="904"/>
      <c r="X65" s="904"/>
      <c r="Y65" s="904"/>
      <c r="Z65" s="843"/>
      <c r="AA65" s="843"/>
      <c r="AB65" s="843"/>
      <c r="AC65" s="843"/>
      <c r="AD65" s="843"/>
      <c r="AE65" s="843"/>
      <c r="AF65" s="843"/>
    </row>
    <row r="66" spans="2:37" s="906" customFormat="1" x14ac:dyDescent="0.2">
      <c r="B66" s="904"/>
      <c r="C66" s="902"/>
      <c r="D66" s="902"/>
      <c r="E66" s="902"/>
      <c r="F66" s="902"/>
      <c r="G66" s="902"/>
      <c r="H66" s="902"/>
      <c r="I66" s="902"/>
      <c r="J66" s="902"/>
      <c r="K66" s="902"/>
      <c r="L66" s="905"/>
      <c r="M66" s="905"/>
      <c r="N66" s="843"/>
      <c r="O66" s="905"/>
      <c r="P66" s="843"/>
      <c r="Q66" s="905"/>
      <c r="R66" s="904"/>
      <c r="S66" s="904"/>
      <c r="T66" s="904"/>
      <c r="U66" s="904"/>
      <c r="V66" s="904"/>
      <c r="W66" s="904"/>
      <c r="X66" s="904"/>
      <c r="Y66" s="904"/>
      <c r="Z66" s="843"/>
      <c r="AA66" s="843"/>
      <c r="AB66" s="843"/>
      <c r="AC66" s="843"/>
      <c r="AD66" s="843"/>
      <c r="AE66" s="843"/>
      <c r="AF66" s="843"/>
    </row>
    <row r="67" spans="2:37" s="906" customFormat="1" x14ac:dyDescent="0.2">
      <c r="B67" s="904"/>
      <c r="C67" s="902"/>
      <c r="D67" s="902"/>
      <c r="E67" s="902"/>
      <c r="F67" s="902"/>
      <c r="G67" s="902"/>
      <c r="H67" s="902"/>
      <c r="I67" s="902"/>
      <c r="J67" s="902"/>
      <c r="K67" s="902"/>
      <c r="L67" s="902"/>
      <c r="M67" s="905"/>
      <c r="N67" s="905"/>
      <c r="O67" s="843"/>
      <c r="P67" s="905"/>
      <c r="Q67" s="843"/>
      <c r="R67" s="905"/>
      <c r="S67" s="904"/>
      <c r="T67" s="904"/>
      <c r="U67" s="904"/>
      <c r="V67" s="904"/>
      <c r="W67" s="904"/>
      <c r="X67" s="904"/>
      <c r="Y67" s="904"/>
      <c r="Z67" s="904"/>
      <c r="AA67" s="843"/>
      <c r="AB67" s="843"/>
      <c r="AC67" s="843"/>
      <c r="AD67" s="843"/>
      <c r="AE67" s="843"/>
      <c r="AF67" s="843"/>
      <c r="AG67" s="843"/>
    </row>
    <row r="68" spans="2:37" s="843" customFormat="1" ht="13.5" thickBot="1" x14ac:dyDescent="0.25">
      <c r="P68" s="860"/>
      <c r="Q68" s="860"/>
      <c r="T68" s="860"/>
      <c r="U68" s="860"/>
      <c r="V68" s="860"/>
      <c r="W68" s="860"/>
      <c r="X68" s="860"/>
      <c r="Y68" s="860"/>
      <c r="Z68" s="860"/>
      <c r="AA68" s="860"/>
      <c r="AB68" s="860"/>
      <c r="AC68" s="860"/>
      <c r="AD68" s="860"/>
      <c r="AE68" s="860"/>
      <c r="AF68" s="860"/>
      <c r="AG68" s="999" t="e">
        <f>'Junio - 2018'!AC101</f>
        <v>#REF!</v>
      </c>
    </row>
    <row r="69" spans="2:37" ht="13.5" thickBot="1" x14ac:dyDescent="0.25">
      <c r="B69" s="907" t="s">
        <v>3</v>
      </c>
      <c r="C69" s="908">
        <f>SUMIF(Tarifas!E4:E303,'Noviembre - 2019 '!C71,Tarifas!D4:D303)</f>
        <v>76</v>
      </c>
      <c r="D69" s="909" t="s">
        <v>147</v>
      </c>
      <c r="E69" s="910"/>
      <c r="F69" s="910" t="s">
        <v>145</v>
      </c>
      <c r="G69" s="910" t="s">
        <v>287</v>
      </c>
      <c r="H69" s="910" t="s">
        <v>148</v>
      </c>
      <c r="I69" s="911"/>
      <c r="J69" s="2320" t="s">
        <v>120</v>
      </c>
      <c r="K69" s="2321"/>
      <c r="L69" s="2321"/>
      <c r="M69" s="2322"/>
      <c r="N69" s="2311" t="s">
        <v>270</v>
      </c>
      <c r="O69" s="2312"/>
      <c r="P69" s="2312"/>
      <c r="Q69" s="2313"/>
      <c r="R69" s="2309" t="s">
        <v>271</v>
      </c>
      <c r="S69" s="2310"/>
      <c r="T69" s="2310"/>
      <c r="U69" s="2310"/>
      <c r="V69" s="2310"/>
      <c r="W69" s="2310"/>
      <c r="X69" s="2310"/>
      <c r="Y69" s="2310"/>
      <c r="Z69" s="2332"/>
      <c r="AA69" s="2362" t="s">
        <v>121</v>
      </c>
      <c r="AB69" s="2363"/>
      <c r="AC69" s="2363"/>
      <c r="AD69" s="2363"/>
      <c r="AE69" s="2363"/>
      <c r="AF69" s="2363"/>
      <c r="AG69" s="2364"/>
      <c r="AH69" s="843"/>
      <c r="AI69" s="843"/>
      <c r="AJ69" s="843"/>
    </row>
    <row r="70" spans="2:37" ht="51.75" thickBot="1" x14ac:dyDescent="0.25">
      <c r="C70" s="914" t="s">
        <v>122</v>
      </c>
      <c r="D70" s="1016" t="s">
        <v>125</v>
      </c>
      <c r="E70" s="1017" t="s">
        <v>277</v>
      </c>
      <c r="F70" s="1017" t="s">
        <v>149</v>
      </c>
      <c r="G70" s="1017" t="s">
        <v>151</v>
      </c>
      <c r="H70" s="1017" t="s">
        <v>152</v>
      </c>
      <c r="I70" s="1018" t="s">
        <v>123</v>
      </c>
      <c r="J70" s="1027" t="s">
        <v>734</v>
      </c>
      <c r="K70" s="1028" t="s">
        <v>109</v>
      </c>
      <c r="L70" s="1028" t="s">
        <v>25</v>
      </c>
      <c r="M70" s="1028" t="s">
        <v>26</v>
      </c>
      <c r="N70" s="1665" t="s">
        <v>738</v>
      </c>
      <c r="O70" s="1666" t="s">
        <v>266</v>
      </c>
      <c r="P70" s="1666" t="s">
        <v>269</v>
      </c>
      <c r="Q70" s="1906" t="s">
        <v>267</v>
      </c>
      <c r="R70" s="1904" t="s">
        <v>395</v>
      </c>
      <c r="S70" s="2021" t="s">
        <v>272</v>
      </c>
      <c r="T70" s="1904" t="s">
        <v>22</v>
      </c>
      <c r="U70" s="1905" t="s">
        <v>272</v>
      </c>
      <c r="V70" s="978" t="s">
        <v>25</v>
      </c>
      <c r="W70" s="978" t="s">
        <v>26</v>
      </c>
      <c r="X70" s="979" t="s">
        <v>272</v>
      </c>
      <c r="Y70" s="980" t="s">
        <v>273</v>
      </c>
      <c r="Z70" s="977" t="s">
        <v>272</v>
      </c>
      <c r="AA70" s="1012" t="s">
        <v>207</v>
      </c>
      <c r="AB70" s="1013"/>
      <c r="AC70" s="1013" t="s">
        <v>112</v>
      </c>
      <c r="AD70" s="1014" t="s">
        <v>118</v>
      </c>
      <c r="AE70" s="1014" t="s">
        <v>119</v>
      </c>
      <c r="AF70" s="1014" t="s">
        <v>114</v>
      </c>
      <c r="AG70" s="1015" t="s">
        <v>113</v>
      </c>
      <c r="AH70" s="843" t="s">
        <v>118</v>
      </c>
      <c r="AI70" s="843" t="s">
        <v>119</v>
      </c>
      <c r="AJ70" s="843" t="s">
        <v>114</v>
      </c>
      <c r="AK70" s="829" t="s">
        <v>113</v>
      </c>
    </row>
    <row r="71" spans="2:37" x14ac:dyDescent="0.2">
      <c r="C71" s="918">
        <v>43770</v>
      </c>
      <c r="D71" s="919">
        <f>($E$22*$H$22)/$G$22</f>
        <v>153350.92387096773</v>
      </c>
      <c r="E71" s="920">
        <f>($F$22*$I$22)/$G$22</f>
        <v>14421.080258064516</v>
      </c>
      <c r="F71" s="921">
        <f t="shared" ref="F71:F100" si="6">O71+P71+Q71</f>
        <v>184709.239375</v>
      </c>
      <c r="G71" s="922">
        <f>TRUNC(IFERROR(K$22/L$22,0),8)</f>
        <v>1.0163853</v>
      </c>
      <c r="H71" s="923">
        <f t="shared" ref="H71:H100" si="7">ROUND(J$22*G71*F71,4)</f>
        <v>187.73580000000001</v>
      </c>
      <c r="I71" s="924">
        <f t="shared" ref="I71:I100" si="8">SUM(D71:H71)</f>
        <v>352669.99568933231</v>
      </c>
      <c r="J71" s="925"/>
      <c r="K71" s="926"/>
      <c r="L71" s="926"/>
      <c r="M71" s="984"/>
      <c r="N71" s="2090">
        <v>16834.151027608201</v>
      </c>
      <c r="O71" s="2091">
        <v>71570.859375</v>
      </c>
      <c r="P71" s="2091">
        <v>113138.38</v>
      </c>
      <c r="Q71" s="2093">
        <v>0</v>
      </c>
      <c r="R71" s="2090"/>
      <c r="S71" s="2092">
        <f>N71-R71</f>
        <v>16834.151027608201</v>
      </c>
      <c r="T71" s="2091">
        <v>71570.86</v>
      </c>
      <c r="U71" s="2092">
        <f t="shared" ref="U71:U100" si="9">O71-T71</f>
        <v>-6.2500000058207661E-4</v>
      </c>
      <c r="V71" s="2044">
        <v>77156.52</v>
      </c>
      <c r="W71" s="2044">
        <v>35981.883000000002</v>
      </c>
      <c r="X71" s="2042">
        <f t="shared" ref="X71:X100" si="10">P71-(V71+W71)</f>
        <v>-2.3000000001047738E-2</v>
      </c>
      <c r="Y71" s="2043">
        <v>0</v>
      </c>
      <c r="Z71" s="2045">
        <f t="shared" ref="Z71:Z100" si="11">Q71-Y71</f>
        <v>0</v>
      </c>
      <c r="AA71" s="929"/>
      <c r="AB71" s="930"/>
      <c r="AC71" s="931">
        <f>AA71+AB71-AD71</f>
        <v>0</v>
      </c>
      <c r="AD71" s="931">
        <f t="shared" ref="AD71:AD100" si="12">K71+L71+M71</f>
        <v>0</v>
      </c>
      <c r="AE71" s="931">
        <f>(X71+Y71+Z71)*1.055056</f>
        <v>-2.4266288001105422E-2</v>
      </c>
      <c r="AF71" s="931">
        <f>AD71-AE71</f>
        <v>2.4266288001105422E-2</v>
      </c>
      <c r="AG71" s="932" t="e">
        <f>AG68+AF71</f>
        <v>#REF!</v>
      </c>
      <c r="AH71" s="843"/>
      <c r="AI71" s="843"/>
      <c r="AJ71" s="843"/>
    </row>
    <row r="72" spans="2:37" x14ac:dyDescent="0.2">
      <c r="C72" s="933">
        <f t="shared" ref="C72:C100" si="13">C71+1</f>
        <v>43771</v>
      </c>
      <c r="D72" s="919">
        <f t="shared" ref="D72:D100" si="14">($E$22*$H$22)/$G$22</f>
        <v>153350.92387096773</v>
      </c>
      <c r="E72" s="920">
        <f t="shared" ref="E72:E100" si="15">($F$22*$I$22)/$G$22</f>
        <v>14421.080258064516</v>
      </c>
      <c r="F72" s="934">
        <f t="shared" si="6"/>
        <v>180679.33156299999</v>
      </c>
      <c r="G72" s="935">
        <f t="shared" ref="G72:G100" si="16">TRUNC(IFERROR(K$22/L$22,0),8)</f>
        <v>1.0163853</v>
      </c>
      <c r="H72" s="923">
        <f t="shared" si="7"/>
        <v>183.63980000000001</v>
      </c>
      <c r="I72" s="924">
        <f t="shared" si="8"/>
        <v>348635.99187733227</v>
      </c>
      <c r="J72" s="925"/>
      <c r="K72" s="926"/>
      <c r="L72" s="926"/>
      <c r="M72" s="984"/>
      <c r="N72" s="2040">
        <v>13634.526026285201</v>
      </c>
      <c r="O72" s="2047">
        <v>71976.101563000004</v>
      </c>
      <c r="P72" s="2047">
        <v>108703.23</v>
      </c>
      <c r="Q72" s="2094">
        <v>0</v>
      </c>
      <c r="R72" s="2046"/>
      <c r="S72" s="2045">
        <f t="shared" ref="S72:S100" si="17">N72-R72</f>
        <v>13634.526026285201</v>
      </c>
      <c r="T72" s="2047">
        <v>71976.100000000006</v>
      </c>
      <c r="U72" s="2045">
        <f t="shared" si="9"/>
        <v>1.5629999979864806E-3</v>
      </c>
      <c r="V72" s="2050">
        <v>71046.775999999998</v>
      </c>
      <c r="W72" s="2050">
        <v>37656.449999999997</v>
      </c>
      <c r="X72" s="2042">
        <f t="shared" si="10"/>
        <v>4.0000000008149073E-3</v>
      </c>
      <c r="Y72" s="2049">
        <v>0</v>
      </c>
      <c r="Z72" s="2051">
        <f t="shared" si="11"/>
        <v>0</v>
      </c>
      <c r="AA72" s="929"/>
      <c r="AB72" s="930"/>
      <c r="AC72" s="931">
        <f t="shared" ref="AC72:AC100" si="18">AA72+AB72-AD72</f>
        <v>0</v>
      </c>
      <c r="AD72" s="931">
        <f t="shared" si="12"/>
        <v>0</v>
      </c>
      <c r="AE72" s="931">
        <f t="shared" ref="AE72:AE100" si="19">(X72+Y72+Z72)*1.055056</f>
        <v>4.220224000859773E-3</v>
      </c>
      <c r="AF72" s="931">
        <f t="shared" ref="AF72:AF100" si="20">AD72-AE72</f>
        <v>-4.220224000859773E-3</v>
      </c>
      <c r="AG72" s="932" t="e">
        <f>AG71+AF72</f>
        <v>#REF!</v>
      </c>
      <c r="AH72" s="843"/>
      <c r="AI72" s="843"/>
      <c r="AJ72" s="843"/>
    </row>
    <row r="73" spans="2:37" x14ac:dyDescent="0.2">
      <c r="C73" s="933">
        <f t="shared" si="13"/>
        <v>43772</v>
      </c>
      <c r="D73" s="919">
        <f t="shared" si="14"/>
        <v>153350.92387096773</v>
      </c>
      <c r="E73" s="920">
        <f t="shared" si="15"/>
        <v>14421.080258064516</v>
      </c>
      <c r="F73" s="934">
        <f t="shared" si="6"/>
        <v>180403.064063</v>
      </c>
      <c r="G73" s="935">
        <f t="shared" si="16"/>
        <v>1.0163853</v>
      </c>
      <c r="H73" s="923">
        <f t="shared" si="7"/>
        <v>183.35900000000001</v>
      </c>
      <c r="I73" s="924">
        <f t="shared" si="8"/>
        <v>348359.44357733231</v>
      </c>
      <c r="J73" s="925"/>
      <c r="K73" s="926"/>
      <c r="L73" s="926"/>
      <c r="M73" s="984"/>
      <c r="N73" s="2040">
        <v>19846.869433677301</v>
      </c>
      <c r="O73" s="2041">
        <v>71824.914063000004</v>
      </c>
      <c r="P73" s="2041">
        <v>108578.15</v>
      </c>
      <c r="Q73" s="2094">
        <v>0</v>
      </c>
      <c r="R73" s="2040"/>
      <c r="S73" s="2045">
        <f t="shared" si="17"/>
        <v>19846.869433677301</v>
      </c>
      <c r="T73" s="2041">
        <v>71824.91</v>
      </c>
      <c r="U73" s="2045">
        <f t="shared" si="9"/>
        <v>4.063000000314787E-3</v>
      </c>
      <c r="V73" s="2050">
        <v>71055.213000000003</v>
      </c>
      <c r="W73" s="2050">
        <v>37522.955999999998</v>
      </c>
      <c r="X73" s="2042">
        <f t="shared" si="10"/>
        <v>-1.9000000000232831E-2</v>
      </c>
      <c r="Y73" s="2049">
        <v>0</v>
      </c>
      <c r="Z73" s="2051">
        <f t="shared" si="11"/>
        <v>0</v>
      </c>
      <c r="AA73" s="929"/>
      <c r="AB73" s="930"/>
      <c r="AC73" s="931">
        <f t="shared" si="18"/>
        <v>0</v>
      </c>
      <c r="AD73" s="931">
        <f t="shared" si="12"/>
        <v>0</v>
      </c>
      <c r="AE73" s="931">
        <f t="shared" si="19"/>
        <v>-2.004606400024565E-2</v>
      </c>
      <c r="AF73" s="931">
        <f t="shared" si="20"/>
        <v>2.004606400024565E-2</v>
      </c>
      <c r="AG73" s="932" t="e">
        <f t="shared" ref="AG73:AG100" si="21">AG72+AF73</f>
        <v>#REF!</v>
      </c>
      <c r="AH73" s="843"/>
      <c r="AI73" s="843"/>
      <c r="AJ73" s="843"/>
    </row>
    <row r="74" spans="2:37" x14ac:dyDescent="0.2">
      <c r="C74" s="933">
        <f t="shared" si="13"/>
        <v>43773</v>
      </c>
      <c r="D74" s="919">
        <f t="shared" si="14"/>
        <v>153350.92387096773</v>
      </c>
      <c r="E74" s="920">
        <f t="shared" si="15"/>
        <v>14421.080258064516</v>
      </c>
      <c r="F74" s="934">
        <f t="shared" si="6"/>
        <v>180203.68281299999</v>
      </c>
      <c r="G74" s="935">
        <f t="shared" si="16"/>
        <v>1.0163853</v>
      </c>
      <c r="H74" s="923">
        <f t="shared" si="7"/>
        <v>183.15639999999999</v>
      </c>
      <c r="I74" s="924">
        <f t="shared" si="8"/>
        <v>348159.85972733225</v>
      </c>
      <c r="J74" s="925"/>
      <c r="K74" s="926"/>
      <c r="L74" s="926"/>
      <c r="M74" s="984"/>
      <c r="N74" s="2040">
        <v>23285.6506328619</v>
      </c>
      <c r="O74" s="2047">
        <v>71598.382813000004</v>
      </c>
      <c r="P74" s="2047">
        <v>108605.3</v>
      </c>
      <c r="Q74" s="2094">
        <v>0</v>
      </c>
      <c r="R74" s="2046"/>
      <c r="S74" s="2045">
        <f t="shared" si="17"/>
        <v>23285.6506328619</v>
      </c>
      <c r="T74" s="2047">
        <v>71598.383000000002</v>
      </c>
      <c r="U74" s="2045">
        <f t="shared" si="9"/>
        <v>-1.8699999782256782E-4</v>
      </c>
      <c r="V74" s="2050">
        <v>71051.375</v>
      </c>
      <c r="W74" s="2050">
        <v>37553.93</v>
      </c>
      <c r="X74" s="2042">
        <f t="shared" si="10"/>
        <v>-4.9999999901046976E-3</v>
      </c>
      <c r="Y74" s="2049">
        <v>0</v>
      </c>
      <c r="Z74" s="2051">
        <f t="shared" si="11"/>
        <v>0</v>
      </c>
      <c r="AA74" s="929"/>
      <c r="AB74" s="930"/>
      <c r="AC74" s="931">
        <f t="shared" si="18"/>
        <v>0</v>
      </c>
      <c r="AD74" s="931">
        <f t="shared" si="12"/>
        <v>0</v>
      </c>
      <c r="AE74" s="931">
        <f t="shared" si="19"/>
        <v>-5.2752799895599018E-3</v>
      </c>
      <c r="AF74" s="931">
        <f t="shared" si="20"/>
        <v>5.2752799895599018E-3</v>
      </c>
      <c r="AG74" s="932" t="e">
        <f t="shared" si="21"/>
        <v>#REF!</v>
      </c>
      <c r="AH74" s="843"/>
      <c r="AI74" s="843"/>
      <c r="AJ74" s="843"/>
    </row>
    <row r="75" spans="2:37" x14ac:dyDescent="0.2">
      <c r="C75" s="933">
        <f t="shared" si="13"/>
        <v>43774</v>
      </c>
      <c r="D75" s="919">
        <f t="shared" si="14"/>
        <v>153350.92387096773</v>
      </c>
      <c r="E75" s="920">
        <f t="shared" si="15"/>
        <v>14421.080258064516</v>
      </c>
      <c r="F75" s="934">
        <f t="shared" si="6"/>
        <v>180126.47468799999</v>
      </c>
      <c r="G75" s="935">
        <f t="shared" si="16"/>
        <v>1.0163853</v>
      </c>
      <c r="H75" s="923">
        <f t="shared" si="7"/>
        <v>183.0779</v>
      </c>
      <c r="I75" s="924">
        <f t="shared" si="8"/>
        <v>348082.57310233224</v>
      </c>
      <c r="J75" s="925"/>
      <c r="K75" s="926"/>
      <c r="L75" s="926"/>
      <c r="M75" s="984"/>
      <c r="N75" s="2040">
        <v>23417.024618062402</v>
      </c>
      <c r="O75" s="2041">
        <v>71807.054688000004</v>
      </c>
      <c r="P75" s="2041">
        <v>108319.42</v>
      </c>
      <c r="Q75" s="2094">
        <v>0</v>
      </c>
      <c r="R75" s="2040"/>
      <c r="S75" s="2045">
        <f t="shared" si="17"/>
        <v>23417.024618062402</v>
      </c>
      <c r="T75" s="2041">
        <v>71807.054000000004</v>
      </c>
      <c r="U75" s="2045">
        <f t="shared" si="9"/>
        <v>6.8800000008195639E-4</v>
      </c>
      <c r="V75" s="2050">
        <v>70845.710999999996</v>
      </c>
      <c r="W75" s="2050">
        <v>37473.72</v>
      </c>
      <c r="X75" s="2042">
        <f t="shared" si="10"/>
        <v>-1.0999999998603016E-2</v>
      </c>
      <c r="Y75" s="2049">
        <v>0</v>
      </c>
      <c r="Z75" s="2051">
        <f t="shared" si="11"/>
        <v>0</v>
      </c>
      <c r="AA75" s="929"/>
      <c r="AB75" s="930"/>
      <c r="AC75" s="931">
        <f t="shared" si="18"/>
        <v>0</v>
      </c>
      <c r="AD75" s="931">
        <f t="shared" si="12"/>
        <v>0</v>
      </c>
      <c r="AE75" s="931">
        <f t="shared" si="19"/>
        <v>-1.1605615998526103E-2</v>
      </c>
      <c r="AF75" s="931">
        <f t="shared" si="20"/>
        <v>1.1605615998526103E-2</v>
      </c>
      <c r="AG75" s="932" t="e">
        <f t="shared" si="21"/>
        <v>#REF!</v>
      </c>
      <c r="AH75" s="843"/>
      <c r="AI75" s="843"/>
      <c r="AJ75" s="843"/>
    </row>
    <row r="76" spans="2:37" x14ac:dyDescent="0.2">
      <c r="C76" s="933">
        <f t="shared" si="13"/>
        <v>43775</v>
      </c>
      <c r="D76" s="919">
        <f t="shared" si="14"/>
        <v>153350.92387096773</v>
      </c>
      <c r="E76" s="920">
        <f t="shared" si="15"/>
        <v>14421.080258064516</v>
      </c>
      <c r="F76" s="934">
        <f t="shared" si="6"/>
        <v>179816.509063</v>
      </c>
      <c r="G76" s="935">
        <f t="shared" si="16"/>
        <v>1.0163853</v>
      </c>
      <c r="H76" s="923">
        <f t="shared" si="7"/>
        <v>182.7629</v>
      </c>
      <c r="I76" s="924">
        <f t="shared" si="8"/>
        <v>347772.29247733223</v>
      </c>
      <c r="J76" s="925"/>
      <c r="K76" s="926"/>
      <c r="L76" s="926"/>
      <c r="M76" s="984"/>
      <c r="N76" s="2040">
        <v>23442.815190428297</v>
      </c>
      <c r="O76" s="2047">
        <v>71494.789063000004</v>
      </c>
      <c r="P76" s="2047">
        <v>108321.72</v>
      </c>
      <c r="Q76" s="2094">
        <v>0</v>
      </c>
      <c r="R76" s="2046"/>
      <c r="S76" s="2045">
        <f t="shared" si="17"/>
        <v>23442.815190428297</v>
      </c>
      <c r="T76" s="2047">
        <v>71494.789000000004</v>
      </c>
      <c r="U76" s="2045">
        <f t="shared" si="9"/>
        <v>6.2999999499879777E-5</v>
      </c>
      <c r="V76" s="2050">
        <v>70834.313999999998</v>
      </c>
      <c r="W76" s="2050">
        <v>37487.398999999998</v>
      </c>
      <c r="X76" s="2042">
        <f t="shared" si="10"/>
        <v>7.0000000123400241E-3</v>
      </c>
      <c r="Y76" s="2049">
        <v>0</v>
      </c>
      <c r="Z76" s="2051">
        <f t="shared" si="11"/>
        <v>0</v>
      </c>
      <c r="AA76" s="929"/>
      <c r="AB76" s="930"/>
      <c r="AC76" s="931">
        <f t="shared" si="18"/>
        <v>0</v>
      </c>
      <c r="AD76" s="931">
        <f t="shared" si="12"/>
        <v>0</v>
      </c>
      <c r="AE76" s="931">
        <f t="shared" si="19"/>
        <v>7.3853920130194164E-3</v>
      </c>
      <c r="AF76" s="931">
        <f t="shared" si="20"/>
        <v>-7.3853920130194164E-3</v>
      </c>
      <c r="AG76" s="932" t="e">
        <f t="shared" si="21"/>
        <v>#REF!</v>
      </c>
      <c r="AH76" s="843"/>
      <c r="AI76" s="843"/>
      <c r="AJ76" s="843"/>
    </row>
    <row r="77" spans="2:37" x14ac:dyDescent="0.2">
      <c r="C77" s="933">
        <f t="shared" si="13"/>
        <v>43776</v>
      </c>
      <c r="D77" s="919">
        <f t="shared" si="14"/>
        <v>153350.92387096773</v>
      </c>
      <c r="E77" s="920">
        <f t="shared" si="15"/>
        <v>14421.080258064516</v>
      </c>
      <c r="F77" s="934">
        <f t="shared" si="6"/>
        <v>180994.55562499998</v>
      </c>
      <c r="G77" s="935">
        <f t="shared" si="16"/>
        <v>1.0163853</v>
      </c>
      <c r="H77" s="923">
        <f t="shared" si="7"/>
        <v>183.96019999999999</v>
      </c>
      <c r="I77" s="924">
        <f t="shared" si="8"/>
        <v>348951.53633933223</v>
      </c>
      <c r="J77" s="925"/>
      <c r="K77" s="926"/>
      <c r="L77" s="926"/>
      <c r="M77" s="984"/>
      <c r="N77" s="2040">
        <v>23423.460199968296</v>
      </c>
      <c r="O77" s="2041">
        <v>72488.015625</v>
      </c>
      <c r="P77" s="2041">
        <v>108506.54</v>
      </c>
      <c r="Q77" s="2094">
        <v>0</v>
      </c>
      <c r="R77" s="2040"/>
      <c r="S77" s="2045">
        <f t="shared" si="17"/>
        <v>23423.460199968296</v>
      </c>
      <c r="T77" s="2041">
        <v>72488.016000000003</v>
      </c>
      <c r="U77" s="2045">
        <f t="shared" si="9"/>
        <v>-3.7500000325962901E-4</v>
      </c>
      <c r="V77" s="2050">
        <v>71019.456999999995</v>
      </c>
      <c r="W77" s="2050">
        <v>37487.11</v>
      </c>
      <c r="X77" s="2042">
        <f t="shared" si="10"/>
        <v>-2.7000000001862645E-2</v>
      </c>
      <c r="Y77" s="2049">
        <v>0</v>
      </c>
      <c r="Z77" s="2051">
        <f t="shared" si="11"/>
        <v>0</v>
      </c>
      <c r="AA77" s="929"/>
      <c r="AB77" s="930"/>
      <c r="AC77" s="931">
        <f t="shared" si="18"/>
        <v>0</v>
      </c>
      <c r="AD77" s="931">
        <f t="shared" si="12"/>
        <v>0</v>
      </c>
      <c r="AE77" s="931">
        <f t="shared" si="19"/>
        <v>-2.8486512001965194E-2</v>
      </c>
      <c r="AF77" s="931">
        <f t="shared" si="20"/>
        <v>2.8486512001965194E-2</v>
      </c>
      <c r="AG77" s="932" t="e">
        <f t="shared" si="21"/>
        <v>#REF!</v>
      </c>
      <c r="AH77" s="843"/>
      <c r="AI77" s="843"/>
      <c r="AJ77" s="843"/>
    </row>
    <row r="78" spans="2:37" x14ac:dyDescent="0.2">
      <c r="C78" s="933">
        <f t="shared" si="13"/>
        <v>43777</v>
      </c>
      <c r="D78" s="919">
        <f t="shared" si="14"/>
        <v>153350.92387096773</v>
      </c>
      <c r="E78" s="920">
        <f t="shared" si="15"/>
        <v>14421.080258064516</v>
      </c>
      <c r="F78" s="934">
        <f t="shared" si="6"/>
        <v>180615.52781300002</v>
      </c>
      <c r="G78" s="935">
        <f t="shared" si="16"/>
        <v>1.0163853</v>
      </c>
      <c r="H78" s="923">
        <f t="shared" si="7"/>
        <v>183.57499999999999</v>
      </c>
      <c r="I78" s="924">
        <f t="shared" si="8"/>
        <v>348572.12332733232</v>
      </c>
      <c r="J78" s="925"/>
      <c r="K78" s="926"/>
      <c r="L78" s="926"/>
      <c r="M78" s="984"/>
      <c r="N78" s="2040">
        <v>22953.628428183998</v>
      </c>
      <c r="O78" s="2047">
        <v>72073.257813000004</v>
      </c>
      <c r="P78" s="2047">
        <v>108542.27</v>
      </c>
      <c r="Q78" s="2094">
        <v>0</v>
      </c>
      <c r="R78" s="2046"/>
      <c r="S78" s="2045">
        <f t="shared" si="17"/>
        <v>22953.628428183998</v>
      </c>
      <c r="T78" s="2047">
        <v>72073.258000000002</v>
      </c>
      <c r="U78" s="2045">
        <f t="shared" si="9"/>
        <v>-1.8699999782256782E-4</v>
      </c>
      <c r="V78" s="2050">
        <v>71028.865999999995</v>
      </c>
      <c r="W78" s="2050">
        <v>37513.4</v>
      </c>
      <c r="X78" s="2042">
        <f t="shared" si="10"/>
        <v>4.0000000008149073E-3</v>
      </c>
      <c r="Y78" s="2049">
        <v>0</v>
      </c>
      <c r="Z78" s="2051">
        <f t="shared" si="11"/>
        <v>0</v>
      </c>
      <c r="AA78" s="929"/>
      <c r="AB78" s="930"/>
      <c r="AC78" s="931">
        <f t="shared" si="18"/>
        <v>0</v>
      </c>
      <c r="AD78" s="931">
        <f t="shared" si="12"/>
        <v>0</v>
      </c>
      <c r="AE78" s="931">
        <f t="shared" si="19"/>
        <v>4.220224000859773E-3</v>
      </c>
      <c r="AF78" s="931">
        <f t="shared" si="20"/>
        <v>-4.220224000859773E-3</v>
      </c>
      <c r="AG78" s="932" t="e">
        <f t="shared" si="21"/>
        <v>#REF!</v>
      </c>
    </row>
    <row r="79" spans="2:37" x14ac:dyDescent="0.2">
      <c r="C79" s="933">
        <f t="shared" si="13"/>
        <v>43778</v>
      </c>
      <c r="D79" s="919">
        <f t="shared" si="14"/>
        <v>153350.92387096773</v>
      </c>
      <c r="E79" s="920">
        <f t="shared" si="15"/>
        <v>14421.080258064516</v>
      </c>
      <c r="F79" s="934">
        <f t="shared" si="6"/>
        <v>181424.99031299999</v>
      </c>
      <c r="G79" s="935">
        <f t="shared" si="16"/>
        <v>1.0163853</v>
      </c>
      <c r="H79" s="923">
        <f t="shared" si="7"/>
        <v>184.39769999999999</v>
      </c>
      <c r="I79" s="924">
        <f t="shared" si="8"/>
        <v>349382.40852733224</v>
      </c>
      <c r="J79" s="925"/>
      <c r="K79" s="926"/>
      <c r="L79" s="926"/>
      <c r="M79" s="984"/>
      <c r="N79" s="2040">
        <v>12658.4002211401</v>
      </c>
      <c r="O79" s="2041">
        <v>71918.320313000004</v>
      </c>
      <c r="P79" s="2041">
        <v>109506.67</v>
      </c>
      <c r="Q79" s="2094">
        <v>0</v>
      </c>
      <c r="R79" s="2040"/>
      <c r="S79" s="2045">
        <f t="shared" si="17"/>
        <v>12658.4002211401</v>
      </c>
      <c r="T79" s="2041">
        <v>71918.3</v>
      </c>
      <c r="U79" s="2045">
        <f t="shared" si="9"/>
        <v>2.0313000000896864E-2</v>
      </c>
      <c r="V79" s="2050">
        <v>72239.739000000001</v>
      </c>
      <c r="W79" s="2050">
        <v>37266.925000000003</v>
      </c>
      <c r="X79" s="2042">
        <f t="shared" si="10"/>
        <v>5.9999999939464033E-3</v>
      </c>
      <c r="Y79" s="2049">
        <v>0</v>
      </c>
      <c r="Z79" s="2051">
        <f t="shared" si="11"/>
        <v>0</v>
      </c>
      <c r="AA79" s="929"/>
      <c r="AB79" s="930"/>
      <c r="AC79" s="931">
        <f t="shared" si="18"/>
        <v>0</v>
      </c>
      <c r="AD79" s="931">
        <f t="shared" si="12"/>
        <v>0</v>
      </c>
      <c r="AE79" s="931">
        <f t="shared" si="19"/>
        <v>6.3303359936131166E-3</v>
      </c>
      <c r="AF79" s="931">
        <f t="shared" si="20"/>
        <v>-6.3303359936131166E-3</v>
      </c>
      <c r="AG79" s="932" t="e">
        <f t="shared" si="21"/>
        <v>#REF!</v>
      </c>
    </row>
    <row r="80" spans="2:37" x14ac:dyDescent="0.2">
      <c r="C80" s="933">
        <f t="shared" si="13"/>
        <v>43779</v>
      </c>
      <c r="D80" s="919">
        <f t="shared" si="14"/>
        <v>153350.92387096773</v>
      </c>
      <c r="E80" s="920">
        <f t="shared" si="15"/>
        <v>14421.080258064516</v>
      </c>
      <c r="F80" s="934">
        <f t="shared" si="6"/>
        <v>187126.17499999999</v>
      </c>
      <c r="G80" s="935">
        <f t="shared" si="16"/>
        <v>1.0163853</v>
      </c>
      <c r="H80" s="923">
        <f t="shared" si="7"/>
        <v>190.19229999999999</v>
      </c>
      <c r="I80" s="924">
        <f t="shared" si="8"/>
        <v>355089.38781433227</v>
      </c>
      <c r="J80" s="925"/>
      <c r="K80" s="926"/>
      <c r="L80" s="926"/>
      <c r="M80" s="984"/>
      <c r="N80" s="2040">
        <v>18174.629972937601</v>
      </c>
      <c r="O80" s="2047">
        <v>71859.875</v>
      </c>
      <c r="P80" s="2047">
        <v>115266.3</v>
      </c>
      <c r="Q80" s="2094">
        <v>0</v>
      </c>
      <c r="R80" s="2046"/>
      <c r="S80" s="2045">
        <f t="shared" si="17"/>
        <v>18174.629972937601</v>
      </c>
      <c r="T80" s="2047">
        <v>71859.899999999994</v>
      </c>
      <c r="U80" s="2045">
        <f t="shared" si="9"/>
        <v>-2.4999999994179234E-2</v>
      </c>
      <c r="V80" s="2050">
        <v>78013.578999999998</v>
      </c>
      <c r="W80" s="2050">
        <v>37252.741999999998</v>
      </c>
      <c r="X80" s="2042">
        <f t="shared" si="10"/>
        <v>-2.0999999993364327E-2</v>
      </c>
      <c r="Y80" s="2049">
        <v>0</v>
      </c>
      <c r="Z80" s="2051">
        <f t="shared" si="11"/>
        <v>0</v>
      </c>
      <c r="AA80" s="929"/>
      <c r="AB80" s="930"/>
      <c r="AC80" s="931">
        <f t="shared" si="18"/>
        <v>0</v>
      </c>
      <c r="AD80" s="931">
        <f t="shared" si="12"/>
        <v>0</v>
      </c>
      <c r="AE80" s="931">
        <f t="shared" si="19"/>
        <v>-2.2156175992998992E-2</v>
      </c>
      <c r="AF80" s="931">
        <f t="shared" si="20"/>
        <v>2.2156175992998992E-2</v>
      </c>
      <c r="AG80" s="932" t="e">
        <f t="shared" si="21"/>
        <v>#REF!</v>
      </c>
    </row>
    <row r="81" spans="3:36" x14ac:dyDescent="0.2">
      <c r="C81" s="933">
        <f t="shared" si="13"/>
        <v>43780</v>
      </c>
      <c r="D81" s="919">
        <f t="shared" si="14"/>
        <v>153350.92387096773</v>
      </c>
      <c r="E81" s="920">
        <f t="shared" si="15"/>
        <v>14421.080258064516</v>
      </c>
      <c r="F81" s="934">
        <f t="shared" si="6"/>
        <v>183997.328438</v>
      </c>
      <c r="G81" s="935">
        <f t="shared" si="16"/>
        <v>1.0163853</v>
      </c>
      <c r="H81" s="923">
        <f t="shared" si="7"/>
        <v>187.01220000000001</v>
      </c>
      <c r="I81" s="924">
        <f t="shared" si="8"/>
        <v>351957.36115233228</v>
      </c>
      <c r="J81" s="925"/>
      <c r="K81" s="926"/>
      <c r="L81" s="926"/>
      <c r="M81" s="984"/>
      <c r="N81" s="2040">
        <v>19704.972992584</v>
      </c>
      <c r="O81" s="2041">
        <v>71640.648438000004</v>
      </c>
      <c r="P81" s="2041">
        <v>112356.68</v>
      </c>
      <c r="Q81" s="2094">
        <v>0</v>
      </c>
      <c r="R81" s="2040"/>
      <c r="S81" s="2045">
        <f t="shared" si="17"/>
        <v>19704.972992584</v>
      </c>
      <c r="T81" s="2041">
        <v>71640.648000000001</v>
      </c>
      <c r="U81" s="2045">
        <f t="shared" si="9"/>
        <v>4.3800000275950879E-4</v>
      </c>
      <c r="V81" s="2050">
        <v>74861.983999999997</v>
      </c>
      <c r="W81" s="2050">
        <v>37494.686000000002</v>
      </c>
      <c r="X81" s="2042">
        <f t="shared" si="10"/>
        <v>9.9999999947613105E-3</v>
      </c>
      <c r="Y81" s="2049">
        <v>0</v>
      </c>
      <c r="Z81" s="2051">
        <f t="shared" si="11"/>
        <v>0</v>
      </c>
      <c r="AA81" s="929"/>
      <c r="AB81" s="930"/>
      <c r="AC81" s="931">
        <f t="shared" si="18"/>
        <v>0</v>
      </c>
      <c r="AD81" s="931">
        <f t="shared" si="12"/>
        <v>0</v>
      </c>
      <c r="AE81" s="931">
        <f t="shared" si="19"/>
        <v>1.0550559994472889E-2</v>
      </c>
      <c r="AF81" s="931">
        <f t="shared" si="20"/>
        <v>-1.0550559994472889E-2</v>
      </c>
      <c r="AG81" s="932" t="e">
        <f t="shared" si="21"/>
        <v>#REF!</v>
      </c>
    </row>
    <row r="82" spans="3:36" x14ac:dyDescent="0.2">
      <c r="C82" s="933">
        <f t="shared" si="13"/>
        <v>43781</v>
      </c>
      <c r="D82" s="919">
        <f t="shared" si="14"/>
        <v>153350.92387096773</v>
      </c>
      <c r="E82" s="920">
        <f t="shared" si="15"/>
        <v>14421.080258064516</v>
      </c>
      <c r="F82" s="934">
        <f t="shared" si="6"/>
        <v>185338.979375</v>
      </c>
      <c r="G82" s="935">
        <f t="shared" si="16"/>
        <v>1.0163853</v>
      </c>
      <c r="H82" s="923">
        <f t="shared" si="7"/>
        <v>188.3758</v>
      </c>
      <c r="I82" s="924">
        <f t="shared" si="8"/>
        <v>353300.37568933226</v>
      </c>
      <c r="J82" s="925"/>
      <c r="K82" s="926"/>
      <c r="L82" s="926"/>
      <c r="M82" s="984"/>
      <c r="N82" s="2040">
        <v>17747.521580062799</v>
      </c>
      <c r="O82" s="2047">
        <v>72011.359375</v>
      </c>
      <c r="P82" s="2047">
        <v>113327.62</v>
      </c>
      <c r="Q82" s="2094">
        <v>0</v>
      </c>
      <c r="R82" s="2046"/>
      <c r="S82" s="2045">
        <f t="shared" si="17"/>
        <v>17747.521580062799</v>
      </c>
      <c r="T82" s="2047">
        <v>72011.360000000001</v>
      </c>
      <c r="U82" s="2045">
        <f t="shared" si="9"/>
        <v>-6.2500000058207661E-4</v>
      </c>
      <c r="V82" s="2050">
        <v>75954.286999999997</v>
      </c>
      <c r="W82" s="2050">
        <v>38136.476000000002</v>
      </c>
      <c r="X82" s="2042">
        <f t="shared" si="10"/>
        <v>-763.14300000001094</v>
      </c>
      <c r="Y82" s="2049">
        <v>0</v>
      </c>
      <c r="Z82" s="2051">
        <f t="shared" si="11"/>
        <v>0</v>
      </c>
      <c r="AA82" s="929"/>
      <c r="AB82" s="930"/>
      <c r="AC82" s="931">
        <f t="shared" si="18"/>
        <v>0</v>
      </c>
      <c r="AD82" s="931">
        <f t="shared" si="12"/>
        <v>0</v>
      </c>
      <c r="AE82" s="931">
        <f t="shared" si="19"/>
        <v>-805.15860100801149</v>
      </c>
      <c r="AF82" s="931">
        <f t="shared" si="20"/>
        <v>805.15860100801149</v>
      </c>
      <c r="AG82" s="932" t="e">
        <f t="shared" si="21"/>
        <v>#REF!</v>
      </c>
    </row>
    <row r="83" spans="3:36" x14ac:dyDescent="0.2">
      <c r="C83" s="933">
        <f t="shared" si="13"/>
        <v>43782</v>
      </c>
      <c r="D83" s="919">
        <f t="shared" si="14"/>
        <v>153350.92387096773</v>
      </c>
      <c r="E83" s="920">
        <f t="shared" si="15"/>
        <v>14421.080258064516</v>
      </c>
      <c r="F83" s="934">
        <f t="shared" si="6"/>
        <v>184919.74</v>
      </c>
      <c r="G83" s="935">
        <f t="shared" si="16"/>
        <v>1.0163853</v>
      </c>
      <c r="H83" s="923">
        <f t="shared" si="7"/>
        <v>187.94970000000001</v>
      </c>
      <c r="I83" s="924">
        <f t="shared" si="8"/>
        <v>352880.71021433227</v>
      </c>
      <c r="J83" s="925"/>
      <c r="K83" s="926"/>
      <c r="L83" s="926"/>
      <c r="M83" s="984"/>
      <c r="N83" s="2040">
        <v>22258.020224000004</v>
      </c>
      <c r="O83" s="2041">
        <v>73087.75</v>
      </c>
      <c r="P83" s="2041">
        <v>111831.99</v>
      </c>
      <c r="Q83" s="2094">
        <v>0</v>
      </c>
      <c r="R83" s="2040"/>
      <c r="S83" s="2045">
        <f t="shared" si="17"/>
        <v>22258.020224000004</v>
      </c>
      <c r="T83" s="2041">
        <v>73087.75</v>
      </c>
      <c r="U83" s="2045">
        <f t="shared" si="9"/>
        <v>0</v>
      </c>
      <c r="V83" s="2050">
        <v>70861.504000000001</v>
      </c>
      <c r="W83" s="2050">
        <v>40970.497000000003</v>
      </c>
      <c r="X83" s="2042">
        <f t="shared" si="10"/>
        <v>-1.0999999998603016E-2</v>
      </c>
      <c r="Y83" s="2049">
        <v>0</v>
      </c>
      <c r="Z83" s="2051">
        <f t="shared" si="11"/>
        <v>0</v>
      </c>
      <c r="AA83" s="929"/>
      <c r="AB83" s="930"/>
      <c r="AC83" s="931">
        <f t="shared" si="18"/>
        <v>0</v>
      </c>
      <c r="AD83" s="931">
        <f t="shared" si="12"/>
        <v>0</v>
      </c>
      <c r="AE83" s="931">
        <f t="shared" si="19"/>
        <v>-1.1605615998526103E-2</v>
      </c>
      <c r="AF83" s="931">
        <f t="shared" si="20"/>
        <v>1.1605615998526103E-2</v>
      </c>
      <c r="AG83" s="932" t="e">
        <f t="shared" si="21"/>
        <v>#REF!</v>
      </c>
    </row>
    <row r="84" spans="3:36" x14ac:dyDescent="0.2">
      <c r="C84" s="933">
        <f t="shared" si="13"/>
        <v>43783</v>
      </c>
      <c r="D84" s="919">
        <f t="shared" si="14"/>
        <v>153350.92387096773</v>
      </c>
      <c r="E84" s="920">
        <f t="shared" si="15"/>
        <v>14421.080258064516</v>
      </c>
      <c r="F84" s="934">
        <f t="shared" si="6"/>
        <v>185394.0275</v>
      </c>
      <c r="G84" s="935">
        <f t="shared" si="16"/>
        <v>1.0163853</v>
      </c>
      <c r="H84" s="923">
        <f t="shared" si="7"/>
        <v>188.43180000000001</v>
      </c>
      <c r="I84" s="924">
        <f t="shared" si="8"/>
        <v>353355.47981433227</v>
      </c>
      <c r="J84" s="925"/>
      <c r="K84" s="926"/>
      <c r="L84" s="926"/>
      <c r="M84" s="984"/>
      <c r="N84" s="2040">
        <v>23389.32149712</v>
      </c>
      <c r="O84" s="2047">
        <v>73107.1875</v>
      </c>
      <c r="P84" s="2047">
        <v>112286.84</v>
      </c>
      <c r="Q84" s="2094">
        <v>0</v>
      </c>
      <c r="R84" s="2046"/>
      <c r="S84" s="2045">
        <f t="shared" si="17"/>
        <v>23389.32149712</v>
      </c>
      <c r="T84" s="2047">
        <v>73107.187999999995</v>
      </c>
      <c r="U84" s="2045">
        <f t="shared" si="9"/>
        <v>-4.999999946448952E-4</v>
      </c>
      <c r="V84" s="2050">
        <v>74488.214000000007</v>
      </c>
      <c r="W84" s="2050">
        <v>38580.525999999998</v>
      </c>
      <c r="X84" s="2042">
        <f t="shared" si="10"/>
        <v>-781.90000000000873</v>
      </c>
      <c r="Y84" s="2049">
        <v>0</v>
      </c>
      <c r="Z84" s="2051">
        <f t="shared" si="11"/>
        <v>0</v>
      </c>
      <c r="AA84" s="929"/>
      <c r="AB84" s="930"/>
      <c r="AC84" s="931">
        <f t="shared" si="18"/>
        <v>0</v>
      </c>
      <c r="AD84" s="931">
        <f t="shared" si="12"/>
        <v>0</v>
      </c>
      <c r="AE84" s="931">
        <f t="shared" si="19"/>
        <v>-824.94828640000924</v>
      </c>
      <c r="AF84" s="931">
        <f t="shared" si="20"/>
        <v>824.94828640000924</v>
      </c>
      <c r="AG84" s="932" t="e">
        <f t="shared" si="21"/>
        <v>#REF!</v>
      </c>
    </row>
    <row r="85" spans="3:36" x14ac:dyDescent="0.2">
      <c r="C85" s="933">
        <f t="shared" si="13"/>
        <v>43784</v>
      </c>
      <c r="D85" s="919">
        <f t="shared" si="14"/>
        <v>153350.92387096773</v>
      </c>
      <c r="E85" s="920">
        <f t="shared" si="15"/>
        <v>14421.080258064516</v>
      </c>
      <c r="F85" s="934">
        <f t="shared" si="6"/>
        <v>180681.601563</v>
      </c>
      <c r="G85" s="935">
        <f t="shared" si="16"/>
        <v>1.0163853</v>
      </c>
      <c r="H85" s="923">
        <f t="shared" si="7"/>
        <v>183.6421</v>
      </c>
      <c r="I85" s="924">
        <f t="shared" si="8"/>
        <v>348638.26417733228</v>
      </c>
      <c r="J85" s="925"/>
      <c r="K85" s="926"/>
      <c r="L85" s="926"/>
      <c r="M85" s="984"/>
      <c r="N85" s="2040">
        <v>20283.954416639997</v>
      </c>
      <c r="O85" s="2041">
        <v>72787.601563000004</v>
      </c>
      <c r="P85" s="2041">
        <v>107894</v>
      </c>
      <c r="Q85" s="2094">
        <v>0</v>
      </c>
      <c r="R85" s="2040"/>
      <c r="S85" s="2045">
        <f t="shared" si="17"/>
        <v>20283.954416639997</v>
      </c>
      <c r="T85" s="2041">
        <v>72787.600000000006</v>
      </c>
      <c r="U85" s="2045">
        <f t="shared" si="9"/>
        <v>1.5629999979864806E-3</v>
      </c>
      <c r="V85" s="2050">
        <v>70272.202999999994</v>
      </c>
      <c r="W85" s="2050">
        <v>37621.796999999999</v>
      </c>
      <c r="X85" s="2042">
        <f t="shared" si="10"/>
        <v>0</v>
      </c>
      <c r="Y85" s="2049">
        <v>0</v>
      </c>
      <c r="Z85" s="2051">
        <f t="shared" si="11"/>
        <v>0</v>
      </c>
      <c r="AA85" s="929"/>
      <c r="AB85" s="930"/>
      <c r="AC85" s="931">
        <f t="shared" si="18"/>
        <v>0</v>
      </c>
      <c r="AD85" s="931">
        <f t="shared" si="12"/>
        <v>0</v>
      </c>
      <c r="AE85" s="931">
        <f t="shared" si="19"/>
        <v>0</v>
      </c>
      <c r="AF85" s="931">
        <f t="shared" si="20"/>
        <v>0</v>
      </c>
      <c r="AG85" s="932" t="e">
        <f t="shared" si="21"/>
        <v>#REF!</v>
      </c>
    </row>
    <row r="86" spans="3:36" x14ac:dyDescent="0.2">
      <c r="C86" s="933">
        <f t="shared" si="13"/>
        <v>43785</v>
      </c>
      <c r="D86" s="919">
        <f t="shared" si="14"/>
        <v>153350.92387096773</v>
      </c>
      <c r="E86" s="920">
        <f t="shared" si="15"/>
        <v>14421.080258064516</v>
      </c>
      <c r="F86" s="934">
        <f t="shared" si="6"/>
        <v>179293.11281299999</v>
      </c>
      <c r="G86" s="935">
        <f t="shared" si="16"/>
        <v>1.0163853</v>
      </c>
      <c r="H86" s="923">
        <f t="shared" si="7"/>
        <v>182.23089999999999</v>
      </c>
      <c r="I86" s="924">
        <f t="shared" si="8"/>
        <v>347248.36422733229</v>
      </c>
      <c r="J86" s="925"/>
      <c r="K86" s="926"/>
      <c r="L86" s="926"/>
      <c r="M86" s="984"/>
      <c r="N86" s="2040">
        <v>19917.738643487999</v>
      </c>
      <c r="O86" s="2047">
        <v>73597.132813000004</v>
      </c>
      <c r="P86" s="2047">
        <v>105695.98</v>
      </c>
      <c r="Q86" s="2094">
        <v>0</v>
      </c>
      <c r="R86" s="2046"/>
      <c r="S86" s="2045">
        <f t="shared" si="17"/>
        <v>19917.738643487999</v>
      </c>
      <c r="T86" s="2047">
        <v>73597.13</v>
      </c>
      <c r="U86" s="2045">
        <f t="shared" si="9"/>
        <v>2.8129999991506338E-3</v>
      </c>
      <c r="V86" s="2050">
        <v>69111.035999999993</v>
      </c>
      <c r="W86" s="2050">
        <v>36584.923999999999</v>
      </c>
      <c r="X86" s="2042">
        <f t="shared" si="10"/>
        <v>2.0000000004074536E-2</v>
      </c>
      <c r="Y86" s="2049">
        <v>0</v>
      </c>
      <c r="Z86" s="2051">
        <f t="shared" si="11"/>
        <v>0</v>
      </c>
      <c r="AA86" s="929"/>
      <c r="AB86" s="930"/>
      <c r="AC86" s="931">
        <f t="shared" si="18"/>
        <v>0</v>
      </c>
      <c r="AD86" s="931">
        <f t="shared" si="12"/>
        <v>0</v>
      </c>
      <c r="AE86" s="931">
        <f t="shared" si="19"/>
        <v>2.1101120004298864E-2</v>
      </c>
      <c r="AF86" s="931">
        <f t="shared" si="20"/>
        <v>-2.1101120004298864E-2</v>
      </c>
      <c r="AG86" s="932" t="e">
        <f t="shared" si="21"/>
        <v>#REF!</v>
      </c>
    </row>
    <row r="87" spans="3:36" x14ac:dyDescent="0.2">
      <c r="C87" s="933">
        <f t="shared" si="13"/>
        <v>43786</v>
      </c>
      <c r="D87" s="919">
        <f t="shared" si="14"/>
        <v>153350.92387096773</v>
      </c>
      <c r="E87" s="920">
        <f t="shared" si="15"/>
        <v>14421.080258064516</v>
      </c>
      <c r="F87" s="934">
        <f t="shared" si="6"/>
        <v>180269.09687499999</v>
      </c>
      <c r="G87" s="935">
        <f t="shared" si="16"/>
        <v>1.0163853</v>
      </c>
      <c r="H87" s="923">
        <f t="shared" si="7"/>
        <v>183.22290000000001</v>
      </c>
      <c r="I87" s="924">
        <f t="shared" si="8"/>
        <v>348225.34028933226</v>
      </c>
      <c r="J87" s="925"/>
      <c r="K87" s="926"/>
      <c r="L87" s="926"/>
      <c r="M87" s="984"/>
      <c r="N87" s="2040">
        <v>11615.899145047</v>
      </c>
      <c r="O87" s="2041">
        <v>72140.796875</v>
      </c>
      <c r="P87" s="2041">
        <v>108128.3</v>
      </c>
      <c r="Q87" s="2094">
        <v>0</v>
      </c>
      <c r="R87" s="2040"/>
      <c r="S87" s="2045">
        <f t="shared" si="17"/>
        <v>11615.899145047</v>
      </c>
      <c r="T87" s="2041">
        <v>72140.800000000003</v>
      </c>
      <c r="U87" s="2045">
        <f t="shared" si="9"/>
        <v>-3.125000002910383E-3</v>
      </c>
      <c r="V87" s="2050">
        <v>71245.400999999998</v>
      </c>
      <c r="W87" s="2050">
        <v>36882.906999999999</v>
      </c>
      <c r="X87" s="2042">
        <f t="shared" si="10"/>
        <v>-7.9999999870778993E-3</v>
      </c>
      <c r="Y87" s="2049">
        <v>0</v>
      </c>
      <c r="Z87" s="2051">
        <f t="shared" si="11"/>
        <v>0</v>
      </c>
      <c r="AA87" s="929"/>
      <c r="AB87" s="930"/>
      <c r="AC87" s="931">
        <f t="shared" si="18"/>
        <v>0</v>
      </c>
      <c r="AD87" s="931">
        <f t="shared" si="12"/>
        <v>0</v>
      </c>
      <c r="AE87" s="931">
        <f t="shared" si="19"/>
        <v>-8.4404479863664592E-3</v>
      </c>
      <c r="AF87" s="931">
        <f t="shared" si="20"/>
        <v>8.4404479863664592E-3</v>
      </c>
      <c r="AG87" s="932" t="e">
        <f t="shared" si="21"/>
        <v>#REF!</v>
      </c>
    </row>
    <row r="88" spans="3:36" x14ac:dyDescent="0.2">
      <c r="C88" s="933">
        <f t="shared" si="13"/>
        <v>43787</v>
      </c>
      <c r="D88" s="919">
        <f t="shared" si="14"/>
        <v>153350.92387096773</v>
      </c>
      <c r="E88" s="920">
        <f t="shared" si="15"/>
        <v>14421.080258064516</v>
      </c>
      <c r="F88" s="934">
        <f t="shared" si="6"/>
        <v>145274.96843800001</v>
      </c>
      <c r="G88" s="935">
        <f t="shared" si="16"/>
        <v>1.0163853</v>
      </c>
      <c r="H88" s="923">
        <f t="shared" si="7"/>
        <v>147.65530000000001</v>
      </c>
      <c r="I88" s="924">
        <f t="shared" si="8"/>
        <v>313195.64425233228</v>
      </c>
      <c r="J88" s="925"/>
      <c r="K88" s="926"/>
      <c r="L88" s="926"/>
      <c r="M88" s="984"/>
      <c r="N88" s="2040">
        <v>11761.022781585001</v>
      </c>
      <c r="O88" s="2047">
        <v>63246.398437999997</v>
      </c>
      <c r="P88" s="2047">
        <v>82028.570000000007</v>
      </c>
      <c r="Q88" s="2094">
        <v>0</v>
      </c>
      <c r="R88" s="2046"/>
      <c r="S88" s="2045">
        <f t="shared" si="17"/>
        <v>11761.022781585001</v>
      </c>
      <c r="T88" s="2047">
        <v>63246</v>
      </c>
      <c r="U88" s="2045">
        <f t="shared" si="9"/>
        <v>0.39843799999653129</v>
      </c>
      <c r="V88" s="2050">
        <v>51120.627999999997</v>
      </c>
      <c r="W88" s="2050">
        <v>30907.932000000001</v>
      </c>
      <c r="X88" s="2042">
        <f t="shared" si="10"/>
        <v>1.0000000009313226E-2</v>
      </c>
      <c r="Y88" s="2049">
        <v>0</v>
      </c>
      <c r="Z88" s="2051">
        <f t="shared" si="11"/>
        <v>0</v>
      </c>
      <c r="AA88" s="929"/>
      <c r="AB88" s="930"/>
      <c r="AC88" s="931">
        <f t="shared" si="18"/>
        <v>0</v>
      </c>
      <c r="AD88" s="931">
        <f t="shared" si="12"/>
        <v>0</v>
      </c>
      <c r="AE88" s="931">
        <f t="shared" si="19"/>
        <v>1.0550560009825974E-2</v>
      </c>
      <c r="AF88" s="931">
        <f t="shared" si="20"/>
        <v>-1.0550560009825974E-2</v>
      </c>
      <c r="AG88" s="932" t="e">
        <f t="shared" si="21"/>
        <v>#REF!</v>
      </c>
    </row>
    <row r="89" spans="3:36" x14ac:dyDescent="0.2">
      <c r="C89" s="933">
        <f t="shared" si="13"/>
        <v>43788</v>
      </c>
      <c r="D89" s="919">
        <f t="shared" si="14"/>
        <v>153350.92387096773</v>
      </c>
      <c r="E89" s="920">
        <f t="shared" si="15"/>
        <v>14421.080258064516</v>
      </c>
      <c r="F89" s="934">
        <f t="shared" si="6"/>
        <v>162624.176875</v>
      </c>
      <c r="G89" s="935">
        <f t="shared" si="16"/>
        <v>1.0163853</v>
      </c>
      <c r="H89" s="923">
        <f t="shared" si="7"/>
        <v>165.28880000000001</v>
      </c>
      <c r="I89" s="924">
        <f t="shared" si="8"/>
        <v>330562.48618933227</v>
      </c>
      <c r="J89" s="925"/>
      <c r="K89" s="926"/>
      <c r="L89" s="926"/>
      <c r="M89" s="984"/>
      <c r="N89" s="2040">
        <v>11714.186699567999</v>
      </c>
      <c r="O89" s="2041">
        <v>73158.796875</v>
      </c>
      <c r="P89" s="2041">
        <v>89465.38</v>
      </c>
      <c r="Q89" s="2094">
        <v>0</v>
      </c>
      <c r="R89" s="2040"/>
      <c r="S89" s="2045">
        <f t="shared" si="17"/>
        <v>11714.186699567999</v>
      </c>
      <c r="T89" s="2041">
        <v>73158.8</v>
      </c>
      <c r="U89" s="2045">
        <f t="shared" si="9"/>
        <v>-3.125000002910383E-3</v>
      </c>
      <c r="V89" s="2050">
        <v>55884.571000000004</v>
      </c>
      <c r="W89" s="2050">
        <v>33580.813999999998</v>
      </c>
      <c r="X89" s="2042">
        <f t="shared" si="10"/>
        <v>-5.0000000046566129E-3</v>
      </c>
      <c r="Y89" s="2049">
        <v>0</v>
      </c>
      <c r="Z89" s="2051">
        <f t="shared" si="11"/>
        <v>0</v>
      </c>
      <c r="AA89" s="929"/>
      <c r="AB89" s="930"/>
      <c r="AC89" s="931">
        <f t="shared" si="18"/>
        <v>0</v>
      </c>
      <c r="AD89" s="931">
        <f t="shared" si="12"/>
        <v>0</v>
      </c>
      <c r="AE89" s="931">
        <f t="shared" si="19"/>
        <v>-5.2752800049129869E-3</v>
      </c>
      <c r="AF89" s="931">
        <f t="shared" si="20"/>
        <v>5.2752800049129869E-3</v>
      </c>
      <c r="AG89" s="932" t="e">
        <f t="shared" si="21"/>
        <v>#REF!</v>
      </c>
    </row>
    <row r="90" spans="3:36" x14ac:dyDescent="0.2">
      <c r="C90" s="933">
        <f t="shared" si="13"/>
        <v>43789</v>
      </c>
      <c r="D90" s="919">
        <f t="shared" si="14"/>
        <v>153350.92387096773</v>
      </c>
      <c r="E90" s="920">
        <f t="shared" si="15"/>
        <v>14421.080258064516</v>
      </c>
      <c r="F90" s="934">
        <f t="shared" si="6"/>
        <v>186684.98249999998</v>
      </c>
      <c r="G90" s="935">
        <f t="shared" si="16"/>
        <v>1.0163853</v>
      </c>
      <c r="H90" s="923">
        <f t="shared" si="7"/>
        <v>189.7439</v>
      </c>
      <c r="I90" s="924">
        <f t="shared" si="8"/>
        <v>354647.74691433227</v>
      </c>
      <c r="J90" s="925"/>
      <c r="K90" s="926"/>
      <c r="L90" s="926"/>
      <c r="M90" s="984"/>
      <c r="N90" s="2040">
        <v>11769.747005664</v>
      </c>
      <c r="O90" s="2047">
        <v>72844.8125</v>
      </c>
      <c r="P90" s="2047">
        <v>113840.17</v>
      </c>
      <c r="Q90" s="2094">
        <v>0</v>
      </c>
      <c r="R90" s="2046"/>
      <c r="S90" s="2045">
        <f t="shared" si="17"/>
        <v>11769.747005664</v>
      </c>
      <c r="T90" s="2047">
        <v>72844.800000000003</v>
      </c>
      <c r="U90" s="2045">
        <f t="shared" si="9"/>
        <v>1.2499999997089617E-2</v>
      </c>
      <c r="V90" s="2050">
        <v>76044.05</v>
      </c>
      <c r="W90" s="2050">
        <v>37796.103999999999</v>
      </c>
      <c r="X90" s="2042">
        <f t="shared" si="10"/>
        <v>1.5999999988707714E-2</v>
      </c>
      <c r="Y90" s="2049">
        <v>0</v>
      </c>
      <c r="Z90" s="2051">
        <f t="shared" si="11"/>
        <v>0</v>
      </c>
      <c r="AA90" s="929"/>
      <c r="AB90" s="930"/>
      <c r="AC90" s="931">
        <f t="shared" si="18"/>
        <v>0</v>
      </c>
      <c r="AD90" s="931">
        <f t="shared" si="12"/>
        <v>0</v>
      </c>
      <c r="AE90" s="931">
        <f t="shared" si="19"/>
        <v>1.6880895988086005E-2</v>
      </c>
      <c r="AF90" s="931">
        <f t="shared" si="20"/>
        <v>-1.6880895988086005E-2</v>
      </c>
      <c r="AG90" s="932" t="e">
        <f t="shared" si="21"/>
        <v>#REF!</v>
      </c>
    </row>
    <row r="91" spans="3:36" x14ac:dyDescent="0.2">
      <c r="C91" s="933">
        <f t="shared" si="13"/>
        <v>43790</v>
      </c>
      <c r="D91" s="919">
        <f t="shared" si="14"/>
        <v>153350.92387096773</v>
      </c>
      <c r="E91" s="920">
        <f t="shared" si="15"/>
        <v>14421.080258064516</v>
      </c>
      <c r="F91" s="934">
        <f t="shared" si="6"/>
        <v>185873.83812500001</v>
      </c>
      <c r="G91" s="935">
        <f t="shared" si="16"/>
        <v>1.0163853</v>
      </c>
      <c r="H91" s="923">
        <f t="shared" si="7"/>
        <v>188.9194</v>
      </c>
      <c r="I91" s="924">
        <f t="shared" si="8"/>
        <v>353835.7780393323</v>
      </c>
      <c r="J91" s="925"/>
      <c r="K91" s="926"/>
      <c r="L91" s="926"/>
      <c r="M91" s="984"/>
      <c r="N91" s="2040">
        <v>11766.871056437998</v>
      </c>
      <c r="O91" s="2041">
        <v>72693.078125</v>
      </c>
      <c r="P91" s="2041">
        <v>113180.76</v>
      </c>
      <c r="Q91" s="2094">
        <v>0</v>
      </c>
      <c r="R91" s="2040"/>
      <c r="S91" s="2045">
        <f t="shared" si="17"/>
        <v>11766.871056437998</v>
      </c>
      <c r="T91" s="2041">
        <v>72693.100000000006</v>
      </c>
      <c r="U91" s="2045">
        <f t="shared" si="9"/>
        <v>-2.1875000005820766E-2</v>
      </c>
      <c r="V91" s="2050">
        <v>75415.338000000003</v>
      </c>
      <c r="W91" s="2050">
        <v>37765.436999999998</v>
      </c>
      <c r="X91" s="2042">
        <f t="shared" si="10"/>
        <v>-1.4999999999417923E-2</v>
      </c>
      <c r="Y91" s="2049">
        <v>0</v>
      </c>
      <c r="Z91" s="2051">
        <f t="shared" si="11"/>
        <v>0</v>
      </c>
      <c r="AA91" s="929"/>
      <c r="AB91" s="930"/>
      <c r="AC91" s="931">
        <f t="shared" si="18"/>
        <v>0</v>
      </c>
      <c r="AD91" s="931">
        <f t="shared" si="12"/>
        <v>0</v>
      </c>
      <c r="AE91" s="931">
        <f t="shared" si="19"/>
        <v>-1.5825839999385877E-2</v>
      </c>
      <c r="AF91" s="931">
        <f t="shared" si="20"/>
        <v>1.5825839999385877E-2</v>
      </c>
      <c r="AG91" s="932" t="e">
        <f t="shared" si="21"/>
        <v>#REF!</v>
      </c>
    </row>
    <row r="92" spans="3:36" x14ac:dyDescent="0.2">
      <c r="C92" s="933">
        <f t="shared" si="13"/>
        <v>43791</v>
      </c>
      <c r="D92" s="919">
        <f t="shared" si="14"/>
        <v>153350.92387096773</v>
      </c>
      <c r="E92" s="920">
        <f t="shared" si="15"/>
        <v>14421.080258064516</v>
      </c>
      <c r="F92" s="934">
        <f t="shared" si="6"/>
        <v>186190.88400000002</v>
      </c>
      <c r="G92" s="935">
        <f t="shared" si="16"/>
        <v>1.0163853</v>
      </c>
      <c r="H92" s="923">
        <f t="shared" si="7"/>
        <v>189.24170000000001</v>
      </c>
      <c r="I92" s="924">
        <f t="shared" si="8"/>
        <v>354153.14621433232</v>
      </c>
      <c r="J92" s="925"/>
      <c r="K92" s="926"/>
      <c r="L92" s="926"/>
      <c r="M92" s="984"/>
      <c r="N92" s="2040">
        <v>11785.151535827999</v>
      </c>
      <c r="O92" s="2047">
        <v>72615.054000000004</v>
      </c>
      <c r="P92" s="2047">
        <v>113575.83</v>
      </c>
      <c r="Q92" s="2094">
        <v>0</v>
      </c>
      <c r="R92" s="2046"/>
      <c r="S92" s="2045">
        <f t="shared" si="17"/>
        <v>11785.151535827999</v>
      </c>
      <c r="T92" s="2047">
        <v>72615.05</v>
      </c>
      <c r="U92" s="2045">
        <f t="shared" si="9"/>
        <v>4.0000000008149073E-3</v>
      </c>
      <c r="V92" s="2050">
        <v>75626.697</v>
      </c>
      <c r="W92" s="2050">
        <v>37949.108999999997</v>
      </c>
      <c r="X92" s="2042">
        <f t="shared" si="10"/>
        <v>2.4000000004889444E-2</v>
      </c>
      <c r="Y92" s="2049">
        <v>0</v>
      </c>
      <c r="Z92" s="2051">
        <f t="shared" si="11"/>
        <v>0</v>
      </c>
      <c r="AA92" s="929"/>
      <c r="AB92" s="930"/>
      <c r="AC92" s="931">
        <f t="shared" si="18"/>
        <v>0</v>
      </c>
      <c r="AD92" s="931">
        <f t="shared" si="12"/>
        <v>0</v>
      </c>
      <c r="AE92" s="931">
        <f t="shared" si="19"/>
        <v>2.5321344005158637E-2</v>
      </c>
      <c r="AF92" s="931">
        <f t="shared" si="20"/>
        <v>-2.5321344005158637E-2</v>
      </c>
      <c r="AG92" s="932" t="e">
        <f t="shared" si="21"/>
        <v>#REF!</v>
      </c>
    </row>
    <row r="93" spans="3:36" x14ac:dyDescent="0.2">
      <c r="C93" s="933">
        <f t="shared" si="13"/>
        <v>43792</v>
      </c>
      <c r="D93" s="919">
        <f t="shared" si="14"/>
        <v>153350.92387096773</v>
      </c>
      <c r="E93" s="920">
        <f t="shared" si="15"/>
        <v>14421.080258064516</v>
      </c>
      <c r="F93" s="934">
        <f t="shared" si="6"/>
        <v>185362.66187499999</v>
      </c>
      <c r="G93" s="935">
        <f t="shared" si="16"/>
        <v>1.0163853</v>
      </c>
      <c r="H93" s="923">
        <f t="shared" si="7"/>
        <v>188.3999</v>
      </c>
      <c r="I93" s="924">
        <f t="shared" si="8"/>
        <v>353324.08228933229</v>
      </c>
      <c r="J93" s="925"/>
      <c r="K93" s="926"/>
      <c r="L93" s="926"/>
      <c r="M93" s="984"/>
      <c r="N93" s="2040">
        <v>17196.018096602002</v>
      </c>
      <c r="O93" s="2041">
        <v>71833.171875</v>
      </c>
      <c r="P93" s="2041">
        <v>113529.49</v>
      </c>
      <c r="Q93" s="2094">
        <v>0</v>
      </c>
      <c r="R93" s="2040"/>
      <c r="S93" s="2045">
        <f t="shared" si="17"/>
        <v>17196.018096602002</v>
      </c>
      <c r="T93" s="2041">
        <v>71833.17</v>
      </c>
      <c r="U93" s="2045">
        <f t="shared" si="9"/>
        <v>1.8750000017462298E-3</v>
      </c>
      <c r="V93" s="2050">
        <v>75645.418000000005</v>
      </c>
      <c r="W93" s="2050">
        <v>37884.076000000001</v>
      </c>
      <c r="X93" s="2042">
        <f t="shared" si="10"/>
        <v>-4.0000000008149073E-3</v>
      </c>
      <c r="Y93" s="2049">
        <v>0</v>
      </c>
      <c r="Z93" s="2051">
        <f t="shared" si="11"/>
        <v>0</v>
      </c>
      <c r="AA93" s="929"/>
      <c r="AB93" s="930"/>
      <c r="AC93" s="931">
        <f t="shared" si="18"/>
        <v>0</v>
      </c>
      <c r="AD93" s="931">
        <f t="shared" si="12"/>
        <v>0</v>
      </c>
      <c r="AE93" s="931">
        <f t="shared" si="19"/>
        <v>-4.220224000859773E-3</v>
      </c>
      <c r="AF93" s="931">
        <f t="shared" si="20"/>
        <v>4.220224000859773E-3</v>
      </c>
      <c r="AG93" s="932" t="e">
        <f t="shared" si="21"/>
        <v>#REF!</v>
      </c>
    </row>
    <row r="94" spans="3:36" x14ac:dyDescent="0.2">
      <c r="C94" s="933">
        <f t="shared" si="13"/>
        <v>43793</v>
      </c>
      <c r="D94" s="919">
        <f t="shared" si="14"/>
        <v>153350.92387096773</v>
      </c>
      <c r="E94" s="920">
        <f t="shared" si="15"/>
        <v>14421.080258064516</v>
      </c>
      <c r="F94" s="934">
        <f t="shared" si="6"/>
        <v>176589.03593800002</v>
      </c>
      <c r="G94" s="935">
        <f t="shared" si="16"/>
        <v>1.0163853</v>
      </c>
      <c r="H94" s="923">
        <f t="shared" si="7"/>
        <v>179.48249999999999</v>
      </c>
      <c r="I94" s="924">
        <f t="shared" si="8"/>
        <v>344541.53895233228</v>
      </c>
      <c r="J94" s="925"/>
      <c r="K94" s="926"/>
      <c r="L94" s="926"/>
      <c r="M94" s="984"/>
      <c r="N94" s="2040">
        <v>18661.210839785999</v>
      </c>
      <c r="O94" s="2047">
        <v>71752.835938000004</v>
      </c>
      <c r="P94" s="2047">
        <v>104836.2</v>
      </c>
      <c r="Q94" s="2094">
        <v>0</v>
      </c>
      <c r="R94" s="2046"/>
      <c r="S94" s="2045">
        <f t="shared" si="17"/>
        <v>18661.210839785999</v>
      </c>
      <c r="T94" s="2047">
        <v>71752.84</v>
      </c>
      <c r="U94" s="2045">
        <f t="shared" si="9"/>
        <v>-4.0619999927002937E-3</v>
      </c>
      <c r="V94" s="2050">
        <v>68749.019</v>
      </c>
      <c r="W94" s="2050">
        <v>36087.163</v>
      </c>
      <c r="X94" s="2042">
        <f t="shared" si="10"/>
        <v>1.7999999996391125E-2</v>
      </c>
      <c r="Y94" s="2049">
        <v>0</v>
      </c>
      <c r="Z94" s="2051">
        <f t="shared" si="11"/>
        <v>0</v>
      </c>
      <c r="AA94" s="929"/>
      <c r="AB94" s="930"/>
      <c r="AC94" s="931">
        <f t="shared" si="18"/>
        <v>0</v>
      </c>
      <c r="AD94" s="931">
        <f t="shared" si="12"/>
        <v>0</v>
      </c>
      <c r="AE94" s="931">
        <f t="shared" si="19"/>
        <v>1.8991007996192435E-2</v>
      </c>
      <c r="AF94" s="931">
        <f t="shared" si="20"/>
        <v>-1.8991007996192435E-2</v>
      </c>
      <c r="AG94" s="932" t="e">
        <f t="shared" si="21"/>
        <v>#REF!</v>
      </c>
      <c r="AH94" s="843"/>
      <c r="AI94" s="843"/>
      <c r="AJ94" s="843"/>
    </row>
    <row r="95" spans="3:36" x14ac:dyDescent="0.2">
      <c r="C95" s="933">
        <f t="shared" si="13"/>
        <v>43794</v>
      </c>
      <c r="D95" s="919">
        <f t="shared" si="14"/>
        <v>153350.92387096773</v>
      </c>
      <c r="E95" s="920">
        <f t="shared" si="15"/>
        <v>14421.080258064516</v>
      </c>
      <c r="F95" s="934">
        <f t="shared" si="6"/>
        <v>168621.945313</v>
      </c>
      <c r="G95" s="935">
        <f t="shared" si="16"/>
        <v>1.0163853</v>
      </c>
      <c r="H95" s="923">
        <f t="shared" si="7"/>
        <v>171.38489999999999</v>
      </c>
      <c r="I95" s="924">
        <f t="shared" si="8"/>
        <v>336566.35072733229</v>
      </c>
      <c r="J95" s="925"/>
      <c r="K95" s="926"/>
      <c r="L95" s="926"/>
      <c r="M95" s="984"/>
      <c r="N95" s="2040">
        <v>23600.283056405999</v>
      </c>
      <c r="O95" s="2041">
        <v>71889.195313000004</v>
      </c>
      <c r="P95" s="2041">
        <v>96732.75</v>
      </c>
      <c r="Q95" s="2094">
        <v>0</v>
      </c>
      <c r="R95" s="2040"/>
      <c r="S95" s="2045">
        <f t="shared" si="17"/>
        <v>23600.283056405999</v>
      </c>
      <c r="T95" s="2041">
        <v>71889.2</v>
      </c>
      <c r="U95" s="2045">
        <f t="shared" si="9"/>
        <v>-4.6869999932823703E-3</v>
      </c>
      <c r="V95" s="2050">
        <v>63252.756999999998</v>
      </c>
      <c r="W95" s="2050">
        <v>33479.998</v>
      </c>
      <c r="X95" s="2042">
        <f t="shared" si="10"/>
        <v>-5.0000000046566129E-3</v>
      </c>
      <c r="Y95" s="2049">
        <v>0</v>
      </c>
      <c r="Z95" s="2051">
        <f t="shared" si="11"/>
        <v>0</v>
      </c>
      <c r="AA95" s="929"/>
      <c r="AB95" s="930"/>
      <c r="AC95" s="931">
        <f t="shared" si="18"/>
        <v>0</v>
      </c>
      <c r="AD95" s="931">
        <f t="shared" si="12"/>
        <v>0</v>
      </c>
      <c r="AE95" s="931">
        <f t="shared" si="19"/>
        <v>-5.2752800049129869E-3</v>
      </c>
      <c r="AF95" s="931">
        <f t="shared" si="20"/>
        <v>5.2752800049129869E-3</v>
      </c>
      <c r="AG95" s="932" t="e">
        <f t="shared" si="21"/>
        <v>#REF!</v>
      </c>
      <c r="AH95" s="843"/>
      <c r="AI95" s="843"/>
      <c r="AJ95" s="843"/>
    </row>
    <row r="96" spans="3:36" x14ac:dyDescent="0.2">
      <c r="C96" s="933">
        <f t="shared" si="13"/>
        <v>43795</v>
      </c>
      <c r="D96" s="919">
        <f t="shared" si="14"/>
        <v>153350.92387096773</v>
      </c>
      <c r="E96" s="920">
        <f t="shared" si="15"/>
        <v>14421.080258064516</v>
      </c>
      <c r="F96" s="934">
        <f t="shared" si="6"/>
        <v>185641.894688</v>
      </c>
      <c r="G96" s="935">
        <f t="shared" si="16"/>
        <v>1.0163853</v>
      </c>
      <c r="H96" s="923">
        <f t="shared" si="7"/>
        <v>188.68369999999999</v>
      </c>
      <c r="I96" s="924">
        <f t="shared" si="8"/>
        <v>353603.59890233225</v>
      </c>
      <c r="J96" s="925"/>
      <c r="K96" s="926"/>
      <c r="L96" s="926"/>
      <c r="M96" s="984"/>
      <c r="N96" s="2040">
        <v>23535.592549326</v>
      </c>
      <c r="O96" s="2047">
        <v>72052.304688000004</v>
      </c>
      <c r="P96" s="2047">
        <v>113589.59</v>
      </c>
      <c r="Q96" s="2094">
        <v>0</v>
      </c>
      <c r="R96" s="2046"/>
      <c r="S96" s="2045">
        <f t="shared" si="17"/>
        <v>23535.592549326</v>
      </c>
      <c r="T96" s="2047">
        <v>72052.304999999993</v>
      </c>
      <c r="U96" s="2045">
        <f t="shared" si="9"/>
        <v>-3.1199998920783401E-4</v>
      </c>
      <c r="V96" s="2050">
        <v>75990.126999999993</v>
      </c>
      <c r="W96" s="2050">
        <v>37599.446000000004</v>
      </c>
      <c r="X96" s="2042">
        <f t="shared" si="10"/>
        <v>1.6999999992549419E-2</v>
      </c>
      <c r="Y96" s="2049">
        <v>0</v>
      </c>
      <c r="Z96" s="2051">
        <f t="shared" si="11"/>
        <v>0</v>
      </c>
      <c r="AA96" s="929"/>
      <c r="AB96" s="930"/>
      <c r="AC96" s="931">
        <f t="shared" si="18"/>
        <v>0</v>
      </c>
      <c r="AD96" s="931">
        <f t="shared" si="12"/>
        <v>0</v>
      </c>
      <c r="AE96" s="931">
        <f t="shared" si="19"/>
        <v>1.793595199213922E-2</v>
      </c>
      <c r="AF96" s="931">
        <f t="shared" si="20"/>
        <v>-1.793595199213922E-2</v>
      </c>
      <c r="AG96" s="932" t="e">
        <f t="shared" si="21"/>
        <v>#REF!</v>
      </c>
      <c r="AH96" s="843"/>
      <c r="AI96" s="843"/>
      <c r="AJ96" s="843"/>
    </row>
    <row r="97" spans="2:42" x14ac:dyDescent="0.2">
      <c r="C97" s="933">
        <f t="shared" si="13"/>
        <v>43796</v>
      </c>
      <c r="D97" s="919">
        <f t="shared" si="14"/>
        <v>153350.92387096773</v>
      </c>
      <c r="E97" s="920">
        <f t="shared" si="15"/>
        <v>14421.080258064516</v>
      </c>
      <c r="F97" s="934">
        <f t="shared" si="6"/>
        <v>185617.35062500002</v>
      </c>
      <c r="G97" s="935">
        <f t="shared" si="16"/>
        <v>1.0163853</v>
      </c>
      <c r="H97" s="923">
        <f t="shared" si="7"/>
        <v>188.65870000000001</v>
      </c>
      <c r="I97" s="924">
        <f t="shared" si="8"/>
        <v>353579.02983933233</v>
      </c>
      <c r="J97" s="925"/>
      <c r="K97" s="926"/>
      <c r="L97" s="926"/>
      <c r="M97" s="984"/>
      <c r="N97" s="2040">
        <v>23732.096965437006</v>
      </c>
      <c r="O97" s="2041">
        <v>71955.890625</v>
      </c>
      <c r="P97" s="2041">
        <v>113661.46</v>
      </c>
      <c r="Q97" s="2094">
        <v>0</v>
      </c>
      <c r="R97" s="2040"/>
      <c r="S97" s="2045">
        <f t="shared" si="17"/>
        <v>23732.096965437006</v>
      </c>
      <c r="T97" s="2041">
        <v>71955.891000000003</v>
      </c>
      <c r="U97" s="2045">
        <f t="shared" si="9"/>
        <v>-3.7500000325962901E-4</v>
      </c>
      <c r="V97" s="2050">
        <v>75840.92</v>
      </c>
      <c r="W97" s="2050">
        <v>37820.542000000001</v>
      </c>
      <c r="X97" s="2042">
        <f t="shared" si="10"/>
        <v>-1.999999993131496E-3</v>
      </c>
      <c r="Y97" s="2049">
        <v>0</v>
      </c>
      <c r="Z97" s="2051">
        <f t="shared" si="11"/>
        <v>0</v>
      </c>
      <c r="AA97" s="929"/>
      <c r="AB97" s="930"/>
      <c r="AC97" s="931">
        <f t="shared" si="18"/>
        <v>0</v>
      </c>
      <c r="AD97" s="931">
        <f t="shared" si="12"/>
        <v>0</v>
      </c>
      <c r="AE97" s="931">
        <f t="shared" si="19"/>
        <v>-2.1101119927533435E-3</v>
      </c>
      <c r="AF97" s="931">
        <f t="shared" si="20"/>
        <v>2.1101119927533435E-3</v>
      </c>
      <c r="AG97" s="932" t="e">
        <f t="shared" si="21"/>
        <v>#REF!</v>
      </c>
      <c r="AH97" s="843"/>
      <c r="AI97" s="843"/>
      <c r="AJ97" s="843"/>
    </row>
    <row r="98" spans="2:42" x14ac:dyDescent="0.2">
      <c r="C98" s="933">
        <f t="shared" si="13"/>
        <v>43797</v>
      </c>
      <c r="D98" s="919">
        <f t="shared" si="14"/>
        <v>153350.92387096773</v>
      </c>
      <c r="E98" s="920">
        <f t="shared" si="15"/>
        <v>14421.080258064516</v>
      </c>
      <c r="F98" s="934">
        <f t="shared" si="6"/>
        <v>185217.5025</v>
      </c>
      <c r="G98" s="935">
        <f t="shared" si="16"/>
        <v>1.0163853</v>
      </c>
      <c r="H98" s="923">
        <f t="shared" si="7"/>
        <v>188.25229999999999</v>
      </c>
      <c r="I98" s="924">
        <f t="shared" si="8"/>
        <v>353178.77531433228</v>
      </c>
      <c r="J98" s="925"/>
      <c r="K98" s="926"/>
      <c r="L98" s="926"/>
      <c r="M98" s="984"/>
      <c r="N98" s="2040">
        <v>23735.509418334004</v>
      </c>
      <c r="O98" s="2047">
        <v>71411.8125</v>
      </c>
      <c r="P98" s="2047">
        <v>113805.69</v>
      </c>
      <c r="Q98" s="2094">
        <v>0</v>
      </c>
      <c r="R98" s="2046"/>
      <c r="S98" s="2045">
        <f t="shared" si="17"/>
        <v>23735.509418334004</v>
      </c>
      <c r="T98" s="2047">
        <v>71411.812000000005</v>
      </c>
      <c r="U98" s="2045">
        <f t="shared" si="9"/>
        <v>4.999999946448952E-4</v>
      </c>
      <c r="V98" s="2050">
        <v>75995.994999999995</v>
      </c>
      <c r="W98" s="2050">
        <v>37809.714999999997</v>
      </c>
      <c r="X98" s="2042">
        <f t="shared" si="10"/>
        <v>-1.9999999989522621E-2</v>
      </c>
      <c r="Y98" s="2049">
        <v>0</v>
      </c>
      <c r="Z98" s="2051">
        <f t="shared" si="11"/>
        <v>0</v>
      </c>
      <c r="AA98" s="929"/>
      <c r="AB98" s="930"/>
      <c r="AC98" s="931">
        <f t="shared" si="18"/>
        <v>0</v>
      </c>
      <c r="AD98" s="931">
        <f t="shared" si="12"/>
        <v>0</v>
      </c>
      <c r="AE98" s="931">
        <f t="shared" si="19"/>
        <v>-2.1101119988945777E-2</v>
      </c>
      <c r="AF98" s="931">
        <f t="shared" si="20"/>
        <v>2.1101119988945777E-2</v>
      </c>
      <c r="AG98" s="932" t="e">
        <f t="shared" si="21"/>
        <v>#REF!</v>
      </c>
      <c r="AH98" s="843"/>
      <c r="AI98" s="843"/>
      <c r="AJ98" s="843"/>
    </row>
    <row r="99" spans="2:42" x14ac:dyDescent="0.2">
      <c r="C99" s="933">
        <f t="shared" si="13"/>
        <v>43798</v>
      </c>
      <c r="D99" s="919">
        <f t="shared" si="14"/>
        <v>153350.92387096773</v>
      </c>
      <c r="E99" s="920">
        <f t="shared" si="15"/>
        <v>14421.080258064516</v>
      </c>
      <c r="F99" s="934">
        <f t="shared" si="6"/>
        <v>179627.073125</v>
      </c>
      <c r="G99" s="935">
        <f t="shared" si="16"/>
        <v>1.0163853</v>
      </c>
      <c r="H99" s="923">
        <f t="shared" si="7"/>
        <v>182.5703</v>
      </c>
      <c r="I99" s="924">
        <f t="shared" si="8"/>
        <v>347582.6639393323</v>
      </c>
      <c r="J99" s="925"/>
      <c r="K99" s="926"/>
      <c r="L99" s="926"/>
      <c r="M99" s="926"/>
      <c r="N99" s="2040">
        <v>22644.187516493996</v>
      </c>
      <c r="O99" s="2041">
        <v>71785.453125</v>
      </c>
      <c r="P99" s="2041">
        <v>107841.62</v>
      </c>
      <c r="Q99" s="2094">
        <v>0</v>
      </c>
      <c r="R99" s="2040"/>
      <c r="S99" s="2051">
        <f t="shared" si="17"/>
        <v>22644.187516493996</v>
      </c>
      <c r="T99" s="2041">
        <v>71785.452999999994</v>
      </c>
      <c r="U99" s="2051">
        <f t="shared" si="9"/>
        <v>1.2500000593718141E-4</v>
      </c>
      <c r="V99" s="2050">
        <v>70000.417000000001</v>
      </c>
      <c r="W99" s="2050">
        <v>37841.216999999997</v>
      </c>
      <c r="X99" s="2048">
        <f t="shared" si="10"/>
        <v>-1.3999999995576218E-2</v>
      </c>
      <c r="Y99" s="2049">
        <v>0</v>
      </c>
      <c r="Z99" s="2051">
        <f t="shared" si="11"/>
        <v>0</v>
      </c>
      <c r="AA99" s="929"/>
      <c r="AB99" s="930"/>
      <c r="AC99" s="931">
        <f t="shared" si="18"/>
        <v>0</v>
      </c>
      <c r="AD99" s="931">
        <f t="shared" si="12"/>
        <v>0</v>
      </c>
      <c r="AE99" s="931">
        <f t="shared" si="19"/>
        <v>-1.4770783995332663E-2</v>
      </c>
      <c r="AF99" s="931">
        <f t="shared" si="20"/>
        <v>1.4770783995332663E-2</v>
      </c>
      <c r="AG99" s="932" t="e">
        <f t="shared" si="21"/>
        <v>#REF!</v>
      </c>
      <c r="AH99" s="843"/>
      <c r="AI99" s="843"/>
      <c r="AJ99" s="843"/>
    </row>
    <row r="100" spans="2:42" x14ac:dyDescent="0.2">
      <c r="C100" s="933">
        <f t="shared" si="13"/>
        <v>43799</v>
      </c>
      <c r="D100" s="919">
        <f t="shared" si="14"/>
        <v>153350.92387096773</v>
      </c>
      <c r="E100" s="920">
        <f t="shared" si="15"/>
        <v>14421.080258064516</v>
      </c>
      <c r="F100" s="934">
        <f t="shared" si="6"/>
        <v>184719.344063</v>
      </c>
      <c r="G100" s="935">
        <f t="shared" si="16"/>
        <v>1.0163853</v>
      </c>
      <c r="H100" s="923">
        <f t="shared" si="7"/>
        <v>187.74600000000001</v>
      </c>
      <c r="I100" s="924">
        <f t="shared" si="8"/>
        <v>352680.11057733226</v>
      </c>
      <c r="J100" s="925"/>
      <c r="K100" s="926"/>
      <c r="L100" s="926"/>
      <c r="M100" s="926"/>
      <c r="N100" s="2040">
        <v>23202.809858206998</v>
      </c>
      <c r="O100" s="2041">
        <v>71595.914063000004</v>
      </c>
      <c r="P100" s="2041">
        <v>113123.43</v>
      </c>
      <c r="Q100" s="2094">
        <v>0</v>
      </c>
      <c r="R100" s="2040"/>
      <c r="S100" s="2051">
        <f t="shared" si="17"/>
        <v>23202.809858206998</v>
      </c>
      <c r="T100" s="2041">
        <v>71595.914000000004</v>
      </c>
      <c r="U100" s="2051">
        <f t="shared" si="9"/>
        <v>6.2999999499879777E-5</v>
      </c>
      <c r="V100" s="2050">
        <v>75382.153999999995</v>
      </c>
      <c r="W100" s="2050">
        <v>37741.279999999999</v>
      </c>
      <c r="X100" s="2048">
        <f t="shared" si="10"/>
        <v>-4.0000000008149073E-3</v>
      </c>
      <c r="Y100" s="2049">
        <v>0</v>
      </c>
      <c r="Z100" s="2051">
        <f t="shared" si="11"/>
        <v>0</v>
      </c>
      <c r="AA100" s="929"/>
      <c r="AB100" s="930"/>
      <c r="AC100" s="931">
        <f t="shared" si="18"/>
        <v>0</v>
      </c>
      <c r="AD100" s="931">
        <f t="shared" si="12"/>
        <v>0</v>
      </c>
      <c r="AE100" s="931">
        <f t="shared" si="19"/>
        <v>-4.220224000859773E-3</v>
      </c>
      <c r="AF100" s="931">
        <f t="shared" si="20"/>
        <v>4.220224000859773E-3</v>
      </c>
      <c r="AG100" s="932" t="e">
        <f t="shared" si="21"/>
        <v>#REF!</v>
      </c>
      <c r="AH100" s="843"/>
      <c r="AI100" s="843"/>
      <c r="AJ100" s="843"/>
    </row>
    <row r="101" spans="2:42" ht="13.5" thickBot="1" x14ac:dyDescent="0.25">
      <c r="C101" s="938"/>
      <c r="D101" s="939"/>
      <c r="E101" s="940"/>
      <c r="F101" s="941"/>
      <c r="G101" s="942"/>
      <c r="H101" s="943"/>
      <c r="I101" s="944"/>
      <c r="J101" s="945"/>
      <c r="K101" s="946"/>
      <c r="L101" s="946"/>
      <c r="M101" s="946"/>
      <c r="N101" s="2052"/>
      <c r="O101" s="2053"/>
      <c r="P101" s="2053"/>
      <c r="Q101" s="2095"/>
      <c r="R101" s="2052"/>
      <c r="S101" s="2057"/>
      <c r="T101" s="2053"/>
      <c r="U101" s="2057"/>
      <c r="V101" s="2056"/>
      <c r="W101" s="2056"/>
      <c r="X101" s="2054"/>
      <c r="Y101" s="2055"/>
      <c r="Z101" s="2057"/>
      <c r="AA101" s="949"/>
      <c r="AB101" s="950"/>
      <c r="AC101" s="951"/>
      <c r="AD101" s="951"/>
      <c r="AE101" s="951"/>
      <c r="AF101" s="951"/>
      <c r="AG101" s="952"/>
      <c r="AH101" s="843"/>
      <c r="AI101" s="843"/>
      <c r="AJ101" s="843"/>
    </row>
    <row r="102" spans="2:42" ht="13.5" thickBot="1" x14ac:dyDescent="0.25">
      <c r="C102" s="953"/>
      <c r="D102" s="954">
        <f>SUM(D71:D101)</f>
        <v>4600527.716129032</v>
      </c>
      <c r="E102" s="954">
        <f>SUM(E71:E101)</f>
        <v>432632.40774193528</v>
      </c>
      <c r="F102" s="955">
        <f>SUM(F71:F101)</f>
        <v>5414039.0949450005</v>
      </c>
      <c r="G102" s="955"/>
      <c r="H102" s="956">
        <f t="shared" ref="H102:I102" si="22">SUM(H71:H101)</f>
        <v>5502.7497999999996</v>
      </c>
      <c r="I102" s="954">
        <f t="shared" si="22"/>
        <v>10452732.460174968</v>
      </c>
      <c r="J102" s="996">
        <f t="shared" ref="J102:Q102" si="23">SUM(J71:J101)</f>
        <v>0</v>
      </c>
      <c r="K102" s="996">
        <f t="shared" si="23"/>
        <v>0</v>
      </c>
      <c r="L102" s="996">
        <f t="shared" si="23"/>
        <v>0</v>
      </c>
      <c r="M102" s="996">
        <f t="shared" si="23"/>
        <v>0</v>
      </c>
      <c r="N102" s="1024">
        <f t="shared" si="23"/>
        <v>567693.27162977005</v>
      </c>
      <c r="O102" s="1024">
        <f t="shared" si="23"/>
        <v>2155818.7649450004</v>
      </c>
      <c r="P102" s="1024">
        <f t="shared" si="23"/>
        <v>3258220.33</v>
      </c>
      <c r="Q102" s="1024">
        <f t="shared" si="23"/>
        <v>0</v>
      </c>
      <c r="R102" s="1024"/>
      <c r="S102" s="1024"/>
      <c r="T102" s="1024">
        <f t="shared" ref="T102:AA102" si="24">SUM(T71:T101)</f>
        <v>2155818.3810000005</v>
      </c>
      <c r="U102" s="1024">
        <f t="shared" si="24"/>
        <v>0.38394500001595588</v>
      </c>
      <c r="V102" s="1024">
        <f t="shared" si="24"/>
        <v>2146034.2700000005</v>
      </c>
      <c r="W102" s="1024">
        <f t="shared" si="24"/>
        <v>1113731.1610000003</v>
      </c>
      <c r="X102" s="1024">
        <f t="shared" si="24"/>
        <v>-1545.1009999999806</v>
      </c>
      <c r="Y102" s="996">
        <f t="shared" si="24"/>
        <v>0</v>
      </c>
      <c r="Z102" s="996">
        <f t="shared" si="24"/>
        <v>0</v>
      </c>
      <c r="AA102" s="958">
        <f t="shared" si="24"/>
        <v>0</v>
      </c>
      <c r="AB102" s="829"/>
      <c r="AC102" s="959"/>
      <c r="AD102" s="960">
        <f>SUM(AD71:AD101)</f>
        <v>0</v>
      </c>
      <c r="AE102" s="960">
        <f>SUM(AE71:AE101)</f>
        <v>-1630.1680806559802</v>
      </c>
      <c r="AF102" s="960">
        <f>SUM(AF71:AF101)</f>
        <v>1630.1680806559802</v>
      </c>
      <c r="AG102" s="961" t="e">
        <f>#REF!</f>
        <v>#REF!</v>
      </c>
      <c r="AH102" s="843"/>
      <c r="AI102" s="843"/>
      <c r="AJ102" s="843"/>
      <c r="AP102" s="958" t="e">
        <f>#REF!</f>
        <v>#REF!</v>
      </c>
    </row>
    <row r="103" spans="2:42" ht="15" customHeight="1" thickBot="1" x14ac:dyDescent="0.25">
      <c r="B103" s="843"/>
      <c r="C103" s="843"/>
      <c r="D103" s="843"/>
      <c r="E103" s="843"/>
      <c r="F103" s="843"/>
      <c r="G103" s="843"/>
      <c r="H103" s="843"/>
      <c r="I103" s="843"/>
      <c r="J103" s="843"/>
      <c r="K103" s="843"/>
      <c r="L103" s="843"/>
      <c r="N103" s="829"/>
      <c r="O103" s="843"/>
      <c r="V103" s="997">
        <f>V102/(V102+W102)</f>
        <v>0.65834009085177025</v>
      </c>
      <c r="W103" s="998">
        <f>W102/(V102+W102)</f>
        <v>0.34165990914822975</v>
      </c>
      <c r="Z103" s="829"/>
      <c r="AA103" s="829"/>
      <c r="AB103" s="829"/>
      <c r="AC103" s="829"/>
      <c r="AD103" s="829"/>
      <c r="AE103" s="829"/>
      <c r="AF103" s="829"/>
      <c r="AH103" s="843"/>
      <c r="AI103" s="843"/>
      <c r="AJ103" s="843"/>
    </row>
    <row r="104" spans="2:42" ht="13.5" thickBot="1" x14ac:dyDescent="0.25">
      <c r="D104" s="1795" t="s">
        <v>155</v>
      </c>
      <c r="E104" s="1796" t="s">
        <v>156</v>
      </c>
      <c r="F104" s="1797" t="s">
        <v>112</v>
      </c>
      <c r="N104" s="829"/>
      <c r="P104" s="827"/>
      <c r="Z104" s="829"/>
      <c r="AA104" s="829"/>
      <c r="AB104" s="829"/>
      <c r="AG104" s="843"/>
    </row>
    <row r="105" spans="2:42" x14ac:dyDescent="0.2">
      <c r="D105" s="1793"/>
      <c r="E105" s="1779">
        <f>D102</f>
        <v>4600527.716129032</v>
      </c>
      <c r="F105" s="1780">
        <f>D105-E105</f>
        <v>-4600527.716129032</v>
      </c>
      <c r="G105" s="968"/>
      <c r="H105" s="968"/>
      <c r="I105" s="968"/>
      <c r="P105" s="827"/>
      <c r="W105" s="1008">
        <f>1-V103-W103</f>
        <v>0</v>
      </c>
      <c r="Z105" s="829"/>
      <c r="AA105" s="829"/>
      <c r="AB105" s="829"/>
      <c r="AC105" s="829"/>
      <c r="AG105" s="843"/>
    </row>
    <row r="106" spans="2:42" x14ac:dyDescent="0.2">
      <c r="D106" s="1793"/>
      <c r="E106" s="1779">
        <f>E102</f>
        <v>432632.40774193528</v>
      </c>
      <c r="F106" s="1780">
        <f>D106-E106</f>
        <v>-432632.40774193528</v>
      </c>
      <c r="G106" s="968"/>
      <c r="H106" s="968"/>
      <c r="I106" s="968"/>
    </row>
    <row r="107" spans="2:42" ht="13.5" thickBot="1" x14ac:dyDescent="0.25">
      <c r="D107" s="1794"/>
      <c r="E107" s="1781">
        <f>ROUND(H102,2)</f>
        <v>5502.75</v>
      </c>
      <c r="F107" s="1782">
        <f>D107-E107</f>
        <v>-5502.75</v>
      </c>
      <c r="G107" s="968"/>
    </row>
    <row r="108" spans="2:42" x14ac:dyDescent="0.2">
      <c r="D108" s="968"/>
    </row>
  </sheetData>
  <mergeCells count="11">
    <mergeCell ref="C16:E16"/>
    <mergeCell ref="C3:M4"/>
    <mergeCell ref="C5:M5"/>
    <mergeCell ref="C6:M6"/>
    <mergeCell ref="C14:E14"/>
    <mergeCell ref="C15:E15"/>
    <mergeCell ref="J69:M69"/>
    <mergeCell ref="N69:Q69"/>
    <mergeCell ref="R69:Z69"/>
    <mergeCell ref="AA69:AG69"/>
    <mergeCell ref="C17:E17"/>
  </mergeCells>
  <conditionalFormatting sqref="R100">
    <cfRule type="cellIs" dxfId="13" priority="3" stopIfTrue="1" operator="equal">
      <formula>0</formula>
    </cfRule>
  </conditionalFormatting>
  <conditionalFormatting sqref="N71:N101">
    <cfRule type="cellIs" dxfId="12" priority="2" stopIfTrue="1" operator="equal">
      <formula>0</formula>
    </cfRule>
  </conditionalFormatting>
  <conditionalFormatting sqref="R71:R98">
    <cfRule type="cellIs" dxfId="11" priority="1" stopIfTrue="1" operator="equal">
      <formula>0</formula>
    </cfRule>
  </conditionalFormatting>
  <conditionalFormatting sqref="O71:P101">
    <cfRule type="cellIs" dxfId="10" priority="7" stopIfTrue="1" operator="equal">
      <formula>0</formula>
    </cfRule>
  </conditionalFormatting>
  <conditionalFormatting sqref="T71:T99 T101">
    <cfRule type="cellIs" dxfId="9" priority="6" stopIfTrue="1" operator="equal">
      <formula>0</formula>
    </cfRule>
  </conditionalFormatting>
  <conditionalFormatting sqref="T100">
    <cfRule type="cellIs" dxfId="8" priority="5" stopIfTrue="1" operator="equal">
      <formula>0</formula>
    </cfRule>
  </conditionalFormatting>
  <conditionalFormatting sqref="R99 R101">
    <cfRule type="cellIs" dxfId="7" priority="4" stopIfTrue="1" operator="equal">
      <formula>0</formula>
    </cfRule>
  </conditionalFormatting>
  <printOptions horizontalCentered="1"/>
  <pageMargins left="0.59055118110236227" right="0.39370078740157483" top="0" bottom="0" header="0" footer="0.51181102362204722"/>
  <pageSetup scale="42" orientation="landscape" r:id="rId1"/>
  <drawing r:id="rId2"/>
  <legacyDrawing r:id="rId3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2:AP108"/>
  <sheetViews>
    <sheetView topLeftCell="E36" workbookViewId="0">
      <selection activeCell="J45" sqref="J45"/>
    </sheetView>
  </sheetViews>
  <sheetFormatPr baseColWidth="10" defaultColWidth="11" defaultRowHeight="12.75" x14ac:dyDescent="0.2"/>
  <cols>
    <col min="1" max="1" width="11" style="829"/>
    <col min="2" max="2" width="3.875" style="829" bestFit="1" customWidth="1"/>
    <col min="3" max="3" width="16.125" style="829" customWidth="1"/>
    <col min="4" max="4" width="12.625" style="829" bestFit="1" customWidth="1"/>
    <col min="5" max="5" width="18.375" style="829" bestFit="1" customWidth="1"/>
    <col min="6" max="6" width="17.375" style="829" bestFit="1" customWidth="1"/>
    <col min="7" max="8" width="13.375" style="829" bestFit="1" customWidth="1"/>
    <col min="9" max="9" width="15.125" style="829" customWidth="1"/>
    <col min="10" max="10" width="20.5" style="829" customWidth="1"/>
    <col min="11" max="11" width="12.625" style="829" bestFit="1" customWidth="1"/>
    <col min="12" max="12" width="16" style="829" customWidth="1"/>
    <col min="13" max="13" width="15.125" style="829" bestFit="1" customWidth="1"/>
    <col min="14" max="14" width="16.125" style="827" bestFit="1" customWidth="1"/>
    <col min="15" max="15" width="11.375" style="829" bestFit="1" customWidth="1"/>
    <col min="16" max="16" width="11.125" style="829" bestFit="1" customWidth="1"/>
    <col min="17" max="17" width="12.625" style="829" bestFit="1" customWidth="1"/>
    <col min="18" max="18" width="10.875" style="829" customWidth="1"/>
    <col min="19" max="19" width="11.875" style="829" bestFit="1" customWidth="1"/>
    <col min="20" max="20" width="11.125" style="829" bestFit="1" customWidth="1"/>
    <col min="21" max="21" width="11.625" style="829" bestFit="1" customWidth="1"/>
    <col min="22" max="23" width="11.125" style="829" bestFit="1" customWidth="1"/>
    <col min="24" max="24" width="13.625" style="829" bestFit="1" customWidth="1"/>
    <col min="25" max="25" width="16.125" style="829" bestFit="1" customWidth="1"/>
    <col min="26" max="26" width="11.125" style="843" bestFit="1" customWidth="1"/>
    <col min="27" max="27" width="13" style="843" bestFit="1" customWidth="1"/>
    <col min="28" max="32" width="11" style="843"/>
    <col min="33" max="38" width="11" style="829"/>
    <col min="39" max="39" width="11.125" style="829" bestFit="1" customWidth="1"/>
    <col min="40" max="16384" width="11" style="829"/>
  </cols>
  <sheetData>
    <row r="2" spans="2:35" x14ac:dyDescent="0.2">
      <c r="B2" s="827"/>
      <c r="C2" s="828"/>
      <c r="D2" s="828"/>
      <c r="E2" s="828"/>
      <c r="F2" s="828"/>
      <c r="G2" s="828"/>
      <c r="H2" s="828"/>
      <c r="I2" s="828"/>
      <c r="J2" s="828"/>
      <c r="K2" s="828"/>
      <c r="L2" s="828"/>
      <c r="M2" s="828"/>
      <c r="N2" s="828"/>
      <c r="Z2" s="829"/>
      <c r="AA2" s="829"/>
      <c r="AB2" s="829"/>
      <c r="AC2" s="829"/>
      <c r="AD2" s="829"/>
      <c r="AE2" s="829"/>
      <c r="AF2" s="829"/>
    </row>
    <row r="3" spans="2:35" ht="15" customHeight="1" x14ac:dyDescent="0.2">
      <c r="B3" s="827"/>
      <c r="C3" s="2295"/>
      <c r="D3" s="2295"/>
      <c r="E3" s="2295"/>
      <c r="F3" s="2295"/>
      <c r="G3" s="2295"/>
      <c r="H3" s="2295"/>
      <c r="I3" s="2295"/>
      <c r="J3" s="2295"/>
      <c r="K3" s="2295"/>
      <c r="L3" s="2295"/>
      <c r="M3" s="2295"/>
      <c r="N3" s="828"/>
      <c r="Z3" s="829"/>
      <c r="AA3" s="829"/>
      <c r="AB3" s="829"/>
      <c r="AC3" s="829"/>
      <c r="AD3" s="829"/>
      <c r="AE3" s="829"/>
      <c r="AF3" s="829"/>
    </row>
    <row r="4" spans="2:35" ht="15" customHeight="1" x14ac:dyDescent="0.2">
      <c r="B4" s="827"/>
      <c r="C4" s="2295"/>
      <c r="D4" s="2295"/>
      <c r="E4" s="2295"/>
      <c r="F4" s="2295"/>
      <c r="G4" s="2295"/>
      <c r="H4" s="2295"/>
      <c r="I4" s="2295"/>
      <c r="J4" s="2295"/>
      <c r="K4" s="2295"/>
      <c r="L4" s="2295"/>
      <c r="M4" s="2295"/>
      <c r="N4" s="828"/>
      <c r="Z4" s="829"/>
      <c r="AA4" s="829"/>
      <c r="AB4" s="829"/>
      <c r="AC4" s="829"/>
      <c r="AD4" s="829"/>
      <c r="AE4" s="829"/>
      <c r="AF4" s="829"/>
    </row>
    <row r="5" spans="2:35" x14ac:dyDescent="0.2">
      <c r="B5" s="827"/>
      <c r="C5" s="2296"/>
      <c r="D5" s="2296"/>
      <c r="E5" s="2296"/>
      <c r="F5" s="2296"/>
      <c r="G5" s="2296"/>
      <c r="H5" s="2296"/>
      <c r="I5" s="2296"/>
      <c r="J5" s="2296"/>
      <c r="K5" s="2296"/>
      <c r="L5" s="2296"/>
      <c r="M5" s="2296"/>
      <c r="N5" s="828"/>
      <c r="Z5" s="829"/>
      <c r="AA5" s="829"/>
      <c r="AB5" s="829"/>
      <c r="AC5" s="829"/>
      <c r="AD5" s="829"/>
      <c r="AE5" s="829"/>
      <c r="AF5" s="829"/>
    </row>
    <row r="6" spans="2:35" x14ac:dyDescent="0.2">
      <c r="B6" s="827"/>
      <c r="C6" s="2296"/>
      <c r="D6" s="2296"/>
      <c r="E6" s="2296"/>
      <c r="F6" s="2296"/>
      <c r="G6" s="2296"/>
      <c r="H6" s="2296"/>
      <c r="I6" s="2296"/>
      <c r="J6" s="2296"/>
      <c r="K6" s="2296"/>
      <c r="L6" s="2296"/>
      <c r="M6" s="2296"/>
      <c r="N6" s="828"/>
      <c r="Z6" s="829"/>
      <c r="AA6" s="829"/>
      <c r="AB6" s="829"/>
      <c r="AC6" s="829"/>
      <c r="AD6" s="829"/>
      <c r="AE6" s="829"/>
      <c r="AF6" s="829"/>
    </row>
    <row r="7" spans="2:35" x14ac:dyDescent="0.2">
      <c r="B7" s="827"/>
      <c r="C7" s="830">
        <v>43101</v>
      </c>
      <c r="D7" s="830"/>
      <c r="E7" s="830"/>
      <c r="F7" s="830"/>
      <c r="G7" s="830"/>
      <c r="H7" s="830"/>
      <c r="I7" s="830"/>
      <c r="J7" s="830"/>
      <c r="K7" s="830"/>
      <c r="L7" s="830"/>
      <c r="M7" s="830"/>
      <c r="N7" s="830"/>
      <c r="O7" s="830"/>
      <c r="P7" s="830"/>
      <c r="Q7" s="830"/>
      <c r="R7" s="827"/>
      <c r="S7" s="827"/>
      <c r="T7" s="827"/>
      <c r="U7" s="827"/>
      <c r="V7" s="827"/>
      <c r="W7" s="827"/>
      <c r="X7" s="827"/>
      <c r="Y7" s="827"/>
      <c r="Z7" s="829"/>
      <c r="AA7" s="829"/>
      <c r="AB7" s="829"/>
      <c r="AC7" s="829"/>
      <c r="AD7" s="829"/>
      <c r="AE7" s="829"/>
      <c r="AF7" s="829"/>
    </row>
    <row r="8" spans="2:35" ht="19.5" customHeight="1" x14ac:dyDescent="0.2">
      <c r="B8" s="827"/>
      <c r="C8" s="1011"/>
      <c r="D8" s="1011"/>
      <c r="E8" s="1011"/>
      <c r="F8" s="1011"/>
      <c r="G8" s="1011"/>
      <c r="H8" s="1011"/>
      <c r="I8" s="1011"/>
      <c r="J8" s="1011"/>
      <c r="K8" s="1011"/>
      <c r="L8" s="1011"/>
      <c r="M8" s="828"/>
      <c r="N8" s="828"/>
      <c r="O8" s="827"/>
      <c r="P8" s="827"/>
      <c r="Q8" s="827"/>
      <c r="R8" s="827"/>
      <c r="S8" s="827"/>
      <c r="T8" s="827"/>
      <c r="U8" s="827"/>
      <c r="V8" s="827"/>
      <c r="W8" s="827"/>
      <c r="X8" s="827"/>
      <c r="Y8" s="827"/>
      <c r="Z8" s="829"/>
      <c r="AA8" s="829"/>
      <c r="AB8" s="829"/>
      <c r="AC8" s="829"/>
      <c r="AD8" s="829"/>
      <c r="AE8" s="829"/>
      <c r="AF8" s="829"/>
    </row>
    <row r="9" spans="2:35" ht="19.5" customHeight="1" x14ac:dyDescent="0.2">
      <c r="B9" s="827"/>
      <c r="C9" s="1011"/>
      <c r="D9" s="1011"/>
      <c r="E9" s="1011"/>
      <c r="F9" s="1011"/>
      <c r="G9" s="1011"/>
      <c r="H9" s="1011"/>
      <c r="I9" s="1011"/>
      <c r="J9" s="1011"/>
      <c r="K9" s="1011"/>
      <c r="L9" s="1011"/>
      <c r="M9" s="828"/>
      <c r="N9" s="828"/>
      <c r="O9" s="827"/>
      <c r="P9" s="827"/>
      <c r="Q9" s="827"/>
      <c r="R9" s="827"/>
      <c r="S9" s="827"/>
      <c r="T9" s="827"/>
      <c r="U9" s="827"/>
      <c r="V9" s="827"/>
      <c r="W9" s="827"/>
      <c r="X9" s="827"/>
      <c r="Y9" s="827"/>
      <c r="Z9" s="829"/>
      <c r="AA9" s="829"/>
      <c r="AB9" s="829"/>
      <c r="AC9" s="829"/>
      <c r="AD9" s="829"/>
      <c r="AE9" s="829"/>
      <c r="AF9" s="829"/>
    </row>
    <row r="10" spans="2:35" ht="19.5" customHeight="1" x14ac:dyDescent="0.2">
      <c r="B10" s="827"/>
      <c r="C10" s="1011"/>
      <c r="D10" s="1011"/>
      <c r="E10" s="1011"/>
      <c r="F10" s="1011"/>
      <c r="G10" s="1011"/>
      <c r="H10" s="1011"/>
      <c r="I10" s="1011"/>
      <c r="J10" s="1011"/>
      <c r="K10" s="1011"/>
      <c r="L10" s="1011"/>
      <c r="M10" s="828"/>
      <c r="N10" s="828"/>
      <c r="O10" s="827"/>
      <c r="P10" s="827"/>
      <c r="Q10" s="827"/>
      <c r="R10" s="827"/>
      <c r="S10" s="827"/>
      <c r="T10" s="827"/>
      <c r="U10" s="827"/>
      <c r="V10" s="827"/>
      <c r="W10" s="827"/>
      <c r="X10" s="827"/>
      <c r="Y10" s="827"/>
      <c r="Z10" s="829"/>
      <c r="AA10" s="829"/>
      <c r="AB10" s="829"/>
      <c r="AC10" s="829"/>
      <c r="AD10" s="829"/>
      <c r="AE10" s="829"/>
      <c r="AF10" s="829"/>
    </row>
    <row r="11" spans="2:35" ht="19.5" customHeight="1" x14ac:dyDescent="0.2">
      <c r="B11" s="827"/>
      <c r="C11" s="1011"/>
      <c r="D11" s="1011"/>
      <c r="E11" s="1011"/>
      <c r="F11" s="1011"/>
      <c r="G11" s="1011"/>
      <c r="H11" s="1011"/>
      <c r="I11" s="1011"/>
      <c r="J11" s="1011"/>
      <c r="K11" s="1011"/>
      <c r="L11" s="1011"/>
      <c r="M11" s="828"/>
      <c r="N11" s="828"/>
      <c r="O11" s="827"/>
      <c r="P11" s="827"/>
      <c r="Q11" s="827"/>
      <c r="R11" s="827"/>
      <c r="S11" s="827"/>
      <c r="T11" s="827"/>
      <c r="U11" s="827"/>
      <c r="V11" s="827"/>
      <c r="W11" s="827"/>
      <c r="X11" s="827"/>
      <c r="Y11" s="827"/>
      <c r="Z11" s="829"/>
      <c r="AA11" s="829"/>
      <c r="AB11" s="829"/>
      <c r="AC11" s="829"/>
      <c r="AD11" s="829"/>
      <c r="AE11" s="829"/>
      <c r="AF11" s="829"/>
    </row>
    <row r="12" spans="2:35" ht="19.5" customHeight="1" x14ac:dyDescent="0.2">
      <c r="B12" s="827"/>
      <c r="C12" s="1011"/>
      <c r="D12" s="1011"/>
      <c r="E12" s="1011"/>
      <c r="F12" s="1011"/>
      <c r="G12" s="1011"/>
      <c r="H12" s="1011"/>
      <c r="I12" s="1011"/>
      <c r="J12" s="1011"/>
      <c r="K12" s="1011"/>
      <c r="L12" s="1011"/>
      <c r="M12" s="828"/>
      <c r="N12" s="828"/>
      <c r="O12" s="827"/>
      <c r="P12" s="827"/>
      <c r="Q12" s="827"/>
      <c r="R12" s="827"/>
      <c r="S12" s="827"/>
      <c r="T12" s="827"/>
      <c r="U12" s="827"/>
      <c r="V12" s="827"/>
      <c r="W12" s="827"/>
      <c r="X12" s="827"/>
      <c r="Y12" s="827"/>
      <c r="Z12" s="829"/>
      <c r="AA12" s="829"/>
      <c r="AB12" s="829"/>
      <c r="AC12" s="829"/>
      <c r="AD12" s="829"/>
      <c r="AE12" s="829"/>
      <c r="AF12" s="829"/>
    </row>
    <row r="13" spans="2:35" ht="19.5" customHeight="1" thickBot="1" x14ac:dyDescent="0.25">
      <c r="B13" s="827"/>
      <c r="C13" s="1011"/>
      <c r="D13" s="1011"/>
      <c r="E13" s="1011"/>
      <c r="F13" s="1011"/>
      <c r="G13" s="1011"/>
      <c r="H13" s="1011"/>
      <c r="I13" s="1011"/>
      <c r="J13" s="1011"/>
      <c r="K13" s="1011"/>
      <c r="L13" s="1011"/>
      <c r="M13" s="828"/>
      <c r="N13" s="828"/>
      <c r="O13" s="827"/>
      <c r="P13" s="827"/>
      <c r="Q13" s="827"/>
      <c r="R13" s="827"/>
      <c r="S13" s="827"/>
      <c r="T13" s="827"/>
      <c r="U13" s="827"/>
      <c r="V13" s="827"/>
      <c r="W13" s="827"/>
      <c r="X13" s="827"/>
      <c r="Y13" s="827"/>
      <c r="Z13" s="829"/>
      <c r="AA13" s="829"/>
      <c r="AB13" s="829"/>
      <c r="AC13" s="829"/>
      <c r="AD13" s="829"/>
      <c r="AE13" s="829"/>
      <c r="AF13" s="829"/>
    </row>
    <row r="14" spans="2:35" ht="26.25" thickBot="1" x14ac:dyDescent="0.25">
      <c r="B14" s="827"/>
      <c r="C14" s="2333" t="s">
        <v>6</v>
      </c>
      <c r="D14" s="2334"/>
      <c r="E14" s="2335"/>
      <c r="F14" s="832" t="s">
        <v>227</v>
      </c>
      <c r="G14" s="832" t="s">
        <v>230</v>
      </c>
      <c r="H14" s="832" t="s">
        <v>228</v>
      </c>
      <c r="I14" s="832" t="s">
        <v>229</v>
      </c>
      <c r="J14" s="833" t="s">
        <v>126</v>
      </c>
      <c r="K14" s="833" t="s">
        <v>133</v>
      </c>
      <c r="L14" s="832" t="s">
        <v>127</v>
      </c>
      <c r="M14" s="834" t="s">
        <v>128</v>
      </c>
      <c r="N14" s="828"/>
      <c r="O14" s="827"/>
      <c r="P14" s="827"/>
      <c r="Q14" s="827"/>
      <c r="R14" s="827"/>
      <c r="S14" s="827"/>
      <c r="T14" s="827"/>
      <c r="U14" s="827"/>
      <c r="V14" s="827"/>
      <c r="W14" s="827"/>
      <c r="X14" s="827"/>
      <c r="Y14" s="827"/>
      <c r="Z14" s="829"/>
      <c r="AA14" s="829"/>
      <c r="AB14" s="829"/>
      <c r="AC14" s="829"/>
      <c r="AD14" s="829"/>
      <c r="AE14" s="829"/>
      <c r="AF14" s="829"/>
    </row>
    <row r="15" spans="2:35" ht="13.5" thickBot="1" x14ac:dyDescent="0.25">
      <c r="B15" s="827"/>
      <c r="C15" s="2329" t="s">
        <v>131</v>
      </c>
      <c r="D15" s="2330"/>
      <c r="E15" s="2331"/>
      <c r="F15" s="835"/>
      <c r="G15" s="836" t="s">
        <v>165</v>
      </c>
      <c r="H15" s="835"/>
      <c r="I15" s="837">
        <f>IF(D105=0,E105,D105)</f>
        <v>4659430.72</v>
      </c>
      <c r="J15" s="835">
        <f>I15*0.16</f>
        <v>745508.91519999993</v>
      </c>
      <c r="K15" s="835">
        <f>I15+J15</f>
        <v>5404939.6351999994</v>
      </c>
      <c r="L15" s="838"/>
      <c r="M15" s="839">
        <v>20</v>
      </c>
      <c r="O15" s="827"/>
      <c r="P15" s="827"/>
      <c r="Q15" s="827"/>
      <c r="R15" s="827"/>
      <c r="S15" s="827"/>
      <c r="T15" s="827"/>
      <c r="U15" s="827"/>
      <c r="V15" s="827"/>
      <c r="W15" s="827"/>
      <c r="X15" s="827"/>
      <c r="Y15" s="827"/>
      <c r="Z15" s="829"/>
      <c r="AA15" s="829"/>
      <c r="AB15" s="829"/>
      <c r="AC15" s="829"/>
      <c r="AD15" s="829"/>
      <c r="AE15" s="829"/>
      <c r="AF15" s="829"/>
    </row>
    <row r="16" spans="2:35" ht="13.5" thickBot="1" x14ac:dyDescent="0.25">
      <c r="B16" s="827"/>
      <c r="C16" s="2329" t="s">
        <v>275</v>
      </c>
      <c r="D16" s="2330"/>
      <c r="E16" s="2331"/>
      <c r="F16" s="840"/>
      <c r="G16" s="840"/>
      <c r="H16" s="840"/>
      <c r="I16" s="837">
        <f>IF(D106=0,E106,D106)</f>
        <v>447053.48799999978</v>
      </c>
      <c r="J16" s="841">
        <f>I16*0.16</f>
        <v>71528.558079999973</v>
      </c>
      <c r="K16" s="841">
        <f>I16+J16</f>
        <v>518582.04607999977</v>
      </c>
      <c r="L16" s="838"/>
      <c r="M16" s="842">
        <v>20</v>
      </c>
      <c r="O16" s="827"/>
      <c r="P16" s="827"/>
      <c r="Q16" s="827"/>
      <c r="R16" s="827"/>
      <c r="S16" s="827"/>
      <c r="T16" s="827"/>
      <c r="U16" s="827"/>
      <c r="V16" s="827"/>
      <c r="W16" s="827"/>
      <c r="X16" s="827"/>
      <c r="Y16" s="827"/>
      <c r="Z16" s="827"/>
      <c r="AA16" s="827"/>
      <c r="AB16" s="827"/>
      <c r="AG16" s="843"/>
      <c r="AH16" s="843"/>
      <c r="AI16" s="843"/>
    </row>
    <row r="17" spans="2:33" ht="13.5" thickBot="1" x14ac:dyDescent="0.25">
      <c r="B17" s="827"/>
      <c r="C17" s="2326" t="s">
        <v>132</v>
      </c>
      <c r="D17" s="2327"/>
      <c r="E17" s="2328"/>
      <c r="F17" s="844"/>
      <c r="G17" s="845" t="s">
        <v>165</v>
      </c>
      <c r="H17" s="844"/>
      <c r="I17" s="846">
        <f>IF(D107=0,E107,D107)</f>
        <v>5690.5</v>
      </c>
      <c r="J17" s="844">
        <f>I17*0.16</f>
        <v>910.48</v>
      </c>
      <c r="K17" s="844">
        <f>I17+J17</f>
        <v>6600.98</v>
      </c>
      <c r="L17" s="847"/>
      <c r="M17" s="848">
        <v>20</v>
      </c>
      <c r="O17" s="827"/>
      <c r="P17" s="827"/>
      <c r="Q17" s="827"/>
      <c r="R17" s="827"/>
      <c r="S17" s="827"/>
      <c r="T17" s="827"/>
      <c r="U17" s="827"/>
      <c r="V17" s="827"/>
      <c r="W17" s="827"/>
      <c r="X17" s="827"/>
      <c r="Y17" s="827"/>
      <c r="Z17" s="829"/>
      <c r="AA17" s="829"/>
      <c r="AB17" s="829"/>
      <c r="AC17" s="829"/>
      <c r="AD17" s="829"/>
      <c r="AE17" s="829"/>
      <c r="AF17" s="829"/>
    </row>
    <row r="18" spans="2:33" x14ac:dyDescent="0.2">
      <c r="B18" s="827"/>
      <c r="C18" s="1011"/>
      <c r="D18" s="1011"/>
      <c r="E18" s="1011"/>
      <c r="F18" s="1011"/>
      <c r="G18" s="1011"/>
      <c r="H18" s="827"/>
      <c r="I18" s="827"/>
      <c r="J18" s="827"/>
      <c r="K18" s="827"/>
      <c r="L18" s="827"/>
      <c r="M18" s="827"/>
      <c r="O18" s="827"/>
      <c r="P18" s="827"/>
      <c r="Q18" s="827"/>
      <c r="R18" s="827"/>
      <c r="S18" s="827"/>
      <c r="T18" s="827"/>
      <c r="U18" s="827"/>
      <c r="V18" s="827"/>
      <c r="W18" s="827"/>
      <c r="X18" s="827"/>
      <c r="Y18" s="827"/>
    </row>
    <row r="19" spans="2:33" x14ac:dyDescent="0.2">
      <c r="B19" s="827"/>
      <c r="C19" s="1011"/>
      <c r="D19" s="1011"/>
      <c r="E19" s="1011"/>
      <c r="F19" s="1011"/>
      <c r="G19" s="1011"/>
      <c r="H19" s="827"/>
      <c r="I19" s="827"/>
      <c r="J19" s="827"/>
      <c r="K19" s="827"/>
      <c r="L19" s="827">
        <f>K17*M17</f>
        <v>132019.59999999998</v>
      </c>
      <c r="O19" s="827"/>
      <c r="P19" s="827"/>
      <c r="Q19" s="827"/>
      <c r="R19" s="827"/>
      <c r="S19" s="827"/>
      <c r="T19" s="827"/>
      <c r="U19" s="827"/>
      <c r="V19" s="827"/>
      <c r="W19" s="827"/>
      <c r="X19" s="827"/>
      <c r="Y19" s="827"/>
    </row>
    <row r="20" spans="2:33" ht="13.5" thickBot="1" x14ac:dyDescent="0.25">
      <c r="B20" s="827"/>
      <c r="C20" s="849"/>
      <c r="D20" s="1011"/>
      <c r="E20" s="1011"/>
      <c r="F20" s="1011"/>
      <c r="G20" s="1011"/>
      <c r="H20" s="1011"/>
      <c r="I20" s="1011"/>
      <c r="J20" s="1011"/>
      <c r="K20" s="1011"/>
      <c r="L20" s="1011"/>
      <c r="M20" s="1011"/>
      <c r="N20" s="1011"/>
      <c r="O20" s="1011"/>
      <c r="P20" s="1011"/>
      <c r="Q20" s="1011"/>
      <c r="R20" s="827"/>
      <c r="S20" s="827"/>
      <c r="T20" s="827"/>
      <c r="U20" s="827"/>
      <c r="V20" s="827"/>
      <c r="W20" s="827"/>
      <c r="X20" s="827"/>
      <c r="Y20" s="827"/>
      <c r="Z20" s="827"/>
      <c r="AG20" s="843"/>
    </row>
    <row r="21" spans="2:33" ht="51.75" thickBot="1" x14ac:dyDescent="0.25">
      <c r="B21" s="827"/>
      <c r="C21" s="850" t="s">
        <v>134</v>
      </c>
      <c r="D21" s="832" t="s">
        <v>135</v>
      </c>
      <c r="E21" s="832" t="s">
        <v>285</v>
      </c>
      <c r="F21" s="832" t="s">
        <v>278</v>
      </c>
      <c r="G21" s="832" t="s">
        <v>153</v>
      </c>
      <c r="H21" s="832" t="s">
        <v>279</v>
      </c>
      <c r="I21" s="832" t="s">
        <v>281</v>
      </c>
      <c r="J21" s="832" t="s">
        <v>280</v>
      </c>
      <c r="K21" s="832" t="s">
        <v>245</v>
      </c>
      <c r="L21" s="832" t="s">
        <v>246</v>
      </c>
      <c r="M21" s="832"/>
      <c r="N21" s="834" t="s">
        <v>158</v>
      </c>
      <c r="O21" s="1011"/>
      <c r="P21" s="1011"/>
      <c r="Q21" s="1011"/>
      <c r="R21" s="1011"/>
      <c r="S21" s="1011"/>
      <c r="T21" s="1011"/>
      <c r="U21" s="1011"/>
      <c r="V21" s="827"/>
      <c r="W21" s="827"/>
      <c r="X21" s="827"/>
      <c r="Y21" s="827"/>
      <c r="Z21" s="827"/>
      <c r="AG21" s="843"/>
    </row>
    <row r="22" spans="2:33" ht="13.5" thickBot="1" x14ac:dyDescent="0.25">
      <c r="B22" s="827"/>
      <c r="C22" s="851">
        <v>850</v>
      </c>
      <c r="D22" s="1010">
        <v>850</v>
      </c>
      <c r="E22" s="852">
        <v>31482640</v>
      </c>
      <c r="F22" s="852">
        <v>31482640</v>
      </c>
      <c r="G22" s="852">
        <v>31</v>
      </c>
      <c r="H22" s="853">
        <f>VLOOKUP(C69,Tarifas!D4:H303,3)</f>
        <v>0.14799999999999999</v>
      </c>
      <c r="I22" s="2073">
        <v>1.4200000000000001E-2</v>
      </c>
      <c r="J22" s="2073">
        <f>VLOOKUP(C69,Tarifas!D4:H303,5)</f>
        <v>1E-3</v>
      </c>
      <c r="K22" s="2073">
        <v>204.7</v>
      </c>
      <c r="L22" s="2073">
        <v>201.4</v>
      </c>
      <c r="M22" s="853"/>
      <c r="N22" s="854">
        <f>F102</f>
        <v>5598758.4390080003</v>
      </c>
      <c r="O22" s="855"/>
      <c r="P22" s="855"/>
      <c r="Q22" s="1011"/>
      <c r="R22" s="1011"/>
      <c r="S22" s="1011"/>
      <c r="T22" s="1011"/>
      <c r="U22" s="1011"/>
      <c r="V22" s="827"/>
      <c r="W22" s="827"/>
      <c r="X22" s="827"/>
      <c r="Y22" s="827"/>
      <c r="Z22" s="827"/>
      <c r="AG22" s="843"/>
    </row>
    <row r="23" spans="2:33" x14ac:dyDescent="0.2">
      <c r="B23" s="827"/>
      <c r="C23" s="1011"/>
      <c r="D23" s="1011"/>
      <c r="E23" s="1011"/>
      <c r="F23" s="1011"/>
      <c r="G23" s="1011"/>
      <c r="H23" s="1011"/>
      <c r="I23" s="1011"/>
      <c r="J23" s="1011"/>
      <c r="K23" s="856"/>
      <c r="L23" s="1011"/>
      <c r="M23" s="1011"/>
      <c r="N23" s="1011"/>
      <c r="O23" s="1011"/>
      <c r="P23" s="1011"/>
      <c r="Q23" s="1011"/>
      <c r="R23" s="1011"/>
      <c r="S23" s="1011"/>
      <c r="T23" s="827"/>
      <c r="U23" s="827"/>
      <c r="V23" s="827"/>
      <c r="W23" s="827"/>
      <c r="X23" s="827"/>
      <c r="Y23" s="827"/>
      <c r="Z23" s="827"/>
      <c r="AG23" s="843"/>
    </row>
    <row r="24" spans="2:33" x14ac:dyDescent="0.2">
      <c r="B24" s="827"/>
      <c r="C24" s="2034"/>
      <c r="D24" s="2034"/>
      <c r="E24" s="2034"/>
      <c r="F24" s="2034"/>
      <c r="G24" s="2034"/>
      <c r="H24" s="2034"/>
      <c r="I24" s="2034"/>
      <c r="J24" s="2034"/>
      <c r="K24" s="2034"/>
      <c r="L24" s="2034"/>
      <c r="M24" s="2034"/>
      <c r="N24" s="2034"/>
      <c r="O24" s="2034"/>
      <c r="P24" s="2034"/>
      <c r="Q24" s="827" t="s">
        <v>405</v>
      </c>
      <c r="R24" s="827"/>
      <c r="S24" s="827"/>
      <c r="T24" s="827"/>
      <c r="U24" s="827"/>
      <c r="V24" s="827"/>
      <c r="W24" s="827"/>
      <c r="X24" s="827"/>
      <c r="Y24" s="827"/>
      <c r="Z24" s="827"/>
      <c r="AG24" s="843"/>
    </row>
    <row r="25" spans="2:33" x14ac:dyDescent="0.2">
      <c r="B25" s="827"/>
      <c r="C25" s="2034"/>
      <c r="D25" s="2034"/>
      <c r="E25" s="2034"/>
      <c r="F25" s="2034"/>
      <c r="G25" s="2034"/>
      <c r="H25" s="2034"/>
      <c r="I25" s="2034"/>
      <c r="J25" s="2034"/>
      <c r="K25" s="2034"/>
      <c r="L25" s="2034"/>
      <c r="M25" s="2034"/>
      <c r="N25" s="2034"/>
      <c r="O25" s="827"/>
      <c r="P25" s="827"/>
      <c r="Q25" s="857"/>
      <c r="R25" s="827"/>
      <c r="S25" s="827"/>
      <c r="T25" s="827"/>
      <c r="U25" s="827"/>
      <c r="V25" s="827"/>
      <c r="W25" s="827"/>
      <c r="X25" s="843"/>
      <c r="Y25" s="843"/>
      <c r="AE25" s="829"/>
      <c r="AF25" s="829"/>
    </row>
    <row r="26" spans="2:33" ht="13.5" thickBot="1" x14ac:dyDescent="0.25">
      <c r="B26" s="827"/>
      <c r="C26" s="858" t="s">
        <v>86</v>
      </c>
      <c r="D26" s="858"/>
      <c r="E26" s="858"/>
      <c r="F26" s="858"/>
      <c r="G26" s="858"/>
      <c r="H26" s="859"/>
      <c r="I26" s="858"/>
      <c r="J26" s="858"/>
      <c r="K26" s="858"/>
      <c r="L26" s="859"/>
      <c r="M26" s="860"/>
      <c r="N26" s="861"/>
      <c r="Q26" s="827"/>
      <c r="R26" s="827"/>
      <c r="S26" s="827"/>
      <c r="T26" s="827"/>
      <c r="U26" s="827"/>
      <c r="V26" s="827"/>
      <c r="W26" s="827"/>
      <c r="X26" s="843"/>
      <c r="Y26" s="843"/>
      <c r="Z26" s="862"/>
      <c r="AE26" s="829"/>
      <c r="AF26" s="829"/>
    </row>
    <row r="27" spans="2:33" ht="35.1" customHeight="1" thickBot="1" x14ac:dyDescent="0.25">
      <c r="B27" s="827"/>
      <c r="C27" s="850" t="s">
        <v>87</v>
      </c>
      <c r="D27" s="832" t="s">
        <v>88</v>
      </c>
      <c r="E27" s="832" t="s">
        <v>237</v>
      </c>
      <c r="F27" s="833" t="s">
        <v>160</v>
      </c>
      <c r="G27" s="832" t="s">
        <v>236</v>
      </c>
      <c r="H27" s="833" t="s">
        <v>232</v>
      </c>
      <c r="I27" s="833" t="s">
        <v>233</v>
      </c>
      <c r="J27" s="833" t="s">
        <v>20</v>
      </c>
      <c r="K27" s="832" t="s">
        <v>91</v>
      </c>
      <c r="L27" s="832" t="s">
        <v>93</v>
      </c>
      <c r="M27" s="832" t="s">
        <v>94</v>
      </c>
      <c r="N27" s="863" t="s">
        <v>95</v>
      </c>
      <c r="P27" s="850" t="s">
        <v>237</v>
      </c>
      <c r="Q27" s="833" t="s">
        <v>160</v>
      </c>
      <c r="R27" s="832" t="s">
        <v>236</v>
      </c>
      <c r="S27" s="833" t="s">
        <v>232</v>
      </c>
      <c r="T27" s="833" t="s">
        <v>233</v>
      </c>
      <c r="U27" s="833" t="s">
        <v>20</v>
      </c>
      <c r="V27" s="832" t="s">
        <v>91</v>
      </c>
      <c r="W27" s="832" t="s">
        <v>93</v>
      </c>
      <c r="X27" s="832" t="s">
        <v>94</v>
      </c>
      <c r="Y27" s="834" t="s">
        <v>95</v>
      </c>
      <c r="Z27" s="861"/>
      <c r="AE27" s="829"/>
      <c r="AF27" s="829"/>
    </row>
    <row r="28" spans="2:33" ht="35.1" customHeight="1" thickBot="1" x14ac:dyDescent="0.25">
      <c r="B28" s="827"/>
      <c r="C28" s="864"/>
      <c r="D28" s="836"/>
      <c r="E28" s="1000"/>
      <c r="F28" s="836"/>
      <c r="G28" s="836"/>
      <c r="H28" s="836"/>
      <c r="I28" s="836"/>
      <c r="J28" s="972"/>
      <c r="K28" s="841"/>
      <c r="L28" s="866"/>
      <c r="M28" s="835"/>
      <c r="N28" s="867"/>
      <c r="P28" s="864" t="s">
        <v>242</v>
      </c>
      <c r="Q28" s="836" t="s">
        <v>221</v>
      </c>
      <c r="R28" s="836" t="s">
        <v>222</v>
      </c>
      <c r="S28" s="836">
        <v>2280</v>
      </c>
      <c r="T28" s="836">
        <v>453658</v>
      </c>
      <c r="U28" s="865" t="s">
        <v>97</v>
      </c>
      <c r="V28" s="841">
        <v>80000</v>
      </c>
      <c r="W28" s="866">
        <f>IFERROR(V28/$V$34,0)</f>
        <v>9.4117647058823528E-2</v>
      </c>
      <c r="X28" s="837">
        <f t="shared" ref="X28:X33" si="0">ROUND(W28*I$15,2)</f>
        <v>438534.66</v>
      </c>
      <c r="Y28" s="868">
        <f t="shared" ref="Y28:Y33" si="1">X28*M$15</f>
        <v>8770693.1999999993</v>
      </c>
      <c r="Z28" s="860"/>
      <c r="AA28" s="1059">
        <f>Y28+Y30+Y31+Y43</f>
        <v>20123703.599999998</v>
      </c>
      <c r="AE28" s="829"/>
      <c r="AF28" s="829"/>
    </row>
    <row r="29" spans="2:33" ht="35.1" customHeight="1" thickBot="1" x14ac:dyDescent="0.25">
      <c r="B29" s="827"/>
      <c r="C29" s="864"/>
      <c r="D29" s="836"/>
      <c r="E29" s="1000"/>
      <c r="F29" s="836"/>
      <c r="G29" s="836"/>
      <c r="H29" s="836"/>
      <c r="I29" s="836"/>
      <c r="J29" s="972"/>
      <c r="K29" s="841"/>
      <c r="L29" s="866"/>
      <c r="M29" s="835"/>
      <c r="N29" s="867"/>
      <c r="P29" s="864" t="s">
        <v>242</v>
      </c>
      <c r="Q29" s="836" t="s">
        <v>221</v>
      </c>
      <c r="R29" s="836" t="s">
        <v>222</v>
      </c>
      <c r="S29" s="836">
        <v>2280</v>
      </c>
      <c r="T29" s="836">
        <v>453658</v>
      </c>
      <c r="U29" s="865" t="s">
        <v>100</v>
      </c>
      <c r="V29" s="841">
        <v>40000</v>
      </c>
      <c r="W29" s="866">
        <f>IFERROR(V29/$V$34,0)</f>
        <v>4.7058823529411764E-2</v>
      </c>
      <c r="X29" s="837">
        <f t="shared" si="0"/>
        <v>219267.33</v>
      </c>
      <c r="Y29" s="868">
        <f t="shared" si="1"/>
        <v>4385346.5999999996</v>
      </c>
      <c r="Z29" s="860"/>
      <c r="AA29" s="1059"/>
      <c r="AE29" s="829"/>
      <c r="AF29" s="829"/>
    </row>
    <row r="30" spans="2:33" ht="35.1" customHeight="1" thickBot="1" x14ac:dyDescent="0.25">
      <c r="B30" s="827"/>
      <c r="C30" s="864"/>
      <c r="D30" s="836"/>
      <c r="E30" s="1000"/>
      <c r="F30" s="836"/>
      <c r="G30" s="836"/>
      <c r="H30" s="836"/>
      <c r="I30" s="836"/>
      <c r="J30" s="972"/>
      <c r="K30" s="841"/>
      <c r="L30" s="866"/>
      <c r="M30" s="835"/>
      <c r="N30" s="867"/>
      <c r="P30" s="864" t="s">
        <v>242</v>
      </c>
      <c r="Q30" s="836" t="s">
        <v>221</v>
      </c>
      <c r="R30" s="836" t="s">
        <v>222</v>
      </c>
      <c r="S30" s="836">
        <v>2280</v>
      </c>
      <c r="T30" s="836">
        <v>453658</v>
      </c>
      <c r="U30" s="865" t="s">
        <v>393</v>
      </c>
      <c r="V30" s="841">
        <v>22000</v>
      </c>
      <c r="W30" s="866">
        <f>IFERROR(V30/$V$34,0)</f>
        <v>2.5882352941176471E-2</v>
      </c>
      <c r="X30" s="837">
        <f t="shared" si="0"/>
        <v>120597.03</v>
      </c>
      <c r="Y30" s="868">
        <f t="shared" si="1"/>
        <v>2411940.6</v>
      </c>
      <c r="Z30" s="860"/>
      <c r="AE30" s="829"/>
      <c r="AF30" s="829"/>
    </row>
    <row r="31" spans="2:33" ht="35.1" customHeight="1" thickBot="1" x14ac:dyDescent="0.25">
      <c r="B31" s="827"/>
      <c r="C31" s="864"/>
      <c r="D31" s="836"/>
      <c r="E31" s="1000"/>
      <c r="F31" s="836"/>
      <c r="G31" s="836"/>
      <c r="H31" s="836"/>
      <c r="I31" s="836"/>
      <c r="J31" s="972"/>
      <c r="K31" s="841"/>
      <c r="L31" s="866"/>
      <c r="M31" s="835"/>
      <c r="N31" s="867"/>
      <c r="P31" s="864" t="s">
        <v>242</v>
      </c>
      <c r="Q31" s="836" t="s">
        <v>221</v>
      </c>
      <c r="R31" s="836" t="s">
        <v>222</v>
      </c>
      <c r="S31" s="836">
        <v>2280</v>
      </c>
      <c r="T31" s="836">
        <v>453658</v>
      </c>
      <c r="U31" s="865" t="s">
        <v>288</v>
      </c>
      <c r="V31" s="841">
        <v>0</v>
      </c>
      <c r="W31" s="866">
        <f t="shared" ref="W31:W33" si="2">IFERROR(V31/$V$34,0)</f>
        <v>0</v>
      </c>
      <c r="X31" s="837">
        <f t="shared" si="0"/>
        <v>0</v>
      </c>
      <c r="Y31" s="868">
        <f t="shared" si="1"/>
        <v>0</v>
      </c>
      <c r="Z31" s="860"/>
      <c r="AE31" s="829"/>
      <c r="AF31" s="829"/>
    </row>
    <row r="32" spans="2:33" ht="35.1" customHeight="1" thickBot="1" x14ac:dyDescent="0.25">
      <c r="B32" s="827"/>
      <c r="C32" s="864"/>
      <c r="D32" s="1000"/>
      <c r="E32" s="2036"/>
      <c r="F32" s="836"/>
      <c r="G32" s="836"/>
      <c r="H32" s="836"/>
      <c r="I32" s="836"/>
      <c r="J32" s="972"/>
      <c r="K32" s="841"/>
      <c r="L32" s="866"/>
      <c r="M32" s="835"/>
      <c r="N32" s="867"/>
      <c r="P32" s="1076" t="s">
        <v>242</v>
      </c>
      <c r="Q32" s="1000" t="s">
        <v>221</v>
      </c>
      <c r="R32" s="1000" t="s">
        <v>222</v>
      </c>
      <c r="S32" s="1000" t="s">
        <v>344</v>
      </c>
      <c r="T32" s="1000">
        <v>468094</v>
      </c>
      <c r="U32" s="2058" t="s">
        <v>23</v>
      </c>
      <c r="V32" s="2059">
        <v>95000</v>
      </c>
      <c r="W32" s="2060">
        <f t="shared" si="2"/>
        <v>0.11176470588235295</v>
      </c>
      <c r="X32" s="2061">
        <f t="shared" si="0"/>
        <v>520759.9</v>
      </c>
      <c r="Y32" s="2062">
        <f t="shared" si="1"/>
        <v>10415198</v>
      </c>
      <c r="Z32" s="860"/>
      <c r="AE32" s="829"/>
      <c r="AF32" s="829"/>
    </row>
    <row r="33" spans="2:32" ht="35.1" customHeight="1" thickBot="1" x14ac:dyDescent="0.25">
      <c r="B33" s="827"/>
      <c r="C33" s="851">
        <v>800874933</v>
      </c>
      <c r="D33" s="853"/>
      <c r="E33" s="853" t="s">
        <v>242</v>
      </c>
      <c r="F33" s="845" t="s">
        <v>221</v>
      </c>
      <c r="G33" s="845" t="s">
        <v>222</v>
      </c>
      <c r="H33" s="845">
        <v>2280</v>
      </c>
      <c r="I33" s="845">
        <v>453851</v>
      </c>
      <c r="J33" s="973" t="s">
        <v>159</v>
      </c>
      <c r="K33" s="852">
        <f>850000-K28-K29-K31-K32</f>
        <v>850000</v>
      </c>
      <c r="L33" s="872">
        <v>1</v>
      </c>
      <c r="M33" s="844">
        <v>4753878.6400000006</v>
      </c>
      <c r="N33" s="873">
        <f>M33*M15</f>
        <v>95077572.800000012</v>
      </c>
      <c r="P33" s="1004" t="s">
        <v>242</v>
      </c>
      <c r="Q33" s="1003" t="s">
        <v>221</v>
      </c>
      <c r="R33" s="1003" t="s">
        <v>222</v>
      </c>
      <c r="S33" s="1003">
        <v>2280</v>
      </c>
      <c r="T33" s="1003">
        <v>453851</v>
      </c>
      <c r="U33" s="1851" t="s">
        <v>159</v>
      </c>
      <c r="V33" s="1852">
        <f>850000-V28-V29-V30-V31-V32</f>
        <v>613000</v>
      </c>
      <c r="W33" s="1853">
        <f t="shared" si="2"/>
        <v>0.72117647058823531</v>
      </c>
      <c r="X33" s="1854">
        <f t="shared" si="0"/>
        <v>3360271.8</v>
      </c>
      <c r="Y33" s="1855">
        <f t="shared" si="1"/>
        <v>67205436</v>
      </c>
      <c r="Z33" s="860"/>
      <c r="AE33" s="829"/>
      <c r="AF33" s="829"/>
    </row>
    <row r="34" spans="2:32" ht="35.1" customHeight="1" x14ac:dyDescent="0.2">
      <c r="B34" s="827"/>
      <c r="C34" s="881"/>
      <c r="D34" s="882" t="s">
        <v>102</v>
      </c>
      <c r="E34" s="882"/>
      <c r="F34" s="882"/>
      <c r="G34" s="882"/>
      <c r="H34" s="882"/>
      <c r="I34" s="883"/>
      <c r="J34" s="883"/>
      <c r="K34" s="884">
        <f>SUM(K28:K33)</f>
        <v>850000</v>
      </c>
      <c r="L34" s="885">
        <f>SUM(L28:L33)</f>
        <v>1</v>
      </c>
      <c r="M34" s="886">
        <f>SUM(M28:M33)</f>
        <v>4753878.6400000006</v>
      </c>
      <c r="N34" s="886">
        <f>SUM(N28:N33)</f>
        <v>95077572.800000012</v>
      </c>
      <c r="P34" s="882"/>
      <c r="Q34" s="882"/>
      <c r="R34" s="882"/>
      <c r="S34" s="882"/>
      <c r="T34" s="883"/>
      <c r="U34" s="883"/>
      <c r="V34" s="884">
        <f>SUM(V28:V33)</f>
        <v>850000</v>
      </c>
      <c r="W34" s="885">
        <f>SUM(W28:W33)</f>
        <v>1</v>
      </c>
      <c r="X34" s="887">
        <f>SUM(X28:X33)</f>
        <v>4659430.72</v>
      </c>
      <c r="Y34" s="887">
        <f>SUM(Y28:Y33)</f>
        <v>93188614.400000006</v>
      </c>
      <c r="Z34" s="827"/>
      <c r="AE34" s="829"/>
      <c r="AF34" s="829"/>
    </row>
    <row r="35" spans="2:32" ht="20.100000000000001" customHeight="1" x14ac:dyDescent="0.2">
      <c r="B35" s="827"/>
      <c r="C35" s="860"/>
      <c r="D35" s="860"/>
      <c r="E35" s="860"/>
      <c r="F35" s="860"/>
      <c r="G35" s="888"/>
      <c r="H35" s="888"/>
      <c r="I35" s="860"/>
      <c r="J35" s="860"/>
      <c r="K35" s="860"/>
      <c r="L35" s="860"/>
      <c r="M35" s="889"/>
      <c r="P35" s="860"/>
      <c r="Q35" s="860"/>
      <c r="R35" s="888"/>
      <c r="S35" s="888"/>
      <c r="T35" s="860"/>
      <c r="U35" s="860"/>
      <c r="V35" s="860"/>
      <c r="W35" s="860"/>
      <c r="X35" s="890"/>
      <c r="Y35" s="891"/>
      <c r="Z35" s="827"/>
      <c r="AE35" s="829"/>
      <c r="AF35" s="829"/>
    </row>
    <row r="36" spans="2:32" ht="20.100000000000001" customHeight="1" x14ac:dyDescent="0.2">
      <c r="B36" s="827"/>
      <c r="C36" s="860"/>
      <c r="D36" s="860"/>
      <c r="E36" s="860"/>
      <c r="F36" s="860"/>
      <c r="G36" s="888"/>
      <c r="H36" s="888"/>
      <c r="I36" s="860"/>
      <c r="J36" s="860"/>
      <c r="K36" s="860"/>
      <c r="L36" s="860"/>
      <c r="M36" s="889"/>
      <c r="P36" s="860"/>
      <c r="Q36" s="860"/>
      <c r="R36" s="888"/>
      <c r="S36" s="888"/>
      <c r="T36" s="860"/>
      <c r="U36" s="860"/>
      <c r="V36" s="860"/>
      <c r="W36" s="892"/>
      <c r="X36" s="889"/>
      <c r="Y36" s="893"/>
      <c r="Z36" s="827"/>
      <c r="AE36" s="829"/>
      <c r="AF36" s="829"/>
    </row>
    <row r="38" spans="2:32" ht="20.100000000000001" customHeight="1" thickBot="1" x14ac:dyDescent="0.25">
      <c r="B38" s="827"/>
      <c r="C38" s="858" t="s">
        <v>274</v>
      </c>
      <c r="D38" s="858"/>
      <c r="E38" s="858"/>
      <c r="F38" s="858"/>
      <c r="G38" s="858"/>
      <c r="H38" s="859"/>
      <c r="I38" s="858"/>
      <c r="J38" s="858"/>
      <c r="K38" s="858"/>
      <c r="L38" s="859"/>
      <c r="M38" s="860"/>
      <c r="N38" s="861"/>
      <c r="P38" s="858"/>
      <c r="Q38" s="858"/>
      <c r="R38" s="858"/>
      <c r="S38" s="859"/>
      <c r="T38" s="858"/>
      <c r="U38" s="858"/>
      <c r="V38" s="858"/>
      <c r="W38" s="860"/>
      <c r="X38" s="860"/>
      <c r="Y38" s="894"/>
      <c r="Z38" s="862"/>
      <c r="AE38" s="829"/>
      <c r="AF38" s="829"/>
    </row>
    <row r="39" spans="2:32" ht="35.1" customHeight="1" thickBot="1" x14ac:dyDescent="0.25">
      <c r="B39" s="827"/>
      <c r="C39" s="850" t="s">
        <v>87</v>
      </c>
      <c r="D39" s="895" t="s">
        <v>88</v>
      </c>
      <c r="E39" s="895" t="s">
        <v>237</v>
      </c>
      <c r="F39" s="896" t="s">
        <v>160</v>
      </c>
      <c r="G39" s="895" t="s">
        <v>236</v>
      </c>
      <c r="H39" s="896" t="s">
        <v>232</v>
      </c>
      <c r="I39" s="896" t="s">
        <v>233</v>
      </c>
      <c r="J39" s="896" t="s">
        <v>20</v>
      </c>
      <c r="K39" s="832" t="s">
        <v>91</v>
      </c>
      <c r="L39" s="895" t="s">
        <v>93</v>
      </c>
      <c r="M39" s="895" t="s">
        <v>94</v>
      </c>
      <c r="N39" s="897" t="s">
        <v>95</v>
      </c>
      <c r="P39" s="895" t="s">
        <v>237</v>
      </c>
      <c r="Q39" s="896" t="s">
        <v>160</v>
      </c>
      <c r="R39" s="895" t="s">
        <v>236</v>
      </c>
      <c r="S39" s="896" t="s">
        <v>232</v>
      </c>
      <c r="T39" s="896" t="s">
        <v>233</v>
      </c>
      <c r="U39" s="896" t="s">
        <v>20</v>
      </c>
      <c r="V39" s="832" t="s">
        <v>91</v>
      </c>
      <c r="W39" s="895" t="s">
        <v>93</v>
      </c>
      <c r="X39" s="895" t="s">
        <v>94</v>
      </c>
      <c r="Y39" s="897" t="s">
        <v>95</v>
      </c>
      <c r="Z39" s="862"/>
      <c r="AE39" s="829"/>
      <c r="AF39" s="829"/>
    </row>
    <row r="40" spans="2:32" ht="35.1" customHeight="1" thickBot="1" x14ac:dyDescent="0.25">
      <c r="B40" s="827"/>
      <c r="C40" s="864"/>
      <c r="D40" s="1000"/>
      <c r="E40" s="2036"/>
      <c r="F40" s="836"/>
      <c r="G40" s="836"/>
      <c r="H40" s="836"/>
      <c r="I40" s="836"/>
      <c r="J40" s="865"/>
      <c r="K40" s="841"/>
      <c r="L40" s="866"/>
      <c r="M40" s="837"/>
      <c r="N40" s="868"/>
      <c r="P40" s="836" t="s">
        <v>242</v>
      </c>
      <c r="Q40" s="836" t="s">
        <v>221</v>
      </c>
      <c r="R40" s="836" t="s">
        <v>222</v>
      </c>
      <c r="S40" s="836">
        <v>2280</v>
      </c>
      <c r="T40" s="836">
        <v>453658</v>
      </c>
      <c r="U40" s="865" t="s">
        <v>97</v>
      </c>
      <c r="V40" s="841">
        <v>80000</v>
      </c>
      <c r="W40" s="866">
        <f>IFERROR(V40/$V$43,0)</f>
        <v>0.66666666666666663</v>
      </c>
      <c r="X40" s="837">
        <f>ROUND(W40*I$16,2)</f>
        <v>298035.65999999997</v>
      </c>
      <c r="Y40" s="868">
        <f>X40*$M$16</f>
        <v>5960713.1999999993</v>
      </c>
      <c r="Z40" s="862"/>
      <c r="AE40" s="829"/>
      <c r="AF40" s="829"/>
    </row>
    <row r="41" spans="2:32" ht="35.1" customHeight="1" thickBot="1" x14ac:dyDescent="0.25">
      <c r="B41" s="827"/>
      <c r="C41" s="864"/>
      <c r="D41" s="1000"/>
      <c r="E41" s="1000"/>
      <c r="F41" s="836"/>
      <c r="G41" s="836"/>
      <c r="H41" s="836"/>
      <c r="I41" s="836"/>
      <c r="J41" s="865"/>
      <c r="K41" s="841"/>
      <c r="L41" s="866"/>
      <c r="M41" s="837"/>
      <c r="N41" s="868"/>
      <c r="P41" s="1000" t="s">
        <v>242</v>
      </c>
      <c r="Q41" s="836" t="s">
        <v>221</v>
      </c>
      <c r="R41" s="836" t="s">
        <v>222</v>
      </c>
      <c r="S41" s="836">
        <v>2280</v>
      </c>
      <c r="T41" s="836">
        <v>453658</v>
      </c>
      <c r="U41" s="865" t="s">
        <v>100</v>
      </c>
      <c r="V41" s="841">
        <v>40000</v>
      </c>
      <c r="W41" s="866">
        <f>IFERROR(V41/$V$43,0)</f>
        <v>0.33333333333333331</v>
      </c>
      <c r="X41" s="837">
        <f>ROUND(W41*I$16,2)</f>
        <v>149017.82999999999</v>
      </c>
      <c r="Y41" s="868">
        <f>X41*$M$16</f>
        <v>2980356.5999999996</v>
      </c>
      <c r="Z41" s="862"/>
      <c r="AE41" s="829"/>
      <c r="AF41" s="829"/>
    </row>
    <row r="42" spans="2:32" ht="35.1" customHeight="1" thickBot="1" x14ac:dyDescent="0.25">
      <c r="B42" s="827"/>
      <c r="C42" s="1004">
        <v>800874975</v>
      </c>
      <c r="D42" s="853"/>
      <c r="E42" s="853" t="s">
        <v>242</v>
      </c>
      <c r="F42" s="1003" t="s">
        <v>221</v>
      </c>
      <c r="G42" s="1003" t="s">
        <v>222</v>
      </c>
      <c r="H42" s="1003">
        <v>2280</v>
      </c>
      <c r="I42" s="1003">
        <v>453851</v>
      </c>
      <c r="J42" s="871" t="s">
        <v>159</v>
      </c>
      <c r="K42" s="852">
        <v>100000</v>
      </c>
      <c r="L42" s="872">
        <v>1</v>
      </c>
      <c r="M42" s="846">
        <f>ROUND(L42*I$16,2)</f>
        <v>447053.49</v>
      </c>
      <c r="N42" s="898">
        <f>M42*$M$16</f>
        <v>8941069.8000000007</v>
      </c>
      <c r="P42" s="1003" t="s">
        <v>401</v>
      </c>
      <c r="Q42" s="845" t="s">
        <v>221</v>
      </c>
      <c r="R42" s="845" t="s">
        <v>222</v>
      </c>
      <c r="S42" s="845">
        <v>2280</v>
      </c>
      <c r="T42" s="845">
        <v>453851</v>
      </c>
      <c r="U42" s="871" t="s">
        <v>159</v>
      </c>
      <c r="V42" s="852">
        <v>0</v>
      </c>
      <c r="W42" s="872">
        <f>IFERROR(V42/$V$43,0)</f>
        <v>0</v>
      </c>
      <c r="X42" s="846">
        <f>ROUND(W42*I$16,2)</f>
        <v>0</v>
      </c>
      <c r="Y42" s="898">
        <f>X42*$M$16</f>
        <v>0</v>
      </c>
      <c r="Z42" s="862"/>
      <c r="AE42" s="829"/>
      <c r="AF42" s="829"/>
    </row>
    <row r="43" spans="2:32" ht="20.100000000000001" customHeight="1" x14ac:dyDescent="0.2">
      <c r="B43" s="827"/>
      <c r="C43" s="881"/>
      <c r="D43" s="882" t="s">
        <v>102</v>
      </c>
      <c r="E43" s="882"/>
      <c r="F43" s="882"/>
      <c r="G43" s="882"/>
      <c r="H43" s="882"/>
      <c r="I43" s="883"/>
      <c r="J43" s="883"/>
      <c r="K43" s="884">
        <f>SUM(K40:K42)</f>
        <v>100000</v>
      </c>
      <c r="L43" s="885">
        <f>SUM(L40:L42)</f>
        <v>1</v>
      </c>
      <c r="M43" s="886">
        <f>SUM(M40:M42)</f>
        <v>447053.49</v>
      </c>
      <c r="N43" s="886">
        <f>SUM(N40:N42)</f>
        <v>8941069.8000000007</v>
      </c>
      <c r="P43" s="882"/>
      <c r="Q43" s="882"/>
      <c r="R43" s="882"/>
      <c r="S43" s="882"/>
      <c r="T43" s="883"/>
      <c r="U43" s="883"/>
      <c r="V43" s="884">
        <f>SUM(V40:V42)</f>
        <v>120000</v>
      </c>
      <c r="W43" s="885">
        <f>SUM(W40:W42)</f>
        <v>1</v>
      </c>
      <c r="X43" s="886">
        <f>SUM(X40:X42)</f>
        <v>447053.49</v>
      </c>
      <c r="Y43" s="886">
        <f>SUM(Y40:Y42)</f>
        <v>8941069.7999999989</v>
      </c>
      <c r="Z43" s="862"/>
      <c r="AE43" s="829"/>
      <c r="AF43" s="829"/>
    </row>
    <row r="44" spans="2:32" ht="20.100000000000001" customHeight="1" x14ac:dyDescent="0.2">
      <c r="B44" s="827"/>
      <c r="C44" s="899"/>
      <c r="D44" s="858"/>
      <c r="E44" s="858"/>
      <c r="F44" s="858"/>
      <c r="G44" s="858"/>
      <c r="H44" s="859"/>
      <c r="I44" s="858"/>
      <c r="J44" s="858"/>
      <c r="K44" s="858"/>
      <c r="L44" s="860"/>
      <c r="M44" s="860"/>
      <c r="N44" s="843"/>
      <c r="P44" s="858"/>
      <c r="Q44" s="858"/>
      <c r="R44" s="858"/>
      <c r="S44" s="859"/>
      <c r="T44" s="858"/>
      <c r="U44" s="858"/>
      <c r="V44" s="858"/>
      <c r="W44" s="860"/>
      <c r="X44" s="860"/>
      <c r="Y44" s="894"/>
      <c r="Z44" s="862"/>
      <c r="AE44" s="829"/>
      <c r="AF44" s="829"/>
    </row>
    <row r="45" spans="2:32" ht="20.100000000000001" customHeight="1" x14ac:dyDescent="0.2">
      <c r="B45" s="827"/>
      <c r="C45" s="899"/>
      <c r="D45" s="858"/>
      <c r="E45" s="858"/>
      <c r="F45" s="858"/>
      <c r="G45" s="858"/>
      <c r="H45" s="859"/>
      <c r="I45" s="858"/>
      <c r="J45" s="858"/>
      <c r="K45" s="858"/>
      <c r="L45" s="860"/>
      <c r="M45" s="860"/>
      <c r="N45" s="843"/>
      <c r="P45" s="858"/>
      <c r="Q45" s="858"/>
      <c r="R45" s="858"/>
      <c r="S45" s="859"/>
      <c r="T45" s="858"/>
      <c r="U45" s="858"/>
      <c r="V45" s="858"/>
      <c r="W45" s="860"/>
      <c r="X45" s="860"/>
      <c r="Y45" s="894"/>
      <c r="Z45" s="862"/>
      <c r="AE45" s="829"/>
      <c r="AF45" s="829"/>
    </row>
    <row r="46" spans="2:32" ht="20.100000000000001" customHeight="1" x14ac:dyDescent="0.2">
      <c r="B46" s="827"/>
      <c r="C46" s="899"/>
      <c r="D46" s="858"/>
      <c r="E46" s="858"/>
      <c r="F46" s="858"/>
      <c r="G46" s="858"/>
      <c r="H46" s="859"/>
      <c r="I46" s="858"/>
      <c r="J46" s="1792"/>
      <c r="K46" s="858"/>
      <c r="L46" s="860"/>
      <c r="M46" s="860"/>
      <c r="N46" s="843"/>
      <c r="P46" s="858"/>
      <c r="Q46" s="858"/>
      <c r="R46" s="858"/>
      <c r="S46" s="859"/>
      <c r="T46" s="858"/>
      <c r="U46" s="858"/>
      <c r="V46" s="858"/>
      <c r="W46" s="860"/>
      <c r="X46" s="860"/>
      <c r="Y46" s="894"/>
      <c r="Z46" s="862"/>
      <c r="AE46" s="829"/>
      <c r="AF46" s="829"/>
    </row>
    <row r="47" spans="2:32" ht="35.1" customHeight="1" thickBot="1" x14ac:dyDescent="0.25">
      <c r="B47" s="827"/>
      <c r="C47" s="899" t="s">
        <v>103</v>
      </c>
      <c r="D47" s="858"/>
      <c r="E47" s="858"/>
      <c r="F47" s="858"/>
      <c r="G47" s="858"/>
      <c r="H47" s="859"/>
      <c r="I47" s="858"/>
      <c r="J47" s="858"/>
      <c r="K47" s="858"/>
      <c r="L47" s="860"/>
      <c r="M47" s="860"/>
      <c r="N47" s="843"/>
      <c r="P47" s="858"/>
      <c r="Q47" s="858"/>
      <c r="R47" s="858"/>
      <c r="S47" s="859"/>
      <c r="T47" s="858"/>
      <c r="U47" s="858"/>
      <c r="V47" s="858"/>
      <c r="W47" s="860"/>
      <c r="X47" s="860"/>
      <c r="Y47" s="894"/>
      <c r="Z47" s="862"/>
      <c r="AE47" s="829"/>
      <c r="AF47" s="829"/>
    </row>
    <row r="48" spans="2:32" ht="35.1" customHeight="1" thickBot="1" x14ac:dyDescent="0.25">
      <c r="B48" s="827"/>
      <c r="C48" s="850" t="s">
        <v>87</v>
      </c>
      <c r="D48" s="832" t="s">
        <v>88</v>
      </c>
      <c r="E48" s="832" t="s">
        <v>237</v>
      </c>
      <c r="F48" s="833" t="s">
        <v>160</v>
      </c>
      <c r="G48" s="832" t="s">
        <v>90</v>
      </c>
      <c r="H48" s="833" t="s">
        <v>232</v>
      </c>
      <c r="I48" s="833" t="s">
        <v>233</v>
      </c>
      <c r="J48" s="833" t="s">
        <v>20</v>
      </c>
      <c r="K48" s="832" t="s">
        <v>234</v>
      </c>
      <c r="L48" s="832" t="s">
        <v>93</v>
      </c>
      <c r="M48" s="832" t="s">
        <v>94</v>
      </c>
      <c r="N48" s="863" t="s">
        <v>95</v>
      </c>
      <c r="P48" s="850" t="s">
        <v>237</v>
      </c>
      <c r="Q48" s="833" t="s">
        <v>160</v>
      </c>
      <c r="R48" s="832" t="s">
        <v>90</v>
      </c>
      <c r="S48" s="833" t="s">
        <v>232</v>
      </c>
      <c r="T48" s="833" t="s">
        <v>233</v>
      </c>
      <c r="U48" s="833" t="s">
        <v>20</v>
      </c>
      <c r="V48" s="832" t="s">
        <v>234</v>
      </c>
      <c r="W48" s="832" t="s">
        <v>93</v>
      </c>
      <c r="X48" s="832" t="s">
        <v>94</v>
      </c>
      <c r="Y48" s="834" t="s">
        <v>95</v>
      </c>
      <c r="Z48" s="861"/>
      <c r="AE48" s="829"/>
      <c r="AF48" s="829"/>
    </row>
    <row r="49" spans="2:32" ht="35.1" customHeight="1" thickBot="1" x14ac:dyDescent="0.25">
      <c r="B49" s="827"/>
      <c r="C49" s="864">
        <v>800874989</v>
      </c>
      <c r="D49" s="869"/>
      <c r="E49" s="869" t="s">
        <v>242</v>
      </c>
      <c r="F49" s="836" t="s">
        <v>221</v>
      </c>
      <c r="G49" s="836" t="s">
        <v>222</v>
      </c>
      <c r="H49" s="836">
        <v>2281</v>
      </c>
      <c r="I49" s="836">
        <v>453659</v>
      </c>
      <c r="J49" s="972" t="s">
        <v>159</v>
      </c>
      <c r="K49" s="841">
        <f>P102</f>
        <v>3371343.7600000002</v>
      </c>
      <c r="L49" s="866">
        <f>IFERROR(K49/K$54,0)</f>
        <v>0.544642661096157</v>
      </c>
      <c r="M49" s="835">
        <f>L49*$I$17</f>
        <v>3099.2890629676813</v>
      </c>
      <c r="N49" s="867">
        <f>M49*$M$17</f>
        <v>61985.781259353622</v>
      </c>
      <c r="O49" s="2">
        <v>18.6234</v>
      </c>
      <c r="P49" s="864" t="s">
        <v>242</v>
      </c>
      <c r="Q49" s="836" t="s">
        <v>221</v>
      </c>
      <c r="R49" s="836" t="s">
        <v>222</v>
      </c>
      <c r="S49" s="836">
        <v>2281</v>
      </c>
      <c r="T49" s="836">
        <v>453658</v>
      </c>
      <c r="U49" s="865" t="s">
        <v>97</v>
      </c>
      <c r="V49" s="841">
        <f>K49</f>
        <v>3371343.7600000002</v>
      </c>
      <c r="W49" s="866">
        <f>IFERROR(V49/V$54,0)</f>
        <v>0.544642661096157</v>
      </c>
      <c r="X49" s="835">
        <f>W49*$I$17</f>
        <v>3099.2890629676813</v>
      </c>
      <c r="Y49" s="867">
        <f>X49*$M$17</f>
        <v>61985.781259353622</v>
      </c>
      <c r="AE49" s="829"/>
      <c r="AF49" s="829"/>
    </row>
    <row r="50" spans="2:32" ht="35.1" customHeight="1" thickBot="1" x14ac:dyDescent="0.25">
      <c r="B50" s="827"/>
      <c r="C50" s="864"/>
      <c r="D50" s="1000"/>
      <c r="E50" s="1000"/>
      <c r="F50" s="836"/>
      <c r="G50" s="836"/>
      <c r="H50" s="836"/>
      <c r="I50" s="836"/>
      <c r="J50" s="972"/>
      <c r="K50" s="841"/>
      <c r="L50" s="866"/>
      <c r="M50" s="835"/>
      <c r="N50" s="867"/>
      <c r="O50" s="2"/>
      <c r="P50" s="864" t="s">
        <v>242</v>
      </c>
      <c r="Q50" s="836" t="s">
        <v>221</v>
      </c>
      <c r="R50" s="836" t="s">
        <v>222</v>
      </c>
      <c r="S50" s="836">
        <v>2281</v>
      </c>
      <c r="T50" s="836">
        <v>453658</v>
      </c>
      <c r="U50" s="865" t="s">
        <v>100</v>
      </c>
      <c r="V50" s="841">
        <f t="shared" ref="V50:V53" si="3">K50</f>
        <v>0</v>
      </c>
      <c r="W50" s="866">
        <f>IFERROR(V50/V$54,0)</f>
        <v>0</v>
      </c>
      <c r="X50" s="835">
        <f>W50*$I$17</f>
        <v>0</v>
      </c>
      <c r="Y50" s="867">
        <f>X50*$M$17</f>
        <v>0</v>
      </c>
      <c r="AE50" s="829"/>
      <c r="AF50" s="829"/>
    </row>
    <row r="51" spans="2:32" ht="35.1" customHeight="1" thickBot="1" x14ac:dyDescent="0.25">
      <c r="B51" s="827"/>
      <c r="C51" s="864">
        <v>800874989</v>
      </c>
      <c r="D51" s="869"/>
      <c r="E51" s="869" t="s">
        <v>242</v>
      </c>
      <c r="F51" s="836" t="s">
        <v>221</v>
      </c>
      <c r="G51" s="836" t="s">
        <v>222</v>
      </c>
      <c r="H51" s="836">
        <v>2281</v>
      </c>
      <c r="I51" s="836">
        <v>453659</v>
      </c>
      <c r="J51" s="972" t="s">
        <v>159</v>
      </c>
      <c r="K51" s="841">
        <f>N102</f>
        <v>591252.00419668108</v>
      </c>
      <c r="L51" s="866">
        <f>IFERROR(K51/K$54,0)</f>
        <v>9.551712547524864E-2</v>
      </c>
      <c r="M51" s="835">
        <f>L51*$I$17</f>
        <v>543.54020251690235</v>
      </c>
      <c r="N51" s="867">
        <f>M51*$M$17</f>
        <v>10870.804050338047</v>
      </c>
      <c r="O51" s="2"/>
      <c r="P51" s="864" t="s">
        <v>242</v>
      </c>
      <c r="Q51" s="836" t="s">
        <v>221</v>
      </c>
      <c r="R51" s="836" t="s">
        <v>222</v>
      </c>
      <c r="S51" s="836">
        <v>2281</v>
      </c>
      <c r="T51" s="836">
        <v>453658</v>
      </c>
      <c r="U51" s="865" t="s">
        <v>393</v>
      </c>
      <c r="V51" s="841">
        <f t="shared" si="3"/>
        <v>591252.00419668108</v>
      </c>
      <c r="W51" s="866">
        <f>IFERROR(V51/V$54,0)</f>
        <v>9.551712547524864E-2</v>
      </c>
      <c r="X51" s="835">
        <f>W51*$I$17</f>
        <v>543.54020251690235</v>
      </c>
      <c r="Y51" s="867">
        <f>X51*$M$17</f>
        <v>10870.804050338047</v>
      </c>
      <c r="AE51" s="829"/>
      <c r="AF51" s="829"/>
    </row>
    <row r="52" spans="2:32" ht="35.1" customHeight="1" thickBot="1" x14ac:dyDescent="0.25">
      <c r="B52" s="827"/>
      <c r="C52" s="864"/>
      <c r="D52" s="836"/>
      <c r="E52" s="1000"/>
      <c r="F52" s="836"/>
      <c r="G52" s="836"/>
      <c r="H52" s="836"/>
      <c r="I52" s="836"/>
      <c r="J52" s="972"/>
      <c r="K52" s="841"/>
      <c r="L52" s="866"/>
      <c r="M52" s="835"/>
      <c r="N52" s="867"/>
      <c r="O52" s="2"/>
      <c r="P52" s="864" t="s">
        <v>242</v>
      </c>
      <c r="Q52" s="836" t="s">
        <v>221</v>
      </c>
      <c r="R52" s="836" t="s">
        <v>222</v>
      </c>
      <c r="S52" s="836">
        <v>2281</v>
      </c>
      <c r="T52" s="836">
        <v>453658</v>
      </c>
      <c r="U52" s="865" t="s">
        <v>288</v>
      </c>
      <c r="V52" s="841">
        <f t="shared" si="3"/>
        <v>0</v>
      </c>
      <c r="W52" s="866">
        <f>IFERROR(V52/V$54,0)</f>
        <v>0</v>
      </c>
      <c r="X52" s="835">
        <f>W52*$I$17</f>
        <v>0</v>
      </c>
      <c r="Y52" s="867">
        <f t="shared" ref="Y52:Y53" si="4">X52*$M$17</f>
        <v>0</v>
      </c>
      <c r="AE52" s="829"/>
      <c r="AF52" s="829"/>
    </row>
    <row r="53" spans="2:32" ht="35.1" customHeight="1" thickBot="1" x14ac:dyDescent="0.25">
      <c r="B53" s="827"/>
      <c r="C53" s="851">
        <v>800874989</v>
      </c>
      <c r="D53" s="853"/>
      <c r="E53" s="853" t="s">
        <v>242</v>
      </c>
      <c r="F53" s="845" t="s">
        <v>221</v>
      </c>
      <c r="G53" s="845" t="s">
        <v>222</v>
      </c>
      <c r="H53" s="845">
        <v>2281</v>
      </c>
      <c r="I53" s="845">
        <v>453659</v>
      </c>
      <c r="J53" s="973" t="s">
        <v>159</v>
      </c>
      <c r="K53" s="852">
        <f>O102</f>
        <v>2227414.6790080005</v>
      </c>
      <c r="L53" s="866">
        <f>IFERROR(K53/K$54,0)</f>
        <v>0.35984021342859429</v>
      </c>
      <c r="M53" s="844">
        <f>L53*$I$17</f>
        <v>2047.6707345154159</v>
      </c>
      <c r="N53" s="867">
        <f t="shared" ref="N53" si="5">M53*$M$17</f>
        <v>40953.414690308316</v>
      </c>
      <c r="O53" s="2">
        <v>18.8506</v>
      </c>
      <c r="P53" s="1004" t="s">
        <v>242</v>
      </c>
      <c r="Q53" s="845" t="s">
        <v>221</v>
      </c>
      <c r="R53" s="845" t="s">
        <v>222</v>
      </c>
      <c r="S53" s="845" t="s">
        <v>402</v>
      </c>
      <c r="T53" s="845">
        <v>468095</v>
      </c>
      <c r="U53" s="871" t="s">
        <v>23</v>
      </c>
      <c r="V53" s="852">
        <f t="shared" si="3"/>
        <v>2227414.6790080005</v>
      </c>
      <c r="W53" s="872">
        <f>IFERROR(V53/V$54,0)</f>
        <v>0.35984021342859429</v>
      </c>
      <c r="X53" s="844">
        <f>W53*$I$17</f>
        <v>2047.6707345154159</v>
      </c>
      <c r="Y53" s="873">
        <f t="shared" si="4"/>
        <v>40953.414690308316</v>
      </c>
      <c r="AE53" s="829"/>
      <c r="AF53" s="829"/>
    </row>
    <row r="54" spans="2:32" x14ac:dyDescent="0.2">
      <c r="B54" s="827"/>
      <c r="C54" s="901"/>
      <c r="D54" s="901"/>
      <c r="E54" s="901"/>
      <c r="F54" s="902"/>
      <c r="G54" s="902"/>
      <c r="H54" s="902"/>
      <c r="I54" s="902"/>
      <c r="J54" s="902"/>
      <c r="K54" s="1001">
        <f>SUM(K49:K53)</f>
        <v>6190010.4432046823</v>
      </c>
      <c r="L54" s="903">
        <f>SUM(L49:L53)</f>
        <v>0.99999999999999989</v>
      </c>
      <c r="M54" s="1002">
        <f>SUM(M49:M53)</f>
        <v>5690.5</v>
      </c>
      <c r="N54" s="1002">
        <f>SUM(N49:N53)</f>
        <v>113809.99999999999</v>
      </c>
      <c r="O54" s="843"/>
      <c r="P54" s="843"/>
      <c r="Q54" s="827"/>
      <c r="R54" s="827"/>
      <c r="S54" s="827"/>
      <c r="T54" s="827"/>
      <c r="U54" s="827"/>
      <c r="V54" s="1001">
        <f>SUM(V49:V53)</f>
        <v>6190010.4432046823</v>
      </c>
      <c r="W54" s="903">
        <f>SUM(W49:W53)</f>
        <v>0.99999999999999989</v>
      </c>
      <c r="X54" s="1002">
        <f>SUM(X49:X53)</f>
        <v>5690.5</v>
      </c>
      <c r="Y54" s="1002">
        <f>SUM(Y49:Y53)</f>
        <v>113809.99999999999</v>
      </c>
      <c r="AE54" s="829"/>
      <c r="AF54" s="829"/>
    </row>
    <row r="55" spans="2:32" s="906" customFormat="1" x14ac:dyDescent="0.2">
      <c r="B55" s="904"/>
      <c r="C55" s="902"/>
      <c r="D55" s="902"/>
      <c r="E55" s="902"/>
      <c r="F55" s="902"/>
      <c r="G55" s="902"/>
      <c r="H55" s="902"/>
      <c r="I55" s="902"/>
      <c r="J55" s="902"/>
      <c r="K55" s="902"/>
      <c r="L55" s="902"/>
      <c r="M55" s="905"/>
      <c r="N55" s="905"/>
      <c r="O55" s="843"/>
      <c r="P55" s="843"/>
      <c r="Q55" s="904"/>
      <c r="R55" s="904"/>
      <c r="S55" s="904"/>
      <c r="T55" s="904"/>
      <c r="U55" s="904"/>
      <c r="V55" s="904"/>
      <c r="W55" s="904"/>
      <c r="X55" s="843"/>
      <c r="Y55" s="843"/>
      <c r="Z55" s="843"/>
      <c r="AA55" s="843"/>
      <c r="AB55" s="843"/>
      <c r="AC55" s="843"/>
      <c r="AD55" s="843"/>
    </row>
    <row r="56" spans="2:32" s="906" customFormat="1" x14ac:dyDescent="0.2">
      <c r="B56" s="904"/>
      <c r="C56" s="902"/>
      <c r="D56" s="902"/>
      <c r="E56" s="902"/>
      <c r="F56" s="902"/>
      <c r="G56" s="902"/>
      <c r="H56" s="902"/>
      <c r="I56" s="902"/>
      <c r="J56" s="902"/>
      <c r="K56" s="902"/>
      <c r="L56" s="905"/>
      <c r="M56" s="905"/>
      <c r="N56" s="843"/>
      <c r="O56" s="904"/>
      <c r="P56" s="904"/>
      <c r="Q56" s="904"/>
      <c r="R56" s="904"/>
      <c r="S56" s="904"/>
      <c r="T56" s="904"/>
      <c r="U56" s="904"/>
      <c r="V56" s="843"/>
      <c r="W56" s="843"/>
      <c r="X56" s="843"/>
      <c r="Y56" s="843"/>
      <c r="Z56" s="843"/>
      <c r="AA56" s="843"/>
      <c r="AB56" s="843"/>
    </row>
    <row r="57" spans="2:32" s="906" customFormat="1" x14ac:dyDescent="0.2">
      <c r="B57" s="904"/>
      <c r="C57" s="902"/>
      <c r="D57" s="902"/>
      <c r="E57" s="902"/>
      <c r="F57" s="902"/>
      <c r="G57" s="902"/>
      <c r="H57" s="902"/>
      <c r="I57" s="902"/>
      <c r="J57" s="902"/>
      <c r="K57" s="902"/>
      <c r="L57" s="905"/>
      <c r="M57" s="905"/>
      <c r="N57" s="843"/>
      <c r="O57" s="843"/>
      <c r="P57" s="904"/>
      <c r="Q57" s="904"/>
      <c r="R57" s="904"/>
      <c r="S57" s="904"/>
      <c r="T57" s="904"/>
      <c r="U57" s="904"/>
      <c r="V57" s="904"/>
      <c r="W57" s="843"/>
      <c r="X57" s="843"/>
      <c r="Y57" s="843"/>
      <c r="Z57" s="843"/>
      <c r="AA57" s="843"/>
      <c r="AB57" s="843"/>
      <c r="AC57" s="843"/>
    </row>
    <row r="58" spans="2:32" s="906" customFormat="1" x14ac:dyDescent="0.2">
      <c r="B58" s="904"/>
      <c r="C58" s="902"/>
      <c r="D58" s="902"/>
      <c r="E58" s="902"/>
      <c r="F58" s="902"/>
      <c r="G58" s="902"/>
      <c r="H58" s="902"/>
      <c r="I58" s="902"/>
      <c r="J58" s="902"/>
      <c r="K58" s="902"/>
      <c r="L58" s="905"/>
      <c r="M58" s="905"/>
      <c r="N58" s="843"/>
      <c r="O58" s="905"/>
      <c r="P58" s="843"/>
      <c r="Q58" s="905"/>
      <c r="R58" s="904"/>
      <c r="S58" s="904"/>
      <c r="T58" s="904"/>
      <c r="U58" s="904"/>
      <c r="V58" s="904"/>
      <c r="W58" s="904"/>
      <c r="X58" s="904"/>
      <c r="Y58" s="904"/>
      <c r="Z58" s="843"/>
      <c r="AA58" s="843"/>
      <c r="AB58" s="843"/>
      <c r="AC58" s="843"/>
      <c r="AD58" s="843"/>
      <c r="AE58" s="843"/>
      <c r="AF58" s="843"/>
    </row>
    <row r="59" spans="2:32" s="906" customFormat="1" x14ac:dyDescent="0.2">
      <c r="B59" s="904"/>
      <c r="C59" s="902"/>
      <c r="D59" s="902"/>
      <c r="E59" s="902"/>
      <c r="F59" s="902"/>
      <c r="G59" s="902"/>
      <c r="H59" s="902"/>
      <c r="I59" s="902"/>
      <c r="J59" s="902"/>
      <c r="K59" s="902"/>
      <c r="L59" s="905"/>
      <c r="M59" s="905"/>
      <c r="N59" s="843"/>
      <c r="O59" s="905"/>
      <c r="P59" s="843"/>
      <c r="Q59" s="905"/>
      <c r="R59" s="904"/>
      <c r="S59" s="904"/>
      <c r="T59" s="904"/>
      <c r="U59" s="904"/>
      <c r="V59" s="904"/>
      <c r="W59" s="904"/>
      <c r="X59" s="904"/>
      <c r="Y59" s="904"/>
      <c r="Z59" s="843"/>
      <c r="AA59" s="843"/>
      <c r="AB59" s="843"/>
      <c r="AC59" s="843"/>
      <c r="AD59" s="843"/>
      <c r="AE59" s="843"/>
      <c r="AF59" s="843"/>
    </row>
    <row r="60" spans="2:32" s="906" customFormat="1" x14ac:dyDescent="0.2">
      <c r="B60" s="904"/>
      <c r="C60" s="902"/>
      <c r="D60" s="902"/>
      <c r="E60" s="902"/>
      <c r="F60" s="902"/>
      <c r="G60" s="902"/>
      <c r="H60" s="902"/>
      <c r="I60" s="902"/>
      <c r="J60" s="902"/>
      <c r="K60" s="902"/>
      <c r="L60" s="905"/>
      <c r="M60" s="905"/>
      <c r="N60" s="843"/>
      <c r="O60" s="905"/>
      <c r="P60" s="843"/>
      <c r="Q60" s="905"/>
      <c r="R60" s="904"/>
      <c r="S60" s="904"/>
      <c r="T60" s="904"/>
      <c r="U60" s="904"/>
      <c r="V60" s="904"/>
      <c r="W60" s="904"/>
      <c r="X60" s="904"/>
      <c r="Y60" s="904"/>
      <c r="Z60" s="843"/>
      <c r="AA60" s="843"/>
      <c r="AB60" s="843"/>
      <c r="AC60" s="843"/>
      <c r="AD60" s="843"/>
      <c r="AE60" s="843"/>
      <c r="AF60" s="843"/>
    </row>
    <row r="61" spans="2:32" s="906" customFormat="1" x14ac:dyDescent="0.2">
      <c r="B61" s="904"/>
      <c r="C61" s="902"/>
      <c r="D61" s="902"/>
      <c r="E61" s="902"/>
      <c r="F61" s="902"/>
      <c r="G61" s="902"/>
      <c r="H61" s="902"/>
      <c r="I61" s="902"/>
      <c r="J61" s="902"/>
      <c r="K61" s="902"/>
      <c r="L61" s="905"/>
      <c r="M61" s="905"/>
      <c r="N61" s="843"/>
      <c r="O61" s="905"/>
      <c r="P61" s="843"/>
      <c r="Q61" s="905"/>
      <c r="R61" s="904"/>
      <c r="S61" s="904"/>
      <c r="T61" s="904"/>
      <c r="U61" s="904"/>
      <c r="V61" s="904"/>
      <c r="W61" s="904"/>
      <c r="X61" s="904"/>
      <c r="Y61" s="904"/>
      <c r="Z61" s="843"/>
      <c r="AA61" s="843"/>
      <c r="AB61" s="843"/>
      <c r="AC61" s="843"/>
      <c r="AD61" s="843"/>
      <c r="AE61" s="843"/>
      <c r="AF61" s="843"/>
    </row>
    <row r="62" spans="2:32" s="906" customFormat="1" x14ac:dyDescent="0.2">
      <c r="B62" s="904"/>
      <c r="C62" s="902"/>
      <c r="D62" s="902"/>
      <c r="E62" s="902"/>
      <c r="F62" s="902"/>
      <c r="G62" s="902"/>
      <c r="H62" s="902"/>
      <c r="I62" s="902"/>
      <c r="J62" s="902"/>
      <c r="K62" s="902"/>
      <c r="L62" s="905"/>
      <c r="M62" s="905"/>
      <c r="N62" s="843"/>
      <c r="O62" s="905"/>
      <c r="P62" s="843"/>
      <c r="Q62" s="905"/>
      <c r="R62" s="904"/>
      <c r="S62" s="904"/>
      <c r="T62" s="904"/>
      <c r="U62" s="904"/>
      <c r="V62" s="904"/>
      <c r="W62" s="904"/>
      <c r="X62" s="904"/>
      <c r="Y62" s="904"/>
      <c r="Z62" s="843"/>
      <c r="AA62" s="843"/>
      <c r="AB62" s="843"/>
      <c r="AC62" s="843"/>
      <c r="AD62" s="843"/>
      <c r="AE62" s="843"/>
      <c r="AF62" s="843"/>
    </row>
    <row r="63" spans="2:32" s="906" customFormat="1" x14ac:dyDescent="0.2">
      <c r="B63" s="904"/>
      <c r="C63" s="902"/>
      <c r="D63" s="902"/>
      <c r="E63" s="902"/>
      <c r="F63" s="902"/>
      <c r="G63" s="902"/>
      <c r="H63" s="902"/>
      <c r="I63" s="902"/>
      <c r="J63" s="902"/>
      <c r="K63" s="902"/>
      <c r="L63" s="905"/>
      <c r="M63" s="905"/>
      <c r="N63" s="843"/>
      <c r="O63" s="905"/>
      <c r="P63" s="843"/>
      <c r="Q63" s="905"/>
      <c r="R63" s="904"/>
      <c r="S63" s="904"/>
      <c r="T63" s="904"/>
      <c r="U63" s="904"/>
      <c r="V63" s="904"/>
      <c r="W63" s="904"/>
      <c r="X63" s="904"/>
      <c r="Y63" s="904"/>
      <c r="Z63" s="843"/>
      <c r="AA63" s="843"/>
      <c r="AB63" s="843"/>
      <c r="AC63" s="843"/>
      <c r="AD63" s="843"/>
      <c r="AE63" s="843"/>
      <c r="AF63" s="843"/>
    </row>
    <row r="64" spans="2:32" s="906" customFormat="1" x14ac:dyDescent="0.2">
      <c r="B64" s="904"/>
      <c r="C64" s="902"/>
      <c r="D64" s="902"/>
      <c r="E64" s="902"/>
      <c r="F64" s="902"/>
      <c r="G64" s="902"/>
      <c r="H64" s="902"/>
      <c r="I64" s="902"/>
      <c r="J64" s="902"/>
      <c r="K64" s="902"/>
      <c r="L64" s="905"/>
      <c r="M64" s="905"/>
      <c r="N64" s="843"/>
      <c r="O64" s="905"/>
      <c r="P64" s="843"/>
      <c r="Q64" s="905"/>
      <c r="R64" s="904"/>
      <c r="S64" s="904"/>
      <c r="T64" s="904"/>
      <c r="U64" s="904"/>
      <c r="V64" s="904"/>
      <c r="W64" s="904"/>
      <c r="X64" s="904"/>
      <c r="Y64" s="904"/>
      <c r="Z64" s="843"/>
      <c r="AA64" s="843"/>
      <c r="AB64" s="843"/>
      <c r="AC64" s="843"/>
      <c r="AD64" s="843"/>
      <c r="AE64" s="843"/>
      <c r="AF64" s="843"/>
    </row>
    <row r="65" spans="2:37" s="906" customFormat="1" x14ac:dyDescent="0.2">
      <c r="B65" s="904"/>
      <c r="C65" s="902"/>
      <c r="D65" s="902"/>
      <c r="E65" s="902"/>
      <c r="F65" s="902"/>
      <c r="G65" s="902"/>
      <c r="H65" s="902"/>
      <c r="I65" s="902"/>
      <c r="J65" s="902"/>
      <c r="K65" s="902"/>
      <c r="L65" s="905"/>
      <c r="M65" s="905"/>
      <c r="N65" s="843"/>
      <c r="O65" s="905"/>
      <c r="P65" s="843"/>
      <c r="Q65" s="905"/>
      <c r="R65" s="904"/>
      <c r="S65" s="904"/>
      <c r="T65" s="904"/>
      <c r="U65" s="904"/>
      <c r="V65" s="904"/>
      <c r="W65" s="904"/>
      <c r="X65" s="904"/>
      <c r="Y65" s="904"/>
      <c r="Z65" s="843"/>
      <c r="AA65" s="843"/>
      <c r="AB65" s="843"/>
      <c r="AC65" s="843"/>
      <c r="AD65" s="843"/>
      <c r="AE65" s="843"/>
      <c r="AF65" s="843"/>
    </row>
    <row r="66" spans="2:37" s="906" customFormat="1" x14ac:dyDescent="0.2">
      <c r="B66" s="904"/>
      <c r="C66" s="902"/>
      <c r="D66" s="902"/>
      <c r="E66" s="902"/>
      <c r="F66" s="902"/>
      <c r="G66" s="902"/>
      <c r="H66" s="902"/>
      <c r="I66" s="902"/>
      <c r="J66" s="902"/>
      <c r="K66" s="902"/>
      <c r="L66" s="905"/>
      <c r="M66" s="905"/>
      <c r="N66" s="843"/>
      <c r="O66" s="905"/>
      <c r="P66" s="843"/>
      <c r="Q66" s="905"/>
      <c r="R66" s="904"/>
      <c r="S66" s="904"/>
      <c r="T66" s="904"/>
      <c r="U66" s="904"/>
      <c r="V66" s="904"/>
      <c r="W66" s="904"/>
      <c r="X66" s="904"/>
      <c r="Y66" s="904"/>
      <c r="Z66" s="843"/>
      <c r="AA66" s="843"/>
      <c r="AB66" s="843"/>
      <c r="AC66" s="843"/>
      <c r="AD66" s="843"/>
      <c r="AE66" s="843"/>
      <c r="AF66" s="843"/>
    </row>
    <row r="67" spans="2:37" s="906" customFormat="1" x14ac:dyDescent="0.2">
      <c r="B67" s="904"/>
      <c r="C67" s="902"/>
      <c r="D67" s="902"/>
      <c r="E67" s="902"/>
      <c r="F67" s="902"/>
      <c r="G67" s="902"/>
      <c r="H67" s="902"/>
      <c r="I67" s="902"/>
      <c r="J67" s="902"/>
      <c r="K67" s="902"/>
      <c r="L67" s="902"/>
      <c r="M67" s="905"/>
      <c r="N67" s="905"/>
      <c r="O67" s="843"/>
      <c r="P67" s="905"/>
      <c r="Q67" s="843"/>
      <c r="R67" s="905"/>
      <c r="S67" s="904"/>
      <c r="T67" s="904"/>
      <c r="U67" s="904"/>
      <c r="V67" s="904"/>
      <c r="W67" s="904"/>
      <c r="X67" s="904"/>
      <c r="Y67" s="904"/>
      <c r="Z67" s="904"/>
      <c r="AA67" s="843"/>
      <c r="AB67" s="843"/>
      <c r="AC67" s="843"/>
      <c r="AD67" s="843"/>
      <c r="AE67" s="843"/>
      <c r="AF67" s="843"/>
      <c r="AG67" s="843"/>
    </row>
    <row r="68" spans="2:37" s="843" customFormat="1" ht="13.5" thickBot="1" x14ac:dyDescent="0.25">
      <c r="P68" s="860"/>
      <c r="Q68" s="860"/>
      <c r="T68" s="860"/>
      <c r="U68" s="860"/>
      <c r="V68" s="860"/>
      <c r="W68" s="860"/>
      <c r="X68" s="860"/>
      <c r="Y68" s="860"/>
      <c r="Z68" s="860"/>
      <c r="AA68" s="860"/>
      <c r="AB68" s="860"/>
      <c r="AC68" s="860"/>
      <c r="AD68" s="860"/>
      <c r="AE68" s="860"/>
      <c r="AF68" s="860"/>
      <c r="AG68" s="999" t="e">
        <f>'Junio - 2018'!AC101</f>
        <v>#REF!</v>
      </c>
      <c r="AH68" s="860"/>
      <c r="AI68" s="860"/>
      <c r="AJ68" s="860"/>
      <c r="AK68" s="999"/>
    </row>
    <row r="69" spans="2:37" ht="13.5" thickBot="1" x14ac:dyDescent="0.25">
      <c r="B69" s="907" t="s">
        <v>3</v>
      </c>
      <c r="C69" s="908">
        <f>SUMIF(Tarifas!E4:E303,'Diciembre - 2019  '!C71,Tarifas!D4:D303)</f>
        <v>65</v>
      </c>
      <c r="D69" s="909" t="s">
        <v>147</v>
      </c>
      <c r="E69" s="910"/>
      <c r="F69" s="910" t="s">
        <v>145</v>
      </c>
      <c r="G69" s="910" t="s">
        <v>287</v>
      </c>
      <c r="H69" s="910" t="s">
        <v>148</v>
      </c>
      <c r="I69" s="911"/>
      <c r="J69" s="2320" t="s">
        <v>120</v>
      </c>
      <c r="K69" s="2321"/>
      <c r="L69" s="2321"/>
      <c r="M69" s="2322"/>
      <c r="N69" s="2311" t="s">
        <v>270</v>
      </c>
      <c r="O69" s="2312"/>
      <c r="P69" s="2312"/>
      <c r="Q69" s="2313"/>
      <c r="R69" s="2309" t="s">
        <v>271</v>
      </c>
      <c r="S69" s="2310"/>
      <c r="T69" s="2310"/>
      <c r="U69" s="2310"/>
      <c r="V69" s="2310"/>
      <c r="W69" s="2310"/>
      <c r="X69" s="2310"/>
      <c r="Y69" s="2310"/>
      <c r="Z69" s="2332"/>
      <c r="AA69" s="2362" t="s">
        <v>121</v>
      </c>
      <c r="AB69" s="2363"/>
      <c r="AC69" s="2363"/>
      <c r="AD69" s="2363"/>
      <c r="AE69" s="2363"/>
      <c r="AF69" s="2363"/>
      <c r="AG69" s="2364"/>
      <c r="AH69" s="2080"/>
      <c r="AI69" s="2080"/>
      <c r="AJ69" s="2080"/>
      <c r="AK69" s="2081"/>
    </row>
    <row r="70" spans="2:37" ht="51.75" thickBot="1" x14ac:dyDescent="0.25">
      <c r="C70" s="914" t="s">
        <v>122</v>
      </c>
      <c r="D70" s="1016" t="s">
        <v>125</v>
      </c>
      <c r="E70" s="1017" t="s">
        <v>277</v>
      </c>
      <c r="F70" s="1017" t="s">
        <v>149</v>
      </c>
      <c r="G70" s="1017" t="s">
        <v>151</v>
      </c>
      <c r="H70" s="1017" t="s">
        <v>152</v>
      </c>
      <c r="I70" s="1018" t="s">
        <v>123</v>
      </c>
      <c r="J70" s="1027" t="s">
        <v>734</v>
      </c>
      <c r="K70" s="1028" t="s">
        <v>109</v>
      </c>
      <c r="L70" s="1028" t="s">
        <v>25</v>
      </c>
      <c r="M70" s="1028" t="s">
        <v>26</v>
      </c>
      <c r="N70" s="1665" t="s">
        <v>738</v>
      </c>
      <c r="O70" s="1666" t="s">
        <v>266</v>
      </c>
      <c r="P70" s="1666" t="s">
        <v>269</v>
      </c>
      <c r="Q70" s="1906" t="s">
        <v>267</v>
      </c>
      <c r="R70" s="1904" t="s">
        <v>395</v>
      </c>
      <c r="S70" s="2021" t="s">
        <v>272</v>
      </c>
      <c r="T70" s="1904" t="s">
        <v>22</v>
      </c>
      <c r="U70" s="1905" t="s">
        <v>272</v>
      </c>
      <c r="V70" s="978" t="s">
        <v>25</v>
      </c>
      <c r="W70" s="978" t="s">
        <v>26</v>
      </c>
      <c r="X70" s="979" t="s">
        <v>272</v>
      </c>
      <c r="Y70" s="980" t="s">
        <v>273</v>
      </c>
      <c r="Z70" s="977" t="s">
        <v>272</v>
      </c>
      <c r="AA70" s="1012" t="s">
        <v>207</v>
      </c>
      <c r="AB70" s="1013"/>
      <c r="AC70" s="1013" t="s">
        <v>112</v>
      </c>
      <c r="AD70" s="1014" t="s">
        <v>118</v>
      </c>
      <c r="AE70" s="1014" t="s">
        <v>119</v>
      </c>
      <c r="AF70" s="1014" t="s">
        <v>114</v>
      </c>
      <c r="AG70" s="1015" t="s">
        <v>113</v>
      </c>
      <c r="AH70" s="1014" t="s">
        <v>118</v>
      </c>
      <c r="AI70" s="1014" t="s">
        <v>119</v>
      </c>
      <c r="AJ70" s="1014" t="s">
        <v>114</v>
      </c>
      <c r="AK70" s="1015" t="s">
        <v>113</v>
      </c>
    </row>
    <row r="71" spans="2:37" x14ac:dyDescent="0.2">
      <c r="C71" s="918">
        <v>43435</v>
      </c>
      <c r="D71" s="919">
        <f>($E$22*$H$22)/$G$22</f>
        <v>150304.21677419354</v>
      </c>
      <c r="E71" s="920">
        <f>($F$22*$I$22)/$G$22</f>
        <v>14421.080258064516</v>
      </c>
      <c r="F71" s="921">
        <f t="shared" ref="F71:F101" si="6">O71+P71+Q71</f>
        <v>184709.239375</v>
      </c>
      <c r="G71" s="922">
        <f>TRUNC(IFERROR(K$22/L$22,0),8)</f>
        <v>1.0163853</v>
      </c>
      <c r="H71" s="923">
        <f t="shared" ref="H71:H100" si="7">ROUND(J$22*G71*F71,4)</f>
        <v>187.73580000000001</v>
      </c>
      <c r="I71" s="924">
        <f t="shared" ref="I71:I100" si="8">SUM(D71:H71)</f>
        <v>349623.28859255812</v>
      </c>
      <c r="J71" s="925"/>
      <c r="K71" s="926"/>
      <c r="L71" s="926"/>
      <c r="M71" s="984"/>
      <c r="N71" s="2090">
        <v>16834.151027608201</v>
      </c>
      <c r="O71" s="2091">
        <v>71570.859375</v>
      </c>
      <c r="P71" s="2091">
        <v>113138.38</v>
      </c>
      <c r="Q71" s="2093">
        <v>0</v>
      </c>
      <c r="R71" s="2090"/>
      <c r="S71" s="2092">
        <f t="shared" ref="S71:S101" si="9">N71-R71</f>
        <v>16834.151027608201</v>
      </c>
      <c r="T71" s="2091">
        <v>71570.86</v>
      </c>
      <c r="U71" s="2092">
        <f t="shared" ref="U71:U101" si="10">O71-T71</f>
        <v>-6.2500000058207661E-4</v>
      </c>
      <c r="V71" s="2044">
        <v>77156.52</v>
      </c>
      <c r="W71" s="2044">
        <v>35981.883000000002</v>
      </c>
      <c r="X71" s="2042">
        <f t="shared" ref="X71:X101" si="11">P71-(V71+W71)</f>
        <v>-2.3000000001047738E-2</v>
      </c>
      <c r="Y71" s="2104">
        <v>0</v>
      </c>
      <c r="Z71" s="2092">
        <f t="shared" ref="Z71:Z101" si="12">Q71-Y71</f>
        <v>0</v>
      </c>
      <c r="AA71" s="929"/>
      <c r="AB71" s="930"/>
      <c r="AC71" s="931">
        <f>AA71+AB71-AD71</f>
        <v>0</v>
      </c>
      <c r="AD71" s="931">
        <f t="shared" ref="AD71:AD101" si="13">K71+L71+M71</f>
        <v>0</v>
      </c>
      <c r="AE71" s="931">
        <f>(X71+Y71+Z71)*1.055056</f>
        <v>-2.4266288001105422E-2</v>
      </c>
      <c r="AF71" s="931">
        <f>AD71-AE71</f>
        <v>2.4266288001105422E-2</v>
      </c>
      <c r="AG71" s="932" t="e">
        <f>AG68+AF71</f>
        <v>#REF!</v>
      </c>
      <c r="AH71" s="931"/>
      <c r="AI71" s="931"/>
      <c r="AJ71" s="931"/>
      <c r="AK71" s="932"/>
    </row>
    <row r="72" spans="2:37" x14ac:dyDescent="0.2">
      <c r="C72" s="933">
        <f t="shared" ref="C72:C101" si="14">C71+1</f>
        <v>43436</v>
      </c>
      <c r="D72" s="919">
        <f t="shared" ref="D72:D101" si="15">($E$22*$H$22)/$G$22</f>
        <v>150304.21677419354</v>
      </c>
      <c r="E72" s="920">
        <f t="shared" ref="E72:E101" si="16">($F$22*$I$22)/$G$22</f>
        <v>14421.080258064516</v>
      </c>
      <c r="F72" s="934">
        <f t="shared" si="6"/>
        <v>180679.33156299999</v>
      </c>
      <c r="G72" s="935">
        <f t="shared" ref="G72:G100" si="17">TRUNC(IFERROR(K$22/L$22,0),8)</f>
        <v>1.0163853</v>
      </c>
      <c r="H72" s="923">
        <f t="shared" si="7"/>
        <v>183.63980000000001</v>
      </c>
      <c r="I72" s="924">
        <f t="shared" si="8"/>
        <v>345589.28478055808</v>
      </c>
      <c r="J72" s="925"/>
      <c r="K72" s="926"/>
      <c r="L72" s="926"/>
      <c r="M72" s="984"/>
      <c r="N72" s="2040">
        <v>13634.526026285201</v>
      </c>
      <c r="O72" s="2047">
        <v>71976.101563000004</v>
      </c>
      <c r="P72" s="2047">
        <v>108703.23</v>
      </c>
      <c r="Q72" s="2094">
        <v>0</v>
      </c>
      <c r="R72" s="2046"/>
      <c r="S72" s="2045">
        <f t="shared" si="9"/>
        <v>13634.526026285201</v>
      </c>
      <c r="T72" s="2047">
        <v>71976.100000000006</v>
      </c>
      <c r="U72" s="2045">
        <f t="shared" si="10"/>
        <v>1.5629999979864806E-3</v>
      </c>
      <c r="V72" s="2050">
        <v>71046.775999999998</v>
      </c>
      <c r="W72" s="2050">
        <v>37656.449999999997</v>
      </c>
      <c r="X72" s="2042">
        <f t="shared" si="11"/>
        <v>4.0000000008149073E-3</v>
      </c>
      <c r="Y72" s="2049">
        <v>0</v>
      </c>
      <c r="Z72" s="2051">
        <f t="shared" si="12"/>
        <v>0</v>
      </c>
      <c r="AA72" s="929"/>
      <c r="AB72" s="930"/>
      <c r="AC72" s="931">
        <f t="shared" ref="AC72:AC100" si="18">AA72+AB72-AD72</f>
        <v>0</v>
      </c>
      <c r="AD72" s="931">
        <f t="shared" si="13"/>
        <v>0</v>
      </c>
      <c r="AE72" s="931">
        <f t="shared" ref="AE72:AE100" si="19">(X72+Y72+Z72)*1.055056</f>
        <v>4.220224000859773E-3</v>
      </c>
      <c r="AF72" s="931">
        <f t="shared" ref="AF72:AF100" si="20">AD72-AE72</f>
        <v>-4.220224000859773E-3</v>
      </c>
      <c r="AG72" s="932" t="e">
        <f>AG71+AF72</f>
        <v>#REF!</v>
      </c>
      <c r="AH72" s="931"/>
      <c r="AI72" s="931"/>
      <c r="AJ72" s="931"/>
      <c r="AK72" s="932"/>
    </row>
    <row r="73" spans="2:37" x14ac:dyDescent="0.2">
      <c r="C73" s="933">
        <f t="shared" si="14"/>
        <v>43437</v>
      </c>
      <c r="D73" s="919">
        <f t="shared" si="15"/>
        <v>150304.21677419354</v>
      </c>
      <c r="E73" s="920">
        <f t="shared" si="16"/>
        <v>14421.080258064516</v>
      </c>
      <c r="F73" s="934">
        <f t="shared" si="6"/>
        <v>180403.064063</v>
      </c>
      <c r="G73" s="935">
        <f t="shared" si="17"/>
        <v>1.0163853</v>
      </c>
      <c r="H73" s="923">
        <f t="shared" si="7"/>
        <v>183.35900000000001</v>
      </c>
      <c r="I73" s="924">
        <f t="shared" si="8"/>
        <v>345312.73648055806</v>
      </c>
      <c r="J73" s="925"/>
      <c r="K73" s="926"/>
      <c r="L73" s="926"/>
      <c r="M73" s="984"/>
      <c r="N73" s="2040">
        <v>19846.869433677301</v>
      </c>
      <c r="O73" s="2041">
        <v>71824.914063000004</v>
      </c>
      <c r="P73" s="2041">
        <v>108578.15</v>
      </c>
      <c r="Q73" s="2094">
        <v>0</v>
      </c>
      <c r="R73" s="2040"/>
      <c r="S73" s="2045">
        <f t="shared" si="9"/>
        <v>19846.869433677301</v>
      </c>
      <c r="T73" s="2041">
        <v>71824.91</v>
      </c>
      <c r="U73" s="2045">
        <f t="shared" si="10"/>
        <v>4.063000000314787E-3</v>
      </c>
      <c r="V73" s="2050">
        <v>71055.213000000003</v>
      </c>
      <c r="W73" s="2050">
        <v>37522.955999999998</v>
      </c>
      <c r="X73" s="2042">
        <f t="shared" si="11"/>
        <v>-1.9000000000232831E-2</v>
      </c>
      <c r="Y73" s="2049">
        <v>0</v>
      </c>
      <c r="Z73" s="2051">
        <f t="shared" si="12"/>
        <v>0</v>
      </c>
      <c r="AA73" s="929"/>
      <c r="AB73" s="930"/>
      <c r="AC73" s="931">
        <f t="shared" si="18"/>
        <v>0</v>
      </c>
      <c r="AD73" s="931">
        <f t="shared" si="13"/>
        <v>0</v>
      </c>
      <c r="AE73" s="931">
        <f t="shared" si="19"/>
        <v>-2.004606400024565E-2</v>
      </c>
      <c r="AF73" s="931">
        <f t="shared" si="20"/>
        <v>2.004606400024565E-2</v>
      </c>
      <c r="AG73" s="932" t="e">
        <f t="shared" ref="AG73:AG100" si="21">AG72+AF73</f>
        <v>#REF!</v>
      </c>
      <c r="AH73" s="931"/>
      <c r="AI73" s="931"/>
      <c r="AJ73" s="931"/>
      <c r="AK73" s="932"/>
    </row>
    <row r="74" spans="2:37" x14ac:dyDescent="0.2">
      <c r="C74" s="933">
        <f t="shared" si="14"/>
        <v>43438</v>
      </c>
      <c r="D74" s="919">
        <f t="shared" si="15"/>
        <v>150304.21677419354</v>
      </c>
      <c r="E74" s="920">
        <f t="shared" si="16"/>
        <v>14421.080258064516</v>
      </c>
      <c r="F74" s="934">
        <f t="shared" si="6"/>
        <v>180203.68281299999</v>
      </c>
      <c r="G74" s="935">
        <f t="shared" si="17"/>
        <v>1.0163853</v>
      </c>
      <c r="H74" s="923">
        <f t="shared" si="7"/>
        <v>183.15639999999999</v>
      </c>
      <c r="I74" s="924">
        <f t="shared" si="8"/>
        <v>345113.15263055806</v>
      </c>
      <c r="J74" s="925"/>
      <c r="K74" s="926"/>
      <c r="L74" s="926"/>
      <c r="M74" s="984"/>
      <c r="N74" s="2040">
        <v>23285.6506328619</v>
      </c>
      <c r="O74" s="2047">
        <v>71598.382813000004</v>
      </c>
      <c r="P74" s="2047">
        <v>108605.3</v>
      </c>
      <c r="Q74" s="2094">
        <v>0</v>
      </c>
      <c r="R74" s="2046"/>
      <c r="S74" s="2045">
        <f t="shared" si="9"/>
        <v>23285.6506328619</v>
      </c>
      <c r="T74" s="2047">
        <v>71598.383000000002</v>
      </c>
      <c r="U74" s="2045">
        <f t="shared" si="10"/>
        <v>-1.8699999782256782E-4</v>
      </c>
      <c r="V74" s="2050">
        <v>71051.375</v>
      </c>
      <c r="W74" s="2050">
        <v>37553.93</v>
      </c>
      <c r="X74" s="2042">
        <f t="shared" si="11"/>
        <v>-4.9999999901046976E-3</v>
      </c>
      <c r="Y74" s="2049">
        <v>0</v>
      </c>
      <c r="Z74" s="2051">
        <f t="shared" si="12"/>
        <v>0</v>
      </c>
      <c r="AA74" s="929"/>
      <c r="AB74" s="930"/>
      <c r="AC74" s="931">
        <f t="shared" si="18"/>
        <v>0</v>
      </c>
      <c r="AD74" s="931">
        <f t="shared" si="13"/>
        <v>0</v>
      </c>
      <c r="AE74" s="931">
        <f t="shared" si="19"/>
        <v>-5.2752799895599018E-3</v>
      </c>
      <c r="AF74" s="931">
        <f t="shared" si="20"/>
        <v>5.2752799895599018E-3</v>
      </c>
      <c r="AG74" s="932" t="e">
        <f t="shared" si="21"/>
        <v>#REF!</v>
      </c>
      <c r="AH74" s="931"/>
      <c r="AI74" s="931"/>
      <c r="AJ74" s="931"/>
      <c r="AK74" s="932"/>
    </row>
    <row r="75" spans="2:37" x14ac:dyDescent="0.2">
      <c r="C75" s="933">
        <f t="shared" si="14"/>
        <v>43439</v>
      </c>
      <c r="D75" s="919">
        <f t="shared" si="15"/>
        <v>150304.21677419354</v>
      </c>
      <c r="E75" s="920">
        <f t="shared" si="16"/>
        <v>14421.080258064516</v>
      </c>
      <c r="F75" s="934">
        <f t="shared" si="6"/>
        <v>180126.47468799999</v>
      </c>
      <c r="G75" s="935">
        <f t="shared" si="17"/>
        <v>1.0163853</v>
      </c>
      <c r="H75" s="923">
        <f t="shared" si="7"/>
        <v>183.0779</v>
      </c>
      <c r="I75" s="924">
        <f t="shared" si="8"/>
        <v>345035.86600555805</v>
      </c>
      <c r="J75" s="925"/>
      <c r="K75" s="926"/>
      <c r="L75" s="926"/>
      <c r="M75" s="984"/>
      <c r="N75" s="2040">
        <v>23417.024618062402</v>
      </c>
      <c r="O75" s="2041">
        <v>71807.054688000004</v>
      </c>
      <c r="P75" s="2041">
        <v>108319.42</v>
      </c>
      <c r="Q75" s="2094">
        <v>0</v>
      </c>
      <c r="R75" s="2040"/>
      <c r="S75" s="2045">
        <f t="shared" si="9"/>
        <v>23417.024618062402</v>
      </c>
      <c r="T75" s="2041">
        <v>71807.054000000004</v>
      </c>
      <c r="U75" s="2045">
        <f t="shared" si="10"/>
        <v>6.8800000008195639E-4</v>
      </c>
      <c r="V75" s="2050">
        <v>70845.710999999996</v>
      </c>
      <c r="W75" s="2050">
        <v>37473.72</v>
      </c>
      <c r="X75" s="2042">
        <f t="shared" si="11"/>
        <v>-1.0999999998603016E-2</v>
      </c>
      <c r="Y75" s="2049">
        <v>0</v>
      </c>
      <c r="Z75" s="2051">
        <f t="shared" si="12"/>
        <v>0</v>
      </c>
      <c r="AA75" s="929"/>
      <c r="AB75" s="930"/>
      <c r="AC75" s="931">
        <f t="shared" si="18"/>
        <v>0</v>
      </c>
      <c r="AD75" s="931">
        <f t="shared" si="13"/>
        <v>0</v>
      </c>
      <c r="AE75" s="931">
        <f t="shared" si="19"/>
        <v>-1.1605615998526103E-2</v>
      </c>
      <c r="AF75" s="931">
        <f t="shared" si="20"/>
        <v>1.1605615998526103E-2</v>
      </c>
      <c r="AG75" s="932" t="e">
        <f t="shared" si="21"/>
        <v>#REF!</v>
      </c>
      <c r="AH75" s="931"/>
      <c r="AI75" s="931"/>
      <c r="AJ75" s="931"/>
      <c r="AK75" s="932"/>
    </row>
    <row r="76" spans="2:37" x14ac:dyDescent="0.2">
      <c r="C76" s="933">
        <f t="shared" si="14"/>
        <v>43440</v>
      </c>
      <c r="D76" s="919">
        <f t="shared" si="15"/>
        <v>150304.21677419354</v>
      </c>
      <c r="E76" s="920">
        <f t="shared" si="16"/>
        <v>14421.080258064516</v>
      </c>
      <c r="F76" s="934">
        <f t="shared" si="6"/>
        <v>179816.509063</v>
      </c>
      <c r="G76" s="935">
        <f t="shared" si="17"/>
        <v>1.0163853</v>
      </c>
      <c r="H76" s="923">
        <f t="shared" si="7"/>
        <v>182.7629</v>
      </c>
      <c r="I76" s="924">
        <f t="shared" si="8"/>
        <v>344725.5853805581</v>
      </c>
      <c r="J76" s="925"/>
      <c r="K76" s="926"/>
      <c r="L76" s="926"/>
      <c r="M76" s="984"/>
      <c r="N76" s="2040">
        <v>23442.815190428297</v>
      </c>
      <c r="O76" s="2047">
        <v>71494.789063000004</v>
      </c>
      <c r="P76" s="2047">
        <v>108321.72</v>
      </c>
      <c r="Q76" s="2094">
        <v>0</v>
      </c>
      <c r="R76" s="2046"/>
      <c r="S76" s="2045">
        <f t="shared" si="9"/>
        <v>23442.815190428297</v>
      </c>
      <c r="T76" s="2047">
        <v>71494.789000000004</v>
      </c>
      <c r="U76" s="2045">
        <f t="shared" si="10"/>
        <v>6.2999999499879777E-5</v>
      </c>
      <c r="V76" s="2050">
        <v>70834.313999999998</v>
      </c>
      <c r="W76" s="2050">
        <v>37487.398999999998</v>
      </c>
      <c r="X76" s="2042">
        <f t="shared" si="11"/>
        <v>7.0000000123400241E-3</v>
      </c>
      <c r="Y76" s="2049">
        <v>0</v>
      </c>
      <c r="Z76" s="2051">
        <f t="shared" si="12"/>
        <v>0</v>
      </c>
      <c r="AA76" s="929"/>
      <c r="AB76" s="930"/>
      <c r="AC76" s="931">
        <f t="shared" si="18"/>
        <v>0</v>
      </c>
      <c r="AD76" s="931">
        <f t="shared" si="13"/>
        <v>0</v>
      </c>
      <c r="AE76" s="931">
        <f t="shared" si="19"/>
        <v>7.3853920130194164E-3</v>
      </c>
      <c r="AF76" s="931">
        <f t="shared" si="20"/>
        <v>-7.3853920130194164E-3</v>
      </c>
      <c r="AG76" s="932" t="e">
        <f t="shared" si="21"/>
        <v>#REF!</v>
      </c>
      <c r="AH76" s="931"/>
      <c r="AI76" s="931"/>
      <c r="AJ76" s="931"/>
      <c r="AK76" s="932"/>
    </row>
    <row r="77" spans="2:37" x14ac:dyDescent="0.2">
      <c r="C77" s="933">
        <f t="shared" si="14"/>
        <v>43441</v>
      </c>
      <c r="D77" s="919">
        <f t="shared" si="15"/>
        <v>150304.21677419354</v>
      </c>
      <c r="E77" s="920">
        <f t="shared" si="16"/>
        <v>14421.080258064516</v>
      </c>
      <c r="F77" s="934">
        <f t="shared" si="6"/>
        <v>180994.55562499998</v>
      </c>
      <c r="G77" s="935">
        <f t="shared" si="17"/>
        <v>1.0163853</v>
      </c>
      <c r="H77" s="923">
        <f t="shared" si="7"/>
        <v>183.96019999999999</v>
      </c>
      <c r="I77" s="924">
        <f t="shared" si="8"/>
        <v>345904.82924255804</v>
      </c>
      <c r="J77" s="925"/>
      <c r="K77" s="926"/>
      <c r="L77" s="926"/>
      <c r="M77" s="984"/>
      <c r="N77" s="2040">
        <v>23423.460199968296</v>
      </c>
      <c r="O77" s="2041">
        <v>72488.015625</v>
      </c>
      <c r="P77" s="2041">
        <v>108506.54</v>
      </c>
      <c r="Q77" s="2094">
        <v>0</v>
      </c>
      <c r="R77" s="2040"/>
      <c r="S77" s="2045">
        <f t="shared" si="9"/>
        <v>23423.460199968296</v>
      </c>
      <c r="T77" s="2041">
        <v>72488.016000000003</v>
      </c>
      <c r="U77" s="2045">
        <f t="shared" si="10"/>
        <v>-3.7500000325962901E-4</v>
      </c>
      <c r="V77" s="2050">
        <v>71019.456999999995</v>
      </c>
      <c r="W77" s="2050">
        <v>37487.11</v>
      </c>
      <c r="X77" s="2042">
        <f t="shared" si="11"/>
        <v>-2.7000000001862645E-2</v>
      </c>
      <c r="Y77" s="2049">
        <v>0</v>
      </c>
      <c r="Z77" s="2051">
        <f t="shared" si="12"/>
        <v>0</v>
      </c>
      <c r="AA77" s="929"/>
      <c r="AB77" s="930"/>
      <c r="AC77" s="931">
        <f t="shared" si="18"/>
        <v>0</v>
      </c>
      <c r="AD77" s="931">
        <f t="shared" si="13"/>
        <v>0</v>
      </c>
      <c r="AE77" s="931">
        <f t="shared" si="19"/>
        <v>-2.8486512001965194E-2</v>
      </c>
      <c r="AF77" s="931">
        <f t="shared" si="20"/>
        <v>2.8486512001965194E-2</v>
      </c>
      <c r="AG77" s="932" t="e">
        <f t="shared" si="21"/>
        <v>#REF!</v>
      </c>
      <c r="AH77" s="931"/>
      <c r="AI77" s="931"/>
      <c r="AJ77" s="931"/>
      <c r="AK77" s="932"/>
    </row>
    <row r="78" spans="2:37" x14ac:dyDescent="0.2">
      <c r="C78" s="933">
        <f t="shared" si="14"/>
        <v>43442</v>
      </c>
      <c r="D78" s="919">
        <f t="shared" si="15"/>
        <v>150304.21677419354</v>
      </c>
      <c r="E78" s="920">
        <f t="shared" si="16"/>
        <v>14421.080258064516</v>
      </c>
      <c r="F78" s="934">
        <f t="shared" si="6"/>
        <v>180615.52781300002</v>
      </c>
      <c r="G78" s="935">
        <f t="shared" si="17"/>
        <v>1.0163853</v>
      </c>
      <c r="H78" s="923">
        <f t="shared" si="7"/>
        <v>183.57499999999999</v>
      </c>
      <c r="I78" s="924">
        <f t="shared" si="8"/>
        <v>345525.41623055813</v>
      </c>
      <c r="J78" s="925"/>
      <c r="K78" s="926"/>
      <c r="L78" s="926"/>
      <c r="M78" s="984"/>
      <c r="N78" s="2040">
        <v>22953.628428183998</v>
      </c>
      <c r="O78" s="2047">
        <v>72073.257813000004</v>
      </c>
      <c r="P78" s="2047">
        <v>108542.27</v>
      </c>
      <c r="Q78" s="2094">
        <v>0</v>
      </c>
      <c r="R78" s="2046"/>
      <c r="S78" s="2045">
        <f t="shared" si="9"/>
        <v>22953.628428183998</v>
      </c>
      <c r="T78" s="2047">
        <v>72073.258000000002</v>
      </c>
      <c r="U78" s="2045">
        <f t="shared" si="10"/>
        <v>-1.8699999782256782E-4</v>
      </c>
      <c r="V78" s="2050">
        <v>71028.865999999995</v>
      </c>
      <c r="W78" s="2050">
        <v>37513.4</v>
      </c>
      <c r="X78" s="2042">
        <f t="shared" si="11"/>
        <v>4.0000000008149073E-3</v>
      </c>
      <c r="Y78" s="2049">
        <v>0</v>
      </c>
      <c r="Z78" s="2051">
        <f t="shared" si="12"/>
        <v>0</v>
      </c>
      <c r="AA78" s="929"/>
      <c r="AB78" s="930"/>
      <c r="AC78" s="931">
        <f t="shared" si="18"/>
        <v>0</v>
      </c>
      <c r="AD78" s="931">
        <f t="shared" si="13"/>
        <v>0</v>
      </c>
      <c r="AE78" s="931">
        <f t="shared" si="19"/>
        <v>4.220224000859773E-3</v>
      </c>
      <c r="AF78" s="931">
        <f t="shared" si="20"/>
        <v>-4.220224000859773E-3</v>
      </c>
      <c r="AG78" s="932" t="e">
        <f t="shared" si="21"/>
        <v>#REF!</v>
      </c>
      <c r="AH78" s="931"/>
      <c r="AI78" s="931"/>
      <c r="AJ78" s="931"/>
      <c r="AK78" s="932"/>
    </row>
    <row r="79" spans="2:37" x14ac:dyDescent="0.2">
      <c r="C79" s="933">
        <f t="shared" si="14"/>
        <v>43443</v>
      </c>
      <c r="D79" s="919">
        <f t="shared" si="15"/>
        <v>150304.21677419354</v>
      </c>
      <c r="E79" s="920">
        <f t="shared" si="16"/>
        <v>14421.080258064516</v>
      </c>
      <c r="F79" s="934">
        <f t="shared" si="6"/>
        <v>181424.99031299999</v>
      </c>
      <c r="G79" s="935">
        <f t="shared" si="17"/>
        <v>1.0163853</v>
      </c>
      <c r="H79" s="923">
        <f t="shared" si="7"/>
        <v>184.39769999999999</v>
      </c>
      <c r="I79" s="924">
        <f t="shared" si="8"/>
        <v>346335.70143055805</v>
      </c>
      <c r="J79" s="925"/>
      <c r="K79" s="926"/>
      <c r="L79" s="926"/>
      <c r="M79" s="984"/>
      <c r="N79" s="2040">
        <v>12658.4002211401</v>
      </c>
      <c r="O79" s="2041">
        <v>71918.320313000004</v>
      </c>
      <c r="P79" s="2041">
        <v>109506.67</v>
      </c>
      <c r="Q79" s="2094">
        <v>0</v>
      </c>
      <c r="R79" s="2040"/>
      <c r="S79" s="2045">
        <f t="shared" si="9"/>
        <v>12658.4002211401</v>
      </c>
      <c r="T79" s="2041">
        <v>71918.3</v>
      </c>
      <c r="U79" s="2045">
        <f t="shared" si="10"/>
        <v>2.0313000000896864E-2</v>
      </c>
      <c r="V79" s="2050">
        <v>72239.739000000001</v>
      </c>
      <c r="W79" s="2050">
        <v>37266.925000000003</v>
      </c>
      <c r="X79" s="2042">
        <f t="shared" si="11"/>
        <v>5.9999999939464033E-3</v>
      </c>
      <c r="Y79" s="2049">
        <v>0</v>
      </c>
      <c r="Z79" s="2051">
        <f t="shared" si="12"/>
        <v>0</v>
      </c>
      <c r="AA79" s="929"/>
      <c r="AB79" s="930"/>
      <c r="AC79" s="931">
        <f t="shared" si="18"/>
        <v>0</v>
      </c>
      <c r="AD79" s="931">
        <f t="shared" si="13"/>
        <v>0</v>
      </c>
      <c r="AE79" s="931">
        <f t="shared" si="19"/>
        <v>6.3303359936131166E-3</v>
      </c>
      <c r="AF79" s="931">
        <f t="shared" si="20"/>
        <v>-6.3303359936131166E-3</v>
      </c>
      <c r="AG79" s="932" t="e">
        <f t="shared" si="21"/>
        <v>#REF!</v>
      </c>
      <c r="AH79" s="931"/>
      <c r="AI79" s="931"/>
      <c r="AJ79" s="931"/>
      <c r="AK79" s="932"/>
    </row>
    <row r="80" spans="2:37" x14ac:dyDescent="0.2">
      <c r="C80" s="933">
        <f t="shared" si="14"/>
        <v>43444</v>
      </c>
      <c r="D80" s="919">
        <f t="shared" si="15"/>
        <v>150304.21677419354</v>
      </c>
      <c r="E80" s="920">
        <f t="shared" si="16"/>
        <v>14421.080258064516</v>
      </c>
      <c r="F80" s="934">
        <f t="shared" si="6"/>
        <v>187126.17499999999</v>
      </c>
      <c r="G80" s="935">
        <f t="shared" si="17"/>
        <v>1.0163853</v>
      </c>
      <c r="H80" s="923">
        <f t="shared" si="7"/>
        <v>190.19229999999999</v>
      </c>
      <c r="I80" s="924">
        <f t="shared" si="8"/>
        <v>352042.68071755808</v>
      </c>
      <c r="J80" s="925"/>
      <c r="K80" s="926"/>
      <c r="L80" s="926"/>
      <c r="M80" s="984"/>
      <c r="N80" s="2040">
        <v>18174.629972937601</v>
      </c>
      <c r="O80" s="2047">
        <v>71859.875</v>
      </c>
      <c r="P80" s="2047">
        <v>115266.3</v>
      </c>
      <c r="Q80" s="2094">
        <v>0</v>
      </c>
      <c r="R80" s="2046"/>
      <c r="S80" s="2045">
        <f t="shared" si="9"/>
        <v>18174.629972937601</v>
      </c>
      <c r="T80" s="2047">
        <v>71859.899999999994</v>
      </c>
      <c r="U80" s="2045">
        <f t="shared" si="10"/>
        <v>-2.4999999994179234E-2</v>
      </c>
      <c r="V80" s="2050">
        <v>78013.578999999998</v>
      </c>
      <c r="W80" s="2050">
        <v>37252.741999999998</v>
      </c>
      <c r="X80" s="2042">
        <f t="shared" si="11"/>
        <v>-2.0999999993364327E-2</v>
      </c>
      <c r="Y80" s="2049">
        <v>0</v>
      </c>
      <c r="Z80" s="2051">
        <f t="shared" si="12"/>
        <v>0</v>
      </c>
      <c r="AA80" s="929"/>
      <c r="AB80" s="930"/>
      <c r="AC80" s="931">
        <f t="shared" si="18"/>
        <v>0</v>
      </c>
      <c r="AD80" s="931">
        <f t="shared" si="13"/>
        <v>0</v>
      </c>
      <c r="AE80" s="931">
        <f t="shared" si="19"/>
        <v>-2.2156175992998992E-2</v>
      </c>
      <c r="AF80" s="931">
        <f t="shared" si="20"/>
        <v>2.2156175992998992E-2</v>
      </c>
      <c r="AG80" s="932" t="e">
        <f t="shared" si="21"/>
        <v>#REF!</v>
      </c>
      <c r="AH80" s="931"/>
      <c r="AI80" s="931"/>
      <c r="AJ80" s="931"/>
      <c r="AK80" s="932"/>
    </row>
    <row r="81" spans="3:37" x14ac:dyDescent="0.2">
      <c r="C81" s="933">
        <f t="shared" si="14"/>
        <v>43445</v>
      </c>
      <c r="D81" s="919">
        <f t="shared" si="15"/>
        <v>150304.21677419354</v>
      </c>
      <c r="E81" s="920">
        <f t="shared" si="16"/>
        <v>14421.080258064516</v>
      </c>
      <c r="F81" s="934">
        <f t="shared" si="6"/>
        <v>183997.328438</v>
      </c>
      <c r="G81" s="935">
        <f t="shared" si="17"/>
        <v>1.0163853</v>
      </c>
      <c r="H81" s="923">
        <f t="shared" si="7"/>
        <v>187.01220000000001</v>
      </c>
      <c r="I81" s="924">
        <f t="shared" si="8"/>
        <v>348910.65405555809</v>
      </c>
      <c r="J81" s="925"/>
      <c r="K81" s="926"/>
      <c r="L81" s="926"/>
      <c r="M81" s="984"/>
      <c r="N81" s="2040">
        <v>19704.972992584</v>
      </c>
      <c r="O81" s="2041">
        <v>71640.648438000004</v>
      </c>
      <c r="P81" s="2041">
        <v>112356.68</v>
      </c>
      <c r="Q81" s="2094">
        <v>0</v>
      </c>
      <c r="R81" s="2040"/>
      <c r="S81" s="2045">
        <f t="shared" si="9"/>
        <v>19704.972992584</v>
      </c>
      <c r="T81" s="2041">
        <v>71640.648000000001</v>
      </c>
      <c r="U81" s="2045">
        <f t="shared" si="10"/>
        <v>4.3800000275950879E-4</v>
      </c>
      <c r="V81" s="2050">
        <v>74861.983999999997</v>
      </c>
      <c r="W81" s="2050">
        <v>37494.686000000002</v>
      </c>
      <c r="X81" s="2042">
        <f t="shared" si="11"/>
        <v>9.9999999947613105E-3</v>
      </c>
      <c r="Y81" s="2049">
        <v>0</v>
      </c>
      <c r="Z81" s="2051">
        <f t="shared" si="12"/>
        <v>0</v>
      </c>
      <c r="AA81" s="929"/>
      <c r="AB81" s="930"/>
      <c r="AC81" s="931">
        <f t="shared" si="18"/>
        <v>0</v>
      </c>
      <c r="AD81" s="931">
        <f t="shared" si="13"/>
        <v>0</v>
      </c>
      <c r="AE81" s="931">
        <f t="shared" si="19"/>
        <v>1.0550559994472889E-2</v>
      </c>
      <c r="AF81" s="931">
        <f t="shared" si="20"/>
        <v>-1.0550559994472889E-2</v>
      </c>
      <c r="AG81" s="932" t="e">
        <f t="shared" si="21"/>
        <v>#REF!</v>
      </c>
      <c r="AH81" s="931"/>
      <c r="AI81" s="931"/>
      <c r="AJ81" s="931"/>
      <c r="AK81" s="932"/>
    </row>
    <row r="82" spans="3:37" x14ac:dyDescent="0.2">
      <c r="C82" s="933">
        <f t="shared" si="14"/>
        <v>43446</v>
      </c>
      <c r="D82" s="919">
        <f t="shared" si="15"/>
        <v>150304.21677419354</v>
      </c>
      <c r="E82" s="920">
        <f t="shared" si="16"/>
        <v>14421.080258064516</v>
      </c>
      <c r="F82" s="934">
        <f t="shared" si="6"/>
        <v>185338.979375</v>
      </c>
      <c r="G82" s="935">
        <f t="shared" si="17"/>
        <v>1.0163853</v>
      </c>
      <c r="H82" s="923">
        <f t="shared" si="7"/>
        <v>188.3758</v>
      </c>
      <c r="I82" s="924">
        <f t="shared" si="8"/>
        <v>350253.66859255807</v>
      </c>
      <c r="J82" s="925"/>
      <c r="K82" s="926"/>
      <c r="L82" s="926"/>
      <c r="M82" s="984"/>
      <c r="N82" s="2040">
        <v>17747.521580062799</v>
      </c>
      <c r="O82" s="2047">
        <v>72011.359375</v>
      </c>
      <c r="P82" s="2047">
        <v>113327.62</v>
      </c>
      <c r="Q82" s="2094">
        <v>0</v>
      </c>
      <c r="R82" s="2046"/>
      <c r="S82" s="2045">
        <f t="shared" si="9"/>
        <v>17747.521580062799</v>
      </c>
      <c r="T82" s="2047">
        <v>72011.360000000001</v>
      </c>
      <c r="U82" s="2045">
        <f t="shared" si="10"/>
        <v>-6.2500000058207661E-4</v>
      </c>
      <c r="V82" s="2050">
        <v>75954.286999999997</v>
      </c>
      <c r="W82" s="2050">
        <v>38136.476000000002</v>
      </c>
      <c r="X82" s="2042">
        <f t="shared" si="11"/>
        <v>-763.14300000001094</v>
      </c>
      <c r="Y82" s="2049">
        <v>0</v>
      </c>
      <c r="Z82" s="2051">
        <f t="shared" si="12"/>
        <v>0</v>
      </c>
      <c r="AA82" s="929"/>
      <c r="AB82" s="930"/>
      <c r="AC82" s="931">
        <f t="shared" si="18"/>
        <v>0</v>
      </c>
      <c r="AD82" s="931">
        <f t="shared" si="13"/>
        <v>0</v>
      </c>
      <c r="AE82" s="931">
        <f t="shared" si="19"/>
        <v>-805.15860100801149</v>
      </c>
      <c r="AF82" s="931">
        <f t="shared" si="20"/>
        <v>805.15860100801149</v>
      </c>
      <c r="AG82" s="932" t="e">
        <f t="shared" si="21"/>
        <v>#REF!</v>
      </c>
      <c r="AH82" s="931"/>
      <c r="AI82" s="931"/>
      <c r="AJ82" s="931"/>
      <c r="AK82" s="932"/>
    </row>
    <row r="83" spans="3:37" x14ac:dyDescent="0.2">
      <c r="C83" s="933">
        <f t="shared" si="14"/>
        <v>43447</v>
      </c>
      <c r="D83" s="919">
        <f t="shared" si="15"/>
        <v>150304.21677419354</v>
      </c>
      <c r="E83" s="920">
        <f t="shared" si="16"/>
        <v>14421.080258064516</v>
      </c>
      <c r="F83" s="934">
        <f t="shared" si="6"/>
        <v>184919.74</v>
      </c>
      <c r="G83" s="935">
        <f t="shared" si="17"/>
        <v>1.0163853</v>
      </c>
      <c r="H83" s="923">
        <f t="shared" si="7"/>
        <v>187.94970000000001</v>
      </c>
      <c r="I83" s="924">
        <f t="shared" si="8"/>
        <v>349834.00311755808</v>
      </c>
      <c r="J83" s="925"/>
      <c r="K83" s="926"/>
      <c r="L83" s="926"/>
      <c r="M83" s="984"/>
      <c r="N83" s="2040">
        <v>22258.020224000004</v>
      </c>
      <c r="O83" s="2041">
        <v>73087.75</v>
      </c>
      <c r="P83" s="2041">
        <v>111831.99</v>
      </c>
      <c r="Q83" s="2094">
        <v>0</v>
      </c>
      <c r="R83" s="2040"/>
      <c r="S83" s="2045">
        <f t="shared" si="9"/>
        <v>22258.020224000004</v>
      </c>
      <c r="T83" s="2041">
        <v>73087.75</v>
      </c>
      <c r="U83" s="2045">
        <f t="shared" si="10"/>
        <v>0</v>
      </c>
      <c r="V83" s="2050">
        <v>70861.504000000001</v>
      </c>
      <c r="W83" s="2050">
        <v>40970.497000000003</v>
      </c>
      <c r="X83" s="2042">
        <f t="shared" si="11"/>
        <v>-1.0999999998603016E-2</v>
      </c>
      <c r="Y83" s="2049">
        <v>0</v>
      </c>
      <c r="Z83" s="2051">
        <f t="shared" si="12"/>
        <v>0</v>
      </c>
      <c r="AA83" s="929"/>
      <c r="AB83" s="930"/>
      <c r="AC83" s="931">
        <f t="shared" si="18"/>
        <v>0</v>
      </c>
      <c r="AD83" s="931">
        <f t="shared" si="13"/>
        <v>0</v>
      </c>
      <c r="AE83" s="931">
        <f t="shared" si="19"/>
        <v>-1.1605615998526103E-2</v>
      </c>
      <c r="AF83" s="931">
        <f t="shared" si="20"/>
        <v>1.1605615998526103E-2</v>
      </c>
      <c r="AG83" s="932" t="e">
        <f t="shared" si="21"/>
        <v>#REF!</v>
      </c>
      <c r="AH83" s="931"/>
      <c r="AI83" s="931"/>
      <c r="AJ83" s="931"/>
      <c r="AK83" s="932"/>
    </row>
    <row r="84" spans="3:37" x14ac:dyDescent="0.2">
      <c r="C84" s="933">
        <f t="shared" si="14"/>
        <v>43448</v>
      </c>
      <c r="D84" s="919">
        <f t="shared" si="15"/>
        <v>150304.21677419354</v>
      </c>
      <c r="E84" s="920">
        <f t="shared" si="16"/>
        <v>14421.080258064516</v>
      </c>
      <c r="F84" s="934">
        <f t="shared" si="6"/>
        <v>185394.0275</v>
      </c>
      <c r="G84" s="935">
        <f t="shared" si="17"/>
        <v>1.0163853</v>
      </c>
      <c r="H84" s="923">
        <f t="shared" si="7"/>
        <v>188.43180000000001</v>
      </c>
      <c r="I84" s="924">
        <f t="shared" si="8"/>
        <v>350308.77271755814</v>
      </c>
      <c r="J84" s="925"/>
      <c r="K84" s="926"/>
      <c r="L84" s="926"/>
      <c r="M84" s="984"/>
      <c r="N84" s="2040">
        <v>23389.32149712</v>
      </c>
      <c r="O84" s="2047">
        <v>73107.1875</v>
      </c>
      <c r="P84" s="2047">
        <v>112286.84</v>
      </c>
      <c r="Q84" s="2094">
        <v>0</v>
      </c>
      <c r="R84" s="2046"/>
      <c r="S84" s="2045">
        <f t="shared" si="9"/>
        <v>23389.32149712</v>
      </c>
      <c r="T84" s="2047">
        <v>73107.187999999995</v>
      </c>
      <c r="U84" s="2045">
        <f t="shared" si="10"/>
        <v>-4.999999946448952E-4</v>
      </c>
      <c r="V84" s="2050">
        <v>74488.214000000007</v>
      </c>
      <c r="W84" s="2050">
        <v>38580.525999999998</v>
      </c>
      <c r="X84" s="2042">
        <f t="shared" si="11"/>
        <v>-781.90000000000873</v>
      </c>
      <c r="Y84" s="2049">
        <v>0</v>
      </c>
      <c r="Z84" s="2051">
        <f t="shared" si="12"/>
        <v>0</v>
      </c>
      <c r="AA84" s="929"/>
      <c r="AB84" s="930"/>
      <c r="AC84" s="931">
        <f t="shared" si="18"/>
        <v>0</v>
      </c>
      <c r="AD84" s="931">
        <f t="shared" si="13"/>
        <v>0</v>
      </c>
      <c r="AE84" s="931">
        <f t="shared" si="19"/>
        <v>-824.94828640000924</v>
      </c>
      <c r="AF84" s="931">
        <f t="shared" si="20"/>
        <v>824.94828640000924</v>
      </c>
      <c r="AG84" s="932" t="e">
        <f t="shared" si="21"/>
        <v>#REF!</v>
      </c>
      <c r="AH84" s="931"/>
      <c r="AI84" s="931"/>
      <c r="AJ84" s="931"/>
      <c r="AK84" s="932"/>
    </row>
    <row r="85" spans="3:37" x14ac:dyDescent="0.2">
      <c r="C85" s="933">
        <f t="shared" si="14"/>
        <v>43449</v>
      </c>
      <c r="D85" s="919">
        <f t="shared" si="15"/>
        <v>150304.21677419354</v>
      </c>
      <c r="E85" s="920">
        <f t="shared" si="16"/>
        <v>14421.080258064516</v>
      </c>
      <c r="F85" s="934">
        <f t="shared" si="6"/>
        <v>180681.601563</v>
      </c>
      <c r="G85" s="935">
        <f t="shared" si="17"/>
        <v>1.0163853</v>
      </c>
      <c r="H85" s="923">
        <f t="shared" si="7"/>
        <v>183.6421</v>
      </c>
      <c r="I85" s="924">
        <f t="shared" si="8"/>
        <v>345591.55708055809</v>
      </c>
      <c r="J85" s="925"/>
      <c r="K85" s="926"/>
      <c r="L85" s="926"/>
      <c r="M85" s="984"/>
      <c r="N85" s="2040">
        <v>20283.954416639997</v>
      </c>
      <c r="O85" s="2041">
        <v>72787.601563000004</v>
      </c>
      <c r="P85" s="2041">
        <v>107894</v>
      </c>
      <c r="Q85" s="2094">
        <v>0</v>
      </c>
      <c r="R85" s="2040"/>
      <c r="S85" s="2045">
        <f t="shared" si="9"/>
        <v>20283.954416639997</v>
      </c>
      <c r="T85" s="2041">
        <v>72787.600000000006</v>
      </c>
      <c r="U85" s="2045">
        <f t="shared" si="10"/>
        <v>1.5629999979864806E-3</v>
      </c>
      <c r="V85" s="2050">
        <v>70272.202999999994</v>
      </c>
      <c r="W85" s="2050">
        <v>37621.796999999999</v>
      </c>
      <c r="X85" s="2042">
        <f t="shared" si="11"/>
        <v>0</v>
      </c>
      <c r="Y85" s="2049">
        <v>0</v>
      </c>
      <c r="Z85" s="2051">
        <f t="shared" si="12"/>
        <v>0</v>
      </c>
      <c r="AA85" s="929"/>
      <c r="AB85" s="930"/>
      <c r="AC85" s="931">
        <f t="shared" si="18"/>
        <v>0</v>
      </c>
      <c r="AD85" s="931">
        <f t="shared" si="13"/>
        <v>0</v>
      </c>
      <c r="AE85" s="931">
        <f t="shared" si="19"/>
        <v>0</v>
      </c>
      <c r="AF85" s="931">
        <f t="shared" si="20"/>
        <v>0</v>
      </c>
      <c r="AG85" s="932" t="e">
        <f t="shared" si="21"/>
        <v>#REF!</v>
      </c>
      <c r="AH85" s="931"/>
      <c r="AI85" s="931"/>
      <c r="AJ85" s="931"/>
      <c r="AK85" s="932"/>
    </row>
    <row r="86" spans="3:37" x14ac:dyDescent="0.2">
      <c r="C86" s="933">
        <f t="shared" si="14"/>
        <v>43450</v>
      </c>
      <c r="D86" s="919">
        <f t="shared" si="15"/>
        <v>150304.21677419354</v>
      </c>
      <c r="E86" s="920">
        <f t="shared" si="16"/>
        <v>14421.080258064516</v>
      </c>
      <c r="F86" s="934">
        <f t="shared" si="6"/>
        <v>179293.11281299999</v>
      </c>
      <c r="G86" s="935">
        <f t="shared" si="17"/>
        <v>1.0163853</v>
      </c>
      <c r="H86" s="923">
        <f t="shared" si="7"/>
        <v>182.23089999999999</v>
      </c>
      <c r="I86" s="924">
        <f t="shared" si="8"/>
        <v>344201.6571305581</v>
      </c>
      <c r="J86" s="925"/>
      <c r="K86" s="926"/>
      <c r="L86" s="926"/>
      <c r="M86" s="984"/>
      <c r="N86" s="2040">
        <v>19917.738643487999</v>
      </c>
      <c r="O86" s="2047">
        <v>73597.132813000004</v>
      </c>
      <c r="P86" s="2047">
        <v>105695.98</v>
      </c>
      <c r="Q86" s="2094">
        <v>0</v>
      </c>
      <c r="R86" s="2046"/>
      <c r="S86" s="2045">
        <f t="shared" si="9"/>
        <v>19917.738643487999</v>
      </c>
      <c r="T86" s="2047">
        <v>73597.13</v>
      </c>
      <c r="U86" s="2045">
        <f t="shared" si="10"/>
        <v>2.8129999991506338E-3</v>
      </c>
      <c r="V86" s="2050">
        <v>69111.035999999993</v>
      </c>
      <c r="W86" s="2050">
        <v>36584.923999999999</v>
      </c>
      <c r="X86" s="2042">
        <f t="shared" si="11"/>
        <v>2.0000000004074536E-2</v>
      </c>
      <c r="Y86" s="2049">
        <v>0</v>
      </c>
      <c r="Z86" s="2051">
        <f t="shared" si="12"/>
        <v>0</v>
      </c>
      <c r="AA86" s="929"/>
      <c r="AB86" s="930"/>
      <c r="AC86" s="931">
        <f t="shared" si="18"/>
        <v>0</v>
      </c>
      <c r="AD86" s="931">
        <f t="shared" si="13"/>
        <v>0</v>
      </c>
      <c r="AE86" s="931">
        <f t="shared" si="19"/>
        <v>2.1101120004298864E-2</v>
      </c>
      <c r="AF86" s="931">
        <f t="shared" si="20"/>
        <v>-2.1101120004298864E-2</v>
      </c>
      <c r="AG86" s="932" t="e">
        <f t="shared" si="21"/>
        <v>#REF!</v>
      </c>
      <c r="AH86" s="931"/>
      <c r="AI86" s="931"/>
      <c r="AJ86" s="931"/>
      <c r="AK86" s="932"/>
    </row>
    <row r="87" spans="3:37" x14ac:dyDescent="0.2">
      <c r="C87" s="933">
        <f t="shared" si="14"/>
        <v>43451</v>
      </c>
      <c r="D87" s="919">
        <f t="shared" si="15"/>
        <v>150304.21677419354</v>
      </c>
      <c r="E87" s="920">
        <f t="shared" si="16"/>
        <v>14421.080258064516</v>
      </c>
      <c r="F87" s="934">
        <f t="shared" si="6"/>
        <v>180269.09687499999</v>
      </c>
      <c r="G87" s="935">
        <f t="shared" si="17"/>
        <v>1.0163853</v>
      </c>
      <c r="H87" s="923">
        <f t="shared" si="7"/>
        <v>183.22290000000001</v>
      </c>
      <c r="I87" s="924">
        <f t="shared" si="8"/>
        <v>345178.63319255807</v>
      </c>
      <c r="J87" s="925"/>
      <c r="K87" s="926"/>
      <c r="L87" s="926"/>
      <c r="M87" s="984"/>
      <c r="N87" s="2040">
        <v>11615.899145047</v>
      </c>
      <c r="O87" s="2041">
        <v>72140.796875</v>
      </c>
      <c r="P87" s="2041">
        <v>108128.3</v>
      </c>
      <c r="Q87" s="2094">
        <v>0</v>
      </c>
      <c r="R87" s="2040"/>
      <c r="S87" s="2045">
        <f t="shared" si="9"/>
        <v>11615.899145047</v>
      </c>
      <c r="T87" s="2041">
        <v>72140.800000000003</v>
      </c>
      <c r="U87" s="2045">
        <f t="shared" si="10"/>
        <v>-3.125000002910383E-3</v>
      </c>
      <c r="V87" s="2050">
        <v>71245.400999999998</v>
      </c>
      <c r="W87" s="2050">
        <v>36882.906999999999</v>
      </c>
      <c r="X87" s="2042">
        <f t="shared" si="11"/>
        <v>-7.9999999870778993E-3</v>
      </c>
      <c r="Y87" s="2049">
        <v>0</v>
      </c>
      <c r="Z87" s="2051">
        <f t="shared" si="12"/>
        <v>0</v>
      </c>
      <c r="AA87" s="929"/>
      <c r="AB87" s="930"/>
      <c r="AC87" s="931">
        <f t="shared" si="18"/>
        <v>0</v>
      </c>
      <c r="AD87" s="931">
        <f t="shared" si="13"/>
        <v>0</v>
      </c>
      <c r="AE87" s="931">
        <f t="shared" si="19"/>
        <v>-8.4404479863664592E-3</v>
      </c>
      <c r="AF87" s="931">
        <f t="shared" si="20"/>
        <v>8.4404479863664592E-3</v>
      </c>
      <c r="AG87" s="932" t="e">
        <f t="shared" si="21"/>
        <v>#REF!</v>
      </c>
      <c r="AH87" s="931"/>
      <c r="AI87" s="931"/>
      <c r="AJ87" s="931"/>
      <c r="AK87" s="932"/>
    </row>
    <row r="88" spans="3:37" x14ac:dyDescent="0.2">
      <c r="C88" s="933">
        <f t="shared" si="14"/>
        <v>43452</v>
      </c>
      <c r="D88" s="919">
        <f t="shared" si="15"/>
        <v>150304.21677419354</v>
      </c>
      <c r="E88" s="920">
        <f t="shared" si="16"/>
        <v>14421.080258064516</v>
      </c>
      <c r="F88" s="934">
        <f t="shared" si="6"/>
        <v>145274.96843800001</v>
      </c>
      <c r="G88" s="935">
        <f t="shared" si="17"/>
        <v>1.0163853</v>
      </c>
      <c r="H88" s="923">
        <f t="shared" si="7"/>
        <v>147.65530000000001</v>
      </c>
      <c r="I88" s="924">
        <f t="shared" si="8"/>
        <v>310148.93715555809</v>
      </c>
      <c r="J88" s="925"/>
      <c r="K88" s="926"/>
      <c r="L88" s="926"/>
      <c r="M88" s="984"/>
      <c r="N88" s="2040">
        <v>11761.022781585001</v>
      </c>
      <c r="O88" s="2047">
        <v>63246.398437999997</v>
      </c>
      <c r="P88" s="2047">
        <v>82028.570000000007</v>
      </c>
      <c r="Q88" s="2094">
        <v>0</v>
      </c>
      <c r="R88" s="2046"/>
      <c r="S88" s="2045">
        <f t="shared" si="9"/>
        <v>11761.022781585001</v>
      </c>
      <c r="T88" s="2047">
        <v>63246</v>
      </c>
      <c r="U88" s="2045">
        <f t="shared" si="10"/>
        <v>0.39843799999653129</v>
      </c>
      <c r="V88" s="2050">
        <v>51120.627999999997</v>
      </c>
      <c r="W88" s="2050">
        <v>30907.932000000001</v>
      </c>
      <c r="X88" s="2042">
        <f t="shared" si="11"/>
        <v>1.0000000009313226E-2</v>
      </c>
      <c r="Y88" s="2049">
        <v>0</v>
      </c>
      <c r="Z88" s="2051">
        <f t="shared" si="12"/>
        <v>0</v>
      </c>
      <c r="AA88" s="929"/>
      <c r="AB88" s="930"/>
      <c r="AC88" s="931">
        <f t="shared" si="18"/>
        <v>0</v>
      </c>
      <c r="AD88" s="931">
        <f t="shared" si="13"/>
        <v>0</v>
      </c>
      <c r="AE88" s="931">
        <f t="shared" si="19"/>
        <v>1.0550560009825974E-2</v>
      </c>
      <c r="AF88" s="931">
        <f t="shared" si="20"/>
        <v>-1.0550560009825974E-2</v>
      </c>
      <c r="AG88" s="932" t="e">
        <f t="shared" si="21"/>
        <v>#REF!</v>
      </c>
      <c r="AH88" s="931"/>
      <c r="AI88" s="931"/>
      <c r="AJ88" s="931"/>
      <c r="AK88" s="932"/>
    </row>
    <row r="89" spans="3:37" x14ac:dyDescent="0.2">
      <c r="C89" s="933">
        <f t="shared" si="14"/>
        <v>43453</v>
      </c>
      <c r="D89" s="919">
        <f t="shared" si="15"/>
        <v>150304.21677419354</v>
      </c>
      <c r="E89" s="920">
        <f t="shared" si="16"/>
        <v>14421.080258064516</v>
      </c>
      <c r="F89" s="934">
        <f t="shared" si="6"/>
        <v>162624.176875</v>
      </c>
      <c r="G89" s="935">
        <f t="shared" si="17"/>
        <v>1.0163853</v>
      </c>
      <c r="H89" s="923">
        <f t="shared" si="7"/>
        <v>165.28880000000001</v>
      </c>
      <c r="I89" s="924">
        <f t="shared" si="8"/>
        <v>327515.77909255808</v>
      </c>
      <c r="J89" s="925"/>
      <c r="K89" s="926"/>
      <c r="L89" s="926"/>
      <c r="M89" s="984"/>
      <c r="N89" s="2040">
        <v>11714.186699567999</v>
      </c>
      <c r="O89" s="2041">
        <v>73158.796875</v>
      </c>
      <c r="P89" s="2041">
        <v>89465.38</v>
      </c>
      <c r="Q89" s="2094">
        <v>0</v>
      </c>
      <c r="R89" s="2040"/>
      <c r="S89" s="2045">
        <f t="shared" si="9"/>
        <v>11714.186699567999</v>
      </c>
      <c r="T89" s="2041">
        <v>73158.8</v>
      </c>
      <c r="U89" s="2045">
        <f t="shared" si="10"/>
        <v>-3.125000002910383E-3</v>
      </c>
      <c r="V89" s="2050">
        <v>55884.571000000004</v>
      </c>
      <c r="W89" s="2050">
        <v>33580.813999999998</v>
      </c>
      <c r="X89" s="2042">
        <f t="shared" si="11"/>
        <v>-5.0000000046566129E-3</v>
      </c>
      <c r="Y89" s="2049">
        <v>0</v>
      </c>
      <c r="Z89" s="2051">
        <f t="shared" si="12"/>
        <v>0</v>
      </c>
      <c r="AA89" s="929"/>
      <c r="AB89" s="930"/>
      <c r="AC89" s="931">
        <f t="shared" si="18"/>
        <v>0</v>
      </c>
      <c r="AD89" s="931">
        <f t="shared" si="13"/>
        <v>0</v>
      </c>
      <c r="AE89" s="931">
        <f t="shared" si="19"/>
        <v>-5.2752800049129869E-3</v>
      </c>
      <c r="AF89" s="931">
        <f t="shared" si="20"/>
        <v>5.2752800049129869E-3</v>
      </c>
      <c r="AG89" s="932" t="e">
        <f t="shared" si="21"/>
        <v>#REF!</v>
      </c>
      <c r="AH89" s="931"/>
      <c r="AI89" s="931"/>
      <c r="AJ89" s="931"/>
      <c r="AK89" s="932"/>
    </row>
    <row r="90" spans="3:37" x14ac:dyDescent="0.2">
      <c r="C90" s="933">
        <f t="shared" si="14"/>
        <v>43454</v>
      </c>
      <c r="D90" s="919">
        <f t="shared" si="15"/>
        <v>150304.21677419354</v>
      </c>
      <c r="E90" s="920">
        <f t="shared" si="16"/>
        <v>14421.080258064516</v>
      </c>
      <c r="F90" s="934">
        <f t="shared" si="6"/>
        <v>186684.98249999998</v>
      </c>
      <c r="G90" s="935">
        <f t="shared" si="17"/>
        <v>1.0163853</v>
      </c>
      <c r="H90" s="923">
        <f t="shared" si="7"/>
        <v>189.7439</v>
      </c>
      <c r="I90" s="924">
        <f t="shared" si="8"/>
        <v>351601.03981755808</v>
      </c>
      <c r="J90" s="925"/>
      <c r="K90" s="926"/>
      <c r="L90" s="926"/>
      <c r="M90" s="984"/>
      <c r="N90" s="2040">
        <v>11769.747005664</v>
      </c>
      <c r="O90" s="2047">
        <v>72844.8125</v>
      </c>
      <c r="P90" s="2047">
        <v>113840.17</v>
      </c>
      <c r="Q90" s="2094">
        <v>0</v>
      </c>
      <c r="R90" s="2046"/>
      <c r="S90" s="2045">
        <f t="shared" si="9"/>
        <v>11769.747005664</v>
      </c>
      <c r="T90" s="2047">
        <v>72844.800000000003</v>
      </c>
      <c r="U90" s="2045">
        <f t="shared" si="10"/>
        <v>1.2499999997089617E-2</v>
      </c>
      <c r="V90" s="2050">
        <v>76044.05</v>
      </c>
      <c r="W90" s="2050">
        <v>37796.103999999999</v>
      </c>
      <c r="X90" s="2042">
        <f t="shared" si="11"/>
        <v>1.5999999988707714E-2</v>
      </c>
      <c r="Y90" s="2049">
        <v>0</v>
      </c>
      <c r="Z90" s="2051">
        <f t="shared" si="12"/>
        <v>0</v>
      </c>
      <c r="AA90" s="929"/>
      <c r="AB90" s="930"/>
      <c r="AC90" s="931">
        <f t="shared" si="18"/>
        <v>0</v>
      </c>
      <c r="AD90" s="931">
        <f t="shared" si="13"/>
        <v>0</v>
      </c>
      <c r="AE90" s="931">
        <f t="shared" si="19"/>
        <v>1.6880895988086005E-2</v>
      </c>
      <c r="AF90" s="931">
        <f t="shared" si="20"/>
        <v>-1.6880895988086005E-2</v>
      </c>
      <c r="AG90" s="932" t="e">
        <f t="shared" si="21"/>
        <v>#REF!</v>
      </c>
      <c r="AH90" s="931"/>
      <c r="AI90" s="931"/>
      <c r="AJ90" s="931"/>
      <c r="AK90" s="932"/>
    </row>
    <row r="91" spans="3:37" x14ac:dyDescent="0.2">
      <c r="C91" s="933">
        <f t="shared" si="14"/>
        <v>43455</v>
      </c>
      <c r="D91" s="919">
        <f t="shared" si="15"/>
        <v>150304.21677419354</v>
      </c>
      <c r="E91" s="920">
        <f t="shared" si="16"/>
        <v>14421.080258064516</v>
      </c>
      <c r="F91" s="934">
        <f t="shared" si="6"/>
        <v>185873.83812500001</v>
      </c>
      <c r="G91" s="935">
        <f t="shared" si="17"/>
        <v>1.0163853</v>
      </c>
      <c r="H91" s="923">
        <f t="shared" si="7"/>
        <v>188.9194</v>
      </c>
      <c r="I91" s="924">
        <f t="shared" si="8"/>
        <v>350789.07094255812</v>
      </c>
      <c r="J91" s="925"/>
      <c r="K91" s="926"/>
      <c r="L91" s="926"/>
      <c r="M91" s="984"/>
      <c r="N91" s="2040">
        <v>11766.871056437998</v>
      </c>
      <c r="O91" s="2041">
        <v>72693.078125</v>
      </c>
      <c r="P91" s="2041">
        <v>113180.76</v>
      </c>
      <c r="Q91" s="2094">
        <v>0</v>
      </c>
      <c r="R91" s="2040"/>
      <c r="S91" s="2045">
        <f t="shared" si="9"/>
        <v>11766.871056437998</v>
      </c>
      <c r="T91" s="2041">
        <v>72693.100000000006</v>
      </c>
      <c r="U91" s="2045">
        <f t="shared" si="10"/>
        <v>-2.1875000005820766E-2</v>
      </c>
      <c r="V91" s="2050">
        <v>75415.338000000003</v>
      </c>
      <c r="W91" s="2050">
        <v>37765.436999999998</v>
      </c>
      <c r="X91" s="2042">
        <f t="shared" si="11"/>
        <v>-1.4999999999417923E-2</v>
      </c>
      <c r="Y91" s="2049">
        <v>0</v>
      </c>
      <c r="Z91" s="2051">
        <f t="shared" si="12"/>
        <v>0</v>
      </c>
      <c r="AA91" s="929"/>
      <c r="AB91" s="930"/>
      <c r="AC91" s="931">
        <f t="shared" si="18"/>
        <v>0</v>
      </c>
      <c r="AD91" s="931">
        <f t="shared" si="13"/>
        <v>0</v>
      </c>
      <c r="AE91" s="931">
        <f t="shared" si="19"/>
        <v>-1.5825839999385877E-2</v>
      </c>
      <c r="AF91" s="931">
        <f t="shared" si="20"/>
        <v>1.5825839999385877E-2</v>
      </c>
      <c r="AG91" s="932" t="e">
        <f t="shared" si="21"/>
        <v>#REF!</v>
      </c>
      <c r="AH91" s="931"/>
      <c r="AI91" s="931"/>
      <c r="AJ91" s="931"/>
      <c r="AK91" s="932"/>
    </row>
    <row r="92" spans="3:37" x14ac:dyDescent="0.2">
      <c r="C92" s="933">
        <f t="shared" si="14"/>
        <v>43456</v>
      </c>
      <c r="D92" s="919">
        <f t="shared" si="15"/>
        <v>150304.21677419354</v>
      </c>
      <c r="E92" s="920">
        <f t="shared" si="16"/>
        <v>14421.080258064516</v>
      </c>
      <c r="F92" s="934">
        <f t="shared" si="6"/>
        <v>186190.88400000002</v>
      </c>
      <c r="G92" s="935">
        <f t="shared" si="17"/>
        <v>1.0163853</v>
      </c>
      <c r="H92" s="923">
        <f t="shared" si="7"/>
        <v>189.24170000000001</v>
      </c>
      <c r="I92" s="924">
        <f t="shared" si="8"/>
        <v>351106.43911755813</v>
      </c>
      <c r="J92" s="925"/>
      <c r="K92" s="926"/>
      <c r="L92" s="926"/>
      <c r="M92" s="984"/>
      <c r="N92" s="2040">
        <v>11785.151535827999</v>
      </c>
      <c r="O92" s="2047">
        <v>72615.054000000004</v>
      </c>
      <c r="P92" s="2047">
        <v>113575.83</v>
      </c>
      <c r="Q92" s="2094">
        <v>0</v>
      </c>
      <c r="R92" s="2046"/>
      <c r="S92" s="2045">
        <f t="shared" si="9"/>
        <v>11785.151535827999</v>
      </c>
      <c r="T92" s="2047">
        <v>72615.05</v>
      </c>
      <c r="U92" s="2045">
        <f t="shared" si="10"/>
        <v>4.0000000008149073E-3</v>
      </c>
      <c r="V92" s="2050">
        <v>75626.697</v>
      </c>
      <c r="W92" s="2050">
        <v>37949.108999999997</v>
      </c>
      <c r="X92" s="2042">
        <f t="shared" si="11"/>
        <v>2.4000000004889444E-2</v>
      </c>
      <c r="Y92" s="2049">
        <v>0</v>
      </c>
      <c r="Z92" s="2051">
        <f t="shared" si="12"/>
        <v>0</v>
      </c>
      <c r="AA92" s="929"/>
      <c r="AB92" s="930"/>
      <c r="AC92" s="931">
        <f t="shared" si="18"/>
        <v>0</v>
      </c>
      <c r="AD92" s="931">
        <f t="shared" si="13"/>
        <v>0</v>
      </c>
      <c r="AE92" s="931">
        <f t="shared" si="19"/>
        <v>2.5321344005158637E-2</v>
      </c>
      <c r="AF92" s="931">
        <f t="shared" si="20"/>
        <v>-2.5321344005158637E-2</v>
      </c>
      <c r="AG92" s="932" t="e">
        <f t="shared" si="21"/>
        <v>#REF!</v>
      </c>
      <c r="AH92" s="931"/>
      <c r="AI92" s="931"/>
      <c r="AJ92" s="931"/>
      <c r="AK92" s="932"/>
    </row>
    <row r="93" spans="3:37" x14ac:dyDescent="0.2">
      <c r="C93" s="933">
        <f t="shared" si="14"/>
        <v>43457</v>
      </c>
      <c r="D93" s="919">
        <f t="shared" si="15"/>
        <v>150304.21677419354</v>
      </c>
      <c r="E93" s="920">
        <f t="shared" si="16"/>
        <v>14421.080258064516</v>
      </c>
      <c r="F93" s="934">
        <f t="shared" si="6"/>
        <v>185362.66187499999</v>
      </c>
      <c r="G93" s="935">
        <f t="shared" si="17"/>
        <v>1.0163853</v>
      </c>
      <c r="H93" s="923">
        <f t="shared" si="7"/>
        <v>188.3999</v>
      </c>
      <c r="I93" s="924">
        <f t="shared" si="8"/>
        <v>350277.3751925581</v>
      </c>
      <c r="J93" s="925"/>
      <c r="K93" s="926"/>
      <c r="L93" s="926"/>
      <c r="M93" s="984"/>
      <c r="N93" s="2040">
        <v>17196.018096602002</v>
      </c>
      <c r="O93" s="2041">
        <v>71833.171875</v>
      </c>
      <c r="P93" s="2041">
        <v>113529.49</v>
      </c>
      <c r="Q93" s="2094">
        <v>0</v>
      </c>
      <c r="R93" s="2040"/>
      <c r="S93" s="2045">
        <f t="shared" si="9"/>
        <v>17196.018096602002</v>
      </c>
      <c r="T93" s="2041">
        <v>71833.17</v>
      </c>
      <c r="U93" s="2045">
        <f t="shared" si="10"/>
        <v>1.8750000017462298E-3</v>
      </c>
      <c r="V93" s="2050">
        <v>75645.418000000005</v>
      </c>
      <c r="W93" s="2050">
        <v>37884.076000000001</v>
      </c>
      <c r="X93" s="2042">
        <f t="shared" si="11"/>
        <v>-4.0000000008149073E-3</v>
      </c>
      <c r="Y93" s="2049">
        <v>0</v>
      </c>
      <c r="Z93" s="2051">
        <f t="shared" si="12"/>
        <v>0</v>
      </c>
      <c r="AA93" s="929"/>
      <c r="AB93" s="930"/>
      <c r="AC93" s="931">
        <f t="shared" si="18"/>
        <v>0</v>
      </c>
      <c r="AD93" s="931">
        <f t="shared" si="13"/>
        <v>0</v>
      </c>
      <c r="AE93" s="931">
        <f t="shared" si="19"/>
        <v>-4.220224000859773E-3</v>
      </c>
      <c r="AF93" s="931">
        <f t="shared" si="20"/>
        <v>4.220224000859773E-3</v>
      </c>
      <c r="AG93" s="932" t="e">
        <f t="shared" si="21"/>
        <v>#REF!</v>
      </c>
      <c r="AH93" s="931"/>
      <c r="AI93" s="931"/>
      <c r="AJ93" s="931"/>
      <c r="AK93" s="932"/>
    </row>
    <row r="94" spans="3:37" x14ac:dyDescent="0.2">
      <c r="C94" s="933">
        <f t="shared" si="14"/>
        <v>43458</v>
      </c>
      <c r="D94" s="919">
        <f t="shared" si="15"/>
        <v>150304.21677419354</v>
      </c>
      <c r="E94" s="920">
        <f t="shared" si="16"/>
        <v>14421.080258064516</v>
      </c>
      <c r="F94" s="934">
        <f t="shared" si="6"/>
        <v>176589.03593800002</v>
      </c>
      <c r="G94" s="935">
        <f t="shared" si="17"/>
        <v>1.0163853</v>
      </c>
      <c r="H94" s="923">
        <f t="shared" si="7"/>
        <v>179.48249999999999</v>
      </c>
      <c r="I94" s="924">
        <f t="shared" si="8"/>
        <v>341494.83185555809</v>
      </c>
      <c r="J94" s="925"/>
      <c r="K94" s="926"/>
      <c r="L94" s="926"/>
      <c r="M94" s="984"/>
      <c r="N94" s="2040">
        <v>18661.210839785999</v>
      </c>
      <c r="O94" s="2047">
        <v>71752.835938000004</v>
      </c>
      <c r="P94" s="2047">
        <v>104836.2</v>
      </c>
      <c r="Q94" s="2094">
        <v>0</v>
      </c>
      <c r="R94" s="2046"/>
      <c r="S94" s="2045">
        <f t="shared" si="9"/>
        <v>18661.210839785999</v>
      </c>
      <c r="T94" s="2047">
        <v>71752.84</v>
      </c>
      <c r="U94" s="2045">
        <f t="shared" si="10"/>
        <v>-4.0619999927002937E-3</v>
      </c>
      <c r="V94" s="2050">
        <v>68749.019</v>
      </c>
      <c r="W94" s="2050">
        <v>36087.163</v>
      </c>
      <c r="X94" s="2042">
        <f t="shared" si="11"/>
        <v>1.7999999996391125E-2</v>
      </c>
      <c r="Y94" s="2049">
        <v>0</v>
      </c>
      <c r="Z94" s="2051">
        <f t="shared" si="12"/>
        <v>0</v>
      </c>
      <c r="AA94" s="929"/>
      <c r="AB94" s="930"/>
      <c r="AC94" s="931">
        <f t="shared" si="18"/>
        <v>0</v>
      </c>
      <c r="AD94" s="931">
        <f t="shared" si="13"/>
        <v>0</v>
      </c>
      <c r="AE94" s="931">
        <f t="shared" si="19"/>
        <v>1.8991007996192435E-2</v>
      </c>
      <c r="AF94" s="931">
        <f t="shared" si="20"/>
        <v>-1.8991007996192435E-2</v>
      </c>
      <c r="AG94" s="932" t="e">
        <f t="shared" si="21"/>
        <v>#REF!</v>
      </c>
      <c r="AH94" s="931"/>
      <c r="AI94" s="931"/>
      <c r="AJ94" s="931"/>
      <c r="AK94" s="932"/>
    </row>
    <row r="95" spans="3:37" x14ac:dyDescent="0.2">
      <c r="C95" s="933">
        <f t="shared" si="14"/>
        <v>43459</v>
      </c>
      <c r="D95" s="919">
        <f t="shared" si="15"/>
        <v>150304.21677419354</v>
      </c>
      <c r="E95" s="920">
        <f t="shared" si="16"/>
        <v>14421.080258064516</v>
      </c>
      <c r="F95" s="934">
        <f t="shared" si="6"/>
        <v>168621.945313</v>
      </c>
      <c r="G95" s="935">
        <f t="shared" si="17"/>
        <v>1.0163853</v>
      </c>
      <c r="H95" s="923">
        <f t="shared" si="7"/>
        <v>171.38489999999999</v>
      </c>
      <c r="I95" s="924">
        <f t="shared" si="8"/>
        <v>333519.6436305581</v>
      </c>
      <c r="J95" s="925"/>
      <c r="K95" s="926"/>
      <c r="L95" s="926"/>
      <c r="M95" s="984"/>
      <c r="N95" s="2040">
        <v>23600.283056405999</v>
      </c>
      <c r="O95" s="2041">
        <v>71889.195313000004</v>
      </c>
      <c r="P95" s="2041">
        <v>96732.75</v>
      </c>
      <c r="Q95" s="2094">
        <v>0</v>
      </c>
      <c r="R95" s="2040"/>
      <c r="S95" s="2045">
        <f t="shared" si="9"/>
        <v>23600.283056405999</v>
      </c>
      <c r="T95" s="2041">
        <v>71889.2</v>
      </c>
      <c r="U95" s="2045">
        <f t="shared" si="10"/>
        <v>-4.6869999932823703E-3</v>
      </c>
      <c r="V95" s="2050">
        <v>63252.756999999998</v>
      </c>
      <c r="W95" s="2050">
        <v>33479.998</v>
      </c>
      <c r="X95" s="2042">
        <f t="shared" si="11"/>
        <v>-5.0000000046566129E-3</v>
      </c>
      <c r="Y95" s="2049">
        <v>0</v>
      </c>
      <c r="Z95" s="2051">
        <f t="shared" si="12"/>
        <v>0</v>
      </c>
      <c r="AA95" s="929"/>
      <c r="AB95" s="930"/>
      <c r="AC95" s="931">
        <f t="shared" si="18"/>
        <v>0</v>
      </c>
      <c r="AD95" s="931">
        <f t="shared" si="13"/>
        <v>0</v>
      </c>
      <c r="AE95" s="931">
        <f t="shared" si="19"/>
        <v>-5.2752800049129869E-3</v>
      </c>
      <c r="AF95" s="931">
        <f t="shared" si="20"/>
        <v>5.2752800049129869E-3</v>
      </c>
      <c r="AG95" s="932" t="e">
        <f t="shared" si="21"/>
        <v>#REF!</v>
      </c>
      <c r="AH95" s="931"/>
      <c r="AI95" s="931"/>
      <c r="AJ95" s="931"/>
      <c r="AK95" s="932"/>
    </row>
    <row r="96" spans="3:37" x14ac:dyDescent="0.2">
      <c r="C96" s="933">
        <f t="shared" si="14"/>
        <v>43460</v>
      </c>
      <c r="D96" s="919">
        <f t="shared" si="15"/>
        <v>150304.21677419354</v>
      </c>
      <c r="E96" s="920">
        <f t="shared" si="16"/>
        <v>14421.080258064516</v>
      </c>
      <c r="F96" s="934">
        <f t="shared" si="6"/>
        <v>185641.894688</v>
      </c>
      <c r="G96" s="935">
        <f t="shared" si="17"/>
        <v>1.0163853</v>
      </c>
      <c r="H96" s="923">
        <f t="shared" si="7"/>
        <v>188.68369999999999</v>
      </c>
      <c r="I96" s="924">
        <f t="shared" si="8"/>
        <v>350556.89180555812</v>
      </c>
      <c r="J96" s="925"/>
      <c r="K96" s="926"/>
      <c r="L96" s="926"/>
      <c r="M96" s="984"/>
      <c r="N96" s="2040">
        <v>23535.592549326</v>
      </c>
      <c r="O96" s="2047">
        <v>72052.304688000004</v>
      </c>
      <c r="P96" s="2047">
        <v>113589.59</v>
      </c>
      <c r="Q96" s="2094">
        <v>0</v>
      </c>
      <c r="R96" s="2046"/>
      <c r="S96" s="2045">
        <f t="shared" si="9"/>
        <v>23535.592549326</v>
      </c>
      <c r="T96" s="2047">
        <v>72052.304999999993</v>
      </c>
      <c r="U96" s="2045">
        <f t="shared" si="10"/>
        <v>-3.1199998920783401E-4</v>
      </c>
      <c r="V96" s="2050">
        <v>75990.126999999993</v>
      </c>
      <c r="W96" s="2050">
        <v>37599.446000000004</v>
      </c>
      <c r="X96" s="2042">
        <f t="shared" si="11"/>
        <v>1.6999999992549419E-2</v>
      </c>
      <c r="Y96" s="2049">
        <v>0</v>
      </c>
      <c r="Z96" s="2051">
        <f t="shared" si="12"/>
        <v>0</v>
      </c>
      <c r="AA96" s="929"/>
      <c r="AB96" s="930"/>
      <c r="AC96" s="931">
        <f t="shared" si="18"/>
        <v>0</v>
      </c>
      <c r="AD96" s="931">
        <f t="shared" si="13"/>
        <v>0</v>
      </c>
      <c r="AE96" s="931">
        <f t="shared" si="19"/>
        <v>1.793595199213922E-2</v>
      </c>
      <c r="AF96" s="931">
        <f t="shared" si="20"/>
        <v>-1.793595199213922E-2</v>
      </c>
      <c r="AG96" s="932" t="e">
        <f t="shared" si="21"/>
        <v>#REF!</v>
      </c>
      <c r="AH96" s="931"/>
      <c r="AI96" s="931"/>
      <c r="AJ96" s="931"/>
      <c r="AK96" s="932"/>
    </row>
    <row r="97" spans="2:42" x14ac:dyDescent="0.2">
      <c r="C97" s="933">
        <f t="shared" si="14"/>
        <v>43461</v>
      </c>
      <c r="D97" s="919">
        <f t="shared" si="15"/>
        <v>150304.21677419354</v>
      </c>
      <c r="E97" s="920">
        <f t="shared" si="16"/>
        <v>14421.080258064516</v>
      </c>
      <c r="F97" s="934">
        <f t="shared" si="6"/>
        <v>185617.35062500002</v>
      </c>
      <c r="G97" s="935">
        <f t="shared" si="17"/>
        <v>1.0163853</v>
      </c>
      <c r="H97" s="923">
        <f t="shared" si="7"/>
        <v>188.65870000000001</v>
      </c>
      <c r="I97" s="924">
        <f t="shared" si="8"/>
        <v>350532.32274255814</v>
      </c>
      <c r="J97" s="925"/>
      <c r="K97" s="926"/>
      <c r="L97" s="926"/>
      <c r="M97" s="984"/>
      <c r="N97" s="2040">
        <v>23732.096965437006</v>
      </c>
      <c r="O97" s="2041">
        <v>71955.890625</v>
      </c>
      <c r="P97" s="2041">
        <v>113661.46</v>
      </c>
      <c r="Q97" s="2094">
        <v>0</v>
      </c>
      <c r="R97" s="2040"/>
      <c r="S97" s="2045">
        <f t="shared" si="9"/>
        <v>23732.096965437006</v>
      </c>
      <c r="T97" s="2041">
        <v>71955.891000000003</v>
      </c>
      <c r="U97" s="2045">
        <f t="shared" si="10"/>
        <v>-3.7500000325962901E-4</v>
      </c>
      <c r="V97" s="2050">
        <v>75840.92</v>
      </c>
      <c r="W97" s="2050">
        <v>37820.542000000001</v>
      </c>
      <c r="X97" s="2042">
        <f t="shared" si="11"/>
        <v>-1.999999993131496E-3</v>
      </c>
      <c r="Y97" s="2049">
        <v>0</v>
      </c>
      <c r="Z97" s="2051">
        <f t="shared" si="12"/>
        <v>0</v>
      </c>
      <c r="AA97" s="929"/>
      <c r="AB97" s="930"/>
      <c r="AC97" s="931">
        <f t="shared" si="18"/>
        <v>0</v>
      </c>
      <c r="AD97" s="931">
        <f t="shared" si="13"/>
        <v>0</v>
      </c>
      <c r="AE97" s="931">
        <f t="shared" si="19"/>
        <v>-2.1101119927533435E-3</v>
      </c>
      <c r="AF97" s="931">
        <f t="shared" si="20"/>
        <v>2.1101119927533435E-3</v>
      </c>
      <c r="AG97" s="932" t="e">
        <f t="shared" si="21"/>
        <v>#REF!</v>
      </c>
      <c r="AH97" s="931"/>
      <c r="AI97" s="931"/>
      <c r="AJ97" s="931"/>
      <c r="AK97" s="932"/>
    </row>
    <row r="98" spans="2:42" x14ac:dyDescent="0.2">
      <c r="C98" s="933">
        <f t="shared" si="14"/>
        <v>43462</v>
      </c>
      <c r="D98" s="919">
        <f t="shared" si="15"/>
        <v>150304.21677419354</v>
      </c>
      <c r="E98" s="920">
        <f t="shared" si="16"/>
        <v>14421.080258064516</v>
      </c>
      <c r="F98" s="934">
        <f t="shared" si="6"/>
        <v>185217.5025</v>
      </c>
      <c r="G98" s="935">
        <f t="shared" si="17"/>
        <v>1.0163853</v>
      </c>
      <c r="H98" s="923">
        <f t="shared" si="7"/>
        <v>188.25229999999999</v>
      </c>
      <c r="I98" s="924">
        <f t="shared" si="8"/>
        <v>350132.06821755809</v>
      </c>
      <c r="J98" s="925"/>
      <c r="K98" s="926"/>
      <c r="L98" s="926"/>
      <c r="M98" s="984"/>
      <c r="N98" s="2040">
        <v>23735.509418334004</v>
      </c>
      <c r="O98" s="2047">
        <v>71411.8125</v>
      </c>
      <c r="P98" s="2047">
        <v>113805.69</v>
      </c>
      <c r="Q98" s="2094">
        <v>0</v>
      </c>
      <c r="R98" s="2046"/>
      <c r="S98" s="2045">
        <f t="shared" si="9"/>
        <v>23735.509418334004</v>
      </c>
      <c r="T98" s="2047">
        <v>71411.812000000005</v>
      </c>
      <c r="U98" s="2045">
        <f t="shared" si="10"/>
        <v>4.999999946448952E-4</v>
      </c>
      <c r="V98" s="2050">
        <v>75995.994999999995</v>
      </c>
      <c r="W98" s="2050">
        <v>37809.714999999997</v>
      </c>
      <c r="X98" s="2042">
        <f t="shared" si="11"/>
        <v>-1.9999999989522621E-2</v>
      </c>
      <c r="Y98" s="2049">
        <v>0</v>
      </c>
      <c r="Z98" s="2051">
        <f t="shared" si="12"/>
        <v>0</v>
      </c>
      <c r="AA98" s="929"/>
      <c r="AB98" s="930"/>
      <c r="AC98" s="931">
        <f t="shared" si="18"/>
        <v>0</v>
      </c>
      <c r="AD98" s="931">
        <f t="shared" si="13"/>
        <v>0</v>
      </c>
      <c r="AE98" s="931">
        <f t="shared" si="19"/>
        <v>-2.1101119988945777E-2</v>
      </c>
      <c r="AF98" s="931">
        <f t="shared" si="20"/>
        <v>2.1101119988945777E-2</v>
      </c>
      <c r="AG98" s="932" t="e">
        <f t="shared" si="21"/>
        <v>#REF!</v>
      </c>
      <c r="AH98" s="931"/>
      <c r="AI98" s="931"/>
      <c r="AJ98" s="931"/>
      <c r="AK98" s="932"/>
    </row>
    <row r="99" spans="2:42" x14ac:dyDescent="0.2">
      <c r="C99" s="933">
        <f t="shared" si="14"/>
        <v>43463</v>
      </c>
      <c r="D99" s="919">
        <f t="shared" si="15"/>
        <v>150304.21677419354</v>
      </c>
      <c r="E99" s="920">
        <f t="shared" si="16"/>
        <v>14421.080258064516</v>
      </c>
      <c r="F99" s="934">
        <f t="shared" si="6"/>
        <v>179627.073125</v>
      </c>
      <c r="G99" s="935">
        <f t="shared" si="17"/>
        <v>1.0163853</v>
      </c>
      <c r="H99" s="923">
        <f t="shared" si="7"/>
        <v>182.5703</v>
      </c>
      <c r="I99" s="924">
        <f t="shared" si="8"/>
        <v>344535.95684255811</v>
      </c>
      <c r="J99" s="925"/>
      <c r="K99" s="926"/>
      <c r="L99" s="926"/>
      <c r="M99" s="926"/>
      <c r="N99" s="2040">
        <v>22644.187516493996</v>
      </c>
      <c r="O99" s="2041">
        <v>71785.453125</v>
      </c>
      <c r="P99" s="2041">
        <v>107841.62</v>
      </c>
      <c r="Q99" s="2094">
        <v>0</v>
      </c>
      <c r="R99" s="2040"/>
      <c r="S99" s="2051">
        <f t="shared" si="9"/>
        <v>22644.187516493996</v>
      </c>
      <c r="T99" s="2041">
        <v>71785.452999999994</v>
      </c>
      <c r="U99" s="2051">
        <f t="shared" si="10"/>
        <v>1.2500000593718141E-4</v>
      </c>
      <c r="V99" s="2050">
        <v>70000.417000000001</v>
      </c>
      <c r="W99" s="2050">
        <v>37841.216999999997</v>
      </c>
      <c r="X99" s="2048">
        <f t="shared" si="11"/>
        <v>-1.3999999995576218E-2</v>
      </c>
      <c r="Y99" s="2049">
        <v>0</v>
      </c>
      <c r="Z99" s="2051">
        <f t="shared" si="12"/>
        <v>0</v>
      </c>
      <c r="AA99" s="929"/>
      <c r="AB99" s="930"/>
      <c r="AC99" s="931">
        <f t="shared" si="18"/>
        <v>0</v>
      </c>
      <c r="AD99" s="931">
        <f t="shared" si="13"/>
        <v>0</v>
      </c>
      <c r="AE99" s="931">
        <f t="shared" si="19"/>
        <v>-1.4770783995332663E-2</v>
      </c>
      <c r="AF99" s="931">
        <f t="shared" si="20"/>
        <v>1.4770783995332663E-2</v>
      </c>
      <c r="AG99" s="932" t="e">
        <f t="shared" si="21"/>
        <v>#REF!</v>
      </c>
      <c r="AH99" s="931"/>
      <c r="AI99" s="931"/>
      <c r="AJ99" s="931"/>
      <c r="AK99" s="932"/>
    </row>
    <row r="100" spans="2:42" x14ac:dyDescent="0.2">
      <c r="C100" s="933">
        <f t="shared" si="14"/>
        <v>43464</v>
      </c>
      <c r="D100" s="919">
        <f t="shared" si="15"/>
        <v>150304.21677419354</v>
      </c>
      <c r="E100" s="920">
        <f t="shared" si="16"/>
        <v>14421.080258064516</v>
      </c>
      <c r="F100" s="934">
        <f t="shared" si="6"/>
        <v>184719.344063</v>
      </c>
      <c r="G100" s="935">
        <f t="shared" si="17"/>
        <v>1.0163853</v>
      </c>
      <c r="H100" s="923">
        <f t="shared" si="7"/>
        <v>187.74600000000001</v>
      </c>
      <c r="I100" s="924">
        <f t="shared" si="8"/>
        <v>349633.40348055807</v>
      </c>
      <c r="J100" s="925"/>
      <c r="K100" s="926"/>
      <c r="L100" s="926"/>
      <c r="M100" s="926"/>
      <c r="N100" s="2040">
        <v>23202.809858206998</v>
      </c>
      <c r="O100" s="2041">
        <v>71595.914063000004</v>
      </c>
      <c r="P100" s="2041">
        <v>113123.43</v>
      </c>
      <c r="Q100" s="2094">
        <v>0</v>
      </c>
      <c r="R100" s="2040"/>
      <c r="S100" s="2051">
        <f t="shared" si="9"/>
        <v>23202.809858206998</v>
      </c>
      <c r="T100" s="2041">
        <v>71595.914000000004</v>
      </c>
      <c r="U100" s="2051">
        <f t="shared" si="10"/>
        <v>6.2999999499879777E-5</v>
      </c>
      <c r="V100" s="2050">
        <v>75382.153999999995</v>
      </c>
      <c r="W100" s="2050">
        <v>37741.279999999999</v>
      </c>
      <c r="X100" s="2048">
        <f t="shared" si="11"/>
        <v>-4.0000000008149073E-3</v>
      </c>
      <c r="Y100" s="2049">
        <v>0</v>
      </c>
      <c r="Z100" s="2051">
        <f t="shared" si="12"/>
        <v>0</v>
      </c>
      <c r="AA100" s="929"/>
      <c r="AB100" s="930"/>
      <c r="AC100" s="931">
        <f t="shared" si="18"/>
        <v>0</v>
      </c>
      <c r="AD100" s="931">
        <f t="shared" si="13"/>
        <v>0</v>
      </c>
      <c r="AE100" s="931">
        <f t="shared" si="19"/>
        <v>-4.220224000859773E-3</v>
      </c>
      <c r="AF100" s="931">
        <f t="shared" si="20"/>
        <v>4.220224000859773E-3</v>
      </c>
      <c r="AG100" s="932" t="e">
        <f t="shared" si="21"/>
        <v>#REF!</v>
      </c>
      <c r="AH100" s="931"/>
      <c r="AI100" s="931"/>
      <c r="AJ100" s="931"/>
      <c r="AK100" s="932"/>
    </row>
    <row r="101" spans="2:42" ht="13.5" thickBot="1" x14ac:dyDescent="0.25">
      <c r="C101" s="938">
        <f t="shared" si="14"/>
        <v>43465</v>
      </c>
      <c r="D101" s="939">
        <f t="shared" si="15"/>
        <v>150304.21677419354</v>
      </c>
      <c r="E101" s="940">
        <f t="shared" si="16"/>
        <v>14421.080258064516</v>
      </c>
      <c r="F101" s="941">
        <f t="shared" si="6"/>
        <v>184719.344063</v>
      </c>
      <c r="G101" s="942">
        <f t="shared" ref="G101" si="22">TRUNC(IFERROR(K$22/L$22,0),8)</f>
        <v>1.0163853</v>
      </c>
      <c r="H101" s="943">
        <f t="shared" ref="H101" si="23">ROUND(J$22*G101*F101,4)</f>
        <v>187.74600000000001</v>
      </c>
      <c r="I101" s="944">
        <f t="shared" ref="I101" si="24">SUM(D101:H101)</f>
        <v>349633.40348055807</v>
      </c>
      <c r="J101" s="945"/>
      <c r="K101" s="946"/>
      <c r="L101" s="946"/>
      <c r="M101" s="946"/>
      <c r="N101" s="2052">
        <v>23558.732566911003</v>
      </c>
      <c r="O101" s="2053">
        <v>71595.914063000004</v>
      </c>
      <c r="P101" s="2053">
        <v>113123.43</v>
      </c>
      <c r="Q101" s="2095">
        <v>0</v>
      </c>
      <c r="R101" s="2052"/>
      <c r="S101" s="2057">
        <f t="shared" si="9"/>
        <v>23558.732566911003</v>
      </c>
      <c r="T101" s="2053">
        <v>71595.914000000004</v>
      </c>
      <c r="U101" s="2057">
        <f t="shared" si="10"/>
        <v>6.2999999499879777E-5</v>
      </c>
      <c r="V101" s="2056">
        <v>75382.153999999995</v>
      </c>
      <c r="W101" s="2056">
        <v>37741.279999999999</v>
      </c>
      <c r="X101" s="2054">
        <f t="shared" si="11"/>
        <v>-4.0000000008149073E-3</v>
      </c>
      <c r="Y101" s="2055">
        <v>0</v>
      </c>
      <c r="Z101" s="2057">
        <f t="shared" si="12"/>
        <v>0</v>
      </c>
      <c r="AA101" s="949"/>
      <c r="AB101" s="950"/>
      <c r="AC101" s="951">
        <f t="shared" ref="AC101" si="25">AA101+AB101-AD101</f>
        <v>0</v>
      </c>
      <c r="AD101" s="951">
        <f t="shared" si="13"/>
        <v>0</v>
      </c>
      <c r="AE101" s="951">
        <f t="shared" ref="AE101" si="26">(X101+Y101+Z101)*1.055056</f>
        <v>-4.220224000859773E-3</v>
      </c>
      <c r="AF101" s="951">
        <f t="shared" ref="AF101" si="27">AD101-AE101</f>
        <v>4.220224000859773E-3</v>
      </c>
      <c r="AG101" s="952" t="e">
        <f t="shared" ref="AG101" si="28">AG100+AF101</f>
        <v>#REF!</v>
      </c>
      <c r="AH101" s="951"/>
      <c r="AI101" s="951"/>
      <c r="AJ101" s="951"/>
      <c r="AK101" s="952"/>
    </row>
    <row r="102" spans="2:42" ht="13.5" thickBot="1" x14ac:dyDescent="0.25">
      <c r="C102" s="953"/>
      <c r="D102" s="954">
        <f>SUM(D71:D101)</f>
        <v>4659430.72</v>
      </c>
      <c r="E102" s="954">
        <f>SUM(E71:E101)</f>
        <v>447053.48799999978</v>
      </c>
      <c r="F102" s="955">
        <f>SUM(F71:F101)</f>
        <v>5598758.4390080003</v>
      </c>
      <c r="G102" s="955"/>
      <c r="H102" s="956">
        <f t="shared" ref="H102:I102" si="29">SUM(H71:H101)</f>
        <v>5690.4957999999997</v>
      </c>
      <c r="I102" s="954">
        <f t="shared" si="29"/>
        <v>10710964.650752302</v>
      </c>
      <c r="J102" s="1024">
        <f t="shared" ref="J102:Q102" si="30">SUM(J71:J101)</f>
        <v>0</v>
      </c>
      <c r="K102" s="1024">
        <f t="shared" si="30"/>
        <v>0</v>
      </c>
      <c r="L102" s="1024">
        <f t="shared" si="30"/>
        <v>0</v>
      </c>
      <c r="M102" s="1024">
        <f t="shared" si="30"/>
        <v>0</v>
      </c>
      <c r="N102" s="1024">
        <f t="shared" si="30"/>
        <v>591252.00419668108</v>
      </c>
      <c r="O102" s="1024">
        <f t="shared" si="30"/>
        <v>2227414.6790080005</v>
      </c>
      <c r="P102" s="1024">
        <f t="shared" si="30"/>
        <v>3371343.7600000002</v>
      </c>
      <c r="Q102" s="1024">
        <f t="shared" si="30"/>
        <v>0</v>
      </c>
      <c r="R102" s="1024"/>
      <c r="S102" s="1024"/>
      <c r="T102" s="1024">
        <f t="shared" ref="T102:AA102" si="31">SUM(T71:T101)</f>
        <v>2227414.2950000004</v>
      </c>
      <c r="U102" s="1024">
        <f t="shared" si="31"/>
        <v>0.38400800001545576</v>
      </c>
      <c r="V102" s="1024">
        <f t="shared" si="31"/>
        <v>2221416.4240000006</v>
      </c>
      <c r="W102" s="1024">
        <f t="shared" si="31"/>
        <v>1151472.4410000003</v>
      </c>
      <c r="X102" s="1024">
        <f t="shared" si="31"/>
        <v>-1545.1049999999814</v>
      </c>
      <c r="Y102" s="996">
        <f t="shared" si="31"/>
        <v>0</v>
      </c>
      <c r="Z102" s="996">
        <f t="shared" si="31"/>
        <v>0</v>
      </c>
      <c r="AA102" s="958">
        <f t="shared" si="31"/>
        <v>0</v>
      </c>
      <c r="AB102" s="829"/>
      <c r="AC102" s="959"/>
      <c r="AD102" s="960">
        <f>SUM(AD71:AD101)</f>
        <v>0</v>
      </c>
      <c r="AE102" s="960">
        <f>SUM(AE71:AE101)</f>
        <v>-1630.1723008799811</v>
      </c>
      <c r="AF102" s="960">
        <f>SUM(AF71:AF101)</f>
        <v>1630.1723008799811</v>
      </c>
      <c r="AG102" s="961" t="e">
        <f>#REF!</f>
        <v>#REF!</v>
      </c>
      <c r="AH102" s="960"/>
      <c r="AI102" s="960"/>
      <c r="AJ102" s="960"/>
      <c r="AK102" s="961"/>
      <c r="AP102" s="958" t="e">
        <f>#REF!</f>
        <v>#REF!</v>
      </c>
    </row>
    <row r="103" spans="2:42" ht="15" customHeight="1" thickBot="1" x14ac:dyDescent="0.25">
      <c r="B103" s="843"/>
      <c r="C103" s="843"/>
      <c r="D103" s="843"/>
      <c r="E103" s="843"/>
      <c r="F103" s="843"/>
      <c r="G103" s="843"/>
      <c r="H103" s="843"/>
      <c r="I103" s="843"/>
      <c r="J103" s="843"/>
      <c r="K103" s="843"/>
      <c r="L103" s="843"/>
      <c r="N103" s="829"/>
      <c r="O103" s="843"/>
      <c r="V103" s="997">
        <f>V102/(V102+W102)</f>
        <v>0.65860943331140553</v>
      </c>
      <c r="W103" s="998">
        <f>W102/(V102+W102)</f>
        <v>0.34139056668859441</v>
      </c>
      <c r="Z103" s="829"/>
      <c r="AA103" s="829"/>
      <c r="AB103" s="829"/>
      <c r="AC103" s="829"/>
      <c r="AD103" s="829"/>
      <c r="AE103" s="829"/>
      <c r="AF103" s="829"/>
    </row>
    <row r="104" spans="2:42" ht="13.5" thickBot="1" x14ac:dyDescent="0.25">
      <c r="D104" s="1795" t="s">
        <v>155</v>
      </c>
      <c r="E104" s="1796" t="s">
        <v>156</v>
      </c>
      <c r="F104" s="1797" t="s">
        <v>112</v>
      </c>
      <c r="N104" s="829"/>
      <c r="P104" s="827"/>
      <c r="Z104" s="829"/>
      <c r="AA104" s="829"/>
      <c r="AB104" s="829"/>
      <c r="AG104" s="843"/>
      <c r="AH104" s="843"/>
      <c r="AI104" s="843"/>
      <c r="AJ104" s="843"/>
      <c r="AK104" s="843"/>
    </row>
    <row r="105" spans="2:42" x14ac:dyDescent="0.2">
      <c r="D105" s="965"/>
      <c r="E105" s="966">
        <f>D102</f>
        <v>4659430.72</v>
      </c>
      <c r="F105" s="967">
        <f>D105-E105</f>
        <v>-4659430.72</v>
      </c>
      <c r="G105" s="968"/>
      <c r="H105" s="968"/>
      <c r="I105" s="968"/>
      <c r="P105" s="827"/>
      <c r="W105" s="1008">
        <f>1-V103-W103</f>
        <v>0</v>
      </c>
      <c r="Z105" s="829"/>
      <c r="AA105" s="829"/>
      <c r="AB105" s="829"/>
      <c r="AC105" s="829"/>
      <c r="AG105" s="843"/>
      <c r="AH105" s="843"/>
      <c r="AI105" s="843"/>
      <c r="AJ105" s="843"/>
      <c r="AK105" s="843"/>
    </row>
    <row r="106" spans="2:42" x14ac:dyDescent="0.2">
      <c r="D106" s="965"/>
      <c r="E106" s="966">
        <f>E102</f>
        <v>447053.48799999978</v>
      </c>
      <c r="F106" s="967">
        <f>D106-E106</f>
        <v>-447053.48799999978</v>
      </c>
      <c r="G106" s="968"/>
      <c r="H106" s="968"/>
      <c r="I106" s="968"/>
      <c r="O106" s="827"/>
      <c r="Z106" s="829"/>
    </row>
    <row r="107" spans="2:42" ht="13.5" thickBot="1" x14ac:dyDescent="0.25">
      <c r="D107" s="969"/>
      <c r="E107" s="970">
        <f>ROUND(H102,2)</f>
        <v>5690.5</v>
      </c>
      <c r="F107" s="971">
        <f>D107-E107</f>
        <v>-5690.5</v>
      </c>
      <c r="G107" s="968"/>
    </row>
    <row r="108" spans="2:42" x14ac:dyDescent="0.2">
      <c r="D108" s="968"/>
    </row>
  </sheetData>
  <mergeCells count="11">
    <mergeCell ref="C16:E16"/>
    <mergeCell ref="C3:M4"/>
    <mergeCell ref="C5:M5"/>
    <mergeCell ref="C6:M6"/>
    <mergeCell ref="C14:E14"/>
    <mergeCell ref="C15:E15"/>
    <mergeCell ref="J69:M69"/>
    <mergeCell ref="N69:Q69"/>
    <mergeCell ref="R69:Z69"/>
    <mergeCell ref="AA69:AG69"/>
    <mergeCell ref="C17:E17"/>
  </mergeCells>
  <conditionalFormatting sqref="R100">
    <cfRule type="cellIs" dxfId="6" priority="3" stopIfTrue="1" operator="equal">
      <formula>0</formula>
    </cfRule>
  </conditionalFormatting>
  <conditionalFormatting sqref="N71:N101">
    <cfRule type="cellIs" dxfId="5" priority="2" stopIfTrue="1" operator="equal">
      <formula>0</formula>
    </cfRule>
  </conditionalFormatting>
  <conditionalFormatting sqref="R71:R98">
    <cfRule type="cellIs" dxfId="4" priority="1" stopIfTrue="1" operator="equal">
      <formula>0</formula>
    </cfRule>
  </conditionalFormatting>
  <conditionalFormatting sqref="O71:P101">
    <cfRule type="cellIs" dxfId="3" priority="7" stopIfTrue="1" operator="equal">
      <formula>0</formula>
    </cfRule>
  </conditionalFormatting>
  <conditionalFormatting sqref="T71:T99 T101">
    <cfRule type="cellIs" dxfId="2" priority="6" stopIfTrue="1" operator="equal">
      <formula>0</formula>
    </cfRule>
  </conditionalFormatting>
  <conditionalFormatting sqref="T100">
    <cfRule type="cellIs" dxfId="1" priority="5" stopIfTrue="1" operator="equal">
      <formula>0</formula>
    </cfRule>
  </conditionalFormatting>
  <conditionalFormatting sqref="R99 R101">
    <cfRule type="cellIs" dxfId="0" priority="4" stopIfTrue="1" operator="equal">
      <formula>0</formula>
    </cfRule>
  </conditionalFormatting>
  <printOptions horizontalCentered="1"/>
  <pageMargins left="0.59055118110236227" right="0.39370078740157483" top="0" bottom="0" header="0" footer="0.51181102362204722"/>
  <pageSetup scale="42" orientation="landscape" r:id="rId1"/>
  <drawing r:id="rId2"/>
  <legacyDrawing r:id="rId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" defaultRowHeight="14.2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114</vt:i4>
      </vt:variant>
      <vt:variant>
        <vt:lpstr>Rangos con nombre</vt:lpstr>
      </vt:variant>
      <vt:variant>
        <vt:i4>85</vt:i4>
      </vt:variant>
    </vt:vector>
  </HeadingPairs>
  <TitlesOfParts>
    <vt:vector size="199" baseType="lpstr">
      <vt:lpstr>Tablas (2)</vt:lpstr>
      <vt:lpstr>Tarifas</vt:lpstr>
      <vt:lpstr>Diario_Documentos</vt:lpstr>
      <vt:lpstr>Hoja1</vt:lpstr>
      <vt:lpstr>Hoja3</vt:lpstr>
      <vt:lpstr>ANALISIS</vt:lpstr>
      <vt:lpstr>Resumen</vt:lpstr>
      <vt:lpstr>REPORTE OPERATIVO</vt:lpstr>
      <vt:lpstr>DESBALANCE</vt:lpstr>
      <vt:lpstr>Desbalance - Diario</vt:lpstr>
      <vt:lpstr>Desbalance - Mensual</vt:lpstr>
      <vt:lpstr>Conceptos</vt:lpstr>
      <vt:lpstr>Agosto - 20131</vt:lpstr>
      <vt:lpstr>Septiembre - 20131</vt:lpstr>
      <vt:lpstr>Octubre - 20131</vt:lpstr>
      <vt:lpstr>Noviembre - 20131</vt:lpstr>
      <vt:lpstr>Diciembre - 20131</vt:lpstr>
      <vt:lpstr>Enero - 20141</vt:lpstr>
      <vt:lpstr>Febrero - 20141</vt:lpstr>
      <vt:lpstr>Marzo - 20141</vt:lpstr>
      <vt:lpstr>Abril - 20141</vt:lpstr>
      <vt:lpstr>Mayo - 20141</vt:lpstr>
      <vt:lpstr>Junio - 20141</vt:lpstr>
      <vt:lpstr>Julio - 20141</vt:lpstr>
      <vt:lpstr>Agosto - 20141</vt:lpstr>
      <vt:lpstr>Septiembre - 20141</vt:lpstr>
      <vt:lpstr>Octubre - 20141</vt:lpstr>
      <vt:lpstr>Noviembre - 20141</vt:lpstr>
      <vt:lpstr>Diciembre - 20141</vt:lpstr>
      <vt:lpstr>Enero - 201512</vt:lpstr>
      <vt:lpstr>Febrero - 20151</vt:lpstr>
      <vt:lpstr>Marzo - 20151</vt:lpstr>
      <vt:lpstr>Abril - 20151</vt:lpstr>
      <vt:lpstr>Mayo - 20151</vt:lpstr>
      <vt:lpstr>Junio - 20151</vt:lpstr>
      <vt:lpstr>Julio - 20151</vt:lpstr>
      <vt:lpstr>Agosto - 20151</vt:lpstr>
      <vt:lpstr>Agosto - 2013</vt:lpstr>
      <vt:lpstr>Septiembre - 2013</vt:lpstr>
      <vt:lpstr>Noviembre - 2013</vt:lpstr>
      <vt:lpstr>Diciembre - 2013</vt:lpstr>
      <vt:lpstr>Enero - 2014</vt:lpstr>
      <vt:lpstr>Febrero - 2014</vt:lpstr>
      <vt:lpstr>Marzo - 2014</vt:lpstr>
      <vt:lpstr>Abril - 2014</vt:lpstr>
      <vt:lpstr>Mayo - 2014</vt:lpstr>
      <vt:lpstr>Junio - 2014</vt:lpstr>
      <vt:lpstr>Hoja2</vt:lpstr>
      <vt:lpstr>Julio - 2014</vt:lpstr>
      <vt:lpstr>Agosto - 2014</vt:lpstr>
      <vt:lpstr>Octubre - 2014</vt:lpstr>
      <vt:lpstr>Noviembre - 2014</vt:lpstr>
      <vt:lpstr>Diciembre - 2014</vt:lpstr>
      <vt:lpstr>Enero - 2015</vt:lpstr>
      <vt:lpstr>Febrero - 2015</vt:lpstr>
      <vt:lpstr>Marzo - 2015</vt:lpstr>
      <vt:lpstr>Abril - 2015</vt:lpstr>
      <vt:lpstr>Mayo - 2015</vt:lpstr>
      <vt:lpstr>Junio - 2015</vt:lpstr>
      <vt:lpstr>Julio - 2015</vt:lpstr>
      <vt:lpstr>Agosto - 2015</vt:lpstr>
      <vt:lpstr>Octubre - 2015</vt:lpstr>
      <vt:lpstr>Noviembre - 2015</vt:lpstr>
      <vt:lpstr>Diciembre - 2015</vt:lpstr>
      <vt:lpstr>Enero - 2016</vt:lpstr>
      <vt:lpstr>Febrero - 2016</vt:lpstr>
      <vt:lpstr>Marzo - 2016</vt:lpstr>
      <vt:lpstr>Abril - 2016</vt:lpstr>
      <vt:lpstr>Mayo - 2016</vt:lpstr>
      <vt:lpstr>Septiembre -2014</vt:lpstr>
      <vt:lpstr>Junio - 2016</vt:lpstr>
      <vt:lpstr>Julio - 2016</vt:lpstr>
      <vt:lpstr>Agosto - 2016</vt:lpstr>
      <vt:lpstr>Septiembre - 2016</vt:lpstr>
      <vt:lpstr>Octubre - 2016</vt:lpstr>
      <vt:lpstr>Noviembre - 2016</vt:lpstr>
      <vt:lpstr>Diciembre - 2016</vt:lpstr>
      <vt:lpstr>Enero - 2017</vt:lpstr>
      <vt:lpstr>Febrero - 2017</vt:lpstr>
      <vt:lpstr>Marzo - 2017</vt:lpstr>
      <vt:lpstr>Abril - 2017</vt:lpstr>
      <vt:lpstr>Mayo - 2017</vt:lpstr>
      <vt:lpstr>Junio - 2017</vt:lpstr>
      <vt:lpstr>Julio - 2017</vt:lpstr>
      <vt:lpstr>Agosto - 2017</vt:lpstr>
      <vt:lpstr>Septiembre - 2017</vt:lpstr>
      <vt:lpstr>Octubre - 2017</vt:lpstr>
      <vt:lpstr>Noviembre - 2017</vt:lpstr>
      <vt:lpstr>Diciembre - 2017</vt:lpstr>
      <vt:lpstr>Enero - 2018</vt:lpstr>
      <vt:lpstr>Febrero - 2018</vt:lpstr>
      <vt:lpstr>Marzo - 2018</vt:lpstr>
      <vt:lpstr>Abril - 2018</vt:lpstr>
      <vt:lpstr>Mayo - 2018</vt:lpstr>
      <vt:lpstr>Junio - 2018</vt:lpstr>
      <vt:lpstr>Julio - 2018 </vt:lpstr>
      <vt:lpstr>Agosto - 2018</vt:lpstr>
      <vt:lpstr>Septiembre - 2018 </vt:lpstr>
      <vt:lpstr>Octubre - 2018  </vt:lpstr>
      <vt:lpstr>Noviembre - 2018  </vt:lpstr>
      <vt:lpstr>Diciembre - 2018 </vt:lpstr>
      <vt:lpstr>Enero - 2019</vt:lpstr>
      <vt:lpstr>Febrero - 2019</vt:lpstr>
      <vt:lpstr>Marzo - 2019</vt:lpstr>
      <vt:lpstr>Abril- 2019</vt:lpstr>
      <vt:lpstr>Mayo - 2019</vt:lpstr>
      <vt:lpstr>Junio - 2019</vt:lpstr>
      <vt:lpstr>Julio - 2019 </vt:lpstr>
      <vt:lpstr>Agosto - 2019</vt:lpstr>
      <vt:lpstr>Septiembre - 2019 </vt:lpstr>
      <vt:lpstr>Octubre - 2019</vt:lpstr>
      <vt:lpstr>Noviembre - 2019 </vt:lpstr>
      <vt:lpstr>Diciembre - 2019  </vt:lpstr>
      <vt:lpstr>USSPI - Ejemplo</vt:lpstr>
      <vt:lpstr>'Abril - 2014'!Área_de_impresión</vt:lpstr>
      <vt:lpstr>'Abril - 20141'!Área_de_impresión</vt:lpstr>
      <vt:lpstr>'Abril - 2015'!Área_de_impresión</vt:lpstr>
      <vt:lpstr>'Abril - 20151'!Área_de_impresión</vt:lpstr>
      <vt:lpstr>'Abril - 2016'!Área_de_impresión</vt:lpstr>
      <vt:lpstr>'Abril - 2017'!Área_de_impresión</vt:lpstr>
      <vt:lpstr>'Abril - 2018'!Área_de_impresión</vt:lpstr>
      <vt:lpstr>'Abril- 2019'!Área_de_impresión</vt:lpstr>
      <vt:lpstr>'Agosto - 20131'!Área_de_impresión</vt:lpstr>
      <vt:lpstr>'Agosto - 20141'!Área_de_impresión</vt:lpstr>
      <vt:lpstr>'Agosto - 20151'!Área_de_impresión</vt:lpstr>
      <vt:lpstr>'Agosto - 2016'!Área_de_impresión</vt:lpstr>
      <vt:lpstr>'Agosto - 2017'!Área_de_impresión</vt:lpstr>
      <vt:lpstr>'Agosto - 2018'!Área_de_impresión</vt:lpstr>
      <vt:lpstr>'Agosto - 2019'!Área_de_impresión</vt:lpstr>
      <vt:lpstr>Conceptos!Área_de_impresión</vt:lpstr>
      <vt:lpstr>'Diciembre - 20131'!Área_de_impresión</vt:lpstr>
      <vt:lpstr>'Diciembre - 20141'!Área_de_impresión</vt:lpstr>
      <vt:lpstr>'Diciembre - 2016'!Área_de_impresión</vt:lpstr>
      <vt:lpstr>'Diciembre - 2017'!Área_de_impresión</vt:lpstr>
      <vt:lpstr>'Diciembre - 2018 '!Área_de_impresión</vt:lpstr>
      <vt:lpstr>'Diciembre - 2019  '!Área_de_impresión</vt:lpstr>
      <vt:lpstr>'Enero - 20141'!Área_de_impresión</vt:lpstr>
      <vt:lpstr>'Enero - 201512'!Área_de_impresión</vt:lpstr>
      <vt:lpstr>'Enero - 2017'!Área_de_impresión</vt:lpstr>
      <vt:lpstr>'Enero - 2018'!Área_de_impresión</vt:lpstr>
      <vt:lpstr>'Enero - 2019'!Área_de_impresión</vt:lpstr>
      <vt:lpstr>'Febrero - 2014'!Área_de_impresión</vt:lpstr>
      <vt:lpstr>'Febrero - 20141'!Área_de_impresión</vt:lpstr>
      <vt:lpstr>'Febrero - 2015'!Área_de_impresión</vt:lpstr>
      <vt:lpstr>'Febrero - 20151'!Área_de_impresión</vt:lpstr>
      <vt:lpstr>'Febrero - 2016'!Área_de_impresión</vt:lpstr>
      <vt:lpstr>'Febrero - 2017'!Área_de_impresión</vt:lpstr>
      <vt:lpstr>'Febrero - 2018'!Área_de_impresión</vt:lpstr>
      <vt:lpstr>'Febrero - 2019'!Área_de_impresión</vt:lpstr>
      <vt:lpstr>'Julio - 20141'!Área_de_impresión</vt:lpstr>
      <vt:lpstr>'Julio - 20151'!Área_de_impresión</vt:lpstr>
      <vt:lpstr>'Julio - 2016'!Área_de_impresión</vt:lpstr>
      <vt:lpstr>'Julio - 2017'!Área_de_impresión</vt:lpstr>
      <vt:lpstr>'Julio - 2018 '!Área_de_impresión</vt:lpstr>
      <vt:lpstr>'Julio - 2019 '!Área_de_impresión</vt:lpstr>
      <vt:lpstr>'Junio - 2014'!Área_de_impresión</vt:lpstr>
      <vt:lpstr>'Junio - 20141'!Área_de_impresión</vt:lpstr>
      <vt:lpstr>'Junio - 20151'!Área_de_impresión</vt:lpstr>
      <vt:lpstr>'Junio - 2016'!Área_de_impresión</vt:lpstr>
      <vt:lpstr>'Junio - 2017'!Área_de_impresión</vt:lpstr>
      <vt:lpstr>'Junio - 2018'!Área_de_impresión</vt:lpstr>
      <vt:lpstr>'Junio - 2019'!Área_de_impresión</vt:lpstr>
      <vt:lpstr>'Marzo - 2014'!Área_de_impresión</vt:lpstr>
      <vt:lpstr>'Marzo - 20141'!Área_de_impresión</vt:lpstr>
      <vt:lpstr>'Marzo - 2015'!Área_de_impresión</vt:lpstr>
      <vt:lpstr>'Marzo - 20151'!Área_de_impresión</vt:lpstr>
      <vt:lpstr>'Marzo - 2016'!Área_de_impresión</vt:lpstr>
      <vt:lpstr>'Marzo - 2017'!Área_de_impresión</vt:lpstr>
      <vt:lpstr>'Marzo - 2018'!Área_de_impresión</vt:lpstr>
      <vt:lpstr>'Marzo - 2019'!Área_de_impresión</vt:lpstr>
      <vt:lpstr>'Mayo - 2014'!Área_de_impresión</vt:lpstr>
      <vt:lpstr>'Mayo - 20141'!Área_de_impresión</vt:lpstr>
      <vt:lpstr>'Mayo - 2015'!Área_de_impresión</vt:lpstr>
      <vt:lpstr>'Mayo - 20151'!Área_de_impresión</vt:lpstr>
      <vt:lpstr>'Mayo - 2016'!Área_de_impresión</vt:lpstr>
      <vt:lpstr>'Mayo - 2017'!Área_de_impresión</vt:lpstr>
      <vt:lpstr>'Mayo - 2018'!Área_de_impresión</vt:lpstr>
      <vt:lpstr>'Mayo - 2019'!Área_de_impresión</vt:lpstr>
      <vt:lpstr>'Noviembre - 20131'!Área_de_impresión</vt:lpstr>
      <vt:lpstr>'Noviembre - 20141'!Área_de_impresión</vt:lpstr>
      <vt:lpstr>'Noviembre - 2016'!Área_de_impresión</vt:lpstr>
      <vt:lpstr>'Noviembre - 2017'!Área_de_impresión</vt:lpstr>
      <vt:lpstr>'Noviembre - 2018  '!Área_de_impresión</vt:lpstr>
      <vt:lpstr>'Noviembre - 2019 '!Área_de_impresión</vt:lpstr>
      <vt:lpstr>'Octubre - 20131'!Área_de_impresión</vt:lpstr>
      <vt:lpstr>'Octubre - 20141'!Área_de_impresión</vt:lpstr>
      <vt:lpstr>'Octubre - 2016'!Área_de_impresión</vt:lpstr>
      <vt:lpstr>'Octubre - 2017'!Área_de_impresión</vt:lpstr>
      <vt:lpstr>'Octubre - 2018  '!Área_de_impresión</vt:lpstr>
      <vt:lpstr>'Octubre - 2019'!Área_de_impresión</vt:lpstr>
      <vt:lpstr>'Septiembre - 20131'!Área_de_impresión</vt:lpstr>
      <vt:lpstr>'Septiembre - 20141'!Área_de_impresión</vt:lpstr>
      <vt:lpstr>'Septiembre - 2016'!Área_de_impresión</vt:lpstr>
      <vt:lpstr>'Septiembre - 2017'!Área_de_impresión</vt:lpstr>
      <vt:lpstr>'Septiembre - 2018 '!Área_de_impresión</vt:lpstr>
      <vt:lpstr>'Septiembre - 2019 '!Área_de_impresión</vt:lpstr>
      <vt:lpstr>DIAS</vt:lpstr>
      <vt:lpstr>FACTOR</vt:lpstr>
      <vt:lpstr>Nombre_Proveedor</vt:lpstr>
    </vt:vector>
  </TitlesOfParts>
  <Company>GRPN CFE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López Casillas</dc:creator>
  <cp:lastModifiedBy>Rogelio Gaytan Berriel</cp:lastModifiedBy>
  <cp:lastPrinted>2019-04-23T13:32:13Z</cp:lastPrinted>
  <dcterms:created xsi:type="dcterms:W3CDTF">2015-05-01T16:14:55Z</dcterms:created>
  <dcterms:modified xsi:type="dcterms:W3CDTF">2019-05-06T15:23:43Z</dcterms:modified>
</cp:coreProperties>
</file>